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office.activeX" PartName="/xl/activeX/activeX1.bin"/>
  <Override ContentType="application/vnd.ms-office.activeX+xml" PartName="/xl/activeX/activeX1.xml"/>
  <Override ContentType="application/vnd.ms-office.activeX" PartName="/xl/activeX/activeX2.bin"/>
  <Override ContentType="application/vnd.ms-office.activeX+xml" PartName="/xl/activeX/activeX2.xml"/>
  <Override ContentType="application/vnd.ms-office.activeX" PartName="/xl/activeX/activeX3.bin"/>
  <Override ContentType="application/vnd.ms-office.activeX+xml" PartName="/xl/activeX/activeX3.xml"/>
  <Override ContentType="application/vnd.ms-office.activeX" PartName="/xl/activeX/activeX4.bin"/>
  <Override ContentType="application/vnd.ms-office.activeX+xml" PartName="/xl/activeX/activeX4.xml"/>
  <Override ContentType="application/vnd.openxmlformats-officedocument.spreadsheetml.calcChain+xml" PartName="/xl/calcChain.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openxmlformats-officedocument.drawingml.chart+xml" PartName="/xl/charts/chart4.xml"/>
  <Override ContentType="application/vnd.openxmlformats-officedocument.drawingml.chart+xml" PartName="/xl/charts/chart5.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openxmlformats-officedocument.spreadsheetml.volatileDependencies+xml" PartName="/xl/volatileDependencies.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45" windowWidth="20730" windowHeight="11280" firstSheet="2" activeTab="2"/>
  </bookViews>
  <sheets>
    <sheet name="MWCache" sheetId="17" state="veryHidden" r:id="rId1"/>
    <sheet name="MW-Cache" sheetId="56" state="veryHidden" r:id="rId2"/>
    <sheet name="ImportantDisclosures" sheetId="97" r:id="rId3"/>
    <sheet name="Model" sheetId="3" r:id="rId4"/>
    <sheet name="DCF" sheetId="91" r:id="rId5"/>
    <sheet name="Fuel" sheetId="41" r:id="rId6"/>
    <sheet name="MarketData" sheetId="42" r:id="rId7"/>
    <sheet name="Pension" sheetId="92" r:id="rId8"/>
    <sheet name="OPEB" sheetId="93" r:id="rId9"/>
    <sheet name="IndexInformation" sheetId="98" r:id="rId10"/>
    <sheet name="ModPubIndex" sheetId="99" r:id="rId11"/>
    <sheet name="__FDSCACHE__" sheetId="29" state="veryHidden" r:id="rId12"/>
  </sheets>
  <functionGroups builtInGroupCount="17"/>
  <externalReferences>
    <externalReference r:id="rId13"/>
    <externalReference r:id="rId14"/>
    <externalReference r:id="rId15"/>
    <externalReference r:id="rId16"/>
    <externalReference r:id="rId17"/>
  </externalReferences>
  <definedNames>
    <definedName name="__FDS_HYPERLINK_TOGGLE_STATE__" hidden="1">"ON"</definedName>
    <definedName name="__FDS_UNIQUE_RANGE_ID_GENERATOR_COUNTER" localSheetId="5" hidden="1">1</definedName>
    <definedName name="__FDS_UNIQUE_RANGE_ID_GENERATOR_COUNTER" localSheetId="6" hidden="1">1</definedName>
    <definedName name="__FDS_UNIQUE_RANGE_ID_GENERATOR_COUNTER" hidden="1">464</definedName>
    <definedName name="_1__FDSAUDITLINK__" localSheetId="4" hidden="1">{"fdsup://directions/FAT Viewer?action=UPDATE&amp;creator=factset&amp;DYN_ARGS=TRUE&amp;DOC_NAME=FAT:FQL_AUDITING_CLIENT_TEMPLATE.FAT&amp;display_string=Audit&amp;VAR:KEY=GFSNGJUZGB&amp;VAR:QUERY=RkZfTkVUX0lOQyhBTk4sMjAxMCk=&amp;WINDOW=FIRST_POPUP&amp;HEIGHT=450&amp;WIDTH=450&amp;START_MAXIMIZED=","FALSE&amp;VAR:CALENDAR=US&amp;VAR:SYMBOL=UNP&amp;VAR:INDEX=0"}</definedName>
    <definedName name="_1__FDSAUDITLINK__" localSheetId="5" hidden="1">{"fdsup://Directions/FactSet Auditing Viewer?action=AUDIT_VALUE&amp;DB=129&amp;ID1=90781810&amp;VALUEID=01401&amp;SDATE=2009&amp;PERIODTYPE=ANN_STD&amp;window=popup_no_bar&amp;width=385&amp;height=120&amp;START_MAXIMIZED=FALSE&amp;creator=factset&amp;display_string=Audit"}</definedName>
    <definedName name="_1__FDSAUDITLINK__" localSheetId="6" hidden="1">{"fdsup://Directions/FactSet Auditing Viewer?action=AUDIT_VALUE&amp;DB=129&amp;ID1=90781810&amp;VALUEID=01401&amp;SDATE=2009&amp;PERIODTYPE=ANN_STD&amp;window=popup_no_bar&amp;width=385&amp;height=120&amp;START_MAXIMIZED=FALSE&amp;creator=factset&amp;display_string=Audit"}</definedName>
    <definedName name="_1__FDSAUDITLINK__" hidden="1">{"fdsup://directions/FAT Viewer?action=UPDATE&amp;creator=factset&amp;DYN_ARGS=TRUE&amp;DOC_NAME=FAT:FQL_AUDITING_CLIENT_TEMPLATE.FAT&amp;display_string=Audit&amp;VAR:KEY=GFSNGJUZGB&amp;VAR:QUERY=RkZfTkVUX0lOQyhBTk4sMjAxMCk=&amp;WINDOW=FIRST_POPUP&amp;HEIGHT=450&amp;WIDTH=450&amp;START_MAXIMIZED=","FALSE&amp;VAR:CALENDAR=US&amp;VAR:SYMBOL=UNP&amp;VAR:INDEX=0"}</definedName>
    <definedName name="_10__FDSAUDITLINK__" localSheetId="4" hidden="1">{"fdsup://directions/FAT Viewer?action=UPDATE&amp;creator=factset&amp;DYN_ARGS=TRUE&amp;DOC_NAME=FAT:FQL_AUDITING_CLIENT_TEMPLATE.FAT&amp;display_string=Audit&amp;VAR:KEY=CHSVMLSVYH&amp;VAR:QUERY=RkZfRUJJVChBTk4sMjAxMCk=&amp;WINDOW=FIRST_POPUP&amp;HEIGHT=450&amp;WIDTH=450&amp;START_MAXIMIZED=FALS","E&amp;VAR:CALENDAR=US&amp;VAR:SYMBOL=RA&amp;VAR:INDEX=0"}</definedName>
    <definedName name="_10__FDSAUDITLINK__" localSheetId="5" hidden="1">{"fdsup://Directions/FactSet Auditing Viewer?action=AUDIT_VALUE&amp;DB=129&amp;ID1=48517030&amp;VALUEID=01401&amp;SDATE=2009&amp;PERIODTYPE=ANN_STD&amp;window=popup_no_bar&amp;width=385&amp;height=120&amp;START_MAXIMIZED=FALSE&amp;creator=factset&amp;display_string=Audit"}</definedName>
    <definedName name="_10__FDSAUDITLINK__" localSheetId="6" hidden="1">{"fdsup://Directions/FactSet Auditing Viewer?action=AUDIT_VALUE&amp;DB=129&amp;ID1=48517030&amp;VALUEID=01401&amp;SDATE=2009&amp;PERIODTYPE=ANN_STD&amp;window=popup_no_bar&amp;width=385&amp;height=120&amp;START_MAXIMIZED=FALSE&amp;creator=factset&amp;display_string=Audit"}</definedName>
    <definedName name="_10__FDSAUDITLINK__" hidden="1">{"fdsup://directions/FAT Viewer?action=UPDATE&amp;creator=factset&amp;DYN_ARGS=TRUE&amp;DOC_NAME=FAT:FQL_AUDITING_CLIENT_TEMPLATE.FAT&amp;display_string=Audit&amp;VAR:KEY=CHSVMLSVYH&amp;VAR:QUERY=RkZfRUJJVChBTk4sMjAxMCk=&amp;WINDOW=FIRST_POPUP&amp;HEIGHT=450&amp;WIDTH=450&amp;START_MAXIMIZED=FALS","E&amp;VAR:CALENDAR=US&amp;VAR:SYMBOL=RA&amp;VAR:INDEX=0"}</definedName>
    <definedName name="_100__FDSAUDITLINK__" localSheetId="4" hidden="1">{"fdsup://Directions/FactSet Auditing Viewer?action=AUDIT_VALUE&amp;DB=129&amp;ID1=48517030&amp;VALUEID=01250&amp;SDATE=2010&amp;PERIODTYPE=ANN_STD&amp;window=popup_no_bar&amp;width=385&amp;height=120&amp;START_MAXIMIZED=FALSE&amp;creator=factset&amp;display_string=Audit"}</definedName>
    <definedName name="_100__FDSAUDITLINK__" localSheetId="5" hidden="1">{"fdsup://directions/FAT Viewer?action=UPDATE&amp;creator=factset&amp;DYN_ARGS=TRUE&amp;DOC_NAME=FAT:FQL_AUDITING_CLIENT_TEMPLATE.FAT&amp;display_string=Audit&amp;VAR:KEY=SZUDEVQRKX&amp;VAR:QUERY=RkZfRUJJVChBTk4sMjAwOSk=&amp;WINDOW=FIRST_POPUP&amp;HEIGHT=450&amp;WIDTH=450&amp;START_MAXIMIZED=FALS","E&amp;VAR:CALENDAR=US&amp;VAR:SYMBOL=CNI&amp;VAR:INDEX=0"}</definedName>
    <definedName name="_100__FDSAUDITLINK__" localSheetId="6" hidden="1">{"fdsup://directions/FAT Viewer?action=UPDATE&amp;creator=factset&amp;DYN_ARGS=TRUE&amp;DOC_NAME=FAT:FQL_AUDITING_CLIENT_TEMPLATE.FAT&amp;display_string=Audit&amp;VAR:KEY=SZUDEVQRKX&amp;VAR:QUERY=RkZfRUJJVChBTk4sMjAwOSk=&amp;WINDOW=FIRST_POPUP&amp;HEIGHT=450&amp;WIDTH=450&amp;START_MAXIMIZED=FALS","E&amp;VAR:CALENDAR=US&amp;VAR:SYMBOL=CNI&amp;VAR:INDEX=0"}</definedName>
    <definedName name="_100__FDSAUDITLINK__" hidden="1">{"fdsup://Directions/FactSet Auditing Viewer?action=AUDIT_VALUE&amp;DB=129&amp;ID1=48517030&amp;VALUEID=01250&amp;SDATE=2010&amp;PERIODTYPE=ANN_STD&amp;window=popup_no_bar&amp;width=385&amp;height=120&amp;START_MAXIMIZED=FALSE&amp;creator=factset&amp;display_string=Audit"}</definedName>
    <definedName name="_101__FDSAUDITLINK__" localSheetId="4" hidden="1">{"fdsup://Directions/FactSet Auditing Viewer?action=AUDIT_VALUE&amp;DB=129&amp;ID1=37155910&amp;VALUEID=01250&amp;SDATE=2010&amp;PERIODTYPE=ANN_STD&amp;window=popup_no_bar&amp;width=385&amp;height=120&amp;START_MAXIMIZED=FALSE&amp;creator=factset&amp;display_string=Audit"}</definedName>
    <definedName name="_101__FDSAUDITLINK__" localSheetId="5" hidden="1">{"fdsup://directions/FAT Viewer?action=UPDATE&amp;creator=factset&amp;DYN_ARGS=TRUE&amp;DOC_NAME=FAT:FQL_AUDITING_CLIENT_TEMPLATE.FAT&amp;display_string=Audit&amp;VAR:KEY=GNGLEVGRQN&amp;VAR:QUERY=RkZfRUJJVERBKEFOTiwyMDA5KQ==&amp;WINDOW=FIRST_POPUP&amp;HEIGHT=450&amp;WIDTH=450&amp;START_MAXIMIZED=","FALSE&amp;VAR:CALENDAR=US&amp;VAR:SYMBOL=UNP&amp;VAR:INDEX=0"}</definedName>
    <definedName name="_101__FDSAUDITLINK__" localSheetId="6" hidden="1">{"fdsup://directions/FAT Viewer?action=UPDATE&amp;creator=factset&amp;DYN_ARGS=TRUE&amp;DOC_NAME=FAT:FQL_AUDITING_CLIENT_TEMPLATE.FAT&amp;display_string=Audit&amp;VAR:KEY=GNGLEVGRQN&amp;VAR:QUERY=RkZfRUJJVERBKEFOTiwyMDA5KQ==&amp;WINDOW=FIRST_POPUP&amp;HEIGHT=450&amp;WIDTH=450&amp;START_MAXIMIZED=","FALSE&amp;VAR:CALENDAR=US&amp;VAR:SYMBOL=UNP&amp;VAR:INDEX=0"}</definedName>
    <definedName name="_101__FDSAUDITLINK__" hidden="1">{"fdsup://Directions/FactSet Auditing Viewer?action=AUDIT_VALUE&amp;DB=129&amp;ID1=37155910&amp;VALUEID=01250&amp;SDATE=2010&amp;PERIODTYPE=ANN_STD&amp;window=popup_no_bar&amp;width=385&amp;height=120&amp;START_MAXIMIZED=FALSE&amp;creator=factset&amp;display_string=Audit"}</definedName>
    <definedName name="_102__FDSAUDITLINK__" localSheetId="4" hidden="1">{"fdsup://Directions/FactSet Auditing Viewer?action=AUDIT_VALUE&amp;DB=129&amp;ID1=12640810&amp;VALUEID=01250&amp;SDATE=2010&amp;PERIODTYPE=ANN_STD&amp;window=popup_no_bar&amp;width=385&amp;height=120&amp;START_MAXIMIZED=FALSE&amp;creator=factset&amp;display_string=Audit"}</definedName>
    <definedName name="_102__FDSAUDITLINK__" localSheetId="5" hidden="1">{"fdsup://directions/FAT Viewer?action=UPDATE&amp;creator=factset&amp;DYN_ARGS=TRUE&amp;DOC_NAME=FAT:FQL_AUDITING_CLIENT_TEMPLATE.FAT&amp;display_string=Audit&amp;VAR:KEY=QPANSVANQN&amp;VAR:QUERY=RkZfRUJJVERBKEFOTiwyMDA5KQ==&amp;WINDOW=FIRST_POPUP&amp;HEIGHT=450&amp;WIDTH=450&amp;START_MAXIMIZED=","FALSE&amp;VAR:CALENDAR=US&amp;VAR:SYMBOL=RA&amp;VAR:INDEX=0"}</definedName>
    <definedName name="_102__FDSAUDITLINK__" localSheetId="6" hidden="1">{"fdsup://directions/FAT Viewer?action=UPDATE&amp;creator=factset&amp;DYN_ARGS=TRUE&amp;DOC_NAME=FAT:FQL_AUDITING_CLIENT_TEMPLATE.FAT&amp;display_string=Audit&amp;VAR:KEY=QPANSVANQN&amp;VAR:QUERY=RkZfRUJJVERBKEFOTiwyMDA5KQ==&amp;WINDOW=FIRST_POPUP&amp;HEIGHT=450&amp;WIDTH=450&amp;START_MAXIMIZED=","FALSE&amp;VAR:CALENDAR=US&amp;VAR:SYMBOL=RA&amp;VAR:INDEX=0"}</definedName>
    <definedName name="_102__FDSAUDITLINK__" hidden="1">{"fdsup://Directions/FactSet Auditing Viewer?action=AUDIT_VALUE&amp;DB=129&amp;ID1=12640810&amp;VALUEID=01250&amp;SDATE=2010&amp;PERIODTYPE=ANN_STD&amp;window=popup_no_bar&amp;width=385&amp;height=120&amp;START_MAXIMIZED=FALSE&amp;creator=factset&amp;display_string=Audit"}</definedName>
    <definedName name="_103__FDSAUDITLINK__" localSheetId="4" hidden="1">{"fdsup://Directions/FactSet Auditing Viewer?action=AUDIT_VALUE&amp;DB=129&amp;ID1=90781810&amp;VALUEID=01001&amp;SDATE=2010&amp;PERIODTYPE=ANN_STD&amp;window=popup_no_bar&amp;width=385&amp;height=120&amp;START_MAXIMIZED=FALSE&amp;creator=factset&amp;display_string=Audit"}</definedName>
    <definedName name="_103__FDSAUDITLINK__" localSheetId="5" hidden="1">{"fdsup://directions/FAT Viewer?action=UPDATE&amp;creator=factset&amp;DYN_ARGS=TRUE&amp;DOC_NAME=FAT:FQL_AUDITING_CLIENT_TEMPLATE.FAT&amp;display_string=Audit&amp;VAR:KEY=YRCTQJQJKV&amp;VAR:QUERY=RkZfRUJJVERBKEFOTiwyMDA5KQ==&amp;WINDOW=FIRST_POPUP&amp;HEIGHT=450&amp;WIDTH=450&amp;START_MAXIMIZED=","FALSE&amp;VAR:CALENDAR=US&amp;VAR:SYMBOL=NSC&amp;VAR:INDEX=0"}</definedName>
    <definedName name="_103__FDSAUDITLINK__" localSheetId="6" hidden="1">{"fdsup://directions/FAT Viewer?action=UPDATE&amp;creator=factset&amp;DYN_ARGS=TRUE&amp;DOC_NAME=FAT:FQL_AUDITING_CLIENT_TEMPLATE.FAT&amp;display_string=Audit&amp;VAR:KEY=YRCTQJQJKV&amp;VAR:QUERY=RkZfRUJJVERBKEFOTiwyMDA5KQ==&amp;WINDOW=FIRST_POPUP&amp;HEIGHT=450&amp;WIDTH=450&amp;START_MAXIMIZED=","FALSE&amp;VAR:CALENDAR=US&amp;VAR:SYMBOL=NSC&amp;VAR:INDEX=0"}</definedName>
    <definedName name="_103__FDSAUDITLINK__" hidden="1">{"fdsup://Directions/FactSet Auditing Viewer?action=AUDIT_VALUE&amp;DB=129&amp;ID1=90781810&amp;VALUEID=01001&amp;SDATE=2010&amp;PERIODTYPE=ANN_STD&amp;window=popup_no_bar&amp;width=385&amp;height=120&amp;START_MAXIMIZED=FALSE&amp;creator=factset&amp;display_string=Audit"}</definedName>
    <definedName name="_104__FDSAUDITLINK__" localSheetId="4" hidden="1">{"fdsup://Directions/FactSet Auditing Viewer?action=AUDIT_VALUE&amp;DB=129&amp;ID1=75075340&amp;VALUEID=01001&amp;SDATE=2010&amp;PERIODTYPE=ANN_STD&amp;window=popup_no_bar&amp;width=385&amp;height=120&amp;START_MAXIMIZED=FALSE&amp;creator=factset&amp;display_string=Audit"}</definedName>
    <definedName name="_104__FDSAUDITLINK__" localSheetId="5" hidden="1">{"fdsup://directions/FAT Viewer?action=UPDATE&amp;creator=factset&amp;DYN_ARGS=TRUE&amp;DOC_NAME=FAT:FQL_AUDITING_CLIENT_TEMPLATE.FAT&amp;display_string=Audit&amp;VAR:KEY=IPOVABEZWT&amp;VAR:QUERY=RkZfRUJJVERBKEFOTiwyMDA5KQ==&amp;WINDOW=FIRST_POPUP&amp;HEIGHT=450&amp;WIDTH=450&amp;START_MAXIMIZED=","FALSE&amp;VAR:CALENDAR=US&amp;VAR:SYMBOL=KSU&amp;VAR:INDEX=0"}</definedName>
    <definedName name="_104__FDSAUDITLINK__" localSheetId="6" hidden="1">{"fdsup://directions/FAT Viewer?action=UPDATE&amp;creator=factset&amp;DYN_ARGS=TRUE&amp;DOC_NAME=FAT:FQL_AUDITING_CLIENT_TEMPLATE.FAT&amp;display_string=Audit&amp;VAR:KEY=IPOVABEZWT&amp;VAR:QUERY=RkZfRUJJVERBKEFOTiwyMDA5KQ==&amp;WINDOW=FIRST_POPUP&amp;HEIGHT=450&amp;WIDTH=450&amp;START_MAXIMIZED=","FALSE&amp;VAR:CALENDAR=US&amp;VAR:SYMBOL=KSU&amp;VAR:INDEX=0"}</definedName>
    <definedName name="_104__FDSAUDITLINK__" hidden="1">{"fdsup://Directions/FactSet Auditing Viewer?action=AUDIT_VALUE&amp;DB=129&amp;ID1=75075340&amp;VALUEID=01001&amp;SDATE=2010&amp;PERIODTYPE=ANN_STD&amp;window=popup_no_bar&amp;width=385&amp;height=120&amp;START_MAXIMIZED=FALSE&amp;creator=factset&amp;display_string=Audit"}</definedName>
    <definedName name="_105__FDSAUDITLINK__" localSheetId="4" hidden="1">{"fdsup://Directions/FactSet Auditing Viewer?action=AUDIT_VALUE&amp;DB=129&amp;ID1=65584410&amp;VALUEID=01001&amp;SDATE=2010&amp;PERIODTYPE=ANN_STD&amp;window=popup_no_bar&amp;width=385&amp;height=120&amp;START_MAXIMIZED=FALSE&amp;creator=factset&amp;display_string=Audit"}</definedName>
    <definedName name="_105__FDSAUDITLINK__" localSheetId="5" hidden="1">{"fdsup://directions/FAT Viewer?action=UPDATE&amp;creator=factset&amp;DYN_ARGS=TRUE&amp;DOC_NAME=FAT:FQL_AUDITING_CLIENT_TEMPLATE.FAT&amp;display_string=Audit&amp;VAR:KEY=SLCBUDIFIN&amp;VAR:QUERY=RkZfRUJJVERBKEFOTiwyMDA5KQ==&amp;WINDOW=FIRST_POPUP&amp;HEIGHT=450&amp;WIDTH=450&amp;START_MAXIMIZED=","FALSE&amp;VAR:CALENDAR=US&amp;VAR:SYMBOL=GWR&amp;VAR:INDEX=0"}</definedName>
    <definedName name="_105__FDSAUDITLINK__" localSheetId="6" hidden="1">{"fdsup://directions/FAT Viewer?action=UPDATE&amp;creator=factset&amp;DYN_ARGS=TRUE&amp;DOC_NAME=FAT:FQL_AUDITING_CLIENT_TEMPLATE.FAT&amp;display_string=Audit&amp;VAR:KEY=SLCBUDIFIN&amp;VAR:QUERY=RkZfRUJJVERBKEFOTiwyMDA5KQ==&amp;WINDOW=FIRST_POPUP&amp;HEIGHT=450&amp;WIDTH=450&amp;START_MAXIMIZED=","FALSE&amp;VAR:CALENDAR=US&amp;VAR:SYMBOL=GWR&amp;VAR:INDEX=0"}</definedName>
    <definedName name="_105__FDSAUDITLINK__" hidden="1">{"fdsup://Directions/FactSet Auditing Viewer?action=AUDIT_VALUE&amp;DB=129&amp;ID1=65584410&amp;VALUEID=01001&amp;SDATE=2010&amp;PERIODTYPE=ANN_STD&amp;window=popup_no_bar&amp;width=385&amp;height=120&amp;START_MAXIMIZED=FALSE&amp;creator=factset&amp;display_string=Audit"}</definedName>
    <definedName name="_106__FDSAUDITLINK__" localSheetId="4" hidden="1">{"fdsup://Directions/FactSet Auditing Viewer?action=AUDIT_VALUE&amp;DB=129&amp;ID1=48517030&amp;VALUEID=01001&amp;SDATE=2010&amp;PERIODTYPE=ANN_STD&amp;window=popup_no_bar&amp;width=385&amp;height=120&amp;START_MAXIMIZED=FALSE&amp;creator=factset&amp;display_string=Audit"}</definedName>
    <definedName name="_106__FDSAUDITLINK__" localSheetId="5" hidden="1">{"fdsup://directions/FAT Viewer?action=UPDATE&amp;creator=factset&amp;DYN_ARGS=TRUE&amp;DOC_NAME=FAT:FQL_AUDITING_CLIENT_TEMPLATE.FAT&amp;display_string=Audit&amp;VAR:KEY=WZMLEPWVMP&amp;VAR:QUERY=RkZfRUJJVERBKEFOTiwyMDA5KQ==&amp;WINDOW=FIRST_POPUP&amp;HEIGHT=450&amp;WIDTH=450&amp;START_MAXIMIZED=","FALSE&amp;VAR:CALENDAR=US&amp;VAR:SYMBOL=CSX&amp;VAR:INDEX=0"}</definedName>
    <definedName name="_106__FDSAUDITLINK__" localSheetId="6" hidden="1">{"fdsup://directions/FAT Viewer?action=UPDATE&amp;creator=factset&amp;DYN_ARGS=TRUE&amp;DOC_NAME=FAT:FQL_AUDITING_CLIENT_TEMPLATE.FAT&amp;display_string=Audit&amp;VAR:KEY=WZMLEPWVMP&amp;VAR:QUERY=RkZfRUJJVERBKEFOTiwyMDA5KQ==&amp;WINDOW=FIRST_POPUP&amp;HEIGHT=450&amp;WIDTH=450&amp;START_MAXIMIZED=","FALSE&amp;VAR:CALENDAR=US&amp;VAR:SYMBOL=CSX&amp;VAR:INDEX=0"}</definedName>
    <definedName name="_106__FDSAUDITLINK__" hidden="1">{"fdsup://Directions/FactSet Auditing Viewer?action=AUDIT_VALUE&amp;DB=129&amp;ID1=48517030&amp;VALUEID=01001&amp;SDATE=2010&amp;PERIODTYPE=ANN_STD&amp;window=popup_no_bar&amp;width=385&amp;height=120&amp;START_MAXIMIZED=FALSE&amp;creator=factset&amp;display_string=Audit"}</definedName>
    <definedName name="_107__FDSAUDITLINK__" localSheetId="4" hidden="1">{"fdsup://Directions/FactSet Auditing Viewer?action=AUDIT_VALUE&amp;DB=129&amp;ID1=37155910&amp;VALUEID=01001&amp;SDATE=2010&amp;PERIODTYPE=ANN_STD&amp;window=popup_no_bar&amp;width=385&amp;height=120&amp;START_MAXIMIZED=FALSE&amp;creator=factset&amp;display_string=Audit"}</definedName>
    <definedName name="_107__FDSAUDITLINK__" localSheetId="5" hidden="1">{"fdsup://directions/FAT Viewer?action=UPDATE&amp;creator=factset&amp;DYN_ARGS=TRUE&amp;DOC_NAME=FAT:FQL_AUDITING_CLIENT_TEMPLATE.FAT&amp;display_string=Audit&amp;VAR:KEY=WZODSXOHUN&amp;VAR:QUERY=RkZfRUJJVERBKEFOTiwyMDA5KQ==&amp;WINDOW=FIRST_POPUP&amp;HEIGHT=450&amp;WIDTH=450&amp;START_MAXIMIZED=","FALSE&amp;VAR:CALENDAR=US&amp;VAR:SYMBOL=CP&amp;VAR:INDEX=0"}</definedName>
    <definedName name="_107__FDSAUDITLINK__" localSheetId="6" hidden="1">{"fdsup://directions/FAT Viewer?action=UPDATE&amp;creator=factset&amp;DYN_ARGS=TRUE&amp;DOC_NAME=FAT:FQL_AUDITING_CLIENT_TEMPLATE.FAT&amp;display_string=Audit&amp;VAR:KEY=WZODSXOHUN&amp;VAR:QUERY=RkZfRUJJVERBKEFOTiwyMDA5KQ==&amp;WINDOW=FIRST_POPUP&amp;HEIGHT=450&amp;WIDTH=450&amp;START_MAXIMIZED=","FALSE&amp;VAR:CALENDAR=US&amp;VAR:SYMBOL=CP&amp;VAR:INDEX=0"}</definedName>
    <definedName name="_107__FDSAUDITLINK__" hidden="1">{"fdsup://Directions/FactSet Auditing Viewer?action=AUDIT_VALUE&amp;DB=129&amp;ID1=37155910&amp;VALUEID=01001&amp;SDATE=2010&amp;PERIODTYPE=ANN_STD&amp;window=popup_no_bar&amp;width=385&amp;height=120&amp;START_MAXIMIZED=FALSE&amp;creator=factset&amp;display_string=Audit"}</definedName>
    <definedName name="_108__FDSAUDITLINK__" localSheetId="4" hidden="1">{"fdsup://Directions/FactSet Auditing Viewer?action=AUDIT_VALUE&amp;DB=129&amp;ID1=12640810&amp;VALUEID=01001&amp;SDATE=2010&amp;PERIODTYPE=ANN_STD&amp;window=popup_no_bar&amp;width=385&amp;height=120&amp;START_MAXIMIZED=FALSE&amp;creator=factset&amp;display_string=Audit"}</definedName>
    <definedName name="_108__FDSAUDITLINK__" localSheetId="5" hidden="1">{"fdsup://directions/FAT Viewer?action=UPDATE&amp;creator=factset&amp;DYN_ARGS=TRUE&amp;DOC_NAME=FAT:FQL_AUDITING_CLIENT_TEMPLATE.FAT&amp;display_string=Audit&amp;VAR:KEY=AXULYVYRCP&amp;VAR:QUERY=RkZfRUJJVERBKEFOTiwyMDA5KQ==&amp;WINDOW=FIRST_POPUP&amp;HEIGHT=450&amp;WIDTH=450&amp;START_MAXIMIZED=","FALSE&amp;VAR:CALENDAR=US&amp;VAR:SYMBOL=CNI&amp;VAR:INDEX=0"}</definedName>
    <definedName name="_108__FDSAUDITLINK__" localSheetId="6" hidden="1">{"fdsup://directions/FAT Viewer?action=UPDATE&amp;creator=factset&amp;DYN_ARGS=TRUE&amp;DOC_NAME=FAT:FQL_AUDITING_CLIENT_TEMPLATE.FAT&amp;display_string=Audit&amp;VAR:KEY=AXULYVYRCP&amp;VAR:QUERY=RkZfRUJJVERBKEFOTiwyMDA5KQ==&amp;WINDOW=FIRST_POPUP&amp;HEIGHT=450&amp;WIDTH=450&amp;START_MAXIMIZED=","FALSE&amp;VAR:CALENDAR=US&amp;VAR:SYMBOL=CNI&amp;VAR:INDEX=0"}</definedName>
    <definedName name="_108__FDSAUDITLINK__" hidden="1">{"fdsup://Directions/FactSet Auditing Viewer?action=AUDIT_VALUE&amp;DB=129&amp;ID1=12640810&amp;VALUEID=01001&amp;SDATE=2010&amp;PERIODTYPE=ANN_STD&amp;window=popup_no_bar&amp;width=385&amp;height=120&amp;START_MAXIMIZED=FALSE&amp;creator=factset&amp;display_string=Audit"}</definedName>
    <definedName name="_109__FDSAUDITLINK__" localSheetId="4" hidden="1">{"fdsup://directions/FAT Viewer?action=UPDATE&amp;creator=factset&amp;DYN_ARGS=TRUE&amp;DOC_NAME=FAT:FQL_AUDITING_CLIENT_TEMPLATE.FAT&amp;display_string=Audit&amp;VAR:KEY=GFSNGJUZGB&amp;VAR:QUERY=RkZfTkVUX0lOQyhBTk4sMjAxMCk=&amp;WINDOW=FIRST_POPUP&amp;HEIGHT=450&amp;WIDTH=450&amp;START_MAXIMIZED=","FALSE&amp;VAR:CALENDAR=US&amp;VAR:SYMBOL=UNP&amp;VAR:INDEX=0"}</definedName>
    <definedName name="_109__FDSAUDITLINK__" localSheetId="5" hidden="1">{"fdsup://Directions/FactSet Auditing Viewer?action=AUDIT_VALUE&amp;DB=129&amp;ID1=90781810&amp;VALUEID=01250&amp;SDATE=2009&amp;PERIODTYPE=ANN_STD&amp;window=popup_no_bar&amp;width=385&amp;height=120&amp;START_MAXIMIZED=FALSE&amp;creator=factset&amp;display_string=Audit"}</definedName>
    <definedName name="_109__FDSAUDITLINK__" localSheetId="6" hidden="1">{"fdsup://Directions/FactSet Auditing Viewer?action=AUDIT_VALUE&amp;DB=129&amp;ID1=90781810&amp;VALUEID=01250&amp;SDATE=2009&amp;PERIODTYPE=ANN_STD&amp;window=popup_no_bar&amp;width=385&amp;height=120&amp;START_MAXIMIZED=FALSE&amp;creator=factset&amp;display_string=Audit"}</definedName>
    <definedName name="_109__FDSAUDITLINK__" hidden="1">{"fdsup://directions/FAT Viewer?action=UPDATE&amp;creator=factset&amp;DYN_ARGS=TRUE&amp;DOC_NAME=FAT:FQL_AUDITING_CLIENT_TEMPLATE.FAT&amp;display_string=Audit&amp;VAR:KEY=GFSNGJUZGB&amp;VAR:QUERY=RkZfTkVUX0lOQyhBTk4sMjAxMCk=&amp;WINDOW=FIRST_POPUP&amp;HEIGHT=450&amp;WIDTH=450&amp;START_MAXIMIZED=","FALSE&amp;VAR:CALENDAR=US&amp;VAR:SYMBOL=UNP&amp;VAR:INDEX=0"}</definedName>
    <definedName name="_11__FDSAUDITLINK__" localSheetId="4" hidden="1">{"fdsup://directions/FAT Viewer?action=UPDATE&amp;creator=factset&amp;DYN_ARGS=TRUE&amp;DOC_NAME=FAT:FQL_AUDITING_CLIENT_TEMPLATE.FAT&amp;display_string=Audit&amp;VAR:KEY=CBKNWDAHKJ&amp;VAR:QUERY=RkZfRUJJVChBTk4sMjAxMCk=&amp;WINDOW=FIRST_POPUP&amp;HEIGHT=450&amp;WIDTH=450&amp;START_MAXIMIZED=FALS","E&amp;VAR:CALENDAR=US&amp;VAR:SYMBOL=NSC&amp;VAR:INDEX=0"}</definedName>
    <definedName name="_11__FDSAUDITLINK__" localSheetId="5" hidden="1">{"fdsup://Directions/FactSet Auditing Viewer?action=AUDIT_VALUE&amp;DB=129&amp;ID1=37155910&amp;VALUEID=01401&amp;SDATE=2009&amp;PERIODTYPE=ANN_STD&amp;window=popup_no_bar&amp;width=385&amp;height=120&amp;START_MAXIMIZED=FALSE&amp;creator=factset&amp;display_string=Audit"}</definedName>
    <definedName name="_11__FDSAUDITLINK__" localSheetId="6" hidden="1">{"fdsup://Directions/FactSet Auditing Viewer?action=AUDIT_VALUE&amp;DB=129&amp;ID1=37155910&amp;VALUEID=01401&amp;SDATE=2009&amp;PERIODTYPE=ANN_STD&amp;window=popup_no_bar&amp;width=385&amp;height=120&amp;START_MAXIMIZED=FALSE&amp;creator=factset&amp;display_string=Audit"}</definedName>
    <definedName name="_11__FDSAUDITLINK__" hidden="1">{"fdsup://directions/FAT Viewer?action=UPDATE&amp;creator=factset&amp;DYN_ARGS=TRUE&amp;DOC_NAME=FAT:FQL_AUDITING_CLIENT_TEMPLATE.FAT&amp;display_string=Audit&amp;VAR:KEY=CBKNWDAHKJ&amp;VAR:QUERY=RkZfRUJJVChBTk4sMjAxMCk=&amp;WINDOW=FIRST_POPUP&amp;HEIGHT=450&amp;WIDTH=450&amp;START_MAXIMIZED=FALS","E&amp;VAR:CALENDAR=US&amp;VAR:SYMBOL=NSC&amp;VAR:INDEX=0"}</definedName>
    <definedName name="_110__FDSAUDITLINK__" localSheetId="4" hidden="1">{"fdsup://directions/FAT Viewer?action=UPDATE&amp;creator=factset&amp;DYN_ARGS=TRUE&amp;DOC_NAME=FAT:FQL_AUDITING_CLIENT_TEMPLATE.FAT&amp;display_string=Audit&amp;VAR:KEY=CBUFQRWTMN&amp;VAR:QUERY=RkZfTkVUX0lOQyhBTk4sMjAxMCk=&amp;WINDOW=FIRST_POPUP&amp;HEIGHT=450&amp;WIDTH=450&amp;START_MAXIMIZED=","FALSE&amp;VAR:CALENDAR=US&amp;VAR:SYMBOL=RA&amp;VAR:INDEX=0"}</definedName>
    <definedName name="_110__FDSAUDITLINK__" localSheetId="5" hidden="1">{"fdsup://Directions/FactSet Auditing Viewer?action=AUDIT_VALUE&amp;DB=129&amp;ID1=75075340&amp;VALUEID=01250&amp;SDATE=2009&amp;PERIODTYPE=ANN_STD&amp;window=popup_no_bar&amp;width=385&amp;height=120&amp;START_MAXIMIZED=FALSE&amp;creator=factset&amp;display_string=Audit"}</definedName>
    <definedName name="_110__FDSAUDITLINK__" localSheetId="6" hidden="1">{"fdsup://Directions/FactSet Auditing Viewer?action=AUDIT_VALUE&amp;DB=129&amp;ID1=75075340&amp;VALUEID=01250&amp;SDATE=2009&amp;PERIODTYPE=ANN_STD&amp;window=popup_no_bar&amp;width=385&amp;height=120&amp;START_MAXIMIZED=FALSE&amp;creator=factset&amp;display_string=Audit"}</definedName>
    <definedName name="_110__FDSAUDITLINK__" hidden="1">{"fdsup://directions/FAT Viewer?action=UPDATE&amp;creator=factset&amp;DYN_ARGS=TRUE&amp;DOC_NAME=FAT:FQL_AUDITING_CLIENT_TEMPLATE.FAT&amp;display_string=Audit&amp;VAR:KEY=CBUFQRWTMN&amp;VAR:QUERY=RkZfTkVUX0lOQyhBTk4sMjAxMCk=&amp;WINDOW=FIRST_POPUP&amp;HEIGHT=450&amp;WIDTH=450&amp;START_MAXIMIZED=","FALSE&amp;VAR:CALENDAR=US&amp;VAR:SYMBOL=RA&amp;VAR:INDEX=0"}</definedName>
    <definedName name="_111__FDSAUDITLINK__" localSheetId="4" hidden="1">{"fdsup://directions/FAT Viewer?action=UPDATE&amp;creator=factset&amp;DYN_ARGS=TRUE&amp;DOC_NAME=FAT:FQL_AUDITING_CLIENT_TEMPLATE.FAT&amp;display_string=Audit&amp;VAR:KEY=CFMTMNEHCF&amp;VAR:QUERY=RkZfTkVUX0lOQyhBTk4sMjAxMCk=&amp;WINDOW=FIRST_POPUP&amp;HEIGHT=450&amp;WIDTH=450&amp;START_MAXIMIZED=","FALSE&amp;VAR:CALENDAR=US&amp;VAR:SYMBOL=NSC&amp;VAR:INDEX=0"}</definedName>
    <definedName name="_111__FDSAUDITLINK__" localSheetId="5" hidden="1">{"fdsup://Directions/FactSet Auditing Viewer?action=AUDIT_VALUE&amp;DB=129&amp;ID1=65584410&amp;VALUEID=01250&amp;SDATE=2009&amp;PERIODTYPE=ANN_STD&amp;window=popup_no_bar&amp;width=385&amp;height=120&amp;START_MAXIMIZED=FALSE&amp;creator=factset&amp;display_string=Audit"}</definedName>
    <definedName name="_111__FDSAUDITLINK__" localSheetId="6" hidden="1">{"fdsup://Directions/FactSet Auditing Viewer?action=AUDIT_VALUE&amp;DB=129&amp;ID1=65584410&amp;VALUEID=01250&amp;SDATE=2009&amp;PERIODTYPE=ANN_STD&amp;window=popup_no_bar&amp;width=385&amp;height=120&amp;START_MAXIMIZED=FALSE&amp;creator=factset&amp;display_string=Audit"}</definedName>
    <definedName name="_111__FDSAUDITLINK__" hidden="1">{"fdsup://directions/FAT Viewer?action=UPDATE&amp;creator=factset&amp;DYN_ARGS=TRUE&amp;DOC_NAME=FAT:FQL_AUDITING_CLIENT_TEMPLATE.FAT&amp;display_string=Audit&amp;VAR:KEY=CFMTMNEHCF&amp;VAR:QUERY=RkZfTkVUX0lOQyhBTk4sMjAxMCk=&amp;WINDOW=FIRST_POPUP&amp;HEIGHT=450&amp;WIDTH=450&amp;START_MAXIMIZED=","FALSE&amp;VAR:CALENDAR=US&amp;VAR:SYMBOL=NSC&amp;VAR:INDEX=0"}</definedName>
    <definedName name="_112__FDSAUDITLINK__" localSheetId="4" hidden="1">{"fdsup://directions/FAT Viewer?action=UPDATE&amp;creator=factset&amp;DYN_ARGS=TRUE&amp;DOC_NAME=FAT:FQL_AUDITING_CLIENT_TEMPLATE.FAT&amp;display_string=Audit&amp;VAR:KEY=EPWDAVAVWL&amp;VAR:QUERY=RkZfTkVUX0lOQyhBTk4sMjAxMCk=&amp;WINDOW=FIRST_POPUP&amp;HEIGHT=450&amp;WIDTH=450&amp;START_MAXIMIZED=","FALSE&amp;VAR:CALENDAR=US&amp;VAR:SYMBOL=KSU&amp;VAR:INDEX=0"}</definedName>
    <definedName name="_112__FDSAUDITLINK__" localSheetId="5" hidden="1">{"fdsup://Directions/FactSet Auditing Viewer?action=AUDIT_VALUE&amp;DB=129&amp;ID1=48517030&amp;VALUEID=01250&amp;SDATE=2009&amp;PERIODTYPE=ANN_STD&amp;window=popup_no_bar&amp;width=385&amp;height=120&amp;START_MAXIMIZED=FALSE&amp;creator=factset&amp;display_string=Audit"}</definedName>
    <definedName name="_112__FDSAUDITLINK__" localSheetId="6" hidden="1">{"fdsup://Directions/FactSet Auditing Viewer?action=AUDIT_VALUE&amp;DB=129&amp;ID1=48517030&amp;VALUEID=01250&amp;SDATE=2009&amp;PERIODTYPE=ANN_STD&amp;window=popup_no_bar&amp;width=385&amp;height=120&amp;START_MAXIMIZED=FALSE&amp;creator=factset&amp;display_string=Audit"}</definedName>
    <definedName name="_112__FDSAUDITLINK__" hidden="1">{"fdsup://directions/FAT Viewer?action=UPDATE&amp;creator=factset&amp;DYN_ARGS=TRUE&amp;DOC_NAME=FAT:FQL_AUDITING_CLIENT_TEMPLATE.FAT&amp;display_string=Audit&amp;VAR:KEY=EPWDAVAVWL&amp;VAR:QUERY=RkZfTkVUX0lOQyhBTk4sMjAxMCk=&amp;WINDOW=FIRST_POPUP&amp;HEIGHT=450&amp;WIDTH=450&amp;START_MAXIMIZED=","FALSE&amp;VAR:CALENDAR=US&amp;VAR:SYMBOL=KSU&amp;VAR:INDEX=0"}</definedName>
    <definedName name="_113__FDSAUDITLINK__" localSheetId="4" hidden="1">{"fdsup://directions/FAT Viewer?action=UPDATE&amp;creator=factset&amp;DYN_ARGS=TRUE&amp;DOC_NAME=FAT:FQL_AUDITING_CLIENT_TEMPLATE.FAT&amp;display_string=Audit&amp;VAR:KEY=ENALIHQZUJ&amp;VAR:QUERY=RkZfTkVUX0lOQyhBTk4sMjAxMCk=&amp;WINDOW=FIRST_POPUP&amp;HEIGHT=450&amp;WIDTH=450&amp;START_MAXIMIZED=","FALSE&amp;VAR:CALENDAR=US&amp;VAR:SYMBOL=GWR&amp;VAR:INDEX=0"}</definedName>
    <definedName name="_113__FDSAUDITLINK__" localSheetId="5" hidden="1">{"fdsup://Directions/FactSet Auditing Viewer?action=AUDIT_VALUE&amp;DB=129&amp;ID1=37155910&amp;VALUEID=01250&amp;SDATE=2009&amp;PERIODTYPE=ANN_STD&amp;window=popup_no_bar&amp;width=385&amp;height=120&amp;START_MAXIMIZED=FALSE&amp;creator=factset&amp;display_string=Audit"}</definedName>
    <definedName name="_113__FDSAUDITLINK__" localSheetId="6" hidden="1">{"fdsup://Directions/FactSet Auditing Viewer?action=AUDIT_VALUE&amp;DB=129&amp;ID1=37155910&amp;VALUEID=01250&amp;SDATE=2009&amp;PERIODTYPE=ANN_STD&amp;window=popup_no_bar&amp;width=385&amp;height=120&amp;START_MAXIMIZED=FALSE&amp;creator=factset&amp;display_string=Audit"}</definedName>
    <definedName name="_113__FDSAUDITLINK__" hidden="1">{"fdsup://directions/FAT Viewer?action=UPDATE&amp;creator=factset&amp;DYN_ARGS=TRUE&amp;DOC_NAME=FAT:FQL_AUDITING_CLIENT_TEMPLATE.FAT&amp;display_string=Audit&amp;VAR:KEY=ENALIHQZUJ&amp;VAR:QUERY=RkZfTkVUX0lOQyhBTk4sMjAxMCk=&amp;WINDOW=FIRST_POPUP&amp;HEIGHT=450&amp;WIDTH=450&amp;START_MAXIMIZED=","FALSE&amp;VAR:CALENDAR=US&amp;VAR:SYMBOL=GWR&amp;VAR:INDEX=0"}</definedName>
    <definedName name="_114__FDSAUDITLINK__" localSheetId="4" hidden="1">{"fdsup://directions/FAT Viewer?action=UPDATE&amp;creator=factset&amp;DYN_ARGS=TRUE&amp;DOC_NAME=FAT:FQL_AUDITING_CLIENT_TEMPLATE.FAT&amp;display_string=Audit&amp;VAR:KEY=EFKFOZQBKX&amp;VAR:QUERY=RkZfTkVUX0lOQyhBTk4sMjAxMCk=&amp;WINDOW=FIRST_POPUP&amp;HEIGHT=450&amp;WIDTH=450&amp;START_MAXIMIZED=","FALSE&amp;VAR:CALENDAR=US&amp;VAR:SYMBOL=CSX&amp;VAR:INDEX=0"}</definedName>
    <definedName name="_114__FDSAUDITLINK__" localSheetId="5" hidden="1">{"fdsup://Directions/FactSet Auditing Viewer?action=AUDIT_VALUE&amp;DB=129&amp;ID1=12640810&amp;VALUEID=01250&amp;SDATE=2009&amp;PERIODTYPE=ANN_STD&amp;window=popup_no_bar&amp;width=385&amp;height=120&amp;START_MAXIMIZED=FALSE&amp;creator=factset&amp;display_string=Audit"}</definedName>
    <definedName name="_114__FDSAUDITLINK__" localSheetId="6" hidden="1">{"fdsup://Directions/FactSet Auditing Viewer?action=AUDIT_VALUE&amp;DB=129&amp;ID1=12640810&amp;VALUEID=01250&amp;SDATE=2009&amp;PERIODTYPE=ANN_STD&amp;window=popup_no_bar&amp;width=385&amp;height=120&amp;START_MAXIMIZED=FALSE&amp;creator=factset&amp;display_string=Audit"}</definedName>
    <definedName name="_114__FDSAUDITLINK__" hidden="1">{"fdsup://directions/FAT Viewer?action=UPDATE&amp;creator=factset&amp;DYN_ARGS=TRUE&amp;DOC_NAME=FAT:FQL_AUDITING_CLIENT_TEMPLATE.FAT&amp;display_string=Audit&amp;VAR:KEY=EFKFOZQBKX&amp;VAR:QUERY=RkZfTkVUX0lOQyhBTk4sMjAxMCk=&amp;WINDOW=FIRST_POPUP&amp;HEIGHT=450&amp;WIDTH=450&amp;START_MAXIMIZED=","FALSE&amp;VAR:CALENDAR=US&amp;VAR:SYMBOL=CSX&amp;VAR:INDEX=0"}</definedName>
    <definedName name="_115__FDSAUDITLINK__" localSheetId="4" hidden="1">{"fdsup://directions/FAT Viewer?action=UPDATE&amp;creator=factset&amp;DYN_ARGS=TRUE&amp;DOC_NAME=FAT:FQL_AUDITING_CLIENT_TEMPLATE.FAT&amp;display_string=Audit&amp;VAR:KEY=OZKRUNWHIL&amp;VAR:QUERY=RkZfTkVUX0lOQyhBTk4sMjAxMCk=&amp;WINDOW=FIRST_POPUP&amp;HEIGHT=450&amp;WIDTH=450&amp;START_MAXIMIZED=","FALSE&amp;VAR:CALENDAR=US&amp;VAR:SYMBOL=CP&amp;VAR:INDEX=0"}</definedName>
    <definedName name="_115__FDSAUDITLINK__" localSheetId="5" hidden="1">{"fdsup://Directions/FactSet Auditing Viewer?action=AUDIT_VALUE&amp;DB=129&amp;ID1=90781810&amp;VALUEID=01001&amp;SDATE=2009&amp;PERIODTYPE=ANN_STD&amp;window=popup_no_bar&amp;width=385&amp;height=120&amp;START_MAXIMIZED=FALSE&amp;creator=factset&amp;display_string=Audit"}</definedName>
    <definedName name="_115__FDSAUDITLINK__" localSheetId="6" hidden="1">{"fdsup://Directions/FactSet Auditing Viewer?action=AUDIT_VALUE&amp;DB=129&amp;ID1=90781810&amp;VALUEID=01001&amp;SDATE=2009&amp;PERIODTYPE=ANN_STD&amp;window=popup_no_bar&amp;width=385&amp;height=120&amp;START_MAXIMIZED=FALSE&amp;creator=factset&amp;display_string=Audit"}</definedName>
    <definedName name="_115__FDSAUDITLINK__" hidden="1">{"fdsup://directions/FAT Viewer?action=UPDATE&amp;creator=factset&amp;DYN_ARGS=TRUE&amp;DOC_NAME=FAT:FQL_AUDITING_CLIENT_TEMPLATE.FAT&amp;display_string=Audit&amp;VAR:KEY=OZKRUNWHIL&amp;VAR:QUERY=RkZfTkVUX0lOQyhBTk4sMjAxMCk=&amp;WINDOW=FIRST_POPUP&amp;HEIGHT=450&amp;WIDTH=450&amp;START_MAXIMIZED=","FALSE&amp;VAR:CALENDAR=US&amp;VAR:SYMBOL=CP&amp;VAR:INDEX=0"}</definedName>
    <definedName name="_116__FDSAUDITLINK__" localSheetId="4" hidden="1">{"fdsup://directions/FAT Viewer?action=UPDATE&amp;creator=factset&amp;DYN_ARGS=TRUE&amp;DOC_NAME=FAT:FQL_AUDITING_CLIENT_TEMPLATE.FAT&amp;display_string=Audit&amp;VAR:KEY=QPUPARQXUX&amp;VAR:QUERY=RkZfTkVUX0lOQyhBTk4sMjAxMCk=&amp;WINDOW=FIRST_POPUP&amp;HEIGHT=450&amp;WIDTH=450&amp;START_MAXIMIZED=","FALSE&amp;VAR:CALENDAR=US&amp;VAR:SYMBOL=CNI&amp;VAR:INDEX=0"}</definedName>
    <definedName name="_116__FDSAUDITLINK__" localSheetId="5" hidden="1">{"fdsup://Directions/FactSet Auditing Viewer?action=AUDIT_VALUE&amp;DB=129&amp;ID1=75075340&amp;VALUEID=01001&amp;SDATE=2009&amp;PERIODTYPE=ANN_STD&amp;window=popup_no_bar&amp;width=385&amp;height=120&amp;START_MAXIMIZED=FALSE&amp;creator=factset&amp;display_string=Audit"}</definedName>
    <definedName name="_116__FDSAUDITLINK__" localSheetId="6" hidden="1">{"fdsup://Directions/FactSet Auditing Viewer?action=AUDIT_VALUE&amp;DB=129&amp;ID1=75075340&amp;VALUEID=01001&amp;SDATE=2009&amp;PERIODTYPE=ANN_STD&amp;window=popup_no_bar&amp;width=385&amp;height=120&amp;START_MAXIMIZED=FALSE&amp;creator=factset&amp;display_string=Audit"}</definedName>
    <definedName name="_116__FDSAUDITLINK__" hidden="1">{"fdsup://directions/FAT Viewer?action=UPDATE&amp;creator=factset&amp;DYN_ARGS=TRUE&amp;DOC_NAME=FAT:FQL_AUDITING_CLIENT_TEMPLATE.FAT&amp;display_string=Audit&amp;VAR:KEY=QPUPARQXUX&amp;VAR:QUERY=RkZfTkVUX0lOQyhBTk4sMjAxMCk=&amp;WINDOW=FIRST_POPUP&amp;HEIGHT=450&amp;WIDTH=450&amp;START_MAXIMIZED=","FALSE&amp;VAR:CALENDAR=US&amp;VAR:SYMBOL=CNI&amp;VAR:INDEX=0"}</definedName>
    <definedName name="_117__FDSAUDITLINK__" localSheetId="4" hidden="1">{"fdsup://Directions/FactSet Auditing Viewer?action=AUDIT_VALUE&amp;DB=129&amp;ID1=90781810&amp;VALUEID=01250&amp;SDATE=2010&amp;PERIODTYPE=ANN_STD&amp;window=popup_no_bar&amp;width=385&amp;height=120&amp;START_MAXIMIZED=FALSE&amp;creator=factset&amp;display_string=Audit"}</definedName>
    <definedName name="_117__FDSAUDITLINK__" localSheetId="5" hidden="1">{"fdsup://Directions/FactSet Auditing Viewer?action=AUDIT_VALUE&amp;DB=129&amp;ID1=65584410&amp;VALUEID=01001&amp;SDATE=2009&amp;PERIODTYPE=ANN_STD&amp;window=popup_no_bar&amp;width=385&amp;height=120&amp;START_MAXIMIZED=FALSE&amp;creator=factset&amp;display_string=Audit"}</definedName>
    <definedName name="_117__FDSAUDITLINK__" localSheetId="6" hidden="1">{"fdsup://Directions/FactSet Auditing Viewer?action=AUDIT_VALUE&amp;DB=129&amp;ID1=65584410&amp;VALUEID=01001&amp;SDATE=2009&amp;PERIODTYPE=ANN_STD&amp;window=popup_no_bar&amp;width=385&amp;height=120&amp;START_MAXIMIZED=FALSE&amp;creator=factset&amp;display_string=Audit"}</definedName>
    <definedName name="_117__FDSAUDITLINK__" hidden="1">{"fdsup://Directions/FactSet Auditing Viewer?action=AUDIT_VALUE&amp;DB=129&amp;ID1=90781810&amp;VALUEID=01250&amp;SDATE=2010&amp;PERIODTYPE=ANN_STD&amp;window=popup_no_bar&amp;width=385&amp;height=120&amp;START_MAXIMIZED=FALSE&amp;creator=factset&amp;display_string=Audit"}</definedName>
    <definedName name="_118__FDSAUDITLINK__" localSheetId="4" hidden="1">{"fdsup://Directions/FactSet Auditing Viewer?action=AUDIT_VALUE&amp;DB=129&amp;ID1=75075340&amp;VALUEID=01250&amp;SDATE=2010&amp;PERIODTYPE=ANN_STD&amp;window=popup_no_bar&amp;width=385&amp;height=120&amp;START_MAXIMIZED=FALSE&amp;creator=factset&amp;display_string=Audit"}</definedName>
    <definedName name="_118__FDSAUDITLINK__" localSheetId="5" hidden="1">{"fdsup://Directions/FactSet Auditing Viewer?action=AUDIT_VALUE&amp;DB=129&amp;ID1=48517030&amp;VALUEID=01001&amp;SDATE=2009&amp;PERIODTYPE=ANN_STD&amp;window=popup_no_bar&amp;width=385&amp;height=120&amp;START_MAXIMIZED=FALSE&amp;creator=factset&amp;display_string=Audit"}</definedName>
    <definedName name="_118__FDSAUDITLINK__" localSheetId="6" hidden="1">{"fdsup://Directions/FactSet Auditing Viewer?action=AUDIT_VALUE&amp;DB=129&amp;ID1=48517030&amp;VALUEID=01001&amp;SDATE=2009&amp;PERIODTYPE=ANN_STD&amp;window=popup_no_bar&amp;width=385&amp;height=120&amp;START_MAXIMIZED=FALSE&amp;creator=factset&amp;display_string=Audit"}</definedName>
    <definedName name="_118__FDSAUDITLINK__" hidden="1">{"fdsup://Directions/FactSet Auditing Viewer?action=AUDIT_VALUE&amp;DB=129&amp;ID1=75075340&amp;VALUEID=01250&amp;SDATE=2010&amp;PERIODTYPE=ANN_STD&amp;window=popup_no_bar&amp;width=385&amp;height=120&amp;START_MAXIMIZED=FALSE&amp;creator=factset&amp;display_string=Audit"}</definedName>
    <definedName name="_119__FDSAUDITLINK__" localSheetId="4" hidden="1">{"fdsup://Directions/FactSet Auditing Viewer?action=AUDIT_VALUE&amp;DB=129&amp;ID1=65584410&amp;VALUEID=01250&amp;SDATE=2010&amp;PERIODTYPE=ANN_STD&amp;window=popup_no_bar&amp;width=385&amp;height=120&amp;START_MAXIMIZED=FALSE&amp;creator=factset&amp;display_string=Audit"}</definedName>
    <definedName name="_119__FDSAUDITLINK__" localSheetId="5" hidden="1">{"fdsup://Directions/FactSet Auditing Viewer?action=AUDIT_VALUE&amp;DB=129&amp;ID1=37155910&amp;VALUEID=01001&amp;SDATE=2009&amp;PERIODTYPE=ANN_STD&amp;window=popup_no_bar&amp;width=385&amp;height=120&amp;START_MAXIMIZED=FALSE&amp;creator=factset&amp;display_string=Audit"}</definedName>
    <definedName name="_119__FDSAUDITLINK__" localSheetId="6" hidden="1">{"fdsup://Directions/FactSet Auditing Viewer?action=AUDIT_VALUE&amp;DB=129&amp;ID1=37155910&amp;VALUEID=01001&amp;SDATE=2009&amp;PERIODTYPE=ANN_STD&amp;window=popup_no_bar&amp;width=385&amp;height=120&amp;START_MAXIMIZED=FALSE&amp;creator=factset&amp;display_string=Audit"}</definedName>
    <definedName name="_119__FDSAUDITLINK__" hidden="1">{"fdsup://Directions/FactSet Auditing Viewer?action=AUDIT_VALUE&amp;DB=129&amp;ID1=65584410&amp;VALUEID=01250&amp;SDATE=2010&amp;PERIODTYPE=ANN_STD&amp;window=popup_no_bar&amp;width=385&amp;height=120&amp;START_MAXIMIZED=FALSE&amp;creator=factset&amp;display_string=Audit"}</definedName>
    <definedName name="_12__FDSAUDITLINK__" localSheetId="4" hidden="1">{"fdsup://directions/FAT Viewer?action=UPDATE&amp;creator=factset&amp;DYN_ARGS=TRUE&amp;DOC_NAME=FAT:FQL_AUDITING_CLIENT_TEMPLATE.FAT&amp;display_string=Audit&amp;VAR:KEY=KPODUPWHYR&amp;VAR:QUERY=RkZfRUJJVChBTk4sMjAxMCk=&amp;WINDOW=FIRST_POPUP&amp;HEIGHT=450&amp;WIDTH=450&amp;START_MAXIMIZED=FALS","E&amp;VAR:CALENDAR=US&amp;VAR:SYMBOL=KSU&amp;VAR:INDEX=0"}</definedName>
    <definedName name="_12__FDSAUDITLINK__" localSheetId="5" hidden="1">{"fdsup://Directions/FactSet Auditing Viewer?action=AUDIT_VALUE&amp;DB=129&amp;ID1=12640810&amp;VALUEID=01401&amp;SDATE=2009&amp;PERIODTYPE=ANN_STD&amp;window=popup_no_bar&amp;width=385&amp;height=120&amp;START_MAXIMIZED=FALSE&amp;creator=factset&amp;display_string=Audit"}</definedName>
    <definedName name="_12__FDSAUDITLINK__" localSheetId="6" hidden="1">{"fdsup://Directions/FactSet Auditing Viewer?action=AUDIT_VALUE&amp;DB=129&amp;ID1=12640810&amp;VALUEID=01401&amp;SDATE=2009&amp;PERIODTYPE=ANN_STD&amp;window=popup_no_bar&amp;width=385&amp;height=120&amp;START_MAXIMIZED=FALSE&amp;creator=factset&amp;display_string=Audit"}</definedName>
    <definedName name="_12__FDSAUDITLINK__" hidden="1">{"fdsup://directions/FAT Viewer?action=UPDATE&amp;creator=factset&amp;DYN_ARGS=TRUE&amp;DOC_NAME=FAT:FQL_AUDITING_CLIENT_TEMPLATE.FAT&amp;display_string=Audit&amp;VAR:KEY=KPODUPWHYR&amp;VAR:QUERY=RkZfRUJJVChBTk4sMjAxMCk=&amp;WINDOW=FIRST_POPUP&amp;HEIGHT=450&amp;WIDTH=450&amp;START_MAXIMIZED=FALS","E&amp;VAR:CALENDAR=US&amp;VAR:SYMBOL=KSU&amp;VAR:INDEX=0"}</definedName>
    <definedName name="_120__FDSAUDITLINK__" localSheetId="4" hidden="1">{"fdsup://Directions/FactSet Auditing Viewer?action=AUDIT_VALUE&amp;DB=129&amp;ID1=48517030&amp;VALUEID=01250&amp;SDATE=2010&amp;PERIODTYPE=ANN_STD&amp;window=popup_no_bar&amp;width=385&amp;height=120&amp;START_MAXIMIZED=FALSE&amp;creator=factset&amp;display_string=Audit"}</definedName>
    <definedName name="_120__FDSAUDITLINK__" localSheetId="5" hidden="1">{"fdsup://Directions/FactSet Auditing Viewer?action=AUDIT_VALUE&amp;DB=129&amp;ID1=12640810&amp;VALUEID=01001&amp;SDATE=2009&amp;PERIODTYPE=ANN_STD&amp;window=popup_no_bar&amp;width=385&amp;height=120&amp;START_MAXIMIZED=FALSE&amp;creator=factset&amp;display_string=Audit"}</definedName>
    <definedName name="_120__FDSAUDITLINK__" localSheetId="6" hidden="1">{"fdsup://Directions/FactSet Auditing Viewer?action=AUDIT_VALUE&amp;DB=129&amp;ID1=12640810&amp;VALUEID=01001&amp;SDATE=2009&amp;PERIODTYPE=ANN_STD&amp;window=popup_no_bar&amp;width=385&amp;height=120&amp;START_MAXIMIZED=FALSE&amp;creator=factset&amp;display_string=Audit"}</definedName>
    <definedName name="_120__FDSAUDITLINK__" hidden="1">{"fdsup://Directions/FactSet Auditing Viewer?action=AUDIT_VALUE&amp;DB=129&amp;ID1=48517030&amp;VALUEID=01250&amp;SDATE=2010&amp;PERIODTYPE=ANN_STD&amp;window=popup_no_bar&amp;width=385&amp;height=120&amp;START_MAXIMIZED=FALSE&amp;creator=factset&amp;display_string=Audit"}</definedName>
    <definedName name="_121__FDSAUDITLINK__" localSheetId="4" hidden="1">{"fdsup://Directions/FactSet Auditing Viewer?action=AUDIT_VALUE&amp;DB=129&amp;ID1=37155910&amp;VALUEID=01250&amp;SDATE=2010&amp;PERIODTYPE=ANN_STD&amp;window=popup_no_bar&amp;width=385&amp;height=120&amp;START_MAXIMIZED=FALSE&amp;creator=factset&amp;display_string=Audit"}</definedName>
    <definedName name="_121__FDSAUDITLINK__" localSheetId="5" hidden="1">{"fdsup://directions/FAT Viewer?action=UPDATE&amp;creator=factset&amp;DYN_ARGS=TRUE&amp;DOC_NAME=FAT:FQL_AUDITING_CLIENT_TEMPLATE.FAT&amp;display_string=Audit&amp;VAR:KEY=ANGBAXMJIR&amp;VAR:QUERY=RkZfTkVUX0lOQyhBTk4sMjAwOSk=&amp;WINDOW=FIRST_POPUP&amp;HEIGHT=450&amp;WIDTH=450&amp;START_MAXIMIZED=","FALSE&amp;VAR:CALENDAR=US&amp;VAR:SYMBOL=UNP&amp;VAR:INDEX=0"}</definedName>
    <definedName name="_121__FDSAUDITLINK__" localSheetId="6" hidden="1">{"fdsup://directions/FAT Viewer?action=UPDATE&amp;creator=factset&amp;DYN_ARGS=TRUE&amp;DOC_NAME=FAT:FQL_AUDITING_CLIENT_TEMPLATE.FAT&amp;display_string=Audit&amp;VAR:KEY=ANGBAXMJIR&amp;VAR:QUERY=RkZfTkVUX0lOQyhBTk4sMjAwOSk=&amp;WINDOW=FIRST_POPUP&amp;HEIGHT=450&amp;WIDTH=450&amp;START_MAXIMIZED=","FALSE&amp;VAR:CALENDAR=US&amp;VAR:SYMBOL=UNP&amp;VAR:INDEX=0"}</definedName>
    <definedName name="_121__FDSAUDITLINK__" hidden="1">{"fdsup://Directions/FactSet Auditing Viewer?action=AUDIT_VALUE&amp;DB=129&amp;ID1=37155910&amp;VALUEID=01250&amp;SDATE=2010&amp;PERIODTYPE=ANN_STD&amp;window=popup_no_bar&amp;width=385&amp;height=120&amp;START_MAXIMIZED=FALSE&amp;creator=factset&amp;display_string=Audit"}</definedName>
    <definedName name="_122__FDSAUDITLINK__" localSheetId="4" hidden="1">{"fdsup://Directions/FactSet Auditing Viewer?action=AUDIT_VALUE&amp;DB=129&amp;ID1=12640810&amp;VALUEID=01250&amp;SDATE=2010&amp;PERIODTYPE=ANN_STD&amp;window=popup_no_bar&amp;width=385&amp;height=120&amp;START_MAXIMIZED=FALSE&amp;creator=factset&amp;display_string=Audit"}</definedName>
    <definedName name="_122__FDSAUDITLINK__" localSheetId="5" hidden="1">{"fdsup://directions/FAT Viewer?action=UPDATE&amp;creator=factset&amp;DYN_ARGS=TRUE&amp;DOC_NAME=FAT:FQL_AUDITING_CLIENT_TEMPLATE.FAT&amp;display_string=Audit&amp;VAR:KEY=WRKHEPUPKH&amp;VAR:QUERY=RkZfTkVUX0lOQyhBTk4sMjAwOSk=&amp;WINDOW=FIRST_POPUP&amp;HEIGHT=450&amp;WIDTH=450&amp;START_MAXIMIZED=","FALSE&amp;VAR:CALENDAR=US&amp;VAR:SYMBOL=RA&amp;VAR:INDEX=0"}</definedName>
    <definedName name="_122__FDSAUDITLINK__" localSheetId="6" hidden="1">{"fdsup://directions/FAT Viewer?action=UPDATE&amp;creator=factset&amp;DYN_ARGS=TRUE&amp;DOC_NAME=FAT:FQL_AUDITING_CLIENT_TEMPLATE.FAT&amp;display_string=Audit&amp;VAR:KEY=WRKHEPUPKH&amp;VAR:QUERY=RkZfTkVUX0lOQyhBTk4sMjAwOSk=&amp;WINDOW=FIRST_POPUP&amp;HEIGHT=450&amp;WIDTH=450&amp;START_MAXIMIZED=","FALSE&amp;VAR:CALENDAR=US&amp;VAR:SYMBOL=RA&amp;VAR:INDEX=0"}</definedName>
    <definedName name="_122__FDSAUDITLINK__" hidden="1">{"fdsup://Directions/FactSet Auditing Viewer?action=AUDIT_VALUE&amp;DB=129&amp;ID1=12640810&amp;VALUEID=01250&amp;SDATE=2010&amp;PERIODTYPE=ANN_STD&amp;window=popup_no_bar&amp;width=385&amp;height=120&amp;START_MAXIMIZED=FALSE&amp;creator=factset&amp;display_string=Audit"}</definedName>
    <definedName name="_123__FDSAUDITLINK__" localSheetId="4" hidden="1">{"fdsup://Directions/FactSet Auditing Viewer?action=AUDIT_VALUE&amp;DB=129&amp;ID1=90781810&amp;VALUEID=01001&amp;SDATE=2010&amp;PERIODTYPE=ANN_STD&amp;window=popup_no_bar&amp;width=385&amp;height=120&amp;START_MAXIMIZED=FALSE&amp;creator=factset&amp;display_string=Audit"}</definedName>
    <definedName name="_123__FDSAUDITLINK__" localSheetId="5" hidden="1">{"fdsup://directions/FAT Viewer?action=UPDATE&amp;creator=factset&amp;DYN_ARGS=TRUE&amp;DOC_NAME=FAT:FQL_AUDITING_CLIENT_TEMPLATE.FAT&amp;display_string=Audit&amp;VAR:KEY=CJYJWBARGH&amp;VAR:QUERY=RkZfTkVUX0lOQyhBTk4sMjAwOSk=&amp;WINDOW=FIRST_POPUP&amp;HEIGHT=450&amp;WIDTH=450&amp;START_MAXIMIZED=","FALSE&amp;VAR:CALENDAR=US&amp;VAR:SYMBOL=NSC&amp;VAR:INDEX=0"}</definedName>
    <definedName name="_123__FDSAUDITLINK__" localSheetId="6" hidden="1">{"fdsup://directions/FAT Viewer?action=UPDATE&amp;creator=factset&amp;DYN_ARGS=TRUE&amp;DOC_NAME=FAT:FQL_AUDITING_CLIENT_TEMPLATE.FAT&amp;display_string=Audit&amp;VAR:KEY=CJYJWBARGH&amp;VAR:QUERY=RkZfTkVUX0lOQyhBTk4sMjAwOSk=&amp;WINDOW=FIRST_POPUP&amp;HEIGHT=450&amp;WIDTH=450&amp;START_MAXIMIZED=","FALSE&amp;VAR:CALENDAR=US&amp;VAR:SYMBOL=NSC&amp;VAR:INDEX=0"}</definedName>
    <definedName name="_123__FDSAUDITLINK__" hidden="1">{"fdsup://Directions/FactSet Auditing Viewer?action=AUDIT_VALUE&amp;DB=129&amp;ID1=90781810&amp;VALUEID=01001&amp;SDATE=2010&amp;PERIODTYPE=ANN_STD&amp;window=popup_no_bar&amp;width=385&amp;height=120&amp;START_MAXIMIZED=FALSE&amp;creator=factset&amp;display_string=Audit"}</definedName>
    <definedName name="_124__FDSAUDITLINK__" localSheetId="4" hidden="1">{"fdsup://Directions/FactSet Auditing Viewer?action=AUDIT_VALUE&amp;DB=129&amp;ID1=75075340&amp;VALUEID=01001&amp;SDATE=2010&amp;PERIODTYPE=ANN_STD&amp;window=popup_no_bar&amp;width=385&amp;height=120&amp;START_MAXIMIZED=FALSE&amp;creator=factset&amp;display_string=Audit"}</definedName>
    <definedName name="_124__FDSAUDITLINK__" localSheetId="5" hidden="1">{"fdsup://directions/FAT Viewer?action=UPDATE&amp;creator=factset&amp;DYN_ARGS=TRUE&amp;DOC_NAME=FAT:FQL_AUDITING_CLIENT_TEMPLATE.FAT&amp;display_string=Audit&amp;VAR:KEY=GJCZAPULOX&amp;VAR:QUERY=RkZfTkVUX0lOQyhBTk4sMjAwOSk=&amp;WINDOW=FIRST_POPUP&amp;HEIGHT=450&amp;WIDTH=450&amp;START_MAXIMIZED=","FALSE&amp;VAR:CALENDAR=US&amp;VAR:SYMBOL=KSU&amp;VAR:INDEX=0"}</definedName>
    <definedName name="_124__FDSAUDITLINK__" localSheetId="6" hidden="1">{"fdsup://directions/FAT Viewer?action=UPDATE&amp;creator=factset&amp;DYN_ARGS=TRUE&amp;DOC_NAME=FAT:FQL_AUDITING_CLIENT_TEMPLATE.FAT&amp;display_string=Audit&amp;VAR:KEY=GJCZAPULOX&amp;VAR:QUERY=RkZfTkVUX0lOQyhBTk4sMjAwOSk=&amp;WINDOW=FIRST_POPUP&amp;HEIGHT=450&amp;WIDTH=450&amp;START_MAXIMIZED=","FALSE&amp;VAR:CALENDAR=US&amp;VAR:SYMBOL=KSU&amp;VAR:INDEX=0"}</definedName>
    <definedName name="_124__FDSAUDITLINK__" hidden="1">{"fdsup://Directions/FactSet Auditing Viewer?action=AUDIT_VALUE&amp;DB=129&amp;ID1=75075340&amp;VALUEID=01001&amp;SDATE=2010&amp;PERIODTYPE=ANN_STD&amp;window=popup_no_bar&amp;width=385&amp;height=120&amp;START_MAXIMIZED=FALSE&amp;creator=factset&amp;display_string=Audit"}</definedName>
    <definedName name="_125__FDSAUDITLINK__" localSheetId="4" hidden="1">{"fdsup://Directions/FactSet Auditing Viewer?action=AUDIT_VALUE&amp;DB=129&amp;ID1=65584410&amp;VALUEID=01001&amp;SDATE=2010&amp;PERIODTYPE=ANN_STD&amp;window=popup_no_bar&amp;width=385&amp;height=120&amp;START_MAXIMIZED=FALSE&amp;creator=factset&amp;display_string=Audit"}</definedName>
    <definedName name="_125__FDSAUDITLINK__" localSheetId="5" hidden="1">{"fdsup://directions/FAT Viewer?action=UPDATE&amp;creator=factset&amp;DYN_ARGS=TRUE&amp;DOC_NAME=FAT:FQL_AUDITING_CLIENT_TEMPLATE.FAT&amp;display_string=Audit&amp;VAR:KEY=WXAHGFODMX&amp;VAR:QUERY=RkZfTkVUX0lOQyhBTk4sMjAwOSk=&amp;WINDOW=FIRST_POPUP&amp;HEIGHT=450&amp;WIDTH=450&amp;START_MAXIMIZED=","FALSE&amp;VAR:CALENDAR=US&amp;VAR:SYMBOL=GWR&amp;VAR:INDEX=0"}</definedName>
    <definedName name="_125__FDSAUDITLINK__" localSheetId="6" hidden="1">{"fdsup://directions/FAT Viewer?action=UPDATE&amp;creator=factset&amp;DYN_ARGS=TRUE&amp;DOC_NAME=FAT:FQL_AUDITING_CLIENT_TEMPLATE.FAT&amp;display_string=Audit&amp;VAR:KEY=WXAHGFODMX&amp;VAR:QUERY=RkZfTkVUX0lOQyhBTk4sMjAwOSk=&amp;WINDOW=FIRST_POPUP&amp;HEIGHT=450&amp;WIDTH=450&amp;START_MAXIMIZED=","FALSE&amp;VAR:CALENDAR=US&amp;VAR:SYMBOL=GWR&amp;VAR:INDEX=0"}</definedName>
    <definedName name="_125__FDSAUDITLINK__" hidden="1">{"fdsup://Directions/FactSet Auditing Viewer?action=AUDIT_VALUE&amp;DB=129&amp;ID1=65584410&amp;VALUEID=01001&amp;SDATE=2010&amp;PERIODTYPE=ANN_STD&amp;window=popup_no_bar&amp;width=385&amp;height=120&amp;START_MAXIMIZED=FALSE&amp;creator=factset&amp;display_string=Audit"}</definedName>
    <definedName name="_126__FDSAUDITLINK__" localSheetId="4" hidden="1">{"fdsup://Directions/FactSet Auditing Viewer?action=AUDIT_VALUE&amp;DB=129&amp;ID1=48517030&amp;VALUEID=01001&amp;SDATE=2010&amp;PERIODTYPE=ANN_STD&amp;window=popup_no_bar&amp;width=385&amp;height=120&amp;START_MAXIMIZED=FALSE&amp;creator=factset&amp;display_string=Audit"}</definedName>
    <definedName name="_126__FDSAUDITLINK__" localSheetId="5" hidden="1">{"fdsup://directions/FAT Viewer?action=UPDATE&amp;creator=factset&amp;DYN_ARGS=TRUE&amp;DOC_NAME=FAT:FQL_AUDITING_CLIENT_TEMPLATE.FAT&amp;display_string=Audit&amp;VAR:KEY=GJSJUZSNOH&amp;VAR:QUERY=RkZfTkVUX0lOQyhBTk4sMjAwOSk=&amp;WINDOW=FIRST_POPUP&amp;HEIGHT=450&amp;WIDTH=450&amp;START_MAXIMIZED=","FALSE&amp;VAR:CALENDAR=US&amp;VAR:SYMBOL=CSX&amp;VAR:INDEX=0"}</definedName>
    <definedName name="_126__FDSAUDITLINK__" localSheetId="6" hidden="1">{"fdsup://directions/FAT Viewer?action=UPDATE&amp;creator=factset&amp;DYN_ARGS=TRUE&amp;DOC_NAME=FAT:FQL_AUDITING_CLIENT_TEMPLATE.FAT&amp;display_string=Audit&amp;VAR:KEY=GJSJUZSNOH&amp;VAR:QUERY=RkZfTkVUX0lOQyhBTk4sMjAwOSk=&amp;WINDOW=FIRST_POPUP&amp;HEIGHT=450&amp;WIDTH=450&amp;START_MAXIMIZED=","FALSE&amp;VAR:CALENDAR=US&amp;VAR:SYMBOL=CSX&amp;VAR:INDEX=0"}</definedName>
    <definedName name="_126__FDSAUDITLINK__" hidden="1">{"fdsup://Directions/FactSet Auditing Viewer?action=AUDIT_VALUE&amp;DB=129&amp;ID1=48517030&amp;VALUEID=01001&amp;SDATE=2010&amp;PERIODTYPE=ANN_STD&amp;window=popup_no_bar&amp;width=385&amp;height=120&amp;START_MAXIMIZED=FALSE&amp;creator=factset&amp;display_string=Audit"}</definedName>
    <definedName name="_127__FDSAUDITLINK__" localSheetId="4" hidden="1">{"fdsup://Directions/FactSet Auditing Viewer?action=AUDIT_VALUE&amp;DB=129&amp;ID1=37155910&amp;VALUEID=01001&amp;SDATE=2010&amp;PERIODTYPE=ANN_STD&amp;window=popup_no_bar&amp;width=385&amp;height=120&amp;START_MAXIMIZED=FALSE&amp;creator=factset&amp;display_string=Audit"}</definedName>
    <definedName name="_127__FDSAUDITLINK__" localSheetId="5" hidden="1">{"fdsup://directions/FAT Viewer?action=UPDATE&amp;creator=factset&amp;DYN_ARGS=TRUE&amp;DOC_NAME=FAT:FQL_AUDITING_CLIENT_TEMPLATE.FAT&amp;display_string=Audit&amp;VAR:KEY=ARGDMXEBWP&amp;VAR:QUERY=RkZfTkVUX0lOQyhBTk4sMjAwOSk=&amp;WINDOW=FIRST_POPUP&amp;HEIGHT=450&amp;WIDTH=450&amp;START_MAXIMIZED=","FALSE&amp;VAR:CALENDAR=US&amp;VAR:SYMBOL=CP&amp;VAR:INDEX=0"}</definedName>
    <definedName name="_127__FDSAUDITLINK__" localSheetId="6" hidden="1">{"fdsup://directions/FAT Viewer?action=UPDATE&amp;creator=factset&amp;DYN_ARGS=TRUE&amp;DOC_NAME=FAT:FQL_AUDITING_CLIENT_TEMPLATE.FAT&amp;display_string=Audit&amp;VAR:KEY=ARGDMXEBWP&amp;VAR:QUERY=RkZfTkVUX0lOQyhBTk4sMjAwOSk=&amp;WINDOW=FIRST_POPUP&amp;HEIGHT=450&amp;WIDTH=450&amp;START_MAXIMIZED=","FALSE&amp;VAR:CALENDAR=US&amp;VAR:SYMBOL=CP&amp;VAR:INDEX=0"}</definedName>
    <definedName name="_127__FDSAUDITLINK__" hidden="1">{"fdsup://Directions/FactSet Auditing Viewer?action=AUDIT_VALUE&amp;DB=129&amp;ID1=37155910&amp;VALUEID=01001&amp;SDATE=2010&amp;PERIODTYPE=ANN_STD&amp;window=popup_no_bar&amp;width=385&amp;height=120&amp;START_MAXIMIZED=FALSE&amp;creator=factset&amp;display_string=Audit"}</definedName>
    <definedName name="_128__FDSAUDITLINK__" localSheetId="4" hidden="1">{"fdsup://Directions/FactSet Auditing Viewer?action=AUDIT_VALUE&amp;DB=129&amp;ID1=12640810&amp;VALUEID=01001&amp;SDATE=2010&amp;PERIODTYPE=ANN_STD&amp;window=popup_no_bar&amp;width=385&amp;height=120&amp;START_MAXIMIZED=FALSE&amp;creator=factset&amp;display_string=Audit"}</definedName>
    <definedName name="_128__FDSAUDITLINK__" localSheetId="5" hidden="1">{"fdsup://directions/FAT Viewer?action=UPDATE&amp;creator=factset&amp;DYN_ARGS=TRUE&amp;DOC_NAME=FAT:FQL_AUDITING_CLIENT_TEMPLATE.FAT&amp;display_string=Audit&amp;VAR:KEY=CTIRWDKLYN&amp;VAR:QUERY=RkZfTkVUX0lOQyhBTk4sMjAwOSk=&amp;WINDOW=FIRST_POPUP&amp;HEIGHT=450&amp;WIDTH=450&amp;START_MAXIMIZED=","FALSE&amp;VAR:CALENDAR=US&amp;VAR:SYMBOL=CNI&amp;VAR:INDEX=0"}</definedName>
    <definedName name="_128__FDSAUDITLINK__" localSheetId="6" hidden="1">{"fdsup://directions/FAT Viewer?action=UPDATE&amp;creator=factset&amp;DYN_ARGS=TRUE&amp;DOC_NAME=FAT:FQL_AUDITING_CLIENT_TEMPLATE.FAT&amp;display_string=Audit&amp;VAR:KEY=CTIRWDKLYN&amp;VAR:QUERY=RkZfTkVUX0lOQyhBTk4sMjAwOSk=&amp;WINDOW=FIRST_POPUP&amp;HEIGHT=450&amp;WIDTH=450&amp;START_MAXIMIZED=","FALSE&amp;VAR:CALENDAR=US&amp;VAR:SYMBOL=CNI&amp;VAR:INDEX=0"}</definedName>
    <definedName name="_128__FDSAUDITLINK__" hidden="1">{"fdsup://Directions/FactSet Auditing Viewer?action=AUDIT_VALUE&amp;DB=129&amp;ID1=12640810&amp;VALUEID=01001&amp;SDATE=2010&amp;PERIODTYPE=ANN_STD&amp;window=popup_no_bar&amp;width=385&amp;height=120&amp;START_MAXIMIZED=FALSE&amp;creator=factset&amp;display_string=Audit"}</definedName>
    <definedName name="_129__FDSAUDITLINK__" localSheetId="4" hidden="1">{"fdsup://directions/FAT Viewer?action=UPDATE&amp;creator=factset&amp;DYN_ARGS=TRUE&amp;DOC_NAME=FAT:FQL_AUDITING_CLIENT_TEMPLATE.FAT&amp;display_string=Audit&amp;VAR:KEY=GFSNGJUZGB&amp;VAR:QUERY=RkZfTkVUX0lOQyhBTk4sMjAxMCk=&amp;WINDOW=FIRST_POPUP&amp;HEIGHT=450&amp;WIDTH=450&amp;START_MAXIMIZED=","FALSE&amp;VAR:CALENDAR=US&amp;VAR:SYMBOL=UNP&amp;VAR:INDEX=0"}</definedName>
    <definedName name="_129__FDSAUDITLINK__" localSheetId="5" hidden="1">{"fdsup://directions/FAT Viewer?action=UPDATE&amp;creator=factset&amp;DYN_ARGS=TRUE&amp;DOC_NAME=FAT:FQL_AUDITING_CLIENT_TEMPLATE.FAT&amp;display_string=Audit&amp;VAR:KEY=QJADUXODKH&amp;VAR:QUERY=RkZfRUJJVChBTk4sMjAwOSk=&amp;WINDOW=FIRST_POPUP&amp;HEIGHT=450&amp;WIDTH=450&amp;START_MAXIMIZED=FALS","E&amp;VAR:CALENDAR=US&amp;VAR:SYMBOL=UNP&amp;VAR:INDEX=0"}</definedName>
    <definedName name="_129__FDSAUDITLINK__" localSheetId="6" hidden="1">{"fdsup://directions/FAT Viewer?action=UPDATE&amp;creator=factset&amp;DYN_ARGS=TRUE&amp;DOC_NAME=FAT:FQL_AUDITING_CLIENT_TEMPLATE.FAT&amp;display_string=Audit&amp;VAR:KEY=QJADUXODKH&amp;VAR:QUERY=RkZfRUJJVChBTk4sMjAwOSk=&amp;WINDOW=FIRST_POPUP&amp;HEIGHT=450&amp;WIDTH=450&amp;START_MAXIMIZED=FALS","E&amp;VAR:CALENDAR=US&amp;VAR:SYMBOL=UNP&amp;VAR:INDEX=0"}</definedName>
    <definedName name="_129__FDSAUDITLINK__" hidden="1">{"fdsup://directions/FAT Viewer?action=UPDATE&amp;creator=factset&amp;DYN_ARGS=TRUE&amp;DOC_NAME=FAT:FQL_AUDITING_CLIENT_TEMPLATE.FAT&amp;display_string=Audit&amp;VAR:KEY=GFSNGJUZGB&amp;VAR:QUERY=RkZfTkVUX0lOQyhBTk4sMjAxMCk=&amp;WINDOW=FIRST_POPUP&amp;HEIGHT=450&amp;WIDTH=450&amp;START_MAXIMIZED=","FALSE&amp;VAR:CALENDAR=US&amp;VAR:SYMBOL=UNP&amp;VAR:INDEX=0"}</definedName>
    <definedName name="_13__FDSAUDITLINK__" localSheetId="4" hidden="1">{"fdsup://directions/FAT Viewer?action=UPDATE&amp;creator=factset&amp;DYN_ARGS=TRUE&amp;DOC_NAME=FAT:FQL_AUDITING_CLIENT_TEMPLATE.FAT&amp;display_string=Audit&amp;VAR:KEY=WHUFCHOVAN&amp;VAR:QUERY=RkZfRUJJVChBTk4sMjAxMCk=&amp;WINDOW=FIRST_POPUP&amp;HEIGHT=450&amp;WIDTH=450&amp;START_MAXIMIZED=FALS","E&amp;VAR:CALENDAR=US&amp;VAR:SYMBOL=GWR&amp;VAR:INDEX=0"}</definedName>
    <definedName name="_13__FDSAUDITLINK__" localSheetId="5" hidden="1">{"fdsup://Directions/FactSet Auditing Viewer?action=AUDIT_VALUE&amp;DB=129&amp;ID1=90781810&amp;VALUEID=01401&amp;SDATE=2009&amp;PERIODTYPE=ANN_STD&amp;window=popup_no_bar&amp;width=385&amp;height=120&amp;START_MAXIMIZED=FALSE&amp;creator=factset&amp;display_string=Audit"}</definedName>
    <definedName name="_13__FDSAUDITLINK__" localSheetId="6" hidden="1">{"fdsup://Directions/FactSet Auditing Viewer?action=AUDIT_VALUE&amp;DB=129&amp;ID1=90781810&amp;VALUEID=01401&amp;SDATE=2009&amp;PERIODTYPE=ANN_STD&amp;window=popup_no_bar&amp;width=385&amp;height=120&amp;START_MAXIMIZED=FALSE&amp;creator=factset&amp;display_string=Audit"}</definedName>
    <definedName name="_13__FDSAUDITLINK__" hidden="1">{"fdsup://directions/FAT Viewer?action=UPDATE&amp;creator=factset&amp;DYN_ARGS=TRUE&amp;DOC_NAME=FAT:FQL_AUDITING_CLIENT_TEMPLATE.FAT&amp;display_string=Audit&amp;VAR:KEY=WHUFCHOVAN&amp;VAR:QUERY=RkZfRUJJVChBTk4sMjAxMCk=&amp;WINDOW=FIRST_POPUP&amp;HEIGHT=450&amp;WIDTH=450&amp;START_MAXIMIZED=FALS","E&amp;VAR:CALENDAR=US&amp;VAR:SYMBOL=GWR&amp;VAR:INDEX=0"}</definedName>
    <definedName name="_130__FDSAUDITLINK__" localSheetId="4" hidden="1">{"fdsup://directions/FAT Viewer?action=UPDATE&amp;creator=factset&amp;DYN_ARGS=TRUE&amp;DOC_NAME=FAT:FQL_AUDITING_CLIENT_TEMPLATE.FAT&amp;display_string=Audit&amp;VAR:KEY=CBUFQRWTMN&amp;VAR:QUERY=RkZfTkVUX0lOQyhBTk4sMjAxMCk=&amp;WINDOW=FIRST_POPUP&amp;HEIGHT=450&amp;WIDTH=450&amp;START_MAXIMIZED=","FALSE&amp;VAR:CALENDAR=US&amp;VAR:SYMBOL=RA&amp;VAR:INDEX=0"}</definedName>
    <definedName name="_130__FDSAUDITLINK__" localSheetId="5" hidden="1">{"fdsup://directions/FAT Viewer?action=UPDATE&amp;creator=factset&amp;DYN_ARGS=TRUE&amp;DOC_NAME=FAT:FQL_AUDITING_CLIENT_TEMPLATE.FAT&amp;display_string=Audit&amp;VAR:KEY=SZMFOPEPUL&amp;VAR:QUERY=RkZfRUJJVChBTk4sMjAwOSk=&amp;WINDOW=FIRST_POPUP&amp;HEIGHT=450&amp;WIDTH=450&amp;START_MAXIMIZED=FALS","E&amp;VAR:CALENDAR=US&amp;VAR:SYMBOL=RA&amp;VAR:INDEX=0"}</definedName>
    <definedName name="_130__FDSAUDITLINK__" localSheetId="6" hidden="1">{"fdsup://directions/FAT Viewer?action=UPDATE&amp;creator=factset&amp;DYN_ARGS=TRUE&amp;DOC_NAME=FAT:FQL_AUDITING_CLIENT_TEMPLATE.FAT&amp;display_string=Audit&amp;VAR:KEY=SZMFOPEPUL&amp;VAR:QUERY=RkZfRUJJVChBTk4sMjAwOSk=&amp;WINDOW=FIRST_POPUP&amp;HEIGHT=450&amp;WIDTH=450&amp;START_MAXIMIZED=FALS","E&amp;VAR:CALENDAR=US&amp;VAR:SYMBOL=RA&amp;VAR:INDEX=0"}</definedName>
    <definedName name="_130__FDSAUDITLINK__" hidden="1">{"fdsup://directions/FAT Viewer?action=UPDATE&amp;creator=factset&amp;DYN_ARGS=TRUE&amp;DOC_NAME=FAT:FQL_AUDITING_CLIENT_TEMPLATE.FAT&amp;display_string=Audit&amp;VAR:KEY=CBUFQRWTMN&amp;VAR:QUERY=RkZfTkVUX0lOQyhBTk4sMjAxMCk=&amp;WINDOW=FIRST_POPUP&amp;HEIGHT=450&amp;WIDTH=450&amp;START_MAXIMIZED=","FALSE&amp;VAR:CALENDAR=US&amp;VAR:SYMBOL=RA&amp;VAR:INDEX=0"}</definedName>
    <definedName name="_131__FDSAUDITLINK__" localSheetId="4" hidden="1">{"fdsup://directions/FAT Viewer?action=UPDATE&amp;creator=factset&amp;DYN_ARGS=TRUE&amp;DOC_NAME=FAT:FQL_AUDITING_CLIENT_TEMPLATE.FAT&amp;display_string=Audit&amp;VAR:KEY=CFMTMNEHCF&amp;VAR:QUERY=RkZfTkVUX0lOQyhBTk4sMjAxMCk=&amp;WINDOW=FIRST_POPUP&amp;HEIGHT=450&amp;WIDTH=450&amp;START_MAXIMIZED=","FALSE&amp;VAR:CALENDAR=US&amp;VAR:SYMBOL=NSC&amp;VAR:INDEX=0"}</definedName>
    <definedName name="_131__FDSAUDITLINK__" localSheetId="5" hidden="1">{"fdsup://directions/FAT Viewer?action=UPDATE&amp;creator=factset&amp;DYN_ARGS=TRUE&amp;DOC_NAME=FAT:FQL_AUDITING_CLIENT_TEMPLATE.FAT&amp;display_string=Audit&amp;VAR:KEY=GPUNIXIDQH&amp;VAR:QUERY=RkZfRUJJVChBTk4sMjAwOSk=&amp;WINDOW=FIRST_POPUP&amp;HEIGHT=450&amp;WIDTH=450&amp;START_MAXIMIZED=FALS","E&amp;VAR:CALENDAR=US&amp;VAR:SYMBOL=NSC&amp;VAR:INDEX=0"}</definedName>
    <definedName name="_131__FDSAUDITLINK__" localSheetId="6" hidden="1">{"fdsup://directions/FAT Viewer?action=UPDATE&amp;creator=factset&amp;DYN_ARGS=TRUE&amp;DOC_NAME=FAT:FQL_AUDITING_CLIENT_TEMPLATE.FAT&amp;display_string=Audit&amp;VAR:KEY=GPUNIXIDQH&amp;VAR:QUERY=RkZfRUJJVChBTk4sMjAwOSk=&amp;WINDOW=FIRST_POPUP&amp;HEIGHT=450&amp;WIDTH=450&amp;START_MAXIMIZED=FALS","E&amp;VAR:CALENDAR=US&amp;VAR:SYMBOL=NSC&amp;VAR:INDEX=0"}</definedName>
    <definedName name="_131__FDSAUDITLINK__" hidden="1">{"fdsup://directions/FAT Viewer?action=UPDATE&amp;creator=factset&amp;DYN_ARGS=TRUE&amp;DOC_NAME=FAT:FQL_AUDITING_CLIENT_TEMPLATE.FAT&amp;display_string=Audit&amp;VAR:KEY=CFMTMNEHCF&amp;VAR:QUERY=RkZfTkVUX0lOQyhBTk4sMjAxMCk=&amp;WINDOW=FIRST_POPUP&amp;HEIGHT=450&amp;WIDTH=450&amp;START_MAXIMIZED=","FALSE&amp;VAR:CALENDAR=US&amp;VAR:SYMBOL=NSC&amp;VAR:INDEX=0"}</definedName>
    <definedName name="_132__FDSAUDITLINK__" localSheetId="4" hidden="1">{"fdsup://directions/FAT Viewer?action=UPDATE&amp;creator=factset&amp;DYN_ARGS=TRUE&amp;DOC_NAME=FAT:FQL_AUDITING_CLIENT_TEMPLATE.FAT&amp;display_string=Audit&amp;VAR:KEY=EPWDAVAVWL&amp;VAR:QUERY=RkZfTkVUX0lOQyhBTk4sMjAxMCk=&amp;WINDOW=FIRST_POPUP&amp;HEIGHT=450&amp;WIDTH=450&amp;START_MAXIMIZED=","FALSE&amp;VAR:CALENDAR=US&amp;VAR:SYMBOL=KSU&amp;VAR:INDEX=0"}</definedName>
    <definedName name="_132__FDSAUDITLINK__" localSheetId="5" hidden="1">{"fdsup://directions/FAT Viewer?action=UPDATE&amp;creator=factset&amp;DYN_ARGS=TRUE&amp;DOC_NAME=FAT:FQL_AUDITING_CLIENT_TEMPLATE.FAT&amp;display_string=Audit&amp;VAR:KEY=MJMBODSLUL&amp;VAR:QUERY=RkZfRUJJVChBTk4sMjAwOSk=&amp;WINDOW=FIRST_POPUP&amp;HEIGHT=450&amp;WIDTH=450&amp;START_MAXIMIZED=FALS","E&amp;VAR:CALENDAR=US&amp;VAR:SYMBOL=KSU&amp;VAR:INDEX=0"}</definedName>
    <definedName name="_132__FDSAUDITLINK__" localSheetId="6" hidden="1">{"fdsup://directions/FAT Viewer?action=UPDATE&amp;creator=factset&amp;DYN_ARGS=TRUE&amp;DOC_NAME=FAT:FQL_AUDITING_CLIENT_TEMPLATE.FAT&amp;display_string=Audit&amp;VAR:KEY=MJMBODSLUL&amp;VAR:QUERY=RkZfRUJJVChBTk4sMjAwOSk=&amp;WINDOW=FIRST_POPUP&amp;HEIGHT=450&amp;WIDTH=450&amp;START_MAXIMIZED=FALS","E&amp;VAR:CALENDAR=US&amp;VAR:SYMBOL=KSU&amp;VAR:INDEX=0"}</definedName>
    <definedName name="_132__FDSAUDITLINK__" hidden="1">{"fdsup://directions/FAT Viewer?action=UPDATE&amp;creator=factset&amp;DYN_ARGS=TRUE&amp;DOC_NAME=FAT:FQL_AUDITING_CLIENT_TEMPLATE.FAT&amp;display_string=Audit&amp;VAR:KEY=EPWDAVAVWL&amp;VAR:QUERY=RkZfTkVUX0lOQyhBTk4sMjAxMCk=&amp;WINDOW=FIRST_POPUP&amp;HEIGHT=450&amp;WIDTH=450&amp;START_MAXIMIZED=","FALSE&amp;VAR:CALENDAR=US&amp;VAR:SYMBOL=KSU&amp;VAR:INDEX=0"}</definedName>
    <definedName name="_133__FDSAUDITLINK__" localSheetId="4" hidden="1">{"fdsup://directions/FAT Viewer?action=UPDATE&amp;creator=factset&amp;DYN_ARGS=TRUE&amp;DOC_NAME=FAT:FQL_AUDITING_CLIENT_TEMPLATE.FAT&amp;display_string=Audit&amp;VAR:KEY=ENALIHQZUJ&amp;VAR:QUERY=RkZfTkVUX0lOQyhBTk4sMjAxMCk=&amp;WINDOW=FIRST_POPUP&amp;HEIGHT=450&amp;WIDTH=450&amp;START_MAXIMIZED=","FALSE&amp;VAR:CALENDAR=US&amp;VAR:SYMBOL=GWR&amp;VAR:INDEX=0"}</definedName>
    <definedName name="_133__FDSAUDITLINK__" localSheetId="5" hidden="1">{"fdsup://directions/FAT Viewer?action=UPDATE&amp;creator=factset&amp;DYN_ARGS=TRUE&amp;DOC_NAME=FAT:FQL_AUDITING_CLIENT_TEMPLATE.FAT&amp;display_string=Audit&amp;VAR:KEY=MRWTQBQXSR&amp;VAR:QUERY=RkZfRUJJVChBTk4sMjAwOSk=&amp;WINDOW=FIRST_POPUP&amp;HEIGHT=450&amp;WIDTH=450&amp;START_MAXIMIZED=FALS","E&amp;VAR:CALENDAR=US&amp;VAR:SYMBOL=GWR&amp;VAR:INDEX=0"}</definedName>
    <definedName name="_133__FDSAUDITLINK__" localSheetId="6" hidden="1">{"fdsup://directions/FAT Viewer?action=UPDATE&amp;creator=factset&amp;DYN_ARGS=TRUE&amp;DOC_NAME=FAT:FQL_AUDITING_CLIENT_TEMPLATE.FAT&amp;display_string=Audit&amp;VAR:KEY=MRWTQBQXSR&amp;VAR:QUERY=RkZfRUJJVChBTk4sMjAwOSk=&amp;WINDOW=FIRST_POPUP&amp;HEIGHT=450&amp;WIDTH=450&amp;START_MAXIMIZED=FALS","E&amp;VAR:CALENDAR=US&amp;VAR:SYMBOL=GWR&amp;VAR:INDEX=0"}</definedName>
    <definedName name="_133__FDSAUDITLINK__" hidden="1">{"fdsup://directions/FAT Viewer?action=UPDATE&amp;creator=factset&amp;DYN_ARGS=TRUE&amp;DOC_NAME=FAT:FQL_AUDITING_CLIENT_TEMPLATE.FAT&amp;display_string=Audit&amp;VAR:KEY=ENALIHQZUJ&amp;VAR:QUERY=RkZfTkVUX0lOQyhBTk4sMjAxMCk=&amp;WINDOW=FIRST_POPUP&amp;HEIGHT=450&amp;WIDTH=450&amp;START_MAXIMIZED=","FALSE&amp;VAR:CALENDAR=US&amp;VAR:SYMBOL=GWR&amp;VAR:INDEX=0"}</definedName>
    <definedName name="_134__FDSAUDITLINK__" localSheetId="4" hidden="1">{"fdsup://directions/FAT Viewer?action=UPDATE&amp;creator=factset&amp;DYN_ARGS=TRUE&amp;DOC_NAME=FAT:FQL_AUDITING_CLIENT_TEMPLATE.FAT&amp;display_string=Audit&amp;VAR:KEY=EFKFOZQBKX&amp;VAR:QUERY=RkZfTkVUX0lOQyhBTk4sMjAxMCk=&amp;WINDOW=FIRST_POPUP&amp;HEIGHT=450&amp;WIDTH=450&amp;START_MAXIMIZED=","FALSE&amp;VAR:CALENDAR=US&amp;VAR:SYMBOL=CSX&amp;VAR:INDEX=0"}</definedName>
    <definedName name="_134__FDSAUDITLINK__" localSheetId="5" hidden="1">{"fdsup://directions/FAT Viewer?action=UPDATE&amp;creator=factset&amp;DYN_ARGS=TRUE&amp;DOC_NAME=FAT:FQL_AUDITING_CLIENT_TEMPLATE.FAT&amp;display_string=Audit&amp;VAR:KEY=MPCZQDGHYJ&amp;VAR:QUERY=RkZfRUJJVChBTk4sMjAwOSk=&amp;WINDOW=FIRST_POPUP&amp;HEIGHT=450&amp;WIDTH=450&amp;START_MAXIMIZED=FALS","E&amp;VAR:CALENDAR=US&amp;VAR:SYMBOL=CSX&amp;VAR:INDEX=0"}</definedName>
    <definedName name="_134__FDSAUDITLINK__" localSheetId="6" hidden="1">{"fdsup://directions/FAT Viewer?action=UPDATE&amp;creator=factset&amp;DYN_ARGS=TRUE&amp;DOC_NAME=FAT:FQL_AUDITING_CLIENT_TEMPLATE.FAT&amp;display_string=Audit&amp;VAR:KEY=MPCZQDGHYJ&amp;VAR:QUERY=RkZfRUJJVChBTk4sMjAwOSk=&amp;WINDOW=FIRST_POPUP&amp;HEIGHT=450&amp;WIDTH=450&amp;START_MAXIMIZED=FALS","E&amp;VAR:CALENDAR=US&amp;VAR:SYMBOL=CSX&amp;VAR:INDEX=0"}</definedName>
    <definedName name="_134__FDSAUDITLINK__" hidden="1">{"fdsup://directions/FAT Viewer?action=UPDATE&amp;creator=factset&amp;DYN_ARGS=TRUE&amp;DOC_NAME=FAT:FQL_AUDITING_CLIENT_TEMPLATE.FAT&amp;display_string=Audit&amp;VAR:KEY=EFKFOZQBKX&amp;VAR:QUERY=RkZfTkVUX0lOQyhBTk4sMjAxMCk=&amp;WINDOW=FIRST_POPUP&amp;HEIGHT=450&amp;WIDTH=450&amp;START_MAXIMIZED=","FALSE&amp;VAR:CALENDAR=US&amp;VAR:SYMBOL=CSX&amp;VAR:INDEX=0"}</definedName>
    <definedName name="_135__FDSAUDITLINK__" localSheetId="4" hidden="1">{"fdsup://directions/FAT Viewer?action=UPDATE&amp;creator=factset&amp;DYN_ARGS=TRUE&amp;DOC_NAME=FAT:FQL_AUDITING_CLIENT_TEMPLATE.FAT&amp;display_string=Audit&amp;VAR:KEY=OZKRUNWHIL&amp;VAR:QUERY=RkZfTkVUX0lOQyhBTk4sMjAxMCk=&amp;WINDOW=FIRST_POPUP&amp;HEIGHT=450&amp;WIDTH=450&amp;START_MAXIMIZED=","FALSE&amp;VAR:CALENDAR=US&amp;VAR:SYMBOL=CP&amp;VAR:INDEX=0"}</definedName>
    <definedName name="_135__FDSAUDITLINK__" localSheetId="5" hidden="1">{"fdsup://directions/FAT Viewer?action=UPDATE&amp;creator=factset&amp;DYN_ARGS=TRUE&amp;DOC_NAME=FAT:FQL_AUDITING_CLIENT_TEMPLATE.FAT&amp;display_string=Audit&amp;VAR:KEY=GHYXEZAFED&amp;VAR:QUERY=RkZfRUJJVChBTk4sMjAwOSk=&amp;WINDOW=FIRST_POPUP&amp;HEIGHT=450&amp;WIDTH=450&amp;START_MAXIMIZED=FALS","E&amp;VAR:CALENDAR=US&amp;VAR:SYMBOL=CP&amp;VAR:INDEX=0"}</definedName>
    <definedName name="_135__FDSAUDITLINK__" localSheetId="6" hidden="1">{"fdsup://directions/FAT Viewer?action=UPDATE&amp;creator=factset&amp;DYN_ARGS=TRUE&amp;DOC_NAME=FAT:FQL_AUDITING_CLIENT_TEMPLATE.FAT&amp;display_string=Audit&amp;VAR:KEY=GHYXEZAFED&amp;VAR:QUERY=RkZfRUJJVChBTk4sMjAwOSk=&amp;WINDOW=FIRST_POPUP&amp;HEIGHT=450&amp;WIDTH=450&amp;START_MAXIMIZED=FALS","E&amp;VAR:CALENDAR=US&amp;VAR:SYMBOL=CP&amp;VAR:INDEX=0"}</definedName>
    <definedName name="_135__FDSAUDITLINK__" hidden="1">{"fdsup://directions/FAT Viewer?action=UPDATE&amp;creator=factset&amp;DYN_ARGS=TRUE&amp;DOC_NAME=FAT:FQL_AUDITING_CLIENT_TEMPLATE.FAT&amp;display_string=Audit&amp;VAR:KEY=OZKRUNWHIL&amp;VAR:QUERY=RkZfTkVUX0lOQyhBTk4sMjAxMCk=&amp;WINDOW=FIRST_POPUP&amp;HEIGHT=450&amp;WIDTH=450&amp;START_MAXIMIZED=","FALSE&amp;VAR:CALENDAR=US&amp;VAR:SYMBOL=CP&amp;VAR:INDEX=0"}</definedName>
    <definedName name="_136__FDSAUDITLINK__" localSheetId="4" hidden="1">{"fdsup://directions/FAT Viewer?action=UPDATE&amp;creator=factset&amp;DYN_ARGS=TRUE&amp;DOC_NAME=FAT:FQL_AUDITING_CLIENT_TEMPLATE.FAT&amp;display_string=Audit&amp;VAR:KEY=QPUPARQXUX&amp;VAR:QUERY=RkZfTkVUX0lOQyhBTk4sMjAxMCk=&amp;WINDOW=FIRST_POPUP&amp;HEIGHT=450&amp;WIDTH=450&amp;START_MAXIMIZED=","FALSE&amp;VAR:CALENDAR=US&amp;VAR:SYMBOL=CNI&amp;VAR:INDEX=0"}</definedName>
    <definedName name="_136__FDSAUDITLINK__" localSheetId="5" hidden="1">{"fdsup://directions/FAT Viewer?action=UPDATE&amp;creator=factset&amp;DYN_ARGS=TRUE&amp;DOC_NAME=FAT:FQL_AUDITING_CLIENT_TEMPLATE.FAT&amp;display_string=Audit&amp;VAR:KEY=SZUDEVQRKX&amp;VAR:QUERY=RkZfRUJJVChBTk4sMjAwOSk=&amp;WINDOW=FIRST_POPUP&amp;HEIGHT=450&amp;WIDTH=450&amp;START_MAXIMIZED=FALS","E&amp;VAR:CALENDAR=US&amp;VAR:SYMBOL=CNI&amp;VAR:INDEX=0"}</definedName>
    <definedName name="_136__FDSAUDITLINK__" localSheetId="6" hidden="1">{"fdsup://directions/FAT Viewer?action=UPDATE&amp;creator=factset&amp;DYN_ARGS=TRUE&amp;DOC_NAME=FAT:FQL_AUDITING_CLIENT_TEMPLATE.FAT&amp;display_string=Audit&amp;VAR:KEY=SZUDEVQRKX&amp;VAR:QUERY=RkZfRUJJVChBTk4sMjAwOSk=&amp;WINDOW=FIRST_POPUP&amp;HEIGHT=450&amp;WIDTH=450&amp;START_MAXIMIZED=FALS","E&amp;VAR:CALENDAR=US&amp;VAR:SYMBOL=CNI&amp;VAR:INDEX=0"}</definedName>
    <definedName name="_136__FDSAUDITLINK__" hidden="1">{"fdsup://directions/FAT Viewer?action=UPDATE&amp;creator=factset&amp;DYN_ARGS=TRUE&amp;DOC_NAME=FAT:FQL_AUDITING_CLIENT_TEMPLATE.FAT&amp;display_string=Audit&amp;VAR:KEY=QPUPARQXUX&amp;VAR:QUERY=RkZfTkVUX0lOQyhBTk4sMjAxMCk=&amp;WINDOW=FIRST_POPUP&amp;HEIGHT=450&amp;WIDTH=450&amp;START_MAXIMIZED=","FALSE&amp;VAR:CALENDAR=US&amp;VAR:SYMBOL=CNI&amp;VAR:INDEX=0"}</definedName>
    <definedName name="_137__FDSAUDITLINK__" localSheetId="4" hidden="1">{"fdsup://directions/FAT Viewer?action=UPDATE&amp;creator=factset&amp;DYN_ARGS=TRUE&amp;DOC_NAME=FAT:FQL_AUDITING_CLIENT_TEMPLATE.FAT&amp;display_string=Audit&amp;VAR:KEY=NQPIJATGHS&amp;VAR:QUERY=RkZfTkVUX0lOQyhBTk4sMjAxMCk=&amp;WINDOW=FIRST_POPUP&amp;HEIGHT=450&amp;WIDTH=450&amp;START_MAXIMIZED=","FALSE&amp;VAR:CALENDAR=US&amp;VAR:SYMBOL=UNP&amp;VAR:INDEX=0"}</definedName>
    <definedName name="_137__FDSAUDITLINK__" localSheetId="5" hidden="1">{"fdsup://directions/FAT Viewer?action=UPDATE&amp;creator=factset&amp;DYN_ARGS=TRUE&amp;DOC_NAME=FAT:FQL_AUDITING_CLIENT_TEMPLATE.FAT&amp;display_string=Audit&amp;VAR:KEY=GNGLEVGRQN&amp;VAR:QUERY=RkZfRUJJVERBKEFOTiwyMDA5KQ==&amp;WINDOW=FIRST_POPUP&amp;HEIGHT=450&amp;WIDTH=450&amp;START_MAXIMIZED=","FALSE&amp;VAR:CALENDAR=US&amp;VAR:SYMBOL=UNP&amp;VAR:INDEX=0"}</definedName>
    <definedName name="_137__FDSAUDITLINK__" localSheetId="6" hidden="1">{"fdsup://directions/FAT Viewer?action=UPDATE&amp;creator=factset&amp;DYN_ARGS=TRUE&amp;DOC_NAME=FAT:FQL_AUDITING_CLIENT_TEMPLATE.FAT&amp;display_string=Audit&amp;VAR:KEY=GNGLEVGRQN&amp;VAR:QUERY=RkZfRUJJVERBKEFOTiwyMDA5KQ==&amp;WINDOW=FIRST_POPUP&amp;HEIGHT=450&amp;WIDTH=450&amp;START_MAXIMIZED=","FALSE&amp;VAR:CALENDAR=US&amp;VAR:SYMBOL=UNP&amp;VAR:INDEX=0"}</definedName>
    <definedName name="_137__FDSAUDITLINK__" hidden="1">{"fdsup://directions/FAT Viewer?action=UPDATE&amp;creator=factset&amp;DYN_ARGS=TRUE&amp;DOC_NAME=FAT:FQL_AUDITING_CLIENT_TEMPLATE.FAT&amp;display_string=Audit&amp;VAR:KEY=NQPIJATGHS&amp;VAR:QUERY=RkZfTkVUX0lOQyhBTk4sMjAxMCk=&amp;WINDOW=FIRST_POPUP&amp;HEIGHT=450&amp;WIDTH=450&amp;START_MAXIMIZED=","FALSE&amp;VAR:CALENDAR=US&amp;VAR:SYMBOL=UNP&amp;VAR:INDEX=0"}</definedName>
    <definedName name="_138__FDSAUDITLINK__" localSheetId="4" hidden="1">{"fdsup://directions/FAT Viewer?action=UPDATE&amp;creator=factset&amp;DYN_ARGS=TRUE&amp;DOC_NAME=FAT:FQL_AUDITING_CLIENT_TEMPLATE.FAT&amp;display_string=Audit&amp;VAR:KEY=TALGXWRMTO&amp;VAR:QUERY=RkZfTkVUX0lOQyhBTk4sMjAxMCk=&amp;WINDOW=FIRST_POPUP&amp;HEIGHT=450&amp;WIDTH=450&amp;START_MAXIMIZED=","FALSE&amp;VAR:CALENDAR=US&amp;VAR:SYMBOL=RA&amp;VAR:INDEX=0"}</definedName>
    <definedName name="_138__FDSAUDITLINK__" localSheetId="5" hidden="1">{"fdsup://directions/FAT Viewer?action=UPDATE&amp;creator=factset&amp;DYN_ARGS=TRUE&amp;DOC_NAME=FAT:FQL_AUDITING_CLIENT_TEMPLATE.FAT&amp;display_string=Audit&amp;VAR:KEY=QPANSVANQN&amp;VAR:QUERY=RkZfRUJJVERBKEFOTiwyMDA5KQ==&amp;WINDOW=FIRST_POPUP&amp;HEIGHT=450&amp;WIDTH=450&amp;START_MAXIMIZED=","FALSE&amp;VAR:CALENDAR=US&amp;VAR:SYMBOL=RA&amp;VAR:INDEX=0"}</definedName>
    <definedName name="_138__FDSAUDITLINK__" localSheetId="6" hidden="1">{"fdsup://directions/FAT Viewer?action=UPDATE&amp;creator=factset&amp;DYN_ARGS=TRUE&amp;DOC_NAME=FAT:FQL_AUDITING_CLIENT_TEMPLATE.FAT&amp;display_string=Audit&amp;VAR:KEY=QPANSVANQN&amp;VAR:QUERY=RkZfRUJJVERBKEFOTiwyMDA5KQ==&amp;WINDOW=FIRST_POPUP&amp;HEIGHT=450&amp;WIDTH=450&amp;START_MAXIMIZED=","FALSE&amp;VAR:CALENDAR=US&amp;VAR:SYMBOL=RA&amp;VAR:INDEX=0"}</definedName>
    <definedName name="_138__FDSAUDITLINK__" hidden="1">{"fdsup://directions/FAT Viewer?action=UPDATE&amp;creator=factset&amp;DYN_ARGS=TRUE&amp;DOC_NAME=FAT:FQL_AUDITING_CLIENT_TEMPLATE.FAT&amp;display_string=Audit&amp;VAR:KEY=TALGXWRMTO&amp;VAR:QUERY=RkZfTkVUX0lOQyhBTk4sMjAxMCk=&amp;WINDOW=FIRST_POPUP&amp;HEIGHT=450&amp;WIDTH=450&amp;START_MAXIMIZED=","FALSE&amp;VAR:CALENDAR=US&amp;VAR:SYMBOL=RA&amp;VAR:INDEX=0"}</definedName>
    <definedName name="_139__FDSAUDITLINK__" localSheetId="4" hidden="1">{"fdsup://directions/FAT Viewer?action=UPDATE&amp;creator=factset&amp;DYN_ARGS=TRUE&amp;DOC_NAME=FAT:FQL_AUDITING_CLIENT_TEMPLATE.FAT&amp;display_string=Audit&amp;VAR:KEY=HMBQPKXIDA&amp;VAR:QUERY=RkZfTkVUX0lOQyhBTk4sMjAxMCk=&amp;WINDOW=FIRST_POPUP&amp;HEIGHT=450&amp;WIDTH=450&amp;START_MAXIMIZED=","FALSE&amp;VAR:CALENDAR=US&amp;VAR:SYMBOL=NSC&amp;VAR:INDEX=0"}</definedName>
    <definedName name="_139__FDSAUDITLINK__" localSheetId="5" hidden="1">{"fdsup://directions/FAT Viewer?action=UPDATE&amp;creator=factset&amp;DYN_ARGS=TRUE&amp;DOC_NAME=FAT:FQL_AUDITING_CLIENT_TEMPLATE.FAT&amp;display_string=Audit&amp;VAR:KEY=YRCTQJQJKV&amp;VAR:QUERY=RkZfRUJJVERBKEFOTiwyMDA5KQ==&amp;WINDOW=FIRST_POPUP&amp;HEIGHT=450&amp;WIDTH=450&amp;START_MAXIMIZED=","FALSE&amp;VAR:CALENDAR=US&amp;VAR:SYMBOL=NSC&amp;VAR:INDEX=0"}</definedName>
    <definedName name="_139__FDSAUDITLINK__" localSheetId="6" hidden="1">{"fdsup://directions/FAT Viewer?action=UPDATE&amp;creator=factset&amp;DYN_ARGS=TRUE&amp;DOC_NAME=FAT:FQL_AUDITING_CLIENT_TEMPLATE.FAT&amp;display_string=Audit&amp;VAR:KEY=YRCTQJQJKV&amp;VAR:QUERY=RkZfRUJJVERBKEFOTiwyMDA5KQ==&amp;WINDOW=FIRST_POPUP&amp;HEIGHT=450&amp;WIDTH=450&amp;START_MAXIMIZED=","FALSE&amp;VAR:CALENDAR=US&amp;VAR:SYMBOL=NSC&amp;VAR:INDEX=0"}</definedName>
    <definedName name="_139__FDSAUDITLINK__" hidden="1">{"fdsup://directions/FAT Viewer?action=UPDATE&amp;creator=factset&amp;DYN_ARGS=TRUE&amp;DOC_NAME=FAT:FQL_AUDITING_CLIENT_TEMPLATE.FAT&amp;display_string=Audit&amp;VAR:KEY=HMBQPKXIDA&amp;VAR:QUERY=RkZfTkVUX0lOQyhBTk4sMjAxMCk=&amp;WINDOW=FIRST_POPUP&amp;HEIGHT=450&amp;WIDTH=450&amp;START_MAXIMIZED=","FALSE&amp;VAR:CALENDAR=US&amp;VAR:SYMBOL=NSC&amp;VAR:INDEX=0"}</definedName>
    <definedName name="_14__FDSAUDITLINK__" localSheetId="4" hidden="1">{"fdsup://directions/FAT Viewer?action=UPDATE&amp;creator=factset&amp;DYN_ARGS=TRUE&amp;DOC_NAME=FAT:FQL_AUDITING_CLIENT_TEMPLATE.FAT&amp;display_string=Audit&amp;VAR:KEY=QDWBINOJIH&amp;VAR:QUERY=RkZfRUJJVChBTk4sMjAxMCk=&amp;WINDOW=FIRST_POPUP&amp;HEIGHT=450&amp;WIDTH=450&amp;START_MAXIMIZED=FALS","E&amp;VAR:CALENDAR=US&amp;VAR:SYMBOL=CSX&amp;VAR:INDEX=0"}</definedName>
    <definedName name="_14__FDSAUDITLINK__" localSheetId="5" hidden="1">{"fdsup://Directions/FactSet Auditing Viewer?action=AUDIT_VALUE&amp;DB=129&amp;ID1=75075340&amp;VALUEID=01401&amp;SDATE=2009&amp;PERIODTYPE=ANN_STD&amp;window=popup_no_bar&amp;width=385&amp;height=120&amp;START_MAXIMIZED=FALSE&amp;creator=factset&amp;display_string=Audit"}</definedName>
    <definedName name="_14__FDSAUDITLINK__" localSheetId="6" hidden="1">{"fdsup://Directions/FactSet Auditing Viewer?action=AUDIT_VALUE&amp;DB=129&amp;ID1=75075340&amp;VALUEID=01401&amp;SDATE=2009&amp;PERIODTYPE=ANN_STD&amp;window=popup_no_bar&amp;width=385&amp;height=120&amp;START_MAXIMIZED=FALSE&amp;creator=factset&amp;display_string=Audit"}</definedName>
    <definedName name="_14__FDSAUDITLINK__" hidden="1">{"fdsup://directions/FAT Viewer?action=UPDATE&amp;creator=factset&amp;DYN_ARGS=TRUE&amp;DOC_NAME=FAT:FQL_AUDITING_CLIENT_TEMPLATE.FAT&amp;display_string=Audit&amp;VAR:KEY=QDWBINOJIH&amp;VAR:QUERY=RkZfRUJJVChBTk4sMjAxMCk=&amp;WINDOW=FIRST_POPUP&amp;HEIGHT=450&amp;WIDTH=450&amp;START_MAXIMIZED=FALS","E&amp;VAR:CALENDAR=US&amp;VAR:SYMBOL=CSX&amp;VAR:INDEX=0"}</definedName>
    <definedName name="_140__FDSAUDITLINK__" localSheetId="4" hidden="1">{"fdsup://directions/FAT Viewer?action=UPDATE&amp;creator=factset&amp;DYN_ARGS=TRUE&amp;DOC_NAME=FAT:FQL_AUDITING_CLIENT_TEMPLATE.FAT&amp;display_string=Audit&amp;VAR:KEY=NWRKRUFQBQ&amp;VAR:QUERY=RkZfTkVUX0lOQyhBTk4sMjAxMCk=&amp;WINDOW=FIRST_POPUP&amp;HEIGHT=450&amp;WIDTH=450&amp;START_MAXIMIZED=","FALSE&amp;VAR:CALENDAR=US&amp;VAR:SYMBOL=KSU&amp;VAR:INDEX=0"}</definedName>
    <definedName name="_140__FDSAUDITLINK__" localSheetId="5" hidden="1">{"fdsup://directions/FAT Viewer?action=UPDATE&amp;creator=factset&amp;DYN_ARGS=TRUE&amp;DOC_NAME=FAT:FQL_AUDITING_CLIENT_TEMPLATE.FAT&amp;display_string=Audit&amp;VAR:KEY=IPOVABEZWT&amp;VAR:QUERY=RkZfRUJJVERBKEFOTiwyMDA5KQ==&amp;WINDOW=FIRST_POPUP&amp;HEIGHT=450&amp;WIDTH=450&amp;START_MAXIMIZED=","FALSE&amp;VAR:CALENDAR=US&amp;VAR:SYMBOL=KSU&amp;VAR:INDEX=0"}</definedName>
    <definedName name="_140__FDSAUDITLINK__" localSheetId="6" hidden="1">{"fdsup://directions/FAT Viewer?action=UPDATE&amp;creator=factset&amp;DYN_ARGS=TRUE&amp;DOC_NAME=FAT:FQL_AUDITING_CLIENT_TEMPLATE.FAT&amp;display_string=Audit&amp;VAR:KEY=IPOVABEZWT&amp;VAR:QUERY=RkZfRUJJVERBKEFOTiwyMDA5KQ==&amp;WINDOW=FIRST_POPUP&amp;HEIGHT=450&amp;WIDTH=450&amp;START_MAXIMIZED=","FALSE&amp;VAR:CALENDAR=US&amp;VAR:SYMBOL=KSU&amp;VAR:INDEX=0"}</definedName>
    <definedName name="_140__FDSAUDITLINK__" hidden="1">{"fdsup://directions/FAT Viewer?action=UPDATE&amp;creator=factset&amp;DYN_ARGS=TRUE&amp;DOC_NAME=FAT:FQL_AUDITING_CLIENT_TEMPLATE.FAT&amp;display_string=Audit&amp;VAR:KEY=NWRKRUFQBQ&amp;VAR:QUERY=RkZfTkVUX0lOQyhBTk4sMjAxMCk=&amp;WINDOW=FIRST_POPUP&amp;HEIGHT=450&amp;WIDTH=450&amp;START_MAXIMIZED=","FALSE&amp;VAR:CALENDAR=US&amp;VAR:SYMBOL=KSU&amp;VAR:INDEX=0"}</definedName>
    <definedName name="_141__FDSAUDITLINK__" localSheetId="4" hidden="1">{"fdsup://directions/FAT Viewer?action=UPDATE&amp;creator=factset&amp;DYN_ARGS=TRUE&amp;DOC_NAME=FAT:FQL_AUDITING_CLIENT_TEMPLATE.FAT&amp;display_string=Audit&amp;VAR:KEY=PSHITCFIVG&amp;VAR:QUERY=RkZfTkVUX0lOQyhBTk4sMjAxMCk=&amp;WINDOW=FIRST_POPUP&amp;HEIGHT=450&amp;WIDTH=450&amp;START_MAXIMIZED=","FALSE&amp;VAR:CALENDAR=US&amp;VAR:SYMBOL=GWR&amp;VAR:INDEX=0"}</definedName>
    <definedName name="_141__FDSAUDITLINK__" localSheetId="5" hidden="1">{"fdsup://directions/FAT Viewer?action=UPDATE&amp;creator=factset&amp;DYN_ARGS=TRUE&amp;DOC_NAME=FAT:FQL_AUDITING_CLIENT_TEMPLATE.FAT&amp;display_string=Audit&amp;VAR:KEY=SLCBUDIFIN&amp;VAR:QUERY=RkZfRUJJVERBKEFOTiwyMDA5KQ==&amp;WINDOW=FIRST_POPUP&amp;HEIGHT=450&amp;WIDTH=450&amp;START_MAXIMIZED=","FALSE&amp;VAR:CALENDAR=US&amp;VAR:SYMBOL=GWR&amp;VAR:INDEX=0"}</definedName>
    <definedName name="_141__FDSAUDITLINK__" localSheetId="6" hidden="1">{"fdsup://directions/FAT Viewer?action=UPDATE&amp;creator=factset&amp;DYN_ARGS=TRUE&amp;DOC_NAME=FAT:FQL_AUDITING_CLIENT_TEMPLATE.FAT&amp;display_string=Audit&amp;VAR:KEY=SLCBUDIFIN&amp;VAR:QUERY=RkZfRUJJVERBKEFOTiwyMDA5KQ==&amp;WINDOW=FIRST_POPUP&amp;HEIGHT=450&amp;WIDTH=450&amp;START_MAXIMIZED=","FALSE&amp;VAR:CALENDAR=US&amp;VAR:SYMBOL=GWR&amp;VAR:INDEX=0"}</definedName>
    <definedName name="_141__FDSAUDITLINK__" hidden="1">{"fdsup://directions/FAT Viewer?action=UPDATE&amp;creator=factset&amp;DYN_ARGS=TRUE&amp;DOC_NAME=FAT:FQL_AUDITING_CLIENT_TEMPLATE.FAT&amp;display_string=Audit&amp;VAR:KEY=PSHITCFIVG&amp;VAR:QUERY=RkZfTkVUX0lOQyhBTk4sMjAxMCk=&amp;WINDOW=FIRST_POPUP&amp;HEIGHT=450&amp;WIDTH=450&amp;START_MAXIMIZED=","FALSE&amp;VAR:CALENDAR=US&amp;VAR:SYMBOL=GWR&amp;VAR:INDEX=0"}</definedName>
    <definedName name="_142__FDSAUDITLINK__" localSheetId="4" hidden="1">{"fdsup://directions/FAT Viewer?action=UPDATE&amp;creator=factset&amp;DYN_ARGS=TRUE&amp;DOC_NAME=FAT:FQL_AUDITING_CLIENT_TEMPLATE.FAT&amp;display_string=Audit&amp;VAR:KEY=TEJSHGRUZU&amp;VAR:QUERY=RkZfTkVUX0lOQyhBTk4sMjAxMCk=&amp;WINDOW=FIRST_POPUP&amp;HEIGHT=450&amp;WIDTH=450&amp;START_MAXIMIZED=","FALSE&amp;VAR:CALENDAR=US&amp;VAR:SYMBOL=CSX&amp;VAR:INDEX=0"}</definedName>
    <definedName name="_142__FDSAUDITLINK__" localSheetId="5" hidden="1">{"fdsup://directions/FAT Viewer?action=UPDATE&amp;creator=factset&amp;DYN_ARGS=TRUE&amp;DOC_NAME=FAT:FQL_AUDITING_CLIENT_TEMPLATE.FAT&amp;display_string=Audit&amp;VAR:KEY=WZMLEPWVMP&amp;VAR:QUERY=RkZfRUJJVERBKEFOTiwyMDA5KQ==&amp;WINDOW=FIRST_POPUP&amp;HEIGHT=450&amp;WIDTH=450&amp;START_MAXIMIZED=","FALSE&amp;VAR:CALENDAR=US&amp;VAR:SYMBOL=CSX&amp;VAR:INDEX=0"}</definedName>
    <definedName name="_142__FDSAUDITLINK__" localSheetId="6" hidden="1">{"fdsup://directions/FAT Viewer?action=UPDATE&amp;creator=factset&amp;DYN_ARGS=TRUE&amp;DOC_NAME=FAT:FQL_AUDITING_CLIENT_TEMPLATE.FAT&amp;display_string=Audit&amp;VAR:KEY=WZMLEPWVMP&amp;VAR:QUERY=RkZfRUJJVERBKEFOTiwyMDA5KQ==&amp;WINDOW=FIRST_POPUP&amp;HEIGHT=450&amp;WIDTH=450&amp;START_MAXIMIZED=","FALSE&amp;VAR:CALENDAR=US&amp;VAR:SYMBOL=CSX&amp;VAR:INDEX=0"}</definedName>
    <definedName name="_142__FDSAUDITLINK__" hidden="1">{"fdsup://directions/FAT Viewer?action=UPDATE&amp;creator=factset&amp;DYN_ARGS=TRUE&amp;DOC_NAME=FAT:FQL_AUDITING_CLIENT_TEMPLATE.FAT&amp;display_string=Audit&amp;VAR:KEY=TEJSHGRUZU&amp;VAR:QUERY=RkZfTkVUX0lOQyhBTk4sMjAxMCk=&amp;WINDOW=FIRST_POPUP&amp;HEIGHT=450&amp;WIDTH=450&amp;START_MAXIMIZED=","FALSE&amp;VAR:CALENDAR=US&amp;VAR:SYMBOL=CSX&amp;VAR:INDEX=0"}</definedName>
    <definedName name="_143__FDSAUDITLINK__" localSheetId="4" hidden="1">{"fdsup://directions/FAT Viewer?action=UPDATE&amp;creator=factset&amp;DYN_ARGS=TRUE&amp;DOC_NAME=FAT:FQL_AUDITING_CLIENT_TEMPLATE.FAT&amp;display_string=Audit&amp;VAR:KEY=PUVSNUNGVG&amp;VAR:QUERY=RkZfTkVUX0lOQyhBTk4sMjAxMCk=&amp;WINDOW=FIRST_POPUP&amp;HEIGHT=450&amp;WIDTH=450&amp;START_MAXIMIZED=","FALSE&amp;VAR:CALENDAR=US&amp;VAR:SYMBOL=CP&amp;VAR:INDEX=0"}</definedName>
    <definedName name="_143__FDSAUDITLINK__" localSheetId="5" hidden="1">{"fdsup://directions/FAT Viewer?action=UPDATE&amp;creator=factset&amp;DYN_ARGS=TRUE&amp;DOC_NAME=FAT:FQL_AUDITING_CLIENT_TEMPLATE.FAT&amp;display_string=Audit&amp;VAR:KEY=WZODSXOHUN&amp;VAR:QUERY=RkZfRUJJVERBKEFOTiwyMDA5KQ==&amp;WINDOW=FIRST_POPUP&amp;HEIGHT=450&amp;WIDTH=450&amp;START_MAXIMIZED=","FALSE&amp;VAR:CALENDAR=US&amp;VAR:SYMBOL=CP&amp;VAR:INDEX=0"}</definedName>
    <definedName name="_143__FDSAUDITLINK__" localSheetId="6" hidden="1">{"fdsup://directions/FAT Viewer?action=UPDATE&amp;creator=factset&amp;DYN_ARGS=TRUE&amp;DOC_NAME=FAT:FQL_AUDITING_CLIENT_TEMPLATE.FAT&amp;display_string=Audit&amp;VAR:KEY=WZODSXOHUN&amp;VAR:QUERY=RkZfRUJJVERBKEFOTiwyMDA5KQ==&amp;WINDOW=FIRST_POPUP&amp;HEIGHT=450&amp;WIDTH=450&amp;START_MAXIMIZED=","FALSE&amp;VAR:CALENDAR=US&amp;VAR:SYMBOL=CP&amp;VAR:INDEX=0"}</definedName>
    <definedName name="_143__FDSAUDITLINK__" hidden="1">{"fdsup://directions/FAT Viewer?action=UPDATE&amp;creator=factset&amp;DYN_ARGS=TRUE&amp;DOC_NAME=FAT:FQL_AUDITING_CLIENT_TEMPLATE.FAT&amp;display_string=Audit&amp;VAR:KEY=PUVSNUNGVG&amp;VAR:QUERY=RkZfTkVUX0lOQyhBTk4sMjAxMCk=&amp;WINDOW=FIRST_POPUP&amp;HEIGHT=450&amp;WIDTH=450&amp;START_MAXIMIZED=","FALSE&amp;VAR:CALENDAR=US&amp;VAR:SYMBOL=CP&amp;VAR:INDEX=0"}</definedName>
    <definedName name="_144__FDSAUDITLINK__" localSheetId="4" hidden="1">{"fdsup://directions/FAT Viewer?action=UPDATE&amp;creator=factset&amp;DYN_ARGS=TRUE&amp;DOC_NAME=FAT:FQL_AUDITING_CLIENT_TEMPLATE.FAT&amp;display_string=Audit&amp;VAR:KEY=PIRGRKDAXG&amp;VAR:QUERY=RkZfTkVUX0lOQyhBTk4sMjAxMCk=&amp;WINDOW=FIRST_POPUP&amp;HEIGHT=450&amp;WIDTH=450&amp;START_MAXIMIZED=","FALSE&amp;VAR:CALENDAR=US&amp;VAR:SYMBOL=CNI&amp;VAR:INDEX=0"}</definedName>
    <definedName name="_144__FDSAUDITLINK__" localSheetId="5" hidden="1">{"fdsup://directions/FAT Viewer?action=UPDATE&amp;creator=factset&amp;DYN_ARGS=TRUE&amp;DOC_NAME=FAT:FQL_AUDITING_CLIENT_TEMPLATE.FAT&amp;display_string=Audit&amp;VAR:KEY=AXULYVYRCP&amp;VAR:QUERY=RkZfRUJJVERBKEFOTiwyMDA5KQ==&amp;WINDOW=FIRST_POPUP&amp;HEIGHT=450&amp;WIDTH=450&amp;START_MAXIMIZED=","FALSE&amp;VAR:CALENDAR=US&amp;VAR:SYMBOL=CNI&amp;VAR:INDEX=0"}</definedName>
    <definedName name="_144__FDSAUDITLINK__" localSheetId="6" hidden="1">{"fdsup://directions/FAT Viewer?action=UPDATE&amp;creator=factset&amp;DYN_ARGS=TRUE&amp;DOC_NAME=FAT:FQL_AUDITING_CLIENT_TEMPLATE.FAT&amp;display_string=Audit&amp;VAR:KEY=AXULYVYRCP&amp;VAR:QUERY=RkZfRUJJVERBKEFOTiwyMDA5KQ==&amp;WINDOW=FIRST_POPUP&amp;HEIGHT=450&amp;WIDTH=450&amp;START_MAXIMIZED=","FALSE&amp;VAR:CALENDAR=US&amp;VAR:SYMBOL=CNI&amp;VAR:INDEX=0"}</definedName>
    <definedName name="_144__FDSAUDITLINK__" hidden="1">{"fdsup://directions/FAT Viewer?action=UPDATE&amp;creator=factset&amp;DYN_ARGS=TRUE&amp;DOC_NAME=FAT:FQL_AUDITING_CLIENT_TEMPLATE.FAT&amp;display_string=Audit&amp;VAR:KEY=PIRGRKDAXG&amp;VAR:QUERY=RkZfTkVUX0lOQyhBTk4sMjAxMCk=&amp;WINDOW=FIRST_POPUP&amp;HEIGHT=450&amp;WIDTH=450&amp;START_MAXIMIZED=","FALSE&amp;VAR:CALENDAR=US&amp;VAR:SYMBOL=CNI&amp;VAR:INDEX=0"}</definedName>
    <definedName name="_145__FDSAUDITLINK__" localSheetId="4" hidden="1">{"fdsup://directions/FAT Viewer?action=UPDATE&amp;creator=factset&amp;DYN_ARGS=TRUE&amp;DOC_NAME=FAT:FQL_AUDITING_CLIENT_TEMPLATE.FAT&amp;display_string=Audit&amp;VAR:KEY=NQXCBEJGFG&amp;VAR:QUERY=RkZfRUJJVChBTk4sMjAxMCk=&amp;WINDOW=FIRST_POPUP&amp;HEIGHT=450&amp;WIDTH=450&amp;START_MAXIMIZED=FALS","E&amp;VAR:CALENDAR=US&amp;VAR:SYMBOL=UNP&amp;VAR:INDEX=0"}</definedName>
    <definedName name="_145__FDSAUDITLINK__" localSheetId="5" hidden="1">{"fdsup://Directions/FactSet Auditing Viewer?action=AUDIT_VALUE&amp;DB=129&amp;ID1=90781810&amp;VALUEID=01250&amp;SDATE=2009&amp;PERIODTYPE=ANN_STD&amp;window=popup_no_bar&amp;width=385&amp;height=120&amp;START_MAXIMIZED=FALSE&amp;creator=factset&amp;display_string=Audit"}</definedName>
    <definedName name="_145__FDSAUDITLINK__" localSheetId="6" hidden="1">{"fdsup://Directions/FactSet Auditing Viewer?action=AUDIT_VALUE&amp;DB=129&amp;ID1=90781810&amp;VALUEID=01250&amp;SDATE=2009&amp;PERIODTYPE=ANN_STD&amp;window=popup_no_bar&amp;width=385&amp;height=120&amp;START_MAXIMIZED=FALSE&amp;creator=factset&amp;display_string=Audit"}</definedName>
    <definedName name="_145__FDSAUDITLINK__" hidden="1">{"fdsup://directions/FAT Viewer?action=UPDATE&amp;creator=factset&amp;DYN_ARGS=TRUE&amp;DOC_NAME=FAT:FQL_AUDITING_CLIENT_TEMPLATE.FAT&amp;display_string=Audit&amp;VAR:KEY=NQXCBEJGFG&amp;VAR:QUERY=RkZfRUJJVChBTk4sMjAxMCk=&amp;WINDOW=FIRST_POPUP&amp;HEIGHT=450&amp;WIDTH=450&amp;START_MAXIMIZED=FALS","E&amp;VAR:CALENDAR=US&amp;VAR:SYMBOL=UNP&amp;VAR:INDEX=0"}</definedName>
    <definedName name="_146__FDSAUDITLINK__" localSheetId="4" hidden="1">{"fdsup://directions/FAT Viewer?action=UPDATE&amp;creator=factset&amp;DYN_ARGS=TRUE&amp;DOC_NAME=FAT:FQL_AUDITING_CLIENT_TEMPLATE.FAT&amp;display_string=Audit&amp;VAR:KEY=LCROTGTGRW&amp;VAR:QUERY=RkZfRUJJVChBTk4sMjAxMCk=&amp;WINDOW=FIRST_POPUP&amp;HEIGHT=450&amp;WIDTH=450&amp;START_MAXIMIZED=FALS","E&amp;VAR:CALENDAR=US&amp;VAR:SYMBOL=RA&amp;VAR:INDEX=0"}</definedName>
    <definedName name="_146__FDSAUDITLINK__" localSheetId="5" hidden="1">{"fdsup://Directions/FactSet Auditing Viewer?action=AUDIT_VALUE&amp;DB=129&amp;ID1=75075340&amp;VALUEID=01250&amp;SDATE=2009&amp;PERIODTYPE=ANN_STD&amp;window=popup_no_bar&amp;width=385&amp;height=120&amp;START_MAXIMIZED=FALSE&amp;creator=factset&amp;display_string=Audit"}</definedName>
    <definedName name="_146__FDSAUDITLINK__" localSheetId="6" hidden="1">{"fdsup://Directions/FactSet Auditing Viewer?action=AUDIT_VALUE&amp;DB=129&amp;ID1=75075340&amp;VALUEID=01250&amp;SDATE=2009&amp;PERIODTYPE=ANN_STD&amp;window=popup_no_bar&amp;width=385&amp;height=120&amp;START_MAXIMIZED=FALSE&amp;creator=factset&amp;display_string=Audit"}</definedName>
    <definedName name="_146__FDSAUDITLINK__" hidden="1">{"fdsup://directions/FAT Viewer?action=UPDATE&amp;creator=factset&amp;DYN_ARGS=TRUE&amp;DOC_NAME=FAT:FQL_AUDITING_CLIENT_TEMPLATE.FAT&amp;display_string=Audit&amp;VAR:KEY=LCROTGTGRW&amp;VAR:QUERY=RkZfRUJJVChBTk4sMjAxMCk=&amp;WINDOW=FIRST_POPUP&amp;HEIGHT=450&amp;WIDTH=450&amp;START_MAXIMIZED=FALS","E&amp;VAR:CALENDAR=US&amp;VAR:SYMBOL=RA&amp;VAR:INDEX=0"}</definedName>
    <definedName name="_147__FDSAUDITLINK__" localSheetId="4" hidden="1">{"fdsup://directions/FAT Viewer?action=UPDATE&amp;creator=factset&amp;DYN_ARGS=TRUE&amp;DOC_NAME=FAT:FQL_AUDITING_CLIENT_TEMPLATE.FAT&amp;display_string=Audit&amp;VAR:KEY=TSLEZADAFC&amp;VAR:QUERY=RkZfRUJJVChBTk4sMjAxMCk=&amp;WINDOW=FIRST_POPUP&amp;HEIGHT=450&amp;WIDTH=450&amp;START_MAXIMIZED=FALS","E&amp;VAR:CALENDAR=US&amp;VAR:SYMBOL=NSC&amp;VAR:INDEX=0"}</definedName>
    <definedName name="_147__FDSAUDITLINK__" localSheetId="5" hidden="1">{"fdsup://Directions/FactSet Auditing Viewer?action=AUDIT_VALUE&amp;DB=129&amp;ID1=65584410&amp;VALUEID=01250&amp;SDATE=2009&amp;PERIODTYPE=ANN_STD&amp;window=popup_no_bar&amp;width=385&amp;height=120&amp;START_MAXIMIZED=FALSE&amp;creator=factset&amp;display_string=Audit"}</definedName>
    <definedName name="_147__FDSAUDITLINK__" localSheetId="6" hidden="1">{"fdsup://Directions/FactSet Auditing Viewer?action=AUDIT_VALUE&amp;DB=129&amp;ID1=65584410&amp;VALUEID=01250&amp;SDATE=2009&amp;PERIODTYPE=ANN_STD&amp;window=popup_no_bar&amp;width=385&amp;height=120&amp;START_MAXIMIZED=FALSE&amp;creator=factset&amp;display_string=Audit"}</definedName>
    <definedName name="_147__FDSAUDITLINK__" hidden="1">{"fdsup://directions/FAT Viewer?action=UPDATE&amp;creator=factset&amp;DYN_ARGS=TRUE&amp;DOC_NAME=FAT:FQL_AUDITING_CLIENT_TEMPLATE.FAT&amp;display_string=Audit&amp;VAR:KEY=TSLEZADAFC&amp;VAR:QUERY=RkZfRUJJVChBTk4sMjAxMCk=&amp;WINDOW=FIRST_POPUP&amp;HEIGHT=450&amp;WIDTH=450&amp;START_MAXIMIZED=FALS","E&amp;VAR:CALENDAR=US&amp;VAR:SYMBOL=NSC&amp;VAR:INDEX=0"}</definedName>
    <definedName name="_148__FDSAUDITLINK__" localSheetId="4" hidden="1">{"fdsup://directions/FAT Viewer?action=UPDATE&amp;creator=factset&amp;DYN_ARGS=TRUE&amp;DOC_NAME=FAT:FQL_AUDITING_CLIENT_TEMPLATE.FAT&amp;display_string=Audit&amp;VAR:KEY=DKZARCNIFO&amp;VAR:QUERY=RkZfRUJJVChBTk4sMjAxMCk=&amp;WINDOW=FIRST_POPUP&amp;HEIGHT=450&amp;WIDTH=450&amp;START_MAXIMIZED=FALS","E&amp;VAR:CALENDAR=US&amp;VAR:SYMBOL=KSU&amp;VAR:INDEX=0"}</definedName>
    <definedName name="_148__FDSAUDITLINK__" localSheetId="5" hidden="1">{"fdsup://Directions/FactSet Auditing Viewer?action=AUDIT_VALUE&amp;DB=129&amp;ID1=48517030&amp;VALUEID=01250&amp;SDATE=2009&amp;PERIODTYPE=ANN_STD&amp;window=popup_no_bar&amp;width=385&amp;height=120&amp;START_MAXIMIZED=FALSE&amp;creator=factset&amp;display_string=Audit"}</definedName>
    <definedName name="_148__FDSAUDITLINK__" localSheetId="6" hidden="1">{"fdsup://Directions/FactSet Auditing Viewer?action=AUDIT_VALUE&amp;DB=129&amp;ID1=48517030&amp;VALUEID=01250&amp;SDATE=2009&amp;PERIODTYPE=ANN_STD&amp;window=popup_no_bar&amp;width=385&amp;height=120&amp;START_MAXIMIZED=FALSE&amp;creator=factset&amp;display_string=Audit"}</definedName>
    <definedName name="_148__FDSAUDITLINK__" hidden="1">{"fdsup://directions/FAT Viewer?action=UPDATE&amp;creator=factset&amp;DYN_ARGS=TRUE&amp;DOC_NAME=FAT:FQL_AUDITING_CLIENT_TEMPLATE.FAT&amp;display_string=Audit&amp;VAR:KEY=DKZARCNIFO&amp;VAR:QUERY=RkZfRUJJVChBTk4sMjAxMCk=&amp;WINDOW=FIRST_POPUP&amp;HEIGHT=450&amp;WIDTH=450&amp;START_MAXIMIZED=FALS","E&amp;VAR:CALENDAR=US&amp;VAR:SYMBOL=KSU&amp;VAR:INDEX=0"}</definedName>
    <definedName name="_149__FDSAUDITLINK__" localSheetId="4" hidden="1">{"fdsup://directions/FAT Viewer?action=UPDATE&amp;creator=factset&amp;DYN_ARGS=TRUE&amp;DOC_NAME=FAT:FQL_AUDITING_CLIENT_TEMPLATE.FAT&amp;display_string=Audit&amp;VAR:KEY=JGFQXYRAHG&amp;VAR:QUERY=RkZfRUJJVChBTk4sMjAxMCk=&amp;WINDOW=FIRST_POPUP&amp;HEIGHT=450&amp;WIDTH=450&amp;START_MAXIMIZED=FALS","E&amp;VAR:CALENDAR=US&amp;VAR:SYMBOL=GWR&amp;VAR:INDEX=0"}</definedName>
    <definedName name="_149__FDSAUDITLINK__" localSheetId="5" hidden="1">{"fdsup://Directions/FactSet Auditing Viewer?action=AUDIT_VALUE&amp;DB=129&amp;ID1=37155910&amp;VALUEID=01250&amp;SDATE=2009&amp;PERIODTYPE=ANN_STD&amp;window=popup_no_bar&amp;width=385&amp;height=120&amp;START_MAXIMIZED=FALSE&amp;creator=factset&amp;display_string=Audit"}</definedName>
    <definedName name="_149__FDSAUDITLINK__" localSheetId="6" hidden="1">{"fdsup://Directions/FactSet Auditing Viewer?action=AUDIT_VALUE&amp;DB=129&amp;ID1=37155910&amp;VALUEID=01250&amp;SDATE=2009&amp;PERIODTYPE=ANN_STD&amp;window=popup_no_bar&amp;width=385&amp;height=120&amp;START_MAXIMIZED=FALSE&amp;creator=factset&amp;display_string=Audit"}</definedName>
    <definedName name="_149__FDSAUDITLINK__" hidden="1">{"fdsup://directions/FAT Viewer?action=UPDATE&amp;creator=factset&amp;DYN_ARGS=TRUE&amp;DOC_NAME=FAT:FQL_AUDITING_CLIENT_TEMPLATE.FAT&amp;display_string=Audit&amp;VAR:KEY=JGFQXYRAHG&amp;VAR:QUERY=RkZfRUJJVChBTk4sMjAxMCk=&amp;WINDOW=FIRST_POPUP&amp;HEIGHT=450&amp;WIDTH=450&amp;START_MAXIMIZED=FALS","E&amp;VAR:CALENDAR=US&amp;VAR:SYMBOL=GWR&amp;VAR:INDEX=0"}</definedName>
    <definedName name="_15__FDSAUDITLINK__" localSheetId="4" hidden="1">{"fdsup://directions/FAT Viewer?action=UPDATE&amp;creator=factset&amp;DYN_ARGS=TRUE&amp;DOC_NAME=FAT:FQL_AUDITING_CLIENT_TEMPLATE.FAT&amp;display_string=Audit&amp;VAR:KEY=UXUVUJWNOH&amp;VAR:QUERY=RkZfRUJJVChBTk4sMjAxMCk=&amp;WINDOW=FIRST_POPUP&amp;HEIGHT=450&amp;WIDTH=450&amp;START_MAXIMIZED=FALS","E&amp;VAR:CALENDAR=US&amp;VAR:SYMBOL=CP&amp;VAR:INDEX=0"}</definedName>
    <definedName name="_15__FDSAUDITLINK__" localSheetId="5" hidden="1">{"fdsup://Directions/FactSet Auditing Viewer?action=AUDIT_VALUE&amp;DB=129&amp;ID1=65584410&amp;VALUEID=01401&amp;SDATE=2009&amp;PERIODTYPE=ANN_STD&amp;window=popup_no_bar&amp;width=385&amp;height=120&amp;START_MAXIMIZED=FALSE&amp;creator=factset&amp;display_string=Audit"}</definedName>
    <definedName name="_15__FDSAUDITLINK__" localSheetId="6" hidden="1">{"fdsup://Directions/FactSet Auditing Viewer?action=AUDIT_VALUE&amp;DB=129&amp;ID1=65584410&amp;VALUEID=01401&amp;SDATE=2009&amp;PERIODTYPE=ANN_STD&amp;window=popup_no_bar&amp;width=385&amp;height=120&amp;START_MAXIMIZED=FALSE&amp;creator=factset&amp;display_string=Audit"}</definedName>
    <definedName name="_15__FDSAUDITLINK__" hidden="1">{"fdsup://directions/FAT Viewer?action=UPDATE&amp;creator=factset&amp;DYN_ARGS=TRUE&amp;DOC_NAME=FAT:FQL_AUDITING_CLIENT_TEMPLATE.FAT&amp;display_string=Audit&amp;VAR:KEY=UXUVUJWNOH&amp;VAR:QUERY=RkZfRUJJVChBTk4sMjAxMCk=&amp;WINDOW=FIRST_POPUP&amp;HEIGHT=450&amp;WIDTH=450&amp;START_MAXIMIZED=FALS","E&amp;VAR:CALENDAR=US&amp;VAR:SYMBOL=CP&amp;VAR:INDEX=0"}</definedName>
    <definedName name="_150__FDSAUDITLINK__" localSheetId="4" hidden="1">{"fdsup://directions/FAT Viewer?action=UPDATE&amp;creator=factset&amp;DYN_ARGS=TRUE&amp;DOC_NAME=FAT:FQL_AUDITING_CLIENT_TEMPLATE.FAT&amp;display_string=Audit&amp;VAR:KEY=TEBGJOLEZO&amp;VAR:QUERY=RkZfRUJJVChBTk4sMjAxMCk=&amp;WINDOW=FIRST_POPUP&amp;HEIGHT=450&amp;WIDTH=450&amp;START_MAXIMIZED=FALS","E&amp;VAR:CALENDAR=US&amp;VAR:SYMBOL=CSX&amp;VAR:INDEX=0"}</definedName>
    <definedName name="_150__FDSAUDITLINK__" localSheetId="5" hidden="1">{"fdsup://Directions/FactSet Auditing Viewer?action=AUDIT_VALUE&amp;DB=129&amp;ID1=12640810&amp;VALUEID=01250&amp;SDATE=2009&amp;PERIODTYPE=ANN_STD&amp;window=popup_no_bar&amp;width=385&amp;height=120&amp;START_MAXIMIZED=FALSE&amp;creator=factset&amp;display_string=Audit"}</definedName>
    <definedName name="_150__FDSAUDITLINK__" localSheetId="6" hidden="1">{"fdsup://Directions/FactSet Auditing Viewer?action=AUDIT_VALUE&amp;DB=129&amp;ID1=12640810&amp;VALUEID=01250&amp;SDATE=2009&amp;PERIODTYPE=ANN_STD&amp;window=popup_no_bar&amp;width=385&amp;height=120&amp;START_MAXIMIZED=FALSE&amp;creator=factset&amp;display_string=Audit"}</definedName>
    <definedName name="_150__FDSAUDITLINK__" hidden="1">{"fdsup://directions/FAT Viewer?action=UPDATE&amp;creator=factset&amp;DYN_ARGS=TRUE&amp;DOC_NAME=FAT:FQL_AUDITING_CLIENT_TEMPLATE.FAT&amp;display_string=Audit&amp;VAR:KEY=TEBGJOLEZO&amp;VAR:QUERY=RkZfRUJJVChBTk4sMjAxMCk=&amp;WINDOW=FIRST_POPUP&amp;HEIGHT=450&amp;WIDTH=450&amp;START_MAXIMIZED=FALS","E&amp;VAR:CALENDAR=US&amp;VAR:SYMBOL=CSX&amp;VAR:INDEX=0"}</definedName>
    <definedName name="_151__FDSAUDITLINK__" localSheetId="4" hidden="1">{"fdsup://directions/FAT Viewer?action=UPDATE&amp;creator=factset&amp;DYN_ARGS=TRUE&amp;DOC_NAME=FAT:FQL_AUDITING_CLIENT_TEMPLATE.FAT&amp;display_string=Audit&amp;VAR:KEY=HMVUPGRQDM&amp;VAR:QUERY=RkZfRUJJVChBTk4sMjAxMCk=&amp;WINDOW=FIRST_POPUP&amp;HEIGHT=450&amp;WIDTH=450&amp;START_MAXIMIZED=FALS","E&amp;VAR:CALENDAR=US&amp;VAR:SYMBOL=CP&amp;VAR:INDEX=0"}</definedName>
    <definedName name="_151__FDSAUDITLINK__" localSheetId="5" hidden="1">{"fdsup://Directions/FactSet Auditing Viewer?action=AUDIT_VALUE&amp;DB=129&amp;ID1=90781810&amp;VALUEID=01001&amp;SDATE=2009&amp;PERIODTYPE=ANN_STD&amp;window=popup_no_bar&amp;width=385&amp;height=120&amp;START_MAXIMIZED=FALSE&amp;creator=factset&amp;display_string=Audit"}</definedName>
    <definedName name="_151__FDSAUDITLINK__" localSheetId="6" hidden="1">{"fdsup://Directions/FactSet Auditing Viewer?action=AUDIT_VALUE&amp;DB=129&amp;ID1=90781810&amp;VALUEID=01001&amp;SDATE=2009&amp;PERIODTYPE=ANN_STD&amp;window=popup_no_bar&amp;width=385&amp;height=120&amp;START_MAXIMIZED=FALSE&amp;creator=factset&amp;display_string=Audit"}</definedName>
    <definedName name="_151__FDSAUDITLINK__" hidden="1">{"fdsup://directions/FAT Viewer?action=UPDATE&amp;creator=factset&amp;DYN_ARGS=TRUE&amp;DOC_NAME=FAT:FQL_AUDITING_CLIENT_TEMPLATE.FAT&amp;display_string=Audit&amp;VAR:KEY=HMVUPGRQDM&amp;VAR:QUERY=RkZfRUJJVChBTk4sMjAxMCk=&amp;WINDOW=FIRST_POPUP&amp;HEIGHT=450&amp;WIDTH=450&amp;START_MAXIMIZED=FALS","E&amp;VAR:CALENDAR=US&amp;VAR:SYMBOL=CP&amp;VAR:INDEX=0"}</definedName>
    <definedName name="_152__FDSAUDITLINK__" localSheetId="4" hidden="1">{"fdsup://directions/FAT Viewer?action=UPDATE&amp;creator=factset&amp;DYN_ARGS=TRUE&amp;DOC_NAME=FAT:FQL_AUDITING_CLIENT_TEMPLATE.FAT&amp;display_string=Audit&amp;VAR:KEY=XCLQPOHIPY&amp;VAR:QUERY=RkZfRUJJVChBTk4sMjAxMCk=&amp;WINDOW=FIRST_POPUP&amp;HEIGHT=450&amp;WIDTH=450&amp;START_MAXIMIZED=FALS","E&amp;VAR:CALENDAR=US&amp;VAR:SYMBOL=CNI&amp;VAR:INDEX=0"}</definedName>
    <definedName name="_152__FDSAUDITLINK__" localSheetId="5" hidden="1">{"fdsup://Directions/FactSet Auditing Viewer?action=AUDIT_VALUE&amp;DB=129&amp;ID1=75075340&amp;VALUEID=01001&amp;SDATE=2009&amp;PERIODTYPE=ANN_STD&amp;window=popup_no_bar&amp;width=385&amp;height=120&amp;START_MAXIMIZED=FALSE&amp;creator=factset&amp;display_string=Audit"}</definedName>
    <definedName name="_152__FDSAUDITLINK__" localSheetId="6" hidden="1">{"fdsup://Directions/FactSet Auditing Viewer?action=AUDIT_VALUE&amp;DB=129&amp;ID1=75075340&amp;VALUEID=01001&amp;SDATE=2009&amp;PERIODTYPE=ANN_STD&amp;window=popup_no_bar&amp;width=385&amp;height=120&amp;START_MAXIMIZED=FALSE&amp;creator=factset&amp;display_string=Audit"}</definedName>
    <definedName name="_152__FDSAUDITLINK__" hidden="1">{"fdsup://directions/FAT Viewer?action=UPDATE&amp;creator=factset&amp;DYN_ARGS=TRUE&amp;DOC_NAME=FAT:FQL_AUDITING_CLIENT_TEMPLATE.FAT&amp;display_string=Audit&amp;VAR:KEY=XCLQPOHIPY&amp;VAR:QUERY=RkZfRUJJVChBTk4sMjAxMCk=&amp;WINDOW=FIRST_POPUP&amp;HEIGHT=450&amp;WIDTH=450&amp;START_MAXIMIZED=FALS","E&amp;VAR:CALENDAR=US&amp;VAR:SYMBOL=CNI&amp;VAR:INDEX=0"}</definedName>
    <definedName name="_153__FDSAUDITLINK__" localSheetId="4" hidden="1">{"fdsup://directions/FAT Viewer?action=UPDATE&amp;creator=factset&amp;DYN_ARGS=TRUE&amp;DOC_NAME=FAT:FQL_AUDITING_CLIENT_TEMPLATE.FAT&amp;display_string=Audit&amp;VAR:KEY=NYPUZSLQVA&amp;VAR:QUERY=RkZfRUJJVERBKEFOTiwyMDEwKQ==&amp;WINDOW=FIRST_POPUP&amp;HEIGHT=450&amp;WIDTH=450&amp;START_MAXIMIZED=","FALSE&amp;VAR:CALENDAR=US&amp;VAR:SYMBOL=UNP&amp;VAR:INDEX=0"}</definedName>
    <definedName name="_153__FDSAUDITLINK__" localSheetId="5" hidden="1">{"fdsup://Directions/FactSet Auditing Viewer?action=AUDIT_VALUE&amp;DB=129&amp;ID1=65584410&amp;VALUEID=01001&amp;SDATE=2009&amp;PERIODTYPE=ANN_STD&amp;window=popup_no_bar&amp;width=385&amp;height=120&amp;START_MAXIMIZED=FALSE&amp;creator=factset&amp;display_string=Audit"}</definedName>
    <definedName name="_153__FDSAUDITLINK__" localSheetId="6" hidden="1">{"fdsup://Directions/FactSet Auditing Viewer?action=AUDIT_VALUE&amp;DB=129&amp;ID1=65584410&amp;VALUEID=01001&amp;SDATE=2009&amp;PERIODTYPE=ANN_STD&amp;window=popup_no_bar&amp;width=385&amp;height=120&amp;START_MAXIMIZED=FALSE&amp;creator=factset&amp;display_string=Audit"}</definedName>
    <definedName name="_153__FDSAUDITLINK__" hidden="1">{"fdsup://directions/FAT Viewer?action=UPDATE&amp;creator=factset&amp;DYN_ARGS=TRUE&amp;DOC_NAME=FAT:FQL_AUDITING_CLIENT_TEMPLATE.FAT&amp;display_string=Audit&amp;VAR:KEY=NYPUZSLQVA&amp;VAR:QUERY=RkZfRUJJVERBKEFOTiwyMDEwKQ==&amp;WINDOW=FIRST_POPUP&amp;HEIGHT=450&amp;WIDTH=450&amp;START_MAXIMIZED=","FALSE&amp;VAR:CALENDAR=US&amp;VAR:SYMBOL=UNP&amp;VAR:INDEX=0"}</definedName>
    <definedName name="_154__FDSAUDITLINK__" localSheetId="4" hidden="1">{"fdsup://directions/FAT Viewer?action=UPDATE&amp;creator=factset&amp;DYN_ARGS=TRUE&amp;DOC_NAME=FAT:FQL_AUDITING_CLIENT_TEMPLATE.FAT&amp;display_string=Audit&amp;VAR:KEY=HWRYLYPIFY&amp;VAR:QUERY=RkZfRUJJVERBKEFOTiwyMDEwKQ==&amp;WINDOW=FIRST_POPUP&amp;HEIGHT=450&amp;WIDTH=450&amp;START_MAXIMIZED=","FALSE&amp;VAR:CALENDAR=US&amp;VAR:SYMBOL=RA&amp;VAR:INDEX=0"}</definedName>
    <definedName name="_154__FDSAUDITLINK__" localSheetId="5" hidden="1">{"fdsup://Directions/FactSet Auditing Viewer?action=AUDIT_VALUE&amp;DB=129&amp;ID1=48517030&amp;VALUEID=01001&amp;SDATE=2009&amp;PERIODTYPE=ANN_STD&amp;window=popup_no_bar&amp;width=385&amp;height=120&amp;START_MAXIMIZED=FALSE&amp;creator=factset&amp;display_string=Audit"}</definedName>
    <definedName name="_154__FDSAUDITLINK__" localSheetId="6" hidden="1">{"fdsup://Directions/FactSet Auditing Viewer?action=AUDIT_VALUE&amp;DB=129&amp;ID1=48517030&amp;VALUEID=01001&amp;SDATE=2009&amp;PERIODTYPE=ANN_STD&amp;window=popup_no_bar&amp;width=385&amp;height=120&amp;START_MAXIMIZED=FALSE&amp;creator=factset&amp;display_string=Audit"}</definedName>
    <definedName name="_154__FDSAUDITLINK__" hidden="1">{"fdsup://directions/FAT Viewer?action=UPDATE&amp;creator=factset&amp;DYN_ARGS=TRUE&amp;DOC_NAME=FAT:FQL_AUDITING_CLIENT_TEMPLATE.FAT&amp;display_string=Audit&amp;VAR:KEY=HWRYLYPIFY&amp;VAR:QUERY=RkZfRUJJVERBKEFOTiwyMDEwKQ==&amp;WINDOW=FIRST_POPUP&amp;HEIGHT=450&amp;WIDTH=450&amp;START_MAXIMIZED=","FALSE&amp;VAR:CALENDAR=US&amp;VAR:SYMBOL=RA&amp;VAR:INDEX=0"}</definedName>
    <definedName name="_155__FDSAUDITLINK__" localSheetId="4" hidden="1">{"fdsup://directions/FAT Viewer?action=UPDATE&amp;creator=factset&amp;DYN_ARGS=TRUE&amp;DOC_NAME=FAT:FQL_AUDITING_CLIENT_TEMPLATE.FAT&amp;display_string=Audit&amp;VAR:KEY=RWNWNAXCJK&amp;VAR:QUERY=RkZfRUJJVERBKEFOTiwyMDEwKQ==&amp;WINDOW=FIRST_POPUP&amp;HEIGHT=450&amp;WIDTH=450&amp;START_MAXIMIZED=","FALSE&amp;VAR:CALENDAR=US&amp;VAR:SYMBOL=NSC&amp;VAR:INDEX=0"}</definedName>
    <definedName name="_155__FDSAUDITLINK__" localSheetId="5" hidden="1">{"fdsup://Directions/FactSet Auditing Viewer?action=AUDIT_VALUE&amp;DB=129&amp;ID1=37155910&amp;VALUEID=01001&amp;SDATE=2009&amp;PERIODTYPE=ANN_STD&amp;window=popup_no_bar&amp;width=385&amp;height=120&amp;START_MAXIMIZED=FALSE&amp;creator=factset&amp;display_string=Audit"}</definedName>
    <definedName name="_155__FDSAUDITLINK__" localSheetId="6" hidden="1">{"fdsup://Directions/FactSet Auditing Viewer?action=AUDIT_VALUE&amp;DB=129&amp;ID1=37155910&amp;VALUEID=01001&amp;SDATE=2009&amp;PERIODTYPE=ANN_STD&amp;window=popup_no_bar&amp;width=385&amp;height=120&amp;START_MAXIMIZED=FALSE&amp;creator=factset&amp;display_string=Audit"}</definedName>
    <definedName name="_155__FDSAUDITLINK__" hidden="1">{"fdsup://directions/FAT Viewer?action=UPDATE&amp;creator=factset&amp;DYN_ARGS=TRUE&amp;DOC_NAME=FAT:FQL_AUDITING_CLIENT_TEMPLATE.FAT&amp;display_string=Audit&amp;VAR:KEY=RWNWNAXCJK&amp;VAR:QUERY=RkZfRUJJVERBKEFOTiwyMDEwKQ==&amp;WINDOW=FIRST_POPUP&amp;HEIGHT=450&amp;WIDTH=450&amp;START_MAXIMIZED=","FALSE&amp;VAR:CALENDAR=US&amp;VAR:SYMBOL=NSC&amp;VAR:INDEX=0"}</definedName>
    <definedName name="_156__FDSAUDITLINK__" localSheetId="4" hidden="1">{"fdsup://directions/FAT Viewer?action=UPDATE&amp;creator=factset&amp;DYN_ARGS=TRUE&amp;DOC_NAME=FAT:FQL_AUDITING_CLIENT_TEMPLATE.FAT&amp;display_string=Audit&amp;VAR:KEY=ZSPGZCHCLI&amp;VAR:QUERY=RkZfRUJJVERBKEFOTiwyMDEwKQ==&amp;WINDOW=FIRST_POPUP&amp;HEIGHT=450&amp;WIDTH=450&amp;START_MAXIMIZED=","FALSE&amp;VAR:CALENDAR=US&amp;VAR:SYMBOL=KSU&amp;VAR:INDEX=0"}</definedName>
    <definedName name="_156__FDSAUDITLINK__" localSheetId="5" hidden="1">{"fdsup://Directions/FactSet Auditing Viewer?action=AUDIT_VALUE&amp;DB=129&amp;ID1=12640810&amp;VALUEID=01001&amp;SDATE=2009&amp;PERIODTYPE=ANN_STD&amp;window=popup_no_bar&amp;width=385&amp;height=120&amp;START_MAXIMIZED=FALSE&amp;creator=factset&amp;display_string=Audit"}</definedName>
    <definedName name="_156__FDSAUDITLINK__" localSheetId="6" hidden="1">{"fdsup://Directions/FactSet Auditing Viewer?action=AUDIT_VALUE&amp;DB=129&amp;ID1=12640810&amp;VALUEID=01001&amp;SDATE=2009&amp;PERIODTYPE=ANN_STD&amp;window=popup_no_bar&amp;width=385&amp;height=120&amp;START_MAXIMIZED=FALSE&amp;creator=factset&amp;display_string=Audit"}</definedName>
    <definedName name="_156__FDSAUDITLINK__" hidden="1">{"fdsup://directions/FAT Viewer?action=UPDATE&amp;creator=factset&amp;DYN_ARGS=TRUE&amp;DOC_NAME=FAT:FQL_AUDITING_CLIENT_TEMPLATE.FAT&amp;display_string=Audit&amp;VAR:KEY=ZSPGZCHCLI&amp;VAR:QUERY=RkZfRUJJVERBKEFOTiwyMDEwKQ==&amp;WINDOW=FIRST_POPUP&amp;HEIGHT=450&amp;WIDTH=450&amp;START_MAXIMIZED=","FALSE&amp;VAR:CALENDAR=US&amp;VAR:SYMBOL=KSU&amp;VAR:INDEX=0"}</definedName>
    <definedName name="_157__FDSAUDITLINK__" localSheetId="4" hidden="1">{"fdsup://directions/FAT Viewer?action=UPDATE&amp;creator=factset&amp;DYN_ARGS=TRUE&amp;DOC_NAME=FAT:FQL_AUDITING_CLIENT_TEMPLATE.FAT&amp;display_string=Audit&amp;VAR:KEY=ZOHQTSZKPK&amp;VAR:QUERY=RkZfRUJJVERBKEFOTiwyMDEwKQ==&amp;WINDOW=FIRST_POPUP&amp;HEIGHT=450&amp;WIDTH=450&amp;START_MAXIMIZED=","FALSE&amp;VAR:CALENDAR=US&amp;VAR:SYMBOL=GWR&amp;VAR:INDEX=0"}</definedName>
    <definedName name="_157__FDSAUDITLINK__" localSheetId="5" hidden="1">{"fdsup://directions/FAT Viewer?action=UPDATE&amp;creator=factset&amp;DYN_ARGS=TRUE&amp;DOC_NAME=FAT:FQL_AUDITING_CLIENT_TEMPLATE.FAT&amp;display_string=Audit&amp;VAR:KEY=ANGBAXMJIR&amp;VAR:QUERY=RkZfTkVUX0lOQyhBTk4sMjAwOSk=&amp;WINDOW=FIRST_POPUP&amp;HEIGHT=450&amp;WIDTH=450&amp;START_MAXIMIZED=","FALSE&amp;VAR:CALENDAR=US&amp;VAR:SYMBOL=UNP&amp;VAR:INDEX=0"}</definedName>
    <definedName name="_157__FDSAUDITLINK__" localSheetId="6" hidden="1">{"fdsup://directions/FAT Viewer?action=UPDATE&amp;creator=factset&amp;DYN_ARGS=TRUE&amp;DOC_NAME=FAT:FQL_AUDITING_CLIENT_TEMPLATE.FAT&amp;display_string=Audit&amp;VAR:KEY=ANGBAXMJIR&amp;VAR:QUERY=RkZfTkVUX0lOQyhBTk4sMjAwOSk=&amp;WINDOW=FIRST_POPUP&amp;HEIGHT=450&amp;WIDTH=450&amp;START_MAXIMIZED=","FALSE&amp;VAR:CALENDAR=US&amp;VAR:SYMBOL=UNP&amp;VAR:INDEX=0"}</definedName>
    <definedName name="_157__FDSAUDITLINK__" hidden="1">{"fdsup://directions/FAT Viewer?action=UPDATE&amp;creator=factset&amp;DYN_ARGS=TRUE&amp;DOC_NAME=FAT:FQL_AUDITING_CLIENT_TEMPLATE.FAT&amp;display_string=Audit&amp;VAR:KEY=ZOHQTSZKPK&amp;VAR:QUERY=RkZfRUJJVERBKEFOTiwyMDEwKQ==&amp;WINDOW=FIRST_POPUP&amp;HEIGHT=450&amp;WIDTH=450&amp;START_MAXIMIZED=","FALSE&amp;VAR:CALENDAR=US&amp;VAR:SYMBOL=GWR&amp;VAR:INDEX=0"}</definedName>
    <definedName name="_158__FDSAUDITLINK__" localSheetId="4" hidden="1">{"fdsup://directions/FAT Viewer?action=UPDATE&amp;creator=factset&amp;DYN_ARGS=TRUE&amp;DOC_NAME=FAT:FQL_AUDITING_CLIENT_TEMPLATE.FAT&amp;display_string=Audit&amp;VAR:KEY=PQLMHUNSDY&amp;VAR:QUERY=RkZfRUJJVERBKEFOTiwyMDEwKQ==&amp;WINDOW=FIRST_POPUP&amp;HEIGHT=450&amp;WIDTH=450&amp;START_MAXIMIZED=","FALSE&amp;VAR:CALENDAR=US&amp;VAR:SYMBOL=CSX&amp;VAR:INDEX=0"}</definedName>
    <definedName name="_158__FDSAUDITLINK__" localSheetId="5" hidden="1">{"fdsup://directions/FAT Viewer?action=UPDATE&amp;creator=factset&amp;DYN_ARGS=TRUE&amp;DOC_NAME=FAT:FQL_AUDITING_CLIENT_TEMPLATE.FAT&amp;display_string=Audit&amp;VAR:KEY=WRKHEPUPKH&amp;VAR:QUERY=RkZfTkVUX0lOQyhBTk4sMjAwOSk=&amp;WINDOW=FIRST_POPUP&amp;HEIGHT=450&amp;WIDTH=450&amp;START_MAXIMIZED=","FALSE&amp;VAR:CALENDAR=US&amp;VAR:SYMBOL=RA&amp;VAR:INDEX=0"}</definedName>
    <definedName name="_158__FDSAUDITLINK__" localSheetId="6" hidden="1">{"fdsup://directions/FAT Viewer?action=UPDATE&amp;creator=factset&amp;DYN_ARGS=TRUE&amp;DOC_NAME=FAT:FQL_AUDITING_CLIENT_TEMPLATE.FAT&amp;display_string=Audit&amp;VAR:KEY=WRKHEPUPKH&amp;VAR:QUERY=RkZfTkVUX0lOQyhBTk4sMjAwOSk=&amp;WINDOW=FIRST_POPUP&amp;HEIGHT=450&amp;WIDTH=450&amp;START_MAXIMIZED=","FALSE&amp;VAR:CALENDAR=US&amp;VAR:SYMBOL=RA&amp;VAR:INDEX=0"}</definedName>
    <definedName name="_158__FDSAUDITLINK__" hidden="1">{"fdsup://directions/FAT Viewer?action=UPDATE&amp;creator=factset&amp;DYN_ARGS=TRUE&amp;DOC_NAME=FAT:FQL_AUDITING_CLIENT_TEMPLATE.FAT&amp;display_string=Audit&amp;VAR:KEY=PQLMHUNSDY&amp;VAR:QUERY=RkZfRUJJVERBKEFOTiwyMDEwKQ==&amp;WINDOW=FIRST_POPUP&amp;HEIGHT=450&amp;WIDTH=450&amp;START_MAXIMIZED=","FALSE&amp;VAR:CALENDAR=US&amp;VAR:SYMBOL=CSX&amp;VAR:INDEX=0"}</definedName>
    <definedName name="_159__FDSAUDITLINK__" localSheetId="4" hidden="1">{"fdsup://directions/FAT Viewer?action=UPDATE&amp;creator=factset&amp;DYN_ARGS=TRUE&amp;DOC_NAME=FAT:FQL_AUDITING_CLIENT_TEMPLATE.FAT&amp;display_string=Audit&amp;VAR:KEY=TOBWXQLKPG&amp;VAR:QUERY=RkZfRUJJVERBKEFOTiwyMDEwKQ==&amp;WINDOW=FIRST_POPUP&amp;HEIGHT=450&amp;WIDTH=450&amp;START_MAXIMIZED=","FALSE&amp;VAR:CALENDAR=US&amp;VAR:SYMBOL=CP&amp;VAR:INDEX=0"}</definedName>
    <definedName name="_159__FDSAUDITLINK__" localSheetId="5" hidden="1">{"fdsup://directions/FAT Viewer?action=UPDATE&amp;creator=factset&amp;DYN_ARGS=TRUE&amp;DOC_NAME=FAT:FQL_AUDITING_CLIENT_TEMPLATE.FAT&amp;display_string=Audit&amp;VAR:KEY=CJYJWBARGH&amp;VAR:QUERY=RkZfTkVUX0lOQyhBTk4sMjAwOSk=&amp;WINDOW=FIRST_POPUP&amp;HEIGHT=450&amp;WIDTH=450&amp;START_MAXIMIZED=","FALSE&amp;VAR:CALENDAR=US&amp;VAR:SYMBOL=NSC&amp;VAR:INDEX=0"}</definedName>
    <definedName name="_159__FDSAUDITLINK__" localSheetId="6" hidden="1">{"fdsup://directions/FAT Viewer?action=UPDATE&amp;creator=factset&amp;DYN_ARGS=TRUE&amp;DOC_NAME=FAT:FQL_AUDITING_CLIENT_TEMPLATE.FAT&amp;display_string=Audit&amp;VAR:KEY=CJYJWBARGH&amp;VAR:QUERY=RkZfTkVUX0lOQyhBTk4sMjAwOSk=&amp;WINDOW=FIRST_POPUP&amp;HEIGHT=450&amp;WIDTH=450&amp;START_MAXIMIZED=","FALSE&amp;VAR:CALENDAR=US&amp;VAR:SYMBOL=NSC&amp;VAR:INDEX=0"}</definedName>
    <definedName name="_159__FDSAUDITLINK__" hidden="1">{"fdsup://directions/FAT Viewer?action=UPDATE&amp;creator=factset&amp;DYN_ARGS=TRUE&amp;DOC_NAME=FAT:FQL_AUDITING_CLIENT_TEMPLATE.FAT&amp;display_string=Audit&amp;VAR:KEY=TOBWXQLKPG&amp;VAR:QUERY=RkZfRUJJVERBKEFOTiwyMDEwKQ==&amp;WINDOW=FIRST_POPUP&amp;HEIGHT=450&amp;WIDTH=450&amp;START_MAXIMIZED=","FALSE&amp;VAR:CALENDAR=US&amp;VAR:SYMBOL=CP&amp;VAR:INDEX=0"}</definedName>
    <definedName name="_16__FDSAUDITLINK__" localSheetId="4" hidden="1">{"fdsup://directions/FAT Viewer?action=UPDATE&amp;creator=factset&amp;DYN_ARGS=TRUE&amp;DOC_NAME=FAT:FQL_AUDITING_CLIENT_TEMPLATE.FAT&amp;display_string=Audit&amp;VAR:KEY=GPYRITKBWH&amp;VAR:QUERY=RkZfRUJJVChBTk4sMjAxMCk=&amp;WINDOW=FIRST_POPUP&amp;HEIGHT=450&amp;WIDTH=450&amp;START_MAXIMIZED=FALS","E&amp;VAR:CALENDAR=US&amp;VAR:SYMBOL=CNI&amp;VAR:INDEX=0"}</definedName>
    <definedName name="_16__FDSAUDITLINK__" localSheetId="5" hidden="1">{"fdsup://Directions/FactSet Auditing Viewer?action=AUDIT_VALUE&amp;DB=129&amp;ID1=48517030&amp;VALUEID=01401&amp;SDATE=2009&amp;PERIODTYPE=ANN_STD&amp;window=popup_no_bar&amp;width=385&amp;height=120&amp;START_MAXIMIZED=FALSE&amp;creator=factset&amp;display_string=Audit"}</definedName>
    <definedName name="_16__FDSAUDITLINK__" localSheetId="6" hidden="1">{"fdsup://Directions/FactSet Auditing Viewer?action=AUDIT_VALUE&amp;DB=129&amp;ID1=48517030&amp;VALUEID=01401&amp;SDATE=2009&amp;PERIODTYPE=ANN_STD&amp;window=popup_no_bar&amp;width=385&amp;height=120&amp;START_MAXIMIZED=FALSE&amp;creator=factset&amp;display_string=Audit"}</definedName>
    <definedName name="_16__FDSAUDITLINK__" hidden="1">{"fdsup://directions/FAT Viewer?action=UPDATE&amp;creator=factset&amp;DYN_ARGS=TRUE&amp;DOC_NAME=FAT:FQL_AUDITING_CLIENT_TEMPLATE.FAT&amp;display_string=Audit&amp;VAR:KEY=GPYRITKBWH&amp;VAR:QUERY=RkZfRUJJVChBTk4sMjAxMCk=&amp;WINDOW=FIRST_POPUP&amp;HEIGHT=450&amp;WIDTH=450&amp;START_MAXIMIZED=FALS","E&amp;VAR:CALENDAR=US&amp;VAR:SYMBOL=CNI&amp;VAR:INDEX=0"}</definedName>
    <definedName name="_160__FDSAUDITLINK__" localSheetId="4" hidden="1">{"fdsup://directions/FAT Viewer?action=UPDATE&amp;creator=factset&amp;DYN_ARGS=TRUE&amp;DOC_NAME=FAT:FQL_AUDITING_CLIENT_TEMPLATE.FAT&amp;display_string=Audit&amp;VAR:KEY=FILMJGJSXK&amp;VAR:QUERY=RkZfRUJJVERBKEFOTiwyMDEwKQ==&amp;WINDOW=FIRST_POPUP&amp;HEIGHT=450&amp;WIDTH=450&amp;START_MAXIMIZED=","FALSE&amp;VAR:CALENDAR=US&amp;VAR:SYMBOL=CNI&amp;VAR:INDEX=0"}</definedName>
    <definedName name="_160__FDSAUDITLINK__" localSheetId="5" hidden="1">{"fdsup://directions/FAT Viewer?action=UPDATE&amp;creator=factset&amp;DYN_ARGS=TRUE&amp;DOC_NAME=FAT:FQL_AUDITING_CLIENT_TEMPLATE.FAT&amp;display_string=Audit&amp;VAR:KEY=GJCZAPULOX&amp;VAR:QUERY=RkZfTkVUX0lOQyhBTk4sMjAwOSk=&amp;WINDOW=FIRST_POPUP&amp;HEIGHT=450&amp;WIDTH=450&amp;START_MAXIMIZED=","FALSE&amp;VAR:CALENDAR=US&amp;VAR:SYMBOL=KSU&amp;VAR:INDEX=0"}</definedName>
    <definedName name="_160__FDSAUDITLINK__" localSheetId="6" hidden="1">{"fdsup://directions/FAT Viewer?action=UPDATE&amp;creator=factset&amp;DYN_ARGS=TRUE&amp;DOC_NAME=FAT:FQL_AUDITING_CLIENT_TEMPLATE.FAT&amp;display_string=Audit&amp;VAR:KEY=GJCZAPULOX&amp;VAR:QUERY=RkZfTkVUX0lOQyhBTk4sMjAwOSk=&amp;WINDOW=FIRST_POPUP&amp;HEIGHT=450&amp;WIDTH=450&amp;START_MAXIMIZED=","FALSE&amp;VAR:CALENDAR=US&amp;VAR:SYMBOL=KSU&amp;VAR:INDEX=0"}</definedName>
    <definedName name="_160__FDSAUDITLINK__" hidden="1">{"fdsup://directions/FAT Viewer?action=UPDATE&amp;creator=factset&amp;DYN_ARGS=TRUE&amp;DOC_NAME=FAT:FQL_AUDITING_CLIENT_TEMPLATE.FAT&amp;display_string=Audit&amp;VAR:KEY=FILMJGJSXK&amp;VAR:QUERY=RkZfRUJJVERBKEFOTiwyMDEwKQ==&amp;WINDOW=FIRST_POPUP&amp;HEIGHT=450&amp;WIDTH=450&amp;START_MAXIMIZED=","FALSE&amp;VAR:CALENDAR=US&amp;VAR:SYMBOL=CNI&amp;VAR:INDEX=0"}</definedName>
    <definedName name="_161__FDSAUDITLINK__" localSheetId="4" hidden="1">{"fdsup://directions/FAT Viewer?action=UPDATE&amp;creator=factset&amp;DYN_ARGS=TRUE&amp;DOC_NAME=FAT:FQL_AUDITING_CLIENT_TEMPLATE.FAT&amp;display_string=Audit&amp;VAR:KEY=NQPIJATGHS&amp;VAR:QUERY=RkZfTkVUX0lOQyhBTk4sMjAxMCk=&amp;WINDOW=FIRST_POPUP&amp;HEIGHT=450&amp;WIDTH=450&amp;START_MAXIMIZED=","FALSE&amp;VAR:CALENDAR=US&amp;VAR:SYMBOL=UNP&amp;VAR:INDEX=0"}</definedName>
    <definedName name="_161__FDSAUDITLINK__" localSheetId="5" hidden="1">{"fdsup://directions/FAT Viewer?action=UPDATE&amp;creator=factset&amp;DYN_ARGS=TRUE&amp;DOC_NAME=FAT:FQL_AUDITING_CLIENT_TEMPLATE.FAT&amp;display_string=Audit&amp;VAR:KEY=WXAHGFODMX&amp;VAR:QUERY=RkZfTkVUX0lOQyhBTk4sMjAwOSk=&amp;WINDOW=FIRST_POPUP&amp;HEIGHT=450&amp;WIDTH=450&amp;START_MAXIMIZED=","FALSE&amp;VAR:CALENDAR=US&amp;VAR:SYMBOL=GWR&amp;VAR:INDEX=0"}</definedName>
    <definedName name="_161__FDSAUDITLINK__" localSheetId="6" hidden="1">{"fdsup://directions/FAT Viewer?action=UPDATE&amp;creator=factset&amp;DYN_ARGS=TRUE&amp;DOC_NAME=FAT:FQL_AUDITING_CLIENT_TEMPLATE.FAT&amp;display_string=Audit&amp;VAR:KEY=WXAHGFODMX&amp;VAR:QUERY=RkZfTkVUX0lOQyhBTk4sMjAwOSk=&amp;WINDOW=FIRST_POPUP&amp;HEIGHT=450&amp;WIDTH=450&amp;START_MAXIMIZED=","FALSE&amp;VAR:CALENDAR=US&amp;VAR:SYMBOL=GWR&amp;VAR:INDEX=0"}</definedName>
    <definedName name="_161__FDSAUDITLINK__" hidden="1">{"fdsup://directions/FAT Viewer?action=UPDATE&amp;creator=factset&amp;DYN_ARGS=TRUE&amp;DOC_NAME=FAT:FQL_AUDITING_CLIENT_TEMPLATE.FAT&amp;display_string=Audit&amp;VAR:KEY=NQPIJATGHS&amp;VAR:QUERY=RkZfTkVUX0lOQyhBTk4sMjAxMCk=&amp;WINDOW=FIRST_POPUP&amp;HEIGHT=450&amp;WIDTH=450&amp;START_MAXIMIZED=","FALSE&amp;VAR:CALENDAR=US&amp;VAR:SYMBOL=UNP&amp;VAR:INDEX=0"}</definedName>
    <definedName name="_162__FDSAUDITLINK__" localSheetId="4" hidden="1">{"fdsup://directions/FAT Viewer?action=UPDATE&amp;creator=factset&amp;DYN_ARGS=TRUE&amp;DOC_NAME=FAT:FQL_AUDITING_CLIENT_TEMPLATE.FAT&amp;display_string=Audit&amp;VAR:KEY=TALGXWRMTO&amp;VAR:QUERY=RkZfTkVUX0lOQyhBTk4sMjAxMCk=&amp;WINDOW=FIRST_POPUP&amp;HEIGHT=450&amp;WIDTH=450&amp;START_MAXIMIZED=","FALSE&amp;VAR:CALENDAR=US&amp;VAR:SYMBOL=RA&amp;VAR:INDEX=0"}</definedName>
    <definedName name="_162__FDSAUDITLINK__" localSheetId="5" hidden="1">{"fdsup://directions/FAT Viewer?action=UPDATE&amp;creator=factset&amp;DYN_ARGS=TRUE&amp;DOC_NAME=FAT:FQL_AUDITING_CLIENT_TEMPLATE.FAT&amp;display_string=Audit&amp;VAR:KEY=GJSJUZSNOH&amp;VAR:QUERY=RkZfTkVUX0lOQyhBTk4sMjAwOSk=&amp;WINDOW=FIRST_POPUP&amp;HEIGHT=450&amp;WIDTH=450&amp;START_MAXIMIZED=","FALSE&amp;VAR:CALENDAR=US&amp;VAR:SYMBOL=CSX&amp;VAR:INDEX=0"}</definedName>
    <definedName name="_162__FDSAUDITLINK__" localSheetId="6" hidden="1">{"fdsup://directions/FAT Viewer?action=UPDATE&amp;creator=factset&amp;DYN_ARGS=TRUE&amp;DOC_NAME=FAT:FQL_AUDITING_CLIENT_TEMPLATE.FAT&amp;display_string=Audit&amp;VAR:KEY=GJSJUZSNOH&amp;VAR:QUERY=RkZfTkVUX0lOQyhBTk4sMjAwOSk=&amp;WINDOW=FIRST_POPUP&amp;HEIGHT=450&amp;WIDTH=450&amp;START_MAXIMIZED=","FALSE&amp;VAR:CALENDAR=US&amp;VAR:SYMBOL=CSX&amp;VAR:INDEX=0"}</definedName>
    <definedName name="_162__FDSAUDITLINK__" hidden="1">{"fdsup://directions/FAT Viewer?action=UPDATE&amp;creator=factset&amp;DYN_ARGS=TRUE&amp;DOC_NAME=FAT:FQL_AUDITING_CLIENT_TEMPLATE.FAT&amp;display_string=Audit&amp;VAR:KEY=TALGXWRMTO&amp;VAR:QUERY=RkZfTkVUX0lOQyhBTk4sMjAxMCk=&amp;WINDOW=FIRST_POPUP&amp;HEIGHT=450&amp;WIDTH=450&amp;START_MAXIMIZED=","FALSE&amp;VAR:CALENDAR=US&amp;VAR:SYMBOL=RA&amp;VAR:INDEX=0"}</definedName>
    <definedName name="_163__FDSAUDITLINK__" localSheetId="4" hidden="1">{"fdsup://directions/FAT Viewer?action=UPDATE&amp;creator=factset&amp;DYN_ARGS=TRUE&amp;DOC_NAME=FAT:FQL_AUDITING_CLIENT_TEMPLATE.FAT&amp;display_string=Audit&amp;VAR:KEY=HMBQPKXIDA&amp;VAR:QUERY=RkZfTkVUX0lOQyhBTk4sMjAxMCk=&amp;WINDOW=FIRST_POPUP&amp;HEIGHT=450&amp;WIDTH=450&amp;START_MAXIMIZED=","FALSE&amp;VAR:CALENDAR=US&amp;VAR:SYMBOL=NSC&amp;VAR:INDEX=0"}</definedName>
    <definedName name="_163__FDSAUDITLINK__" localSheetId="5" hidden="1">{"fdsup://directions/FAT Viewer?action=UPDATE&amp;creator=factset&amp;DYN_ARGS=TRUE&amp;DOC_NAME=FAT:FQL_AUDITING_CLIENT_TEMPLATE.FAT&amp;display_string=Audit&amp;VAR:KEY=ARGDMXEBWP&amp;VAR:QUERY=RkZfTkVUX0lOQyhBTk4sMjAwOSk=&amp;WINDOW=FIRST_POPUP&amp;HEIGHT=450&amp;WIDTH=450&amp;START_MAXIMIZED=","FALSE&amp;VAR:CALENDAR=US&amp;VAR:SYMBOL=CP&amp;VAR:INDEX=0"}</definedName>
    <definedName name="_163__FDSAUDITLINK__" localSheetId="6" hidden="1">{"fdsup://directions/FAT Viewer?action=UPDATE&amp;creator=factset&amp;DYN_ARGS=TRUE&amp;DOC_NAME=FAT:FQL_AUDITING_CLIENT_TEMPLATE.FAT&amp;display_string=Audit&amp;VAR:KEY=ARGDMXEBWP&amp;VAR:QUERY=RkZfTkVUX0lOQyhBTk4sMjAwOSk=&amp;WINDOW=FIRST_POPUP&amp;HEIGHT=450&amp;WIDTH=450&amp;START_MAXIMIZED=","FALSE&amp;VAR:CALENDAR=US&amp;VAR:SYMBOL=CP&amp;VAR:INDEX=0"}</definedName>
    <definedName name="_163__FDSAUDITLINK__" hidden="1">{"fdsup://directions/FAT Viewer?action=UPDATE&amp;creator=factset&amp;DYN_ARGS=TRUE&amp;DOC_NAME=FAT:FQL_AUDITING_CLIENT_TEMPLATE.FAT&amp;display_string=Audit&amp;VAR:KEY=HMBQPKXIDA&amp;VAR:QUERY=RkZfTkVUX0lOQyhBTk4sMjAxMCk=&amp;WINDOW=FIRST_POPUP&amp;HEIGHT=450&amp;WIDTH=450&amp;START_MAXIMIZED=","FALSE&amp;VAR:CALENDAR=US&amp;VAR:SYMBOL=NSC&amp;VAR:INDEX=0"}</definedName>
    <definedName name="_164__FDSAUDITLINK__" localSheetId="4" hidden="1">{"fdsup://directions/FAT Viewer?action=UPDATE&amp;creator=factset&amp;DYN_ARGS=TRUE&amp;DOC_NAME=FAT:FQL_AUDITING_CLIENT_TEMPLATE.FAT&amp;display_string=Audit&amp;VAR:KEY=NWRKRUFQBQ&amp;VAR:QUERY=RkZfTkVUX0lOQyhBTk4sMjAxMCk=&amp;WINDOW=FIRST_POPUP&amp;HEIGHT=450&amp;WIDTH=450&amp;START_MAXIMIZED=","FALSE&amp;VAR:CALENDAR=US&amp;VAR:SYMBOL=KSU&amp;VAR:INDEX=0"}</definedName>
    <definedName name="_164__FDSAUDITLINK__" localSheetId="5" hidden="1">{"fdsup://directions/FAT Viewer?action=UPDATE&amp;creator=factset&amp;DYN_ARGS=TRUE&amp;DOC_NAME=FAT:FQL_AUDITING_CLIENT_TEMPLATE.FAT&amp;display_string=Audit&amp;VAR:KEY=CTIRWDKLYN&amp;VAR:QUERY=RkZfTkVUX0lOQyhBTk4sMjAwOSk=&amp;WINDOW=FIRST_POPUP&amp;HEIGHT=450&amp;WIDTH=450&amp;START_MAXIMIZED=","FALSE&amp;VAR:CALENDAR=US&amp;VAR:SYMBOL=CNI&amp;VAR:INDEX=0"}</definedName>
    <definedName name="_164__FDSAUDITLINK__" localSheetId="6" hidden="1">{"fdsup://directions/FAT Viewer?action=UPDATE&amp;creator=factset&amp;DYN_ARGS=TRUE&amp;DOC_NAME=FAT:FQL_AUDITING_CLIENT_TEMPLATE.FAT&amp;display_string=Audit&amp;VAR:KEY=CTIRWDKLYN&amp;VAR:QUERY=RkZfTkVUX0lOQyhBTk4sMjAwOSk=&amp;WINDOW=FIRST_POPUP&amp;HEIGHT=450&amp;WIDTH=450&amp;START_MAXIMIZED=","FALSE&amp;VAR:CALENDAR=US&amp;VAR:SYMBOL=CNI&amp;VAR:INDEX=0"}</definedName>
    <definedName name="_164__FDSAUDITLINK__" hidden="1">{"fdsup://directions/FAT Viewer?action=UPDATE&amp;creator=factset&amp;DYN_ARGS=TRUE&amp;DOC_NAME=FAT:FQL_AUDITING_CLIENT_TEMPLATE.FAT&amp;display_string=Audit&amp;VAR:KEY=NWRKRUFQBQ&amp;VAR:QUERY=RkZfTkVUX0lOQyhBTk4sMjAxMCk=&amp;WINDOW=FIRST_POPUP&amp;HEIGHT=450&amp;WIDTH=450&amp;START_MAXIMIZED=","FALSE&amp;VAR:CALENDAR=US&amp;VAR:SYMBOL=KSU&amp;VAR:INDEX=0"}</definedName>
    <definedName name="_165__FDSAUDITLINK__" localSheetId="4" hidden="1">{"fdsup://directions/FAT Viewer?action=UPDATE&amp;creator=factset&amp;DYN_ARGS=TRUE&amp;DOC_NAME=FAT:FQL_AUDITING_CLIENT_TEMPLATE.FAT&amp;display_string=Audit&amp;VAR:KEY=PSHITCFIVG&amp;VAR:QUERY=RkZfTkVUX0lOQyhBTk4sMjAxMCk=&amp;WINDOW=FIRST_POPUP&amp;HEIGHT=450&amp;WIDTH=450&amp;START_MAXIMIZED=","FALSE&amp;VAR:CALENDAR=US&amp;VAR:SYMBOL=GWR&amp;VAR:INDEX=0"}</definedName>
    <definedName name="_165__FDSAUDITLINK__" localSheetId="5" hidden="1">{"fdsup://Directions/FactSet Auditing Viewer?action=AUDIT_VALUE&amp;DB=129&amp;ID1=90781810&amp;VALUEID=01250&amp;SDATE=2009&amp;PERIODTYPE=ANN_STD&amp;window=popup_no_bar&amp;width=385&amp;height=120&amp;START_MAXIMIZED=FALSE&amp;creator=factset&amp;display_string=Audit"}</definedName>
    <definedName name="_165__FDSAUDITLINK__" localSheetId="6" hidden="1">{"fdsup://Directions/FactSet Auditing Viewer?action=AUDIT_VALUE&amp;DB=129&amp;ID1=90781810&amp;VALUEID=01250&amp;SDATE=2009&amp;PERIODTYPE=ANN_STD&amp;window=popup_no_bar&amp;width=385&amp;height=120&amp;START_MAXIMIZED=FALSE&amp;creator=factset&amp;display_string=Audit"}</definedName>
    <definedName name="_165__FDSAUDITLINK__" hidden="1">{"fdsup://directions/FAT Viewer?action=UPDATE&amp;creator=factset&amp;DYN_ARGS=TRUE&amp;DOC_NAME=FAT:FQL_AUDITING_CLIENT_TEMPLATE.FAT&amp;display_string=Audit&amp;VAR:KEY=PSHITCFIVG&amp;VAR:QUERY=RkZfTkVUX0lOQyhBTk4sMjAxMCk=&amp;WINDOW=FIRST_POPUP&amp;HEIGHT=450&amp;WIDTH=450&amp;START_MAXIMIZED=","FALSE&amp;VAR:CALENDAR=US&amp;VAR:SYMBOL=GWR&amp;VAR:INDEX=0"}</definedName>
    <definedName name="_166__FDSAUDITLINK__" localSheetId="4" hidden="1">{"fdsup://directions/FAT Viewer?action=UPDATE&amp;creator=factset&amp;DYN_ARGS=TRUE&amp;DOC_NAME=FAT:FQL_AUDITING_CLIENT_TEMPLATE.FAT&amp;display_string=Audit&amp;VAR:KEY=TEJSHGRUZU&amp;VAR:QUERY=RkZfTkVUX0lOQyhBTk4sMjAxMCk=&amp;WINDOW=FIRST_POPUP&amp;HEIGHT=450&amp;WIDTH=450&amp;START_MAXIMIZED=","FALSE&amp;VAR:CALENDAR=US&amp;VAR:SYMBOL=CSX&amp;VAR:INDEX=0"}</definedName>
    <definedName name="_166__FDSAUDITLINK__" localSheetId="5" hidden="1">{"fdsup://Directions/FactSet Auditing Viewer?action=AUDIT_VALUE&amp;DB=129&amp;ID1=75075340&amp;VALUEID=01250&amp;SDATE=2009&amp;PERIODTYPE=ANN_STD&amp;window=popup_no_bar&amp;width=385&amp;height=120&amp;START_MAXIMIZED=FALSE&amp;creator=factset&amp;display_string=Audit"}</definedName>
    <definedName name="_166__FDSAUDITLINK__" localSheetId="6" hidden="1">{"fdsup://Directions/FactSet Auditing Viewer?action=AUDIT_VALUE&amp;DB=129&amp;ID1=75075340&amp;VALUEID=01250&amp;SDATE=2009&amp;PERIODTYPE=ANN_STD&amp;window=popup_no_bar&amp;width=385&amp;height=120&amp;START_MAXIMIZED=FALSE&amp;creator=factset&amp;display_string=Audit"}</definedName>
    <definedName name="_166__FDSAUDITLINK__" hidden="1">{"fdsup://directions/FAT Viewer?action=UPDATE&amp;creator=factset&amp;DYN_ARGS=TRUE&amp;DOC_NAME=FAT:FQL_AUDITING_CLIENT_TEMPLATE.FAT&amp;display_string=Audit&amp;VAR:KEY=TEJSHGRUZU&amp;VAR:QUERY=RkZfTkVUX0lOQyhBTk4sMjAxMCk=&amp;WINDOW=FIRST_POPUP&amp;HEIGHT=450&amp;WIDTH=450&amp;START_MAXIMIZED=","FALSE&amp;VAR:CALENDAR=US&amp;VAR:SYMBOL=CSX&amp;VAR:INDEX=0"}</definedName>
    <definedName name="_167__FDSAUDITLINK__" localSheetId="4" hidden="1">{"fdsup://directions/FAT Viewer?action=UPDATE&amp;creator=factset&amp;DYN_ARGS=TRUE&amp;DOC_NAME=FAT:FQL_AUDITING_CLIENT_TEMPLATE.FAT&amp;display_string=Audit&amp;VAR:KEY=PUVSNUNGVG&amp;VAR:QUERY=RkZfTkVUX0lOQyhBTk4sMjAxMCk=&amp;WINDOW=FIRST_POPUP&amp;HEIGHT=450&amp;WIDTH=450&amp;START_MAXIMIZED=","FALSE&amp;VAR:CALENDAR=US&amp;VAR:SYMBOL=CP&amp;VAR:INDEX=0"}</definedName>
    <definedName name="_167__FDSAUDITLINK__" localSheetId="5" hidden="1">{"fdsup://Directions/FactSet Auditing Viewer?action=AUDIT_VALUE&amp;DB=129&amp;ID1=65584410&amp;VALUEID=01250&amp;SDATE=2009&amp;PERIODTYPE=ANN_STD&amp;window=popup_no_bar&amp;width=385&amp;height=120&amp;START_MAXIMIZED=FALSE&amp;creator=factset&amp;display_string=Audit"}</definedName>
    <definedName name="_167__FDSAUDITLINK__" localSheetId="6" hidden="1">{"fdsup://Directions/FactSet Auditing Viewer?action=AUDIT_VALUE&amp;DB=129&amp;ID1=65584410&amp;VALUEID=01250&amp;SDATE=2009&amp;PERIODTYPE=ANN_STD&amp;window=popup_no_bar&amp;width=385&amp;height=120&amp;START_MAXIMIZED=FALSE&amp;creator=factset&amp;display_string=Audit"}</definedName>
    <definedName name="_167__FDSAUDITLINK__" hidden="1">{"fdsup://directions/FAT Viewer?action=UPDATE&amp;creator=factset&amp;DYN_ARGS=TRUE&amp;DOC_NAME=FAT:FQL_AUDITING_CLIENT_TEMPLATE.FAT&amp;display_string=Audit&amp;VAR:KEY=PUVSNUNGVG&amp;VAR:QUERY=RkZfTkVUX0lOQyhBTk4sMjAxMCk=&amp;WINDOW=FIRST_POPUP&amp;HEIGHT=450&amp;WIDTH=450&amp;START_MAXIMIZED=","FALSE&amp;VAR:CALENDAR=US&amp;VAR:SYMBOL=CP&amp;VAR:INDEX=0"}</definedName>
    <definedName name="_168__FDSAUDITLINK__" localSheetId="4" hidden="1">{"fdsup://directions/FAT Viewer?action=UPDATE&amp;creator=factset&amp;DYN_ARGS=TRUE&amp;DOC_NAME=FAT:FQL_AUDITING_CLIENT_TEMPLATE.FAT&amp;display_string=Audit&amp;VAR:KEY=PIRGRKDAXG&amp;VAR:QUERY=RkZfTkVUX0lOQyhBTk4sMjAxMCk=&amp;WINDOW=FIRST_POPUP&amp;HEIGHT=450&amp;WIDTH=450&amp;START_MAXIMIZED=","FALSE&amp;VAR:CALENDAR=US&amp;VAR:SYMBOL=CNI&amp;VAR:INDEX=0"}</definedName>
    <definedName name="_168__FDSAUDITLINK__" localSheetId="5" hidden="1">{"fdsup://Directions/FactSet Auditing Viewer?action=AUDIT_VALUE&amp;DB=129&amp;ID1=48517030&amp;VALUEID=01250&amp;SDATE=2009&amp;PERIODTYPE=ANN_STD&amp;window=popup_no_bar&amp;width=385&amp;height=120&amp;START_MAXIMIZED=FALSE&amp;creator=factset&amp;display_string=Audit"}</definedName>
    <definedName name="_168__FDSAUDITLINK__" localSheetId="6" hidden="1">{"fdsup://Directions/FactSet Auditing Viewer?action=AUDIT_VALUE&amp;DB=129&amp;ID1=48517030&amp;VALUEID=01250&amp;SDATE=2009&amp;PERIODTYPE=ANN_STD&amp;window=popup_no_bar&amp;width=385&amp;height=120&amp;START_MAXIMIZED=FALSE&amp;creator=factset&amp;display_string=Audit"}</definedName>
    <definedName name="_168__FDSAUDITLINK__" hidden="1">{"fdsup://directions/FAT Viewer?action=UPDATE&amp;creator=factset&amp;DYN_ARGS=TRUE&amp;DOC_NAME=FAT:FQL_AUDITING_CLIENT_TEMPLATE.FAT&amp;display_string=Audit&amp;VAR:KEY=PIRGRKDAXG&amp;VAR:QUERY=RkZfTkVUX0lOQyhBTk4sMjAxMCk=&amp;WINDOW=FIRST_POPUP&amp;HEIGHT=450&amp;WIDTH=450&amp;START_MAXIMIZED=","FALSE&amp;VAR:CALENDAR=US&amp;VAR:SYMBOL=CNI&amp;VAR:INDEX=0"}</definedName>
    <definedName name="_169__FDSAUDITLINK__" localSheetId="4" hidden="1">{"fdsup://directions/FAT Viewer?action=UPDATE&amp;creator=factset&amp;DYN_ARGS=TRUE&amp;DOC_NAME=FAT:FQL_AUDITING_CLIENT_TEMPLATE.FAT&amp;display_string=Audit&amp;VAR:KEY=NQXCBEJGFG&amp;VAR:QUERY=RkZfRUJJVChBTk4sMjAxMCk=&amp;WINDOW=FIRST_POPUP&amp;HEIGHT=450&amp;WIDTH=450&amp;START_MAXIMIZED=FALS","E&amp;VAR:CALENDAR=US&amp;VAR:SYMBOL=UNP&amp;VAR:INDEX=0"}</definedName>
    <definedName name="_169__FDSAUDITLINK__" localSheetId="5" hidden="1">{"fdsup://Directions/FactSet Auditing Viewer?action=AUDIT_VALUE&amp;DB=129&amp;ID1=37155910&amp;VALUEID=01250&amp;SDATE=2009&amp;PERIODTYPE=ANN_STD&amp;window=popup_no_bar&amp;width=385&amp;height=120&amp;START_MAXIMIZED=FALSE&amp;creator=factset&amp;display_string=Audit"}</definedName>
    <definedName name="_169__FDSAUDITLINK__" localSheetId="6" hidden="1">{"fdsup://Directions/FactSet Auditing Viewer?action=AUDIT_VALUE&amp;DB=129&amp;ID1=37155910&amp;VALUEID=01250&amp;SDATE=2009&amp;PERIODTYPE=ANN_STD&amp;window=popup_no_bar&amp;width=385&amp;height=120&amp;START_MAXIMIZED=FALSE&amp;creator=factset&amp;display_string=Audit"}</definedName>
    <definedName name="_169__FDSAUDITLINK__" hidden="1">{"fdsup://directions/FAT Viewer?action=UPDATE&amp;creator=factset&amp;DYN_ARGS=TRUE&amp;DOC_NAME=FAT:FQL_AUDITING_CLIENT_TEMPLATE.FAT&amp;display_string=Audit&amp;VAR:KEY=NQXCBEJGFG&amp;VAR:QUERY=RkZfRUJJVChBTk4sMjAxMCk=&amp;WINDOW=FIRST_POPUP&amp;HEIGHT=450&amp;WIDTH=450&amp;START_MAXIMIZED=FALS","E&amp;VAR:CALENDAR=US&amp;VAR:SYMBOL=UNP&amp;VAR:INDEX=0"}</definedName>
    <definedName name="_17__FDSAUDITLINK__" localSheetId="4" hidden="1">{"fdsup://directions/FAT Viewer?action=UPDATE&amp;creator=factset&amp;DYN_ARGS=TRUE&amp;DOC_NAME=FAT:FQL_AUDITING_CLIENT_TEMPLATE.FAT&amp;display_string=Audit&amp;VAR:KEY=ONQHQDUZKF&amp;VAR:QUERY=RkZfRUJJVERBKEFOTiwyMDEwKQ==&amp;WINDOW=FIRST_POPUP&amp;HEIGHT=450&amp;WIDTH=450&amp;START_MAXIMIZED=","FALSE&amp;VAR:CALENDAR=US&amp;VAR:SYMBOL=UNP&amp;VAR:INDEX=0"}</definedName>
    <definedName name="_17__FDSAUDITLINK__" localSheetId="5" hidden="1">{"fdsup://Directions/FactSet Auditing Viewer?action=AUDIT_VALUE&amp;DB=129&amp;ID1=37155910&amp;VALUEID=01401&amp;SDATE=2009&amp;PERIODTYPE=ANN_STD&amp;window=popup_no_bar&amp;width=385&amp;height=120&amp;START_MAXIMIZED=FALSE&amp;creator=factset&amp;display_string=Audit"}</definedName>
    <definedName name="_17__FDSAUDITLINK__" localSheetId="6" hidden="1">{"fdsup://Directions/FactSet Auditing Viewer?action=AUDIT_VALUE&amp;DB=129&amp;ID1=37155910&amp;VALUEID=01401&amp;SDATE=2009&amp;PERIODTYPE=ANN_STD&amp;window=popup_no_bar&amp;width=385&amp;height=120&amp;START_MAXIMIZED=FALSE&amp;creator=factset&amp;display_string=Audit"}</definedName>
    <definedName name="_17__FDSAUDITLINK__" hidden="1">{"fdsup://directions/FAT Viewer?action=UPDATE&amp;creator=factset&amp;DYN_ARGS=TRUE&amp;DOC_NAME=FAT:FQL_AUDITING_CLIENT_TEMPLATE.FAT&amp;display_string=Audit&amp;VAR:KEY=ONQHQDUZKF&amp;VAR:QUERY=RkZfRUJJVERBKEFOTiwyMDEwKQ==&amp;WINDOW=FIRST_POPUP&amp;HEIGHT=450&amp;WIDTH=450&amp;START_MAXIMIZED=","FALSE&amp;VAR:CALENDAR=US&amp;VAR:SYMBOL=UNP&amp;VAR:INDEX=0"}</definedName>
    <definedName name="_170__FDSAUDITLINK__" localSheetId="4" hidden="1">{"fdsup://directions/FAT Viewer?action=UPDATE&amp;creator=factset&amp;DYN_ARGS=TRUE&amp;DOC_NAME=FAT:FQL_AUDITING_CLIENT_TEMPLATE.FAT&amp;display_string=Audit&amp;VAR:KEY=LCROTGTGRW&amp;VAR:QUERY=RkZfRUJJVChBTk4sMjAxMCk=&amp;WINDOW=FIRST_POPUP&amp;HEIGHT=450&amp;WIDTH=450&amp;START_MAXIMIZED=FALS","E&amp;VAR:CALENDAR=US&amp;VAR:SYMBOL=RA&amp;VAR:INDEX=0"}</definedName>
    <definedName name="_170__FDSAUDITLINK__" localSheetId="5" hidden="1">{"fdsup://Directions/FactSet Auditing Viewer?action=AUDIT_VALUE&amp;DB=129&amp;ID1=12640810&amp;VALUEID=01250&amp;SDATE=2009&amp;PERIODTYPE=ANN_STD&amp;window=popup_no_bar&amp;width=385&amp;height=120&amp;START_MAXIMIZED=FALSE&amp;creator=factset&amp;display_string=Audit"}</definedName>
    <definedName name="_170__FDSAUDITLINK__" localSheetId="6" hidden="1">{"fdsup://Directions/FactSet Auditing Viewer?action=AUDIT_VALUE&amp;DB=129&amp;ID1=12640810&amp;VALUEID=01250&amp;SDATE=2009&amp;PERIODTYPE=ANN_STD&amp;window=popup_no_bar&amp;width=385&amp;height=120&amp;START_MAXIMIZED=FALSE&amp;creator=factset&amp;display_string=Audit"}</definedName>
    <definedName name="_170__FDSAUDITLINK__" hidden="1">{"fdsup://directions/FAT Viewer?action=UPDATE&amp;creator=factset&amp;DYN_ARGS=TRUE&amp;DOC_NAME=FAT:FQL_AUDITING_CLIENT_TEMPLATE.FAT&amp;display_string=Audit&amp;VAR:KEY=LCROTGTGRW&amp;VAR:QUERY=RkZfRUJJVChBTk4sMjAxMCk=&amp;WINDOW=FIRST_POPUP&amp;HEIGHT=450&amp;WIDTH=450&amp;START_MAXIMIZED=FALS","E&amp;VAR:CALENDAR=US&amp;VAR:SYMBOL=RA&amp;VAR:INDEX=0"}</definedName>
    <definedName name="_171__FDSAUDITLINK__" localSheetId="4" hidden="1">{"fdsup://directions/FAT Viewer?action=UPDATE&amp;creator=factset&amp;DYN_ARGS=TRUE&amp;DOC_NAME=FAT:FQL_AUDITING_CLIENT_TEMPLATE.FAT&amp;display_string=Audit&amp;VAR:KEY=TSLEZADAFC&amp;VAR:QUERY=RkZfRUJJVChBTk4sMjAxMCk=&amp;WINDOW=FIRST_POPUP&amp;HEIGHT=450&amp;WIDTH=450&amp;START_MAXIMIZED=FALS","E&amp;VAR:CALENDAR=US&amp;VAR:SYMBOL=NSC&amp;VAR:INDEX=0"}</definedName>
    <definedName name="_171__FDSAUDITLINK__" localSheetId="5" hidden="1">{"fdsup://Directions/FactSet Auditing Viewer?action=AUDIT_VALUE&amp;DB=129&amp;ID1=90781810&amp;VALUEID=01001&amp;SDATE=2009&amp;PERIODTYPE=ANN_STD&amp;window=popup_no_bar&amp;width=385&amp;height=120&amp;START_MAXIMIZED=FALSE&amp;creator=factset&amp;display_string=Audit"}</definedName>
    <definedName name="_171__FDSAUDITLINK__" localSheetId="6" hidden="1">{"fdsup://Directions/FactSet Auditing Viewer?action=AUDIT_VALUE&amp;DB=129&amp;ID1=90781810&amp;VALUEID=01001&amp;SDATE=2009&amp;PERIODTYPE=ANN_STD&amp;window=popup_no_bar&amp;width=385&amp;height=120&amp;START_MAXIMIZED=FALSE&amp;creator=factset&amp;display_string=Audit"}</definedName>
    <definedName name="_171__FDSAUDITLINK__" hidden="1">{"fdsup://directions/FAT Viewer?action=UPDATE&amp;creator=factset&amp;DYN_ARGS=TRUE&amp;DOC_NAME=FAT:FQL_AUDITING_CLIENT_TEMPLATE.FAT&amp;display_string=Audit&amp;VAR:KEY=TSLEZADAFC&amp;VAR:QUERY=RkZfRUJJVChBTk4sMjAxMCk=&amp;WINDOW=FIRST_POPUP&amp;HEIGHT=450&amp;WIDTH=450&amp;START_MAXIMIZED=FALS","E&amp;VAR:CALENDAR=US&amp;VAR:SYMBOL=NSC&amp;VAR:INDEX=0"}</definedName>
    <definedName name="_172__FDSAUDITLINK__" localSheetId="4" hidden="1">{"fdsup://directions/FAT Viewer?action=UPDATE&amp;creator=factset&amp;DYN_ARGS=TRUE&amp;DOC_NAME=FAT:FQL_AUDITING_CLIENT_TEMPLATE.FAT&amp;display_string=Audit&amp;VAR:KEY=DKZARCNIFO&amp;VAR:QUERY=RkZfRUJJVChBTk4sMjAxMCk=&amp;WINDOW=FIRST_POPUP&amp;HEIGHT=450&amp;WIDTH=450&amp;START_MAXIMIZED=FALS","E&amp;VAR:CALENDAR=US&amp;VAR:SYMBOL=KSU&amp;VAR:INDEX=0"}</definedName>
    <definedName name="_172__FDSAUDITLINK__" localSheetId="5" hidden="1">{"fdsup://Directions/FactSet Auditing Viewer?action=AUDIT_VALUE&amp;DB=129&amp;ID1=75075340&amp;VALUEID=01001&amp;SDATE=2009&amp;PERIODTYPE=ANN_STD&amp;window=popup_no_bar&amp;width=385&amp;height=120&amp;START_MAXIMIZED=FALSE&amp;creator=factset&amp;display_string=Audit"}</definedName>
    <definedName name="_172__FDSAUDITLINK__" localSheetId="6" hidden="1">{"fdsup://Directions/FactSet Auditing Viewer?action=AUDIT_VALUE&amp;DB=129&amp;ID1=75075340&amp;VALUEID=01001&amp;SDATE=2009&amp;PERIODTYPE=ANN_STD&amp;window=popup_no_bar&amp;width=385&amp;height=120&amp;START_MAXIMIZED=FALSE&amp;creator=factset&amp;display_string=Audit"}</definedName>
    <definedName name="_172__FDSAUDITLINK__" hidden="1">{"fdsup://directions/FAT Viewer?action=UPDATE&amp;creator=factset&amp;DYN_ARGS=TRUE&amp;DOC_NAME=FAT:FQL_AUDITING_CLIENT_TEMPLATE.FAT&amp;display_string=Audit&amp;VAR:KEY=DKZARCNIFO&amp;VAR:QUERY=RkZfRUJJVChBTk4sMjAxMCk=&amp;WINDOW=FIRST_POPUP&amp;HEIGHT=450&amp;WIDTH=450&amp;START_MAXIMIZED=FALS","E&amp;VAR:CALENDAR=US&amp;VAR:SYMBOL=KSU&amp;VAR:INDEX=0"}</definedName>
    <definedName name="_173__FDSAUDITLINK__" localSheetId="4" hidden="1">{"fdsup://directions/FAT Viewer?action=UPDATE&amp;creator=factset&amp;DYN_ARGS=TRUE&amp;DOC_NAME=FAT:FQL_AUDITING_CLIENT_TEMPLATE.FAT&amp;display_string=Audit&amp;VAR:KEY=JGFQXYRAHG&amp;VAR:QUERY=RkZfRUJJVChBTk4sMjAxMCk=&amp;WINDOW=FIRST_POPUP&amp;HEIGHT=450&amp;WIDTH=450&amp;START_MAXIMIZED=FALS","E&amp;VAR:CALENDAR=US&amp;VAR:SYMBOL=GWR&amp;VAR:INDEX=0"}</definedName>
    <definedName name="_173__FDSAUDITLINK__" localSheetId="5" hidden="1">{"fdsup://Directions/FactSet Auditing Viewer?action=AUDIT_VALUE&amp;DB=129&amp;ID1=65584410&amp;VALUEID=01001&amp;SDATE=2009&amp;PERIODTYPE=ANN_STD&amp;window=popup_no_bar&amp;width=385&amp;height=120&amp;START_MAXIMIZED=FALSE&amp;creator=factset&amp;display_string=Audit"}</definedName>
    <definedName name="_173__FDSAUDITLINK__" localSheetId="6" hidden="1">{"fdsup://Directions/FactSet Auditing Viewer?action=AUDIT_VALUE&amp;DB=129&amp;ID1=65584410&amp;VALUEID=01001&amp;SDATE=2009&amp;PERIODTYPE=ANN_STD&amp;window=popup_no_bar&amp;width=385&amp;height=120&amp;START_MAXIMIZED=FALSE&amp;creator=factset&amp;display_string=Audit"}</definedName>
    <definedName name="_173__FDSAUDITLINK__" hidden="1">{"fdsup://directions/FAT Viewer?action=UPDATE&amp;creator=factset&amp;DYN_ARGS=TRUE&amp;DOC_NAME=FAT:FQL_AUDITING_CLIENT_TEMPLATE.FAT&amp;display_string=Audit&amp;VAR:KEY=JGFQXYRAHG&amp;VAR:QUERY=RkZfRUJJVChBTk4sMjAxMCk=&amp;WINDOW=FIRST_POPUP&amp;HEIGHT=450&amp;WIDTH=450&amp;START_MAXIMIZED=FALS","E&amp;VAR:CALENDAR=US&amp;VAR:SYMBOL=GWR&amp;VAR:INDEX=0"}</definedName>
    <definedName name="_174__FDSAUDITLINK__" localSheetId="4" hidden="1">{"fdsup://directions/FAT Viewer?action=UPDATE&amp;creator=factset&amp;DYN_ARGS=TRUE&amp;DOC_NAME=FAT:FQL_AUDITING_CLIENT_TEMPLATE.FAT&amp;display_string=Audit&amp;VAR:KEY=TEBGJOLEZO&amp;VAR:QUERY=RkZfRUJJVChBTk4sMjAxMCk=&amp;WINDOW=FIRST_POPUP&amp;HEIGHT=450&amp;WIDTH=450&amp;START_MAXIMIZED=FALS","E&amp;VAR:CALENDAR=US&amp;VAR:SYMBOL=CSX&amp;VAR:INDEX=0"}</definedName>
    <definedName name="_174__FDSAUDITLINK__" localSheetId="5" hidden="1">{"fdsup://Directions/FactSet Auditing Viewer?action=AUDIT_VALUE&amp;DB=129&amp;ID1=48517030&amp;VALUEID=01001&amp;SDATE=2009&amp;PERIODTYPE=ANN_STD&amp;window=popup_no_bar&amp;width=385&amp;height=120&amp;START_MAXIMIZED=FALSE&amp;creator=factset&amp;display_string=Audit"}</definedName>
    <definedName name="_174__FDSAUDITLINK__" localSheetId="6" hidden="1">{"fdsup://Directions/FactSet Auditing Viewer?action=AUDIT_VALUE&amp;DB=129&amp;ID1=48517030&amp;VALUEID=01001&amp;SDATE=2009&amp;PERIODTYPE=ANN_STD&amp;window=popup_no_bar&amp;width=385&amp;height=120&amp;START_MAXIMIZED=FALSE&amp;creator=factset&amp;display_string=Audit"}</definedName>
    <definedName name="_174__FDSAUDITLINK__" hidden="1">{"fdsup://directions/FAT Viewer?action=UPDATE&amp;creator=factset&amp;DYN_ARGS=TRUE&amp;DOC_NAME=FAT:FQL_AUDITING_CLIENT_TEMPLATE.FAT&amp;display_string=Audit&amp;VAR:KEY=TEBGJOLEZO&amp;VAR:QUERY=RkZfRUJJVChBTk4sMjAxMCk=&amp;WINDOW=FIRST_POPUP&amp;HEIGHT=450&amp;WIDTH=450&amp;START_MAXIMIZED=FALS","E&amp;VAR:CALENDAR=US&amp;VAR:SYMBOL=CSX&amp;VAR:INDEX=0"}</definedName>
    <definedName name="_175__FDSAUDITLINK__" localSheetId="4" hidden="1">{"fdsup://directions/FAT Viewer?action=UPDATE&amp;creator=factset&amp;DYN_ARGS=TRUE&amp;DOC_NAME=FAT:FQL_AUDITING_CLIENT_TEMPLATE.FAT&amp;display_string=Audit&amp;VAR:KEY=HMVUPGRQDM&amp;VAR:QUERY=RkZfRUJJVChBTk4sMjAxMCk=&amp;WINDOW=FIRST_POPUP&amp;HEIGHT=450&amp;WIDTH=450&amp;START_MAXIMIZED=FALS","E&amp;VAR:CALENDAR=US&amp;VAR:SYMBOL=CP&amp;VAR:INDEX=0"}</definedName>
    <definedName name="_175__FDSAUDITLINK__" localSheetId="5" hidden="1">{"fdsup://Directions/FactSet Auditing Viewer?action=AUDIT_VALUE&amp;DB=129&amp;ID1=37155910&amp;VALUEID=01001&amp;SDATE=2009&amp;PERIODTYPE=ANN_STD&amp;window=popup_no_bar&amp;width=385&amp;height=120&amp;START_MAXIMIZED=FALSE&amp;creator=factset&amp;display_string=Audit"}</definedName>
    <definedName name="_175__FDSAUDITLINK__" localSheetId="6" hidden="1">{"fdsup://Directions/FactSet Auditing Viewer?action=AUDIT_VALUE&amp;DB=129&amp;ID1=37155910&amp;VALUEID=01001&amp;SDATE=2009&amp;PERIODTYPE=ANN_STD&amp;window=popup_no_bar&amp;width=385&amp;height=120&amp;START_MAXIMIZED=FALSE&amp;creator=factset&amp;display_string=Audit"}</definedName>
    <definedName name="_175__FDSAUDITLINK__" hidden="1">{"fdsup://directions/FAT Viewer?action=UPDATE&amp;creator=factset&amp;DYN_ARGS=TRUE&amp;DOC_NAME=FAT:FQL_AUDITING_CLIENT_TEMPLATE.FAT&amp;display_string=Audit&amp;VAR:KEY=HMVUPGRQDM&amp;VAR:QUERY=RkZfRUJJVChBTk4sMjAxMCk=&amp;WINDOW=FIRST_POPUP&amp;HEIGHT=450&amp;WIDTH=450&amp;START_MAXIMIZED=FALS","E&amp;VAR:CALENDAR=US&amp;VAR:SYMBOL=CP&amp;VAR:INDEX=0"}</definedName>
    <definedName name="_176__FDSAUDITLINK__" localSheetId="4" hidden="1">{"fdsup://directions/FAT Viewer?action=UPDATE&amp;creator=factset&amp;DYN_ARGS=TRUE&amp;DOC_NAME=FAT:FQL_AUDITING_CLIENT_TEMPLATE.FAT&amp;display_string=Audit&amp;VAR:KEY=XCLQPOHIPY&amp;VAR:QUERY=RkZfRUJJVChBTk4sMjAxMCk=&amp;WINDOW=FIRST_POPUP&amp;HEIGHT=450&amp;WIDTH=450&amp;START_MAXIMIZED=FALS","E&amp;VAR:CALENDAR=US&amp;VAR:SYMBOL=CNI&amp;VAR:INDEX=0"}</definedName>
    <definedName name="_176__FDSAUDITLINK__" localSheetId="5" hidden="1">{"fdsup://Directions/FactSet Auditing Viewer?action=AUDIT_VALUE&amp;DB=129&amp;ID1=12640810&amp;VALUEID=01001&amp;SDATE=2009&amp;PERIODTYPE=ANN_STD&amp;window=popup_no_bar&amp;width=385&amp;height=120&amp;START_MAXIMIZED=FALSE&amp;creator=factset&amp;display_string=Audit"}</definedName>
    <definedName name="_176__FDSAUDITLINK__" localSheetId="6" hidden="1">{"fdsup://Directions/FactSet Auditing Viewer?action=AUDIT_VALUE&amp;DB=129&amp;ID1=12640810&amp;VALUEID=01001&amp;SDATE=2009&amp;PERIODTYPE=ANN_STD&amp;window=popup_no_bar&amp;width=385&amp;height=120&amp;START_MAXIMIZED=FALSE&amp;creator=factset&amp;display_string=Audit"}</definedName>
    <definedName name="_176__FDSAUDITLINK__" hidden="1">{"fdsup://directions/FAT Viewer?action=UPDATE&amp;creator=factset&amp;DYN_ARGS=TRUE&amp;DOC_NAME=FAT:FQL_AUDITING_CLIENT_TEMPLATE.FAT&amp;display_string=Audit&amp;VAR:KEY=XCLQPOHIPY&amp;VAR:QUERY=RkZfRUJJVChBTk4sMjAxMCk=&amp;WINDOW=FIRST_POPUP&amp;HEIGHT=450&amp;WIDTH=450&amp;START_MAXIMIZED=FALS","E&amp;VAR:CALENDAR=US&amp;VAR:SYMBOL=CNI&amp;VAR:INDEX=0"}</definedName>
    <definedName name="_177__FDSAUDITLINK__" localSheetId="4" hidden="1">{"fdsup://directions/FAT Viewer?action=UPDATE&amp;creator=factset&amp;DYN_ARGS=TRUE&amp;DOC_NAME=FAT:FQL_AUDITING_CLIENT_TEMPLATE.FAT&amp;display_string=Audit&amp;VAR:KEY=NYPUZSLQVA&amp;VAR:QUERY=RkZfRUJJVERBKEFOTiwyMDEwKQ==&amp;WINDOW=FIRST_POPUP&amp;HEIGHT=450&amp;WIDTH=450&amp;START_MAXIMIZED=","FALSE&amp;VAR:CALENDAR=US&amp;VAR:SYMBOL=UNP&amp;VAR:INDEX=0"}</definedName>
    <definedName name="_177__FDSAUDITLINK__" localSheetId="5" hidden="1">{"fdsup://directions/FAT Viewer?action=UPDATE&amp;creator=factset&amp;DYN_ARGS=TRUE&amp;DOC_NAME=FAT:FQL_AUDITING_CLIENT_TEMPLATE.FAT&amp;display_string=Audit&amp;VAR:KEY=ANGBAXMJIR&amp;VAR:QUERY=RkZfTkVUX0lOQyhBTk4sMjAwOSk=&amp;WINDOW=FIRST_POPUP&amp;HEIGHT=450&amp;WIDTH=450&amp;START_MAXIMIZED=","FALSE&amp;VAR:CALENDAR=US&amp;VAR:SYMBOL=UNP&amp;VAR:INDEX=0"}</definedName>
    <definedName name="_177__FDSAUDITLINK__" localSheetId="6" hidden="1">{"fdsup://directions/FAT Viewer?action=UPDATE&amp;creator=factset&amp;DYN_ARGS=TRUE&amp;DOC_NAME=FAT:FQL_AUDITING_CLIENT_TEMPLATE.FAT&amp;display_string=Audit&amp;VAR:KEY=ANGBAXMJIR&amp;VAR:QUERY=RkZfTkVUX0lOQyhBTk4sMjAwOSk=&amp;WINDOW=FIRST_POPUP&amp;HEIGHT=450&amp;WIDTH=450&amp;START_MAXIMIZED=","FALSE&amp;VAR:CALENDAR=US&amp;VAR:SYMBOL=UNP&amp;VAR:INDEX=0"}</definedName>
    <definedName name="_177__FDSAUDITLINK__" hidden="1">{"fdsup://directions/FAT Viewer?action=UPDATE&amp;creator=factset&amp;DYN_ARGS=TRUE&amp;DOC_NAME=FAT:FQL_AUDITING_CLIENT_TEMPLATE.FAT&amp;display_string=Audit&amp;VAR:KEY=NYPUZSLQVA&amp;VAR:QUERY=RkZfRUJJVERBKEFOTiwyMDEwKQ==&amp;WINDOW=FIRST_POPUP&amp;HEIGHT=450&amp;WIDTH=450&amp;START_MAXIMIZED=","FALSE&amp;VAR:CALENDAR=US&amp;VAR:SYMBOL=UNP&amp;VAR:INDEX=0"}</definedName>
    <definedName name="_178__FDSAUDITLINK__" localSheetId="4" hidden="1">{"fdsup://directions/FAT Viewer?action=UPDATE&amp;creator=factset&amp;DYN_ARGS=TRUE&amp;DOC_NAME=FAT:FQL_AUDITING_CLIENT_TEMPLATE.FAT&amp;display_string=Audit&amp;VAR:KEY=HWRYLYPIFY&amp;VAR:QUERY=RkZfRUJJVERBKEFOTiwyMDEwKQ==&amp;WINDOW=FIRST_POPUP&amp;HEIGHT=450&amp;WIDTH=450&amp;START_MAXIMIZED=","FALSE&amp;VAR:CALENDAR=US&amp;VAR:SYMBOL=RA&amp;VAR:INDEX=0"}</definedName>
    <definedName name="_178__FDSAUDITLINK__" localSheetId="5" hidden="1">{"fdsup://directions/FAT Viewer?action=UPDATE&amp;creator=factset&amp;DYN_ARGS=TRUE&amp;DOC_NAME=FAT:FQL_AUDITING_CLIENT_TEMPLATE.FAT&amp;display_string=Audit&amp;VAR:KEY=WRKHEPUPKH&amp;VAR:QUERY=RkZfTkVUX0lOQyhBTk4sMjAwOSk=&amp;WINDOW=FIRST_POPUP&amp;HEIGHT=450&amp;WIDTH=450&amp;START_MAXIMIZED=","FALSE&amp;VAR:CALENDAR=US&amp;VAR:SYMBOL=RA&amp;VAR:INDEX=0"}</definedName>
    <definedName name="_178__FDSAUDITLINK__" localSheetId="6" hidden="1">{"fdsup://directions/FAT Viewer?action=UPDATE&amp;creator=factset&amp;DYN_ARGS=TRUE&amp;DOC_NAME=FAT:FQL_AUDITING_CLIENT_TEMPLATE.FAT&amp;display_string=Audit&amp;VAR:KEY=WRKHEPUPKH&amp;VAR:QUERY=RkZfTkVUX0lOQyhBTk4sMjAwOSk=&amp;WINDOW=FIRST_POPUP&amp;HEIGHT=450&amp;WIDTH=450&amp;START_MAXIMIZED=","FALSE&amp;VAR:CALENDAR=US&amp;VAR:SYMBOL=RA&amp;VAR:INDEX=0"}</definedName>
    <definedName name="_178__FDSAUDITLINK__" hidden="1">{"fdsup://directions/FAT Viewer?action=UPDATE&amp;creator=factset&amp;DYN_ARGS=TRUE&amp;DOC_NAME=FAT:FQL_AUDITING_CLIENT_TEMPLATE.FAT&amp;display_string=Audit&amp;VAR:KEY=HWRYLYPIFY&amp;VAR:QUERY=RkZfRUJJVERBKEFOTiwyMDEwKQ==&amp;WINDOW=FIRST_POPUP&amp;HEIGHT=450&amp;WIDTH=450&amp;START_MAXIMIZED=","FALSE&amp;VAR:CALENDAR=US&amp;VAR:SYMBOL=RA&amp;VAR:INDEX=0"}</definedName>
    <definedName name="_179__FDSAUDITLINK__" localSheetId="4" hidden="1">{"fdsup://directions/FAT Viewer?action=UPDATE&amp;creator=factset&amp;DYN_ARGS=TRUE&amp;DOC_NAME=FAT:FQL_AUDITING_CLIENT_TEMPLATE.FAT&amp;display_string=Audit&amp;VAR:KEY=RWNWNAXCJK&amp;VAR:QUERY=RkZfRUJJVERBKEFOTiwyMDEwKQ==&amp;WINDOW=FIRST_POPUP&amp;HEIGHT=450&amp;WIDTH=450&amp;START_MAXIMIZED=","FALSE&amp;VAR:CALENDAR=US&amp;VAR:SYMBOL=NSC&amp;VAR:INDEX=0"}</definedName>
    <definedName name="_179__FDSAUDITLINK__" localSheetId="5" hidden="1">{"fdsup://directions/FAT Viewer?action=UPDATE&amp;creator=factset&amp;DYN_ARGS=TRUE&amp;DOC_NAME=FAT:FQL_AUDITING_CLIENT_TEMPLATE.FAT&amp;display_string=Audit&amp;VAR:KEY=CJYJWBARGH&amp;VAR:QUERY=RkZfTkVUX0lOQyhBTk4sMjAwOSk=&amp;WINDOW=FIRST_POPUP&amp;HEIGHT=450&amp;WIDTH=450&amp;START_MAXIMIZED=","FALSE&amp;VAR:CALENDAR=US&amp;VAR:SYMBOL=NSC&amp;VAR:INDEX=0"}</definedName>
    <definedName name="_179__FDSAUDITLINK__" localSheetId="6" hidden="1">{"fdsup://directions/FAT Viewer?action=UPDATE&amp;creator=factset&amp;DYN_ARGS=TRUE&amp;DOC_NAME=FAT:FQL_AUDITING_CLIENT_TEMPLATE.FAT&amp;display_string=Audit&amp;VAR:KEY=CJYJWBARGH&amp;VAR:QUERY=RkZfTkVUX0lOQyhBTk4sMjAwOSk=&amp;WINDOW=FIRST_POPUP&amp;HEIGHT=450&amp;WIDTH=450&amp;START_MAXIMIZED=","FALSE&amp;VAR:CALENDAR=US&amp;VAR:SYMBOL=NSC&amp;VAR:INDEX=0"}</definedName>
    <definedName name="_179__FDSAUDITLINK__" hidden="1">{"fdsup://directions/FAT Viewer?action=UPDATE&amp;creator=factset&amp;DYN_ARGS=TRUE&amp;DOC_NAME=FAT:FQL_AUDITING_CLIENT_TEMPLATE.FAT&amp;display_string=Audit&amp;VAR:KEY=RWNWNAXCJK&amp;VAR:QUERY=RkZfRUJJVERBKEFOTiwyMDEwKQ==&amp;WINDOW=FIRST_POPUP&amp;HEIGHT=450&amp;WIDTH=450&amp;START_MAXIMIZED=","FALSE&amp;VAR:CALENDAR=US&amp;VAR:SYMBOL=NSC&amp;VAR:INDEX=0"}</definedName>
    <definedName name="_18__FDSAUDITLINK__" localSheetId="4" hidden="1">{"fdsup://directions/FAT Viewer?action=UPDATE&amp;creator=factset&amp;DYN_ARGS=TRUE&amp;DOC_NAME=FAT:FQL_AUDITING_CLIENT_TEMPLATE.FAT&amp;display_string=Audit&amp;VAR:KEY=OLOPGHWHAP&amp;VAR:QUERY=RkZfRUJJVERBKEFOTiwyMDEwKQ==&amp;WINDOW=FIRST_POPUP&amp;HEIGHT=450&amp;WIDTH=450&amp;START_MAXIMIZED=","FALSE&amp;VAR:CALENDAR=US&amp;VAR:SYMBOL=RA&amp;VAR:INDEX=0"}</definedName>
    <definedName name="_18__FDSAUDITLINK__" localSheetId="5" hidden="1">{"fdsup://Directions/FactSet Auditing Viewer?action=AUDIT_VALUE&amp;DB=129&amp;ID1=12640810&amp;VALUEID=01401&amp;SDATE=2009&amp;PERIODTYPE=ANN_STD&amp;window=popup_no_bar&amp;width=385&amp;height=120&amp;START_MAXIMIZED=FALSE&amp;creator=factset&amp;display_string=Audit"}</definedName>
    <definedName name="_18__FDSAUDITLINK__" localSheetId="6" hidden="1">{"fdsup://Directions/FactSet Auditing Viewer?action=AUDIT_VALUE&amp;DB=129&amp;ID1=12640810&amp;VALUEID=01401&amp;SDATE=2009&amp;PERIODTYPE=ANN_STD&amp;window=popup_no_bar&amp;width=385&amp;height=120&amp;START_MAXIMIZED=FALSE&amp;creator=factset&amp;display_string=Audit"}</definedName>
    <definedName name="_18__FDSAUDITLINK__" hidden="1">{"fdsup://directions/FAT Viewer?action=UPDATE&amp;creator=factset&amp;DYN_ARGS=TRUE&amp;DOC_NAME=FAT:FQL_AUDITING_CLIENT_TEMPLATE.FAT&amp;display_string=Audit&amp;VAR:KEY=OLOPGHWHAP&amp;VAR:QUERY=RkZfRUJJVERBKEFOTiwyMDEwKQ==&amp;WINDOW=FIRST_POPUP&amp;HEIGHT=450&amp;WIDTH=450&amp;START_MAXIMIZED=","FALSE&amp;VAR:CALENDAR=US&amp;VAR:SYMBOL=RA&amp;VAR:INDEX=0"}</definedName>
    <definedName name="_180__FDSAUDITLINK__" localSheetId="4" hidden="1">{"fdsup://directions/FAT Viewer?action=UPDATE&amp;creator=factset&amp;DYN_ARGS=TRUE&amp;DOC_NAME=FAT:FQL_AUDITING_CLIENT_TEMPLATE.FAT&amp;display_string=Audit&amp;VAR:KEY=ZSPGZCHCLI&amp;VAR:QUERY=RkZfRUJJVERBKEFOTiwyMDEwKQ==&amp;WINDOW=FIRST_POPUP&amp;HEIGHT=450&amp;WIDTH=450&amp;START_MAXIMIZED=","FALSE&amp;VAR:CALENDAR=US&amp;VAR:SYMBOL=KSU&amp;VAR:INDEX=0"}</definedName>
    <definedName name="_180__FDSAUDITLINK__" localSheetId="5" hidden="1">{"fdsup://directions/FAT Viewer?action=UPDATE&amp;creator=factset&amp;DYN_ARGS=TRUE&amp;DOC_NAME=FAT:FQL_AUDITING_CLIENT_TEMPLATE.FAT&amp;display_string=Audit&amp;VAR:KEY=GJCZAPULOX&amp;VAR:QUERY=RkZfTkVUX0lOQyhBTk4sMjAwOSk=&amp;WINDOW=FIRST_POPUP&amp;HEIGHT=450&amp;WIDTH=450&amp;START_MAXIMIZED=","FALSE&amp;VAR:CALENDAR=US&amp;VAR:SYMBOL=KSU&amp;VAR:INDEX=0"}</definedName>
    <definedName name="_180__FDSAUDITLINK__" localSheetId="6" hidden="1">{"fdsup://directions/FAT Viewer?action=UPDATE&amp;creator=factset&amp;DYN_ARGS=TRUE&amp;DOC_NAME=FAT:FQL_AUDITING_CLIENT_TEMPLATE.FAT&amp;display_string=Audit&amp;VAR:KEY=GJCZAPULOX&amp;VAR:QUERY=RkZfTkVUX0lOQyhBTk4sMjAwOSk=&amp;WINDOW=FIRST_POPUP&amp;HEIGHT=450&amp;WIDTH=450&amp;START_MAXIMIZED=","FALSE&amp;VAR:CALENDAR=US&amp;VAR:SYMBOL=KSU&amp;VAR:INDEX=0"}</definedName>
    <definedName name="_180__FDSAUDITLINK__" hidden="1">{"fdsup://directions/FAT Viewer?action=UPDATE&amp;creator=factset&amp;DYN_ARGS=TRUE&amp;DOC_NAME=FAT:FQL_AUDITING_CLIENT_TEMPLATE.FAT&amp;display_string=Audit&amp;VAR:KEY=ZSPGZCHCLI&amp;VAR:QUERY=RkZfRUJJVERBKEFOTiwyMDEwKQ==&amp;WINDOW=FIRST_POPUP&amp;HEIGHT=450&amp;WIDTH=450&amp;START_MAXIMIZED=","FALSE&amp;VAR:CALENDAR=US&amp;VAR:SYMBOL=KSU&amp;VAR:INDEX=0"}</definedName>
    <definedName name="_181__FDSAUDITLINK__" localSheetId="4" hidden="1">{"fdsup://directions/FAT Viewer?action=UPDATE&amp;creator=factset&amp;DYN_ARGS=TRUE&amp;DOC_NAME=FAT:FQL_AUDITING_CLIENT_TEMPLATE.FAT&amp;display_string=Audit&amp;VAR:KEY=ZOHQTSZKPK&amp;VAR:QUERY=RkZfRUJJVERBKEFOTiwyMDEwKQ==&amp;WINDOW=FIRST_POPUP&amp;HEIGHT=450&amp;WIDTH=450&amp;START_MAXIMIZED=","FALSE&amp;VAR:CALENDAR=US&amp;VAR:SYMBOL=GWR&amp;VAR:INDEX=0"}</definedName>
    <definedName name="_181__FDSAUDITLINK__" localSheetId="5" hidden="1">{"fdsup://directions/FAT Viewer?action=UPDATE&amp;creator=factset&amp;DYN_ARGS=TRUE&amp;DOC_NAME=FAT:FQL_AUDITING_CLIENT_TEMPLATE.FAT&amp;display_string=Audit&amp;VAR:KEY=WXAHGFODMX&amp;VAR:QUERY=RkZfTkVUX0lOQyhBTk4sMjAwOSk=&amp;WINDOW=FIRST_POPUP&amp;HEIGHT=450&amp;WIDTH=450&amp;START_MAXIMIZED=","FALSE&amp;VAR:CALENDAR=US&amp;VAR:SYMBOL=GWR&amp;VAR:INDEX=0"}</definedName>
    <definedName name="_181__FDSAUDITLINK__" localSheetId="6" hidden="1">{"fdsup://directions/FAT Viewer?action=UPDATE&amp;creator=factset&amp;DYN_ARGS=TRUE&amp;DOC_NAME=FAT:FQL_AUDITING_CLIENT_TEMPLATE.FAT&amp;display_string=Audit&amp;VAR:KEY=WXAHGFODMX&amp;VAR:QUERY=RkZfTkVUX0lOQyhBTk4sMjAwOSk=&amp;WINDOW=FIRST_POPUP&amp;HEIGHT=450&amp;WIDTH=450&amp;START_MAXIMIZED=","FALSE&amp;VAR:CALENDAR=US&amp;VAR:SYMBOL=GWR&amp;VAR:INDEX=0"}</definedName>
    <definedName name="_181__FDSAUDITLINK__" hidden="1">{"fdsup://directions/FAT Viewer?action=UPDATE&amp;creator=factset&amp;DYN_ARGS=TRUE&amp;DOC_NAME=FAT:FQL_AUDITING_CLIENT_TEMPLATE.FAT&amp;display_string=Audit&amp;VAR:KEY=ZOHQTSZKPK&amp;VAR:QUERY=RkZfRUJJVERBKEFOTiwyMDEwKQ==&amp;WINDOW=FIRST_POPUP&amp;HEIGHT=450&amp;WIDTH=450&amp;START_MAXIMIZED=","FALSE&amp;VAR:CALENDAR=US&amp;VAR:SYMBOL=GWR&amp;VAR:INDEX=0"}</definedName>
    <definedName name="_182__FDSAUDITLINK__" localSheetId="4" hidden="1">{"fdsup://directions/FAT Viewer?action=UPDATE&amp;creator=factset&amp;DYN_ARGS=TRUE&amp;DOC_NAME=FAT:FQL_AUDITING_CLIENT_TEMPLATE.FAT&amp;display_string=Audit&amp;VAR:KEY=PQLMHUNSDY&amp;VAR:QUERY=RkZfRUJJVERBKEFOTiwyMDEwKQ==&amp;WINDOW=FIRST_POPUP&amp;HEIGHT=450&amp;WIDTH=450&amp;START_MAXIMIZED=","FALSE&amp;VAR:CALENDAR=US&amp;VAR:SYMBOL=CSX&amp;VAR:INDEX=0"}</definedName>
    <definedName name="_182__FDSAUDITLINK__" localSheetId="5" hidden="1">{"fdsup://directions/FAT Viewer?action=UPDATE&amp;creator=factset&amp;DYN_ARGS=TRUE&amp;DOC_NAME=FAT:FQL_AUDITING_CLIENT_TEMPLATE.FAT&amp;display_string=Audit&amp;VAR:KEY=GJSJUZSNOH&amp;VAR:QUERY=RkZfTkVUX0lOQyhBTk4sMjAwOSk=&amp;WINDOW=FIRST_POPUP&amp;HEIGHT=450&amp;WIDTH=450&amp;START_MAXIMIZED=","FALSE&amp;VAR:CALENDAR=US&amp;VAR:SYMBOL=CSX&amp;VAR:INDEX=0"}</definedName>
    <definedName name="_182__FDSAUDITLINK__" localSheetId="6" hidden="1">{"fdsup://directions/FAT Viewer?action=UPDATE&amp;creator=factset&amp;DYN_ARGS=TRUE&amp;DOC_NAME=FAT:FQL_AUDITING_CLIENT_TEMPLATE.FAT&amp;display_string=Audit&amp;VAR:KEY=GJSJUZSNOH&amp;VAR:QUERY=RkZfTkVUX0lOQyhBTk4sMjAwOSk=&amp;WINDOW=FIRST_POPUP&amp;HEIGHT=450&amp;WIDTH=450&amp;START_MAXIMIZED=","FALSE&amp;VAR:CALENDAR=US&amp;VAR:SYMBOL=CSX&amp;VAR:INDEX=0"}</definedName>
    <definedName name="_182__FDSAUDITLINK__" hidden="1">{"fdsup://directions/FAT Viewer?action=UPDATE&amp;creator=factset&amp;DYN_ARGS=TRUE&amp;DOC_NAME=FAT:FQL_AUDITING_CLIENT_TEMPLATE.FAT&amp;display_string=Audit&amp;VAR:KEY=PQLMHUNSDY&amp;VAR:QUERY=RkZfRUJJVERBKEFOTiwyMDEwKQ==&amp;WINDOW=FIRST_POPUP&amp;HEIGHT=450&amp;WIDTH=450&amp;START_MAXIMIZED=","FALSE&amp;VAR:CALENDAR=US&amp;VAR:SYMBOL=CSX&amp;VAR:INDEX=0"}</definedName>
    <definedName name="_183__FDSAUDITLINK__" localSheetId="4" hidden="1">{"fdsup://directions/FAT Viewer?action=UPDATE&amp;creator=factset&amp;DYN_ARGS=TRUE&amp;DOC_NAME=FAT:FQL_AUDITING_CLIENT_TEMPLATE.FAT&amp;display_string=Audit&amp;VAR:KEY=TOBWXQLKPG&amp;VAR:QUERY=RkZfRUJJVERBKEFOTiwyMDEwKQ==&amp;WINDOW=FIRST_POPUP&amp;HEIGHT=450&amp;WIDTH=450&amp;START_MAXIMIZED=","FALSE&amp;VAR:CALENDAR=US&amp;VAR:SYMBOL=CP&amp;VAR:INDEX=0"}</definedName>
    <definedName name="_183__FDSAUDITLINK__" localSheetId="5" hidden="1">{"fdsup://directions/FAT Viewer?action=UPDATE&amp;creator=factset&amp;DYN_ARGS=TRUE&amp;DOC_NAME=FAT:FQL_AUDITING_CLIENT_TEMPLATE.FAT&amp;display_string=Audit&amp;VAR:KEY=ARGDMXEBWP&amp;VAR:QUERY=RkZfTkVUX0lOQyhBTk4sMjAwOSk=&amp;WINDOW=FIRST_POPUP&amp;HEIGHT=450&amp;WIDTH=450&amp;START_MAXIMIZED=","FALSE&amp;VAR:CALENDAR=US&amp;VAR:SYMBOL=CP&amp;VAR:INDEX=0"}</definedName>
    <definedName name="_183__FDSAUDITLINK__" localSheetId="6" hidden="1">{"fdsup://directions/FAT Viewer?action=UPDATE&amp;creator=factset&amp;DYN_ARGS=TRUE&amp;DOC_NAME=FAT:FQL_AUDITING_CLIENT_TEMPLATE.FAT&amp;display_string=Audit&amp;VAR:KEY=ARGDMXEBWP&amp;VAR:QUERY=RkZfTkVUX0lOQyhBTk4sMjAwOSk=&amp;WINDOW=FIRST_POPUP&amp;HEIGHT=450&amp;WIDTH=450&amp;START_MAXIMIZED=","FALSE&amp;VAR:CALENDAR=US&amp;VAR:SYMBOL=CP&amp;VAR:INDEX=0"}</definedName>
    <definedName name="_183__FDSAUDITLINK__" hidden="1">{"fdsup://directions/FAT Viewer?action=UPDATE&amp;creator=factset&amp;DYN_ARGS=TRUE&amp;DOC_NAME=FAT:FQL_AUDITING_CLIENT_TEMPLATE.FAT&amp;display_string=Audit&amp;VAR:KEY=TOBWXQLKPG&amp;VAR:QUERY=RkZfRUJJVERBKEFOTiwyMDEwKQ==&amp;WINDOW=FIRST_POPUP&amp;HEIGHT=450&amp;WIDTH=450&amp;START_MAXIMIZED=","FALSE&amp;VAR:CALENDAR=US&amp;VAR:SYMBOL=CP&amp;VAR:INDEX=0"}</definedName>
    <definedName name="_184__FDSAUDITLINK__" localSheetId="4" hidden="1">{"fdsup://directions/FAT Viewer?action=UPDATE&amp;creator=factset&amp;DYN_ARGS=TRUE&amp;DOC_NAME=FAT:FQL_AUDITING_CLIENT_TEMPLATE.FAT&amp;display_string=Audit&amp;VAR:KEY=FILMJGJSXK&amp;VAR:QUERY=RkZfRUJJVERBKEFOTiwyMDEwKQ==&amp;WINDOW=FIRST_POPUP&amp;HEIGHT=450&amp;WIDTH=450&amp;START_MAXIMIZED=","FALSE&amp;VAR:CALENDAR=US&amp;VAR:SYMBOL=CNI&amp;VAR:INDEX=0"}</definedName>
    <definedName name="_184__FDSAUDITLINK__" localSheetId="5" hidden="1">{"fdsup://directions/FAT Viewer?action=UPDATE&amp;creator=factset&amp;DYN_ARGS=TRUE&amp;DOC_NAME=FAT:FQL_AUDITING_CLIENT_TEMPLATE.FAT&amp;display_string=Audit&amp;VAR:KEY=CTIRWDKLYN&amp;VAR:QUERY=RkZfTkVUX0lOQyhBTk4sMjAwOSk=&amp;WINDOW=FIRST_POPUP&amp;HEIGHT=450&amp;WIDTH=450&amp;START_MAXIMIZED=","FALSE&amp;VAR:CALENDAR=US&amp;VAR:SYMBOL=CNI&amp;VAR:INDEX=0"}</definedName>
    <definedName name="_184__FDSAUDITLINK__" localSheetId="6" hidden="1">{"fdsup://directions/FAT Viewer?action=UPDATE&amp;creator=factset&amp;DYN_ARGS=TRUE&amp;DOC_NAME=FAT:FQL_AUDITING_CLIENT_TEMPLATE.FAT&amp;display_string=Audit&amp;VAR:KEY=CTIRWDKLYN&amp;VAR:QUERY=RkZfTkVUX0lOQyhBTk4sMjAwOSk=&amp;WINDOW=FIRST_POPUP&amp;HEIGHT=450&amp;WIDTH=450&amp;START_MAXIMIZED=","FALSE&amp;VAR:CALENDAR=US&amp;VAR:SYMBOL=CNI&amp;VAR:INDEX=0"}</definedName>
    <definedName name="_184__FDSAUDITLINK__" hidden="1">{"fdsup://directions/FAT Viewer?action=UPDATE&amp;creator=factset&amp;DYN_ARGS=TRUE&amp;DOC_NAME=FAT:FQL_AUDITING_CLIENT_TEMPLATE.FAT&amp;display_string=Audit&amp;VAR:KEY=FILMJGJSXK&amp;VAR:QUERY=RkZfRUJJVERBKEFOTiwyMDEwKQ==&amp;WINDOW=FIRST_POPUP&amp;HEIGHT=450&amp;WIDTH=450&amp;START_MAXIMIZED=","FALSE&amp;VAR:CALENDAR=US&amp;VAR:SYMBOL=CNI&amp;VAR:INDEX=0"}</definedName>
    <definedName name="_185__FDSAUDITLINK__" localSheetId="4" hidden="1">{"fdsup://directions/FAT Viewer?action=UPDATE&amp;creator=factset&amp;DYN_ARGS=TRUE&amp;DOC_NAME=FAT:FQL_AUDITING_CLIENT_TEMPLATE.FAT&amp;display_string=Audit&amp;VAR:KEY=NQPIJATGHS&amp;VAR:QUERY=RkZfTkVUX0lOQyhBTk4sMjAxMCk=&amp;WINDOW=FIRST_POPUP&amp;HEIGHT=450&amp;WIDTH=450&amp;START_MAXIMIZED=","FALSE&amp;VAR:CALENDAR=US&amp;VAR:SYMBOL=UNP&amp;VAR:INDEX=0"}</definedName>
    <definedName name="_185__FDSAUDITLINK__" hidden="1">{"fdsup://directions/FAT Viewer?action=UPDATE&amp;creator=factset&amp;DYN_ARGS=TRUE&amp;DOC_NAME=FAT:FQL_AUDITING_CLIENT_TEMPLATE.FAT&amp;display_string=Audit&amp;VAR:KEY=NQPIJATGHS&amp;VAR:QUERY=RkZfTkVUX0lOQyhBTk4sMjAxMCk=&amp;WINDOW=FIRST_POPUP&amp;HEIGHT=450&amp;WIDTH=450&amp;START_MAXIMIZED=","FALSE&amp;VAR:CALENDAR=US&amp;VAR:SYMBOL=UNP&amp;VAR:INDEX=0"}</definedName>
    <definedName name="_186__FDSAUDITLINK__" localSheetId="4" hidden="1">{"fdsup://directions/FAT Viewer?action=UPDATE&amp;creator=factset&amp;DYN_ARGS=TRUE&amp;DOC_NAME=FAT:FQL_AUDITING_CLIENT_TEMPLATE.FAT&amp;display_string=Audit&amp;VAR:KEY=TALGXWRMTO&amp;VAR:QUERY=RkZfTkVUX0lOQyhBTk4sMjAxMCk=&amp;WINDOW=FIRST_POPUP&amp;HEIGHT=450&amp;WIDTH=450&amp;START_MAXIMIZED=","FALSE&amp;VAR:CALENDAR=US&amp;VAR:SYMBOL=RA&amp;VAR:INDEX=0"}</definedName>
    <definedName name="_186__FDSAUDITLINK__" hidden="1">{"fdsup://directions/FAT Viewer?action=UPDATE&amp;creator=factset&amp;DYN_ARGS=TRUE&amp;DOC_NAME=FAT:FQL_AUDITING_CLIENT_TEMPLATE.FAT&amp;display_string=Audit&amp;VAR:KEY=TALGXWRMTO&amp;VAR:QUERY=RkZfTkVUX0lOQyhBTk4sMjAxMCk=&amp;WINDOW=FIRST_POPUP&amp;HEIGHT=450&amp;WIDTH=450&amp;START_MAXIMIZED=","FALSE&amp;VAR:CALENDAR=US&amp;VAR:SYMBOL=RA&amp;VAR:INDEX=0"}</definedName>
    <definedName name="_187__FDSAUDITLINK__" localSheetId="4" hidden="1">{"fdsup://directions/FAT Viewer?action=UPDATE&amp;creator=factset&amp;DYN_ARGS=TRUE&amp;DOC_NAME=FAT:FQL_AUDITING_CLIENT_TEMPLATE.FAT&amp;display_string=Audit&amp;VAR:KEY=HMBQPKXIDA&amp;VAR:QUERY=RkZfTkVUX0lOQyhBTk4sMjAxMCk=&amp;WINDOW=FIRST_POPUP&amp;HEIGHT=450&amp;WIDTH=450&amp;START_MAXIMIZED=","FALSE&amp;VAR:CALENDAR=US&amp;VAR:SYMBOL=NSC&amp;VAR:INDEX=0"}</definedName>
    <definedName name="_187__FDSAUDITLINK__" hidden="1">{"fdsup://directions/FAT Viewer?action=UPDATE&amp;creator=factset&amp;DYN_ARGS=TRUE&amp;DOC_NAME=FAT:FQL_AUDITING_CLIENT_TEMPLATE.FAT&amp;display_string=Audit&amp;VAR:KEY=HMBQPKXIDA&amp;VAR:QUERY=RkZfTkVUX0lOQyhBTk4sMjAxMCk=&amp;WINDOW=FIRST_POPUP&amp;HEIGHT=450&amp;WIDTH=450&amp;START_MAXIMIZED=","FALSE&amp;VAR:CALENDAR=US&amp;VAR:SYMBOL=NSC&amp;VAR:INDEX=0"}</definedName>
    <definedName name="_188__FDSAUDITLINK__" localSheetId="4" hidden="1">{"fdsup://directions/FAT Viewer?action=UPDATE&amp;creator=factset&amp;DYN_ARGS=TRUE&amp;DOC_NAME=FAT:FQL_AUDITING_CLIENT_TEMPLATE.FAT&amp;display_string=Audit&amp;VAR:KEY=NWRKRUFQBQ&amp;VAR:QUERY=RkZfTkVUX0lOQyhBTk4sMjAxMCk=&amp;WINDOW=FIRST_POPUP&amp;HEIGHT=450&amp;WIDTH=450&amp;START_MAXIMIZED=","FALSE&amp;VAR:CALENDAR=US&amp;VAR:SYMBOL=KSU&amp;VAR:INDEX=0"}</definedName>
    <definedName name="_188__FDSAUDITLINK__" hidden="1">{"fdsup://directions/FAT Viewer?action=UPDATE&amp;creator=factset&amp;DYN_ARGS=TRUE&amp;DOC_NAME=FAT:FQL_AUDITING_CLIENT_TEMPLATE.FAT&amp;display_string=Audit&amp;VAR:KEY=NWRKRUFQBQ&amp;VAR:QUERY=RkZfTkVUX0lOQyhBTk4sMjAxMCk=&amp;WINDOW=FIRST_POPUP&amp;HEIGHT=450&amp;WIDTH=450&amp;START_MAXIMIZED=","FALSE&amp;VAR:CALENDAR=US&amp;VAR:SYMBOL=KSU&amp;VAR:INDEX=0"}</definedName>
    <definedName name="_189__FDSAUDITLINK__" localSheetId="4" hidden="1">{"fdsup://directions/FAT Viewer?action=UPDATE&amp;creator=factset&amp;DYN_ARGS=TRUE&amp;DOC_NAME=FAT:FQL_AUDITING_CLIENT_TEMPLATE.FAT&amp;display_string=Audit&amp;VAR:KEY=PSHITCFIVG&amp;VAR:QUERY=RkZfTkVUX0lOQyhBTk4sMjAxMCk=&amp;WINDOW=FIRST_POPUP&amp;HEIGHT=450&amp;WIDTH=450&amp;START_MAXIMIZED=","FALSE&amp;VAR:CALENDAR=US&amp;VAR:SYMBOL=GWR&amp;VAR:INDEX=0"}</definedName>
    <definedName name="_189__FDSAUDITLINK__" hidden="1">{"fdsup://directions/FAT Viewer?action=UPDATE&amp;creator=factset&amp;DYN_ARGS=TRUE&amp;DOC_NAME=FAT:FQL_AUDITING_CLIENT_TEMPLATE.FAT&amp;display_string=Audit&amp;VAR:KEY=PSHITCFIVG&amp;VAR:QUERY=RkZfTkVUX0lOQyhBTk4sMjAxMCk=&amp;WINDOW=FIRST_POPUP&amp;HEIGHT=450&amp;WIDTH=450&amp;START_MAXIMIZED=","FALSE&amp;VAR:CALENDAR=US&amp;VAR:SYMBOL=GWR&amp;VAR:INDEX=0"}</definedName>
    <definedName name="_19__FDSAUDITLINK__" localSheetId="4" hidden="1">{"fdsup://directions/FAT Viewer?action=UPDATE&amp;creator=factset&amp;DYN_ARGS=TRUE&amp;DOC_NAME=FAT:FQL_AUDITING_CLIENT_TEMPLATE.FAT&amp;display_string=Audit&amp;VAR:KEY=EZCLCRSDAP&amp;VAR:QUERY=RkZfRUJJVERBKEFOTiwyMDEwKQ==&amp;WINDOW=FIRST_POPUP&amp;HEIGHT=450&amp;WIDTH=450&amp;START_MAXIMIZED=","FALSE&amp;VAR:CALENDAR=US&amp;VAR:SYMBOL=NSC&amp;VAR:INDEX=0"}</definedName>
    <definedName name="_19__FDSAUDITLINK__" localSheetId="5" hidden="1">{"fdsup://Directions/FactSet Auditing Viewer?action=AUDIT_VALUE&amp;DB=129&amp;ID1=90781810&amp;VALUEID=01401&amp;SDATE=2009&amp;PERIODTYPE=ANN_STD&amp;window=popup_no_bar&amp;width=385&amp;height=120&amp;START_MAXIMIZED=FALSE&amp;creator=factset&amp;display_string=Audit"}</definedName>
    <definedName name="_19__FDSAUDITLINK__" localSheetId="6" hidden="1">{"fdsup://Directions/FactSet Auditing Viewer?action=AUDIT_VALUE&amp;DB=129&amp;ID1=90781810&amp;VALUEID=01401&amp;SDATE=2009&amp;PERIODTYPE=ANN_STD&amp;window=popup_no_bar&amp;width=385&amp;height=120&amp;START_MAXIMIZED=FALSE&amp;creator=factset&amp;display_string=Audit"}</definedName>
    <definedName name="_19__FDSAUDITLINK__" hidden="1">{"fdsup://directions/FAT Viewer?action=UPDATE&amp;creator=factset&amp;DYN_ARGS=TRUE&amp;DOC_NAME=FAT:FQL_AUDITING_CLIENT_TEMPLATE.FAT&amp;display_string=Audit&amp;VAR:KEY=EZCLCRSDAP&amp;VAR:QUERY=RkZfRUJJVERBKEFOTiwyMDEwKQ==&amp;WINDOW=FIRST_POPUP&amp;HEIGHT=450&amp;WIDTH=450&amp;START_MAXIMIZED=","FALSE&amp;VAR:CALENDAR=US&amp;VAR:SYMBOL=NSC&amp;VAR:INDEX=0"}</definedName>
    <definedName name="_190__FDSAUDITLINK__" localSheetId="4" hidden="1">{"fdsup://directions/FAT Viewer?action=UPDATE&amp;creator=factset&amp;DYN_ARGS=TRUE&amp;DOC_NAME=FAT:FQL_AUDITING_CLIENT_TEMPLATE.FAT&amp;display_string=Audit&amp;VAR:KEY=TEJSHGRUZU&amp;VAR:QUERY=RkZfTkVUX0lOQyhBTk4sMjAxMCk=&amp;WINDOW=FIRST_POPUP&amp;HEIGHT=450&amp;WIDTH=450&amp;START_MAXIMIZED=","FALSE&amp;VAR:CALENDAR=US&amp;VAR:SYMBOL=CSX&amp;VAR:INDEX=0"}</definedName>
    <definedName name="_190__FDSAUDITLINK__" hidden="1">{"fdsup://directions/FAT Viewer?action=UPDATE&amp;creator=factset&amp;DYN_ARGS=TRUE&amp;DOC_NAME=FAT:FQL_AUDITING_CLIENT_TEMPLATE.FAT&amp;display_string=Audit&amp;VAR:KEY=TEJSHGRUZU&amp;VAR:QUERY=RkZfTkVUX0lOQyhBTk4sMjAxMCk=&amp;WINDOW=FIRST_POPUP&amp;HEIGHT=450&amp;WIDTH=450&amp;START_MAXIMIZED=","FALSE&amp;VAR:CALENDAR=US&amp;VAR:SYMBOL=CSX&amp;VAR:INDEX=0"}</definedName>
    <definedName name="_191__FDSAUDITLINK__" localSheetId="4" hidden="1">{"fdsup://directions/FAT Viewer?action=UPDATE&amp;creator=factset&amp;DYN_ARGS=TRUE&amp;DOC_NAME=FAT:FQL_AUDITING_CLIENT_TEMPLATE.FAT&amp;display_string=Audit&amp;VAR:KEY=PUVSNUNGVG&amp;VAR:QUERY=RkZfTkVUX0lOQyhBTk4sMjAxMCk=&amp;WINDOW=FIRST_POPUP&amp;HEIGHT=450&amp;WIDTH=450&amp;START_MAXIMIZED=","FALSE&amp;VAR:CALENDAR=US&amp;VAR:SYMBOL=CP&amp;VAR:INDEX=0"}</definedName>
    <definedName name="_191__FDSAUDITLINK__" hidden="1">{"fdsup://directions/FAT Viewer?action=UPDATE&amp;creator=factset&amp;DYN_ARGS=TRUE&amp;DOC_NAME=FAT:FQL_AUDITING_CLIENT_TEMPLATE.FAT&amp;display_string=Audit&amp;VAR:KEY=PUVSNUNGVG&amp;VAR:QUERY=RkZfTkVUX0lOQyhBTk4sMjAxMCk=&amp;WINDOW=FIRST_POPUP&amp;HEIGHT=450&amp;WIDTH=450&amp;START_MAXIMIZED=","FALSE&amp;VAR:CALENDAR=US&amp;VAR:SYMBOL=CP&amp;VAR:INDEX=0"}</definedName>
    <definedName name="_192__FDSAUDITLINK__" localSheetId="4" hidden="1">{"fdsup://directions/FAT Viewer?action=UPDATE&amp;creator=factset&amp;DYN_ARGS=TRUE&amp;DOC_NAME=FAT:FQL_AUDITING_CLIENT_TEMPLATE.FAT&amp;display_string=Audit&amp;VAR:KEY=PIRGRKDAXG&amp;VAR:QUERY=RkZfTkVUX0lOQyhBTk4sMjAxMCk=&amp;WINDOW=FIRST_POPUP&amp;HEIGHT=450&amp;WIDTH=450&amp;START_MAXIMIZED=","FALSE&amp;VAR:CALENDAR=US&amp;VAR:SYMBOL=CNI&amp;VAR:INDEX=0"}</definedName>
    <definedName name="_192__FDSAUDITLINK__" hidden="1">{"fdsup://directions/FAT Viewer?action=UPDATE&amp;creator=factset&amp;DYN_ARGS=TRUE&amp;DOC_NAME=FAT:FQL_AUDITING_CLIENT_TEMPLATE.FAT&amp;display_string=Audit&amp;VAR:KEY=PIRGRKDAXG&amp;VAR:QUERY=RkZfTkVUX0lOQyhBTk4sMjAxMCk=&amp;WINDOW=FIRST_POPUP&amp;HEIGHT=450&amp;WIDTH=450&amp;START_MAXIMIZED=","FALSE&amp;VAR:CALENDAR=US&amp;VAR:SYMBOL=CNI&amp;VAR:INDEX=0"}</definedName>
    <definedName name="_193__FDSAUDITLINK__" localSheetId="4" hidden="1">{"fdsup://directions/FAT Viewer?action=UPDATE&amp;creator=factset&amp;DYN_ARGS=TRUE&amp;DOC_NAME=FAT:FQL_AUDITING_CLIENT_TEMPLATE.FAT&amp;display_string=Audit&amp;VAR:KEY=NQXCBEJGFG&amp;VAR:QUERY=RkZfRUJJVChBTk4sMjAxMCk=&amp;WINDOW=FIRST_POPUP&amp;HEIGHT=450&amp;WIDTH=450&amp;START_MAXIMIZED=FALS","E&amp;VAR:CALENDAR=US&amp;VAR:SYMBOL=UNP&amp;VAR:INDEX=0"}</definedName>
    <definedName name="_193__FDSAUDITLINK__" hidden="1">{"fdsup://directions/FAT Viewer?action=UPDATE&amp;creator=factset&amp;DYN_ARGS=TRUE&amp;DOC_NAME=FAT:FQL_AUDITING_CLIENT_TEMPLATE.FAT&amp;display_string=Audit&amp;VAR:KEY=NQXCBEJGFG&amp;VAR:QUERY=RkZfRUJJVChBTk4sMjAxMCk=&amp;WINDOW=FIRST_POPUP&amp;HEIGHT=450&amp;WIDTH=450&amp;START_MAXIMIZED=FALS","E&amp;VAR:CALENDAR=US&amp;VAR:SYMBOL=UNP&amp;VAR:INDEX=0"}</definedName>
    <definedName name="_194__FDSAUDITLINK__" localSheetId="4" hidden="1">{"fdsup://directions/FAT Viewer?action=UPDATE&amp;creator=factset&amp;DYN_ARGS=TRUE&amp;DOC_NAME=FAT:FQL_AUDITING_CLIENT_TEMPLATE.FAT&amp;display_string=Audit&amp;VAR:KEY=LCROTGTGRW&amp;VAR:QUERY=RkZfRUJJVChBTk4sMjAxMCk=&amp;WINDOW=FIRST_POPUP&amp;HEIGHT=450&amp;WIDTH=450&amp;START_MAXIMIZED=FALS","E&amp;VAR:CALENDAR=US&amp;VAR:SYMBOL=RA&amp;VAR:INDEX=0"}</definedName>
    <definedName name="_194__FDSAUDITLINK__" hidden="1">{"fdsup://directions/FAT Viewer?action=UPDATE&amp;creator=factset&amp;DYN_ARGS=TRUE&amp;DOC_NAME=FAT:FQL_AUDITING_CLIENT_TEMPLATE.FAT&amp;display_string=Audit&amp;VAR:KEY=LCROTGTGRW&amp;VAR:QUERY=RkZfRUJJVChBTk4sMjAxMCk=&amp;WINDOW=FIRST_POPUP&amp;HEIGHT=450&amp;WIDTH=450&amp;START_MAXIMIZED=FALS","E&amp;VAR:CALENDAR=US&amp;VAR:SYMBOL=RA&amp;VAR:INDEX=0"}</definedName>
    <definedName name="_195__FDSAUDITLINK__" localSheetId="4" hidden="1">{"fdsup://directions/FAT Viewer?action=UPDATE&amp;creator=factset&amp;DYN_ARGS=TRUE&amp;DOC_NAME=FAT:FQL_AUDITING_CLIENT_TEMPLATE.FAT&amp;display_string=Audit&amp;VAR:KEY=TSLEZADAFC&amp;VAR:QUERY=RkZfRUJJVChBTk4sMjAxMCk=&amp;WINDOW=FIRST_POPUP&amp;HEIGHT=450&amp;WIDTH=450&amp;START_MAXIMIZED=FALS","E&amp;VAR:CALENDAR=US&amp;VAR:SYMBOL=NSC&amp;VAR:INDEX=0"}</definedName>
    <definedName name="_195__FDSAUDITLINK__" hidden="1">{"fdsup://directions/FAT Viewer?action=UPDATE&amp;creator=factset&amp;DYN_ARGS=TRUE&amp;DOC_NAME=FAT:FQL_AUDITING_CLIENT_TEMPLATE.FAT&amp;display_string=Audit&amp;VAR:KEY=TSLEZADAFC&amp;VAR:QUERY=RkZfRUJJVChBTk4sMjAxMCk=&amp;WINDOW=FIRST_POPUP&amp;HEIGHT=450&amp;WIDTH=450&amp;START_MAXIMIZED=FALS","E&amp;VAR:CALENDAR=US&amp;VAR:SYMBOL=NSC&amp;VAR:INDEX=0"}</definedName>
    <definedName name="_196__FDSAUDITLINK__" localSheetId="4" hidden="1">{"fdsup://directions/FAT Viewer?action=UPDATE&amp;creator=factset&amp;DYN_ARGS=TRUE&amp;DOC_NAME=FAT:FQL_AUDITING_CLIENT_TEMPLATE.FAT&amp;display_string=Audit&amp;VAR:KEY=DKZARCNIFO&amp;VAR:QUERY=RkZfRUJJVChBTk4sMjAxMCk=&amp;WINDOW=FIRST_POPUP&amp;HEIGHT=450&amp;WIDTH=450&amp;START_MAXIMIZED=FALS","E&amp;VAR:CALENDAR=US&amp;VAR:SYMBOL=KSU&amp;VAR:INDEX=0"}</definedName>
    <definedName name="_196__FDSAUDITLINK__" hidden="1">{"fdsup://directions/FAT Viewer?action=UPDATE&amp;creator=factset&amp;DYN_ARGS=TRUE&amp;DOC_NAME=FAT:FQL_AUDITING_CLIENT_TEMPLATE.FAT&amp;display_string=Audit&amp;VAR:KEY=DKZARCNIFO&amp;VAR:QUERY=RkZfRUJJVChBTk4sMjAxMCk=&amp;WINDOW=FIRST_POPUP&amp;HEIGHT=450&amp;WIDTH=450&amp;START_MAXIMIZED=FALS","E&amp;VAR:CALENDAR=US&amp;VAR:SYMBOL=KSU&amp;VAR:INDEX=0"}</definedName>
    <definedName name="_197__FDSAUDITLINK__" localSheetId="4" hidden="1">{"fdsup://directions/FAT Viewer?action=UPDATE&amp;creator=factset&amp;DYN_ARGS=TRUE&amp;DOC_NAME=FAT:FQL_AUDITING_CLIENT_TEMPLATE.FAT&amp;display_string=Audit&amp;VAR:KEY=JGFQXYRAHG&amp;VAR:QUERY=RkZfRUJJVChBTk4sMjAxMCk=&amp;WINDOW=FIRST_POPUP&amp;HEIGHT=450&amp;WIDTH=450&amp;START_MAXIMIZED=FALS","E&amp;VAR:CALENDAR=US&amp;VAR:SYMBOL=GWR&amp;VAR:INDEX=0"}</definedName>
    <definedName name="_197__FDSAUDITLINK__" hidden="1">{"fdsup://directions/FAT Viewer?action=UPDATE&amp;creator=factset&amp;DYN_ARGS=TRUE&amp;DOC_NAME=FAT:FQL_AUDITING_CLIENT_TEMPLATE.FAT&amp;display_string=Audit&amp;VAR:KEY=JGFQXYRAHG&amp;VAR:QUERY=RkZfRUJJVChBTk4sMjAxMCk=&amp;WINDOW=FIRST_POPUP&amp;HEIGHT=450&amp;WIDTH=450&amp;START_MAXIMIZED=FALS","E&amp;VAR:CALENDAR=US&amp;VAR:SYMBOL=GWR&amp;VAR:INDEX=0"}</definedName>
    <definedName name="_198__FDSAUDITLINK__" localSheetId="4" hidden="1">{"fdsup://directions/FAT Viewer?action=UPDATE&amp;creator=factset&amp;DYN_ARGS=TRUE&amp;DOC_NAME=FAT:FQL_AUDITING_CLIENT_TEMPLATE.FAT&amp;display_string=Audit&amp;VAR:KEY=TEBGJOLEZO&amp;VAR:QUERY=RkZfRUJJVChBTk4sMjAxMCk=&amp;WINDOW=FIRST_POPUP&amp;HEIGHT=450&amp;WIDTH=450&amp;START_MAXIMIZED=FALS","E&amp;VAR:CALENDAR=US&amp;VAR:SYMBOL=CSX&amp;VAR:INDEX=0"}</definedName>
    <definedName name="_198__FDSAUDITLINK__" hidden="1">{"fdsup://directions/FAT Viewer?action=UPDATE&amp;creator=factset&amp;DYN_ARGS=TRUE&amp;DOC_NAME=FAT:FQL_AUDITING_CLIENT_TEMPLATE.FAT&amp;display_string=Audit&amp;VAR:KEY=TEBGJOLEZO&amp;VAR:QUERY=RkZfRUJJVChBTk4sMjAxMCk=&amp;WINDOW=FIRST_POPUP&amp;HEIGHT=450&amp;WIDTH=450&amp;START_MAXIMIZED=FALS","E&amp;VAR:CALENDAR=US&amp;VAR:SYMBOL=CSX&amp;VAR:INDEX=0"}</definedName>
    <definedName name="_199__FDSAUDITLINK__" localSheetId="4" hidden="1">{"fdsup://directions/FAT Viewer?action=UPDATE&amp;creator=factset&amp;DYN_ARGS=TRUE&amp;DOC_NAME=FAT:FQL_AUDITING_CLIENT_TEMPLATE.FAT&amp;display_string=Audit&amp;VAR:KEY=HMVUPGRQDM&amp;VAR:QUERY=RkZfRUJJVChBTk4sMjAxMCk=&amp;WINDOW=FIRST_POPUP&amp;HEIGHT=450&amp;WIDTH=450&amp;START_MAXIMIZED=FALS","E&amp;VAR:CALENDAR=US&amp;VAR:SYMBOL=CP&amp;VAR:INDEX=0"}</definedName>
    <definedName name="_199__FDSAUDITLINK__" hidden="1">{"fdsup://directions/FAT Viewer?action=UPDATE&amp;creator=factset&amp;DYN_ARGS=TRUE&amp;DOC_NAME=FAT:FQL_AUDITING_CLIENT_TEMPLATE.FAT&amp;display_string=Audit&amp;VAR:KEY=HMVUPGRQDM&amp;VAR:QUERY=RkZfRUJJVChBTk4sMjAxMCk=&amp;WINDOW=FIRST_POPUP&amp;HEIGHT=450&amp;WIDTH=450&amp;START_MAXIMIZED=FALS","E&amp;VAR:CALENDAR=US&amp;VAR:SYMBOL=CP&amp;VAR:INDEX=0"}</definedName>
    <definedName name="_2__FDSAUDITLINK__" localSheetId="4" hidden="1">{"fdsup://directions/FAT Viewer?action=UPDATE&amp;creator=factset&amp;DYN_ARGS=TRUE&amp;DOC_NAME=FAT:FQL_AUDITING_CLIENT_TEMPLATE.FAT&amp;display_string=Audit&amp;VAR:KEY=CBUFQRWTMN&amp;VAR:QUERY=RkZfTkVUX0lOQyhBTk4sMjAxMCk=&amp;WINDOW=FIRST_POPUP&amp;HEIGHT=450&amp;WIDTH=450&amp;START_MAXIMIZED=","FALSE&amp;VAR:CALENDAR=US&amp;VAR:SYMBOL=RA&amp;VAR:INDEX=0"}</definedName>
    <definedName name="_2__FDSAUDITLINK__" localSheetId="5" hidden="1">{"fdsup://Directions/FactSet Auditing Viewer?action=AUDIT_VALUE&amp;DB=129&amp;ID1=75075340&amp;VALUEID=01401&amp;SDATE=2009&amp;PERIODTYPE=ANN_STD&amp;window=popup_no_bar&amp;width=385&amp;height=120&amp;START_MAXIMIZED=FALSE&amp;creator=factset&amp;display_string=Audit"}</definedName>
    <definedName name="_2__FDSAUDITLINK__" localSheetId="6" hidden="1">{"fdsup://Directions/FactSet Auditing Viewer?action=AUDIT_VALUE&amp;DB=129&amp;ID1=75075340&amp;VALUEID=01401&amp;SDATE=2009&amp;PERIODTYPE=ANN_STD&amp;window=popup_no_bar&amp;width=385&amp;height=120&amp;START_MAXIMIZED=FALSE&amp;creator=factset&amp;display_string=Audit"}</definedName>
    <definedName name="_2__FDSAUDITLINK__" hidden="1">{"fdsup://directions/FAT Viewer?action=UPDATE&amp;creator=factset&amp;DYN_ARGS=TRUE&amp;DOC_NAME=FAT:FQL_AUDITING_CLIENT_TEMPLATE.FAT&amp;display_string=Audit&amp;VAR:KEY=CBUFQRWTMN&amp;VAR:QUERY=RkZfTkVUX0lOQyhBTk4sMjAxMCk=&amp;WINDOW=FIRST_POPUP&amp;HEIGHT=450&amp;WIDTH=450&amp;START_MAXIMIZED=","FALSE&amp;VAR:CALENDAR=US&amp;VAR:SYMBOL=RA&amp;VAR:INDEX=0"}</definedName>
    <definedName name="_20__FDSAUDITLINK__" localSheetId="4" hidden="1">{"fdsup://directions/FAT Viewer?action=UPDATE&amp;creator=factset&amp;DYN_ARGS=TRUE&amp;DOC_NAME=FAT:FQL_AUDITING_CLIENT_TEMPLATE.FAT&amp;display_string=Audit&amp;VAR:KEY=CBYLCVWFIZ&amp;VAR:QUERY=RkZfRUJJVERBKEFOTiwyMDEwKQ==&amp;WINDOW=FIRST_POPUP&amp;HEIGHT=450&amp;WIDTH=450&amp;START_MAXIMIZED=","FALSE&amp;VAR:CALENDAR=US&amp;VAR:SYMBOL=KSU&amp;VAR:INDEX=0"}</definedName>
    <definedName name="_20__FDSAUDITLINK__" localSheetId="5" hidden="1">{"fdsup://Directions/FactSet Auditing Viewer?action=AUDIT_VALUE&amp;DB=129&amp;ID1=75075340&amp;VALUEID=01401&amp;SDATE=2009&amp;PERIODTYPE=ANN_STD&amp;window=popup_no_bar&amp;width=385&amp;height=120&amp;START_MAXIMIZED=FALSE&amp;creator=factset&amp;display_string=Audit"}</definedName>
    <definedName name="_20__FDSAUDITLINK__" localSheetId="6" hidden="1">{"fdsup://Directions/FactSet Auditing Viewer?action=AUDIT_VALUE&amp;DB=129&amp;ID1=75075340&amp;VALUEID=01401&amp;SDATE=2009&amp;PERIODTYPE=ANN_STD&amp;window=popup_no_bar&amp;width=385&amp;height=120&amp;START_MAXIMIZED=FALSE&amp;creator=factset&amp;display_string=Audit"}</definedName>
    <definedName name="_20__FDSAUDITLINK__" hidden="1">{"fdsup://directions/FAT Viewer?action=UPDATE&amp;creator=factset&amp;DYN_ARGS=TRUE&amp;DOC_NAME=FAT:FQL_AUDITING_CLIENT_TEMPLATE.FAT&amp;display_string=Audit&amp;VAR:KEY=CBYLCVWFIZ&amp;VAR:QUERY=RkZfRUJJVERBKEFOTiwyMDEwKQ==&amp;WINDOW=FIRST_POPUP&amp;HEIGHT=450&amp;WIDTH=450&amp;START_MAXIMIZED=","FALSE&amp;VAR:CALENDAR=US&amp;VAR:SYMBOL=KSU&amp;VAR:INDEX=0"}</definedName>
    <definedName name="_200__FDSAUDITLINK__" localSheetId="4" hidden="1">{"fdsup://directions/FAT Viewer?action=UPDATE&amp;creator=factset&amp;DYN_ARGS=TRUE&amp;DOC_NAME=FAT:FQL_AUDITING_CLIENT_TEMPLATE.FAT&amp;display_string=Audit&amp;VAR:KEY=XCLQPOHIPY&amp;VAR:QUERY=RkZfRUJJVChBTk4sMjAxMCk=&amp;WINDOW=FIRST_POPUP&amp;HEIGHT=450&amp;WIDTH=450&amp;START_MAXIMIZED=FALS","E&amp;VAR:CALENDAR=US&amp;VAR:SYMBOL=CNI&amp;VAR:INDEX=0"}</definedName>
    <definedName name="_200__FDSAUDITLINK__" hidden="1">{"fdsup://directions/FAT Viewer?action=UPDATE&amp;creator=factset&amp;DYN_ARGS=TRUE&amp;DOC_NAME=FAT:FQL_AUDITING_CLIENT_TEMPLATE.FAT&amp;display_string=Audit&amp;VAR:KEY=XCLQPOHIPY&amp;VAR:QUERY=RkZfRUJJVChBTk4sMjAxMCk=&amp;WINDOW=FIRST_POPUP&amp;HEIGHT=450&amp;WIDTH=450&amp;START_MAXIMIZED=FALS","E&amp;VAR:CALENDAR=US&amp;VAR:SYMBOL=CNI&amp;VAR:INDEX=0"}</definedName>
    <definedName name="_201__FDSAUDITLINK__" localSheetId="4" hidden="1">{"fdsup://directions/FAT Viewer?action=UPDATE&amp;creator=factset&amp;DYN_ARGS=TRUE&amp;DOC_NAME=FAT:FQL_AUDITING_CLIENT_TEMPLATE.FAT&amp;display_string=Audit&amp;VAR:KEY=NYPUZSLQVA&amp;VAR:QUERY=RkZfRUJJVERBKEFOTiwyMDEwKQ==&amp;WINDOW=FIRST_POPUP&amp;HEIGHT=450&amp;WIDTH=450&amp;START_MAXIMIZED=","FALSE&amp;VAR:CALENDAR=US&amp;VAR:SYMBOL=UNP&amp;VAR:INDEX=0"}</definedName>
    <definedName name="_201__FDSAUDITLINK__" hidden="1">{"fdsup://directions/FAT Viewer?action=UPDATE&amp;creator=factset&amp;DYN_ARGS=TRUE&amp;DOC_NAME=FAT:FQL_AUDITING_CLIENT_TEMPLATE.FAT&amp;display_string=Audit&amp;VAR:KEY=NYPUZSLQVA&amp;VAR:QUERY=RkZfRUJJVERBKEFOTiwyMDEwKQ==&amp;WINDOW=FIRST_POPUP&amp;HEIGHT=450&amp;WIDTH=450&amp;START_MAXIMIZED=","FALSE&amp;VAR:CALENDAR=US&amp;VAR:SYMBOL=UNP&amp;VAR:INDEX=0"}</definedName>
    <definedName name="_202__FDSAUDITLINK__" localSheetId="4" hidden="1">{"fdsup://directions/FAT Viewer?action=UPDATE&amp;creator=factset&amp;DYN_ARGS=TRUE&amp;DOC_NAME=FAT:FQL_AUDITING_CLIENT_TEMPLATE.FAT&amp;display_string=Audit&amp;VAR:KEY=HWRYLYPIFY&amp;VAR:QUERY=RkZfRUJJVERBKEFOTiwyMDEwKQ==&amp;WINDOW=FIRST_POPUP&amp;HEIGHT=450&amp;WIDTH=450&amp;START_MAXIMIZED=","FALSE&amp;VAR:CALENDAR=US&amp;VAR:SYMBOL=RA&amp;VAR:INDEX=0"}</definedName>
    <definedName name="_202__FDSAUDITLINK__" hidden="1">{"fdsup://directions/FAT Viewer?action=UPDATE&amp;creator=factset&amp;DYN_ARGS=TRUE&amp;DOC_NAME=FAT:FQL_AUDITING_CLIENT_TEMPLATE.FAT&amp;display_string=Audit&amp;VAR:KEY=HWRYLYPIFY&amp;VAR:QUERY=RkZfRUJJVERBKEFOTiwyMDEwKQ==&amp;WINDOW=FIRST_POPUP&amp;HEIGHT=450&amp;WIDTH=450&amp;START_MAXIMIZED=","FALSE&amp;VAR:CALENDAR=US&amp;VAR:SYMBOL=RA&amp;VAR:INDEX=0"}</definedName>
    <definedName name="_203__FDSAUDITLINK__" localSheetId="4" hidden="1">{"fdsup://directions/FAT Viewer?action=UPDATE&amp;creator=factset&amp;DYN_ARGS=TRUE&amp;DOC_NAME=FAT:FQL_AUDITING_CLIENT_TEMPLATE.FAT&amp;display_string=Audit&amp;VAR:KEY=RWNWNAXCJK&amp;VAR:QUERY=RkZfRUJJVERBKEFOTiwyMDEwKQ==&amp;WINDOW=FIRST_POPUP&amp;HEIGHT=450&amp;WIDTH=450&amp;START_MAXIMIZED=","FALSE&amp;VAR:CALENDAR=US&amp;VAR:SYMBOL=NSC&amp;VAR:INDEX=0"}</definedName>
    <definedName name="_203__FDSAUDITLINK__" hidden="1">{"fdsup://directions/FAT Viewer?action=UPDATE&amp;creator=factset&amp;DYN_ARGS=TRUE&amp;DOC_NAME=FAT:FQL_AUDITING_CLIENT_TEMPLATE.FAT&amp;display_string=Audit&amp;VAR:KEY=RWNWNAXCJK&amp;VAR:QUERY=RkZfRUJJVERBKEFOTiwyMDEwKQ==&amp;WINDOW=FIRST_POPUP&amp;HEIGHT=450&amp;WIDTH=450&amp;START_MAXIMIZED=","FALSE&amp;VAR:CALENDAR=US&amp;VAR:SYMBOL=NSC&amp;VAR:INDEX=0"}</definedName>
    <definedName name="_204__FDSAUDITLINK__" localSheetId="4" hidden="1">{"fdsup://directions/FAT Viewer?action=UPDATE&amp;creator=factset&amp;DYN_ARGS=TRUE&amp;DOC_NAME=FAT:FQL_AUDITING_CLIENT_TEMPLATE.FAT&amp;display_string=Audit&amp;VAR:KEY=ZSPGZCHCLI&amp;VAR:QUERY=RkZfRUJJVERBKEFOTiwyMDEwKQ==&amp;WINDOW=FIRST_POPUP&amp;HEIGHT=450&amp;WIDTH=450&amp;START_MAXIMIZED=","FALSE&amp;VAR:CALENDAR=US&amp;VAR:SYMBOL=KSU&amp;VAR:INDEX=0"}</definedName>
    <definedName name="_204__FDSAUDITLINK__" hidden="1">{"fdsup://directions/FAT Viewer?action=UPDATE&amp;creator=factset&amp;DYN_ARGS=TRUE&amp;DOC_NAME=FAT:FQL_AUDITING_CLIENT_TEMPLATE.FAT&amp;display_string=Audit&amp;VAR:KEY=ZSPGZCHCLI&amp;VAR:QUERY=RkZfRUJJVERBKEFOTiwyMDEwKQ==&amp;WINDOW=FIRST_POPUP&amp;HEIGHT=450&amp;WIDTH=450&amp;START_MAXIMIZED=","FALSE&amp;VAR:CALENDAR=US&amp;VAR:SYMBOL=KSU&amp;VAR:INDEX=0"}</definedName>
    <definedName name="_205__FDSAUDITLINK__" localSheetId="4" hidden="1">{"fdsup://directions/FAT Viewer?action=UPDATE&amp;creator=factset&amp;DYN_ARGS=TRUE&amp;DOC_NAME=FAT:FQL_AUDITING_CLIENT_TEMPLATE.FAT&amp;display_string=Audit&amp;VAR:KEY=ZOHQTSZKPK&amp;VAR:QUERY=RkZfRUJJVERBKEFOTiwyMDEwKQ==&amp;WINDOW=FIRST_POPUP&amp;HEIGHT=450&amp;WIDTH=450&amp;START_MAXIMIZED=","FALSE&amp;VAR:CALENDAR=US&amp;VAR:SYMBOL=GWR&amp;VAR:INDEX=0"}</definedName>
    <definedName name="_205__FDSAUDITLINK__" hidden="1">{"fdsup://directions/FAT Viewer?action=UPDATE&amp;creator=factset&amp;DYN_ARGS=TRUE&amp;DOC_NAME=FAT:FQL_AUDITING_CLIENT_TEMPLATE.FAT&amp;display_string=Audit&amp;VAR:KEY=ZOHQTSZKPK&amp;VAR:QUERY=RkZfRUJJVERBKEFOTiwyMDEwKQ==&amp;WINDOW=FIRST_POPUP&amp;HEIGHT=450&amp;WIDTH=450&amp;START_MAXIMIZED=","FALSE&amp;VAR:CALENDAR=US&amp;VAR:SYMBOL=GWR&amp;VAR:INDEX=0"}</definedName>
    <definedName name="_206__FDSAUDITLINK__" localSheetId="4" hidden="1">{"fdsup://directions/FAT Viewer?action=UPDATE&amp;creator=factset&amp;DYN_ARGS=TRUE&amp;DOC_NAME=FAT:FQL_AUDITING_CLIENT_TEMPLATE.FAT&amp;display_string=Audit&amp;VAR:KEY=PQLMHUNSDY&amp;VAR:QUERY=RkZfRUJJVERBKEFOTiwyMDEwKQ==&amp;WINDOW=FIRST_POPUP&amp;HEIGHT=450&amp;WIDTH=450&amp;START_MAXIMIZED=","FALSE&amp;VAR:CALENDAR=US&amp;VAR:SYMBOL=CSX&amp;VAR:INDEX=0"}</definedName>
    <definedName name="_206__FDSAUDITLINK__" hidden="1">{"fdsup://directions/FAT Viewer?action=UPDATE&amp;creator=factset&amp;DYN_ARGS=TRUE&amp;DOC_NAME=FAT:FQL_AUDITING_CLIENT_TEMPLATE.FAT&amp;display_string=Audit&amp;VAR:KEY=PQLMHUNSDY&amp;VAR:QUERY=RkZfRUJJVERBKEFOTiwyMDEwKQ==&amp;WINDOW=FIRST_POPUP&amp;HEIGHT=450&amp;WIDTH=450&amp;START_MAXIMIZED=","FALSE&amp;VAR:CALENDAR=US&amp;VAR:SYMBOL=CSX&amp;VAR:INDEX=0"}</definedName>
    <definedName name="_207__FDSAUDITLINK__" localSheetId="4" hidden="1">{"fdsup://directions/FAT Viewer?action=UPDATE&amp;creator=factset&amp;DYN_ARGS=TRUE&amp;DOC_NAME=FAT:FQL_AUDITING_CLIENT_TEMPLATE.FAT&amp;display_string=Audit&amp;VAR:KEY=TOBWXQLKPG&amp;VAR:QUERY=RkZfRUJJVERBKEFOTiwyMDEwKQ==&amp;WINDOW=FIRST_POPUP&amp;HEIGHT=450&amp;WIDTH=450&amp;START_MAXIMIZED=","FALSE&amp;VAR:CALENDAR=US&amp;VAR:SYMBOL=CP&amp;VAR:INDEX=0"}</definedName>
    <definedName name="_207__FDSAUDITLINK__" hidden="1">{"fdsup://directions/FAT Viewer?action=UPDATE&amp;creator=factset&amp;DYN_ARGS=TRUE&amp;DOC_NAME=FAT:FQL_AUDITING_CLIENT_TEMPLATE.FAT&amp;display_string=Audit&amp;VAR:KEY=TOBWXQLKPG&amp;VAR:QUERY=RkZfRUJJVERBKEFOTiwyMDEwKQ==&amp;WINDOW=FIRST_POPUP&amp;HEIGHT=450&amp;WIDTH=450&amp;START_MAXIMIZED=","FALSE&amp;VAR:CALENDAR=US&amp;VAR:SYMBOL=CP&amp;VAR:INDEX=0"}</definedName>
    <definedName name="_208__FDSAUDITLINK__" localSheetId="4" hidden="1">{"fdsup://directions/FAT Viewer?action=UPDATE&amp;creator=factset&amp;DYN_ARGS=TRUE&amp;DOC_NAME=FAT:FQL_AUDITING_CLIENT_TEMPLATE.FAT&amp;display_string=Audit&amp;VAR:KEY=FILMJGJSXK&amp;VAR:QUERY=RkZfRUJJVERBKEFOTiwyMDEwKQ==&amp;WINDOW=FIRST_POPUP&amp;HEIGHT=450&amp;WIDTH=450&amp;START_MAXIMIZED=","FALSE&amp;VAR:CALENDAR=US&amp;VAR:SYMBOL=CNI&amp;VAR:INDEX=0"}</definedName>
    <definedName name="_208__FDSAUDITLINK__" hidden="1">{"fdsup://directions/FAT Viewer?action=UPDATE&amp;creator=factset&amp;DYN_ARGS=TRUE&amp;DOC_NAME=FAT:FQL_AUDITING_CLIENT_TEMPLATE.FAT&amp;display_string=Audit&amp;VAR:KEY=FILMJGJSXK&amp;VAR:QUERY=RkZfRUJJVERBKEFOTiwyMDEwKQ==&amp;WINDOW=FIRST_POPUP&amp;HEIGHT=450&amp;WIDTH=450&amp;START_MAXIMIZED=","FALSE&amp;VAR:CALENDAR=US&amp;VAR:SYMBOL=CNI&amp;VAR:INDEX=0"}</definedName>
    <definedName name="_209__FDSAUDITLINK__" localSheetId="4" hidden="1">{"fdsup://directions/FAT Viewer?action=UPDATE&amp;creator=factset&amp;DYN_ARGS=TRUE&amp;DOC_NAME=FAT:FQL_AUDITING_CLIENT_TEMPLATE.FAT&amp;display_string=Audit&amp;VAR:KEY=NQPIJATGHS&amp;VAR:QUERY=RkZfTkVUX0lOQyhBTk4sMjAxMCk=&amp;WINDOW=FIRST_POPUP&amp;HEIGHT=450&amp;WIDTH=450&amp;START_MAXIMIZED=","FALSE&amp;VAR:CALENDAR=US&amp;VAR:SYMBOL=UNP&amp;VAR:INDEX=0"}</definedName>
    <definedName name="_209__FDSAUDITLINK__" hidden="1">{"fdsup://directions/FAT Viewer?action=UPDATE&amp;creator=factset&amp;DYN_ARGS=TRUE&amp;DOC_NAME=FAT:FQL_AUDITING_CLIENT_TEMPLATE.FAT&amp;display_string=Audit&amp;VAR:KEY=NQPIJATGHS&amp;VAR:QUERY=RkZfTkVUX0lOQyhBTk4sMjAxMCk=&amp;WINDOW=FIRST_POPUP&amp;HEIGHT=450&amp;WIDTH=450&amp;START_MAXIMIZED=","FALSE&amp;VAR:CALENDAR=US&amp;VAR:SYMBOL=UNP&amp;VAR:INDEX=0"}</definedName>
    <definedName name="_21__FDSAUDITLINK__" localSheetId="4" hidden="1">{"fdsup://directions/FAT Viewer?action=UPDATE&amp;creator=factset&amp;DYN_ARGS=TRUE&amp;DOC_NAME=FAT:FQL_AUDITING_CLIENT_TEMPLATE.FAT&amp;display_string=Audit&amp;VAR:KEY=MZIRGRQDQT&amp;VAR:QUERY=RkZfRUJJVERBKEFOTiwyMDEwKQ==&amp;WINDOW=FIRST_POPUP&amp;HEIGHT=450&amp;WIDTH=450&amp;START_MAXIMIZED=","FALSE&amp;VAR:CALENDAR=US&amp;VAR:SYMBOL=GWR&amp;VAR:INDEX=0"}</definedName>
    <definedName name="_21__FDSAUDITLINK__" localSheetId="5" hidden="1">{"fdsup://Directions/FactSet Auditing Viewer?action=AUDIT_VALUE&amp;DB=129&amp;ID1=65584410&amp;VALUEID=01401&amp;SDATE=2009&amp;PERIODTYPE=ANN_STD&amp;window=popup_no_bar&amp;width=385&amp;height=120&amp;START_MAXIMIZED=FALSE&amp;creator=factset&amp;display_string=Audit"}</definedName>
    <definedName name="_21__FDSAUDITLINK__" localSheetId="6" hidden="1">{"fdsup://Directions/FactSet Auditing Viewer?action=AUDIT_VALUE&amp;DB=129&amp;ID1=65584410&amp;VALUEID=01401&amp;SDATE=2009&amp;PERIODTYPE=ANN_STD&amp;window=popup_no_bar&amp;width=385&amp;height=120&amp;START_MAXIMIZED=FALSE&amp;creator=factset&amp;display_string=Audit"}</definedName>
    <definedName name="_21__FDSAUDITLINK__" hidden="1">{"fdsup://directions/FAT Viewer?action=UPDATE&amp;creator=factset&amp;DYN_ARGS=TRUE&amp;DOC_NAME=FAT:FQL_AUDITING_CLIENT_TEMPLATE.FAT&amp;display_string=Audit&amp;VAR:KEY=MZIRGRQDQT&amp;VAR:QUERY=RkZfRUJJVERBKEFOTiwyMDEwKQ==&amp;WINDOW=FIRST_POPUP&amp;HEIGHT=450&amp;WIDTH=450&amp;START_MAXIMIZED=","FALSE&amp;VAR:CALENDAR=US&amp;VAR:SYMBOL=GWR&amp;VAR:INDEX=0"}</definedName>
    <definedName name="_210__FDSAUDITLINK__" localSheetId="4" hidden="1">{"fdsup://directions/FAT Viewer?action=UPDATE&amp;creator=factset&amp;DYN_ARGS=TRUE&amp;DOC_NAME=FAT:FQL_AUDITING_CLIENT_TEMPLATE.FAT&amp;display_string=Audit&amp;VAR:KEY=TALGXWRMTO&amp;VAR:QUERY=RkZfTkVUX0lOQyhBTk4sMjAxMCk=&amp;WINDOW=FIRST_POPUP&amp;HEIGHT=450&amp;WIDTH=450&amp;START_MAXIMIZED=","FALSE&amp;VAR:CALENDAR=US&amp;VAR:SYMBOL=RA&amp;VAR:INDEX=0"}</definedName>
    <definedName name="_210__FDSAUDITLINK__" hidden="1">{"fdsup://directions/FAT Viewer?action=UPDATE&amp;creator=factset&amp;DYN_ARGS=TRUE&amp;DOC_NAME=FAT:FQL_AUDITING_CLIENT_TEMPLATE.FAT&amp;display_string=Audit&amp;VAR:KEY=TALGXWRMTO&amp;VAR:QUERY=RkZfTkVUX0lOQyhBTk4sMjAxMCk=&amp;WINDOW=FIRST_POPUP&amp;HEIGHT=450&amp;WIDTH=450&amp;START_MAXIMIZED=","FALSE&amp;VAR:CALENDAR=US&amp;VAR:SYMBOL=RA&amp;VAR:INDEX=0"}</definedName>
    <definedName name="_211__FDSAUDITLINK__" localSheetId="4" hidden="1">{"fdsup://directions/FAT Viewer?action=UPDATE&amp;creator=factset&amp;DYN_ARGS=TRUE&amp;DOC_NAME=FAT:FQL_AUDITING_CLIENT_TEMPLATE.FAT&amp;display_string=Audit&amp;VAR:KEY=HMBQPKXIDA&amp;VAR:QUERY=RkZfTkVUX0lOQyhBTk4sMjAxMCk=&amp;WINDOW=FIRST_POPUP&amp;HEIGHT=450&amp;WIDTH=450&amp;START_MAXIMIZED=","FALSE&amp;VAR:CALENDAR=US&amp;VAR:SYMBOL=NSC&amp;VAR:INDEX=0"}</definedName>
    <definedName name="_211__FDSAUDITLINK__" hidden="1">{"fdsup://directions/FAT Viewer?action=UPDATE&amp;creator=factset&amp;DYN_ARGS=TRUE&amp;DOC_NAME=FAT:FQL_AUDITING_CLIENT_TEMPLATE.FAT&amp;display_string=Audit&amp;VAR:KEY=HMBQPKXIDA&amp;VAR:QUERY=RkZfTkVUX0lOQyhBTk4sMjAxMCk=&amp;WINDOW=FIRST_POPUP&amp;HEIGHT=450&amp;WIDTH=450&amp;START_MAXIMIZED=","FALSE&amp;VAR:CALENDAR=US&amp;VAR:SYMBOL=NSC&amp;VAR:INDEX=0"}</definedName>
    <definedName name="_212__FDSAUDITLINK__" localSheetId="4" hidden="1">{"fdsup://directions/FAT Viewer?action=UPDATE&amp;creator=factset&amp;DYN_ARGS=TRUE&amp;DOC_NAME=FAT:FQL_AUDITING_CLIENT_TEMPLATE.FAT&amp;display_string=Audit&amp;VAR:KEY=NWRKRUFQBQ&amp;VAR:QUERY=RkZfTkVUX0lOQyhBTk4sMjAxMCk=&amp;WINDOW=FIRST_POPUP&amp;HEIGHT=450&amp;WIDTH=450&amp;START_MAXIMIZED=","FALSE&amp;VAR:CALENDAR=US&amp;VAR:SYMBOL=KSU&amp;VAR:INDEX=0"}</definedName>
    <definedName name="_212__FDSAUDITLINK__" hidden="1">{"fdsup://directions/FAT Viewer?action=UPDATE&amp;creator=factset&amp;DYN_ARGS=TRUE&amp;DOC_NAME=FAT:FQL_AUDITING_CLIENT_TEMPLATE.FAT&amp;display_string=Audit&amp;VAR:KEY=NWRKRUFQBQ&amp;VAR:QUERY=RkZfTkVUX0lOQyhBTk4sMjAxMCk=&amp;WINDOW=FIRST_POPUP&amp;HEIGHT=450&amp;WIDTH=450&amp;START_MAXIMIZED=","FALSE&amp;VAR:CALENDAR=US&amp;VAR:SYMBOL=KSU&amp;VAR:INDEX=0"}</definedName>
    <definedName name="_213__FDSAUDITLINK__" localSheetId="4" hidden="1">{"fdsup://directions/FAT Viewer?action=UPDATE&amp;creator=factset&amp;DYN_ARGS=TRUE&amp;DOC_NAME=FAT:FQL_AUDITING_CLIENT_TEMPLATE.FAT&amp;display_string=Audit&amp;VAR:KEY=PSHITCFIVG&amp;VAR:QUERY=RkZfTkVUX0lOQyhBTk4sMjAxMCk=&amp;WINDOW=FIRST_POPUP&amp;HEIGHT=450&amp;WIDTH=450&amp;START_MAXIMIZED=","FALSE&amp;VAR:CALENDAR=US&amp;VAR:SYMBOL=GWR&amp;VAR:INDEX=0"}</definedName>
    <definedName name="_213__FDSAUDITLINK__" hidden="1">{"fdsup://directions/FAT Viewer?action=UPDATE&amp;creator=factset&amp;DYN_ARGS=TRUE&amp;DOC_NAME=FAT:FQL_AUDITING_CLIENT_TEMPLATE.FAT&amp;display_string=Audit&amp;VAR:KEY=PSHITCFIVG&amp;VAR:QUERY=RkZfTkVUX0lOQyhBTk4sMjAxMCk=&amp;WINDOW=FIRST_POPUP&amp;HEIGHT=450&amp;WIDTH=450&amp;START_MAXIMIZED=","FALSE&amp;VAR:CALENDAR=US&amp;VAR:SYMBOL=GWR&amp;VAR:INDEX=0"}</definedName>
    <definedName name="_214__FDSAUDITLINK__" localSheetId="4" hidden="1">{"fdsup://directions/FAT Viewer?action=UPDATE&amp;creator=factset&amp;DYN_ARGS=TRUE&amp;DOC_NAME=FAT:FQL_AUDITING_CLIENT_TEMPLATE.FAT&amp;display_string=Audit&amp;VAR:KEY=TEJSHGRUZU&amp;VAR:QUERY=RkZfTkVUX0lOQyhBTk4sMjAxMCk=&amp;WINDOW=FIRST_POPUP&amp;HEIGHT=450&amp;WIDTH=450&amp;START_MAXIMIZED=","FALSE&amp;VAR:CALENDAR=US&amp;VAR:SYMBOL=CSX&amp;VAR:INDEX=0"}</definedName>
    <definedName name="_214__FDSAUDITLINK__" hidden="1">{"fdsup://directions/FAT Viewer?action=UPDATE&amp;creator=factset&amp;DYN_ARGS=TRUE&amp;DOC_NAME=FAT:FQL_AUDITING_CLIENT_TEMPLATE.FAT&amp;display_string=Audit&amp;VAR:KEY=TEJSHGRUZU&amp;VAR:QUERY=RkZfTkVUX0lOQyhBTk4sMjAxMCk=&amp;WINDOW=FIRST_POPUP&amp;HEIGHT=450&amp;WIDTH=450&amp;START_MAXIMIZED=","FALSE&amp;VAR:CALENDAR=US&amp;VAR:SYMBOL=CSX&amp;VAR:INDEX=0"}</definedName>
    <definedName name="_215__FDSAUDITLINK__" localSheetId="4" hidden="1">{"fdsup://directions/FAT Viewer?action=UPDATE&amp;creator=factset&amp;DYN_ARGS=TRUE&amp;DOC_NAME=FAT:FQL_AUDITING_CLIENT_TEMPLATE.FAT&amp;display_string=Audit&amp;VAR:KEY=PUVSNUNGVG&amp;VAR:QUERY=RkZfTkVUX0lOQyhBTk4sMjAxMCk=&amp;WINDOW=FIRST_POPUP&amp;HEIGHT=450&amp;WIDTH=450&amp;START_MAXIMIZED=","FALSE&amp;VAR:CALENDAR=US&amp;VAR:SYMBOL=CP&amp;VAR:INDEX=0"}</definedName>
    <definedName name="_215__FDSAUDITLINK__" hidden="1">{"fdsup://directions/FAT Viewer?action=UPDATE&amp;creator=factset&amp;DYN_ARGS=TRUE&amp;DOC_NAME=FAT:FQL_AUDITING_CLIENT_TEMPLATE.FAT&amp;display_string=Audit&amp;VAR:KEY=PUVSNUNGVG&amp;VAR:QUERY=RkZfTkVUX0lOQyhBTk4sMjAxMCk=&amp;WINDOW=FIRST_POPUP&amp;HEIGHT=450&amp;WIDTH=450&amp;START_MAXIMIZED=","FALSE&amp;VAR:CALENDAR=US&amp;VAR:SYMBOL=CP&amp;VAR:INDEX=0"}</definedName>
    <definedName name="_216__FDSAUDITLINK__" localSheetId="4" hidden="1">{"fdsup://directions/FAT Viewer?action=UPDATE&amp;creator=factset&amp;DYN_ARGS=TRUE&amp;DOC_NAME=FAT:FQL_AUDITING_CLIENT_TEMPLATE.FAT&amp;display_string=Audit&amp;VAR:KEY=PIRGRKDAXG&amp;VAR:QUERY=RkZfTkVUX0lOQyhBTk4sMjAxMCk=&amp;WINDOW=FIRST_POPUP&amp;HEIGHT=450&amp;WIDTH=450&amp;START_MAXIMIZED=","FALSE&amp;VAR:CALENDAR=US&amp;VAR:SYMBOL=CNI&amp;VAR:INDEX=0"}</definedName>
    <definedName name="_216__FDSAUDITLINK__" hidden="1">{"fdsup://directions/FAT Viewer?action=UPDATE&amp;creator=factset&amp;DYN_ARGS=TRUE&amp;DOC_NAME=FAT:FQL_AUDITING_CLIENT_TEMPLATE.FAT&amp;display_string=Audit&amp;VAR:KEY=PIRGRKDAXG&amp;VAR:QUERY=RkZfTkVUX0lOQyhBTk4sMjAxMCk=&amp;WINDOW=FIRST_POPUP&amp;HEIGHT=450&amp;WIDTH=450&amp;START_MAXIMIZED=","FALSE&amp;VAR:CALENDAR=US&amp;VAR:SYMBOL=CNI&amp;VAR:INDEX=0"}</definedName>
    <definedName name="_217__FDSAUDITLINK__" localSheetId="4" hidden="1">{"fdsup://directions/FAT Viewer?action=UPDATE&amp;creator=factset&amp;DYN_ARGS=TRUE&amp;DOC_NAME=FAT:FQL_AUDITING_CLIENT_TEMPLATE.FAT&amp;display_string=Audit&amp;VAR:KEY=NQPIJATGHS&amp;VAR:QUERY=RkZfTkVUX0lOQyhBTk4sMjAxMCk=&amp;WINDOW=FIRST_POPUP&amp;HEIGHT=450&amp;WIDTH=450&amp;START_MAXIMIZED=","FALSE&amp;VAR:CALENDAR=US&amp;VAR:SYMBOL=UNP&amp;VAR:INDEX=0"}</definedName>
    <definedName name="_217__FDSAUDITLINK__" hidden="1">{"fdsup://directions/FAT Viewer?action=UPDATE&amp;creator=factset&amp;DYN_ARGS=TRUE&amp;DOC_NAME=FAT:FQL_AUDITING_CLIENT_TEMPLATE.FAT&amp;display_string=Audit&amp;VAR:KEY=NQPIJATGHS&amp;VAR:QUERY=RkZfTkVUX0lOQyhBTk4sMjAxMCk=&amp;WINDOW=FIRST_POPUP&amp;HEIGHT=450&amp;WIDTH=450&amp;START_MAXIMIZED=","FALSE&amp;VAR:CALENDAR=US&amp;VAR:SYMBOL=UNP&amp;VAR:INDEX=0"}</definedName>
    <definedName name="_218__FDSAUDITLINK__" localSheetId="4" hidden="1">{"fdsup://directions/FAT Viewer?action=UPDATE&amp;creator=factset&amp;DYN_ARGS=TRUE&amp;DOC_NAME=FAT:FQL_AUDITING_CLIENT_TEMPLATE.FAT&amp;display_string=Audit&amp;VAR:KEY=TALGXWRMTO&amp;VAR:QUERY=RkZfTkVUX0lOQyhBTk4sMjAxMCk=&amp;WINDOW=FIRST_POPUP&amp;HEIGHT=450&amp;WIDTH=450&amp;START_MAXIMIZED=","FALSE&amp;VAR:CALENDAR=US&amp;VAR:SYMBOL=RA&amp;VAR:INDEX=0"}</definedName>
    <definedName name="_218__FDSAUDITLINK__" hidden="1">{"fdsup://directions/FAT Viewer?action=UPDATE&amp;creator=factset&amp;DYN_ARGS=TRUE&amp;DOC_NAME=FAT:FQL_AUDITING_CLIENT_TEMPLATE.FAT&amp;display_string=Audit&amp;VAR:KEY=TALGXWRMTO&amp;VAR:QUERY=RkZfTkVUX0lOQyhBTk4sMjAxMCk=&amp;WINDOW=FIRST_POPUP&amp;HEIGHT=450&amp;WIDTH=450&amp;START_MAXIMIZED=","FALSE&amp;VAR:CALENDAR=US&amp;VAR:SYMBOL=RA&amp;VAR:INDEX=0"}</definedName>
    <definedName name="_219__FDSAUDITLINK__" localSheetId="4" hidden="1">{"fdsup://directions/FAT Viewer?action=UPDATE&amp;creator=factset&amp;DYN_ARGS=TRUE&amp;DOC_NAME=FAT:FQL_AUDITING_CLIENT_TEMPLATE.FAT&amp;display_string=Audit&amp;VAR:KEY=HMBQPKXIDA&amp;VAR:QUERY=RkZfTkVUX0lOQyhBTk4sMjAxMCk=&amp;WINDOW=FIRST_POPUP&amp;HEIGHT=450&amp;WIDTH=450&amp;START_MAXIMIZED=","FALSE&amp;VAR:CALENDAR=US&amp;VAR:SYMBOL=NSC&amp;VAR:INDEX=0"}</definedName>
    <definedName name="_219__FDSAUDITLINK__" hidden="1">{"fdsup://directions/FAT Viewer?action=UPDATE&amp;creator=factset&amp;DYN_ARGS=TRUE&amp;DOC_NAME=FAT:FQL_AUDITING_CLIENT_TEMPLATE.FAT&amp;display_string=Audit&amp;VAR:KEY=HMBQPKXIDA&amp;VAR:QUERY=RkZfTkVUX0lOQyhBTk4sMjAxMCk=&amp;WINDOW=FIRST_POPUP&amp;HEIGHT=450&amp;WIDTH=450&amp;START_MAXIMIZED=","FALSE&amp;VAR:CALENDAR=US&amp;VAR:SYMBOL=NSC&amp;VAR:INDEX=0"}</definedName>
    <definedName name="_22__FDSAUDITLINK__" localSheetId="4" hidden="1">{"fdsup://directions/FAT Viewer?action=UPDATE&amp;creator=factset&amp;DYN_ARGS=TRUE&amp;DOC_NAME=FAT:FQL_AUDITING_CLIENT_TEMPLATE.FAT&amp;display_string=Audit&amp;VAR:KEY=WNEPKPEBAB&amp;VAR:QUERY=RkZfRUJJVERBKEFOTiwyMDEwKQ==&amp;WINDOW=FIRST_POPUP&amp;HEIGHT=450&amp;WIDTH=450&amp;START_MAXIMIZED=","FALSE&amp;VAR:CALENDAR=US&amp;VAR:SYMBOL=CSX&amp;VAR:INDEX=0"}</definedName>
    <definedName name="_22__FDSAUDITLINK__" localSheetId="5" hidden="1">{"fdsup://Directions/FactSet Auditing Viewer?action=AUDIT_VALUE&amp;DB=129&amp;ID1=48517030&amp;VALUEID=01401&amp;SDATE=2009&amp;PERIODTYPE=ANN_STD&amp;window=popup_no_bar&amp;width=385&amp;height=120&amp;START_MAXIMIZED=FALSE&amp;creator=factset&amp;display_string=Audit"}</definedName>
    <definedName name="_22__FDSAUDITLINK__" localSheetId="6" hidden="1">{"fdsup://Directions/FactSet Auditing Viewer?action=AUDIT_VALUE&amp;DB=129&amp;ID1=48517030&amp;VALUEID=01401&amp;SDATE=2009&amp;PERIODTYPE=ANN_STD&amp;window=popup_no_bar&amp;width=385&amp;height=120&amp;START_MAXIMIZED=FALSE&amp;creator=factset&amp;display_string=Audit"}</definedName>
    <definedName name="_22__FDSAUDITLINK__" hidden="1">{"fdsup://directions/FAT Viewer?action=UPDATE&amp;creator=factset&amp;DYN_ARGS=TRUE&amp;DOC_NAME=FAT:FQL_AUDITING_CLIENT_TEMPLATE.FAT&amp;display_string=Audit&amp;VAR:KEY=WNEPKPEBAB&amp;VAR:QUERY=RkZfRUJJVERBKEFOTiwyMDEwKQ==&amp;WINDOW=FIRST_POPUP&amp;HEIGHT=450&amp;WIDTH=450&amp;START_MAXIMIZED=","FALSE&amp;VAR:CALENDAR=US&amp;VAR:SYMBOL=CSX&amp;VAR:INDEX=0"}</definedName>
    <definedName name="_220__FDSAUDITLINK__" localSheetId="4" hidden="1">{"fdsup://directions/FAT Viewer?action=UPDATE&amp;creator=factset&amp;DYN_ARGS=TRUE&amp;DOC_NAME=FAT:FQL_AUDITING_CLIENT_TEMPLATE.FAT&amp;display_string=Audit&amp;VAR:KEY=NWRKRUFQBQ&amp;VAR:QUERY=RkZfTkVUX0lOQyhBTk4sMjAxMCk=&amp;WINDOW=FIRST_POPUP&amp;HEIGHT=450&amp;WIDTH=450&amp;START_MAXIMIZED=","FALSE&amp;VAR:CALENDAR=US&amp;VAR:SYMBOL=KSU&amp;VAR:INDEX=0"}</definedName>
    <definedName name="_220__FDSAUDITLINK__" hidden="1">{"fdsup://directions/FAT Viewer?action=UPDATE&amp;creator=factset&amp;DYN_ARGS=TRUE&amp;DOC_NAME=FAT:FQL_AUDITING_CLIENT_TEMPLATE.FAT&amp;display_string=Audit&amp;VAR:KEY=NWRKRUFQBQ&amp;VAR:QUERY=RkZfTkVUX0lOQyhBTk4sMjAxMCk=&amp;WINDOW=FIRST_POPUP&amp;HEIGHT=450&amp;WIDTH=450&amp;START_MAXIMIZED=","FALSE&amp;VAR:CALENDAR=US&amp;VAR:SYMBOL=KSU&amp;VAR:INDEX=0"}</definedName>
    <definedName name="_221__FDSAUDITLINK__" localSheetId="4" hidden="1">{"fdsup://directions/FAT Viewer?action=UPDATE&amp;creator=factset&amp;DYN_ARGS=TRUE&amp;DOC_NAME=FAT:FQL_AUDITING_CLIENT_TEMPLATE.FAT&amp;display_string=Audit&amp;VAR:KEY=PSHITCFIVG&amp;VAR:QUERY=RkZfTkVUX0lOQyhBTk4sMjAxMCk=&amp;WINDOW=FIRST_POPUP&amp;HEIGHT=450&amp;WIDTH=450&amp;START_MAXIMIZED=","FALSE&amp;VAR:CALENDAR=US&amp;VAR:SYMBOL=GWR&amp;VAR:INDEX=0"}</definedName>
    <definedName name="_221__FDSAUDITLINK__" hidden="1">{"fdsup://directions/FAT Viewer?action=UPDATE&amp;creator=factset&amp;DYN_ARGS=TRUE&amp;DOC_NAME=FAT:FQL_AUDITING_CLIENT_TEMPLATE.FAT&amp;display_string=Audit&amp;VAR:KEY=PSHITCFIVG&amp;VAR:QUERY=RkZfTkVUX0lOQyhBTk4sMjAxMCk=&amp;WINDOW=FIRST_POPUP&amp;HEIGHT=450&amp;WIDTH=450&amp;START_MAXIMIZED=","FALSE&amp;VAR:CALENDAR=US&amp;VAR:SYMBOL=GWR&amp;VAR:INDEX=0"}</definedName>
    <definedName name="_222__FDSAUDITLINK__" localSheetId="4" hidden="1">{"fdsup://directions/FAT Viewer?action=UPDATE&amp;creator=factset&amp;DYN_ARGS=TRUE&amp;DOC_NAME=FAT:FQL_AUDITING_CLIENT_TEMPLATE.FAT&amp;display_string=Audit&amp;VAR:KEY=TEJSHGRUZU&amp;VAR:QUERY=RkZfTkVUX0lOQyhBTk4sMjAxMCk=&amp;WINDOW=FIRST_POPUP&amp;HEIGHT=450&amp;WIDTH=450&amp;START_MAXIMIZED=","FALSE&amp;VAR:CALENDAR=US&amp;VAR:SYMBOL=CSX&amp;VAR:INDEX=0"}</definedName>
    <definedName name="_222__FDSAUDITLINK__" hidden="1">{"fdsup://directions/FAT Viewer?action=UPDATE&amp;creator=factset&amp;DYN_ARGS=TRUE&amp;DOC_NAME=FAT:FQL_AUDITING_CLIENT_TEMPLATE.FAT&amp;display_string=Audit&amp;VAR:KEY=TEJSHGRUZU&amp;VAR:QUERY=RkZfTkVUX0lOQyhBTk4sMjAxMCk=&amp;WINDOW=FIRST_POPUP&amp;HEIGHT=450&amp;WIDTH=450&amp;START_MAXIMIZED=","FALSE&amp;VAR:CALENDAR=US&amp;VAR:SYMBOL=CSX&amp;VAR:INDEX=0"}</definedName>
    <definedName name="_223__FDSAUDITLINK__" localSheetId="4" hidden="1">{"fdsup://directions/FAT Viewer?action=UPDATE&amp;creator=factset&amp;DYN_ARGS=TRUE&amp;DOC_NAME=FAT:FQL_AUDITING_CLIENT_TEMPLATE.FAT&amp;display_string=Audit&amp;VAR:KEY=PUVSNUNGVG&amp;VAR:QUERY=RkZfTkVUX0lOQyhBTk4sMjAxMCk=&amp;WINDOW=FIRST_POPUP&amp;HEIGHT=450&amp;WIDTH=450&amp;START_MAXIMIZED=","FALSE&amp;VAR:CALENDAR=US&amp;VAR:SYMBOL=CP&amp;VAR:INDEX=0"}</definedName>
    <definedName name="_223__FDSAUDITLINK__" hidden="1">{"fdsup://directions/FAT Viewer?action=UPDATE&amp;creator=factset&amp;DYN_ARGS=TRUE&amp;DOC_NAME=FAT:FQL_AUDITING_CLIENT_TEMPLATE.FAT&amp;display_string=Audit&amp;VAR:KEY=PUVSNUNGVG&amp;VAR:QUERY=RkZfTkVUX0lOQyhBTk4sMjAxMCk=&amp;WINDOW=FIRST_POPUP&amp;HEIGHT=450&amp;WIDTH=450&amp;START_MAXIMIZED=","FALSE&amp;VAR:CALENDAR=US&amp;VAR:SYMBOL=CP&amp;VAR:INDEX=0"}</definedName>
    <definedName name="_224__FDSAUDITLINK__" localSheetId="4" hidden="1">{"fdsup://directions/FAT Viewer?action=UPDATE&amp;creator=factset&amp;DYN_ARGS=TRUE&amp;DOC_NAME=FAT:FQL_AUDITING_CLIENT_TEMPLATE.FAT&amp;display_string=Audit&amp;VAR:KEY=PIRGRKDAXG&amp;VAR:QUERY=RkZfTkVUX0lOQyhBTk4sMjAxMCk=&amp;WINDOW=FIRST_POPUP&amp;HEIGHT=450&amp;WIDTH=450&amp;START_MAXIMIZED=","FALSE&amp;VAR:CALENDAR=US&amp;VAR:SYMBOL=CNI&amp;VAR:INDEX=0"}</definedName>
    <definedName name="_224__FDSAUDITLINK__" hidden="1">{"fdsup://directions/FAT Viewer?action=UPDATE&amp;creator=factset&amp;DYN_ARGS=TRUE&amp;DOC_NAME=FAT:FQL_AUDITING_CLIENT_TEMPLATE.FAT&amp;display_string=Audit&amp;VAR:KEY=PIRGRKDAXG&amp;VAR:QUERY=RkZfTkVUX0lOQyhBTk4sMjAxMCk=&amp;WINDOW=FIRST_POPUP&amp;HEIGHT=450&amp;WIDTH=450&amp;START_MAXIMIZED=","FALSE&amp;VAR:CALENDAR=US&amp;VAR:SYMBOL=CNI&amp;VAR:INDEX=0"}</definedName>
    <definedName name="_225__FDSAUDITLINK__" localSheetId="4" hidden="1">{"fdsup://directions/FAT Viewer?action=UPDATE&amp;creator=factset&amp;DYN_ARGS=TRUE&amp;DOC_NAME=FAT:FQL_AUDITING_CLIENT_TEMPLATE.FAT&amp;display_string=Audit&amp;VAR:KEY=TEFEBCHYLA&amp;VAR:QUERY=RkZfTkVUX0lOQyhBTk4sMjAxMCk=&amp;WINDOW=FIRST_POPUP&amp;HEIGHT=450&amp;WIDTH=450&amp;START_MAXIMIZED=","FALSE&amp;VAR:CALENDAR=US&amp;VAR:SYMBOL=WERN&amp;VAR:INDEX=0"}</definedName>
    <definedName name="_225__FDSAUDITLINK__" hidden="1">{"fdsup://directions/FAT Viewer?action=UPDATE&amp;creator=factset&amp;DYN_ARGS=TRUE&amp;DOC_NAME=FAT:FQL_AUDITING_CLIENT_TEMPLATE.FAT&amp;display_string=Audit&amp;VAR:KEY=TEFEBCHYLA&amp;VAR:QUERY=RkZfTkVUX0lOQyhBTk4sMjAxMCk=&amp;WINDOW=FIRST_POPUP&amp;HEIGHT=450&amp;WIDTH=450&amp;START_MAXIMIZED=","FALSE&amp;VAR:CALENDAR=US&amp;VAR:SYMBOL=WERN&amp;VAR:INDEX=0"}</definedName>
    <definedName name="_226__FDSAUDITLINK__" localSheetId="4" hidden="1">{"fdsup://directions/FAT Viewer?action=UPDATE&amp;creator=factset&amp;DYN_ARGS=TRUE&amp;DOC_NAME=FAT:FQL_AUDITING_CLIENT_TEMPLATE.FAT&amp;display_string=Audit&amp;VAR:KEY=DKZMTQXOBY&amp;VAR:QUERY=RkZfTkVUX0lOQyhBTk4sMjAxMCk=&amp;WINDOW=FIRST_POPUP&amp;HEIGHT=450&amp;WIDTH=450&amp;START_MAXIMIZED=","FALSE&amp;VAR:CALENDAR=US&amp;VAR:SYMBOL=UTIW&amp;VAR:INDEX=0"}</definedName>
    <definedName name="_226__FDSAUDITLINK__" hidden="1">{"fdsup://directions/FAT Viewer?action=UPDATE&amp;creator=factset&amp;DYN_ARGS=TRUE&amp;DOC_NAME=FAT:FQL_AUDITING_CLIENT_TEMPLATE.FAT&amp;display_string=Audit&amp;VAR:KEY=DKZMTQXOBY&amp;VAR:QUERY=RkZfTkVUX0lOQyhBTk4sMjAxMCk=&amp;WINDOW=FIRST_POPUP&amp;HEIGHT=450&amp;WIDTH=450&amp;START_MAXIMIZED=","FALSE&amp;VAR:CALENDAR=US&amp;VAR:SYMBOL=UTIW&amp;VAR:INDEX=0"}</definedName>
    <definedName name="_227__FDSAUDITLINK__" localSheetId="4" hidden="1">{"fdsup://directions/FAT Viewer?action=UPDATE&amp;creator=factset&amp;DYN_ARGS=TRUE&amp;DOC_NAME=FAT:FQL_AUDITING_CLIENT_TEMPLATE.FAT&amp;display_string=Audit&amp;VAR:KEY=ZMPSHSFQPC&amp;VAR:QUERY=RkZfTkVUX0lOQyhBTk4sMjAxMCk=&amp;WINDOW=FIRST_POPUP&amp;HEIGHT=450&amp;WIDTH=450&amp;START_MAXIMIZED=","FALSE&amp;VAR:CALENDAR=US&amp;VAR:SYMBOL=UPS&amp;VAR:INDEX=0"}</definedName>
    <definedName name="_227__FDSAUDITLINK__" hidden="1">{"fdsup://directions/FAT Viewer?action=UPDATE&amp;creator=factset&amp;DYN_ARGS=TRUE&amp;DOC_NAME=FAT:FQL_AUDITING_CLIENT_TEMPLATE.FAT&amp;display_string=Audit&amp;VAR:KEY=ZMPSHSFQPC&amp;VAR:QUERY=RkZfTkVUX0lOQyhBTk4sMjAxMCk=&amp;WINDOW=FIRST_POPUP&amp;HEIGHT=450&amp;WIDTH=450&amp;START_MAXIMIZED=","FALSE&amp;VAR:CALENDAR=US&amp;VAR:SYMBOL=UPS&amp;VAR:INDEX=0"}</definedName>
    <definedName name="_228__FDSAUDITLINK__" localSheetId="4" hidden="1">{"fdsup://directions/FAT Viewer?action=UPDATE&amp;creator=factset&amp;DYN_ARGS=TRUE&amp;DOC_NAME=FAT:FQL_AUDITING_CLIENT_TEMPLATE.FAT&amp;display_string=Audit&amp;VAR:KEY=ZERKTWLUZM&amp;VAR:QUERY=RkZfTkVUX0lOQyhBTk4sMjAxMCk=&amp;WINDOW=FIRST_POPUP&amp;HEIGHT=450&amp;WIDTH=450&amp;START_MAXIMIZED=","FALSE&amp;VAR:CALENDAR=US&amp;VAR:SYMBOL=UNP&amp;VAR:INDEX=0"}</definedName>
    <definedName name="_228__FDSAUDITLINK__" hidden="1">{"fdsup://directions/FAT Viewer?action=UPDATE&amp;creator=factset&amp;DYN_ARGS=TRUE&amp;DOC_NAME=FAT:FQL_AUDITING_CLIENT_TEMPLATE.FAT&amp;display_string=Audit&amp;VAR:KEY=ZERKTWLUZM&amp;VAR:QUERY=RkZfTkVUX0lOQyhBTk4sMjAxMCk=&amp;WINDOW=FIRST_POPUP&amp;HEIGHT=450&amp;WIDTH=450&amp;START_MAXIMIZED=","FALSE&amp;VAR:CALENDAR=US&amp;VAR:SYMBOL=UNP&amp;VAR:INDEX=0"}</definedName>
    <definedName name="_229__FDSAUDITLINK__" localSheetId="4" hidden="1">{"fdsup://directions/FAT Viewer?action=UPDATE&amp;creator=factset&amp;DYN_ARGS=TRUE&amp;DOC_NAME=FAT:FQL_AUDITING_CLIENT_TEMPLATE.FAT&amp;display_string=Audit&amp;VAR:KEY=XSHQBOPYBO&amp;VAR:QUERY=RkZfTkVUX0lOQyhBTk4sMjAxMCk=&amp;WINDOW=FIRST_POPUP&amp;HEIGHT=450&amp;WIDTH=450&amp;START_MAXIMIZED=","FALSE&amp;VAR:CALENDAR=US&amp;VAR:SYMBOL=SWFT&amp;VAR:INDEX=0"}</definedName>
    <definedName name="_229__FDSAUDITLINK__" hidden="1">{"fdsup://directions/FAT Viewer?action=UPDATE&amp;creator=factset&amp;DYN_ARGS=TRUE&amp;DOC_NAME=FAT:FQL_AUDITING_CLIENT_TEMPLATE.FAT&amp;display_string=Audit&amp;VAR:KEY=XSHQBOPYBO&amp;VAR:QUERY=RkZfTkVUX0lOQyhBTk4sMjAxMCk=&amp;WINDOW=FIRST_POPUP&amp;HEIGHT=450&amp;WIDTH=450&amp;START_MAXIMIZED=","FALSE&amp;VAR:CALENDAR=US&amp;VAR:SYMBOL=SWFT&amp;VAR:INDEX=0"}</definedName>
    <definedName name="_23__FDSAUDITLINK__" localSheetId="4" hidden="1">{"fdsup://directions/FAT Viewer?action=UPDATE&amp;creator=factset&amp;DYN_ARGS=TRUE&amp;DOC_NAME=FAT:FQL_AUDITING_CLIENT_TEMPLATE.FAT&amp;display_string=Audit&amp;VAR:KEY=KDCPCRGJOX&amp;VAR:QUERY=RkZfRUJJVERBKEFOTiwyMDEwKQ==&amp;WINDOW=FIRST_POPUP&amp;HEIGHT=450&amp;WIDTH=450&amp;START_MAXIMIZED=","FALSE&amp;VAR:CALENDAR=US&amp;VAR:SYMBOL=CP&amp;VAR:INDEX=0"}</definedName>
    <definedName name="_23__FDSAUDITLINK__" localSheetId="5" hidden="1">{"fdsup://Directions/FactSet Auditing Viewer?action=AUDIT_VALUE&amp;DB=129&amp;ID1=37155910&amp;VALUEID=01401&amp;SDATE=2009&amp;PERIODTYPE=ANN_STD&amp;window=popup_no_bar&amp;width=385&amp;height=120&amp;START_MAXIMIZED=FALSE&amp;creator=factset&amp;display_string=Audit"}</definedName>
    <definedName name="_23__FDSAUDITLINK__" localSheetId="6" hidden="1">{"fdsup://Directions/FactSet Auditing Viewer?action=AUDIT_VALUE&amp;DB=129&amp;ID1=37155910&amp;VALUEID=01401&amp;SDATE=2009&amp;PERIODTYPE=ANN_STD&amp;window=popup_no_bar&amp;width=385&amp;height=120&amp;START_MAXIMIZED=FALSE&amp;creator=factset&amp;display_string=Audit"}</definedName>
    <definedName name="_23__FDSAUDITLINK__" hidden="1">{"fdsup://directions/FAT Viewer?action=UPDATE&amp;creator=factset&amp;DYN_ARGS=TRUE&amp;DOC_NAME=FAT:FQL_AUDITING_CLIENT_TEMPLATE.FAT&amp;display_string=Audit&amp;VAR:KEY=KDCPCRGJOX&amp;VAR:QUERY=RkZfRUJJVERBKEFOTiwyMDEwKQ==&amp;WINDOW=FIRST_POPUP&amp;HEIGHT=450&amp;WIDTH=450&amp;START_MAXIMIZED=","FALSE&amp;VAR:CALENDAR=US&amp;VAR:SYMBOL=CP&amp;VAR:INDEX=0"}</definedName>
    <definedName name="_230__FDSAUDITLINK__" localSheetId="4" hidden="1">{"fdsup://directions/FAT Viewer?action=UPDATE&amp;creator=factset&amp;DYN_ARGS=TRUE&amp;DOC_NAME=FAT:FQL_AUDITING_CLIENT_TEMPLATE.FAT&amp;display_string=Audit&amp;VAR:KEY=VMJEPWPIXO&amp;VAR:QUERY=RkZfTkVUX0lOQyhBTk4sMjAxMCk=&amp;WINDOW=FIRST_POPUP&amp;HEIGHT=450&amp;WIDTH=450&amp;START_MAXIMIZED=","FALSE&amp;VAR:CALENDAR=US&amp;VAR:SYMBOL=RA&amp;VAR:INDEX=0"}</definedName>
    <definedName name="_230__FDSAUDITLINK__" hidden="1">{"fdsup://directions/FAT Viewer?action=UPDATE&amp;creator=factset&amp;DYN_ARGS=TRUE&amp;DOC_NAME=FAT:FQL_AUDITING_CLIENT_TEMPLATE.FAT&amp;display_string=Audit&amp;VAR:KEY=VMJEPWPIXO&amp;VAR:QUERY=RkZfTkVUX0lOQyhBTk4sMjAxMCk=&amp;WINDOW=FIRST_POPUP&amp;HEIGHT=450&amp;WIDTH=450&amp;START_MAXIMIZED=","FALSE&amp;VAR:CALENDAR=US&amp;VAR:SYMBOL=RA&amp;VAR:INDEX=0"}</definedName>
    <definedName name="_231__FDSAUDITLINK__" localSheetId="4" hidden="1">{"fdsup://directions/FAT Viewer?action=UPDATE&amp;creator=factset&amp;DYN_ARGS=TRUE&amp;DOC_NAME=FAT:FQL_AUDITING_CLIENT_TEMPLATE.FAT&amp;display_string=Audit&amp;VAR:KEY=NKHQVIBYPU&amp;VAR:QUERY=RkZfTkVUX0lOQyhBTk4sMjAxMCk=&amp;WINDOW=FIRST_POPUP&amp;HEIGHT=450&amp;WIDTH=450&amp;START_MAXIMIZED=","FALSE&amp;VAR:CALENDAR=US&amp;VAR:SYMBOL=NSC&amp;VAR:INDEX=0"}</definedName>
    <definedName name="_231__FDSAUDITLINK__" hidden="1">{"fdsup://directions/FAT Viewer?action=UPDATE&amp;creator=factset&amp;DYN_ARGS=TRUE&amp;DOC_NAME=FAT:FQL_AUDITING_CLIENT_TEMPLATE.FAT&amp;display_string=Audit&amp;VAR:KEY=NKHQVIBYPU&amp;VAR:QUERY=RkZfTkVUX0lOQyhBTk4sMjAxMCk=&amp;WINDOW=FIRST_POPUP&amp;HEIGHT=450&amp;WIDTH=450&amp;START_MAXIMIZED=","FALSE&amp;VAR:CALENDAR=US&amp;VAR:SYMBOL=NSC&amp;VAR:INDEX=0"}</definedName>
    <definedName name="_232__FDSAUDITLINK__" localSheetId="4" hidden="1">{"fdsup://directions/FAT Viewer?action=UPDATE&amp;creator=factset&amp;DYN_ARGS=TRUE&amp;DOC_NAME=FAT:FQL_AUDITING_CLIENT_TEMPLATE.FAT&amp;display_string=Audit&amp;VAR:KEY=NUZSXGPYTE&amp;VAR:QUERY=RkZfTkVUX0lOQyhBTk4sMjAxMCk=&amp;WINDOW=FIRST_POPUP&amp;HEIGHT=450&amp;WIDTH=450&amp;START_MAXIMIZED=","FALSE&amp;VAR:CALENDAR=US&amp;VAR:SYMBOL=KSU&amp;VAR:INDEX=0"}</definedName>
    <definedName name="_232__FDSAUDITLINK__" hidden="1">{"fdsup://directions/FAT Viewer?action=UPDATE&amp;creator=factset&amp;DYN_ARGS=TRUE&amp;DOC_NAME=FAT:FQL_AUDITING_CLIENT_TEMPLATE.FAT&amp;display_string=Audit&amp;VAR:KEY=NUZSXGPYTE&amp;VAR:QUERY=RkZfTkVUX0lOQyhBTk4sMjAxMCk=&amp;WINDOW=FIRST_POPUP&amp;HEIGHT=450&amp;WIDTH=450&amp;START_MAXIMIZED=","FALSE&amp;VAR:CALENDAR=US&amp;VAR:SYMBOL=KSU&amp;VAR:INDEX=0"}</definedName>
    <definedName name="_233__FDSAUDITLINK__" localSheetId="4" hidden="1">{"fdsup://directions/FAT Viewer?action=UPDATE&amp;creator=factset&amp;DYN_ARGS=TRUE&amp;DOC_NAME=FAT:FQL_AUDITING_CLIENT_TEMPLATE.FAT&amp;display_string=Audit&amp;VAR:KEY=VIXYFCHCJW&amp;VAR:QUERY=RkZfTkVUX0lOQyhBTk4sMjAxMCk=&amp;WINDOW=FIRST_POPUP&amp;HEIGHT=450&amp;WIDTH=450&amp;START_MAXIMIZED=","FALSE&amp;VAR:CALENDAR=US&amp;VAR:SYMBOL=KNX&amp;VAR:INDEX=0"}</definedName>
    <definedName name="_233__FDSAUDITLINK__" hidden="1">{"fdsup://directions/FAT Viewer?action=UPDATE&amp;creator=factset&amp;DYN_ARGS=TRUE&amp;DOC_NAME=FAT:FQL_AUDITING_CLIENT_TEMPLATE.FAT&amp;display_string=Audit&amp;VAR:KEY=VIXYFCHCJW&amp;VAR:QUERY=RkZfTkVUX0lOQyhBTk4sMjAxMCk=&amp;WINDOW=FIRST_POPUP&amp;HEIGHT=450&amp;WIDTH=450&amp;START_MAXIMIZED=","FALSE&amp;VAR:CALENDAR=US&amp;VAR:SYMBOL=KNX&amp;VAR:INDEX=0"}</definedName>
    <definedName name="_234__FDSAUDITLINK__" localSheetId="4" hidden="1">{"fdsup://directions/FAT Viewer?action=UPDATE&amp;creator=factset&amp;DYN_ARGS=TRUE&amp;DOC_NAME=FAT:FQL_AUDITING_CLIENT_TEMPLATE.FAT&amp;display_string=Audit&amp;VAR:KEY=VWBAHYTEZO&amp;VAR:QUERY=RkZfTkVUX0lOQyhBTk4sMjAxMCk=&amp;WINDOW=FIRST_POPUP&amp;HEIGHT=450&amp;WIDTH=450&amp;START_MAXIMIZED=","FALSE&amp;VAR:CALENDAR=US&amp;VAR:SYMBOL=JBHT&amp;VAR:INDEX=0"}</definedName>
    <definedName name="_234__FDSAUDITLINK__" hidden="1">{"fdsup://directions/FAT Viewer?action=UPDATE&amp;creator=factset&amp;DYN_ARGS=TRUE&amp;DOC_NAME=FAT:FQL_AUDITING_CLIENT_TEMPLATE.FAT&amp;display_string=Audit&amp;VAR:KEY=VWBAHYTEZO&amp;VAR:QUERY=RkZfTkVUX0lOQyhBTk4sMjAxMCk=&amp;WINDOW=FIRST_POPUP&amp;HEIGHT=450&amp;WIDTH=450&amp;START_MAXIMIZED=","FALSE&amp;VAR:CALENDAR=US&amp;VAR:SYMBOL=JBHT&amp;VAR:INDEX=0"}</definedName>
    <definedName name="_235__FDSAUDITLINK__" localSheetId="4" hidden="1">{"fdsup://directions/FAT Viewer?action=UPDATE&amp;creator=factset&amp;DYN_ARGS=TRUE&amp;DOC_NAME=FAT:FQL_AUDITING_CLIENT_TEMPLATE.FAT&amp;display_string=Audit&amp;VAR:KEY=ZUDYNERMNW&amp;VAR:QUERY=RkZfTkVUX0lOQyhBTk4sMjAxMCk=&amp;WINDOW=FIRST_POPUP&amp;HEIGHT=450&amp;WIDTH=450&amp;START_MAXIMIZED=","FALSE&amp;VAR:CALENDAR=US&amp;VAR:SYMBOL=HTLD&amp;VAR:INDEX=0"}</definedName>
    <definedName name="_235__FDSAUDITLINK__" hidden="1">{"fdsup://directions/FAT Viewer?action=UPDATE&amp;creator=factset&amp;DYN_ARGS=TRUE&amp;DOC_NAME=FAT:FQL_AUDITING_CLIENT_TEMPLATE.FAT&amp;display_string=Audit&amp;VAR:KEY=ZUDYNERMNW&amp;VAR:QUERY=RkZfTkVUX0lOQyhBTk4sMjAxMCk=&amp;WINDOW=FIRST_POPUP&amp;HEIGHT=450&amp;WIDTH=450&amp;START_MAXIMIZED=","FALSE&amp;VAR:CALENDAR=US&amp;VAR:SYMBOL=HTLD&amp;VAR:INDEX=0"}</definedName>
    <definedName name="_236__FDSAUDITLINK__" localSheetId="4" hidden="1">{"fdsup://directions/FAT Viewer?action=UPDATE&amp;creator=factset&amp;DYN_ARGS=TRUE&amp;DOC_NAME=FAT:FQL_AUDITING_CLIENT_TEMPLATE.FAT&amp;display_string=Audit&amp;VAR:KEY=DWLKJADUPM&amp;VAR:QUERY=RkZfTkVUX0lOQyhBTk4sMjAxMCk=&amp;WINDOW=FIRST_POPUP&amp;HEIGHT=450&amp;WIDTH=450&amp;START_MAXIMIZED=","FALSE&amp;VAR:CALENDAR=US&amp;VAR:SYMBOL=GWR&amp;VAR:INDEX=0"}</definedName>
    <definedName name="_236__FDSAUDITLINK__" hidden="1">{"fdsup://directions/FAT Viewer?action=UPDATE&amp;creator=factset&amp;DYN_ARGS=TRUE&amp;DOC_NAME=FAT:FQL_AUDITING_CLIENT_TEMPLATE.FAT&amp;display_string=Audit&amp;VAR:KEY=DWLKJADUPM&amp;VAR:QUERY=RkZfTkVUX0lOQyhBTk4sMjAxMCk=&amp;WINDOW=FIRST_POPUP&amp;HEIGHT=450&amp;WIDTH=450&amp;START_MAXIMIZED=","FALSE&amp;VAR:CALENDAR=US&amp;VAR:SYMBOL=GWR&amp;VAR:INDEX=0"}</definedName>
    <definedName name="_237__FDSAUDITLINK__" localSheetId="4" hidden="1">{"fdsup://directions/FAT Viewer?action=UPDATE&amp;creator=factset&amp;DYN_ARGS=TRUE&amp;DOC_NAME=FAT:FQL_AUDITING_CLIENT_TEMPLATE.FAT&amp;display_string=Audit&amp;VAR:KEY=NCHITCFSDK&amp;VAR:QUERY=RkZfTkVUX0lOQyhBTk4sMjAxMCk=&amp;WINDOW=FIRST_POPUP&amp;HEIGHT=450&amp;WIDTH=450&amp;START_MAXIMIZED=","FALSE&amp;VAR:CALENDAR=US&amp;VAR:SYMBOL=FDX&amp;VAR:INDEX=0"}</definedName>
    <definedName name="_237__FDSAUDITLINK__" hidden="1">{"fdsup://directions/FAT Viewer?action=UPDATE&amp;creator=factset&amp;DYN_ARGS=TRUE&amp;DOC_NAME=FAT:FQL_AUDITING_CLIENT_TEMPLATE.FAT&amp;display_string=Audit&amp;VAR:KEY=NCHITCFSDK&amp;VAR:QUERY=RkZfTkVUX0lOQyhBTk4sMjAxMCk=&amp;WINDOW=FIRST_POPUP&amp;HEIGHT=450&amp;WIDTH=450&amp;START_MAXIMIZED=","FALSE&amp;VAR:CALENDAR=US&amp;VAR:SYMBOL=FDX&amp;VAR:INDEX=0"}</definedName>
    <definedName name="_238__FDSAUDITLINK__" localSheetId="4" hidden="1">{"fdsup://directions/FAT Viewer?action=UPDATE&amp;creator=factset&amp;DYN_ARGS=TRUE&amp;DOC_NAME=FAT:FQL_AUDITING_CLIENT_TEMPLATE.FAT&amp;display_string=Audit&amp;VAR:KEY=DYDADKPAZI&amp;VAR:QUERY=RkZfTkVUX0lOQyhBTk4sMjAxMCk=&amp;WINDOW=FIRST_POPUP&amp;HEIGHT=450&amp;WIDTH=450&amp;START_MAXIMIZED=","FALSE&amp;VAR:CALENDAR=US&amp;VAR:SYMBOL=EXPD&amp;VAR:INDEX=0"}</definedName>
    <definedName name="_238__FDSAUDITLINK__" hidden="1">{"fdsup://directions/FAT Viewer?action=UPDATE&amp;creator=factset&amp;DYN_ARGS=TRUE&amp;DOC_NAME=FAT:FQL_AUDITING_CLIENT_TEMPLATE.FAT&amp;display_string=Audit&amp;VAR:KEY=DYDADKPAZI&amp;VAR:QUERY=RkZfTkVUX0lOQyhBTk4sMjAxMCk=&amp;WINDOW=FIRST_POPUP&amp;HEIGHT=450&amp;WIDTH=450&amp;START_MAXIMIZED=","FALSE&amp;VAR:CALENDAR=US&amp;VAR:SYMBOL=EXPD&amp;VAR:INDEX=0"}</definedName>
    <definedName name="_239__FDSAUDITLINK__" localSheetId="4" hidden="1">{"fdsup://directions/FAT Viewer?action=UPDATE&amp;creator=factset&amp;DYN_ARGS=TRUE&amp;DOC_NAME=FAT:FQL_AUDITING_CLIENT_TEMPLATE.FAT&amp;display_string=Audit&amp;VAR:KEY=BCNGDMHELQ&amp;VAR:QUERY=RkZfTkVUX0lOQyhBTk4sMjAxMCk=&amp;WINDOW=FIRST_POPUP&amp;HEIGHT=450&amp;WIDTH=450&amp;START_MAXIMIZED=","FALSE&amp;VAR:CALENDAR=US&amp;VAR:SYMBOL=ECHO&amp;VAR:INDEX=0"}</definedName>
    <definedName name="_239__FDSAUDITLINK__" hidden="1">{"fdsup://directions/FAT Viewer?action=UPDATE&amp;creator=factset&amp;DYN_ARGS=TRUE&amp;DOC_NAME=FAT:FQL_AUDITING_CLIENT_TEMPLATE.FAT&amp;display_string=Audit&amp;VAR:KEY=BCNGDMHELQ&amp;VAR:QUERY=RkZfTkVUX0lOQyhBTk4sMjAxMCk=&amp;WINDOW=FIRST_POPUP&amp;HEIGHT=450&amp;WIDTH=450&amp;START_MAXIMIZED=","FALSE&amp;VAR:CALENDAR=US&amp;VAR:SYMBOL=ECHO&amp;VAR:INDEX=0"}</definedName>
    <definedName name="_24__123Graph_XLIQUIDS" hidden="1">[1]P!$R$29:$AK$29</definedName>
    <definedName name="_24__FDSAUDITLINK__" localSheetId="4" hidden="1">{"fdsup://directions/FAT Viewer?action=UPDATE&amp;creator=factset&amp;DYN_ARGS=TRUE&amp;DOC_NAME=FAT:FQL_AUDITING_CLIENT_TEMPLATE.FAT&amp;display_string=Audit&amp;VAR:KEY=AZYZAZOHSN&amp;VAR:QUERY=RkZfRUJJVERBKEFOTiwyMDEwKQ==&amp;WINDOW=FIRST_POPUP&amp;HEIGHT=450&amp;WIDTH=450&amp;START_MAXIMIZED=","FALSE&amp;VAR:CALENDAR=US&amp;VAR:SYMBOL=CNI&amp;VAR:INDEX=0"}</definedName>
    <definedName name="_24__FDSAUDITLINK__" localSheetId="5" hidden="1">{"fdsup://Directions/FactSet Auditing Viewer?action=AUDIT_VALUE&amp;DB=129&amp;ID1=12640810&amp;VALUEID=01401&amp;SDATE=2009&amp;PERIODTYPE=ANN_STD&amp;window=popup_no_bar&amp;width=385&amp;height=120&amp;START_MAXIMIZED=FALSE&amp;creator=factset&amp;display_string=Audit"}</definedName>
    <definedName name="_24__FDSAUDITLINK__" localSheetId="6" hidden="1">{"fdsup://Directions/FactSet Auditing Viewer?action=AUDIT_VALUE&amp;DB=129&amp;ID1=12640810&amp;VALUEID=01401&amp;SDATE=2009&amp;PERIODTYPE=ANN_STD&amp;window=popup_no_bar&amp;width=385&amp;height=120&amp;START_MAXIMIZED=FALSE&amp;creator=factset&amp;display_string=Audit"}</definedName>
    <definedName name="_24__FDSAUDITLINK__" hidden="1">{"fdsup://directions/FAT Viewer?action=UPDATE&amp;creator=factset&amp;DYN_ARGS=TRUE&amp;DOC_NAME=FAT:FQL_AUDITING_CLIENT_TEMPLATE.FAT&amp;display_string=Audit&amp;VAR:KEY=AZYZAZOHSN&amp;VAR:QUERY=RkZfRUJJVERBKEFOTiwyMDEwKQ==&amp;WINDOW=FIRST_POPUP&amp;HEIGHT=450&amp;WIDTH=450&amp;START_MAXIMIZED=","FALSE&amp;VAR:CALENDAR=US&amp;VAR:SYMBOL=CNI&amp;VAR:INDEX=0"}</definedName>
    <definedName name="_240__FDSAUDITLINK__" localSheetId="4" hidden="1">{"fdsup://directions/FAT Viewer?action=UPDATE&amp;creator=factset&amp;DYN_ARGS=TRUE&amp;DOC_NAME=FAT:FQL_AUDITING_CLIENT_TEMPLATE.FAT&amp;display_string=Audit&amp;VAR:KEY=ZAXCRELUXM&amp;VAR:QUERY=RkZfTkVUX0lOQyhBTk4sMjAxMCk=&amp;WINDOW=FIRST_POPUP&amp;HEIGHT=450&amp;WIDTH=450&amp;START_MAXIMIZED=","FALSE&amp;VAR:CALENDAR=US&amp;VAR:SYMBOL=CSX&amp;VAR:INDEX=0"}</definedName>
    <definedName name="_240__FDSAUDITLINK__" hidden="1">{"fdsup://directions/FAT Viewer?action=UPDATE&amp;creator=factset&amp;DYN_ARGS=TRUE&amp;DOC_NAME=FAT:FQL_AUDITING_CLIENT_TEMPLATE.FAT&amp;display_string=Audit&amp;VAR:KEY=ZAXCRELUXM&amp;VAR:QUERY=RkZfTkVUX0lOQyhBTk4sMjAxMCk=&amp;WINDOW=FIRST_POPUP&amp;HEIGHT=450&amp;WIDTH=450&amp;START_MAXIMIZED=","FALSE&amp;VAR:CALENDAR=US&amp;VAR:SYMBOL=CSX&amp;VAR:INDEX=0"}</definedName>
    <definedName name="_241__FDSAUDITLINK__" localSheetId="4" hidden="1">{"fdsup://directions/FAT Viewer?action=UPDATE&amp;creator=factset&amp;DYN_ARGS=TRUE&amp;DOC_NAME=FAT:FQL_AUDITING_CLIENT_TEMPLATE.FAT&amp;display_string=Audit&amp;VAR:KEY=TOPEJIDUDE&amp;VAR:QUERY=RkZfTkVUX0lOQyhBTk4sMjAxMCk=&amp;WINDOW=FIRST_POPUP&amp;HEIGHT=450&amp;WIDTH=450&amp;START_MAXIMIZED=","FALSE&amp;VAR:CALENDAR=US&amp;VAR:SYMBOL=CP&amp;VAR:INDEX=0"}</definedName>
    <definedName name="_241__FDSAUDITLINK__" hidden="1">{"fdsup://directions/FAT Viewer?action=UPDATE&amp;creator=factset&amp;DYN_ARGS=TRUE&amp;DOC_NAME=FAT:FQL_AUDITING_CLIENT_TEMPLATE.FAT&amp;display_string=Audit&amp;VAR:KEY=TOPEJIDUDE&amp;VAR:QUERY=RkZfTkVUX0lOQyhBTk4sMjAxMCk=&amp;WINDOW=FIRST_POPUP&amp;HEIGHT=450&amp;WIDTH=450&amp;START_MAXIMIZED=","FALSE&amp;VAR:CALENDAR=US&amp;VAR:SYMBOL=CP&amp;VAR:INDEX=0"}</definedName>
    <definedName name="_242__FDSAUDITLINK__" localSheetId="4" hidden="1">{"fdsup://directions/FAT Viewer?action=UPDATE&amp;creator=factset&amp;DYN_ARGS=TRUE&amp;DOC_NAME=FAT:FQL_AUDITING_CLIENT_TEMPLATE.FAT&amp;display_string=Audit&amp;VAR:KEY=TSDAZCBUZS&amp;VAR:QUERY=RkZfTkVUX0lOQyhBTk4sMjAxMCk=&amp;WINDOW=FIRST_POPUP&amp;HEIGHT=450&amp;WIDTH=450&amp;START_MAXIMIZED=","FALSE&amp;VAR:CALENDAR=US&amp;VAR:SYMBOL=CNI&amp;VAR:INDEX=0"}</definedName>
    <definedName name="_242__FDSAUDITLINK__" hidden="1">{"fdsup://directions/FAT Viewer?action=UPDATE&amp;creator=factset&amp;DYN_ARGS=TRUE&amp;DOC_NAME=FAT:FQL_AUDITING_CLIENT_TEMPLATE.FAT&amp;display_string=Audit&amp;VAR:KEY=TSDAZCBUZS&amp;VAR:QUERY=RkZfTkVUX0lOQyhBTk4sMjAxMCk=&amp;WINDOW=FIRST_POPUP&amp;HEIGHT=450&amp;WIDTH=450&amp;START_MAXIMIZED=","FALSE&amp;VAR:CALENDAR=US&amp;VAR:SYMBOL=CNI&amp;VAR:INDEX=0"}</definedName>
    <definedName name="_243__FDSAUDITLINK__" localSheetId="4" hidden="1">{"fdsup://directions/FAT Viewer?action=UPDATE&amp;creator=factset&amp;DYN_ARGS=TRUE&amp;DOC_NAME=FAT:FQL_AUDITING_CLIENT_TEMPLATE.FAT&amp;display_string=Audit&amp;VAR:KEY=VGFEBKRWDE&amp;VAR:QUERY=RkZfTkVUX0lOQyhBTk4sMjAxMCk=&amp;WINDOW=FIRST_POPUP&amp;HEIGHT=450&amp;WIDTH=450&amp;START_MAXIMIZED=","FALSE&amp;VAR:CALENDAR=US&amp;VAR:SYMBOL=CHRW&amp;VAR:INDEX=0"}</definedName>
    <definedName name="_243__FDSAUDITLINK__" hidden="1">{"fdsup://directions/FAT Viewer?action=UPDATE&amp;creator=factset&amp;DYN_ARGS=TRUE&amp;DOC_NAME=FAT:FQL_AUDITING_CLIENT_TEMPLATE.FAT&amp;display_string=Audit&amp;VAR:KEY=VGFEBKRWDE&amp;VAR:QUERY=RkZfTkVUX0lOQyhBTk4sMjAxMCk=&amp;WINDOW=FIRST_POPUP&amp;HEIGHT=450&amp;WIDTH=450&amp;START_MAXIMIZED=","FALSE&amp;VAR:CALENDAR=US&amp;VAR:SYMBOL=CHRW&amp;VAR:INDEX=0"}</definedName>
    <definedName name="_244__FDSAUDITLINK__" localSheetId="4" hidden="1">{"fdsup://Directions/FactSet Auditing Viewer?action=AUDIT_VALUE&amp;DB=129&amp;ID1=90781810&amp;VALUEID=01401&amp;SDATE=2010&amp;PERIODTYPE=ANN_STD&amp;SCFT=3&amp;window=popup_no_bar&amp;width=385&amp;height=120&amp;START_MAXIMIZED=FALSE&amp;creator=factset&amp;display_string=Audit"}</definedName>
    <definedName name="_244__FDSAUDITLINK__" hidden="1">{"fdsup://Directions/FactSet Auditing Viewer?action=AUDIT_VALUE&amp;DB=129&amp;ID1=90781810&amp;VALUEID=01401&amp;SDATE=2010&amp;PERIODTYPE=ANN_STD&amp;SCFT=3&amp;window=popup_no_bar&amp;width=385&amp;height=120&amp;START_MAXIMIZED=FALSE&amp;creator=factset&amp;display_string=Audit"}</definedName>
    <definedName name="_245__FDSAUDITLINK__" localSheetId="4" hidden="1">{"fdsup://Directions/FactSet Auditing Viewer?action=AUDIT_VALUE&amp;DB=129&amp;ID1=75075340&amp;VALUEID=01401&amp;SDATE=2010&amp;PERIODTYPE=ANN_STD&amp;SCFT=3&amp;window=popup_no_bar&amp;width=385&amp;height=120&amp;START_MAXIMIZED=FALSE&amp;creator=factset&amp;display_string=Audit"}</definedName>
    <definedName name="_245__FDSAUDITLINK__" hidden="1">{"fdsup://Directions/FactSet Auditing Viewer?action=AUDIT_VALUE&amp;DB=129&amp;ID1=75075340&amp;VALUEID=01401&amp;SDATE=2010&amp;PERIODTYPE=ANN_STD&amp;SCFT=3&amp;window=popup_no_bar&amp;width=385&amp;height=120&amp;START_MAXIMIZED=FALSE&amp;creator=factset&amp;display_string=Audit"}</definedName>
    <definedName name="_246__FDSAUDITLINK__" localSheetId="4" hidden="1">{"fdsup://Directions/FactSet Auditing Viewer?action=AUDIT_VALUE&amp;DB=129&amp;ID1=65584410&amp;VALUEID=01401&amp;SDATE=2010&amp;PERIODTYPE=ANN_STD&amp;SCFT=3&amp;window=popup_no_bar&amp;width=385&amp;height=120&amp;START_MAXIMIZED=FALSE&amp;creator=factset&amp;display_string=Audit"}</definedName>
    <definedName name="_246__FDSAUDITLINK__" hidden="1">{"fdsup://Directions/FactSet Auditing Viewer?action=AUDIT_VALUE&amp;DB=129&amp;ID1=65584410&amp;VALUEID=01401&amp;SDATE=2010&amp;PERIODTYPE=ANN_STD&amp;SCFT=3&amp;window=popup_no_bar&amp;width=385&amp;height=120&amp;START_MAXIMIZED=FALSE&amp;creator=factset&amp;display_string=Audit"}</definedName>
    <definedName name="_247__FDSAUDITLINK__" localSheetId="4" hidden="1">{"fdsup://Directions/FactSet Auditing Viewer?action=AUDIT_VALUE&amp;DB=129&amp;ID1=48517030&amp;VALUEID=01401&amp;SDATE=2010&amp;PERIODTYPE=ANN_STD&amp;SCFT=3&amp;window=popup_no_bar&amp;width=385&amp;height=120&amp;START_MAXIMIZED=FALSE&amp;creator=factset&amp;display_string=Audit"}</definedName>
    <definedName name="_247__FDSAUDITLINK__" hidden="1">{"fdsup://Directions/FactSet Auditing Viewer?action=AUDIT_VALUE&amp;DB=129&amp;ID1=48517030&amp;VALUEID=01401&amp;SDATE=2010&amp;PERIODTYPE=ANN_STD&amp;SCFT=3&amp;window=popup_no_bar&amp;width=385&amp;height=120&amp;START_MAXIMIZED=FALSE&amp;creator=factset&amp;display_string=Audit"}</definedName>
    <definedName name="_248__FDSAUDITLINK__" localSheetId="4" hidden="1">{"fdsup://Directions/FactSet Auditing Viewer?action=AUDIT_VALUE&amp;DB=129&amp;ID1=37155910&amp;VALUEID=01401&amp;SDATE=2010&amp;PERIODTYPE=ANN_STD&amp;SCFT=3&amp;window=popup_no_bar&amp;width=385&amp;height=120&amp;START_MAXIMIZED=FALSE&amp;creator=factset&amp;display_string=Audit"}</definedName>
    <definedName name="_248__FDSAUDITLINK__" hidden="1">{"fdsup://Directions/FactSet Auditing Viewer?action=AUDIT_VALUE&amp;DB=129&amp;ID1=37155910&amp;VALUEID=01401&amp;SDATE=2010&amp;PERIODTYPE=ANN_STD&amp;SCFT=3&amp;window=popup_no_bar&amp;width=385&amp;height=120&amp;START_MAXIMIZED=FALSE&amp;creator=factset&amp;display_string=Audit"}</definedName>
    <definedName name="_249__FDSAUDITLINK__" localSheetId="4" hidden="1">{"fdsup://Directions/FactSet Auditing Viewer?action=AUDIT_VALUE&amp;DB=129&amp;ID1=12640810&amp;VALUEID=01401&amp;SDATE=2010&amp;PERIODTYPE=ANN_STD&amp;SCFT=3&amp;window=popup_no_bar&amp;width=385&amp;height=120&amp;START_MAXIMIZED=FALSE&amp;creator=factset&amp;display_string=Audit"}</definedName>
    <definedName name="_249__FDSAUDITLINK__" hidden="1">{"fdsup://Directions/FactSet Auditing Viewer?action=AUDIT_VALUE&amp;DB=129&amp;ID1=12640810&amp;VALUEID=01401&amp;SDATE=2010&amp;PERIODTYPE=ANN_STD&amp;SCFT=3&amp;window=popup_no_bar&amp;width=385&amp;height=120&amp;START_MAXIMIZED=FALSE&amp;creator=factset&amp;display_string=Audit"}</definedName>
    <definedName name="_25__FDSAUDITLINK__" localSheetId="4" hidden="1">{"fdsup://Directions/FactSet Auditing Viewer?action=AUDIT_VALUE&amp;DB=129&amp;ID1=90781810&amp;VALUEID=01250&amp;SDATE=2010&amp;PERIODTYPE=ANN_STD&amp;window=popup_no_bar&amp;width=385&amp;height=120&amp;START_MAXIMIZED=FALSE&amp;creator=factset&amp;display_string=Audit"}</definedName>
    <definedName name="_25__FDSAUDITLINK__" localSheetId="5" hidden="1">{"fdsup://Directions/FactSet Auditing Viewer?action=AUDIT_VALUE&amp;DB=129&amp;ID1=90781810&amp;VALUEID=01401&amp;SDATE=2009&amp;PERIODTYPE=ANN_STD&amp;window=popup_no_bar&amp;width=385&amp;height=120&amp;START_MAXIMIZED=FALSE&amp;creator=factset&amp;display_string=Audit"}</definedName>
    <definedName name="_25__FDSAUDITLINK__" localSheetId="6" hidden="1">{"fdsup://Directions/FactSet Auditing Viewer?action=AUDIT_VALUE&amp;DB=129&amp;ID1=90781810&amp;VALUEID=01401&amp;SDATE=2009&amp;PERIODTYPE=ANN_STD&amp;window=popup_no_bar&amp;width=385&amp;height=120&amp;START_MAXIMIZED=FALSE&amp;creator=factset&amp;display_string=Audit"}</definedName>
    <definedName name="_25__FDSAUDITLINK__" hidden="1">{"fdsup://Directions/FactSet Auditing Viewer?action=AUDIT_VALUE&amp;DB=129&amp;ID1=90781810&amp;VALUEID=01250&amp;SDATE=2010&amp;PERIODTYPE=ANN_STD&amp;window=popup_no_bar&amp;width=385&amp;height=120&amp;START_MAXIMIZED=FALSE&amp;creator=factset&amp;display_string=Audit"}</definedName>
    <definedName name="_250__FDSAUDITLINK__" localSheetId="4" hidden="1">{"fdsup://directions/FAT Viewer?action=UPDATE&amp;creator=factset&amp;DYN_ARGS=TRUE&amp;DOC_NAME=FAT:FQL_AUDITING_CLIENT_TEMPLATE.FAT&amp;display_string=Audit&amp;VAR:KEY=LUJWPUNIHI&amp;VAR:QUERY=RkZfRUJJVChBTk4sMjAxMCk=&amp;WINDOW=FIRST_POPUP&amp;HEIGHT=450&amp;WIDTH=450&amp;START_MAXIMIZED=FALS","E&amp;VAR:CALENDAR=US&amp;VAR:SYMBOL=WERN&amp;VAR:INDEX=0"}</definedName>
    <definedName name="_250__FDSAUDITLINK__" hidden="1">{"fdsup://directions/FAT Viewer?action=UPDATE&amp;creator=factset&amp;DYN_ARGS=TRUE&amp;DOC_NAME=FAT:FQL_AUDITING_CLIENT_TEMPLATE.FAT&amp;display_string=Audit&amp;VAR:KEY=LUJWPUNIHI&amp;VAR:QUERY=RkZfRUJJVChBTk4sMjAxMCk=&amp;WINDOW=FIRST_POPUP&amp;HEIGHT=450&amp;WIDTH=450&amp;START_MAXIMIZED=FALS","E&amp;VAR:CALENDAR=US&amp;VAR:SYMBOL=WERN&amp;VAR:INDEX=0"}</definedName>
    <definedName name="_251__FDSAUDITLINK__" localSheetId="4" hidden="1">{"fdsup://directions/FAT Viewer?action=UPDATE&amp;creator=factset&amp;DYN_ARGS=TRUE&amp;DOC_NAME=FAT:FQL_AUDITING_CLIENT_TEMPLATE.FAT&amp;display_string=Audit&amp;VAR:KEY=LYPKXEFQVW&amp;VAR:QUERY=RkZfRUJJVChBTk4sMjAxMCk=&amp;WINDOW=FIRST_POPUP&amp;HEIGHT=450&amp;WIDTH=450&amp;START_MAXIMIZED=FALS","E&amp;VAR:CALENDAR=US&amp;VAR:SYMBOL=UTIW&amp;VAR:INDEX=0"}</definedName>
    <definedName name="_251__FDSAUDITLINK__" hidden="1">{"fdsup://directions/FAT Viewer?action=UPDATE&amp;creator=factset&amp;DYN_ARGS=TRUE&amp;DOC_NAME=FAT:FQL_AUDITING_CLIENT_TEMPLATE.FAT&amp;display_string=Audit&amp;VAR:KEY=LYPKXEFQVW&amp;VAR:QUERY=RkZfRUJJVChBTk4sMjAxMCk=&amp;WINDOW=FIRST_POPUP&amp;HEIGHT=450&amp;WIDTH=450&amp;START_MAXIMIZED=FALS","E&amp;VAR:CALENDAR=US&amp;VAR:SYMBOL=UTIW&amp;VAR:INDEX=0"}</definedName>
    <definedName name="_252__FDSAUDITLINK__" localSheetId="4" hidden="1">{"fdsup://directions/FAT Viewer?action=UPDATE&amp;creator=factset&amp;DYN_ARGS=TRUE&amp;DOC_NAME=FAT:FQL_AUDITING_CLIENT_TEMPLATE.FAT&amp;display_string=Audit&amp;VAR:KEY=XKNOLEJSVM&amp;VAR:QUERY=RkZfRUJJVChBTk4sMjAxMCk=&amp;WINDOW=FIRST_POPUP&amp;HEIGHT=450&amp;WIDTH=450&amp;START_MAXIMIZED=FALS","E&amp;VAR:CALENDAR=US&amp;VAR:SYMBOL=UPS&amp;VAR:INDEX=0"}</definedName>
    <definedName name="_252__FDSAUDITLINK__" hidden="1">{"fdsup://directions/FAT Viewer?action=UPDATE&amp;creator=factset&amp;DYN_ARGS=TRUE&amp;DOC_NAME=FAT:FQL_AUDITING_CLIENT_TEMPLATE.FAT&amp;display_string=Audit&amp;VAR:KEY=XKNOLEJSVM&amp;VAR:QUERY=RkZfRUJJVChBTk4sMjAxMCk=&amp;WINDOW=FIRST_POPUP&amp;HEIGHT=450&amp;WIDTH=450&amp;START_MAXIMIZED=FALS","E&amp;VAR:CALENDAR=US&amp;VAR:SYMBOL=UPS&amp;VAR:INDEX=0"}</definedName>
    <definedName name="_253__FDSAUDITLINK__" localSheetId="4" hidden="1">{"fdsup://directions/FAT Viewer?action=UPDATE&amp;creator=factset&amp;DYN_ARGS=TRUE&amp;DOC_NAME=FAT:FQL_AUDITING_CLIENT_TEMPLATE.FAT&amp;display_string=Audit&amp;VAR:KEY=XSTYHIJETW&amp;VAR:QUERY=RkZfRUJJVChBTk4sMjAxMCk=&amp;WINDOW=FIRST_POPUP&amp;HEIGHT=450&amp;WIDTH=450&amp;START_MAXIMIZED=FALS","E&amp;VAR:CALENDAR=US&amp;VAR:SYMBOL=UNP&amp;VAR:INDEX=0"}</definedName>
    <definedName name="_253__FDSAUDITLINK__" hidden="1">{"fdsup://directions/FAT Viewer?action=UPDATE&amp;creator=factset&amp;DYN_ARGS=TRUE&amp;DOC_NAME=FAT:FQL_AUDITING_CLIENT_TEMPLATE.FAT&amp;display_string=Audit&amp;VAR:KEY=XSTYHIJETW&amp;VAR:QUERY=RkZfRUJJVChBTk4sMjAxMCk=&amp;WINDOW=FIRST_POPUP&amp;HEIGHT=450&amp;WIDTH=450&amp;START_MAXIMIZED=FALS","E&amp;VAR:CALENDAR=US&amp;VAR:SYMBOL=UNP&amp;VAR:INDEX=0"}</definedName>
    <definedName name="_254__FDSAUDITLINK__" localSheetId="4" hidden="1">{"fdsup://directions/FAT Viewer?action=UPDATE&amp;creator=factset&amp;DYN_ARGS=TRUE&amp;DOC_NAME=FAT:FQL_AUDITING_CLIENT_TEMPLATE.FAT&amp;display_string=Audit&amp;VAR:KEY=TYTONQVMDS&amp;VAR:QUERY=RkZfRUJJVChBTk4sMjAxMCk=&amp;WINDOW=FIRST_POPUP&amp;HEIGHT=450&amp;WIDTH=450&amp;START_MAXIMIZED=FALS","E&amp;VAR:CALENDAR=US&amp;VAR:SYMBOL=SWFT&amp;VAR:INDEX=0"}</definedName>
    <definedName name="_254__FDSAUDITLINK__" hidden="1">{"fdsup://directions/FAT Viewer?action=UPDATE&amp;creator=factset&amp;DYN_ARGS=TRUE&amp;DOC_NAME=FAT:FQL_AUDITING_CLIENT_TEMPLATE.FAT&amp;display_string=Audit&amp;VAR:KEY=TYTONQVMDS&amp;VAR:QUERY=RkZfRUJJVChBTk4sMjAxMCk=&amp;WINDOW=FIRST_POPUP&amp;HEIGHT=450&amp;WIDTH=450&amp;START_MAXIMIZED=FALS","E&amp;VAR:CALENDAR=US&amp;VAR:SYMBOL=SWFT&amp;VAR:INDEX=0"}</definedName>
    <definedName name="_255__FDSAUDITLINK__" localSheetId="4" hidden="1">{"fdsup://directions/FAT Viewer?action=UPDATE&amp;creator=factset&amp;DYN_ARGS=TRUE&amp;DOC_NAME=FAT:FQL_AUDITING_CLIENT_TEMPLATE.FAT&amp;display_string=Audit&amp;VAR:KEY=NEXMNMLKZO&amp;VAR:QUERY=RkZfRUJJVChBTk4sMjAxMCk=&amp;WINDOW=FIRST_POPUP&amp;HEIGHT=450&amp;WIDTH=450&amp;START_MAXIMIZED=FALS","E&amp;VAR:CALENDAR=US&amp;VAR:SYMBOL=RA&amp;VAR:INDEX=0"}</definedName>
    <definedName name="_255__FDSAUDITLINK__" hidden="1">{"fdsup://directions/FAT Viewer?action=UPDATE&amp;creator=factset&amp;DYN_ARGS=TRUE&amp;DOC_NAME=FAT:FQL_AUDITING_CLIENT_TEMPLATE.FAT&amp;display_string=Audit&amp;VAR:KEY=NEXMNMLKZO&amp;VAR:QUERY=RkZfRUJJVChBTk4sMjAxMCk=&amp;WINDOW=FIRST_POPUP&amp;HEIGHT=450&amp;WIDTH=450&amp;START_MAXIMIZED=FALS","E&amp;VAR:CALENDAR=US&amp;VAR:SYMBOL=RA&amp;VAR:INDEX=0"}</definedName>
    <definedName name="_256__FDSAUDITLINK__" localSheetId="4" hidden="1">{"fdsup://directions/FAT Viewer?action=UPDATE&amp;creator=factset&amp;DYN_ARGS=TRUE&amp;DOC_NAME=FAT:FQL_AUDITING_CLIENT_TEMPLATE.FAT&amp;display_string=Audit&amp;VAR:KEY=HQZYJQNCTG&amp;VAR:QUERY=RkZfRUJJVChBTk4sMjAxMCk=&amp;WINDOW=FIRST_POPUP&amp;HEIGHT=450&amp;WIDTH=450&amp;START_MAXIMIZED=FALS","E&amp;VAR:CALENDAR=US&amp;VAR:SYMBOL=NSC&amp;VAR:INDEX=0"}</definedName>
    <definedName name="_256__FDSAUDITLINK__" hidden="1">{"fdsup://directions/FAT Viewer?action=UPDATE&amp;creator=factset&amp;DYN_ARGS=TRUE&amp;DOC_NAME=FAT:FQL_AUDITING_CLIENT_TEMPLATE.FAT&amp;display_string=Audit&amp;VAR:KEY=HQZYJQNCTG&amp;VAR:QUERY=RkZfRUJJVChBTk4sMjAxMCk=&amp;WINDOW=FIRST_POPUP&amp;HEIGHT=450&amp;WIDTH=450&amp;START_MAXIMIZED=FALS","E&amp;VAR:CALENDAR=US&amp;VAR:SYMBOL=NSC&amp;VAR:INDEX=0"}</definedName>
    <definedName name="_257__FDSAUDITLINK__" localSheetId="4" hidden="1">{"fdsup://directions/FAT Viewer?action=UPDATE&amp;creator=factset&amp;DYN_ARGS=TRUE&amp;DOC_NAME=FAT:FQL_AUDITING_CLIENT_TEMPLATE.FAT&amp;display_string=Audit&amp;VAR:KEY=JIXYNQRSDQ&amp;VAR:QUERY=RkZfRUJJVChBTk4sMjAxMCk=&amp;WINDOW=FIRST_POPUP&amp;HEIGHT=450&amp;WIDTH=450&amp;START_MAXIMIZED=FALS","E&amp;VAR:CALENDAR=US&amp;VAR:SYMBOL=KSU&amp;VAR:INDEX=0"}</definedName>
    <definedName name="_257__FDSAUDITLINK__" hidden="1">{"fdsup://directions/FAT Viewer?action=UPDATE&amp;creator=factset&amp;DYN_ARGS=TRUE&amp;DOC_NAME=FAT:FQL_AUDITING_CLIENT_TEMPLATE.FAT&amp;display_string=Audit&amp;VAR:KEY=JIXYNQRSDQ&amp;VAR:QUERY=RkZfRUJJVChBTk4sMjAxMCk=&amp;WINDOW=FIRST_POPUP&amp;HEIGHT=450&amp;WIDTH=450&amp;START_MAXIMIZED=FALS","E&amp;VAR:CALENDAR=US&amp;VAR:SYMBOL=KSU&amp;VAR:INDEX=0"}</definedName>
    <definedName name="_258__FDSAUDITLINK__" localSheetId="4" hidden="1">{"fdsup://directions/FAT Viewer?action=UPDATE&amp;creator=factset&amp;DYN_ARGS=TRUE&amp;DOC_NAME=FAT:FQL_AUDITING_CLIENT_TEMPLATE.FAT&amp;display_string=Audit&amp;VAR:KEY=BSPMDEVUVE&amp;VAR:QUERY=RkZfRUJJVChBTk4sMjAxMCk=&amp;WINDOW=FIRST_POPUP&amp;HEIGHT=450&amp;WIDTH=450&amp;START_MAXIMIZED=FALS","E&amp;VAR:CALENDAR=US&amp;VAR:SYMBOL=KNX&amp;VAR:INDEX=0"}</definedName>
    <definedName name="_258__FDSAUDITLINK__" hidden="1">{"fdsup://directions/FAT Viewer?action=UPDATE&amp;creator=factset&amp;DYN_ARGS=TRUE&amp;DOC_NAME=FAT:FQL_AUDITING_CLIENT_TEMPLATE.FAT&amp;display_string=Audit&amp;VAR:KEY=BSPMDEVUVE&amp;VAR:QUERY=RkZfRUJJVChBTk4sMjAxMCk=&amp;WINDOW=FIRST_POPUP&amp;HEIGHT=450&amp;WIDTH=450&amp;START_MAXIMIZED=FALS","E&amp;VAR:CALENDAR=US&amp;VAR:SYMBOL=KNX&amp;VAR:INDEX=0"}</definedName>
    <definedName name="_259__FDSAUDITLINK__" localSheetId="4" hidden="1">{"fdsup://directions/FAT Viewer?action=UPDATE&amp;creator=factset&amp;DYN_ARGS=TRUE&amp;DOC_NAME=FAT:FQL_AUDITING_CLIENT_TEMPLATE.FAT&amp;display_string=Audit&amp;VAR:KEY=RQRWHMPUTW&amp;VAR:QUERY=RkZfRUJJVChBTk4sMjAxMCk=&amp;WINDOW=FIRST_POPUP&amp;HEIGHT=450&amp;WIDTH=450&amp;START_MAXIMIZED=FALS","E&amp;VAR:CALENDAR=US&amp;VAR:SYMBOL=JBHT&amp;VAR:INDEX=0"}</definedName>
    <definedName name="_259__FDSAUDITLINK__" hidden="1">{"fdsup://directions/FAT Viewer?action=UPDATE&amp;creator=factset&amp;DYN_ARGS=TRUE&amp;DOC_NAME=FAT:FQL_AUDITING_CLIENT_TEMPLATE.FAT&amp;display_string=Audit&amp;VAR:KEY=RQRWHMPUTW&amp;VAR:QUERY=RkZfRUJJVChBTk4sMjAxMCk=&amp;WINDOW=FIRST_POPUP&amp;HEIGHT=450&amp;WIDTH=450&amp;START_MAXIMIZED=FALS","E&amp;VAR:CALENDAR=US&amp;VAR:SYMBOL=JBHT&amp;VAR:INDEX=0"}</definedName>
    <definedName name="_26__123Graph_XR_M_MARG" hidden="1">[1]P!$R$29:$AK$29</definedName>
    <definedName name="_26__FDSAUDITLINK__" localSheetId="4" hidden="1">{"fdsup://Directions/FactSet Auditing Viewer?action=AUDIT_VALUE&amp;DB=129&amp;ID1=75075340&amp;VALUEID=01250&amp;SDATE=2010&amp;PERIODTYPE=ANN_STD&amp;window=popup_no_bar&amp;width=385&amp;height=120&amp;START_MAXIMIZED=FALSE&amp;creator=factset&amp;display_string=Audit"}</definedName>
    <definedName name="_26__FDSAUDITLINK__" localSheetId="5" hidden="1">{"fdsup://Directions/FactSet Auditing Viewer?action=AUDIT_VALUE&amp;DB=129&amp;ID1=75075340&amp;VALUEID=01401&amp;SDATE=2009&amp;PERIODTYPE=ANN_STD&amp;window=popup_no_bar&amp;width=385&amp;height=120&amp;START_MAXIMIZED=FALSE&amp;creator=factset&amp;display_string=Audit"}</definedName>
    <definedName name="_26__FDSAUDITLINK__" localSheetId="6" hidden="1">{"fdsup://Directions/FactSet Auditing Viewer?action=AUDIT_VALUE&amp;DB=129&amp;ID1=75075340&amp;VALUEID=01401&amp;SDATE=2009&amp;PERIODTYPE=ANN_STD&amp;window=popup_no_bar&amp;width=385&amp;height=120&amp;START_MAXIMIZED=FALSE&amp;creator=factset&amp;display_string=Audit"}</definedName>
    <definedName name="_26__FDSAUDITLINK__" hidden="1">{"fdsup://Directions/FactSet Auditing Viewer?action=AUDIT_VALUE&amp;DB=129&amp;ID1=75075340&amp;VALUEID=01250&amp;SDATE=2010&amp;PERIODTYPE=ANN_STD&amp;window=popup_no_bar&amp;width=385&amp;height=120&amp;START_MAXIMIZED=FALSE&amp;creator=factset&amp;display_string=Audit"}</definedName>
    <definedName name="_260__FDSAUDITLINK__" localSheetId="4" hidden="1">{"fdsup://directions/FAT Viewer?action=UPDATE&amp;creator=factset&amp;DYN_ARGS=TRUE&amp;DOC_NAME=FAT:FQL_AUDITING_CLIENT_TEMPLATE.FAT&amp;display_string=Audit&amp;VAR:KEY=ZIREZSRYNC&amp;VAR:QUERY=RkZfRUJJVChBTk4sMjAxMCk=&amp;WINDOW=FIRST_POPUP&amp;HEIGHT=450&amp;WIDTH=450&amp;START_MAXIMIZED=FALS","E&amp;VAR:CALENDAR=US&amp;VAR:SYMBOL=HTLD&amp;VAR:INDEX=0"}</definedName>
    <definedName name="_260__FDSAUDITLINK__" hidden="1">{"fdsup://directions/FAT Viewer?action=UPDATE&amp;creator=factset&amp;DYN_ARGS=TRUE&amp;DOC_NAME=FAT:FQL_AUDITING_CLIENT_TEMPLATE.FAT&amp;display_string=Audit&amp;VAR:KEY=ZIREZSRYNC&amp;VAR:QUERY=RkZfRUJJVChBTk4sMjAxMCk=&amp;WINDOW=FIRST_POPUP&amp;HEIGHT=450&amp;WIDTH=450&amp;START_MAXIMIZED=FALS","E&amp;VAR:CALENDAR=US&amp;VAR:SYMBOL=HTLD&amp;VAR:INDEX=0"}</definedName>
    <definedName name="_261__FDSAUDITLINK__" localSheetId="4" hidden="1">{"fdsup://directions/FAT Viewer?action=UPDATE&amp;creator=factset&amp;DYN_ARGS=TRUE&amp;DOC_NAME=FAT:FQL_AUDITING_CLIENT_TEMPLATE.FAT&amp;display_string=Audit&amp;VAR:KEY=DUPETWPSLE&amp;VAR:QUERY=RkZfRUJJVChBTk4sMjAxMCk=&amp;WINDOW=FIRST_POPUP&amp;HEIGHT=450&amp;WIDTH=450&amp;START_MAXIMIZED=FALS","E&amp;VAR:CALENDAR=US&amp;VAR:SYMBOL=GWR&amp;VAR:INDEX=0"}</definedName>
    <definedName name="_261__FDSAUDITLINK__" hidden="1">{"fdsup://directions/FAT Viewer?action=UPDATE&amp;creator=factset&amp;DYN_ARGS=TRUE&amp;DOC_NAME=FAT:FQL_AUDITING_CLIENT_TEMPLATE.FAT&amp;display_string=Audit&amp;VAR:KEY=DUPETWPSLE&amp;VAR:QUERY=RkZfRUJJVChBTk4sMjAxMCk=&amp;WINDOW=FIRST_POPUP&amp;HEIGHT=450&amp;WIDTH=450&amp;START_MAXIMIZED=FALS","E&amp;VAR:CALENDAR=US&amp;VAR:SYMBOL=GWR&amp;VAR:INDEX=0"}</definedName>
    <definedName name="_262__FDSAUDITLINK__" localSheetId="4" hidden="1">{"fdsup://directions/FAT Viewer?action=UPDATE&amp;creator=factset&amp;DYN_ARGS=TRUE&amp;DOC_NAME=FAT:FQL_AUDITING_CLIENT_TEMPLATE.FAT&amp;display_string=Audit&amp;VAR:KEY=ZMBMTCRKXU&amp;VAR:QUERY=RkZfRUJJVChBTk4sMjAxMCk=&amp;WINDOW=FIRST_POPUP&amp;HEIGHT=450&amp;WIDTH=450&amp;START_MAXIMIZED=FALS","E&amp;VAR:CALENDAR=US&amp;VAR:SYMBOL=FDX&amp;VAR:INDEX=0"}</definedName>
    <definedName name="_262__FDSAUDITLINK__" hidden="1">{"fdsup://directions/FAT Viewer?action=UPDATE&amp;creator=factset&amp;DYN_ARGS=TRUE&amp;DOC_NAME=FAT:FQL_AUDITING_CLIENT_TEMPLATE.FAT&amp;display_string=Audit&amp;VAR:KEY=ZMBMTCRKXU&amp;VAR:QUERY=RkZfRUJJVChBTk4sMjAxMCk=&amp;WINDOW=FIRST_POPUP&amp;HEIGHT=450&amp;WIDTH=450&amp;START_MAXIMIZED=FALS","E&amp;VAR:CALENDAR=US&amp;VAR:SYMBOL=FDX&amp;VAR:INDEX=0"}</definedName>
    <definedName name="_263__FDSAUDITLINK__" localSheetId="4" hidden="1">{"fdsup://directions/FAT Viewer?action=UPDATE&amp;creator=factset&amp;DYN_ARGS=TRUE&amp;DOC_NAME=FAT:FQL_AUDITING_CLIENT_TEMPLATE.FAT&amp;display_string=Audit&amp;VAR:KEY=HKRGXMPARI&amp;VAR:QUERY=RkZfRUJJVChBTk4sMjAxMCk=&amp;WINDOW=FIRST_POPUP&amp;HEIGHT=450&amp;WIDTH=450&amp;START_MAXIMIZED=FALS","E&amp;VAR:CALENDAR=US&amp;VAR:SYMBOL=EXPD&amp;VAR:INDEX=0"}</definedName>
    <definedName name="_263__FDSAUDITLINK__" hidden="1">{"fdsup://directions/FAT Viewer?action=UPDATE&amp;creator=factset&amp;DYN_ARGS=TRUE&amp;DOC_NAME=FAT:FQL_AUDITING_CLIENT_TEMPLATE.FAT&amp;display_string=Audit&amp;VAR:KEY=HKRGXMPARI&amp;VAR:QUERY=RkZfRUJJVChBTk4sMjAxMCk=&amp;WINDOW=FIRST_POPUP&amp;HEIGHT=450&amp;WIDTH=450&amp;START_MAXIMIZED=FALS","E&amp;VAR:CALENDAR=US&amp;VAR:SYMBOL=EXPD&amp;VAR:INDEX=0"}</definedName>
    <definedName name="_264__FDSAUDITLINK__" localSheetId="4" hidden="1">{"fdsup://directions/FAT Viewer?action=UPDATE&amp;creator=factset&amp;DYN_ARGS=TRUE&amp;DOC_NAME=FAT:FQL_AUDITING_CLIENT_TEMPLATE.FAT&amp;display_string=Audit&amp;VAR:KEY=FQNQZGRYHQ&amp;VAR:QUERY=RkZfRUJJVChBTk4sMjAxMCk=&amp;WINDOW=FIRST_POPUP&amp;HEIGHT=450&amp;WIDTH=450&amp;START_MAXIMIZED=FALS","E&amp;VAR:CALENDAR=US&amp;VAR:SYMBOL=ECHO&amp;VAR:INDEX=0"}</definedName>
    <definedName name="_264__FDSAUDITLINK__" hidden="1">{"fdsup://directions/FAT Viewer?action=UPDATE&amp;creator=factset&amp;DYN_ARGS=TRUE&amp;DOC_NAME=FAT:FQL_AUDITING_CLIENT_TEMPLATE.FAT&amp;display_string=Audit&amp;VAR:KEY=FQNQZGRYHQ&amp;VAR:QUERY=RkZfRUJJVChBTk4sMjAxMCk=&amp;WINDOW=FIRST_POPUP&amp;HEIGHT=450&amp;WIDTH=450&amp;START_MAXIMIZED=FALS","E&amp;VAR:CALENDAR=US&amp;VAR:SYMBOL=ECHO&amp;VAR:INDEX=0"}</definedName>
    <definedName name="_265__FDSAUDITLINK__" localSheetId="4" hidden="1">{"fdsup://directions/FAT Viewer?action=UPDATE&amp;creator=factset&amp;DYN_ARGS=TRUE&amp;DOC_NAME=FAT:FQL_AUDITING_CLIENT_TEMPLATE.FAT&amp;display_string=Audit&amp;VAR:KEY=ZKLURURKRG&amp;VAR:QUERY=RkZfRUJJVChBTk4sMjAxMCk=&amp;WINDOW=FIRST_POPUP&amp;HEIGHT=450&amp;WIDTH=450&amp;START_MAXIMIZED=FALS","E&amp;VAR:CALENDAR=US&amp;VAR:SYMBOL=CSX&amp;VAR:INDEX=0"}</definedName>
    <definedName name="_265__FDSAUDITLINK__" hidden="1">{"fdsup://directions/FAT Viewer?action=UPDATE&amp;creator=factset&amp;DYN_ARGS=TRUE&amp;DOC_NAME=FAT:FQL_AUDITING_CLIENT_TEMPLATE.FAT&amp;display_string=Audit&amp;VAR:KEY=ZKLURURKRG&amp;VAR:QUERY=RkZfRUJJVChBTk4sMjAxMCk=&amp;WINDOW=FIRST_POPUP&amp;HEIGHT=450&amp;WIDTH=450&amp;START_MAXIMIZED=FALS","E&amp;VAR:CALENDAR=US&amp;VAR:SYMBOL=CSX&amp;VAR:INDEX=0"}</definedName>
    <definedName name="_266__FDSAUDITLINK__" localSheetId="4" hidden="1">{"fdsup://directions/FAT Viewer?action=UPDATE&amp;creator=factset&amp;DYN_ARGS=TRUE&amp;DOC_NAME=FAT:FQL_AUDITING_CLIENT_TEMPLATE.FAT&amp;display_string=Audit&amp;VAR:KEY=JURMPMRGTA&amp;VAR:QUERY=RkZfRUJJVChBTk4sMjAxMCk=&amp;WINDOW=FIRST_POPUP&amp;HEIGHT=450&amp;WIDTH=450&amp;START_MAXIMIZED=FALS","E&amp;VAR:CALENDAR=US&amp;VAR:SYMBOL=CP&amp;VAR:INDEX=0"}</definedName>
    <definedName name="_266__FDSAUDITLINK__" hidden="1">{"fdsup://directions/FAT Viewer?action=UPDATE&amp;creator=factset&amp;DYN_ARGS=TRUE&amp;DOC_NAME=FAT:FQL_AUDITING_CLIENT_TEMPLATE.FAT&amp;display_string=Audit&amp;VAR:KEY=JURMPMRGTA&amp;VAR:QUERY=RkZfRUJJVChBTk4sMjAxMCk=&amp;WINDOW=FIRST_POPUP&amp;HEIGHT=450&amp;WIDTH=450&amp;START_MAXIMIZED=FALS","E&amp;VAR:CALENDAR=US&amp;VAR:SYMBOL=CP&amp;VAR:INDEX=0"}</definedName>
    <definedName name="_267__FDSAUDITLINK__" localSheetId="4" hidden="1">{"fdsup://directions/FAT Viewer?action=UPDATE&amp;creator=factset&amp;DYN_ARGS=TRUE&amp;DOC_NAME=FAT:FQL_AUDITING_CLIENT_TEMPLATE.FAT&amp;display_string=Audit&amp;VAR:KEY=DMBCVSDMXE&amp;VAR:QUERY=RkZfRUJJVChBTk4sMjAxMCk=&amp;WINDOW=FIRST_POPUP&amp;HEIGHT=450&amp;WIDTH=450&amp;START_MAXIMIZED=FALS","E&amp;VAR:CALENDAR=US&amp;VAR:SYMBOL=CNI&amp;VAR:INDEX=0"}</definedName>
    <definedName name="_267__FDSAUDITLINK__" hidden="1">{"fdsup://directions/FAT Viewer?action=UPDATE&amp;creator=factset&amp;DYN_ARGS=TRUE&amp;DOC_NAME=FAT:FQL_AUDITING_CLIENT_TEMPLATE.FAT&amp;display_string=Audit&amp;VAR:KEY=DMBCVSDMXE&amp;VAR:QUERY=RkZfRUJJVChBTk4sMjAxMCk=&amp;WINDOW=FIRST_POPUP&amp;HEIGHT=450&amp;WIDTH=450&amp;START_MAXIMIZED=FALS","E&amp;VAR:CALENDAR=US&amp;VAR:SYMBOL=CNI&amp;VAR:INDEX=0"}</definedName>
    <definedName name="_268__FDSAUDITLINK__" localSheetId="4" hidden="1">{"fdsup://directions/FAT Viewer?action=UPDATE&amp;creator=factset&amp;DYN_ARGS=TRUE&amp;DOC_NAME=FAT:FQL_AUDITING_CLIENT_TEMPLATE.FAT&amp;display_string=Audit&amp;VAR:KEY=JSXSLYXYTQ&amp;VAR:QUERY=RkZfRUJJVChBTk4sMjAxMCk=&amp;WINDOW=FIRST_POPUP&amp;HEIGHT=450&amp;WIDTH=450&amp;START_MAXIMIZED=FALS","E&amp;VAR:CALENDAR=US&amp;VAR:SYMBOL=CHRW&amp;VAR:INDEX=0"}</definedName>
    <definedName name="_268__FDSAUDITLINK__" hidden="1">{"fdsup://directions/FAT Viewer?action=UPDATE&amp;creator=factset&amp;DYN_ARGS=TRUE&amp;DOC_NAME=FAT:FQL_AUDITING_CLIENT_TEMPLATE.FAT&amp;display_string=Audit&amp;VAR:KEY=JSXSLYXYTQ&amp;VAR:QUERY=RkZfRUJJVChBTk4sMjAxMCk=&amp;WINDOW=FIRST_POPUP&amp;HEIGHT=450&amp;WIDTH=450&amp;START_MAXIMIZED=FALS","E&amp;VAR:CALENDAR=US&amp;VAR:SYMBOL=CHRW&amp;VAR:INDEX=0"}</definedName>
    <definedName name="_269__FDSAUDITLINK__" localSheetId="4" hidden="1">{"fdsup://directions/FAT Viewer?action=UPDATE&amp;creator=factset&amp;DYN_ARGS=TRUE&amp;DOC_NAME=FAT:FQL_AUDITING_CLIENT_TEMPLATE.FAT&amp;display_string=Audit&amp;VAR:KEY=XSDCRQJUFS&amp;VAR:QUERY=RkZfRUJJVERBKEFOTiwyMDEwKQ==&amp;WINDOW=FIRST_POPUP&amp;HEIGHT=450&amp;WIDTH=450&amp;START_MAXIMIZED=","FALSE&amp;VAR:CALENDAR=US&amp;VAR:SYMBOL=WERN&amp;VAR:INDEX=0"}</definedName>
    <definedName name="_269__FDSAUDITLINK__" hidden="1">{"fdsup://directions/FAT Viewer?action=UPDATE&amp;creator=factset&amp;DYN_ARGS=TRUE&amp;DOC_NAME=FAT:FQL_AUDITING_CLIENT_TEMPLATE.FAT&amp;display_string=Audit&amp;VAR:KEY=XSDCRQJUFS&amp;VAR:QUERY=RkZfRUJJVERBKEFOTiwyMDEwKQ==&amp;WINDOW=FIRST_POPUP&amp;HEIGHT=450&amp;WIDTH=450&amp;START_MAXIMIZED=","FALSE&amp;VAR:CALENDAR=US&amp;VAR:SYMBOL=WERN&amp;VAR:INDEX=0"}</definedName>
    <definedName name="_27__FDSAUDITLINK__" localSheetId="4" hidden="1">{"fdsup://Directions/FactSet Auditing Viewer?action=AUDIT_VALUE&amp;DB=129&amp;ID1=65584410&amp;VALUEID=01250&amp;SDATE=2010&amp;PERIODTYPE=ANN_STD&amp;window=popup_no_bar&amp;width=385&amp;height=120&amp;START_MAXIMIZED=FALSE&amp;creator=factset&amp;display_string=Audit"}</definedName>
    <definedName name="_27__FDSAUDITLINK__" localSheetId="5" hidden="1">{"fdsup://Directions/FactSet Auditing Viewer?action=AUDIT_VALUE&amp;DB=129&amp;ID1=65584410&amp;VALUEID=01401&amp;SDATE=2009&amp;PERIODTYPE=ANN_STD&amp;window=popup_no_bar&amp;width=385&amp;height=120&amp;START_MAXIMIZED=FALSE&amp;creator=factset&amp;display_string=Audit"}</definedName>
    <definedName name="_27__FDSAUDITLINK__" localSheetId="6" hidden="1">{"fdsup://Directions/FactSet Auditing Viewer?action=AUDIT_VALUE&amp;DB=129&amp;ID1=65584410&amp;VALUEID=01401&amp;SDATE=2009&amp;PERIODTYPE=ANN_STD&amp;window=popup_no_bar&amp;width=385&amp;height=120&amp;START_MAXIMIZED=FALSE&amp;creator=factset&amp;display_string=Audit"}</definedName>
    <definedName name="_27__FDSAUDITLINK__" hidden="1">{"fdsup://Directions/FactSet Auditing Viewer?action=AUDIT_VALUE&amp;DB=129&amp;ID1=65584410&amp;VALUEID=01250&amp;SDATE=2010&amp;PERIODTYPE=ANN_STD&amp;window=popup_no_bar&amp;width=385&amp;height=120&amp;START_MAXIMIZED=FALSE&amp;creator=factset&amp;display_string=Audit"}</definedName>
    <definedName name="_270__FDSAUDITLINK__" localSheetId="4" hidden="1">{"fdsup://directions/FAT Viewer?action=UPDATE&amp;creator=factset&amp;DYN_ARGS=TRUE&amp;DOC_NAME=FAT:FQL_AUDITING_CLIENT_TEMPLATE.FAT&amp;display_string=Audit&amp;VAR:KEY=NIHAVGVAVY&amp;VAR:QUERY=RkZfRUJJVERBKEFOTiwyMDEwKQ==&amp;WINDOW=FIRST_POPUP&amp;HEIGHT=450&amp;WIDTH=450&amp;START_MAXIMIZED=","FALSE&amp;VAR:CALENDAR=US&amp;VAR:SYMBOL=UTIW&amp;VAR:INDEX=0"}</definedName>
    <definedName name="_270__FDSAUDITLINK__" hidden="1">{"fdsup://directions/FAT Viewer?action=UPDATE&amp;creator=factset&amp;DYN_ARGS=TRUE&amp;DOC_NAME=FAT:FQL_AUDITING_CLIENT_TEMPLATE.FAT&amp;display_string=Audit&amp;VAR:KEY=NIHAVGVAVY&amp;VAR:QUERY=RkZfRUJJVERBKEFOTiwyMDEwKQ==&amp;WINDOW=FIRST_POPUP&amp;HEIGHT=450&amp;WIDTH=450&amp;START_MAXIMIZED=","FALSE&amp;VAR:CALENDAR=US&amp;VAR:SYMBOL=UTIW&amp;VAR:INDEX=0"}</definedName>
    <definedName name="_271__FDSAUDITLINK__" localSheetId="4" hidden="1">{"fdsup://directions/FAT Viewer?action=UPDATE&amp;creator=factset&amp;DYN_ARGS=TRUE&amp;DOC_NAME=FAT:FQL_AUDITING_CLIENT_TEMPLATE.FAT&amp;display_string=Audit&amp;VAR:KEY=HQXKDKZEDS&amp;VAR:QUERY=RkZfRUJJVERBKEFOTiwyMDEwKQ==&amp;WINDOW=FIRST_POPUP&amp;HEIGHT=450&amp;WIDTH=450&amp;START_MAXIMIZED=","FALSE&amp;VAR:CALENDAR=US&amp;VAR:SYMBOL=UPS&amp;VAR:INDEX=0"}</definedName>
    <definedName name="_271__FDSAUDITLINK__" hidden="1">{"fdsup://directions/FAT Viewer?action=UPDATE&amp;creator=factset&amp;DYN_ARGS=TRUE&amp;DOC_NAME=FAT:FQL_AUDITING_CLIENT_TEMPLATE.FAT&amp;display_string=Audit&amp;VAR:KEY=HQXKDKZEDS&amp;VAR:QUERY=RkZfRUJJVERBKEFOTiwyMDEwKQ==&amp;WINDOW=FIRST_POPUP&amp;HEIGHT=450&amp;WIDTH=450&amp;START_MAXIMIZED=","FALSE&amp;VAR:CALENDAR=US&amp;VAR:SYMBOL=UPS&amp;VAR:INDEX=0"}</definedName>
    <definedName name="_272__FDSAUDITLINK__" localSheetId="4" hidden="1">{"fdsup://directions/FAT Viewer?action=UPDATE&amp;creator=factset&amp;DYN_ARGS=TRUE&amp;DOC_NAME=FAT:FQL_AUDITING_CLIENT_TEMPLATE.FAT&amp;display_string=Audit&amp;VAR:KEY=NKTGTKNIHM&amp;VAR:QUERY=RkZfRUJJVERBKEFOTiwyMDEwKQ==&amp;WINDOW=FIRST_POPUP&amp;HEIGHT=450&amp;WIDTH=450&amp;START_MAXIMIZED=","FALSE&amp;VAR:CALENDAR=US&amp;VAR:SYMBOL=UNP&amp;VAR:INDEX=0"}</definedName>
    <definedName name="_272__FDSAUDITLINK__" hidden="1">{"fdsup://directions/FAT Viewer?action=UPDATE&amp;creator=factset&amp;DYN_ARGS=TRUE&amp;DOC_NAME=FAT:FQL_AUDITING_CLIENT_TEMPLATE.FAT&amp;display_string=Audit&amp;VAR:KEY=NKTGTKNIHM&amp;VAR:QUERY=RkZfRUJJVERBKEFOTiwyMDEwKQ==&amp;WINDOW=FIRST_POPUP&amp;HEIGHT=450&amp;WIDTH=450&amp;START_MAXIMIZED=","FALSE&amp;VAR:CALENDAR=US&amp;VAR:SYMBOL=UNP&amp;VAR:INDEX=0"}</definedName>
    <definedName name="_273__FDSAUDITLINK__" localSheetId="4" hidden="1">{"fdsup://directions/FAT Viewer?action=UPDATE&amp;creator=factset&amp;DYN_ARGS=TRUE&amp;DOC_NAME=FAT:FQL_AUDITING_CLIENT_TEMPLATE.FAT&amp;display_string=Audit&amp;VAR:KEY=JGTOZATCPY&amp;VAR:QUERY=RkZfRUJJVERBKEFOTiwyMDEwKQ==&amp;WINDOW=FIRST_POPUP&amp;HEIGHT=450&amp;WIDTH=450&amp;START_MAXIMIZED=","FALSE&amp;VAR:CALENDAR=US&amp;VAR:SYMBOL=SWFT&amp;VAR:INDEX=0"}</definedName>
    <definedName name="_273__FDSAUDITLINK__" hidden="1">{"fdsup://directions/FAT Viewer?action=UPDATE&amp;creator=factset&amp;DYN_ARGS=TRUE&amp;DOC_NAME=FAT:FQL_AUDITING_CLIENT_TEMPLATE.FAT&amp;display_string=Audit&amp;VAR:KEY=JGTOZATCPY&amp;VAR:QUERY=RkZfRUJJVERBKEFOTiwyMDEwKQ==&amp;WINDOW=FIRST_POPUP&amp;HEIGHT=450&amp;WIDTH=450&amp;START_MAXIMIZED=","FALSE&amp;VAR:CALENDAR=US&amp;VAR:SYMBOL=SWFT&amp;VAR:INDEX=0"}</definedName>
    <definedName name="_274__FDSAUDITLINK__" localSheetId="4" hidden="1">{"fdsup://directions/FAT Viewer?action=UPDATE&amp;creator=factset&amp;DYN_ARGS=TRUE&amp;DOC_NAME=FAT:FQL_AUDITING_CLIENT_TEMPLATE.FAT&amp;display_string=Audit&amp;VAR:KEY=RSBUTQRYTM&amp;VAR:QUERY=RkZfRUJJVERBKEFOTiwyMDEwKQ==&amp;WINDOW=FIRST_POPUP&amp;HEIGHT=450&amp;WIDTH=450&amp;START_MAXIMIZED=","FALSE&amp;VAR:CALENDAR=US&amp;VAR:SYMBOL=RA&amp;VAR:INDEX=0"}</definedName>
    <definedName name="_274__FDSAUDITLINK__" hidden="1">{"fdsup://directions/FAT Viewer?action=UPDATE&amp;creator=factset&amp;DYN_ARGS=TRUE&amp;DOC_NAME=FAT:FQL_AUDITING_CLIENT_TEMPLATE.FAT&amp;display_string=Audit&amp;VAR:KEY=RSBUTQRYTM&amp;VAR:QUERY=RkZfRUJJVERBKEFOTiwyMDEwKQ==&amp;WINDOW=FIRST_POPUP&amp;HEIGHT=450&amp;WIDTH=450&amp;START_MAXIMIZED=","FALSE&amp;VAR:CALENDAR=US&amp;VAR:SYMBOL=RA&amp;VAR:INDEX=0"}</definedName>
    <definedName name="_275__FDSAUDITLINK__" localSheetId="4" hidden="1">{"fdsup://directions/FAT Viewer?action=UPDATE&amp;creator=factset&amp;DYN_ARGS=TRUE&amp;DOC_NAME=FAT:FQL_AUDITING_CLIENT_TEMPLATE.FAT&amp;display_string=Audit&amp;VAR:KEY=POVIHSBSZO&amp;VAR:QUERY=RkZfRUJJVERBKEFOTiwyMDEwKQ==&amp;WINDOW=FIRST_POPUP&amp;HEIGHT=450&amp;WIDTH=450&amp;START_MAXIMIZED=","FALSE&amp;VAR:CALENDAR=US&amp;VAR:SYMBOL=NSC&amp;VAR:INDEX=0"}</definedName>
    <definedName name="_275__FDSAUDITLINK__" hidden="1">{"fdsup://directions/FAT Viewer?action=UPDATE&amp;creator=factset&amp;DYN_ARGS=TRUE&amp;DOC_NAME=FAT:FQL_AUDITING_CLIENT_TEMPLATE.FAT&amp;display_string=Audit&amp;VAR:KEY=POVIHSBSZO&amp;VAR:QUERY=RkZfRUJJVERBKEFOTiwyMDEwKQ==&amp;WINDOW=FIRST_POPUP&amp;HEIGHT=450&amp;WIDTH=450&amp;START_MAXIMIZED=","FALSE&amp;VAR:CALENDAR=US&amp;VAR:SYMBOL=NSC&amp;VAR:INDEX=0"}</definedName>
    <definedName name="_276__FDSAUDITLINK__" localSheetId="4" hidden="1">{"fdsup://directions/FAT Viewer?action=UPDATE&amp;creator=factset&amp;DYN_ARGS=TRUE&amp;DOC_NAME=FAT:FQL_AUDITING_CLIENT_TEMPLATE.FAT&amp;display_string=Audit&amp;VAR:KEY=XSZEDAJIXO&amp;VAR:QUERY=RkZfRUJJVERBKEFOTiwyMDEwKQ==&amp;WINDOW=FIRST_POPUP&amp;HEIGHT=450&amp;WIDTH=450&amp;START_MAXIMIZED=","FALSE&amp;VAR:CALENDAR=US&amp;VAR:SYMBOL=KSU&amp;VAR:INDEX=0"}</definedName>
    <definedName name="_276__FDSAUDITLINK__" hidden="1">{"fdsup://directions/FAT Viewer?action=UPDATE&amp;creator=factset&amp;DYN_ARGS=TRUE&amp;DOC_NAME=FAT:FQL_AUDITING_CLIENT_TEMPLATE.FAT&amp;display_string=Audit&amp;VAR:KEY=XSZEDAJIXO&amp;VAR:QUERY=RkZfRUJJVERBKEFOTiwyMDEwKQ==&amp;WINDOW=FIRST_POPUP&amp;HEIGHT=450&amp;WIDTH=450&amp;START_MAXIMIZED=","FALSE&amp;VAR:CALENDAR=US&amp;VAR:SYMBOL=KSU&amp;VAR:INDEX=0"}</definedName>
    <definedName name="_277__FDSAUDITLINK__" localSheetId="4" hidden="1">{"fdsup://directions/FAT Viewer?action=UPDATE&amp;creator=factset&amp;DYN_ARGS=TRUE&amp;DOC_NAME=FAT:FQL_AUDITING_CLIENT_TEMPLATE.FAT&amp;display_string=Audit&amp;VAR:KEY=JKDEPOXGHG&amp;VAR:QUERY=RkZfRUJJVERBKEFOTiwyMDEwKQ==&amp;WINDOW=FIRST_POPUP&amp;HEIGHT=450&amp;WIDTH=450&amp;START_MAXIMIZED=","FALSE&amp;VAR:CALENDAR=US&amp;VAR:SYMBOL=KNX&amp;VAR:INDEX=0"}</definedName>
    <definedName name="_277__FDSAUDITLINK__" hidden="1">{"fdsup://directions/FAT Viewer?action=UPDATE&amp;creator=factset&amp;DYN_ARGS=TRUE&amp;DOC_NAME=FAT:FQL_AUDITING_CLIENT_TEMPLATE.FAT&amp;display_string=Audit&amp;VAR:KEY=JKDEPOXGHG&amp;VAR:QUERY=RkZfRUJJVERBKEFOTiwyMDEwKQ==&amp;WINDOW=FIRST_POPUP&amp;HEIGHT=450&amp;WIDTH=450&amp;START_MAXIMIZED=","FALSE&amp;VAR:CALENDAR=US&amp;VAR:SYMBOL=KNX&amp;VAR:INDEX=0"}</definedName>
    <definedName name="_278__FDSAUDITLINK__" localSheetId="4" hidden="1">{"fdsup://directions/FAT Viewer?action=UPDATE&amp;creator=factset&amp;DYN_ARGS=TRUE&amp;DOC_NAME=FAT:FQL_AUDITING_CLIENT_TEMPLATE.FAT&amp;display_string=Audit&amp;VAR:KEY=HAPYLWXMPU&amp;VAR:QUERY=RkZfRUJJVERBKEFOTiwyMDEwKQ==&amp;WINDOW=FIRST_POPUP&amp;HEIGHT=450&amp;WIDTH=450&amp;START_MAXIMIZED=","FALSE&amp;VAR:CALENDAR=US&amp;VAR:SYMBOL=JBHT&amp;VAR:INDEX=0"}</definedName>
    <definedName name="_278__FDSAUDITLINK__" hidden="1">{"fdsup://directions/FAT Viewer?action=UPDATE&amp;creator=factset&amp;DYN_ARGS=TRUE&amp;DOC_NAME=FAT:FQL_AUDITING_CLIENT_TEMPLATE.FAT&amp;display_string=Audit&amp;VAR:KEY=HAPYLWXMPU&amp;VAR:QUERY=RkZfRUJJVERBKEFOTiwyMDEwKQ==&amp;WINDOW=FIRST_POPUP&amp;HEIGHT=450&amp;WIDTH=450&amp;START_MAXIMIZED=","FALSE&amp;VAR:CALENDAR=US&amp;VAR:SYMBOL=JBHT&amp;VAR:INDEX=0"}</definedName>
    <definedName name="_279__FDSAUDITLINK__" localSheetId="4" hidden="1">{"fdsup://directions/FAT Viewer?action=UPDATE&amp;creator=factset&amp;DYN_ARGS=TRUE&amp;DOC_NAME=FAT:FQL_AUDITING_CLIENT_TEMPLATE.FAT&amp;display_string=Audit&amp;VAR:KEY=ZSFITIRYXU&amp;VAR:QUERY=RkZfRUJJVERBKEFOTiwyMDEwKQ==&amp;WINDOW=FIRST_POPUP&amp;HEIGHT=450&amp;WIDTH=450&amp;START_MAXIMIZED=","FALSE&amp;VAR:CALENDAR=US&amp;VAR:SYMBOL=HTLD&amp;VAR:INDEX=0"}</definedName>
    <definedName name="_279__FDSAUDITLINK__" hidden="1">{"fdsup://directions/FAT Viewer?action=UPDATE&amp;creator=factset&amp;DYN_ARGS=TRUE&amp;DOC_NAME=FAT:FQL_AUDITING_CLIENT_TEMPLATE.FAT&amp;display_string=Audit&amp;VAR:KEY=ZSFITIRYXU&amp;VAR:QUERY=RkZfRUJJVERBKEFOTiwyMDEwKQ==&amp;WINDOW=FIRST_POPUP&amp;HEIGHT=450&amp;WIDTH=450&amp;START_MAXIMIZED=","FALSE&amp;VAR:CALENDAR=US&amp;VAR:SYMBOL=HTLD&amp;VAR:INDEX=0"}</definedName>
    <definedName name="_28__FDSAUDITLINK__" localSheetId="4" hidden="1">{"fdsup://Directions/FactSet Auditing Viewer?action=AUDIT_VALUE&amp;DB=129&amp;ID1=48517030&amp;VALUEID=01250&amp;SDATE=2010&amp;PERIODTYPE=ANN_STD&amp;window=popup_no_bar&amp;width=385&amp;height=120&amp;START_MAXIMIZED=FALSE&amp;creator=factset&amp;display_string=Audit"}</definedName>
    <definedName name="_28__FDSAUDITLINK__" localSheetId="5" hidden="1">{"fdsup://Directions/FactSet Auditing Viewer?action=AUDIT_VALUE&amp;DB=129&amp;ID1=48517030&amp;VALUEID=01401&amp;SDATE=2009&amp;PERIODTYPE=ANN_STD&amp;window=popup_no_bar&amp;width=385&amp;height=120&amp;START_MAXIMIZED=FALSE&amp;creator=factset&amp;display_string=Audit"}</definedName>
    <definedName name="_28__FDSAUDITLINK__" localSheetId="6" hidden="1">{"fdsup://Directions/FactSet Auditing Viewer?action=AUDIT_VALUE&amp;DB=129&amp;ID1=48517030&amp;VALUEID=01401&amp;SDATE=2009&amp;PERIODTYPE=ANN_STD&amp;window=popup_no_bar&amp;width=385&amp;height=120&amp;START_MAXIMIZED=FALSE&amp;creator=factset&amp;display_string=Audit"}</definedName>
    <definedName name="_28__FDSAUDITLINK__" hidden="1">{"fdsup://Directions/FactSet Auditing Viewer?action=AUDIT_VALUE&amp;DB=129&amp;ID1=48517030&amp;VALUEID=01250&amp;SDATE=2010&amp;PERIODTYPE=ANN_STD&amp;window=popup_no_bar&amp;width=385&amp;height=120&amp;START_MAXIMIZED=FALSE&amp;creator=factset&amp;display_string=Audit"}</definedName>
    <definedName name="_280__FDSAUDITLINK__" localSheetId="4" hidden="1">{"fdsup://directions/FAT Viewer?action=UPDATE&amp;creator=factset&amp;DYN_ARGS=TRUE&amp;DOC_NAME=FAT:FQL_AUDITING_CLIENT_TEMPLATE.FAT&amp;display_string=Audit&amp;VAR:KEY=LGPKJARGRQ&amp;VAR:QUERY=RkZfRUJJVERBKEFOTiwyMDEwKQ==&amp;WINDOW=FIRST_POPUP&amp;HEIGHT=450&amp;WIDTH=450&amp;START_MAXIMIZED=","FALSE&amp;VAR:CALENDAR=US&amp;VAR:SYMBOL=GWR&amp;VAR:INDEX=0"}</definedName>
    <definedName name="_280__FDSAUDITLINK__" hidden="1">{"fdsup://directions/FAT Viewer?action=UPDATE&amp;creator=factset&amp;DYN_ARGS=TRUE&amp;DOC_NAME=FAT:FQL_AUDITING_CLIENT_TEMPLATE.FAT&amp;display_string=Audit&amp;VAR:KEY=LGPKJARGRQ&amp;VAR:QUERY=RkZfRUJJVERBKEFOTiwyMDEwKQ==&amp;WINDOW=FIRST_POPUP&amp;HEIGHT=450&amp;WIDTH=450&amp;START_MAXIMIZED=","FALSE&amp;VAR:CALENDAR=US&amp;VAR:SYMBOL=GWR&amp;VAR:INDEX=0"}</definedName>
    <definedName name="_281__FDSAUDITLINK__" localSheetId="4" hidden="1">{"fdsup://directions/FAT Viewer?action=UPDATE&amp;creator=factset&amp;DYN_ARGS=TRUE&amp;DOC_NAME=FAT:FQL_AUDITING_CLIENT_TEMPLATE.FAT&amp;display_string=Audit&amp;VAR:KEY=FITUXWFEVY&amp;VAR:QUERY=RkZfRUJJVERBKEFOTiwyMDEwKQ==&amp;WINDOW=FIRST_POPUP&amp;HEIGHT=450&amp;WIDTH=450&amp;START_MAXIMIZED=","FALSE&amp;VAR:CALENDAR=US&amp;VAR:SYMBOL=FDX&amp;VAR:INDEX=0"}</definedName>
    <definedName name="_281__FDSAUDITLINK__" hidden="1">{"fdsup://directions/FAT Viewer?action=UPDATE&amp;creator=factset&amp;DYN_ARGS=TRUE&amp;DOC_NAME=FAT:FQL_AUDITING_CLIENT_TEMPLATE.FAT&amp;display_string=Audit&amp;VAR:KEY=FITUXWFEVY&amp;VAR:QUERY=RkZfRUJJVERBKEFOTiwyMDEwKQ==&amp;WINDOW=FIRST_POPUP&amp;HEIGHT=450&amp;WIDTH=450&amp;START_MAXIMIZED=","FALSE&amp;VAR:CALENDAR=US&amp;VAR:SYMBOL=FDX&amp;VAR:INDEX=0"}</definedName>
    <definedName name="_282__FDSAUDITLINK__" localSheetId="4" hidden="1">{"fdsup://directions/FAT Viewer?action=UPDATE&amp;creator=factset&amp;DYN_ARGS=TRUE&amp;DOC_NAME=FAT:FQL_AUDITING_CLIENT_TEMPLATE.FAT&amp;display_string=Audit&amp;VAR:KEY=RCJYXEVKTC&amp;VAR:QUERY=RkZfRUJJVERBKEFOTiwyMDEwKQ==&amp;WINDOW=FIRST_POPUP&amp;HEIGHT=450&amp;WIDTH=450&amp;START_MAXIMIZED=","FALSE&amp;VAR:CALENDAR=US&amp;VAR:SYMBOL=EXPD&amp;VAR:INDEX=0"}</definedName>
    <definedName name="_282__FDSAUDITLINK__" hidden="1">{"fdsup://directions/FAT Viewer?action=UPDATE&amp;creator=factset&amp;DYN_ARGS=TRUE&amp;DOC_NAME=FAT:FQL_AUDITING_CLIENT_TEMPLATE.FAT&amp;display_string=Audit&amp;VAR:KEY=RCJYXEVKTC&amp;VAR:QUERY=RkZfRUJJVERBKEFOTiwyMDEwKQ==&amp;WINDOW=FIRST_POPUP&amp;HEIGHT=450&amp;WIDTH=450&amp;START_MAXIMIZED=","FALSE&amp;VAR:CALENDAR=US&amp;VAR:SYMBOL=EXPD&amp;VAR:INDEX=0"}</definedName>
    <definedName name="_283__FDSAUDITLINK__" localSheetId="4" hidden="1">{"fdsup://directions/FAT Viewer?action=UPDATE&amp;creator=factset&amp;DYN_ARGS=TRUE&amp;DOC_NAME=FAT:FQL_AUDITING_CLIENT_TEMPLATE.FAT&amp;display_string=Audit&amp;VAR:KEY=PWVUHIHSXI&amp;VAR:QUERY=RkZfRUJJVERBKEFOTiwyMDEwKQ==&amp;WINDOW=FIRST_POPUP&amp;HEIGHT=450&amp;WIDTH=450&amp;START_MAXIMIZED=","FALSE&amp;VAR:CALENDAR=US&amp;VAR:SYMBOL=ECHO&amp;VAR:INDEX=0"}</definedName>
    <definedName name="_283__FDSAUDITLINK__" hidden="1">{"fdsup://directions/FAT Viewer?action=UPDATE&amp;creator=factset&amp;DYN_ARGS=TRUE&amp;DOC_NAME=FAT:FQL_AUDITING_CLIENT_TEMPLATE.FAT&amp;display_string=Audit&amp;VAR:KEY=PWVUHIHSXI&amp;VAR:QUERY=RkZfRUJJVERBKEFOTiwyMDEwKQ==&amp;WINDOW=FIRST_POPUP&amp;HEIGHT=450&amp;WIDTH=450&amp;START_MAXIMIZED=","FALSE&amp;VAR:CALENDAR=US&amp;VAR:SYMBOL=ECHO&amp;VAR:INDEX=0"}</definedName>
    <definedName name="_284__FDSAUDITLINK__" localSheetId="4" hidden="1">{"fdsup://directions/FAT Viewer?action=UPDATE&amp;creator=factset&amp;DYN_ARGS=TRUE&amp;DOC_NAME=FAT:FQL_AUDITING_CLIENT_TEMPLATE.FAT&amp;display_string=Audit&amp;VAR:KEY=PQLAFCXOTY&amp;VAR:QUERY=RkZfRUJJVERBKEFOTiwyMDEwKQ==&amp;WINDOW=FIRST_POPUP&amp;HEIGHT=450&amp;WIDTH=450&amp;START_MAXIMIZED=","FALSE&amp;VAR:CALENDAR=US&amp;VAR:SYMBOL=CSX&amp;VAR:INDEX=0"}</definedName>
    <definedName name="_284__FDSAUDITLINK__" hidden="1">{"fdsup://directions/FAT Viewer?action=UPDATE&amp;creator=factset&amp;DYN_ARGS=TRUE&amp;DOC_NAME=FAT:FQL_AUDITING_CLIENT_TEMPLATE.FAT&amp;display_string=Audit&amp;VAR:KEY=PQLAFCXOTY&amp;VAR:QUERY=RkZfRUJJVERBKEFOTiwyMDEwKQ==&amp;WINDOW=FIRST_POPUP&amp;HEIGHT=450&amp;WIDTH=450&amp;START_MAXIMIZED=","FALSE&amp;VAR:CALENDAR=US&amp;VAR:SYMBOL=CSX&amp;VAR:INDEX=0"}</definedName>
    <definedName name="_285__FDSAUDITLINK__" localSheetId="4" hidden="1">{"fdsup://directions/FAT Viewer?action=UPDATE&amp;creator=factset&amp;DYN_ARGS=TRUE&amp;DOC_NAME=FAT:FQL_AUDITING_CLIENT_TEMPLATE.FAT&amp;display_string=Audit&amp;VAR:KEY=RIRKPQFWPA&amp;VAR:QUERY=RkZfRUJJVERBKEFOTiwyMDEwKQ==&amp;WINDOW=FIRST_POPUP&amp;HEIGHT=450&amp;WIDTH=450&amp;START_MAXIMIZED=","FALSE&amp;VAR:CALENDAR=US&amp;VAR:SYMBOL=CP&amp;VAR:INDEX=0"}</definedName>
    <definedName name="_285__FDSAUDITLINK__" hidden="1">{"fdsup://directions/FAT Viewer?action=UPDATE&amp;creator=factset&amp;DYN_ARGS=TRUE&amp;DOC_NAME=FAT:FQL_AUDITING_CLIENT_TEMPLATE.FAT&amp;display_string=Audit&amp;VAR:KEY=RIRKPQFWPA&amp;VAR:QUERY=RkZfRUJJVERBKEFOTiwyMDEwKQ==&amp;WINDOW=FIRST_POPUP&amp;HEIGHT=450&amp;WIDTH=450&amp;START_MAXIMIZED=","FALSE&amp;VAR:CALENDAR=US&amp;VAR:SYMBOL=CP&amp;VAR:INDEX=0"}</definedName>
    <definedName name="_286__FDSAUDITLINK__" localSheetId="4" hidden="1">{"fdsup://directions/FAT Viewer?action=UPDATE&amp;creator=factset&amp;DYN_ARGS=TRUE&amp;DOC_NAME=FAT:FQL_AUDITING_CLIENT_TEMPLATE.FAT&amp;display_string=Audit&amp;VAR:KEY=PSZGDAPQRQ&amp;VAR:QUERY=RkZfRUJJVERBKEFOTiwyMDEwKQ==&amp;WINDOW=FIRST_POPUP&amp;HEIGHT=450&amp;WIDTH=450&amp;START_MAXIMIZED=","FALSE&amp;VAR:CALENDAR=US&amp;VAR:SYMBOL=CNI&amp;VAR:INDEX=0"}</definedName>
    <definedName name="_286__FDSAUDITLINK__" hidden="1">{"fdsup://directions/FAT Viewer?action=UPDATE&amp;creator=factset&amp;DYN_ARGS=TRUE&amp;DOC_NAME=FAT:FQL_AUDITING_CLIENT_TEMPLATE.FAT&amp;display_string=Audit&amp;VAR:KEY=PSZGDAPQRQ&amp;VAR:QUERY=RkZfRUJJVERBKEFOTiwyMDEwKQ==&amp;WINDOW=FIRST_POPUP&amp;HEIGHT=450&amp;WIDTH=450&amp;START_MAXIMIZED=","FALSE&amp;VAR:CALENDAR=US&amp;VAR:SYMBOL=CNI&amp;VAR:INDEX=0"}</definedName>
    <definedName name="_287__FDSAUDITLINK__" localSheetId="4" hidden="1">{"fdsup://directions/FAT Viewer?action=UPDATE&amp;creator=factset&amp;DYN_ARGS=TRUE&amp;DOC_NAME=FAT:FQL_AUDITING_CLIENT_TEMPLATE.FAT&amp;display_string=Audit&amp;VAR:KEY=NMJUNILOFE&amp;VAR:QUERY=RkZfRUJJVERBKEFOTiwyMDEwKQ==&amp;WINDOW=FIRST_POPUP&amp;HEIGHT=450&amp;WIDTH=450&amp;START_MAXIMIZED=","FALSE&amp;VAR:CALENDAR=US&amp;VAR:SYMBOL=CHRW&amp;VAR:INDEX=0"}</definedName>
    <definedName name="_287__FDSAUDITLINK__" hidden="1">{"fdsup://directions/FAT Viewer?action=UPDATE&amp;creator=factset&amp;DYN_ARGS=TRUE&amp;DOC_NAME=FAT:FQL_AUDITING_CLIENT_TEMPLATE.FAT&amp;display_string=Audit&amp;VAR:KEY=NMJUNILOFE&amp;VAR:QUERY=RkZfRUJJVERBKEFOTiwyMDEwKQ==&amp;WINDOW=FIRST_POPUP&amp;HEIGHT=450&amp;WIDTH=450&amp;START_MAXIMIZED=","FALSE&amp;VAR:CALENDAR=US&amp;VAR:SYMBOL=CHRW&amp;VAR:INDEX=0"}</definedName>
    <definedName name="_288__FDSAUDITLINK__" localSheetId="4" hidden="1">{"fdsup://directions/FAT Viewer?action=UPDATE&amp;creator=factset&amp;DYN_ARGS=TRUE&amp;DOC_NAME=FAT:FQL_AUDITING_CLIENT_TEMPLATE.FAT&amp;display_string=Audit&amp;VAR:KEY=TEFEBCHYLA&amp;VAR:QUERY=RkZfTkVUX0lOQyhBTk4sMjAxMCk=&amp;WINDOW=FIRST_POPUP&amp;HEIGHT=450&amp;WIDTH=450&amp;START_MAXIMIZED=","FALSE&amp;VAR:CALENDAR=US&amp;VAR:SYMBOL=WERN&amp;VAR:INDEX=0"}</definedName>
    <definedName name="_288__FDSAUDITLINK__" hidden="1">{"fdsup://directions/FAT Viewer?action=UPDATE&amp;creator=factset&amp;DYN_ARGS=TRUE&amp;DOC_NAME=FAT:FQL_AUDITING_CLIENT_TEMPLATE.FAT&amp;display_string=Audit&amp;VAR:KEY=TEFEBCHYLA&amp;VAR:QUERY=RkZfTkVUX0lOQyhBTk4sMjAxMCk=&amp;WINDOW=FIRST_POPUP&amp;HEIGHT=450&amp;WIDTH=450&amp;START_MAXIMIZED=","FALSE&amp;VAR:CALENDAR=US&amp;VAR:SYMBOL=WERN&amp;VAR:INDEX=0"}</definedName>
    <definedName name="_289__FDSAUDITLINK__" localSheetId="4" hidden="1">{"fdsup://directions/FAT Viewer?action=UPDATE&amp;creator=factset&amp;DYN_ARGS=TRUE&amp;DOC_NAME=FAT:FQL_AUDITING_CLIENT_TEMPLATE.FAT&amp;display_string=Audit&amp;VAR:KEY=DKZMTQXOBY&amp;VAR:QUERY=RkZfTkVUX0lOQyhBTk4sMjAxMCk=&amp;WINDOW=FIRST_POPUP&amp;HEIGHT=450&amp;WIDTH=450&amp;START_MAXIMIZED=","FALSE&amp;VAR:CALENDAR=US&amp;VAR:SYMBOL=UTIW&amp;VAR:INDEX=0"}</definedName>
    <definedName name="_289__FDSAUDITLINK__" hidden="1">{"fdsup://directions/FAT Viewer?action=UPDATE&amp;creator=factset&amp;DYN_ARGS=TRUE&amp;DOC_NAME=FAT:FQL_AUDITING_CLIENT_TEMPLATE.FAT&amp;display_string=Audit&amp;VAR:KEY=DKZMTQXOBY&amp;VAR:QUERY=RkZfTkVUX0lOQyhBTk4sMjAxMCk=&amp;WINDOW=FIRST_POPUP&amp;HEIGHT=450&amp;WIDTH=450&amp;START_MAXIMIZED=","FALSE&amp;VAR:CALENDAR=US&amp;VAR:SYMBOL=UTIW&amp;VAR:INDEX=0"}</definedName>
    <definedName name="_29__FDSAUDITLINK__" localSheetId="4" hidden="1">{"fdsup://Directions/FactSet Auditing Viewer?action=AUDIT_VALUE&amp;DB=129&amp;ID1=37155910&amp;VALUEID=01250&amp;SDATE=2010&amp;PERIODTYPE=ANN_STD&amp;window=popup_no_bar&amp;width=385&amp;height=120&amp;START_MAXIMIZED=FALSE&amp;creator=factset&amp;display_string=Audit"}</definedName>
    <definedName name="_29__FDSAUDITLINK__" localSheetId="5" hidden="1">{"fdsup://Directions/FactSet Auditing Viewer?action=AUDIT_VALUE&amp;DB=129&amp;ID1=37155910&amp;VALUEID=01401&amp;SDATE=2009&amp;PERIODTYPE=ANN_STD&amp;window=popup_no_bar&amp;width=385&amp;height=120&amp;START_MAXIMIZED=FALSE&amp;creator=factset&amp;display_string=Audit"}</definedName>
    <definedName name="_29__FDSAUDITLINK__" localSheetId="6" hidden="1">{"fdsup://Directions/FactSet Auditing Viewer?action=AUDIT_VALUE&amp;DB=129&amp;ID1=37155910&amp;VALUEID=01401&amp;SDATE=2009&amp;PERIODTYPE=ANN_STD&amp;window=popup_no_bar&amp;width=385&amp;height=120&amp;START_MAXIMIZED=FALSE&amp;creator=factset&amp;display_string=Audit"}</definedName>
    <definedName name="_29__FDSAUDITLINK__" hidden="1">{"fdsup://Directions/FactSet Auditing Viewer?action=AUDIT_VALUE&amp;DB=129&amp;ID1=37155910&amp;VALUEID=01250&amp;SDATE=2010&amp;PERIODTYPE=ANN_STD&amp;window=popup_no_bar&amp;width=385&amp;height=120&amp;START_MAXIMIZED=FALSE&amp;creator=factset&amp;display_string=Audit"}</definedName>
    <definedName name="_290__FDSAUDITLINK__" localSheetId="4" hidden="1">{"fdsup://directions/FAT Viewer?action=UPDATE&amp;creator=factset&amp;DYN_ARGS=TRUE&amp;DOC_NAME=FAT:FQL_AUDITING_CLIENT_TEMPLATE.FAT&amp;display_string=Audit&amp;VAR:KEY=ZMPSHSFQPC&amp;VAR:QUERY=RkZfTkVUX0lOQyhBTk4sMjAxMCk=&amp;WINDOW=FIRST_POPUP&amp;HEIGHT=450&amp;WIDTH=450&amp;START_MAXIMIZED=","FALSE&amp;VAR:CALENDAR=US&amp;VAR:SYMBOL=UPS&amp;VAR:INDEX=0"}</definedName>
    <definedName name="_290__FDSAUDITLINK__" hidden="1">{"fdsup://directions/FAT Viewer?action=UPDATE&amp;creator=factset&amp;DYN_ARGS=TRUE&amp;DOC_NAME=FAT:FQL_AUDITING_CLIENT_TEMPLATE.FAT&amp;display_string=Audit&amp;VAR:KEY=ZMPSHSFQPC&amp;VAR:QUERY=RkZfTkVUX0lOQyhBTk4sMjAxMCk=&amp;WINDOW=FIRST_POPUP&amp;HEIGHT=450&amp;WIDTH=450&amp;START_MAXIMIZED=","FALSE&amp;VAR:CALENDAR=US&amp;VAR:SYMBOL=UPS&amp;VAR:INDEX=0"}</definedName>
    <definedName name="_291__FDSAUDITLINK__" localSheetId="4" hidden="1">{"fdsup://directions/FAT Viewer?action=UPDATE&amp;creator=factset&amp;DYN_ARGS=TRUE&amp;DOC_NAME=FAT:FQL_AUDITING_CLIENT_TEMPLATE.FAT&amp;display_string=Audit&amp;VAR:KEY=ZERKTWLUZM&amp;VAR:QUERY=RkZfTkVUX0lOQyhBTk4sMjAxMCk=&amp;WINDOW=FIRST_POPUP&amp;HEIGHT=450&amp;WIDTH=450&amp;START_MAXIMIZED=","FALSE&amp;VAR:CALENDAR=US&amp;VAR:SYMBOL=UNP&amp;VAR:INDEX=0"}</definedName>
    <definedName name="_291__FDSAUDITLINK__" hidden="1">{"fdsup://directions/FAT Viewer?action=UPDATE&amp;creator=factset&amp;DYN_ARGS=TRUE&amp;DOC_NAME=FAT:FQL_AUDITING_CLIENT_TEMPLATE.FAT&amp;display_string=Audit&amp;VAR:KEY=ZERKTWLUZM&amp;VAR:QUERY=RkZfTkVUX0lOQyhBTk4sMjAxMCk=&amp;WINDOW=FIRST_POPUP&amp;HEIGHT=450&amp;WIDTH=450&amp;START_MAXIMIZED=","FALSE&amp;VAR:CALENDAR=US&amp;VAR:SYMBOL=UNP&amp;VAR:INDEX=0"}</definedName>
    <definedName name="_292__FDSAUDITLINK__" localSheetId="4" hidden="1">{"fdsup://directions/FAT Viewer?action=UPDATE&amp;creator=factset&amp;DYN_ARGS=TRUE&amp;DOC_NAME=FAT:FQL_AUDITING_CLIENT_TEMPLATE.FAT&amp;display_string=Audit&amp;VAR:KEY=XSHQBOPYBO&amp;VAR:QUERY=RkZfTkVUX0lOQyhBTk4sMjAxMCk=&amp;WINDOW=FIRST_POPUP&amp;HEIGHT=450&amp;WIDTH=450&amp;START_MAXIMIZED=","FALSE&amp;VAR:CALENDAR=US&amp;VAR:SYMBOL=SWFT&amp;VAR:INDEX=0"}</definedName>
    <definedName name="_292__FDSAUDITLINK__" hidden="1">{"fdsup://directions/FAT Viewer?action=UPDATE&amp;creator=factset&amp;DYN_ARGS=TRUE&amp;DOC_NAME=FAT:FQL_AUDITING_CLIENT_TEMPLATE.FAT&amp;display_string=Audit&amp;VAR:KEY=XSHQBOPYBO&amp;VAR:QUERY=RkZfTkVUX0lOQyhBTk4sMjAxMCk=&amp;WINDOW=FIRST_POPUP&amp;HEIGHT=450&amp;WIDTH=450&amp;START_MAXIMIZED=","FALSE&amp;VAR:CALENDAR=US&amp;VAR:SYMBOL=SWFT&amp;VAR:INDEX=0"}</definedName>
    <definedName name="_293__FDSAUDITLINK__" localSheetId="4" hidden="1">{"fdsup://directions/FAT Viewer?action=UPDATE&amp;creator=factset&amp;DYN_ARGS=TRUE&amp;DOC_NAME=FAT:FQL_AUDITING_CLIENT_TEMPLATE.FAT&amp;display_string=Audit&amp;VAR:KEY=VMJEPWPIXO&amp;VAR:QUERY=RkZfTkVUX0lOQyhBTk4sMjAxMCk=&amp;WINDOW=FIRST_POPUP&amp;HEIGHT=450&amp;WIDTH=450&amp;START_MAXIMIZED=","FALSE&amp;VAR:CALENDAR=US&amp;VAR:SYMBOL=RA&amp;VAR:INDEX=0"}</definedName>
    <definedName name="_293__FDSAUDITLINK__" hidden="1">{"fdsup://directions/FAT Viewer?action=UPDATE&amp;creator=factset&amp;DYN_ARGS=TRUE&amp;DOC_NAME=FAT:FQL_AUDITING_CLIENT_TEMPLATE.FAT&amp;display_string=Audit&amp;VAR:KEY=VMJEPWPIXO&amp;VAR:QUERY=RkZfTkVUX0lOQyhBTk4sMjAxMCk=&amp;WINDOW=FIRST_POPUP&amp;HEIGHT=450&amp;WIDTH=450&amp;START_MAXIMIZED=","FALSE&amp;VAR:CALENDAR=US&amp;VAR:SYMBOL=RA&amp;VAR:INDEX=0"}</definedName>
    <definedName name="_294__FDSAUDITLINK__" localSheetId="4" hidden="1">{"fdsup://directions/FAT Viewer?action=UPDATE&amp;creator=factset&amp;DYN_ARGS=TRUE&amp;DOC_NAME=FAT:FQL_AUDITING_CLIENT_TEMPLATE.FAT&amp;display_string=Audit&amp;VAR:KEY=NKHQVIBYPU&amp;VAR:QUERY=RkZfTkVUX0lOQyhBTk4sMjAxMCk=&amp;WINDOW=FIRST_POPUP&amp;HEIGHT=450&amp;WIDTH=450&amp;START_MAXIMIZED=","FALSE&amp;VAR:CALENDAR=US&amp;VAR:SYMBOL=NSC&amp;VAR:INDEX=0"}</definedName>
    <definedName name="_294__FDSAUDITLINK__" hidden="1">{"fdsup://directions/FAT Viewer?action=UPDATE&amp;creator=factset&amp;DYN_ARGS=TRUE&amp;DOC_NAME=FAT:FQL_AUDITING_CLIENT_TEMPLATE.FAT&amp;display_string=Audit&amp;VAR:KEY=NKHQVIBYPU&amp;VAR:QUERY=RkZfTkVUX0lOQyhBTk4sMjAxMCk=&amp;WINDOW=FIRST_POPUP&amp;HEIGHT=450&amp;WIDTH=450&amp;START_MAXIMIZED=","FALSE&amp;VAR:CALENDAR=US&amp;VAR:SYMBOL=NSC&amp;VAR:INDEX=0"}</definedName>
    <definedName name="_295__FDSAUDITLINK__" localSheetId="4" hidden="1">{"fdsup://directions/FAT Viewer?action=UPDATE&amp;creator=factset&amp;DYN_ARGS=TRUE&amp;DOC_NAME=FAT:FQL_AUDITING_CLIENT_TEMPLATE.FAT&amp;display_string=Audit&amp;VAR:KEY=NUZSXGPYTE&amp;VAR:QUERY=RkZfTkVUX0lOQyhBTk4sMjAxMCk=&amp;WINDOW=FIRST_POPUP&amp;HEIGHT=450&amp;WIDTH=450&amp;START_MAXIMIZED=","FALSE&amp;VAR:CALENDAR=US&amp;VAR:SYMBOL=KSU&amp;VAR:INDEX=0"}</definedName>
    <definedName name="_295__FDSAUDITLINK__" hidden="1">{"fdsup://directions/FAT Viewer?action=UPDATE&amp;creator=factset&amp;DYN_ARGS=TRUE&amp;DOC_NAME=FAT:FQL_AUDITING_CLIENT_TEMPLATE.FAT&amp;display_string=Audit&amp;VAR:KEY=NUZSXGPYTE&amp;VAR:QUERY=RkZfTkVUX0lOQyhBTk4sMjAxMCk=&amp;WINDOW=FIRST_POPUP&amp;HEIGHT=450&amp;WIDTH=450&amp;START_MAXIMIZED=","FALSE&amp;VAR:CALENDAR=US&amp;VAR:SYMBOL=KSU&amp;VAR:INDEX=0"}</definedName>
    <definedName name="_296__FDSAUDITLINK__" localSheetId="4" hidden="1">{"fdsup://directions/FAT Viewer?action=UPDATE&amp;creator=factset&amp;DYN_ARGS=TRUE&amp;DOC_NAME=FAT:FQL_AUDITING_CLIENT_TEMPLATE.FAT&amp;display_string=Audit&amp;VAR:KEY=VIXYFCHCJW&amp;VAR:QUERY=RkZfTkVUX0lOQyhBTk4sMjAxMCk=&amp;WINDOW=FIRST_POPUP&amp;HEIGHT=450&amp;WIDTH=450&amp;START_MAXIMIZED=","FALSE&amp;VAR:CALENDAR=US&amp;VAR:SYMBOL=KNX&amp;VAR:INDEX=0"}</definedName>
    <definedName name="_296__FDSAUDITLINK__" hidden="1">{"fdsup://directions/FAT Viewer?action=UPDATE&amp;creator=factset&amp;DYN_ARGS=TRUE&amp;DOC_NAME=FAT:FQL_AUDITING_CLIENT_TEMPLATE.FAT&amp;display_string=Audit&amp;VAR:KEY=VIXYFCHCJW&amp;VAR:QUERY=RkZfTkVUX0lOQyhBTk4sMjAxMCk=&amp;WINDOW=FIRST_POPUP&amp;HEIGHT=450&amp;WIDTH=450&amp;START_MAXIMIZED=","FALSE&amp;VAR:CALENDAR=US&amp;VAR:SYMBOL=KNX&amp;VAR:INDEX=0"}</definedName>
    <definedName name="_297__FDSAUDITLINK__" localSheetId="4" hidden="1">{"fdsup://directions/FAT Viewer?action=UPDATE&amp;creator=factset&amp;DYN_ARGS=TRUE&amp;DOC_NAME=FAT:FQL_AUDITING_CLIENT_TEMPLATE.FAT&amp;display_string=Audit&amp;VAR:KEY=VWBAHYTEZO&amp;VAR:QUERY=RkZfTkVUX0lOQyhBTk4sMjAxMCk=&amp;WINDOW=FIRST_POPUP&amp;HEIGHT=450&amp;WIDTH=450&amp;START_MAXIMIZED=","FALSE&amp;VAR:CALENDAR=US&amp;VAR:SYMBOL=JBHT&amp;VAR:INDEX=0"}</definedName>
    <definedName name="_297__FDSAUDITLINK__" hidden="1">{"fdsup://directions/FAT Viewer?action=UPDATE&amp;creator=factset&amp;DYN_ARGS=TRUE&amp;DOC_NAME=FAT:FQL_AUDITING_CLIENT_TEMPLATE.FAT&amp;display_string=Audit&amp;VAR:KEY=VWBAHYTEZO&amp;VAR:QUERY=RkZfTkVUX0lOQyhBTk4sMjAxMCk=&amp;WINDOW=FIRST_POPUP&amp;HEIGHT=450&amp;WIDTH=450&amp;START_MAXIMIZED=","FALSE&amp;VAR:CALENDAR=US&amp;VAR:SYMBOL=JBHT&amp;VAR:INDEX=0"}</definedName>
    <definedName name="_298__FDSAUDITLINK__" localSheetId="4" hidden="1">{"fdsup://directions/FAT Viewer?action=UPDATE&amp;creator=factset&amp;DYN_ARGS=TRUE&amp;DOC_NAME=FAT:FQL_AUDITING_CLIENT_TEMPLATE.FAT&amp;display_string=Audit&amp;VAR:KEY=ZUDYNERMNW&amp;VAR:QUERY=RkZfTkVUX0lOQyhBTk4sMjAxMCk=&amp;WINDOW=FIRST_POPUP&amp;HEIGHT=450&amp;WIDTH=450&amp;START_MAXIMIZED=","FALSE&amp;VAR:CALENDAR=US&amp;VAR:SYMBOL=HTLD&amp;VAR:INDEX=0"}</definedName>
    <definedName name="_298__FDSAUDITLINK__" hidden="1">{"fdsup://directions/FAT Viewer?action=UPDATE&amp;creator=factset&amp;DYN_ARGS=TRUE&amp;DOC_NAME=FAT:FQL_AUDITING_CLIENT_TEMPLATE.FAT&amp;display_string=Audit&amp;VAR:KEY=ZUDYNERMNW&amp;VAR:QUERY=RkZfTkVUX0lOQyhBTk4sMjAxMCk=&amp;WINDOW=FIRST_POPUP&amp;HEIGHT=450&amp;WIDTH=450&amp;START_MAXIMIZED=","FALSE&amp;VAR:CALENDAR=US&amp;VAR:SYMBOL=HTLD&amp;VAR:INDEX=0"}</definedName>
    <definedName name="_299__FDSAUDITLINK__" localSheetId="4" hidden="1">{"fdsup://directions/FAT Viewer?action=UPDATE&amp;creator=factset&amp;DYN_ARGS=TRUE&amp;DOC_NAME=FAT:FQL_AUDITING_CLIENT_TEMPLATE.FAT&amp;display_string=Audit&amp;VAR:KEY=DWLKJADUPM&amp;VAR:QUERY=RkZfTkVUX0lOQyhBTk4sMjAxMCk=&amp;WINDOW=FIRST_POPUP&amp;HEIGHT=450&amp;WIDTH=450&amp;START_MAXIMIZED=","FALSE&amp;VAR:CALENDAR=US&amp;VAR:SYMBOL=GWR&amp;VAR:INDEX=0"}</definedName>
    <definedName name="_299__FDSAUDITLINK__" hidden="1">{"fdsup://directions/FAT Viewer?action=UPDATE&amp;creator=factset&amp;DYN_ARGS=TRUE&amp;DOC_NAME=FAT:FQL_AUDITING_CLIENT_TEMPLATE.FAT&amp;display_string=Audit&amp;VAR:KEY=DWLKJADUPM&amp;VAR:QUERY=RkZfTkVUX0lOQyhBTk4sMjAxMCk=&amp;WINDOW=FIRST_POPUP&amp;HEIGHT=450&amp;WIDTH=450&amp;START_MAXIMIZED=","FALSE&amp;VAR:CALENDAR=US&amp;VAR:SYMBOL=GWR&amp;VAR:INDEX=0"}</definedName>
    <definedName name="_3__FDSAUDITLINK__" localSheetId="4" hidden="1">{"fdsup://directions/FAT Viewer?action=UPDATE&amp;creator=factset&amp;DYN_ARGS=TRUE&amp;DOC_NAME=FAT:FQL_AUDITING_CLIENT_TEMPLATE.FAT&amp;display_string=Audit&amp;VAR:KEY=CFMTMNEHCF&amp;VAR:QUERY=RkZfTkVUX0lOQyhBTk4sMjAxMCk=&amp;WINDOW=FIRST_POPUP&amp;HEIGHT=450&amp;WIDTH=450&amp;START_MAXIMIZED=","FALSE&amp;VAR:CALENDAR=US&amp;VAR:SYMBOL=NSC&amp;VAR:INDEX=0"}</definedName>
    <definedName name="_3__FDSAUDITLINK__" localSheetId="5" hidden="1">{"fdsup://Directions/FactSet Auditing Viewer?action=AUDIT_VALUE&amp;DB=129&amp;ID1=65584410&amp;VALUEID=01401&amp;SDATE=2009&amp;PERIODTYPE=ANN_STD&amp;window=popup_no_bar&amp;width=385&amp;height=120&amp;START_MAXIMIZED=FALSE&amp;creator=factset&amp;display_string=Audit"}</definedName>
    <definedName name="_3__FDSAUDITLINK__" localSheetId="6" hidden="1">{"fdsup://Directions/FactSet Auditing Viewer?action=AUDIT_VALUE&amp;DB=129&amp;ID1=65584410&amp;VALUEID=01401&amp;SDATE=2009&amp;PERIODTYPE=ANN_STD&amp;window=popup_no_bar&amp;width=385&amp;height=120&amp;START_MAXIMIZED=FALSE&amp;creator=factset&amp;display_string=Audit"}</definedName>
    <definedName name="_3__FDSAUDITLINK__" hidden="1">{"fdsup://directions/FAT Viewer?action=UPDATE&amp;creator=factset&amp;DYN_ARGS=TRUE&amp;DOC_NAME=FAT:FQL_AUDITING_CLIENT_TEMPLATE.FAT&amp;display_string=Audit&amp;VAR:KEY=CFMTMNEHCF&amp;VAR:QUERY=RkZfTkVUX0lOQyhBTk4sMjAxMCk=&amp;WINDOW=FIRST_POPUP&amp;HEIGHT=450&amp;WIDTH=450&amp;START_MAXIMIZED=","FALSE&amp;VAR:CALENDAR=US&amp;VAR:SYMBOL=NSC&amp;VAR:INDEX=0"}</definedName>
    <definedName name="_30__FDSAUDITLINK__" localSheetId="4" hidden="1">{"fdsup://Directions/FactSet Auditing Viewer?action=AUDIT_VALUE&amp;DB=129&amp;ID1=12640810&amp;VALUEID=01250&amp;SDATE=2010&amp;PERIODTYPE=ANN_STD&amp;window=popup_no_bar&amp;width=385&amp;height=120&amp;START_MAXIMIZED=FALSE&amp;creator=factset&amp;display_string=Audit"}</definedName>
    <definedName name="_30__FDSAUDITLINK__" localSheetId="5" hidden="1">{"fdsup://Directions/FactSet Auditing Viewer?action=AUDIT_VALUE&amp;DB=129&amp;ID1=12640810&amp;VALUEID=01401&amp;SDATE=2009&amp;PERIODTYPE=ANN_STD&amp;window=popup_no_bar&amp;width=385&amp;height=120&amp;START_MAXIMIZED=FALSE&amp;creator=factset&amp;display_string=Audit"}</definedName>
    <definedName name="_30__FDSAUDITLINK__" localSheetId="6" hidden="1">{"fdsup://Directions/FactSet Auditing Viewer?action=AUDIT_VALUE&amp;DB=129&amp;ID1=12640810&amp;VALUEID=01401&amp;SDATE=2009&amp;PERIODTYPE=ANN_STD&amp;window=popup_no_bar&amp;width=385&amp;height=120&amp;START_MAXIMIZED=FALSE&amp;creator=factset&amp;display_string=Audit"}</definedName>
    <definedName name="_30__FDSAUDITLINK__" hidden="1">{"fdsup://Directions/FactSet Auditing Viewer?action=AUDIT_VALUE&amp;DB=129&amp;ID1=12640810&amp;VALUEID=01250&amp;SDATE=2010&amp;PERIODTYPE=ANN_STD&amp;window=popup_no_bar&amp;width=385&amp;height=120&amp;START_MAXIMIZED=FALSE&amp;creator=factset&amp;display_string=Audit"}</definedName>
    <definedName name="_300__FDSAUDITLINK__" localSheetId="4" hidden="1">{"fdsup://directions/FAT Viewer?action=UPDATE&amp;creator=factset&amp;DYN_ARGS=TRUE&amp;DOC_NAME=FAT:FQL_AUDITING_CLIENT_TEMPLATE.FAT&amp;display_string=Audit&amp;VAR:KEY=NCHITCFSDK&amp;VAR:QUERY=RkZfTkVUX0lOQyhBTk4sMjAxMCk=&amp;WINDOW=FIRST_POPUP&amp;HEIGHT=450&amp;WIDTH=450&amp;START_MAXIMIZED=","FALSE&amp;VAR:CALENDAR=US&amp;VAR:SYMBOL=FDX&amp;VAR:INDEX=0"}</definedName>
    <definedName name="_300__FDSAUDITLINK__" hidden="1">{"fdsup://directions/FAT Viewer?action=UPDATE&amp;creator=factset&amp;DYN_ARGS=TRUE&amp;DOC_NAME=FAT:FQL_AUDITING_CLIENT_TEMPLATE.FAT&amp;display_string=Audit&amp;VAR:KEY=NCHITCFSDK&amp;VAR:QUERY=RkZfTkVUX0lOQyhBTk4sMjAxMCk=&amp;WINDOW=FIRST_POPUP&amp;HEIGHT=450&amp;WIDTH=450&amp;START_MAXIMIZED=","FALSE&amp;VAR:CALENDAR=US&amp;VAR:SYMBOL=FDX&amp;VAR:INDEX=0"}</definedName>
    <definedName name="_301__FDSAUDITLINK__" localSheetId="4" hidden="1">{"fdsup://directions/FAT Viewer?action=UPDATE&amp;creator=factset&amp;DYN_ARGS=TRUE&amp;DOC_NAME=FAT:FQL_AUDITING_CLIENT_TEMPLATE.FAT&amp;display_string=Audit&amp;VAR:KEY=DYDADKPAZI&amp;VAR:QUERY=RkZfTkVUX0lOQyhBTk4sMjAxMCk=&amp;WINDOW=FIRST_POPUP&amp;HEIGHT=450&amp;WIDTH=450&amp;START_MAXIMIZED=","FALSE&amp;VAR:CALENDAR=US&amp;VAR:SYMBOL=EXPD&amp;VAR:INDEX=0"}</definedName>
    <definedName name="_301__FDSAUDITLINK__" hidden="1">{"fdsup://directions/FAT Viewer?action=UPDATE&amp;creator=factset&amp;DYN_ARGS=TRUE&amp;DOC_NAME=FAT:FQL_AUDITING_CLIENT_TEMPLATE.FAT&amp;display_string=Audit&amp;VAR:KEY=DYDADKPAZI&amp;VAR:QUERY=RkZfTkVUX0lOQyhBTk4sMjAxMCk=&amp;WINDOW=FIRST_POPUP&amp;HEIGHT=450&amp;WIDTH=450&amp;START_MAXIMIZED=","FALSE&amp;VAR:CALENDAR=US&amp;VAR:SYMBOL=EXPD&amp;VAR:INDEX=0"}</definedName>
    <definedName name="_302__FDSAUDITLINK__" localSheetId="4" hidden="1">{"fdsup://directions/FAT Viewer?action=UPDATE&amp;creator=factset&amp;DYN_ARGS=TRUE&amp;DOC_NAME=FAT:FQL_AUDITING_CLIENT_TEMPLATE.FAT&amp;display_string=Audit&amp;VAR:KEY=BCNGDMHELQ&amp;VAR:QUERY=RkZfTkVUX0lOQyhBTk4sMjAxMCk=&amp;WINDOW=FIRST_POPUP&amp;HEIGHT=450&amp;WIDTH=450&amp;START_MAXIMIZED=","FALSE&amp;VAR:CALENDAR=US&amp;VAR:SYMBOL=ECHO&amp;VAR:INDEX=0"}</definedName>
    <definedName name="_302__FDSAUDITLINK__" hidden="1">{"fdsup://directions/FAT Viewer?action=UPDATE&amp;creator=factset&amp;DYN_ARGS=TRUE&amp;DOC_NAME=FAT:FQL_AUDITING_CLIENT_TEMPLATE.FAT&amp;display_string=Audit&amp;VAR:KEY=BCNGDMHELQ&amp;VAR:QUERY=RkZfTkVUX0lOQyhBTk4sMjAxMCk=&amp;WINDOW=FIRST_POPUP&amp;HEIGHT=450&amp;WIDTH=450&amp;START_MAXIMIZED=","FALSE&amp;VAR:CALENDAR=US&amp;VAR:SYMBOL=ECHO&amp;VAR:INDEX=0"}</definedName>
    <definedName name="_303__FDSAUDITLINK__" localSheetId="4" hidden="1">{"fdsup://directions/FAT Viewer?action=UPDATE&amp;creator=factset&amp;DYN_ARGS=TRUE&amp;DOC_NAME=FAT:FQL_AUDITING_CLIENT_TEMPLATE.FAT&amp;display_string=Audit&amp;VAR:KEY=ZAXCRELUXM&amp;VAR:QUERY=RkZfTkVUX0lOQyhBTk4sMjAxMCk=&amp;WINDOW=FIRST_POPUP&amp;HEIGHT=450&amp;WIDTH=450&amp;START_MAXIMIZED=","FALSE&amp;VAR:CALENDAR=US&amp;VAR:SYMBOL=CSX&amp;VAR:INDEX=0"}</definedName>
    <definedName name="_303__FDSAUDITLINK__" hidden="1">{"fdsup://directions/FAT Viewer?action=UPDATE&amp;creator=factset&amp;DYN_ARGS=TRUE&amp;DOC_NAME=FAT:FQL_AUDITING_CLIENT_TEMPLATE.FAT&amp;display_string=Audit&amp;VAR:KEY=ZAXCRELUXM&amp;VAR:QUERY=RkZfTkVUX0lOQyhBTk4sMjAxMCk=&amp;WINDOW=FIRST_POPUP&amp;HEIGHT=450&amp;WIDTH=450&amp;START_MAXIMIZED=","FALSE&amp;VAR:CALENDAR=US&amp;VAR:SYMBOL=CSX&amp;VAR:INDEX=0"}</definedName>
    <definedName name="_304__FDSAUDITLINK__" localSheetId="4" hidden="1">{"fdsup://directions/FAT Viewer?action=UPDATE&amp;creator=factset&amp;DYN_ARGS=TRUE&amp;DOC_NAME=FAT:FQL_AUDITING_CLIENT_TEMPLATE.FAT&amp;display_string=Audit&amp;VAR:KEY=TOPEJIDUDE&amp;VAR:QUERY=RkZfTkVUX0lOQyhBTk4sMjAxMCk=&amp;WINDOW=FIRST_POPUP&amp;HEIGHT=450&amp;WIDTH=450&amp;START_MAXIMIZED=","FALSE&amp;VAR:CALENDAR=US&amp;VAR:SYMBOL=CP&amp;VAR:INDEX=0"}</definedName>
    <definedName name="_304__FDSAUDITLINK__" hidden="1">{"fdsup://directions/FAT Viewer?action=UPDATE&amp;creator=factset&amp;DYN_ARGS=TRUE&amp;DOC_NAME=FAT:FQL_AUDITING_CLIENT_TEMPLATE.FAT&amp;display_string=Audit&amp;VAR:KEY=TOPEJIDUDE&amp;VAR:QUERY=RkZfTkVUX0lOQyhBTk4sMjAxMCk=&amp;WINDOW=FIRST_POPUP&amp;HEIGHT=450&amp;WIDTH=450&amp;START_MAXIMIZED=","FALSE&amp;VAR:CALENDAR=US&amp;VAR:SYMBOL=CP&amp;VAR:INDEX=0"}</definedName>
    <definedName name="_305__FDSAUDITLINK__" localSheetId="4" hidden="1">{"fdsup://directions/FAT Viewer?action=UPDATE&amp;creator=factset&amp;DYN_ARGS=TRUE&amp;DOC_NAME=FAT:FQL_AUDITING_CLIENT_TEMPLATE.FAT&amp;display_string=Audit&amp;VAR:KEY=TSDAZCBUZS&amp;VAR:QUERY=RkZfTkVUX0lOQyhBTk4sMjAxMCk=&amp;WINDOW=FIRST_POPUP&amp;HEIGHT=450&amp;WIDTH=450&amp;START_MAXIMIZED=","FALSE&amp;VAR:CALENDAR=US&amp;VAR:SYMBOL=CNI&amp;VAR:INDEX=0"}</definedName>
    <definedName name="_305__FDSAUDITLINK__" hidden="1">{"fdsup://directions/FAT Viewer?action=UPDATE&amp;creator=factset&amp;DYN_ARGS=TRUE&amp;DOC_NAME=FAT:FQL_AUDITING_CLIENT_TEMPLATE.FAT&amp;display_string=Audit&amp;VAR:KEY=TSDAZCBUZS&amp;VAR:QUERY=RkZfTkVUX0lOQyhBTk4sMjAxMCk=&amp;WINDOW=FIRST_POPUP&amp;HEIGHT=450&amp;WIDTH=450&amp;START_MAXIMIZED=","FALSE&amp;VAR:CALENDAR=US&amp;VAR:SYMBOL=CNI&amp;VAR:INDEX=0"}</definedName>
    <definedName name="_306__FDSAUDITLINK__" localSheetId="4" hidden="1">{"fdsup://directions/FAT Viewer?action=UPDATE&amp;creator=factset&amp;DYN_ARGS=TRUE&amp;DOC_NAME=FAT:FQL_AUDITING_CLIENT_TEMPLATE.FAT&amp;display_string=Audit&amp;VAR:KEY=VGFEBKRWDE&amp;VAR:QUERY=RkZfTkVUX0lOQyhBTk4sMjAxMCk=&amp;WINDOW=FIRST_POPUP&amp;HEIGHT=450&amp;WIDTH=450&amp;START_MAXIMIZED=","FALSE&amp;VAR:CALENDAR=US&amp;VAR:SYMBOL=CHRW&amp;VAR:INDEX=0"}</definedName>
    <definedName name="_306__FDSAUDITLINK__" hidden="1">{"fdsup://directions/FAT Viewer?action=UPDATE&amp;creator=factset&amp;DYN_ARGS=TRUE&amp;DOC_NAME=FAT:FQL_AUDITING_CLIENT_TEMPLATE.FAT&amp;display_string=Audit&amp;VAR:KEY=VGFEBKRWDE&amp;VAR:QUERY=RkZfTkVUX0lOQyhBTk4sMjAxMCk=&amp;WINDOW=FIRST_POPUP&amp;HEIGHT=450&amp;WIDTH=450&amp;START_MAXIMIZED=","FALSE&amp;VAR:CALENDAR=US&amp;VAR:SYMBOL=CHRW&amp;VAR:INDEX=0"}</definedName>
    <definedName name="_307__FDSAUDITLINK__" localSheetId="4" hidden="1">{"fdsup://Directions/FactSet Auditing Viewer?action=AUDIT_VALUE&amp;DB=129&amp;ID1=90781810&amp;VALUEID=01401&amp;SDATE=2010&amp;PERIODTYPE=ANN_STD&amp;SCFT=3&amp;window=popup_no_bar&amp;width=385&amp;height=120&amp;START_MAXIMIZED=FALSE&amp;creator=factset&amp;display_string=Audit"}</definedName>
    <definedName name="_307__FDSAUDITLINK__" hidden="1">{"fdsup://Directions/FactSet Auditing Viewer?action=AUDIT_VALUE&amp;DB=129&amp;ID1=90781810&amp;VALUEID=01401&amp;SDATE=2010&amp;PERIODTYPE=ANN_STD&amp;SCFT=3&amp;window=popup_no_bar&amp;width=385&amp;height=120&amp;START_MAXIMIZED=FALSE&amp;creator=factset&amp;display_string=Audit"}</definedName>
    <definedName name="_308__FDSAUDITLINK__" localSheetId="4" hidden="1">{"fdsup://Directions/FactSet Auditing Viewer?action=AUDIT_VALUE&amp;DB=129&amp;ID1=75075340&amp;VALUEID=01401&amp;SDATE=2010&amp;PERIODTYPE=ANN_STD&amp;SCFT=3&amp;window=popup_no_bar&amp;width=385&amp;height=120&amp;START_MAXIMIZED=FALSE&amp;creator=factset&amp;display_string=Audit"}</definedName>
    <definedName name="_308__FDSAUDITLINK__" hidden="1">{"fdsup://Directions/FactSet Auditing Viewer?action=AUDIT_VALUE&amp;DB=129&amp;ID1=75075340&amp;VALUEID=01401&amp;SDATE=2010&amp;PERIODTYPE=ANN_STD&amp;SCFT=3&amp;window=popup_no_bar&amp;width=385&amp;height=120&amp;START_MAXIMIZED=FALSE&amp;creator=factset&amp;display_string=Audit"}</definedName>
    <definedName name="_309__FDSAUDITLINK__" localSheetId="4" hidden="1">{"fdsup://Directions/FactSet Auditing Viewer?action=AUDIT_VALUE&amp;DB=129&amp;ID1=65584410&amp;VALUEID=01401&amp;SDATE=2010&amp;PERIODTYPE=ANN_STD&amp;SCFT=3&amp;window=popup_no_bar&amp;width=385&amp;height=120&amp;START_MAXIMIZED=FALSE&amp;creator=factset&amp;display_string=Audit"}</definedName>
    <definedName name="_309__FDSAUDITLINK__" hidden="1">{"fdsup://Directions/FactSet Auditing Viewer?action=AUDIT_VALUE&amp;DB=129&amp;ID1=65584410&amp;VALUEID=01401&amp;SDATE=2010&amp;PERIODTYPE=ANN_STD&amp;SCFT=3&amp;window=popup_no_bar&amp;width=385&amp;height=120&amp;START_MAXIMIZED=FALSE&amp;creator=factset&amp;display_string=Audit"}</definedName>
    <definedName name="_31__FDSAUDITLINK__" localSheetId="4" hidden="1">{"fdsup://Directions/FactSet Auditing Viewer?action=AUDIT_VALUE&amp;DB=129&amp;ID1=90781810&amp;VALUEID=01001&amp;SDATE=2010&amp;PERIODTYPE=ANN_STD&amp;window=popup_no_bar&amp;width=385&amp;height=120&amp;START_MAXIMIZED=FALSE&amp;creator=factset&amp;display_string=Audit"}</definedName>
    <definedName name="_31__FDSAUDITLINK__" localSheetId="5" hidden="1">{"fdsup://Directions/FactSet Auditing Viewer?action=AUDIT_VALUE&amp;DB=129&amp;ID1=90781810&amp;VALUEID=01001&amp;SDATE=2009&amp;PERIODTYPE=ANN_STD&amp;window=popup_no_bar&amp;width=385&amp;height=120&amp;START_MAXIMIZED=FALSE&amp;creator=factset&amp;display_string=Audit"}</definedName>
    <definedName name="_31__FDSAUDITLINK__" localSheetId="6" hidden="1">{"fdsup://Directions/FactSet Auditing Viewer?action=AUDIT_VALUE&amp;DB=129&amp;ID1=90781810&amp;VALUEID=01001&amp;SDATE=2009&amp;PERIODTYPE=ANN_STD&amp;window=popup_no_bar&amp;width=385&amp;height=120&amp;START_MAXIMIZED=FALSE&amp;creator=factset&amp;display_string=Audit"}</definedName>
    <definedName name="_31__FDSAUDITLINK__" hidden="1">{"fdsup://Directions/FactSet Auditing Viewer?action=AUDIT_VALUE&amp;DB=129&amp;ID1=90781810&amp;VALUEID=01001&amp;SDATE=2010&amp;PERIODTYPE=ANN_STD&amp;window=popup_no_bar&amp;width=385&amp;height=120&amp;START_MAXIMIZED=FALSE&amp;creator=factset&amp;display_string=Audit"}</definedName>
    <definedName name="_310__FDSAUDITLINK__" localSheetId="4" hidden="1">{"fdsup://Directions/FactSet Auditing Viewer?action=AUDIT_VALUE&amp;DB=129&amp;ID1=48517030&amp;VALUEID=01401&amp;SDATE=2010&amp;PERIODTYPE=ANN_STD&amp;SCFT=3&amp;window=popup_no_bar&amp;width=385&amp;height=120&amp;START_MAXIMIZED=FALSE&amp;creator=factset&amp;display_string=Audit"}</definedName>
    <definedName name="_310__FDSAUDITLINK__" hidden="1">{"fdsup://Directions/FactSet Auditing Viewer?action=AUDIT_VALUE&amp;DB=129&amp;ID1=48517030&amp;VALUEID=01401&amp;SDATE=2010&amp;PERIODTYPE=ANN_STD&amp;SCFT=3&amp;window=popup_no_bar&amp;width=385&amp;height=120&amp;START_MAXIMIZED=FALSE&amp;creator=factset&amp;display_string=Audit"}</definedName>
    <definedName name="_311__FDSAUDITLINK__" localSheetId="4" hidden="1">{"fdsup://Directions/FactSet Auditing Viewer?action=AUDIT_VALUE&amp;DB=129&amp;ID1=37155910&amp;VALUEID=01401&amp;SDATE=2010&amp;PERIODTYPE=ANN_STD&amp;SCFT=3&amp;window=popup_no_bar&amp;width=385&amp;height=120&amp;START_MAXIMIZED=FALSE&amp;creator=factset&amp;display_string=Audit"}</definedName>
    <definedName name="_311__FDSAUDITLINK__" hidden="1">{"fdsup://Directions/FactSet Auditing Viewer?action=AUDIT_VALUE&amp;DB=129&amp;ID1=37155910&amp;VALUEID=01401&amp;SDATE=2010&amp;PERIODTYPE=ANN_STD&amp;SCFT=3&amp;window=popup_no_bar&amp;width=385&amp;height=120&amp;START_MAXIMIZED=FALSE&amp;creator=factset&amp;display_string=Audit"}</definedName>
    <definedName name="_312__FDSAUDITLINK__" localSheetId="4" hidden="1">{"fdsup://Directions/FactSet Auditing Viewer?action=AUDIT_VALUE&amp;DB=129&amp;ID1=12640810&amp;VALUEID=01401&amp;SDATE=2010&amp;PERIODTYPE=ANN_STD&amp;SCFT=3&amp;window=popup_no_bar&amp;width=385&amp;height=120&amp;START_MAXIMIZED=FALSE&amp;creator=factset&amp;display_string=Audit"}</definedName>
    <definedName name="_312__FDSAUDITLINK__" hidden="1">{"fdsup://Directions/FactSet Auditing Viewer?action=AUDIT_VALUE&amp;DB=129&amp;ID1=12640810&amp;VALUEID=01401&amp;SDATE=2010&amp;PERIODTYPE=ANN_STD&amp;SCFT=3&amp;window=popup_no_bar&amp;width=385&amp;height=120&amp;START_MAXIMIZED=FALSE&amp;creator=factset&amp;display_string=Audit"}</definedName>
    <definedName name="_313__FDSAUDITLINK__" localSheetId="4" hidden="1">{"fdsup://directions/FAT Viewer?action=UPDATE&amp;creator=factset&amp;DYN_ARGS=TRUE&amp;DOC_NAME=FAT:FQL_AUDITING_CLIENT_TEMPLATE.FAT&amp;display_string=Audit&amp;VAR:KEY=LUJWPUNIHI&amp;VAR:QUERY=RkZfRUJJVChBTk4sMjAxMCk=&amp;WINDOW=FIRST_POPUP&amp;HEIGHT=450&amp;WIDTH=450&amp;START_MAXIMIZED=FALS","E&amp;VAR:CALENDAR=US&amp;VAR:SYMBOL=WERN&amp;VAR:INDEX=0"}</definedName>
    <definedName name="_313__FDSAUDITLINK__" hidden="1">{"fdsup://directions/FAT Viewer?action=UPDATE&amp;creator=factset&amp;DYN_ARGS=TRUE&amp;DOC_NAME=FAT:FQL_AUDITING_CLIENT_TEMPLATE.FAT&amp;display_string=Audit&amp;VAR:KEY=LUJWPUNIHI&amp;VAR:QUERY=RkZfRUJJVChBTk4sMjAxMCk=&amp;WINDOW=FIRST_POPUP&amp;HEIGHT=450&amp;WIDTH=450&amp;START_MAXIMIZED=FALS","E&amp;VAR:CALENDAR=US&amp;VAR:SYMBOL=WERN&amp;VAR:INDEX=0"}</definedName>
    <definedName name="_314__FDSAUDITLINK__" localSheetId="4" hidden="1">{"fdsup://directions/FAT Viewer?action=UPDATE&amp;creator=factset&amp;DYN_ARGS=TRUE&amp;DOC_NAME=FAT:FQL_AUDITING_CLIENT_TEMPLATE.FAT&amp;display_string=Audit&amp;VAR:KEY=LYPKXEFQVW&amp;VAR:QUERY=RkZfRUJJVChBTk4sMjAxMCk=&amp;WINDOW=FIRST_POPUP&amp;HEIGHT=450&amp;WIDTH=450&amp;START_MAXIMIZED=FALS","E&amp;VAR:CALENDAR=US&amp;VAR:SYMBOL=UTIW&amp;VAR:INDEX=0"}</definedName>
    <definedName name="_314__FDSAUDITLINK__" hidden="1">{"fdsup://directions/FAT Viewer?action=UPDATE&amp;creator=factset&amp;DYN_ARGS=TRUE&amp;DOC_NAME=FAT:FQL_AUDITING_CLIENT_TEMPLATE.FAT&amp;display_string=Audit&amp;VAR:KEY=LYPKXEFQVW&amp;VAR:QUERY=RkZfRUJJVChBTk4sMjAxMCk=&amp;WINDOW=FIRST_POPUP&amp;HEIGHT=450&amp;WIDTH=450&amp;START_MAXIMIZED=FALS","E&amp;VAR:CALENDAR=US&amp;VAR:SYMBOL=UTIW&amp;VAR:INDEX=0"}</definedName>
    <definedName name="_315__FDSAUDITLINK__" localSheetId="4" hidden="1">{"fdsup://directions/FAT Viewer?action=UPDATE&amp;creator=factset&amp;DYN_ARGS=TRUE&amp;DOC_NAME=FAT:FQL_AUDITING_CLIENT_TEMPLATE.FAT&amp;display_string=Audit&amp;VAR:KEY=XKNOLEJSVM&amp;VAR:QUERY=RkZfRUJJVChBTk4sMjAxMCk=&amp;WINDOW=FIRST_POPUP&amp;HEIGHT=450&amp;WIDTH=450&amp;START_MAXIMIZED=FALS","E&amp;VAR:CALENDAR=US&amp;VAR:SYMBOL=UPS&amp;VAR:INDEX=0"}</definedName>
    <definedName name="_315__FDSAUDITLINK__" hidden="1">{"fdsup://directions/FAT Viewer?action=UPDATE&amp;creator=factset&amp;DYN_ARGS=TRUE&amp;DOC_NAME=FAT:FQL_AUDITING_CLIENT_TEMPLATE.FAT&amp;display_string=Audit&amp;VAR:KEY=XKNOLEJSVM&amp;VAR:QUERY=RkZfRUJJVChBTk4sMjAxMCk=&amp;WINDOW=FIRST_POPUP&amp;HEIGHT=450&amp;WIDTH=450&amp;START_MAXIMIZED=FALS","E&amp;VAR:CALENDAR=US&amp;VAR:SYMBOL=UPS&amp;VAR:INDEX=0"}</definedName>
    <definedName name="_316__FDSAUDITLINK__" localSheetId="4" hidden="1">{"fdsup://directions/FAT Viewer?action=UPDATE&amp;creator=factset&amp;DYN_ARGS=TRUE&amp;DOC_NAME=FAT:FQL_AUDITING_CLIENT_TEMPLATE.FAT&amp;display_string=Audit&amp;VAR:KEY=XSTYHIJETW&amp;VAR:QUERY=RkZfRUJJVChBTk4sMjAxMCk=&amp;WINDOW=FIRST_POPUP&amp;HEIGHT=450&amp;WIDTH=450&amp;START_MAXIMIZED=FALS","E&amp;VAR:CALENDAR=US&amp;VAR:SYMBOL=UNP&amp;VAR:INDEX=0"}</definedName>
    <definedName name="_316__FDSAUDITLINK__" hidden="1">{"fdsup://directions/FAT Viewer?action=UPDATE&amp;creator=factset&amp;DYN_ARGS=TRUE&amp;DOC_NAME=FAT:FQL_AUDITING_CLIENT_TEMPLATE.FAT&amp;display_string=Audit&amp;VAR:KEY=XSTYHIJETW&amp;VAR:QUERY=RkZfRUJJVChBTk4sMjAxMCk=&amp;WINDOW=FIRST_POPUP&amp;HEIGHT=450&amp;WIDTH=450&amp;START_MAXIMIZED=FALS","E&amp;VAR:CALENDAR=US&amp;VAR:SYMBOL=UNP&amp;VAR:INDEX=0"}</definedName>
    <definedName name="_317__FDSAUDITLINK__" localSheetId="4" hidden="1">{"fdsup://directions/FAT Viewer?action=UPDATE&amp;creator=factset&amp;DYN_ARGS=TRUE&amp;DOC_NAME=FAT:FQL_AUDITING_CLIENT_TEMPLATE.FAT&amp;display_string=Audit&amp;VAR:KEY=TYTONQVMDS&amp;VAR:QUERY=RkZfRUJJVChBTk4sMjAxMCk=&amp;WINDOW=FIRST_POPUP&amp;HEIGHT=450&amp;WIDTH=450&amp;START_MAXIMIZED=FALS","E&amp;VAR:CALENDAR=US&amp;VAR:SYMBOL=SWFT&amp;VAR:INDEX=0"}</definedName>
    <definedName name="_317__FDSAUDITLINK__" hidden="1">{"fdsup://directions/FAT Viewer?action=UPDATE&amp;creator=factset&amp;DYN_ARGS=TRUE&amp;DOC_NAME=FAT:FQL_AUDITING_CLIENT_TEMPLATE.FAT&amp;display_string=Audit&amp;VAR:KEY=TYTONQVMDS&amp;VAR:QUERY=RkZfRUJJVChBTk4sMjAxMCk=&amp;WINDOW=FIRST_POPUP&amp;HEIGHT=450&amp;WIDTH=450&amp;START_MAXIMIZED=FALS","E&amp;VAR:CALENDAR=US&amp;VAR:SYMBOL=SWFT&amp;VAR:INDEX=0"}</definedName>
    <definedName name="_318__FDSAUDITLINK__" localSheetId="4" hidden="1">{"fdsup://directions/FAT Viewer?action=UPDATE&amp;creator=factset&amp;DYN_ARGS=TRUE&amp;DOC_NAME=FAT:FQL_AUDITING_CLIENT_TEMPLATE.FAT&amp;display_string=Audit&amp;VAR:KEY=NEXMNMLKZO&amp;VAR:QUERY=RkZfRUJJVChBTk4sMjAxMCk=&amp;WINDOW=FIRST_POPUP&amp;HEIGHT=450&amp;WIDTH=450&amp;START_MAXIMIZED=FALS","E&amp;VAR:CALENDAR=US&amp;VAR:SYMBOL=RA&amp;VAR:INDEX=0"}</definedName>
    <definedName name="_318__FDSAUDITLINK__" hidden="1">{"fdsup://directions/FAT Viewer?action=UPDATE&amp;creator=factset&amp;DYN_ARGS=TRUE&amp;DOC_NAME=FAT:FQL_AUDITING_CLIENT_TEMPLATE.FAT&amp;display_string=Audit&amp;VAR:KEY=NEXMNMLKZO&amp;VAR:QUERY=RkZfRUJJVChBTk4sMjAxMCk=&amp;WINDOW=FIRST_POPUP&amp;HEIGHT=450&amp;WIDTH=450&amp;START_MAXIMIZED=FALS","E&amp;VAR:CALENDAR=US&amp;VAR:SYMBOL=RA&amp;VAR:INDEX=0"}</definedName>
    <definedName name="_319__FDSAUDITLINK__" localSheetId="4" hidden="1">{"fdsup://directions/FAT Viewer?action=UPDATE&amp;creator=factset&amp;DYN_ARGS=TRUE&amp;DOC_NAME=FAT:FQL_AUDITING_CLIENT_TEMPLATE.FAT&amp;display_string=Audit&amp;VAR:KEY=HQZYJQNCTG&amp;VAR:QUERY=RkZfRUJJVChBTk4sMjAxMCk=&amp;WINDOW=FIRST_POPUP&amp;HEIGHT=450&amp;WIDTH=450&amp;START_MAXIMIZED=FALS","E&amp;VAR:CALENDAR=US&amp;VAR:SYMBOL=NSC&amp;VAR:INDEX=0"}</definedName>
    <definedName name="_319__FDSAUDITLINK__" hidden="1">{"fdsup://directions/FAT Viewer?action=UPDATE&amp;creator=factset&amp;DYN_ARGS=TRUE&amp;DOC_NAME=FAT:FQL_AUDITING_CLIENT_TEMPLATE.FAT&amp;display_string=Audit&amp;VAR:KEY=HQZYJQNCTG&amp;VAR:QUERY=RkZfRUJJVChBTk4sMjAxMCk=&amp;WINDOW=FIRST_POPUP&amp;HEIGHT=450&amp;WIDTH=450&amp;START_MAXIMIZED=FALS","E&amp;VAR:CALENDAR=US&amp;VAR:SYMBOL=NSC&amp;VAR:INDEX=0"}</definedName>
    <definedName name="_32__FDSAUDITLINK__" localSheetId="4" hidden="1">{"fdsup://Directions/FactSet Auditing Viewer?action=AUDIT_VALUE&amp;DB=129&amp;ID1=75075340&amp;VALUEID=01001&amp;SDATE=2010&amp;PERIODTYPE=ANN_STD&amp;window=popup_no_bar&amp;width=385&amp;height=120&amp;START_MAXIMIZED=FALSE&amp;creator=factset&amp;display_string=Audit"}</definedName>
    <definedName name="_32__FDSAUDITLINK__" localSheetId="5" hidden="1">{"fdsup://Directions/FactSet Auditing Viewer?action=AUDIT_VALUE&amp;DB=129&amp;ID1=75075340&amp;VALUEID=01001&amp;SDATE=2009&amp;PERIODTYPE=ANN_STD&amp;window=popup_no_bar&amp;width=385&amp;height=120&amp;START_MAXIMIZED=FALSE&amp;creator=factset&amp;display_string=Audit"}</definedName>
    <definedName name="_32__FDSAUDITLINK__" localSheetId="6" hidden="1">{"fdsup://Directions/FactSet Auditing Viewer?action=AUDIT_VALUE&amp;DB=129&amp;ID1=75075340&amp;VALUEID=01001&amp;SDATE=2009&amp;PERIODTYPE=ANN_STD&amp;window=popup_no_bar&amp;width=385&amp;height=120&amp;START_MAXIMIZED=FALSE&amp;creator=factset&amp;display_string=Audit"}</definedName>
    <definedName name="_32__FDSAUDITLINK__" hidden="1">{"fdsup://Directions/FactSet Auditing Viewer?action=AUDIT_VALUE&amp;DB=129&amp;ID1=75075340&amp;VALUEID=01001&amp;SDATE=2010&amp;PERIODTYPE=ANN_STD&amp;window=popup_no_bar&amp;width=385&amp;height=120&amp;START_MAXIMIZED=FALSE&amp;creator=factset&amp;display_string=Audit"}</definedName>
    <definedName name="_320__FDSAUDITLINK__" localSheetId="4" hidden="1">{"fdsup://directions/FAT Viewer?action=UPDATE&amp;creator=factset&amp;DYN_ARGS=TRUE&amp;DOC_NAME=FAT:FQL_AUDITING_CLIENT_TEMPLATE.FAT&amp;display_string=Audit&amp;VAR:KEY=JIXYNQRSDQ&amp;VAR:QUERY=RkZfRUJJVChBTk4sMjAxMCk=&amp;WINDOW=FIRST_POPUP&amp;HEIGHT=450&amp;WIDTH=450&amp;START_MAXIMIZED=FALS","E&amp;VAR:CALENDAR=US&amp;VAR:SYMBOL=KSU&amp;VAR:INDEX=0"}</definedName>
    <definedName name="_320__FDSAUDITLINK__" hidden="1">{"fdsup://directions/FAT Viewer?action=UPDATE&amp;creator=factset&amp;DYN_ARGS=TRUE&amp;DOC_NAME=FAT:FQL_AUDITING_CLIENT_TEMPLATE.FAT&amp;display_string=Audit&amp;VAR:KEY=JIXYNQRSDQ&amp;VAR:QUERY=RkZfRUJJVChBTk4sMjAxMCk=&amp;WINDOW=FIRST_POPUP&amp;HEIGHT=450&amp;WIDTH=450&amp;START_MAXIMIZED=FALS","E&amp;VAR:CALENDAR=US&amp;VAR:SYMBOL=KSU&amp;VAR:INDEX=0"}</definedName>
    <definedName name="_321__FDSAUDITLINK__" localSheetId="4" hidden="1">{"fdsup://directions/FAT Viewer?action=UPDATE&amp;creator=factset&amp;DYN_ARGS=TRUE&amp;DOC_NAME=FAT:FQL_AUDITING_CLIENT_TEMPLATE.FAT&amp;display_string=Audit&amp;VAR:KEY=BSPMDEVUVE&amp;VAR:QUERY=RkZfRUJJVChBTk4sMjAxMCk=&amp;WINDOW=FIRST_POPUP&amp;HEIGHT=450&amp;WIDTH=450&amp;START_MAXIMIZED=FALS","E&amp;VAR:CALENDAR=US&amp;VAR:SYMBOL=KNX&amp;VAR:INDEX=0"}</definedName>
    <definedName name="_321__FDSAUDITLINK__" hidden="1">{"fdsup://directions/FAT Viewer?action=UPDATE&amp;creator=factset&amp;DYN_ARGS=TRUE&amp;DOC_NAME=FAT:FQL_AUDITING_CLIENT_TEMPLATE.FAT&amp;display_string=Audit&amp;VAR:KEY=BSPMDEVUVE&amp;VAR:QUERY=RkZfRUJJVChBTk4sMjAxMCk=&amp;WINDOW=FIRST_POPUP&amp;HEIGHT=450&amp;WIDTH=450&amp;START_MAXIMIZED=FALS","E&amp;VAR:CALENDAR=US&amp;VAR:SYMBOL=KNX&amp;VAR:INDEX=0"}</definedName>
    <definedName name="_322__FDSAUDITLINK__" localSheetId="4" hidden="1">{"fdsup://directions/FAT Viewer?action=UPDATE&amp;creator=factset&amp;DYN_ARGS=TRUE&amp;DOC_NAME=FAT:FQL_AUDITING_CLIENT_TEMPLATE.FAT&amp;display_string=Audit&amp;VAR:KEY=RQRWHMPUTW&amp;VAR:QUERY=RkZfRUJJVChBTk4sMjAxMCk=&amp;WINDOW=FIRST_POPUP&amp;HEIGHT=450&amp;WIDTH=450&amp;START_MAXIMIZED=FALS","E&amp;VAR:CALENDAR=US&amp;VAR:SYMBOL=JBHT&amp;VAR:INDEX=0"}</definedName>
    <definedName name="_322__FDSAUDITLINK__" hidden="1">{"fdsup://directions/FAT Viewer?action=UPDATE&amp;creator=factset&amp;DYN_ARGS=TRUE&amp;DOC_NAME=FAT:FQL_AUDITING_CLIENT_TEMPLATE.FAT&amp;display_string=Audit&amp;VAR:KEY=RQRWHMPUTW&amp;VAR:QUERY=RkZfRUJJVChBTk4sMjAxMCk=&amp;WINDOW=FIRST_POPUP&amp;HEIGHT=450&amp;WIDTH=450&amp;START_MAXIMIZED=FALS","E&amp;VAR:CALENDAR=US&amp;VAR:SYMBOL=JBHT&amp;VAR:INDEX=0"}</definedName>
    <definedName name="_323__FDSAUDITLINK__" localSheetId="4" hidden="1">{"fdsup://directions/FAT Viewer?action=UPDATE&amp;creator=factset&amp;DYN_ARGS=TRUE&amp;DOC_NAME=FAT:FQL_AUDITING_CLIENT_TEMPLATE.FAT&amp;display_string=Audit&amp;VAR:KEY=ZIREZSRYNC&amp;VAR:QUERY=RkZfRUJJVChBTk4sMjAxMCk=&amp;WINDOW=FIRST_POPUP&amp;HEIGHT=450&amp;WIDTH=450&amp;START_MAXIMIZED=FALS","E&amp;VAR:CALENDAR=US&amp;VAR:SYMBOL=HTLD&amp;VAR:INDEX=0"}</definedName>
    <definedName name="_323__FDSAUDITLINK__" hidden="1">{"fdsup://directions/FAT Viewer?action=UPDATE&amp;creator=factset&amp;DYN_ARGS=TRUE&amp;DOC_NAME=FAT:FQL_AUDITING_CLIENT_TEMPLATE.FAT&amp;display_string=Audit&amp;VAR:KEY=ZIREZSRYNC&amp;VAR:QUERY=RkZfRUJJVChBTk4sMjAxMCk=&amp;WINDOW=FIRST_POPUP&amp;HEIGHT=450&amp;WIDTH=450&amp;START_MAXIMIZED=FALS","E&amp;VAR:CALENDAR=US&amp;VAR:SYMBOL=HTLD&amp;VAR:INDEX=0"}</definedName>
    <definedName name="_324__FDSAUDITLINK__" localSheetId="4" hidden="1">{"fdsup://directions/FAT Viewer?action=UPDATE&amp;creator=factset&amp;DYN_ARGS=TRUE&amp;DOC_NAME=FAT:FQL_AUDITING_CLIENT_TEMPLATE.FAT&amp;display_string=Audit&amp;VAR:KEY=DUPETWPSLE&amp;VAR:QUERY=RkZfRUJJVChBTk4sMjAxMCk=&amp;WINDOW=FIRST_POPUP&amp;HEIGHT=450&amp;WIDTH=450&amp;START_MAXIMIZED=FALS","E&amp;VAR:CALENDAR=US&amp;VAR:SYMBOL=GWR&amp;VAR:INDEX=0"}</definedName>
    <definedName name="_324__FDSAUDITLINK__" hidden="1">{"fdsup://directions/FAT Viewer?action=UPDATE&amp;creator=factset&amp;DYN_ARGS=TRUE&amp;DOC_NAME=FAT:FQL_AUDITING_CLIENT_TEMPLATE.FAT&amp;display_string=Audit&amp;VAR:KEY=DUPETWPSLE&amp;VAR:QUERY=RkZfRUJJVChBTk4sMjAxMCk=&amp;WINDOW=FIRST_POPUP&amp;HEIGHT=450&amp;WIDTH=450&amp;START_MAXIMIZED=FALS","E&amp;VAR:CALENDAR=US&amp;VAR:SYMBOL=GWR&amp;VAR:INDEX=0"}</definedName>
    <definedName name="_325__FDSAUDITLINK__" localSheetId="4" hidden="1">{"fdsup://directions/FAT Viewer?action=UPDATE&amp;creator=factset&amp;DYN_ARGS=TRUE&amp;DOC_NAME=FAT:FQL_AUDITING_CLIENT_TEMPLATE.FAT&amp;display_string=Audit&amp;VAR:KEY=ZMBMTCRKXU&amp;VAR:QUERY=RkZfRUJJVChBTk4sMjAxMCk=&amp;WINDOW=FIRST_POPUP&amp;HEIGHT=450&amp;WIDTH=450&amp;START_MAXIMIZED=FALS","E&amp;VAR:CALENDAR=US&amp;VAR:SYMBOL=FDX&amp;VAR:INDEX=0"}</definedName>
    <definedName name="_325__FDSAUDITLINK__" hidden="1">{"fdsup://directions/FAT Viewer?action=UPDATE&amp;creator=factset&amp;DYN_ARGS=TRUE&amp;DOC_NAME=FAT:FQL_AUDITING_CLIENT_TEMPLATE.FAT&amp;display_string=Audit&amp;VAR:KEY=ZMBMTCRKXU&amp;VAR:QUERY=RkZfRUJJVChBTk4sMjAxMCk=&amp;WINDOW=FIRST_POPUP&amp;HEIGHT=450&amp;WIDTH=450&amp;START_MAXIMIZED=FALS","E&amp;VAR:CALENDAR=US&amp;VAR:SYMBOL=FDX&amp;VAR:INDEX=0"}</definedName>
    <definedName name="_326__FDSAUDITLINK__" localSheetId="4" hidden="1">{"fdsup://directions/FAT Viewer?action=UPDATE&amp;creator=factset&amp;DYN_ARGS=TRUE&amp;DOC_NAME=FAT:FQL_AUDITING_CLIENT_TEMPLATE.FAT&amp;display_string=Audit&amp;VAR:KEY=HKRGXMPARI&amp;VAR:QUERY=RkZfRUJJVChBTk4sMjAxMCk=&amp;WINDOW=FIRST_POPUP&amp;HEIGHT=450&amp;WIDTH=450&amp;START_MAXIMIZED=FALS","E&amp;VAR:CALENDAR=US&amp;VAR:SYMBOL=EXPD&amp;VAR:INDEX=0"}</definedName>
    <definedName name="_326__FDSAUDITLINK__" hidden="1">{"fdsup://directions/FAT Viewer?action=UPDATE&amp;creator=factset&amp;DYN_ARGS=TRUE&amp;DOC_NAME=FAT:FQL_AUDITING_CLIENT_TEMPLATE.FAT&amp;display_string=Audit&amp;VAR:KEY=HKRGXMPARI&amp;VAR:QUERY=RkZfRUJJVChBTk4sMjAxMCk=&amp;WINDOW=FIRST_POPUP&amp;HEIGHT=450&amp;WIDTH=450&amp;START_MAXIMIZED=FALS","E&amp;VAR:CALENDAR=US&amp;VAR:SYMBOL=EXPD&amp;VAR:INDEX=0"}</definedName>
    <definedName name="_327__FDSAUDITLINK__" localSheetId="4" hidden="1">{"fdsup://directions/FAT Viewer?action=UPDATE&amp;creator=factset&amp;DYN_ARGS=TRUE&amp;DOC_NAME=FAT:FQL_AUDITING_CLIENT_TEMPLATE.FAT&amp;display_string=Audit&amp;VAR:KEY=FQNQZGRYHQ&amp;VAR:QUERY=RkZfRUJJVChBTk4sMjAxMCk=&amp;WINDOW=FIRST_POPUP&amp;HEIGHT=450&amp;WIDTH=450&amp;START_MAXIMIZED=FALS","E&amp;VAR:CALENDAR=US&amp;VAR:SYMBOL=ECHO&amp;VAR:INDEX=0"}</definedName>
    <definedName name="_327__FDSAUDITLINK__" hidden="1">{"fdsup://directions/FAT Viewer?action=UPDATE&amp;creator=factset&amp;DYN_ARGS=TRUE&amp;DOC_NAME=FAT:FQL_AUDITING_CLIENT_TEMPLATE.FAT&amp;display_string=Audit&amp;VAR:KEY=FQNQZGRYHQ&amp;VAR:QUERY=RkZfRUJJVChBTk4sMjAxMCk=&amp;WINDOW=FIRST_POPUP&amp;HEIGHT=450&amp;WIDTH=450&amp;START_MAXIMIZED=FALS","E&amp;VAR:CALENDAR=US&amp;VAR:SYMBOL=ECHO&amp;VAR:INDEX=0"}</definedName>
    <definedName name="_328__FDSAUDITLINK__" localSheetId="4" hidden="1">{"fdsup://directions/FAT Viewer?action=UPDATE&amp;creator=factset&amp;DYN_ARGS=TRUE&amp;DOC_NAME=FAT:FQL_AUDITING_CLIENT_TEMPLATE.FAT&amp;display_string=Audit&amp;VAR:KEY=ZKLURURKRG&amp;VAR:QUERY=RkZfRUJJVChBTk4sMjAxMCk=&amp;WINDOW=FIRST_POPUP&amp;HEIGHT=450&amp;WIDTH=450&amp;START_MAXIMIZED=FALS","E&amp;VAR:CALENDAR=US&amp;VAR:SYMBOL=CSX&amp;VAR:INDEX=0"}</definedName>
    <definedName name="_328__FDSAUDITLINK__" hidden="1">{"fdsup://directions/FAT Viewer?action=UPDATE&amp;creator=factset&amp;DYN_ARGS=TRUE&amp;DOC_NAME=FAT:FQL_AUDITING_CLIENT_TEMPLATE.FAT&amp;display_string=Audit&amp;VAR:KEY=ZKLURURKRG&amp;VAR:QUERY=RkZfRUJJVChBTk4sMjAxMCk=&amp;WINDOW=FIRST_POPUP&amp;HEIGHT=450&amp;WIDTH=450&amp;START_MAXIMIZED=FALS","E&amp;VAR:CALENDAR=US&amp;VAR:SYMBOL=CSX&amp;VAR:INDEX=0"}</definedName>
    <definedName name="_329__FDSAUDITLINK__" localSheetId="4" hidden="1">{"fdsup://directions/FAT Viewer?action=UPDATE&amp;creator=factset&amp;DYN_ARGS=TRUE&amp;DOC_NAME=FAT:FQL_AUDITING_CLIENT_TEMPLATE.FAT&amp;display_string=Audit&amp;VAR:KEY=JURMPMRGTA&amp;VAR:QUERY=RkZfRUJJVChBTk4sMjAxMCk=&amp;WINDOW=FIRST_POPUP&amp;HEIGHT=450&amp;WIDTH=450&amp;START_MAXIMIZED=FALS","E&amp;VAR:CALENDAR=US&amp;VAR:SYMBOL=CP&amp;VAR:INDEX=0"}</definedName>
    <definedName name="_329__FDSAUDITLINK__" hidden="1">{"fdsup://directions/FAT Viewer?action=UPDATE&amp;creator=factset&amp;DYN_ARGS=TRUE&amp;DOC_NAME=FAT:FQL_AUDITING_CLIENT_TEMPLATE.FAT&amp;display_string=Audit&amp;VAR:KEY=JURMPMRGTA&amp;VAR:QUERY=RkZfRUJJVChBTk4sMjAxMCk=&amp;WINDOW=FIRST_POPUP&amp;HEIGHT=450&amp;WIDTH=450&amp;START_MAXIMIZED=FALS","E&amp;VAR:CALENDAR=US&amp;VAR:SYMBOL=CP&amp;VAR:INDEX=0"}</definedName>
    <definedName name="_33__FDSAUDITLINK__" localSheetId="4" hidden="1">{"fdsup://Directions/FactSet Auditing Viewer?action=AUDIT_VALUE&amp;DB=129&amp;ID1=65584410&amp;VALUEID=01001&amp;SDATE=2010&amp;PERIODTYPE=ANN_STD&amp;window=popup_no_bar&amp;width=385&amp;height=120&amp;START_MAXIMIZED=FALSE&amp;creator=factset&amp;display_string=Audit"}</definedName>
    <definedName name="_33__FDSAUDITLINK__" localSheetId="5" hidden="1">{"fdsup://Directions/FactSet Auditing Viewer?action=AUDIT_VALUE&amp;DB=129&amp;ID1=65584410&amp;VALUEID=01001&amp;SDATE=2009&amp;PERIODTYPE=ANN_STD&amp;window=popup_no_bar&amp;width=385&amp;height=120&amp;START_MAXIMIZED=FALSE&amp;creator=factset&amp;display_string=Audit"}</definedName>
    <definedName name="_33__FDSAUDITLINK__" localSheetId="6" hidden="1">{"fdsup://Directions/FactSet Auditing Viewer?action=AUDIT_VALUE&amp;DB=129&amp;ID1=65584410&amp;VALUEID=01001&amp;SDATE=2009&amp;PERIODTYPE=ANN_STD&amp;window=popup_no_bar&amp;width=385&amp;height=120&amp;START_MAXIMIZED=FALSE&amp;creator=factset&amp;display_string=Audit"}</definedName>
    <definedName name="_33__FDSAUDITLINK__" hidden="1">{"fdsup://Directions/FactSet Auditing Viewer?action=AUDIT_VALUE&amp;DB=129&amp;ID1=65584410&amp;VALUEID=01001&amp;SDATE=2010&amp;PERIODTYPE=ANN_STD&amp;window=popup_no_bar&amp;width=385&amp;height=120&amp;START_MAXIMIZED=FALSE&amp;creator=factset&amp;display_string=Audit"}</definedName>
    <definedName name="_330__FDSAUDITLINK__" localSheetId="4" hidden="1">{"fdsup://directions/FAT Viewer?action=UPDATE&amp;creator=factset&amp;DYN_ARGS=TRUE&amp;DOC_NAME=FAT:FQL_AUDITING_CLIENT_TEMPLATE.FAT&amp;display_string=Audit&amp;VAR:KEY=DMBCVSDMXE&amp;VAR:QUERY=RkZfRUJJVChBTk4sMjAxMCk=&amp;WINDOW=FIRST_POPUP&amp;HEIGHT=450&amp;WIDTH=450&amp;START_MAXIMIZED=FALS","E&amp;VAR:CALENDAR=US&amp;VAR:SYMBOL=CNI&amp;VAR:INDEX=0"}</definedName>
    <definedName name="_330__FDSAUDITLINK__" hidden="1">{"fdsup://directions/FAT Viewer?action=UPDATE&amp;creator=factset&amp;DYN_ARGS=TRUE&amp;DOC_NAME=FAT:FQL_AUDITING_CLIENT_TEMPLATE.FAT&amp;display_string=Audit&amp;VAR:KEY=DMBCVSDMXE&amp;VAR:QUERY=RkZfRUJJVChBTk4sMjAxMCk=&amp;WINDOW=FIRST_POPUP&amp;HEIGHT=450&amp;WIDTH=450&amp;START_MAXIMIZED=FALS","E&amp;VAR:CALENDAR=US&amp;VAR:SYMBOL=CNI&amp;VAR:INDEX=0"}</definedName>
    <definedName name="_331__FDSAUDITLINK__" localSheetId="4" hidden="1">{"fdsup://directions/FAT Viewer?action=UPDATE&amp;creator=factset&amp;DYN_ARGS=TRUE&amp;DOC_NAME=FAT:FQL_AUDITING_CLIENT_TEMPLATE.FAT&amp;display_string=Audit&amp;VAR:KEY=JSXSLYXYTQ&amp;VAR:QUERY=RkZfRUJJVChBTk4sMjAxMCk=&amp;WINDOW=FIRST_POPUP&amp;HEIGHT=450&amp;WIDTH=450&amp;START_MAXIMIZED=FALS","E&amp;VAR:CALENDAR=US&amp;VAR:SYMBOL=CHRW&amp;VAR:INDEX=0"}</definedName>
    <definedName name="_331__FDSAUDITLINK__" hidden="1">{"fdsup://directions/FAT Viewer?action=UPDATE&amp;creator=factset&amp;DYN_ARGS=TRUE&amp;DOC_NAME=FAT:FQL_AUDITING_CLIENT_TEMPLATE.FAT&amp;display_string=Audit&amp;VAR:KEY=JSXSLYXYTQ&amp;VAR:QUERY=RkZfRUJJVChBTk4sMjAxMCk=&amp;WINDOW=FIRST_POPUP&amp;HEIGHT=450&amp;WIDTH=450&amp;START_MAXIMIZED=FALS","E&amp;VAR:CALENDAR=US&amp;VAR:SYMBOL=CHRW&amp;VAR:INDEX=0"}</definedName>
    <definedName name="_332__FDSAUDITLINK__" localSheetId="4" hidden="1">{"fdsup://directions/FAT Viewer?action=UPDATE&amp;creator=factset&amp;DYN_ARGS=TRUE&amp;DOC_NAME=FAT:FQL_AUDITING_CLIENT_TEMPLATE.FAT&amp;display_string=Audit&amp;VAR:KEY=XSDCRQJUFS&amp;VAR:QUERY=RkZfRUJJVERBKEFOTiwyMDEwKQ==&amp;WINDOW=FIRST_POPUP&amp;HEIGHT=450&amp;WIDTH=450&amp;START_MAXIMIZED=","FALSE&amp;VAR:CALENDAR=US&amp;VAR:SYMBOL=WERN&amp;VAR:INDEX=0"}</definedName>
    <definedName name="_332__FDSAUDITLINK__" hidden="1">{"fdsup://directions/FAT Viewer?action=UPDATE&amp;creator=factset&amp;DYN_ARGS=TRUE&amp;DOC_NAME=FAT:FQL_AUDITING_CLIENT_TEMPLATE.FAT&amp;display_string=Audit&amp;VAR:KEY=XSDCRQJUFS&amp;VAR:QUERY=RkZfRUJJVERBKEFOTiwyMDEwKQ==&amp;WINDOW=FIRST_POPUP&amp;HEIGHT=450&amp;WIDTH=450&amp;START_MAXIMIZED=","FALSE&amp;VAR:CALENDAR=US&amp;VAR:SYMBOL=WERN&amp;VAR:INDEX=0"}</definedName>
    <definedName name="_333__FDSAUDITLINK__" localSheetId="4" hidden="1">{"fdsup://directions/FAT Viewer?action=UPDATE&amp;creator=factset&amp;DYN_ARGS=TRUE&amp;DOC_NAME=FAT:FQL_AUDITING_CLIENT_TEMPLATE.FAT&amp;display_string=Audit&amp;VAR:KEY=NIHAVGVAVY&amp;VAR:QUERY=RkZfRUJJVERBKEFOTiwyMDEwKQ==&amp;WINDOW=FIRST_POPUP&amp;HEIGHT=450&amp;WIDTH=450&amp;START_MAXIMIZED=","FALSE&amp;VAR:CALENDAR=US&amp;VAR:SYMBOL=UTIW&amp;VAR:INDEX=0"}</definedName>
    <definedName name="_333__FDSAUDITLINK__" hidden="1">{"fdsup://directions/FAT Viewer?action=UPDATE&amp;creator=factset&amp;DYN_ARGS=TRUE&amp;DOC_NAME=FAT:FQL_AUDITING_CLIENT_TEMPLATE.FAT&amp;display_string=Audit&amp;VAR:KEY=NIHAVGVAVY&amp;VAR:QUERY=RkZfRUJJVERBKEFOTiwyMDEwKQ==&amp;WINDOW=FIRST_POPUP&amp;HEIGHT=450&amp;WIDTH=450&amp;START_MAXIMIZED=","FALSE&amp;VAR:CALENDAR=US&amp;VAR:SYMBOL=UTIW&amp;VAR:INDEX=0"}</definedName>
    <definedName name="_334__FDSAUDITLINK__" localSheetId="4" hidden="1">{"fdsup://directions/FAT Viewer?action=UPDATE&amp;creator=factset&amp;DYN_ARGS=TRUE&amp;DOC_NAME=FAT:FQL_AUDITING_CLIENT_TEMPLATE.FAT&amp;display_string=Audit&amp;VAR:KEY=HQXKDKZEDS&amp;VAR:QUERY=RkZfRUJJVERBKEFOTiwyMDEwKQ==&amp;WINDOW=FIRST_POPUP&amp;HEIGHT=450&amp;WIDTH=450&amp;START_MAXIMIZED=","FALSE&amp;VAR:CALENDAR=US&amp;VAR:SYMBOL=UPS&amp;VAR:INDEX=0"}</definedName>
    <definedName name="_334__FDSAUDITLINK__" hidden="1">{"fdsup://directions/FAT Viewer?action=UPDATE&amp;creator=factset&amp;DYN_ARGS=TRUE&amp;DOC_NAME=FAT:FQL_AUDITING_CLIENT_TEMPLATE.FAT&amp;display_string=Audit&amp;VAR:KEY=HQXKDKZEDS&amp;VAR:QUERY=RkZfRUJJVERBKEFOTiwyMDEwKQ==&amp;WINDOW=FIRST_POPUP&amp;HEIGHT=450&amp;WIDTH=450&amp;START_MAXIMIZED=","FALSE&amp;VAR:CALENDAR=US&amp;VAR:SYMBOL=UPS&amp;VAR:INDEX=0"}</definedName>
    <definedName name="_335__FDSAUDITLINK__" localSheetId="4" hidden="1">{"fdsup://directions/FAT Viewer?action=UPDATE&amp;creator=factset&amp;DYN_ARGS=TRUE&amp;DOC_NAME=FAT:FQL_AUDITING_CLIENT_TEMPLATE.FAT&amp;display_string=Audit&amp;VAR:KEY=NKTGTKNIHM&amp;VAR:QUERY=RkZfRUJJVERBKEFOTiwyMDEwKQ==&amp;WINDOW=FIRST_POPUP&amp;HEIGHT=450&amp;WIDTH=450&amp;START_MAXIMIZED=","FALSE&amp;VAR:CALENDAR=US&amp;VAR:SYMBOL=UNP&amp;VAR:INDEX=0"}</definedName>
    <definedName name="_335__FDSAUDITLINK__" hidden="1">{"fdsup://directions/FAT Viewer?action=UPDATE&amp;creator=factset&amp;DYN_ARGS=TRUE&amp;DOC_NAME=FAT:FQL_AUDITING_CLIENT_TEMPLATE.FAT&amp;display_string=Audit&amp;VAR:KEY=NKTGTKNIHM&amp;VAR:QUERY=RkZfRUJJVERBKEFOTiwyMDEwKQ==&amp;WINDOW=FIRST_POPUP&amp;HEIGHT=450&amp;WIDTH=450&amp;START_MAXIMIZED=","FALSE&amp;VAR:CALENDAR=US&amp;VAR:SYMBOL=UNP&amp;VAR:INDEX=0"}</definedName>
    <definedName name="_336__FDSAUDITLINK__" localSheetId="4" hidden="1">{"fdsup://directions/FAT Viewer?action=UPDATE&amp;creator=factset&amp;DYN_ARGS=TRUE&amp;DOC_NAME=FAT:FQL_AUDITING_CLIENT_TEMPLATE.FAT&amp;display_string=Audit&amp;VAR:KEY=JGTOZATCPY&amp;VAR:QUERY=RkZfRUJJVERBKEFOTiwyMDEwKQ==&amp;WINDOW=FIRST_POPUP&amp;HEIGHT=450&amp;WIDTH=450&amp;START_MAXIMIZED=","FALSE&amp;VAR:CALENDAR=US&amp;VAR:SYMBOL=SWFT&amp;VAR:INDEX=0"}</definedName>
    <definedName name="_336__FDSAUDITLINK__" hidden="1">{"fdsup://directions/FAT Viewer?action=UPDATE&amp;creator=factset&amp;DYN_ARGS=TRUE&amp;DOC_NAME=FAT:FQL_AUDITING_CLIENT_TEMPLATE.FAT&amp;display_string=Audit&amp;VAR:KEY=JGTOZATCPY&amp;VAR:QUERY=RkZfRUJJVERBKEFOTiwyMDEwKQ==&amp;WINDOW=FIRST_POPUP&amp;HEIGHT=450&amp;WIDTH=450&amp;START_MAXIMIZED=","FALSE&amp;VAR:CALENDAR=US&amp;VAR:SYMBOL=SWFT&amp;VAR:INDEX=0"}</definedName>
    <definedName name="_337__FDSAUDITLINK__" localSheetId="4" hidden="1">{"fdsup://directions/FAT Viewer?action=UPDATE&amp;creator=factset&amp;DYN_ARGS=TRUE&amp;DOC_NAME=FAT:FQL_AUDITING_CLIENT_TEMPLATE.FAT&amp;display_string=Audit&amp;VAR:KEY=RSBUTQRYTM&amp;VAR:QUERY=RkZfRUJJVERBKEFOTiwyMDEwKQ==&amp;WINDOW=FIRST_POPUP&amp;HEIGHT=450&amp;WIDTH=450&amp;START_MAXIMIZED=","FALSE&amp;VAR:CALENDAR=US&amp;VAR:SYMBOL=RA&amp;VAR:INDEX=0"}</definedName>
    <definedName name="_337__FDSAUDITLINK__" hidden="1">{"fdsup://directions/FAT Viewer?action=UPDATE&amp;creator=factset&amp;DYN_ARGS=TRUE&amp;DOC_NAME=FAT:FQL_AUDITING_CLIENT_TEMPLATE.FAT&amp;display_string=Audit&amp;VAR:KEY=RSBUTQRYTM&amp;VAR:QUERY=RkZfRUJJVERBKEFOTiwyMDEwKQ==&amp;WINDOW=FIRST_POPUP&amp;HEIGHT=450&amp;WIDTH=450&amp;START_MAXIMIZED=","FALSE&amp;VAR:CALENDAR=US&amp;VAR:SYMBOL=RA&amp;VAR:INDEX=0"}</definedName>
    <definedName name="_338__FDSAUDITLINK__" localSheetId="4" hidden="1">{"fdsup://directions/FAT Viewer?action=UPDATE&amp;creator=factset&amp;DYN_ARGS=TRUE&amp;DOC_NAME=FAT:FQL_AUDITING_CLIENT_TEMPLATE.FAT&amp;display_string=Audit&amp;VAR:KEY=POVIHSBSZO&amp;VAR:QUERY=RkZfRUJJVERBKEFOTiwyMDEwKQ==&amp;WINDOW=FIRST_POPUP&amp;HEIGHT=450&amp;WIDTH=450&amp;START_MAXIMIZED=","FALSE&amp;VAR:CALENDAR=US&amp;VAR:SYMBOL=NSC&amp;VAR:INDEX=0"}</definedName>
    <definedName name="_338__FDSAUDITLINK__" hidden="1">{"fdsup://directions/FAT Viewer?action=UPDATE&amp;creator=factset&amp;DYN_ARGS=TRUE&amp;DOC_NAME=FAT:FQL_AUDITING_CLIENT_TEMPLATE.FAT&amp;display_string=Audit&amp;VAR:KEY=POVIHSBSZO&amp;VAR:QUERY=RkZfRUJJVERBKEFOTiwyMDEwKQ==&amp;WINDOW=FIRST_POPUP&amp;HEIGHT=450&amp;WIDTH=450&amp;START_MAXIMIZED=","FALSE&amp;VAR:CALENDAR=US&amp;VAR:SYMBOL=NSC&amp;VAR:INDEX=0"}</definedName>
    <definedName name="_339__FDSAUDITLINK__" localSheetId="4" hidden="1">{"fdsup://directions/FAT Viewer?action=UPDATE&amp;creator=factset&amp;DYN_ARGS=TRUE&amp;DOC_NAME=FAT:FQL_AUDITING_CLIENT_TEMPLATE.FAT&amp;display_string=Audit&amp;VAR:KEY=XSZEDAJIXO&amp;VAR:QUERY=RkZfRUJJVERBKEFOTiwyMDEwKQ==&amp;WINDOW=FIRST_POPUP&amp;HEIGHT=450&amp;WIDTH=450&amp;START_MAXIMIZED=","FALSE&amp;VAR:CALENDAR=US&amp;VAR:SYMBOL=KSU&amp;VAR:INDEX=0"}</definedName>
    <definedName name="_339__FDSAUDITLINK__" hidden="1">{"fdsup://directions/FAT Viewer?action=UPDATE&amp;creator=factset&amp;DYN_ARGS=TRUE&amp;DOC_NAME=FAT:FQL_AUDITING_CLIENT_TEMPLATE.FAT&amp;display_string=Audit&amp;VAR:KEY=XSZEDAJIXO&amp;VAR:QUERY=RkZfRUJJVERBKEFOTiwyMDEwKQ==&amp;WINDOW=FIRST_POPUP&amp;HEIGHT=450&amp;WIDTH=450&amp;START_MAXIMIZED=","FALSE&amp;VAR:CALENDAR=US&amp;VAR:SYMBOL=KSU&amp;VAR:INDEX=0"}</definedName>
    <definedName name="_34__FDSAUDITLINK__" localSheetId="4" hidden="1">{"fdsup://Directions/FactSet Auditing Viewer?action=AUDIT_VALUE&amp;DB=129&amp;ID1=48517030&amp;VALUEID=01001&amp;SDATE=2010&amp;PERIODTYPE=ANN_STD&amp;window=popup_no_bar&amp;width=385&amp;height=120&amp;START_MAXIMIZED=FALSE&amp;creator=factset&amp;display_string=Audit"}</definedName>
    <definedName name="_34__FDSAUDITLINK__" localSheetId="5" hidden="1">{"fdsup://Directions/FactSet Auditing Viewer?action=AUDIT_VALUE&amp;DB=129&amp;ID1=48517030&amp;VALUEID=01001&amp;SDATE=2009&amp;PERIODTYPE=ANN_STD&amp;window=popup_no_bar&amp;width=385&amp;height=120&amp;START_MAXIMIZED=FALSE&amp;creator=factset&amp;display_string=Audit"}</definedName>
    <definedName name="_34__FDSAUDITLINK__" localSheetId="6" hidden="1">{"fdsup://Directions/FactSet Auditing Viewer?action=AUDIT_VALUE&amp;DB=129&amp;ID1=48517030&amp;VALUEID=01001&amp;SDATE=2009&amp;PERIODTYPE=ANN_STD&amp;window=popup_no_bar&amp;width=385&amp;height=120&amp;START_MAXIMIZED=FALSE&amp;creator=factset&amp;display_string=Audit"}</definedName>
    <definedName name="_34__FDSAUDITLINK__" hidden="1">{"fdsup://Directions/FactSet Auditing Viewer?action=AUDIT_VALUE&amp;DB=129&amp;ID1=48517030&amp;VALUEID=01001&amp;SDATE=2010&amp;PERIODTYPE=ANN_STD&amp;window=popup_no_bar&amp;width=385&amp;height=120&amp;START_MAXIMIZED=FALSE&amp;creator=factset&amp;display_string=Audit"}</definedName>
    <definedName name="_340__FDSAUDITLINK__" localSheetId="4" hidden="1">{"fdsup://directions/FAT Viewer?action=UPDATE&amp;creator=factset&amp;DYN_ARGS=TRUE&amp;DOC_NAME=FAT:FQL_AUDITING_CLIENT_TEMPLATE.FAT&amp;display_string=Audit&amp;VAR:KEY=JKDEPOXGHG&amp;VAR:QUERY=RkZfRUJJVERBKEFOTiwyMDEwKQ==&amp;WINDOW=FIRST_POPUP&amp;HEIGHT=450&amp;WIDTH=450&amp;START_MAXIMIZED=","FALSE&amp;VAR:CALENDAR=US&amp;VAR:SYMBOL=KNX&amp;VAR:INDEX=0"}</definedName>
    <definedName name="_340__FDSAUDITLINK__" hidden="1">{"fdsup://directions/FAT Viewer?action=UPDATE&amp;creator=factset&amp;DYN_ARGS=TRUE&amp;DOC_NAME=FAT:FQL_AUDITING_CLIENT_TEMPLATE.FAT&amp;display_string=Audit&amp;VAR:KEY=JKDEPOXGHG&amp;VAR:QUERY=RkZfRUJJVERBKEFOTiwyMDEwKQ==&amp;WINDOW=FIRST_POPUP&amp;HEIGHT=450&amp;WIDTH=450&amp;START_MAXIMIZED=","FALSE&amp;VAR:CALENDAR=US&amp;VAR:SYMBOL=KNX&amp;VAR:INDEX=0"}</definedName>
    <definedName name="_341__FDSAUDITLINK__" localSheetId="4" hidden="1">{"fdsup://directions/FAT Viewer?action=UPDATE&amp;creator=factset&amp;DYN_ARGS=TRUE&amp;DOC_NAME=FAT:FQL_AUDITING_CLIENT_TEMPLATE.FAT&amp;display_string=Audit&amp;VAR:KEY=HAPYLWXMPU&amp;VAR:QUERY=RkZfRUJJVERBKEFOTiwyMDEwKQ==&amp;WINDOW=FIRST_POPUP&amp;HEIGHT=450&amp;WIDTH=450&amp;START_MAXIMIZED=","FALSE&amp;VAR:CALENDAR=US&amp;VAR:SYMBOL=JBHT&amp;VAR:INDEX=0"}</definedName>
    <definedName name="_341__FDSAUDITLINK__" hidden="1">{"fdsup://directions/FAT Viewer?action=UPDATE&amp;creator=factset&amp;DYN_ARGS=TRUE&amp;DOC_NAME=FAT:FQL_AUDITING_CLIENT_TEMPLATE.FAT&amp;display_string=Audit&amp;VAR:KEY=HAPYLWXMPU&amp;VAR:QUERY=RkZfRUJJVERBKEFOTiwyMDEwKQ==&amp;WINDOW=FIRST_POPUP&amp;HEIGHT=450&amp;WIDTH=450&amp;START_MAXIMIZED=","FALSE&amp;VAR:CALENDAR=US&amp;VAR:SYMBOL=JBHT&amp;VAR:INDEX=0"}</definedName>
    <definedName name="_342__FDSAUDITLINK__" localSheetId="4" hidden="1">{"fdsup://directions/FAT Viewer?action=UPDATE&amp;creator=factset&amp;DYN_ARGS=TRUE&amp;DOC_NAME=FAT:FQL_AUDITING_CLIENT_TEMPLATE.FAT&amp;display_string=Audit&amp;VAR:KEY=ZSFITIRYXU&amp;VAR:QUERY=RkZfRUJJVERBKEFOTiwyMDEwKQ==&amp;WINDOW=FIRST_POPUP&amp;HEIGHT=450&amp;WIDTH=450&amp;START_MAXIMIZED=","FALSE&amp;VAR:CALENDAR=US&amp;VAR:SYMBOL=HTLD&amp;VAR:INDEX=0"}</definedName>
    <definedName name="_342__FDSAUDITLINK__" hidden="1">{"fdsup://directions/FAT Viewer?action=UPDATE&amp;creator=factset&amp;DYN_ARGS=TRUE&amp;DOC_NAME=FAT:FQL_AUDITING_CLIENT_TEMPLATE.FAT&amp;display_string=Audit&amp;VAR:KEY=ZSFITIRYXU&amp;VAR:QUERY=RkZfRUJJVERBKEFOTiwyMDEwKQ==&amp;WINDOW=FIRST_POPUP&amp;HEIGHT=450&amp;WIDTH=450&amp;START_MAXIMIZED=","FALSE&amp;VAR:CALENDAR=US&amp;VAR:SYMBOL=HTLD&amp;VAR:INDEX=0"}</definedName>
    <definedName name="_343__FDSAUDITLINK__" localSheetId="4" hidden="1">{"fdsup://directions/FAT Viewer?action=UPDATE&amp;creator=factset&amp;DYN_ARGS=TRUE&amp;DOC_NAME=FAT:FQL_AUDITING_CLIENT_TEMPLATE.FAT&amp;display_string=Audit&amp;VAR:KEY=LGPKJARGRQ&amp;VAR:QUERY=RkZfRUJJVERBKEFOTiwyMDEwKQ==&amp;WINDOW=FIRST_POPUP&amp;HEIGHT=450&amp;WIDTH=450&amp;START_MAXIMIZED=","FALSE&amp;VAR:CALENDAR=US&amp;VAR:SYMBOL=GWR&amp;VAR:INDEX=0"}</definedName>
    <definedName name="_343__FDSAUDITLINK__" hidden="1">{"fdsup://directions/FAT Viewer?action=UPDATE&amp;creator=factset&amp;DYN_ARGS=TRUE&amp;DOC_NAME=FAT:FQL_AUDITING_CLIENT_TEMPLATE.FAT&amp;display_string=Audit&amp;VAR:KEY=LGPKJARGRQ&amp;VAR:QUERY=RkZfRUJJVERBKEFOTiwyMDEwKQ==&amp;WINDOW=FIRST_POPUP&amp;HEIGHT=450&amp;WIDTH=450&amp;START_MAXIMIZED=","FALSE&amp;VAR:CALENDAR=US&amp;VAR:SYMBOL=GWR&amp;VAR:INDEX=0"}</definedName>
    <definedName name="_344__FDSAUDITLINK__" localSheetId="4" hidden="1">{"fdsup://directions/FAT Viewer?action=UPDATE&amp;creator=factset&amp;DYN_ARGS=TRUE&amp;DOC_NAME=FAT:FQL_AUDITING_CLIENT_TEMPLATE.FAT&amp;display_string=Audit&amp;VAR:KEY=FITUXWFEVY&amp;VAR:QUERY=RkZfRUJJVERBKEFOTiwyMDEwKQ==&amp;WINDOW=FIRST_POPUP&amp;HEIGHT=450&amp;WIDTH=450&amp;START_MAXIMIZED=","FALSE&amp;VAR:CALENDAR=US&amp;VAR:SYMBOL=FDX&amp;VAR:INDEX=0"}</definedName>
    <definedName name="_344__FDSAUDITLINK__" hidden="1">{"fdsup://directions/FAT Viewer?action=UPDATE&amp;creator=factset&amp;DYN_ARGS=TRUE&amp;DOC_NAME=FAT:FQL_AUDITING_CLIENT_TEMPLATE.FAT&amp;display_string=Audit&amp;VAR:KEY=FITUXWFEVY&amp;VAR:QUERY=RkZfRUJJVERBKEFOTiwyMDEwKQ==&amp;WINDOW=FIRST_POPUP&amp;HEIGHT=450&amp;WIDTH=450&amp;START_MAXIMIZED=","FALSE&amp;VAR:CALENDAR=US&amp;VAR:SYMBOL=FDX&amp;VAR:INDEX=0"}</definedName>
    <definedName name="_345__FDSAUDITLINK__" localSheetId="4" hidden="1">{"fdsup://directions/FAT Viewer?action=UPDATE&amp;creator=factset&amp;DYN_ARGS=TRUE&amp;DOC_NAME=FAT:FQL_AUDITING_CLIENT_TEMPLATE.FAT&amp;display_string=Audit&amp;VAR:KEY=RCJYXEVKTC&amp;VAR:QUERY=RkZfRUJJVERBKEFOTiwyMDEwKQ==&amp;WINDOW=FIRST_POPUP&amp;HEIGHT=450&amp;WIDTH=450&amp;START_MAXIMIZED=","FALSE&amp;VAR:CALENDAR=US&amp;VAR:SYMBOL=EXPD&amp;VAR:INDEX=0"}</definedName>
    <definedName name="_345__FDSAUDITLINK__" hidden="1">{"fdsup://directions/FAT Viewer?action=UPDATE&amp;creator=factset&amp;DYN_ARGS=TRUE&amp;DOC_NAME=FAT:FQL_AUDITING_CLIENT_TEMPLATE.FAT&amp;display_string=Audit&amp;VAR:KEY=RCJYXEVKTC&amp;VAR:QUERY=RkZfRUJJVERBKEFOTiwyMDEwKQ==&amp;WINDOW=FIRST_POPUP&amp;HEIGHT=450&amp;WIDTH=450&amp;START_MAXIMIZED=","FALSE&amp;VAR:CALENDAR=US&amp;VAR:SYMBOL=EXPD&amp;VAR:INDEX=0"}</definedName>
    <definedName name="_346__FDSAUDITLINK__" localSheetId="4" hidden="1">{"fdsup://directions/FAT Viewer?action=UPDATE&amp;creator=factset&amp;DYN_ARGS=TRUE&amp;DOC_NAME=FAT:FQL_AUDITING_CLIENT_TEMPLATE.FAT&amp;display_string=Audit&amp;VAR:KEY=PWVUHIHSXI&amp;VAR:QUERY=RkZfRUJJVERBKEFOTiwyMDEwKQ==&amp;WINDOW=FIRST_POPUP&amp;HEIGHT=450&amp;WIDTH=450&amp;START_MAXIMIZED=","FALSE&amp;VAR:CALENDAR=US&amp;VAR:SYMBOL=ECHO&amp;VAR:INDEX=0"}</definedName>
    <definedName name="_346__FDSAUDITLINK__" hidden="1">{"fdsup://directions/FAT Viewer?action=UPDATE&amp;creator=factset&amp;DYN_ARGS=TRUE&amp;DOC_NAME=FAT:FQL_AUDITING_CLIENT_TEMPLATE.FAT&amp;display_string=Audit&amp;VAR:KEY=PWVUHIHSXI&amp;VAR:QUERY=RkZfRUJJVERBKEFOTiwyMDEwKQ==&amp;WINDOW=FIRST_POPUP&amp;HEIGHT=450&amp;WIDTH=450&amp;START_MAXIMIZED=","FALSE&amp;VAR:CALENDAR=US&amp;VAR:SYMBOL=ECHO&amp;VAR:INDEX=0"}</definedName>
    <definedName name="_347__FDSAUDITLINK__" localSheetId="4" hidden="1">{"fdsup://directions/FAT Viewer?action=UPDATE&amp;creator=factset&amp;DYN_ARGS=TRUE&amp;DOC_NAME=FAT:FQL_AUDITING_CLIENT_TEMPLATE.FAT&amp;display_string=Audit&amp;VAR:KEY=PQLAFCXOTY&amp;VAR:QUERY=RkZfRUJJVERBKEFOTiwyMDEwKQ==&amp;WINDOW=FIRST_POPUP&amp;HEIGHT=450&amp;WIDTH=450&amp;START_MAXIMIZED=","FALSE&amp;VAR:CALENDAR=US&amp;VAR:SYMBOL=CSX&amp;VAR:INDEX=0"}</definedName>
    <definedName name="_347__FDSAUDITLINK__" hidden="1">{"fdsup://directions/FAT Viewer?action=UPDATE&amp;creator=factset&amp;DYN_ARGS=TRUE&amp;DOC_NAME=FAT:FQL_AUDITING_CLIENT_TEMPLATE.FAT&amp;display_string=Audit&amp;VAR:KEY=PQLAFCXOTY&amp;VAR:QUERY=RkZfRUJJVERBKEFOTiwyMDEwKQ==&amp;WINDOW=FIRST_POPUP&amp;HEIGHT=450&amp;WIDTH=450&amp;START_MAXIMIZED=","FALSE&amp;VAR:CALENDAR=US&amp;VAR:SYMBOL=CSX&amp;VAR:INDEX=0"}</definedName>
    <definedName name="_348__FDSAUDITLINK__" localSheetId="4" hidden="1">{"fdsup://directions/FAT Viewer?action=UPDATE&amp;creator=factset&amp;DYN_ARGS=TRUE&amp;DOC_NAME=FAT:FQL_AUDITING_CLIENT_TEMPLATE.FAT&amp;display_string=Audit&amp;VAR:KEY=RIRKPQFWPA&amp;VAR:QUERY=RkZfRUJJVERBKEFOTiwyMDEwKQ==&amp;WINDOW=FIRST_POPUP&amp;HEIGHT=450&amp;WIDTH=450&amp;START_MAXIMIZED=","FALSE&amp;VAR:CALENDAR=US&amp;VAR:SYMBOL=CP&amp;VAR:INDEX=0"}</definedName>
    <definedName name="_348__FDSAUDITLINK__" hidden="1">{"fdsup://directions/FAT Viewer?action=UPDATE&amp;creator=factset&amp;DYN_ARGS=TRUE&amp;DOC_NAME=FAT:FQL_AUDITING_CLIENT_TEMPLATE.FAT&amp;display_string=Audit&amp;VAR:KEY=RIRKPQFWPA&amp;VAR:QUERY=RkZfRUJJVERBKEFOTiwyMDEwKQ==&amp;WINDOW=FIRST_POPUP&amp;HEIGHT=450&amp;WIDTH=450&amp;START_MAXIMIZED=","FALSE&amp;VAR:CALENDAR=US&amp;VAR:SYMBOL=CP&amp;VAR:INDEX=0"}</definedName>
    <definedName name="_349__FDSAUDITLINK__" localSheetId="4" hidden="1">{"fdsup://directions/FAT Viewer?action=UPDATE&amp;creator=factset&amp;DYN_ARGS=TRUE&amp;DOC_NAME=FAT:FQL_AUDITING_CLIENT_TEMPLATE.FAT&amp;display_string=Audit&amp;VAR:KEY=PSZGDAPQRQ&amp;VAR:QUERY=RkZfRUJJVERBKEFOTiwyMDEwKQ==&amp;WINDOW=FIRST_POPUP&amp;HEIGHT=450&amp;WIDTH=450&amp;START_MAXIMIZED=","FALSE&amp;VAR:CALENDAR=US&amp;VAR:SYMBOL=CNI&amp;VAR:INDEX=0"}</definedName>
    <definedName name="_349__FDSAUDITLINK__" hidden="1">{"fdsup://directions/FAT Viewer?action=UPDATE&amp;creator=factset&amp;DYN_ARGS=TRUE&amp;DOC_NAME=FAT:FQL_AUDITING_CLIENT_TEMPLATE.FAT&amp;display_string=Audit&amp;VAR:KEY=PSZGDAPQRQ&amp;VAR:QUERY=RkZfRUJJVERBKEFOTiwyMDEwKQ==&amp;WINDOW=FIRST_POPUP&amp;HEIGHT=450&amp;WIDTH=450&amp;START_MAXIMIZED=","FALSE&amp;VAR:CALENDAR=US&amp;VAR:SYMBOL=CNI&amp;VAR:INDEX=0"}</definedName>
    <definedName name="_35__FDSAUDITLINK__" localSheetId="4" hidden="1">{"fdsup://Directions/FactSet Auditing Viewer?action=AUDIT_VALUE&amp;DB=129&amp;ID1=37155910&amp;VALUEID=01001&amp;SDATE=2010&amp;PERIODTYPE=ANN_STD&amp;window=popup_no_bar&amp;width=385&amp;height=120&amp;START_MAXIMIZED=FALSE&amp;creator=factset&amp;display_string=Audit"}</definedName>
    <definedName name="_35__FDSAUDITLINK__" localSheetId="5" hidden="1">{"fdsup://Directions/FactSet Auditing Viewer?action=AUDIT_VALUE&amp;DB=129&amp;ID1=37155910&amp;VALUEID=01001&amp;SDATE=2009&amp;PERIODTYPE=ANN_STD&amp;window=popup_no_bar&amp;width=385&amp;height=120&amp;START_MAXIMIZED=FALSE&amp;creator=factset&amp;display_string=Audit"}</definedName>
    <definedName name="_35__FDSAUDITLINK__" localSheetId="6" hidden="1">{"fdsup://Directions/FactSet Auditing Viewer?action=AUDIT_VALUE&amp;DB=129&amp;ID1=37155910&amp;VALUEID=01001&amp;SDATE=2009&amp;PERIODTYPE=ANN_STD&amp;window=popup_no_bar&amp;width=385&amp;height=120&amp;START_MAXIMIZED=FALSE&amp;creator=factset&amp;display_string=Audit"}</definedName>
    <definedName name="_35__FDSAUDITLINK__" hidden="1">{"fdsup://Directions/FactSet Auditing Viewer?action=AUDIT_VALUE&amp;DB=129&amp;ID1=37155910&amp;VALUEID=01001&amp;SDATE=2010&amp;PERIODTYPE=ANN_STD&amp;window=popup_no_bar&amp;width=385&amp;height=120&amp;START_MAXIMIZED=FALSE&amp;creator=factset&amp;display_string=Audit"}</definedName>
    <definedName name="_350__FDSAUDITLINK__" localSheetId="4" hidden="1">{"fdsup://directions/FAT Viewer?action=UPDATE&amp;creator=factset&amp;DYN_ARGS=TRUE&amp;DOC_NAME=FAT:FQL_AUDITING_CLIENT_TEMPLATE.FAT&amp;display_string=Audit&amp;VAR:KEY=NMJUNILOFE&amp;VAR:QUERY=RkZfRUJJVERBKEFOTiwyMDEwKQ==&amp;WINDOW=FIRST_POPUP&amp;HEIGHT=450&amp;WIDTH=450&amp;START_MAXIMIZED=","FALSE&amp;VAR:CALENDAR=US&amp;VAR:SYMBOL=CHRW&amp;VAR:INDEX=0"}</definedName>
    <definedName name="_350__FDSAUDITLINK__" hidden="1">{"fdsup://directions/FAT Viewer?action=UPDATE&amp;creator=factset&amp;DYN_ARGS=TRUE&amp;DOC_NAME=FAT:FQL_AUDITING_CLIENT_TEMPLATE.FAT&amp;display_string=Audit&amp;VAR:KEY=NMJUNILOFE&amp;VAR:QUERY=RkZfRUJJVERBKEFOTiwyMDEwKQ==&amp;WINDOW=FIRST_POPUP&amp;HEIGHT=450&amp;WIDTH=450&amp;START_MAXIMIZED=","FALSE&amp;VAR:CALENDAR=US&amp;VAR:SYMBOL=CHRW&amp;VAR:INDEX=0"}</definedName>
    <definedName name="_351__FDSAUDITLINK__" localSheetId="4" hidden="1">{"fdsup://directions/FAT Viewer?action=UPDATE&amp;creator=factset&amp;DYN_ARGS=TRUE&amp;DOC_NAME=FAT:FQL_AUDITING_CLIENT_TEMPLATE.FAT&amp;display_string=Audit&amp;VAR:KEY=TEFEBCHYLA&amp;VAR:QUERY=RkZfTkVUX0lOQyhBTk4sMjAxMCk=&amp;WINDOW=FIRST_POPUP&amp;HEIGHT=450&amp;WIDTH=450&amp;START_MAXIMIZED=","FALSE&amp;VAR:CALENDAR=US&amp;VAR:SYMBOL=WERN&amp;VAR:INDEX=0"}</definedName>
    <definedName name="_351__FDSAUDITLINK__" hidden="1">{"fdsup://directions/FAT Viewer?action=UPDATE&amp;creator=factset&amp;DYN_ARGS=TRUE&amp;DOC_NAME=FAT:FQL_AUDITING_CLIENT_TEMPLATE.FAT&amp;display_string=Audit&amp;VAR:KEY=TEFEBCHYLA&amp;VAR:QUERY=RkZfTkVUX0lOQyhBTk4sMjAxMCk=&amp;WINDOW=FIRST_POPUP&amp;HEIGHT=450&amp;WIDTH=450&amp;START_MAXIMIZED=","FALSE&amp;VAR:CALENDAR=US&amp;VAR:SYMBOL=WERN&amp;VAR:INDEX=0"}</definedName>
    <definedName name="_352__FDSAUDITLINK__" localSheetId="4" hidden="1">{"fdsup://directions/FAT Viewer?action=UPDATE&amp;creator=factset&amp;DYN_ARGS=TRUE&amp;DOC_NAME=FAT:FQL_AUDITING_CLIENT_TEMPLATE.FAT&amp;display_string=Audit&amp;VAR:KEY=DKZMTQXOBY&amp;VAR:QUERY=RkZfTkVUX0lOQyhBTk4sMjAxMCk=&amp;WINDOW=FIRST_POPUP&amp;HEIGHT=450&amp;WIDTH=450&amp;START_MAXIMIZED=","FALSE&amp;VAR:CALENDAR=US&amp;VAR:SYMBOL=UTIW&amp;VAR:INDEX=0"}</definedName>
    <definedName name="_352__FDSAUDITLINK__" hidden="1">{"fdsup://directions/FAT Viewer?action=UPDATE&amp;creator=factset&amp;DYN_ARGS=TRUE&amp;DOC_NAME=FAT:FQL_AUDITING_CLIENT_TEMPLATE.FAT&amp;display_string=Audit&amp;VAR:KEY=DKZMTQXOBY&amp;VAR:QUERY=RkZfTkVUX0lOQyhBTk4sMjAxMCk=&amp;WINDOW=FIRST_POPUP&amp;HEIGHT=450&amp;WIDTH=450&amp;START_MAXIMIZED=","FALSE&amp;VAR:CALENDAR=US&amp;VAR:SYMBOL=UTIW&amp;VAR:INDEX=0"}</definedName>
    <definedName name="_353__FDSAUDITLINK__" localSheetId="4" hidden="1">{"fdsup://directions/FAT Viewer?action=UPDATE&amp;creator=factset&amp;DYN_ARGS=TRUE&amp;DOC_NAME=FAT:FQL_AUDITING_CLIENT_TEMPLATE.FAT&amp;display_string=Audit&amp;VAR:KEY=ZMPSHSFQPC&amp;VAR:QUERY=RkZfTkVUX0lOQyhBTk4sMjAxMCk=&amp;WINDOW=FIRST_POPUP&amp;HEIGHT=450&amp;WIDTH=450&amp;START_MAXIMIZED=","FALSE&amp;VAR:CALENDAR=US&amp;VAR:SYMBOL=UPS&amp;VAR:INDEX=0"}</definedName>
    <definedName name="_353__FDSAUDITLINK__" hidden="1">{"fdsup://directions/FAT Viewer?action=UPDATE&amp;creator=factset&amp;DYN_ARGS=TRUE&amp;DOC_NAME=FAT:FQL_AUDITING_CLIENT_TEMPLATE.FAT&amp;display_string=Audit&amp;VAR:KEY=ZMPSHSFQPC&amp;VAR:QUERY=RkZfTkVUX0lOQyhBTk4sMjAxMCk=&amp;WINDOW=FIRST_POPUP&amp;HEIGHT=450&amp;WIDTH=450&amp;START_MAXIMIZED=","FALSE&amp;VAR:CALENDAR=US&amp;VAR:SYMBOL=UPS&amp;VAR:INDEX=0"}</definedName>
    <definedName name="_354__FDSAUDITLINK__" localSheetId="4" hidden="1">{"fdsup://directions/FAT Viewer?action=UPDATE&amp;creator=factset&amp;DYN_ARGS=TRUE&amp;DOC_NAME=FAT:FQL_AUDITING_CLIENT_TEMPLATE.FAT&amp;display_string=Audit&amp;VAR:KEY=ZERKTWLUZM&amp;VAR:QUERY=RkZfTkVUX0lOQyhBTk4sMjAxMCk=&amp;WINDOW=FIRST_POPUP&amp;HEIGHT=450&amp;WIDTH=450&amp;START_MAXIMIZED=","FALSE&amp;VAR:CALENDAR=US&amp;VAR:SYMBOL=UNP&amp;VAR:INDEX=0"}</definedName>
    <definedName name="_354__FDSAUDITLINK__" hidden="1">{"fdsup://directions/FAT Viewer?action=UPDATE&amp;creator=factset&amp;DYN_ARGS=TRUE&amp;DOC_NAME=FAT:FQL_AUDITING_CLIENT_TEMPLATE.FAT&amp;display_string=Audit&amp;VAR:KEY=ZERKTWLUZM&amp;VAR:QUERY=RkZfTkVUX0lOQyhBTk4sMjAxMCk=&amp;WINDOW=FIRST_POPUP&amp;HEIGHT=450&amp;WIDTH=450&amp;START_MAXIMIZED=","FALSE&amp;VAR:CALENDAR=US&amp;VAR:SYMBOL=UNP&amp;VAR:INDEX=0"}</definedName>
    <definedName name="_355__FDSAUDITLINK__" localSheetId="4" hidden="1">{"fdsup://directions/FAT Viewer?action=UPDATE&amp;creator=factset&amp;DYN_ARGS=TRUE&amp;DOC_NAME=FAT:FQL_AUDITING_CLIENT_TEMPLATE.FAT&amp;display_string=Audit&amp;VAR:KEY=XSHQBOPYBO&amp;VAR:QUERY=RkZfTkVUX0lOQyhBTk4sMjAxMCk=&amp;WINDOW=FIRST_POPUP&amp;HEIGHT=450&amp;WIDTH=450&amp;START_MAXIMIZED=","FALSE&amp;VAR:CALENDAR=US&amp;VAR:SYMBOL=SWFT&amp;VAR:INDEX=0"}</definedName>
    <definedName name="_355__FDSAUDITLINK__" hidden="1">{"fdsup://directions/FAT Viewer?action=UPDATE&amp;creator=factset&amp;DYN_ARGS=TRUE&amp;DOC_NAME=FAT:FQL_AUDITING_CLIENT_TEMPLATE.FAT&amp;display_string=Audit&amp;VAR:KEY=XSHQBOPYBO&amp;VAR:QUERY=RkZfTkVUX0lOQyhBTk4sMjAxMCk=&amp;WINDOW=FIRST_POPUP&amp;HEIGHT=450&amp;WIDTH=450&amp;START_MAXIMIZED=","FALSE&amp;VAR:CALENDAR=US&amp;VAR:SYMBOL=SWFT&amp;VAR:INDEX=0"}</definedName>
    <definedName name="_356__FDSAUDITLINK__" localSheetId="4" hidden="1">{"fdsup://directions/FAT Viewer?action=UPDATE&amp;creator=factset&amp;DYN_ARGS=TRUE&amp;DOC_NAME=FAT:FQL_AUDITING_CLIENT_TEMPLATE.FAT&amp;display_string=Audit&amp;VAR:KEY=VMJEPWPIXO&amp;VAR:QUERY=RkZfTkVUX0lOQyhBTk4sMjAxMCk=&amp;WINDOW=FIRST_POPUP&amp;HEIGHT=450&amp;WIDTH=450&amp;START_MAXIMIZED=","FALSE&amp;VAR:CALENDAR=US&amp;VAR:SYMBOL=RA&amp;VAR:INDEX=0"}</definedName>
    <definedName name="_356__FDSAUDITLINK__" hidden="1">{"fdsup://directions/FAT Viewer?action=UPDATE&amp;creator=factset&amp;DYN_ARGS=TRUE&amp;DOC_NAME=FAT:FQL_AUDITING_CLIENT_TEMPLATE.FAT&amp;display_string=Audit&amp;VAR:KEY=VMJEPWPIXO&amp;VAR:QUERY=RkZfTkVUX0lOQyhBTk4sMjAxMCk=&amp;WINDOW=FIRST_POPUP&amp;HEIGHT=450&amp;WIDTH=450&amp;START_MAXIMIZED=","FALSE&amp;VAR:CALENDAR=US&amp;VAR:SYMBOL=RA&amp;VAR:INDEX=0"}</definedName>
    <definedName name="_357__FDSAUDITLINK__" localSheetId="4" hidden="1">{"fdsup://directions/FAT Viewer?action=UPDATE&amp;creator=factset&amp;DYN_ARGS=TRUE&amp;DOC_NAME=FAT:FQL_AUDITING_CLIENT_TEMPLATE.FAT&amp;display_string=Audit&amp;VAR:KEY=NKHQVIBYPU&amp;VAR:QUERY=RkZfTkVUX0lOQyhBTk4sMjAxMCk=&amp;WINDOW=FIRST_POPUP&amp;HEIGHT=450&amp;WIDTH=450&amp;START_MAXIMIZED=","FALSE&amp;VAR:CALENDAR=US&amp;VAR:SYMBOL=NSC&amp;VAR:INDEX=0"}</definedName>
    <definedName name="_357__FDSAUDITLINK__" hidden="1">{"fdsup://directions/FAT Viewer?action=UPDATE&amp;creator=factset&amp;DYN_ARGS=TRUE&amp;DOC_NAME=FAT:FQL_AUDITING_CLIENT_TEMPLATE.FAT&amp;display_string=Audit&amp;VAR:KEY=NKHQVIBYPU&amp;VAR:QUERY=RkZfTkVUX0lOQyhBTk4sMjAxMCk=&amp;WINDOW=FIRST_POPUP&amp;HEIGHT=450&amp;WIDTH=450&amp;START_MAXIMIZED=","FALSE&amp;VAR:CALENDAR=US&amp;VAR:SYMBOL=NSC&amp;VAR:INDEX=0"}</definedName>
    <definedName name="_358__FDSAUDITLINK__" localSheetId="4" hidden="1">{"fdsup://directions/FAT Viewer?action=UPDATE&amp;creator=factset&amp;DYN_ARGS=TRUE&amp;DOC_NAME=FAT:FQL_AUDITING_CLIENT_TEMPLATE.FAT&amp;display_string=Audit&amp;VAR:KEY=NUZSXGPYTE&amp;VAR:QUERY=RkZfTkVUX0lOQyhBTk4sMjAxMCk=&amp;WINDOW=FIRST_POPUP&amp;HEIGHT=450&amp;WIDTH=450&amp;START_MAXIMIZED=","FALSE&amp;VAR:CALENDAR=US&amp;VAR:SYMBOL=KSU&amp;VAR:INDEX=0"}</definedName>
    <definedName name="_358__FDSAUDITLINK__" hidden="1">{"fdsup://directions/FAT Viewer?action=UPDATE&amp;creator=factset&amp;DYN_ARGS=TRUE&amp;DOC_NAME=FAT:FQL_AUDITING_CLIENT_TEMPLATE.FAT&amp;display_string=Audit&amp;VAR:KEY=NUZSXGPYTE&amp;VAR:QUERY=RkZfTkVUX0lOQyhBTk4sMjAxMCk=&amp;WINDOW=FIRST_POPUP&amp;HEIGHT=450&amp;WIDTH=450&amp;START_MAXIMIZED=","FALSE&amp;VAR:CALENDAR=US&amp;VAR:SYMBOL=KSU&amp;VAR:INDEX=0"}</definedName>
    <definedName name="_359__FDSAUDITLINK__" localSheetId="4" hidden="1">{"fdsup://directions/FAT Viewer?action=UPDATE&amp;creator=factset&amp;DYN_ARGS=TRUE&amp;DOC_NAME=FAT:FQL_AUDITING_CLIENT_TEMPLATE.FAT&amp;display_string=Audit&amp;VAR:KEY=VIXYFCHCJW&amp;VAR:QUERY=RkZfTkVUX0lOQyhBTk4sMjAxMCk=&amp;WINDOW=FIRST_POPUP&amp;HEIGHT=450&amp;WIDTH=450&amp;START_MAXIMIZED=","FALSE&amp;VAR:CALENDAR=US&amp;VAR:SYMBOL=KNX&amp;VAR:INDEX=0"}</definedName>
    <definedName name="_359__FDSAUDITLINK__" hidden="1">{"fdsup://directions/FAT Viewer?action=UPDATE&amp;creator=factset&amp;DYN_ARGS=TRUE&amp;DOC_NAME=FAT:FQL_AUDITING_CLIENT_TEMPLATE.FAT&amp;display_string=Audit&amp;VAR:KEY=VIXYFCHCJW&amp;VAR:QUERY=RkZfTkVUX0lOQyhBTk4sMjAxMCk=&amp;WINDOW=FIRST_POPUP&amp;HEIGHT=450&amp;WIDTH=450&amp;START_MAXIMIZED=","FALSE&amp;VAR:CALENDAR=US&amp;VAR:SYMBOL=KNX&amp;VAR:INDEX=0"}</definedName>
    <definedName name="_36__FDSAUDITLINK__" localSheetId="4" hidden="1">{"fdsup://Directions/FactSet Auditing Viewer?action=AUDIT_VALUE&amp;DB=129&amp;ID1=12640810&amp;VALUEID=01001&amp;SDATE=2010&amp;PERIODTYPE=ANN_STD&amp;window=popup_no_bar&amp;width=385&amp;height=120&amp;START_MAXIMIZED=FALSE&amp;creator=factset&amp;display_string=Audit"}</definedName>
    <definedName name="_36__FDSAUDITLINK__" localSheetId="5" hidden="1">{"fdsup://Directions/FactSet Auditing Viewer?action=AUDIT_VALUE&amp;DB=129&amp;ID1=12640810&amp;VALUEID=01001&amp;SDATE=2009&amp;PERIODTYPE=ANN_STD&amp;window=popup_no_bar&amp;width=385&amp;height=120&amp;START_MAXIMIZED=FALSE&amp;creator=factset&amp;display_string=Audit"}</definedName>
    <definedName name="_36__FDSAUDITLINK__" localSheetId="6" hidden="1">{"fdsup://Directions/FactSet Auditing Viewer?action=AUDIT_VALUE&amp;DB=129&amp;ID1=12640810&amp;VALUEID=01001&amp;SDATE=2009&amp;PERIODTYPE=ANN_STD&amp;window=popup_no_bar&amp;width=385&amp;height=120&amp;START_MAXIMIZED=FALSE&amp;creator=factset&amp;display_string=Audit"}</definedName>
    <definedName name="_36__FDSAUDITLINK__" hidden="1">{"fdsup://Directions/FactSet Auditing Viewer?action=AUDIT_VALUE&amp;DB=129&amp;ID1=12640810&amp;VALUEID=01001&amp;SDATE=2010&amp;PERIODTYPE=ANN_STD&amp;window=popup_no_bar&amp;width=385&amp;height=120&amp;START_MAXIMIZED=FALSE&amp;creator=factset&amp;display_string=Audit"}</definedName>
    <definedName name="_360__FDSAUDITLINK__" localSheetId="4" hidden="1">{"fdsup://directions/FAT Viewer?action=UPDATE&amp;creator=factset&amp;DYN_ARGS=TRUE&amp;DOC_NAME=FAT:FQL_AUDITING_CLIENT_TEMPLATE.FAT&amp;display_string=Audit&amp;VAR:KEY=VWBAHYTEZO&amp;VAR:QUERY=RkZfTkVUX0lOQyhBTk4sMjAxMCk=&amp;WINDOW=FIRST_POPUP&amp;HEIGHT=450&amp;WIDTH=450&amp;START_MAXIMIZED=","FALSE&amp;VAR:CALENDAR=US&amp;VAR:SYMBOL=JBHT&amp;VAR:INDEX=0"}</definedName>
    <definedName name="_360__FDSAUDITLINK__" hidden="1">{"fdsup://directions/FAT Viewer?action=UPDATE&amp;creator=factset&amp;DYN_ARGS=TRUE&amp;DOC_NAME=FAT:FQL_AUDITING_CLIENT_TEMPLATE.FAT&amp;display_string=Audit&amp;VAR:KEY=VWBAHYTEZO&amp;VAR:QUERY=RkZfTkVUX0lOQyhBTk4sMjAxMCk=&amp;WINDOW=FIRST_POPUP&amp;HEIGHT=450&amp;WIDTH=450&amp;START_MAXIMIZED=","FALSE&amp;VAR:CALENDAR=US&amp;VAR:SYMBOL=JBHT&amp;VAR:INDEX=0"}</definedName>
    <definedName name="_361__FDSAUDITLINK__" localSheetId="4" hidden="1">{"fdsup://directions/FAT Viewer?action=UPDATE&amp;creator=factset&amp;DYN_ARGS=TRUE&amp;DOC_NAME=FAT:FQL_AUDITING_CLIENT_TEMPLATE.FAT&amp;display_string=Audit&amp;VAR:KEY=ZUDYNERMNW&amp;VAR:QUERY=RkZfTkVUX0lOQyhBTk4sMjAxMCk=&amp;WINDOW=FIRST_POPUP&amp;HEIGHT=450&amp;WIDTH=450&amp;START_MAXIMIZED=","FALSE&amp;VAR:CALENDAR=US&amp;VAR:SYMBOL=HTLD&amp;VAR:INDEX=0"}</definedName>
    <definedName name="_361__FDSAUDITLINK__" hidden="1">{"fdsup://directions/FAT Viewer?action=UPDATE&amp;creator=factset&amp;DYN_ARGS=TRUE&amp;DOC_NAME=FAT:FQL_AUDITING_CLIENT_TEMPLATE.FAT&amp;display_string=Audit&amp;VAR:KEY=ZUDYNERMNW&amp;VAR:QUERY=RkZfTkVUX0lOQyhBTk4sMjAxMCk=&amp;WINDOW=FIRST_POPUP&amp;HEIGHT=450&amp;WIDTH=450&amp;START_MAXIMIZED=","FALSE&amp;VAR:CALENDAR=US&amp;VAR:SYMBOL=HTLD&amp;VAR:INDEX=0"}</definedName>
    <definedName name="_362__FDSAUDITLINK__" localSheetId="4" hidden="1">{"fdsup://directions/FAT Viewer?action=UPDATE&amp;creator=factset&amp;DYN_ARGS=TRUE&amp;DOC_NAME=FAT:FQL_AUDITING_CLIENT_TEMPLATE.FAT&amp;display_string=Audit&amp;VAR:KEY=DWLKJADUPM&amp;VAR:QUERY=RkZfTkVUX0lOQyhBTk4sMjAxMCk=&amp;WINDOW=FIRST_POPUP&amp;HEIGHT=450&amp;WIDTH=450&amp;START_MAXIMIZED=","FALSE&amp;VAR:CALENDAR=US&amp;VAR:SYMBOL=GWR&amp;VAR:INDEX=0"}</definedName>
    <definedName name="_362__FDSAUDITLINK__" hidden="1">{"fdsup://directions/FAT Viewer?action=UPDATE&amp;creator=factset&amp;DYN_ARGS=TRUE&amp;DOC_NAME=FAT:FQL_AUDITING_CLIENT_TEMPLATE.FAT&amp;display_string=Audit&amp;VAR:KEY=DWLKJADUPM&amp;VAR:QUERY=RkZfTkVUX0lOQyhBTk4sMjAxMCk=&amp;WINDOW=FIRST_POPUP&amp;HEIGHT=450&amp;WIDTH=450&amp;START_MAXIMIZED=","FALSE&amp;VAR:CALENDAR=US&amp;VAR:SYMBOL=GWR&amp;VAR:INDEX=0"}</definedName>
    <definedName name="_363__FDSAUDITLINK__" localSheetId="4" hidden="1">{"fdsup://directions/FAT Viewer?action=UPDATE&amp;creator=factset&amp;DYN_ARGS=TRUE&amp;DOC_NAME=FAT:FQL_AUDITING_CLIENT_TEMPLATE.FAT&amp;display_string=Audit&amp;VAR:KEY=NCHITCFSDK&amp;VAR:QUERY=RkZfTkVUX0lOQyhBTk4sMjAxMCk=&amp;WINDOW=FIRST_POPUP&amp;HEIGHT=450&amp;WIDTH=450&amp;START_MAXIMIZED=","FALSE&amp;VAR:CALENDAR=US&amp;VAR:SYMBOL=FDX&amp;VAR:INDEX=0"}</definedName>
    <definedName name="_363__FDSAUDITLINK__" hidden="1">{"fdsup://directions/FAT Viewer?action=UPDATE&amp;creator=factset&amp;DYN_ARGS=TRUE&amp;DOC_NAME=FAT:FQL_AUDITING_CLIENT_TEMPLATE.FAT&amp;display_string=Audit&amp;VAR:KEY=NCHITCFSDK&amp;VAR:QUERY=RkZfTkVUX0lOQyhBTk4sMjAxMCk=&amp;WINDOW=FIRST_POPUP&amp;HEIGHT=450&amp;WIDTH=450&amp;START_MAXIMIZED=","FALSE&amp;VAR:CALENDAR=US&amp;VAR:SYMBOL=FDX&amp;VAR:INDEX=0"}</definedName>
    <definedName name="_364__FDSAUDITLINK__" localSheetId="4" hidden="1">{"fdsup://directions/FAT Viewer?action=UPDATE&amp;creator=factset&amp;DYN_ARGS=TRUE&amp;DOC_NAME=FAT:FQL_AUDITING_CLIENT_TEMPLATE.FAT&amp;display_string=Audit&amp;VAR:KEY=DYDADKPAZI&amp;VAR:QUERY=RkZfTkVUX0lOQyhBTk4sMjAxMCk=&amp;WINDOW=FIRST_POPUP&amp;HEIGHT=450&amp;WIDTH=450&amp;START_MAXIMIZED=","FALSE&amp;VAR:CALENDAR=US&amp;VAR:SYMBOL=EXPD&amp;VAR:INDEX=0"}</definedName>
    <definedName name="_364__FDSAUDITLINK__" hidden="1">{"fdsup://directions/FAT Viewer?action=UPDATE&amp;creator=factset&amp;DYN_ARGS=TRUE&amp;DOC_NAME=FAT:FQL_AUDITING_CLIENT_TEMPLATE.FAT&amp;display_string=Audit&amp;VAR:KEY=DYDADKPAZI&amp;VAR:QUERY=RkZfTkVUX0lOQyhBTk4sMjAxMCk=&amp;WINDOW=FIRST_POPUP&amp;HEIGHT=450&amp;WIDTH=450&amp;START_MAXIMIZED=","FALSE&amp;VAR:CALENDAR=US&amp;VAR:SYMBOL=EXPD&amp;VAR:INDEX=0"}</definedName>
    <definedName name="_365__FDSAUDITLINK__" localSheetId="4" hidden="1">{"fdsup://directions/FAT Viewer?action=UPDATE&amp;creator=factset&amp;DYN_ARGS=TRUE&amp;DOC_NAME=FAT:FQL_AUDITING_CLIENT_TEMPLATE.FAT&amp;display_string=Audit&amp;VAR:KEY=BCNGDMHELQ&amp;VAR:QUERY=RkZfTkVUX0lOQyhBTk4sMjAxMCk=&amp;WINDOW=FIRST_POPUP&amp;HEIGHT=450&amp;WIDTH=450&amp;START_MAXIMIZED=","FALSE&amp;VAR:CALENDAR=US&amp;VAR:SYMBOL=ECHO&amp;VAR:INDEX=0"}</definedName>
    <definedName name="_365__FDSAUDITLINK__" hidden="1">{"fdsup://directions/FAT Viewer?action=UPDATE&amp;creator=factset&amp;DYN_ARGS=TRUE&amp;DOC_NAME=FAT:FQL_AUDITING_CLIENT_TEMPLATE.FAT&amp;display_string=Audit&amp;VAR:KEY=BCNGDMHELQ&amp;VAR:QUERY=RkZfTkVUX0lOQyhBTk4sMjAxMCk=&amp;WINDOW=FIRST_POPUP&amp;HEIGHT=450&amp;WIDTH=450&amp;START_MAXIMIZED=","FALSE&amp;VAR:CALENDAR=US&amp;VAR:SYMBOL=ECHO&amp;VAR:INDEX=0"}</definedName>
    <definedName name="_366__FDSAUDITLINK__" localSheetId="4" hidden="1">{"fdsup://directions/FAT Viewer?action=UPDATE&amp;creator=factset&amp;DYN_ARGS=TRUE&amp;DOC_NAME=FAT:FQL_AUDITING_CLIENT_TEMPLATE.FAT&amp;display_string=Audit&amp;VAR:KEY=ZAXCRELUXM&amp;VAR:QUERY=RkZfTkVUX0lOQyhBTk4sMjAxMCk=&amp;WINDOW=FIRST_POPUP&amp;HEIGHT=450&amp;WIDTH=450&amp;START_MAXIMIZED=","FALSE&amp;VAR:CALENDAR=US&amp;VAR:SYMBOL=CSX&amp;VAR:INDEX=0"}</definedName>
    <definedName name="_366__FDSAUDITLINK__" hidden="1">{"fdsup://directions/FAT Viewer?action=UPDATE&amp;creator=factset&amp;DYN_ARGS=TRUE&amp;DOC_NAME=FAT:FQL_AUDITING_CLIENT_TEMPLATE.FAT&amp;display_string=Audit&amp;VAR:KEY=ZAXCRELUXM&amp;VAR:QUERY=RkZfTkVUX0lOQyhBTk4sMjAxMCk=&amp;WINDOW=FIRST_POPUP&amp;HEIGHT=450&amp;WIDTH=450&amp;START_MAXIMIZED=","FALSE&amp;VAR:CALENDAR=US&amp;VAR:SYMBOL=CSX&amp;VAR:INDEX=0"}</definedName>
    <definedName name="_367__FDSAUDITLINK__" localSheetId="4" hidden="1">{"fdsup://directions/FAT Viewer?action=UPDATE&amp;creator=factset&amp;DYN_ARGS=TRUE&amp;DOC_NAME=FAT:FQL_AUDITING_CLIENT_TEMPLATE.FAT&amp;display_string=Audit&amp;VAR:KEY=TOPEJIDUDE&amp;VAR:QUERY=RkZfTkVUX0lOQyhBTk4sMjAxMCk=&amp;WINDOW=FIRST_POPUP&amp;HEIGHT=450&amp;WIDTH=450&amp;START_MAXIMIZED=","FALSE&amp;VAR:CALENDAR=US&amp;VAR:SYMBOL=CP&amp;VAR:INDEX=0"}</definedName>
    <definedName name="_367__FDSAUDITLINK__" hidden="1">{"fdsup://directions/FAT Viewer?action=UPDATE&amp;creator=factset&amp;DYN_ARGS=TRUE&amp;DOC_NAME=FAT:FQL_AUDITING_CLIENT_TEMPLATE.FAT&amp;display_string=Audit&amp;VAR:KEY=TOPEJIDUDE&amp;VAR:QUERY=RkZfTkVUX0lOQyhBTk4sMjAxMCk=&amp;WINDOW=FIRST_POPUP&amp;HEIGHT=450&amp;WIDTH=450&amp;START_MAXIMIZED=","FALSE&amp;VAR:CALENDAR=US&amp;VAR:SYMBOL=CP&amp;VAR:INDEX=0"}</definedName>
    <definedName name="_368__FDSAUDITLINK__" localSheetId="4" hidden="1">{"fdsup://directions/FAT Viewer?action=UPDATE&amp;creator=factset&amp;DYN_ARGS=TRUE&amp;DOC_NAME=FAT:FQL_AUDITING_CLIENT_TEMPLATE.FAT&amp;display_string=Audit&amp;VAR:KEY=TSDAZCBUZS&amp;VAR:QUERY=RkZfTkVUX0lOQyhBTk4sMjAxMCk=&amp;WINDOW=FIRST_POPUP&amp;HEIGHT=450&amp;WIDTH=450&amp;START_MAXIMIZED=","FALSE&amp;VAR:CALENDAR=US&amp;VAR:SYMBOL=CNI&amp;VAR:INDEX=0"}</definedName>
    <definedName name="_368__FDSAUDITLINK__" hidden="1">{"fdsup://directions/FAT Viewer?action=UPDATE&amp;creator=factset&amp;DYN_ARGS=TRUE&amp;DOC_NAME=FAT:FQL_AUDITING_CLIENT_TEMPLATE.FAT&amp;display_string=Audit&amp;VAR:KEY=TSDAZCBUZS&amp;VAR:QUERY=RkZfTkVUX0lOQyhBTk4sMjAxMCk=&amp;WINDOW=FIRST_POPUP&amp;HEIGHT=450&amp;WIDTH=450&amp;START_MAXIMIZED=","FALSE&amp;VAR:CALENDAR=US&amp;VAR:SYMBOL=CNI&amp;VAR:INDEX=0"}</definedName>
    <definedName name="_369__FDSAUDITLINK__" localSheetId="4" hidden="1">{"fdsup://directions/FAT Viewer?action=UPDATE&amp;creator=factset&amp;DYN_ARGS=TRUE&amp;DOC_NAME=FAT:FQL_AUDITING_CLIENT_TEMPLATE.FAT&amp;display_string=Audit&amp;VAR:KEY=VGFEBKRWDE&amp;VAR:QUERY=RkZfTkVUX0lOQyhBTk4sMjAxMCk=&amp;WINDOW=FIRST_POPUP&amp;HEIGHT=450&amp;WIDTH=450&amp;START_MAXIMIZED=","FALSE&amp;VAR:CALENDAR=US&amp;VAR:SYMBOL=CHRW&amp;VAR:INDEX=0"}</definedName>
    <definedName name="_369__FDSAUDITLINK__" hidden="1">{"fdsup://directions/FAT Viewer?action=UPDATE&amp;creator=factset&amp;DYN_ARGS=TRUE&amp;DOC_NAME=FAT:FQL_AUDITING_CLIENT_TEMPLATE.FAT&amp;display_string=Audit&amp;VAR:KEY=VGFEBKRWDE&amp;VAR:QUERY=RkZfTkVUX0lOQyhBTk4sMjAxMCk=&amp;WINDOW=FIRST_POPUP&amp;HEIGHT=450&amp;WIDTH=450&amp;START_MAXIMIZED=","FALSE&amp;VAR:CALENDAR=US&amp;VAR:SYMBOL=CHRW&amp;VAR:INDEX=0"}</definedName>
    <definedName name="_37__FDSAUDITLINK__" localSheetId="4" hidden="1">{"fdsup://directions/FAT Viewer?action=UPDATE&amp;creator=factset&amp;DYN_ARGS=TRUE&amp;DOC_NAME=FAT:FQL_AUDITING_CLIENT_TEMPLATE.FAT&amp;display_string=Audit&amp;VAR:KEY=GFSNGJUZGB&amp;VAR:QUERY=RkZfTkVUX0lOQyhBTk4sMjAxMCk=&amp;WINDOW=FIRST_POPUP&amp;HEIGHT=450&amp;WIDTH=450&amp;START_MAXIMIZED=","FALSE&amp;VAR:CALENDAR=US&amp;VAR:SYMBOL=UNP&amp;VAR:INDEX=0"}</definedName>
    <definedName name="_37__FDSAUDITLINK__" localSheetId="5" hidden="1">{"fdsup://Directions/FactSet Auditing Viewer?action=AUDIT_VALUE&amp;DB=129&amp;ID1=90781810&amp;VALUEID=01250&amp;SDATE=2009&amp;PERIODTYPE=ANN_STD&amp;window=popup_no_bar&amp;width=385&amp;height=120&amp;START_MAXIMIZED=FALSE&amp;creator=factset&amp;display_string=Audit"}</definedName>
    <definedName name="_37__FDSAUDITLINK__" localSheetId="6" hidden="1">{"fdsup://Directions/FactSet Auditing Viewer?action=AUDIT_VALUE&amp;DB=129&amp;ID1=90781810&amp;VALUEID=01250&amp;SDATE=2009&amp;PERIODTYPE=ANN_STD&amp;window=popup_no_bar&amp;width=385&amp;height=120&amp;START_MAXIMIZED=FALSE&amp;creator=factset&amp;display_string=Audit"}</definedName>
    <definedName name="_37__FDSAUDITLINK__" hidden="1">{"fdsup://directions/FAT Viewer?action=UPDATE&amp;creator=factset&amp;DYN_ARGS=TRUE&amp;DOC_NAME=FAT:FQL_AUDITING_CLIENT_TEMPLATE.FAT&amp;display_string=Audit&amp;VAR:KEY=GFSNGJUZGB&amp;VAR:QUERY=RkZfTkVUX0lOQyhBTk4sMjAxMCk=&amp;WINDOW=FIRST_POPUP&amp;HEIGHT=450&amp;WIDTH=450&amp;START_MAXIMIZED=","FALSE&amp;VAR:CALENDAR=US&amp;VAR:SYMBOL=UNP&amp;VAR:INDEX=0"}</definedName>
    <definedName name="_370__FDSAUDITLINK__" localSheetId="4" hidden="1">{"fdsup://Directions/FactSet Auditing Viewer?action=AUDIT_VALUE&amp;DB=129&amp;ID1=90781810&amp;VALUEID=01401&amp;SDATE=2010&amp;PERIODTYPE=ANN_STD&amp;SCFT=3&amp;window=popup_no_bar&amp;width=385&amp;height=120&amp;START_MAXIMIZED=FALSE&amp;creator=factset&amp;display_string=Audit"}</definedName>
    <definedName name="_370__FDSAUDITLINK__" hidden="1">{"fdsup://Directions/FactSet Auditing Viewer?action=AUDIT_VALUE&amp;DB=129&amp;ID1=90781810&amp;VALUEID=01401&amp;SDATE=2010&amp;PERIODTYPE=ANN_STD&amp;SCFT=3&amp;window=popup_no_bar&amp;width=385&amp;height=120&amp;START_MAXIMIZED=FALSE&amp;creator=factset&amp;display_string=Audit"}</definedName>
    <definedName name="_371__FDSAUDITLINK__" localSheetId="4" hidden="1">{"fdsup://Directions/FactSet Auditing Viewer?action=AUDIT_VALUE&amp;DB=129&amp;ID1=75075340&amp;VALUEID=01401&amp;SDATE=2010&amp;PERIODTYPE=ANN_STD&amp;SCFT=3&amp;window=popup_no_bar&amp;width=385&amp;height=120&amp;START_MAXIMIZED=FALSE&amp;creator=factset&amp;display_string=Audit"}</definedName>
    <definedName name="_371__FDSAUDITLINK__" hidden="1">{"fdsup://Directions/FactSet Auditing Viewer?action=AUDIT_VALUE&amp;DB=129&amp;ID1=75075340&amp;VALUEID=01401&amp;SDATE=2010&amp;PERIODTYPE=ANN_STD&amp;SCFT=3&amp;window=popup_no_bar&amp;width=385&amp;height=120&amp;START_MAXIMIZED=FALSE&amp;creator=factset&amp;display_string=Audit"}</definedName>
    <definedName name="_372__FDSAUDITLINK__" localSheetId="4" hidden="1">{"fdsup://Directions/FactSet Auditing Viewer?action=AUDIT_VALUE&amp;DB=129&amp;ID1=65584410&amp;VALUEID=01401&amp;SDATE=2010&amp;PERIODTYPE=ANN_STD&amp;SCFT=3&amp;window=popup_no_bar&amp;width=385&amp;height=120&amp;START_MAXIMIZED=FALSE&amp;creator=factset&amp;display_string=Audit"}</definedName>
    <definedName name="_372__FDSAUDITLINK__" hidden="1">{"fdsup://Directions/FactSet Auditing Viewer?action=AUDIT_VALUE&amp;DB=129&amp;ID1=65584410&amp;VALUEID=01401&amp;SDATE=2010&amp;PERIODTYPE=ANN_STD&amp;SCFT=3&amp;window=popup_no_bar&amp;width=385&amp;height=120&amp;START_MAXIMIZED=FALSE&amp;creator=factset&amp;display_string=Audit"}</definedName>
    <definedName name="_373__FDSAUDITLINK__" localSheetId="4" hidden="1">{"fdsup://Directions/FactSet Auditing Viewer?action=AUDIT_VALUE&amp;DB=129&amp;ID1=48517030&amp;VALUEID=01401&amp;SDATE=2010&amp;PERIODTYPE=ANN_STD&amp;SCFT=3&amp;window=popup_no_bar&amp;width=385&amp;height=120&amp;START_MAXIMIZED=FALSE&amp;creator=factset&amp;display_string=Audit"}</definedName>
    <definedName name="_373__FDSAUDITLINK__" hidden="1">{"fdsup://Directions/FactSet Auditing Viewer?action=AUDIT_VALUE&amp;DB=129&amp;ID1=48517030&amp;VALUEID=01401&amp;SDATE=2010&amp;PERIODTYPE=ANN_STD&amp;SCFT=3&amp;window=popup_no_bar&amp;width=385&amp;height=120&amp;START_MAXIMIZED=FALSE&amp;creator=factset&amp;display_string=Audit"}</definedName>
    <definedName name="_374__FDSAUDITLINK__" localSheetId="4" hidden="1">{"fdsup://Directions/FactSet Auditing Viewer?action=AUDIT_VALUE&amp;DB=129&amp;ID1=37155910&amp;VALUEID=01401&amp;SDATE=2010&amp;PERIODTYPE=ANN_STD&amp;SCFT=3&amp;window=popup_no_bar&amp;width=385&amp;height=120&amp;START_MAXIMIZED=FALSE&amp;creator=factset&amp;display_string=Audit"}</definedName>
    <definedName name="_374__FDSAUDITLINK__" hidden="1">{"fdsup://Directions/FactSet Auditing Viewer?action=AUDIT_VALUE&amp;DB=129&amp;ID1=37155910&amp;VALUEID=01401&amp;SDATE=2010&amp;PERIODTYPE=ANN_STD&amp;SCFT=3&amp;window=popup_no_bar&amp;width=385&amp;height=120&amp;START_MAXIMIZED=FALSE&amp;creator=factset&amp;display_string=Audit"}</definedName>
    <definedName name="_375__FDSAUDITLINK__" localSheetId="4" hidden="1">{"fdsup://Directions/FactSet Auditing Viewer?action=AUDIT_VALUE&amp;DB=129&amp;ID1=12640810&amp;VALUEID=01401&amp;SDATE=2010&amp;PERIODTYPE=ANN_STD&amp;SCFT=3&amp;window=popup_no_bar&amp;width=385&amp;height=120&amp;START_MAXIMIZED=FALSE&amp;creator=factset&amp;display_string=Audit"}</definedName>
    <definedName name="_375__FDSAUDITLINK__" hidden="1">{"fdsup://Directions/FactSet Auditing Viewer?action=AUDIT_VALUE&amp;DB=129&amp;ID1=12640810&amp;VALUEID=01401&amp;SDATE=2010&amp;PERIODTYPE=ANN_STD&amp;SCFT=3&amp;window=popup_no_bar&amp;width=385&amp;height=120&amp;START_MAXIMIZED=FALSE&amp;creator=factset&amp;display_string=Audit"}</definedName>
    <definedName name="_376__FDSAUDITLINK__" localSheetId="4" hidden="1">{"fdsup://directions/FAT Viewer?action=UPDATE&amp;creator=factset&amp;DYN_ARGS=TRUE&amp;DOC_NAME=FAT:FQL_AUDITING_CLIENT_TEMPLATE.FAT&amp;display_string=Audit&amp;VAR:KEY=LUJWPUNIHI&amp;VAR:QUERY=RkZfRUJJVChBTk4sMjAxMCk=&amp;WINDOW=FIRST_POPUP&amp;HEIGHT=450&amp;WIDTH=450&amp;START_MAXIMIZED=FALS","E&amp;VAR:CALENDAR=US&amp;VAR:SYMBOL=WERN&amp;VAR:INDEX=0"}</definedName>
    <definedName name="_376__FDSAUDITLINK__" hidden="1">{"fdsup://directions/FAT Viewer?action=UPDATE&amp;creator=factset&amp;DYN_ARGS=TRUE&amp;DOC_NAME=FAT:FQL_AUDITING_CLIENT_TEMPLATE.FAT&amp;display_string=Audit&amp;VAR:KEY=LUJWPUNIHI&amp;VAR:QUERY=RkZfRUJJVChBTk4sMjAxMCk=&amp;WINDOW=FIRST_POPUP&amp;HEIGHT=450&amp;WIDTH=450&amp;START_MAXIMIZED=FALS","E&amp;VAR:CALENDAR=US&amp;VAR:SYMBOL=WERN&amp;VAR:INDEX=0"}</definedName>
    <definedName name="_377__FDSAUDITLINK__" localSheetId="4" hidden="1">{"fdsup://directions/FAT Viewer?action=UPDATE&amp;creator=factset&amp;DYN_ARGS=TRUE&amp;DOC_NAME=FAT:FQL_AUDITING_CLIENT_TEMPLATE.FAT&amp;display_string=Audit&amp;VAR:KEY=LYPKXEFQVW&amp;VAR:QUERY=RkZfRUJJVChBTk4sMjAxMCk=&amp;WINDOW=FIRST_POPUP&amp;HEIGHT=450&amp;WIDTH=450&amp;START_MAXIMIZED=FALS","E&amp;VAR:CALENDAR=US&amp;VAR:SYMBOL=UTIW&amp;VAR:INDEX=0"}</definedName>
    <definedName name="_377__FDSAUDITLINK__" hidden="1">{"fdsup://directions/FAT Viewer?action=UPDATE&amp;creator=factset&amp;DYN_ARGS=TRUE&amp;DOC_NAME=FAT:FQL_AUDITING_CLIENT_TEMPLATE.FAT&amp;display_string=Audit&amp;VAR:KEY=LYPKXEFQVW&amp;VAR:QUERY=RkZfRUJJVChBTk4sMjAxMCk=&amp;WINDOW=FIRST_POPUP&amp;HEIGHT=450&amp;WIDTH=450&amp;START_MAXIMIZED=FALS","E&amp;VAR:CALENDAR=US&amp;VAR:SYMBOL=UTIW&amp;VAR:INDEX=0"}</definedName>
    <definedName name="_378__FDSAUDITLINK__" localSheetId="4" hidden="1">{"fdsup://directions/FAT Viewer?action=UPDATE&amp;creator=factset&amp;DYN_ARGS=TRUE&amp;DOC_NAME=FAT:FQL_AUDITING_CLIENT_TEMPLATE.FAT&amp;display_string=Audit&amp;VAR:KEY=XKNOLEJSVM&amp;VAR:QUERY=RkZfRUJJVChBTk4sMjAxMCk=&amp;WINDOW=FIRST_POPUP&amp;HEIGHT=450&amp;WIDTH=450&amp;START_MAXIMIZED=FALS","E&amp;VAR:CALENDAR=US&amp;VAR:SYMBOL=UPS&amp;VAR:INDEX=0"}</definedName>
    <definedName name="_378__FDSAUDITLINK__" hidden="1">{"fdsup://directions/FAT Viewer?action=UPDATE&amp;creator=factset&amp;DYN_ARGS=TRUE&amp;DOC_NAME=FAT:FQL_AUDITING_CLIENT_TEMPLATE.FAT&amp;display_string=Audit&amp;VAR:KEY=XKNOLEJSVM&amp;VAR:QUERY=RkZfRUJJVChBTk4sMjAxMCk=&amp;WINDOW=FIRST_POPUP&amp;HEIGHT=450&amp;WIDTH=450&amp;START_MAXIMIZED=FALS","E&amp;VAR:CALENDAR=US&amp;VAR:SYMBOL=UPS&amp;VAR:INDEX=0"}</definedName>
    <definedName name="_379__FDSAUDITLINK__" localSheetId="4" hidden="1">{"fdsup://directions/FAT Viewer?action=UPDATE&amp;creator=factset&amp;DYN_ARGS=TRUE&amp;DOC_NAME=FAT:FQL_AUDITING_CLIENT_TEMPLATE.FAT&amp;display_string=Audit&amp;VAR:KEY=XSTYHIJETW&amp;VAR:QUERY=RkZfRUJJVChBTk4sMjAxMCk=&amp;WINDOW=FIRST_POPUP&amp;HEIGHT=450&amp;WIDTH=450&amp;START_MAXIMIZED=FALS","E&amp;VAR:CALENDAR=US&amp;VAR:SYMBOL=UNP&amp;VAR:INDEX=0"}</definedName>
    <definedName name="_379__FDSAUDITLINK__" hidden="1">{"fdsup://directions/FAT Viewer?action=UPDATE&amp;creator=factset&amp;DYN_ARGS=TRUE&amp;DOC_NAME=FAT:FQL_AUDITING_CLIENT_TEMPLATE.FAT&amp;display_string=Audit&amp;VAR:KEY=XSTYHIJETW&amp;VAR:QUERY=RkZfRUJJVChBTk4sMjAxMCk=&amp;WINDOW=FIRST_POPUP&amp;HEIGHT=450&amp;WIDTH=450&amp;START_MAXIMIZED=FALS","E&amp;VAR:CALENDAR=US&amp;VAR:SYMBOL=UNP&amp;VAR:INDEX=0"}</definedName>
    <definedName name="_38__FDSAUDITLINK__" localSheetId="4" hidden="1">{"fdsup://directions/FAT Viewer?action=UPDATE&amp;creator=factset&amp;DYN_ARGS=TRUE&amp;DOC_NAME=FAT:FQL_AUDITING_CLIENT_TEMPLATE.FAT&amp;display_string=Audit&amp;VAR:KEY=CBUFQRWTMN&amp;VAR:QUERY=RkZfTkVUX0lOQyhBTk4sMjAxMCk=&amp;WINDOW=FIRST_POPUP&amp;HEIGHT=450&amp;WIDTH=450&amp;START_MAXIMIZED=","FALSE&amp;VAR:CALENDAR=US&amp;VAR:SYMBOL=RA&amp;VAR:INDEX=0"}</definedName>
    <definedName name="_38__FDSAUDITLINK__" localSheetId="5" hidden="1">{"fdsup://Directions/FactSet Auditing Viewer?action=AUDIT_VALUE&amp;DB=129&amp;ID1=75075340&amp;VALUEID=01250&amp;SDATE=2009&amp;PERIODTYPE=ANN_STD&amp;window=popup_no_bar&amp;width=385&amp;height=120&amp;START_MAXIMIZED=FALSE&amp;creator=factset&amp;display_string=Audit"}</definedName>
    <definedName name="_38__FDSAUDITLINK__" localSheetId="6" hidden="1">{"fdsup://Directions/FactSet Auditing Viewer?action=AUDIT_VALUE&amp;DB=129&amp;ID1=75075340&amp;VALUEID=01250&amp;SDATE=2009&amp;PERIODTYPE=ANN_STD&amp;window=popup_no_bar&amp;width=385&amp;height=120&amp;START_MAXIMIZED=FALSE&amp;creator=factset&amp;display_string=Audit"}</definedName>
    <definedName name="_38__FDSAUDITLINK__" hidden="1">{"fdsup://directions/FAT Viewer?action=UPDATE&amp;creator=factset&amp;DYN_ARGS=TRUE&amp;DOC_NAME=FAT:FQL_AUDITING_CLIENT_TEMPLATE.FAT&amp;display_string=Audit&amp;VAR:KEY=CBUFQRWTMN&amp;VAR:QUERY=RkZfTkVUX0lOQyhBTk4sMjAxMCk=&amp;WINDOW=FIRST_POPUP&amp;HEIGHT=450&amp;WIDTH=450&amp;START_MAXIMIZED=","FALSE&amp;VAR:CALENDAR=US&amp;VAR:SYMBOL=RA&amp;VAR:INDEX=0"}</definedName>
    <definedName name="_380__FDSAUDITLINK__" localSheetId="4" hidden="1">{"fdsup://directions/FAT Viewer?action=UPDATE&amp;creator=factset&amp;DYN_ARGS=TRUE&amp;DOC_NAME=FAT:FQL_AUDITING_CLIENT_TEMPLATE.FAT&amp;display_string=Audit&amp;VAR:KEY=TYTONQVMDS&amp;VAR:QUERY=RkZfRUJJVChBTk4sMjAxMCk=&amp;WINDOW=FIRST_POPUP&amp;HEIGHT=450&amp;WIDTH=450&amp;START_MAXIMIZED=FALS","E&amp;VAR:CALENDAR=US&amp;VAR:SYMBOL=SWFT&amp;VAR:INDEX=0"}</definedName>
    <definedName name="_380__FDSAUDITLINK__" hidden="1">{"fdsup://directions/FAT Viewer?action=UPDATE&amp;creator=factset&amp;DYN_ARGS=TRUE&amp;DOC_NAME=FAT:FQL_AUDITING_CLIENT_TEMPLATE.FAT&amp;display_string=Audit&amp;VAR:KEY=TYTONQVMDS&amp;VAR:QUERY=RkZfRUJJVChBTk4sMjAxMCk=&amp;WINDOW=FIRST_POPUP&amp;HEIGHT=450&amp;WIDTH=450&amp;START_MAXIMIZED=FALS","E&amp;VAR:CALENDAR=US&amp;VAR:SYMBOL=SWFT&amp;VAR:INDEX=0"}</definedName>
    <definedName name="_381__FDSAUDITLINK__" localSheetId="4" hidden="1">{"fdsup://directions/FAT Viewer?action=UPDATE&amp;creator=factset&amp;DYN_ARGS=TRUE&amp;DOC_NAME=FAT:FQL_AUDITING_CLIENT_TEMPLATE.FAT&amp;display_string=Audit&amp;VAR:KEY=NEXMNMLKZO&amp;VAR:QUERY=RkZfRUJJVChBTk4sMjAxMCk=&amp;WINDOW=FIRST_POPUP&amp;HEIGHT=450&amp;WIDTH=450&amp;START_MAXIMIZED=FALS","E&amp;VAR:CALENDAR=US&amp;VAR:SYMBOL=RA&amp;VAR:INDEX=0"}</definedName>
    <definedName name="_381__FDSAUDITLINK__" hidden="1">{"fdsup://directions/FAT Viewer?action=UPDATE&amp;creator=factset&amp;DYN_ARGS=TRUE&amp;DOC_NAME=FAT:FQL_AUDITING_CLIENT_TEMPLATE.FAT&amp;display_string=Audit&amp;VAR:KEY=NEXMNMLKZO&amp;VAR:QUERY=RkZfRUJJVChBTk4sMjAxMCk=&amp;WINDOW=FIRST_POPUP&amp;HEIGHT=450&amp;WIDTH=450&amp;START_MAXIMIZED=FALS","E&amp;VAR:CALENDAR=US&amp;VAR:SYMBOL=RA&amp;VAR:INDEX=0"}</definedName>
    <definedName name="_382__FDSAUDITLINK__" localSheetId="4" hidden="1">{"fdsup://directions/FAT Viewer?action=UPDATE&amp;creator=factset&amp;DYN_ARGS=TRUE&amp;DOC_NAME=FAT:FQL_AUDITING_CLIENT_TEMPLATE.FAT&amp;display_string=Audit&amp;VAR:KEY=HQZYJQNCTG&amp;VAR:QUERY=RkZfRUJJVChBTk4sMjAxMCk=&amp;WINDOW=FIRST_POPUP&amp;HEIGHT=450&amp;WIDTH=450&amp;START_MAXIMIZED=FALS","E&amp;VAR:CALENDAR=US&amp;VAR:SYMBOL=NSC&amp;VAR:INDEX=0"}</definedName>
    <definedName name="_382__FDSAUDITLINK__" hidden="1">{"fdsup://directions/FAT Viewer?action=UPDATE&amp;creator=factset&amp;DYN_ARGS=TRUE&amp;DOC_NAME=FAT:FQL_AUDITING_CLIENT_TEMPLATE.FAT&amp;display_string=Audit&amp;VAR:KEY=HQZYJQNCTG&amp;VAR:QUERY=RkZfRUJJVChBTk4sMjAxMCk=&amp;WINDOW=FIRST_POPUP&amp;HEIGHT=450&amp;WIDTH=450&amp;START_MAXIMIZED=FALS","E&amp;VAR:CALENDAR=US&amp;VAR:SYMBOL=NSC&amp;VAR:INDEX=0"}</definedName>
    <definedName name="_383__FDSAUDITLINK__" localSheetId="4" hidden="1">{"fdsup://directions/FAT Viewer?action=UPDATE&amp;creator=factset&amp;DYN_ARGS=TRUE&amp;DOC_NAME=FAT:FQL_AUDITING_CLIENT_TEMPLATE.FAT&amp;display_string=Audit&amp;VAR:KEY=JIXYNQRSDQ&amp;VAR:QUERY=RkZfRUJJVChBTk4sMjAxMCk=&amp;WINDOW=FIRST_POPUP&amp;HEIGHT=450&amp;WIDTH=450&amp;START_MAXIMIZED=FALS","E&amp;VAR:CALENDAR=US&amp;VAR:SYMBOL=KSU&amp;VAR:INDEX=0"}</definedName>
    <definedName name="_383__FDSAUDITLINK__" hidden="1">{"fdsup://directions/FAT Viewer?action=UPDATE&amp;creator=factset&amp;DYN_ARGS=TRUE&amp;DOC_NAME=FAT:FQL_AUDITING_CLIENT_TEMPLATE.FAT&amp;display_string=Audit&amp;VAR:KEY=JIXYNQRSDQ&amp;VAR:QUERY=RkZfRUJJVChBTk4sMjAxMCk=&amp;WINDOW=FIRST_POPUP&amp;HEIGHT=450&amp;WIDTH=450&amp;START_MAXIMIZED=FALS","E&amp;VAR:CALENDAR=US&amp;VAR:SYMBOL=KSU&amp;VAR:INDEX=0"}</definedName>
    <definedName name="_384__FDSAUDITLINK__" localSheetId="4" hidden="1">{"fdsup://directions/FAT Viewer?action=UPDATE&amp;creator=factset&amp;DYN_ARGS=TRUE&amp;DOC_NAME=FAT:FQL_AUDITING_CLIENT_TEMPLATE.FAT&amp;display_string=Audit&amp;VAR:KEY=BSPMDEVUVE&amp;VAR:QUERY=RkZfRUJJVChBTk4sMjAxMCk=&amp;WINDOW=FIRST_POPUP&amp;HEIGHT=450&amp;WIDTH=450&amp;START_MAXIMIZED=FALS","E&amp;VAR:CALENDAR=US&amp;VAR:SYMBOL=KNX&amp;VAR:INDEX=0"}</definedName>
    <definedName name="_384__FDSAUDITLINK__" hidden="1">{"fdsup://directions/FAT Viewer?action=UPDATE&amp;creator=factset&amp;DYN_ARGS=TRUE&amp;DOC_NAME=FAT:FQL_AUDITING_CLIENT_TEMPLATE.FAT&amp;display_string=Audit&amp;VAR:KEY=BSPMDEVUVE&amp;VAR:QUERY=RkZfRUJJVChBTk4sMjAxMCk=&amp;WINDOW=FIRST_POPUP&amp;HEIGHT=450&amp;WIDTH=450&amp;START_MAXIMIZED=FALS","E&amp;VAR:CALENDAR=US&amp;VAR:SYMBOL=KNX&amp;VAR:INDEX=0"}</definedName>
    <definedName name="_385__FDSAUDITLINK__" localSheetId="4" hidden="1">{"fdsup://directions/FAT Viewer?action=UPDATE&amp;creator=factset&amp;DYN_ARGS=TRUE&amp;DOC_NAME=FAT:FQL_AUDITING_CLIENT_TEMPLATE.FAT&amp;display_string=Audit&amp;VAR:KEY=RQRWHMPUTW&amp;VAR:QUERY=RkZfRUJJVChBTk4sMjAxMCk=&amp;WINDOW=FIRST_POPUP&amp;HEIGHT=450&amp;WIDTH=450&amp;START_MAXIMIZED=FALS","E&amp;VAR:CALENDAR=US&amp;VAR:SYMBOL=JBHT&amp;VAR:INDEX=0"}</definedName>
    <definedName name="_385__FDSAUDITLINK__" hidden="1">{"fdsup://directions/FAT Viewer?action=UPDATE&amp;creator=factset&amp;DYN_ARGS=TRUE&amp;DOC_NAME=FAT:FQL_AUDITING_CLIENT_TEMPLATE.FAT&amp;display_string=Audit&amp;VAR:KEY=RQRWHMPUTW&amp;VAR:QUERY=RkZfRUJJVChBTk4sMjAxMCk=&amp;WINDOW=FIRST_POPUP&amp;HEIGHT=450&amp;WIDTH=450&amp;START_MAXIMIZED=FALS","E&amp;VAR:CALENDAR=US&amp;VAR:SYMBOL=JBHT&amp;VAR:INDEX=0"}</definedName>
    <definedName name="_386__FDSAUDITLINK__" localSheetId="4" hidden="1">{"fdsup://directions/FAT Viewer?action=UPDATE&amp;creator=factset&amp;DYN_ARGS=TRUE&amp;DOC_NAME=FAT:FQL_AUDITING_CLIENT_TEMPLATE.FAT&amp;display_string=Audit&amp;VAR:KEY=ZIREZSRYNC&amp;VAR:QUERY=RkZfRUJJVChBTk4sMjAxMCk=&amp;WINDOW=FIRST_POPUP&amp;HEIGHT=450&amp;WIDTH=450&amp;START_MAXIMIZED=FALS","E&amp;VAR:CALENDAR=US&amp;VAR:SYMBOL=HTLD&amp;VAR:INDEX=0"}</definedName>
    <definedName name="_386__FDSAUDITLINK__" hidden="1">{"fdsup://directions/FAT Viewer?action=UPDATE&amp;creator=factset&amp;DYN_ARGS=TRUE&amp;DOC_NAME=FAT:FQL_AUDITING_CLIENT_TEMPLATE.FAT&amp;display_string=Audit&amp;VAR:KEY=ZIREZSRYNC&amp;VAR:QUERY=RkZfRUJJVChBTk4sMjAxMCk=&amp;WINDOW=FIRST_POPUP&amp;HEIGHT=450&amp;WIDTH=450&amp;START_MAXIMIZED=FALS","E&amp;VAR:CALENDAR=US&amp;VAR:SYMBOL=HTLD&amp;VAR:INDEX=0"}</definedName>
    <definedName name="_387__FDSAUDITLINK__" localSheetId="4" hidden="1">{"fdsup://directions/FAT Viewer?action=UPDATE&amp;creator=factset&amp;DYN_ARGS=TRUE&amp;DOC_NAME=FAT:FQL_AUDITING_CLIENT_TEMPLATE.FAT&amp;display_string=Audit&amp;VAR:KEY=DUPETWPSLE&amp;VAR:QUERY=RkZfRUJJVChBTk4sMjAxMCk=&amp;WINDOW=FIRST_POPUP&amp;HEIGHT=450&amp;WIDTH=450&amp;START_MAXIMIZED=FALS","E&amp;VAR:CALENDAR=US&amp;VAR:SYMBOL=GWR&amp;VAR:INDEX=0"}</definedName>
    <definedName name="_387__FDSAUDITLINK__" hidden="1">{"fdsup://directions/FAT Viewer?action=UPDATE&amp;creator=factset&amp;DYN_ARGS=TRUE&amp;DOC_NAME=FAT:FQL_AUDITING_CLIENT_TEMPLATE.FAT&amp;display_string=Audit&amp;VAR:KEY=DUPETWPSLE&amp;VAR:QUERY=RkZfRUJJVChBTk4sMjAxMCk=&amp;WINDOW=FIRST_POPUP&amp;HEIGHT=450&amp;WIDTH=450&amp;START_MAXIMIZED=FALS","E&amp;VAR:CALENDAR=US&amp;VAR:SYMBOL=GWR&amp;VAR:INDEX=0"}</definedName>
    <definedName name="_388__FDSAUDITLINK__" localSheetId="4" hidden="1">{"fdsup://directions/FAT Viewer?action=UPDATE&amp;creator=factset&amp;DYN_ARGS=TRUE&amp;DOC_NAME=FAT:FQL_AUDITING_CLIENT_TEMPLATE.FAT&amp;display_string=Audit&amp;VAR:KEY=ZMBMTCRKXU&amp;VAR:QUERY=RkZfRUJJVChBTk4sMjAxMCk=&amp;WINDOW=FIRST_POPUP&amp;HEIGHT=450&amp;WIDTH=450&amp;START_MAXIMIZED=FALS","E&amp;VAR:CALENDAR=US&amp;VAR:SYMBOL=FDX&amp;VAR:INDEX=0"}</definedName>
    <definedName name="_388__FDSAUDITLINK__" hidden="1">{"fdsup://directions/FAT Viewer?action=UPDATE&amp;creator=factset&amp;DYN_ARGS=TRUE&amp;DOC_NAME=FAT:FQL_AUDITING_CLIENT_TEMPLATE.FAT&amp;display_string=Audit&amp;VAR:KEY=ZMBMTCRKXU&amp;VAR:QUERY=RkZfRUJJVChBTk4sMjAxMCk=&amp;WINDOW=FIRST_POPUP&amp;HEIGHT=450&amp;WIDTH=450&amp;START_MAXIMIZED=FALS","E&amp;VAR:CALENDAR=US&amp;VAR:SYMBOL=FDX&amp;VAR:INDEX=0"}</definedName>
    <definedName name="_389__FDSAUDITLINK__" localSheetId="4" hidden="1">{"fdsup://directions/FAT Viewer?action=UPDATE&amp;creator=factset&amp;DYN_ARGS=TRUE&amp;DOC_NAME=FAT:FQL_AUDITING_CLIENT_TEMPLATE.FAT&amp;display_string=Audit&amp;VAR:KEY=HKRGXMPARI&amp;VAR:QUERY=RkZfRUJJVChBTk4sMjAxMCk=&amp;WINDOW=FIRST_POPUP&amp;HEIGHT=450&amp;WIDTH=450&amp;START_MAXIMIZED=FALS","E&amp;VAR:CALENDAR=US&amp;VAR:SYMBOL=EXPD&amp;VAR:INDEX=0"}</definedName>
    <definedName name="_389__FDSAUDITLINK__" hidden="1">{"fdsup://directions/FAT Viewer?action=UPDATE&amp;creator=factset&amp;DYN_ARGS=TRUE&amp;DOC_NAME=FAT:FQL_AUDITING_CLIENT_TEMPLATE.FAT&amp;display_string=Audit&amp;VAR:KEY=HKRGXMPARI&amp;VAR:QUERY=RkZfRUJJVChBTk4sMjAxMCk=&amp;WINDOW=FIRST_POPUP&amp;HEIGHT=450&amp;WIDTH=450&amp;START_MAXIMIZED=FALS","E&amp;VAR:CALENDAR=US&amp;VAR:SYMBOL=EXPD&amp;VAR:INDEX=0"}</definedName>
    <definedName name="_39__FDSAUDITLINK__" localSheetId="4" hidden="1">{"fdsup://directions/FAT Viewer?action=UPDATE&amp;creator=factset&amp;DYN_ARGS=TRUE&amp;DOC_NAME=FAT:FQL_AUDITING_CLIENT_TEMPLATE.FAT&amp;display_string=Audit&amp;VAR:KEY=CFMTMNEHCF&amp;VAR:QUERY=RkZfTkVUX0lOQyhBTk4sMjAxMCk=&amp;WINDOW=FIRST_POPUP&amp;HEIGHT=450&amp;WIDTH=450&amp;START_MAXIMIZED=","FALSE&amp;VAR:CALENDAR=US&amp;VAR:SYMBOL=NSC&amp;VAR:INDEX=0"}</definedName>
    <definedName name="_39__FDSAUDITLINK__" localSheetId="5" hidden="1">{"fdsup://Directions/FactSet Auditing Viewer?action=AUDIT_VALUE&amp;DB=129&amp;ID1=65584410&amp;VALUEID=01250&amp;SDATE=2009&amp;PERIODTYPE=ANN_STD&amp;window=popup_no_bar&amp;width=385&amp;height=120&amp;START_MAXIMIZED=FALSE&amp;creator=factset&amp;display_string=Audit"}</definedName>
    <definedName name="_39__FDSAUDITLINK__" localSheetId="6" hidden="1">{"fdsup://Directions/FactSet Auditing Viewer?action=AUDIT_VALUE&amp;DB=129&amp;ID1=65584410&amp;VALUEID=01250&amp;SDATE=2009&amp;PERIODTYPE=ANN_STD&amp;window=popup_no_bar&amp;width=385&amp;height=120&amp;START_MAXIMIZED=FALSE&amp;creator=factset&amp;display_string=Audit"}</definedName>
    <definedName name="_39__FDSAUDITLINK__" hidden="1">{"fdsup://directions/FAT Viewer?action=UPDATE&amp;creator=factset&amp;DYN_ARGS=TRUE&amp;DOC_NAME=FAT:FQL_AUDITING_CLIENT_TEMPLATE.FAT&amp;display_string=Audit&amp;VAR:KEY=CFMTMNEHCF&amp;VAR:QUERY=RkZfTkVUX0lOQyhBTk4sMjAxMCk=&amp;WINDOW=FIRST_POPUP&amp;HEIGHT=450&amp;WIDTH=450&amp;START_MAXIMIZED=","FALSE&amp;VAR:CALENDAR=US&amp;VAR:SYMBOL=NSC&amp;VAR:INDEX=0"}</definedName>
    <definedName name="_390__FDSAUDITLINK__" localSheetId="4" hidden="1">{"fdsup://directions/FAT Viewer?action=UPDATE&amp;creator=factset&amp;DYN_ARGS=TRUE&amp;DOC_NAME=FAT:FQL_AUDITING_CLIENT_TEMPLATE.FAT&amp;display_string=Audit&amp;VAR:KEY=FQNQZGRYHQ&amp;VAR:QUERY=RkZfRUJJVChBTk4sMjAxMCk=&amp;WINDOW=FIRST_POPUP&amp;HEIGHT=450&amp;WIDTH=450&amp;START_MAXIMIZED=FALS","E&amp;VAR:CALENDAR=US&amp;VAR:SYMBOL=ECHO&amp;VAR:INDEX=0"}</definedName>
    <definedName name="_390__FDSAUDITLINK__" hidden="1">{"fdsup://directions/FAT Viewer?action=UPDATE&amp;creator=factset&amp;DYN_ARGS=TRUE&amp;DOC_NAME=FAT:FQL_AUDITING_CLIENT_TEMPLATE.FAT&amp;display_string=Audit&amp;VAR:KEY=FQNQZGRYHQ&amp;VAR:QUERY=RkZfRUJJVChBTk4sMjAxMCk=&amp;WINDOW=FIRST_POPUP&amp;HEIGHT=450&amp;WIDTH=450&amp;START_MAXIMIZED=FALS","E&amp;VAR:CALENDAR=US&amp;VAR:SYMBOL=ECHO&amp;VAR:INDEX=0"}</definedName>
    <definedName name="_391__FDSAUDITLINK__" localSheetId="4" hidden="1">{"fdsup://directions/FAT Viewer?action=UPDATE&amp;creator=factset&amp;DYN_ARGS=TRUE&amp;DOC_NAME=FAT:FQL_AUDITING_CLIENT_TEMPLATE.FAT&amp;display_string=Audit&amp;VAR:KEY=ZKLURURKRG&amp;VAR:QUERY=RkZfRUJJVChBTk4sMjAxMCk=&amp;WINDOW=FIRST_POPUP&amp;HEIGHT=450&amp;WIDTH=450&amp;START_MAXIMIZED=FALS","E&amp;VAR:CALENDAR=US&amp;VAR:SYMBOL=CSX&amp;VAR:INDEX=0"}</definedName>
    <definedName name="_391__FDSAUDITLINK__" hidden="1">{"fdsup://directions/FAT Viewer?action=UPDATE&amp;creator=factset&amp;DYN_ARGS=TRUE&amp;DOC_NAME=FAT:FQL_AUDITING_CLIENT_TEMPLATE.FAT&amp;display_string=Audit&amp;VAR:KEY=ZKLURURKRG&amp;VAR:QUERY=RkZfRUJJVChBTk4sMjAxMCk=&amp;WINDOW=FIRST_POPUP&amp;HEIGHT=450&amp;WIDTH=450&amp;START_MAXIMIZED=FALS","E&amp;VAR:CALENDAR=US&amp;VAR:SYMBOL=CSX&amp;VAR:INDEX=0"}</definedName>
    <definedName name="_392__FDSAUDITLINK__" localSheetId="4" hidden="1">{"fdsup://directions/FAT Viewer?action=UPDATE&amp;creator=factset&amp;DYN_ARGS=TRUE&amp;DOC_NAME=FAT:FQL_AUDITING_CLIENT_TEMPLATE.FAT&amp;display_string=Audit&amp;VAR:KEY=JURMPMRGTA&amp;VAR:QUERY=RkZfRUJJVChBTk4sMjAxMCk=&amp;WINDOW=FIRST_POPUP&amp;HEIGHT=450&amp;WIDTH=450&amp;START_MAXIMIZED=FALS","E&amp;VAR:CALENDAR=US&amp;VAR:SYMBOL=CP&amp;VAR:INDEX=0"}</definedName>
    <definedName name="_392__FDSAUDITLINK__" hidden="1">{"fdsup://directions/FAT Viewer?action=UPDATE&amp;creator=factset&amp;DYN_ARGS=TRUE&amp;DOC_NAME=FAT:FQL_AUDITING_CLIENT_TEMPLATE.FAT&amp;display_string=Audit&amp;VAR:KEY=JURMPMRGTA&amp;VAR:QUERY=RkZfRUJJVChBTk4sMjAxMCk=&amp;WINDOW=FIRST_POPUP&amp;HEIGHT=450&amp;WIDTH=450&amp;START_MAXIMIZED=FALS","E&amp;VAR:CALENDAR=US&amp;VAR:SYMBOL=CP&amp;VAR:INDEX=0"}</definedName>
    <definedName name="_393__FDSAUDITLINK__" localSheetId="4" hidden="1">{"fdsup://directions/FAT Viewer?action=UPDATE&amp;creator=factset&amp;DYN_ARGS=TRUE&amp;DOC_NAME=FAT:FQL_AUDITING_CLIENT_TEMPLATE.FAT&amp;display_string=Audit&amp;VAR:KEY=DMBCVSDMXE&amp;VAR:QUERY=RkZfRUJJVChBTk4sMjAxMCk=&amp;WINDOW=FIRST_POPUP&amp;HEIGHT=450&amp;WIDTH=450&amp;START_MAXIMIZED=FALS","E&amp;VAR:CALENDAR=US&amp;VAR:SYMBOL=CNI&amp;VAR:INDEX=0"}</definedName>
    <definedName name="_393__FDSAUDITLINK__" hidden="1">{"fdsup://directions/FAT Viewer?action=UPDATE&amp;creator=factset&amp;DYN_ARGS=TRUE&amp;DOC_NAME=FAT:FQL_AUDITING_CLIENT_TEMPLATE.FAT&amp;display_string=Audit&amp;VAR:KEY=DMBCVSDMXE&amp;VAR:QUERY=RkZfRUJJVChBTk4sMjAxMCk=&amp;WINDOW=FIRST_POPUP&amp;HEIGHT=450&amp;WIDTH=450&amp;START_MAXIMIZED=FALS","E&amp;VAR:CALENDAR=US&amp;VAR:SYMBOL=CNI&amp;VAR:INDEX=0"}</definedName>
    <definedName name="_394__FDSAUDITLINK__" localSheetId="4" hidden="1">{"fdsup://directions/FAT Viewer?action=UPDATE&amp;creator=factset&amp;DYN_ARGS=TRUE&amp;DOC_NAME=FAT:FQL_AUDITING_CLIENT_TEMPLATE.FAT&amp;display_string=Audit&amp;VAR:KEY=JSXSLYXYTQ&amp;VAR:QUERY=RkZfRUJJVChBTk4sMjAxMCk=&amp;WINDOW=FIRST_POPUP&amp;HEIGHT=450&amp;WIDTH=450&amp;START_MAXIMIZED=FALS","E&amp;VAR:CALENDAR=US&amp;VAR:SYMBOL=CHRW&amp;VAR:INDEX=0"}</definedName>
    <definedName name="_394__FDSAUDITLINK__" hidden="1">{"fdsup://directions/FAT Viewer?action=UPDATE&amp;creator=factset&amp;DYN_ARGS=TRUE&amp;DOC_NAME=FAT:FQL_AUDITING_CLIENT_TEMPLATE.FAT&amp;display_string=Audit&amp;VAR:KEY=JSXSLYXYTQ&amp;VAR:QUERY=RkZfRUJJVChBTk4sMjAxMCk=&amp;WINDOW=FIRST_POPUP&amp;HEIGHT=450&amp;WIDTH=450&amp;START_MAXIMIZED=FALS","E&amp;VAR:CALENDAR=US&amp;VAR:SYMBOL=CHRW&amp;VAR:INDEX=0"}</definedName>
    <definedName name="_395__FDSAUDITLINK__" localSheetId="4" hidden="1">{"fdsup://directions/FAT Viewer?action=UPDATE&amp;creator=factset&amp;DYN_ARGS=TRUE&amp;DOC_NAME=FAT:FQL_AUDITING_CLIENT_TEMPLATE.FAT&amp;display_string=Audit&amp;VAR:KEY=XSDCRQJUFS&amp;VAR:QUERY=RkZfRUJJVERBKEFOTiwyMDEwKQ==&amp;WINDOW=FIRST_POPUP&amp;HEIGHT=450&amp;WIDTH=450&amp;START_MAXIMIZED=","FALSE&amp;VAR:CALENDAR=US&amp;VAR:SYMBOL=WERN&amp;VAR:INDEX=0"}</definedName>
    <definedName name="_395__FDSAUDITLINK__" hidden="1">{"fdsup://directions/FAT Viewer?action=UPDATE&amp;creator=factset&amp;DYN_ARGS=TRUE&amp;DOC_NAME=FAT:FQL_AUDITING_CLIENT_TEMPLATE.FAT&amp;display_string=Audit&amp;VAR:KEY=XSDCRQJUFS&amp;VAR:QUERY=RkZfRUJJVERBKEFOTiwyMDEwKQ==&amp;WINDOW=FIRST_POPUP&amp;HEIGHT=450&amp;WIDTH=450&amp;START_MAXIMIZED=","FALSE&amp;VAR:CALENDAR=US&amp;VAR:SYMBOL=WERN&amp;VAR:INDEX=0"}</definedName>
    <definedName name="_396__FDSAUDITLINK__" localSheetId="4" hidden="1">{"fdsup://directions/FAT Viewer?action=UPDATE&amp;creator=factset&amp;DYN_ARGS=TRUE&amp;DOC_NAME=FAT:FQL_AUDITING_CLIENT_TEMPLATE.FAT&amp;display_string=Audit&amp;VAR:KEY=NIHAVGVAVY&amp;VAR:QUERY=RkZfRUJJVERBKEFOTiwyMDEwKQ==&amp;WINDOW=FIRST_POPUP&amp;HEIGHT=450&amp;WIDTH=450&amp;START_MAXIMIZED=","FALSE&amp;VAR:CALENDAR=US&amp;VAR:SYMBOL=UTIW&amp;VAR:INDEX=0"}</definedName>
    <definedName name="_396__FDSAUDITLINK__" hidden="1">{"fdsup://directions/FAT Viewer?action=UPDATE&amp;creator=factset&amp;DYN_ARGS=TRUE&amp;DOC_NAME=FAT:FQL_AUDITING_CLIENT_TEMPLATE.FAT&amp;display_string=Audit&amp;VAR:KEY=NIHAVGVAVY&amp;VAR:QUERY=RkZfRUJJVERBKEFOTiwyMDEwKQ==&amp;WINDOW=FIRST_POPUP&amp;HEIGHT=450&amp;WIDTH=450&amp;START_MAXIMIZED=","FALSE&amp;VAR:CALENDAR=US&amp;VAR:SYMBOL=UTIW&amp;VAR:INDEX=0"}</definedName>
    <definedName name="_397__FDSAUDITLINK__" localSheetId="4" hidden="1">{"fdsup://directions/FAT Viewer?action=UPDATE&amp;creator=factset&amp;DYN_ARGS=TRUE&amp;DOC_NAME=FAT:FQL_AUDITING_CLIENT_TEMPLATE.FAT&amp;display_string=Audit&amp;VAR:KEY=HQXKDKZEDS&amp;VAR:QUERY=RkZfRUJJVERBKEFOTiwyMDEwKQ==&amp;WINDOW=FIRST_POPUP&amp;HEIGHT=450&amp;WIDTH=450&amp;START_MAXIMIZED=","FALSE&amp;VAR:CALENDAR=US&amp;VAR:SYMBOL=UPS&amp;VAR:INDEX=0"}</definedName>
    <definedName name="_397__FDSAUDITLINK__" hidden="1">{"fdsup://directions/FAT Viewer?action=UPDATE&amp;creator=factset&amp;DYN_ARGS=TRUE&amp;DOC_NAME=FAT:FQL_AUDITING_CLIENT_TEMPLATE.FAT&amp;display_string=Audit&amp;VAR:KEY=HQXKDKZEDS&amp;VAR:QUERY=RkZfRUJJVERBKEFOTiwyMDEwKQ==&amp;WINDOW=FIRST_POPUP&amp;HEIGHT=450&amp;WIDTH=450&amp;START_MAXIMIZED=","FALSE&amp;VAR:CALENDAR=US&amp;VAR:SYMBOL=UPS&amp;VAR:INDEX=0"}</definedName>
    <definedName name="_398__FDSAUDITLINK__" localSheetId="4" hidden="1">{"fdsup://directions/FAT Viewer?action=UPDATE&amp;creator=factset&amp;DYN_ARGS=TRUE&amp;DOC_NAME=FAT:FQL_AUDITING_CLIENT_TEMPLATE.FAT&amp;display_string=Audit&amp;VAR:KEY=NKTGTKNIHM&amp;VAR:QUERY=RkZfRUJJVERBKEFOTiwyMDEwKQ==&amp;WINDOW=FIRST_POPUP&amp;HEIGHT=450&amp;WIDTH=450&amp;START_MAXIMIZED=","FALSE&amp;VAR:CALENDAR=US&amp;VAR:SYMBOL=UNP&amp;VAR:INDEX=0"}</definedName>
    <definedName name="_398__FDSAUDITLINK__" hidden="1">{"fdsup://directions/FAT Viewer?action=UPDATE&amp;creator=factset&amp;DYN_ARGS=TRUE&amp;DOC_NAME=FAT:FQL_AUDITING_CLIENT_TEMPLATE.FAT&amp;display_string=Audit&amp;VAR:KEY=NKTGTKNIHM&amp;VAR:QUERY=RkZfRUJJVERBKEFOTiwyMDEwKQ==&amp;WINDOW=FIRST_POPUP&amp;HEIGHT=450&amp;WIDTH=450&amp;START_MAXIMIZED=","FALSE&amp;VAR:CALENDAR=US&amp;VAR:SYMBOL=UNP&amp;VAR:INDEX=0"}</definedName>
    <definedName name="_399__FDSAUDITLINK__" localSheetId="4" hidden="1">{"fdsup://directions/FAT Viewer?action=UPDATE&amp;creator=factset&amp;DYN_ARGS=TRUE&amp;DOC_NAME=FAT:FQL_AUDITING_CLIENT_TEMPLATE.FAT&amp;display_string=Audit&amp;VAR:KEY=JGTOZATCPY&amp;VAR:QUERY=RkZfRUJJVERBKEFOTiwyMDEwKQ==&amp;WINDOW=FIRST_POPUP&amp;HEIGHT=450&amp;WIDTH=450&amp;START_MAXIMIZED=","FALSE&amp;VAR:CALENDAR=US&amp;VAR:SYMBOL=SWFT&amp;VAR:INDEX=0"}</definedName>
    <definedName name="_399__FDSAUDITLINK__" hidden="1">{"fdsup://directions/FAT Viewer?action=UPDATE&amp;creator=factset&amp;DYN_ARGS=TRUE&amp;DOC_NAME=FAT:FQL_AUDITING_CLIENT_TEMPLATE.FAT&amp;display_string=Audit&amp;VAR:KEY=JGTOZATCPY&amp;VAR:QUERY=RkZfRUJJVERBKEFOTiwyMDEwKQ==&amp;WINDOW=FIRST_POPUP&amp;HEIGHT=450&amp;WIDTH=450&amp;START_MAXIMIZED=","FALSE&amp;VAR:CALENDAR=US&amp;VAR:SYMBOL=SWFT&amp;VAR:INDEX=0"}</definedName>
    <definedName name="_4__FDSAUDITLINK__" localSheetId="4" hidden="1">{"fdsup://directions/FAT Viewer?action=UPDATE&amp;creator=factset&amp;DYN_ARGS=TRUE&amp;DOC_NAME=FAT:FQL_AUDITING_CLIENT_TEMPLATE.FAT&amp;display_string=Audit&amp;VAR:KEY=EPWDAVAVWL&amp;VAR:QUERY=RkZfTkVUX0lOQyhBTk4sMjAxMCk=&amp;WINDOW=FIRST_POPUP&amp;HEIGHT=450&amp;WIDTH=450&amp;START_MAXIMIZED=","FALSE&amp;VAR:CALENDAR=US&amp;VAR:SYMBOL=KSU&amp;VAR:INDEX=0"}</definedName>
    <definedName name="_4__FDSAUDITLINK__" localSheetId="5" hidden="1">{"fdsup://Directions/FactSet Auditing Viewer?action=AUDIT_VALUE&amp;DB=129&amp;ID1=48517030&amp;VALUEID=01401&amp;SDATE=2009&amp;PERIODTYPE=ANN_STD&amp;window=popup_no_bar&amp;width=385&amp;height=120&amp;START_MAXIMIZED=FALSE&amp;creator=factset&amp;display_string=Audit"}</definedName>
    <definedName name="_4__FDSAUDITLINK__" localSheetId="6" hidden="1">{"fdsup://Directions/FactSet Auditing Viewer?action=AUDIT_VALUE&amp;DB=129&amp;ID1=48517030&amp;VALUEID=01401&amp;SDATE=2009&amp;PERIODTYPE=ANN_STD&amp;window=popup_no_bar&amp;width=385&amp;height=120&amp;START_MAXIMIZED=FALSE&amp;creator=factset&amp;display_string=Audit"}</definedName>
    <definedName name="_4__FDSAUDITLINK__" hidden="1">{"fdsup://directions/FAT Viewer?action=UPDATE&amp;creator=factset&amp;DYN_ARGS=TRUE&amp;DOC_NAME=FAT:FQL_AUDITING_CLIENT_TEMPLATE.FAT&amp;display_string=Audit&amp;VAR:KEY=EPWDAVAVWL&amp;VAR:QUERY=RkZfTkVUX0lOQyhBTk4sMjAxMCk=&amp;WINDOW=FIRST_POPUP&amp;HEIGHT=450&amp;WIDTH=450&amp;START_MAXIMIZED=","FALSE&amp;VAR:CALENDAR=US&amp;VAR:SYMBOL=KSU&amp;VAR:INDEX=0"}</definedName>
    <definedName name="_40__FDSAUDITLINK__" localSheetId="4" hidden="1">{"fdsup://directions/FAT Viewer?action=UPDATE&amp;creator=factset&amp;DYN_ARGS=TRUE&amp;DOC_NAME=FAT:FQL_AUDITING_CLIENT_TEMPLATE.FAT&amp;display_string=Audit&amp;VAR:KEY=EPWDAVAVWL&amp;VAR:QUERY=RkZfTkVUX0lOQyhBTk4sMjAxMCk=&amp;WINDOW=FIRST_POPUP&amp;HEIGHT=450&amp;WIDTH=450&amp;START_MAXIMIZED=","FALSE&amp;VAR:CALENDAR=US&amp;VAR:SYMBOL=KSU&amp;VAR:INDEX=0"}</definedName>
    <definedName name="_40__FDSAUDITLINK__" localSheetId="5" hidden="1">{"fdsup://Directions/FactSet Auditing Viewer?action=AUDIT_VALUE&amp;DB=129&amp;ID1=48517030&amp;VALUEID=01250&amp;SDATE=2009&amp;PERIODTYPE=ANN_STD&amp;window=popup_no_bar&amp;width=385&amp;height=120&amp;START_MAXIMIZED=FALSE&amp;creator=factset&amp;display_string=Audit"}</definedName>
    <definedName name="_40__FDSAUDITLINK__" localSheetId="6" hidden="1">{"fdsup://Directions/FactSet Auditing Viewer?action=AUDIT_VALUE&amp;DB=129&amp;ID1=48517030&amp;VALUEID=01250&amp;SDATE=2009&amp;PERIODTYPE=ANN_STD&amp;window=popup_no_bar&amp;width=385&amp;height=120&amp;START_MAXIMIZED=FALSE&amp;creator=factset&amp;display_string=Audit"}</definedName>
    <definedName name="_40__FDSAUDITLINK__" hidden="1">{"fdsup://directions/FAT Viewer?action=UPDATE&amp;creator=factset&amp;DYN_ARGS=TRUE&amp;DOC_NAME=FAT:FQL_AUDITING_CLIENT_TEMPLATE.FAT&amp;display_string=Audit&amp;VAR:KEY=EPWDAVAVWL&amp;VAR:QUERY=RkZfTkVUX0lOQyhBTk4sMjAxMCk=&amp;WINDOW=FIRST_POPUP&amp;HEIGHT=450&amp;WIDTH=450&amp;START_MAXIMIZED=","FALSE&amp;VAR:CALENDAR=US&amp;VAR:SYMBOL=KSU&amp;VAR:INDEX=0"}</definedName>
    <definedName name="_400__FDSAUDITLINK__" localSheetId="4" hidden="1">{"fdsup://directions/FAT Viewer?action=UPDATE&amp;creator=factset&amp;DYN_ARGS=TRUE&amp;DOC_NAME=FAT:FQL_AUDITING_CLIENT_TEMPLATE.FAT&amp;display_string=Audit&amp;VAR:KEY=RSBUTQRYTM&amp;VAR:QUERY=RkZfRUJJVERBKEFOTiwyMDEwKQ==&amp;WINDOW=FIRST_POPUP&amp;HEIGHT=450&amp;WIDTH=450&amp;START_MAXIMIZED=","FALSE&amp;VAR:CALENDAR=US&amp;VAR:SYMBOL=RA&amp;VAR:INDEX=0"}</definedName>
    <definedName name="_400__FDSAUDITLINK__" hidden="1">{"fdsup://directions/FAT Viewer?action=UPDATE&amp;creator=factset&amp;DYN_ARGS=TRUE&amp;DOC_NAME=FAT:FQL_AUDITING_CLIENT_TEMPLATE.FAT&amp;display_string=Audit&amp;VAR:KEY=RSBUTQRYTM&amp;VAR:QUERY=RkZfRUJJVERBKEFOTiwyMDEwKQ==&amp;WINDOW=FIRST_POPUP&amp;HEIGHT=450&amp;WIDTH=450&amp;START_MAXIMIZED=","FALSE&amp;VAR:CALENDAR=US&amp;VAR:SYMBOL=RA&amp;VAR:INDEX=0"}</definedName>
    <definedName name="_401__FDSAUDITLINK__" localSheetId="4" hidden="1">{"fdsup://directions/FAT Viewer?action=UPDATE&amp;creator=factset&amp;DYN_ARGS=TRUE&amp;DOC_NAME=FAT:FQL_AUDITING_CLIENT_TEMPLATE.FAT&amp;display_string=Audit&amp;VAR:KEY=POVIHSBSZO&amp;VAR:QUERY=RkZfRUJJVERBKEFOTiwyMDEwKQ==&amp;WINDOW=FIRST_POPUP&amp;HEIGHT=450&amp;WIDTH=450&amp;START_MAXIMIZED=","FALSE&amp;VAR:CALENDAR=US&amp;VAR:SYMBOL=NSC&amp;VAR:INDEX=0"}</definedName>
    <definedName name="_401__FDSAUDITLINK__" hidden="1">{"fdsup://directions/FAT Viewer?action=UPDATE&amp;creator=factset&amp;DYN_ARGS=TRUE&amp;DOC_NAME=FAT:FQL_AUDITING_CLIENT_TEMPLATE.FAT&amp;display_string=Audit&amp;VAR:KEY=POVIHSBSZO&amp;VAR:QUERY=RkZfRUJJVERBKEFOTiwyMDEwKQ==&amp;WINDOW=FIRST_POPUP&amp;HEIGHT=450&amp;WIDTH=450&amp;START_MAXIMIZED=","FALSE&amp;VAR:CALENDAR=US&amp;VAR:SYMBOL=NSC&amp;VAR:INDEX=0"}</definedName>
    <definedName name="_402__FDSAUDITLINK__" localSheetId="4" hidden="1">{"fdsup://directions/FAT Viewer?action=UPDATE&amp;creator=factset&amp;DYN_ARGS=TRUE&amp;DOC_NAME=FAT:FQL_AUDITING_CLIENT_TEMPLATE.FAT&amp;display_string=Audit&amp;VAR:KEY=XSZEDAJIXO&amp;VAR:QUERY=RkZfRUJJVERBKEFOTiwyMDEwKQ==&amp;WINDOW=FIRST_POPUP&amp;HEIGHT=450&amp;WIDTH=450&amp;START_MAXIMIZED=","FALSE&amp;VAR:CALENDAR=US&amp;VAR:SYMBOL=KSU&amp;VAR:INDEX=0"}</definedName>
    <definedName name="_402__FDSAUDITLINK__" hidden="1">{"fdsup://directions/FAT Viewer?action=UPDATE&amp;creator=factset&amp;DYN_ARGS=TRUE&amp;DOC_NAME=FAT:FQL_AUDITING_CLIENT_TEMPLATE.FAT&amp;display_string=Audit&amp;VAR:KEY=XSZEDAJIXO&amp;VAR:QUERY=RkZfRUJJVERBKEFOTiwyMDEwKQ==&amp;WINDOW=FIRST_POPUP&amp;HEIGHT=450&amp;WIDTH=450&amp;START_MAXIMIZED=","FALSE&amp;VAR:CALENDAR=US&amp;VAR:SYMBOL=KSU&amp;VAR:INDEX=0"}</definedName>
    <definedName name="_403__FDSAUDITLINK__" localSheetId="4" hidden="1">{"fdsup://directions/FAT Viewer?action=UPDATE&amp;creator=factset&amp;DYN_ARGS=TRUE&amp;DOC_NAME=FAT:FQL_AUDITING_CLIENT_TEMPLATE.FAT&amp;display_string=Audit&amp;VAR:KEY=JKDEPOXGHG&amp;VAR:QUERY=RkZfRUJJVERBKEFOTiwyMDEwKQ==&amp;WINDOW=FIRST_POPUP&amp;HEIGHT=450&amp;WIDTH=450&amp;START_MAXIMIZED=","FALSE&amp;VAR:CALENDAR=US&amp;VAR:SYMBOL=KNX&amp;VAR:INDEX=0"}</definedName>
    <definedName name="_403__FDSAUDITLINK__" hidden="1">{"fdsup://directions/FAT Viewer?action=UPDATE&amp;creator=factset&amp;DYN_ARGS=TRUE&amp;DOC_NAME=FAT:FQL_AUDITING_CLIENT_TEMPLATE.FAT&amp;display_string=Audit&amp;VAR:KEY=JKDEPOXGHG&amp;VAR:QUERY=RkZfRUJJVERBKEFOTiwyMDEwKQ==&amp;WINDOW=FIRST_POPUP&amp;HEIGHT=450&amp;WIDTH=450&amp;START_MAXIMIZED=","FALSE&amp;VAR:CALENDAR=US&amp;VAR:SYMBOL=KNX&amp;VAR:INDEX=0"}</definedName>
    <definedName name="_404__FDSAUDITLINK__" localSheetId="4" hidden="1">{"fdsup://directions/FAT Viewer?action=UPDATE&amp;creator=factset&amp;DYN_ARGS=TRUE&amp;DOC_NAME=FAT:FQL_AUDITING_CLIENT_TEMPLATE.FAT&amp;display_string=Audit&amp;VAR:KEY=HAPYLWXMPU&amp;VAR:QUERY=RkZfRUJJVERBKEFOTiwyMDEwKQ==&amp;WINDOW=FIRST_POPUP&amp;HEIGHT=450&amp;WIDTH=450&amp;START_MAXIMIZED=","FALSE&amp;VAR:CALENDAR=US&amp;VAR:SYMBOL=JBHT&amp;VAR:INDEX=0"}</definedName>
    <definedName name="_404__FDSAUDITLINK__" hidden="1">{"fdsup://directions/FAT Viewer?action=UPDATE&amp;creator=factset&amp;DYN_ARGS=TRUE&amp;DOC_NAME=FAT:FQL_AUDITING_CLIENT_TEMPLATE.FAT&amp;display_string=Audit&amp;VAR:KEY=HAPYLWXMPU&amp;VAR:QUERY=RkZfRUJJVERBKEFOTiwyMDEwKQ==&amp;WINDOW=FIRST_POPUP&amp;HEIGHT=450&amp;WIDTH=450&amp;START_MAXIMIZED=","FALSE&amp;VAR:CALENDAR=US&amp;VAR:SYMBOL=JBHT&amp;VAR:INDEX=0"}</definedName>
    <definedName name="_405__FDSAUDITLINK__" localSheetId="4" hidden="1">{"fdsup://directions/FAT Viewer?action=UPDATE&amp;creator=factset&amp;DYN_ARGS=TRUE&amp;DOC_NAME=FAT:FQL_AUDITING_CLIENT_TEMPLATE.FAT&amp;display_string=Audit&amp;VAR:KEY=ZSFITIRYXU&amp;VAR:QUERY=RkZfRUJJVERBKEFOTiwyMDEwKQ==&amp;WINDOW=FIRST_POPUP&amp;HEIGHT=450&amp;WIDTH=450&amp;START_MAXIMIZED=","FALSE&amp;VAR:CALENDAR=US&amp;VAR:SYMBOL=HTLD&amp;VAR:INDEX=0"}</definedName>
    <definedName name="_405__FDSAUDITLINK__" hidden="1">{"fdsup://directions/FAT Viewer?action=UPDATE&amp;creator=factset&amp;DYN_ARGS=TRUE&amp;DOC_NAME=FAT:FQL_AUDITING_CLIENT_TEMPLATE.FAT&amp;display_string=Audit&amp;VAR:KEY=ZSFITIRYXU&amp;VAR:QUERY=RkZfRUJJVERBKEFOTiwyMDEwKQ==&amp;WINDOW=FIRST_POPUP&amp;HEIGHT=450&amp;WIDTH=450&amp;START_MAXIMIZED=","FALSE&amp;VAR:CALENDAR=US&amp;VAR:SYMBOL=HTLD&amp;VAR:INDEX=0"}</definedName>
    <definedName name="_406__FDSAUDITLINK__" localSheetId="4" hidden="1">{"fdsup://directions/FAT Viewer?action=UPDATE&amp;creator=factset&amp;DYN_ARGS=TRUE&amp;DOC_NAME=FAT:FQL_AUDITING_CLIENT_TEMPLATE.FAT&amp;display_string=Audit&amp;VAR:KEY=LGPKJARGRQ&amp;VAR:QUERY=RkZfRUJJVERBKEFOTiwyMDEwKQ==&amp;WINDOW=FIRST_POPUP&amp;HEIGHT=450&amp;WIDTH=450&amp;START_MAXIMIZED=","FALSE&amp;VAR:CALENDAR=US&amp;VAR:SYMBOL=GWR&amp;VAR:INDEX=0"}</definedName>
    <definedName name="_406__FDSAUDITLINK__" hidden="1">{"fdsup://directions/FAT Viewer?action=UPDATE&amp;creator=factset&amp;DYN_ARGS=TRUE&amp;DOC_NAME=FAT:FQL_AUDITING_CLIENT_TEMPLATE.FAT&amp;display_string=Audit&amp;VAR:KEY=LGPKJARGRQ&amp;VAR:QUERY=RkZfRUJJVERBKEFOTiwyMDEwKQ==&amp;WINDOW=FIRST_POPUP&amp;HEIGHT=450&amp;WIDTH=450&amp;START_MAXIMIZED=","FALSE&amp;VAR:CALENDAR=US&amp;VAR:SYMBOL=GWR&amp;VAR:INDEX=0"}</definedName>
    <definedName name="_407__FDSAUDITLINK__" localSheetId="4" hidden="1">{"fdsup://directions/FAT Viewer?action=UPDATE&amp;creator=factset&amp;DYN_ARGS=TRUE&amp;DOC_NAME=FAT:FQL_AUDITING_CLIENT_TEMPLATE.FAT&amp;display_string=Audit&amp;VAR:KEY=FITUXWFEVY&amp;VAR:QUERY=RkZfRUJJVERBKEFOTiwyMDEwKQ==&amp;WINDOW=FIRST_POPUP&amp;HEIGHT=450&amp;WIDTH=450&amp;START_MAXIMIZED=","FALSE&amp;VAR:CALENDAR=US&amp;VAR:SYMBOL=FDX&amp;VAR:INDEX=0"}</definedName>
    <definedName name="_407__FDSAUDITLINK__" hidden="1">{"fdsup://directions/FAT Viewer?action=UPDATE&amp;creator=factset&amp;DYN_ARGS=TRUE&amp;DOC_NAME=FAT:FQL_AUDITING_CLIENT_TEMPLATE.FAT&amp;display_string=Audit&amp;VAR:KEY=FITUXWFEVY&amp;VAR:QUERY=RkZfRUJJVERBKEFOTiwyMDEwKQ==&amp;WINDOW=FIRST_POPUP&amp;HEIGHT=450&amp;WIDTH=450&amp;START_MAXIMIZED=","FALSE&amp;VAR:CALENDAR=US&amp;VAR:SYMBOL=FDX&amp;VAR:INDEX=0"}</definedName>
    <definedName name="_408__FDSAUDITLINK__" localSheetId="4" hidden="1">{"fdsup://directions/FAT Viewer?action=UPDATE&amp;creator=factset&amp;DYN_ARGS=TRUE&amp;DOC_NAME=FAT:FQL_AUDITING_CLIENT_TEMPLATE.FAT&amp;display_string=Audit&amp;VAR:KEY=RCJYXEVKTC&amp;VAR:QUERY=RkZfRUJJVERBKEFOTiwyMDEwKQ==&amp;WINDOW=FIRST_POPUP&amp;HEIGHT=450&amp;WIDTH=450&amp;START_MAXIMIZED=","FALSE&amp;VAR:CALENDAR=US&amp;VAR:SYMBOL=EXPD&amp;VAR:INDEX=0"}</definedName>
    <definedName name="_408__FDSAUDITLINK__" hidden="1">{"fdsup://directions/FAT Viewer?action=UPDATE&amp;creator=factset&amp;DYN_ARGS=TRUE&amp;DOC_NAME=FAT:FQL_AUDITING_CLIENT_TEMPLATE.FAT&amp;display_string=Audit&amp;VAR:KEY=RCJYXEVKTC&amp;VAR:QUERY=RkZfRUJJVERBKEFOTiwyMDEwKQ==&amp;WINDOW=FIRST_POPUP&amp;HEIGHT=450&amp;WIDTH=450&amp;START_MAXIMIZED=","FALSE&amp;VAR:CALENDAR=US&amp;VAR:SYMBOL=EXPD&amp;VAR:INDEX=0"}</definedName>
    <definedName name="_409__FDSAUDITLINK__" localSheetId="4" hidden="1">{"fdsup://directions/FAT Viewer?action=UPDATE&amp;creator=factset&amp;DYN_ARGS=TRUE&amp;DOC_NAME=FAT:FQL_AUDITING_CLIENT_TEMPLATE.FAT&amp;display_string=Audit&amp;VAR:KEY=PWVUHIHSXI&amp;VAR:QUERY=RkZfRUJJVERBKEFOTiwyMDEwKQ==&amp;WINDOW=FIRST_POPUP&amp;HEIGHT=450&amp;WIDTH=450&amp;START_MAXIMIZED=","FALSE&amp;VAR:CALENDAR=US&amp;VAR:SYMBOL=ECHO&amp;VAR:INDEX=0"}</definedName>
    <definedName name="_409__FDSAUDITLINK__" hidden="1">{"fdsup://directions/FAT Viewer?action=UPDATE&amp;creator=factset&amp;DYN_ARGS=TRUE&amp;DOC_NAME=FAT:FQL_AUDITING_CLIENT_TEMPLATE.FAT&amp;display_string=Audit&amp;VAR:KEY=PWVUHIHSXI&amp;VAR:QUERY=RkZfRUJJVERBKEFOTiwyMDEwKQ==&amp;WINDOW=FIRST_POPUP&amp;HEIGHT=450&amp;WIDTH=450&amp;START_MAXIMIZED=","FALSE&amp;VAR:CALENDAR=US&amp;VAR:SYMBOL=ECHO&amp;VAR:INDEX=0"}</definedName>
    <definedName name="_41__FDSAUDITLINK__" localSheetId="4" hidden="1">{"fdsup://directions/FAT Viewer?action=UPDATE&amp;creator=factset&amp;DYN_ARGS=TRUE&amp;DOC_NAME=FAT:FQL_AUDITING_CLIENT_TEMPLATE.FAT&amp;display_string=Audit&amp;VAR:KEY=ENALIHQZUJ&amp;VAR:QUERY=RkZfTkVUX0lOQyhBTk4sMjAxMCk=&amp;WINDOW=FIRST_POPUP&amp;HEIGHT=450&amp;WIDTH=450&amp;START_MAXIMIZED=","FALSE&amp;VAR:CALENDAR=US&amp;VAR:SYMBOL=GWR&amp;VAR:INDEX=0"}</definedName>
    <definedName name="_41__FDSAUDITLINK__" localSheetId="5" hidden="1">{"fdsup://Directions/FactSet Auditing Viewer?action=AUDIT_VALUE&amp;DB=129&amp;ID1=37155910&amp;VALUEID=01250&amp;SDATE=2009&amp;PERIODTYPE=ANN_STD&amp;window=popup_no_bar&amp;width=385&amp;height=120&amp;START_MAXIMIZED=FALSE&amp;creator=factset&amp;display_string=Audit"}</definedName>
    <definedName name="_41__FDSAUDITLINK__" localSheetId="6" hidden="1">{"fdsup://Directions/FactSet Auditing Viewer?action=AUDIT_VALUE&amp;DB=129&amp;ID1=37155910&amp;VALUEID=01250&amp;SDATE=2009&amp;PERIODTYPE=ANN_STD&amp;window=popup_no_bar&amp;width=385&amp;height=120&amp;START_MAXIMIZED=FALSE&amp;creator=factset&amp;display_string=Audit"}</definedName>
    <definedName name="_41__FDSAUDITLINK__" hidden="1">{"fdsup://directions/FAT Viewer?action=UPDATE&amp;creator=factset&amp;DYN_ARGS=TRUE&amp;DOC_NAME=FAT:FQL_AUDITING_CLIENT_TEMPLATE.FAT&amp;display_string=Audit&amp;VAR:KEY=ENALIHQZUJ&amp;VAR:QUERY=RkZfTkVUX0lOQyhBTk4sMjAxMCk=&amp;WINDOW=FIRST_POPUP&amp;HEIGHT=450&amp;WIDTH=450&amp;START_MAXIMIZED=","FALSE&amp;VAR:CALENDAR=US&amp;VAR:SYMBOL=GWR&amp;VAR:INDEX=0"}</definedName>
    <definedName name="_410__FDSAUDITLINK__" localSheetId="4" hidden="1">{"fdsup://directions/FAT Viewer?action=UPDATE&amp;creator=factset&amp;DYN_ARGS=TRUE&amp;DOC_NAME=FAT:FQL_AUDITING_CLIENT_TEMPLATE.FAT&amp;display_string=Audit&amp;VAR:KEY=PQLAFCXOTY&amp;VAR:QUERY=RkZfRUJJVERBKEFOTiwyMDEwKQ==&amp;WINDOW=FIRST_POPUP&amp;HEIGHT=450&amp;WIDTH=450&amp;START_MAXIMIZED=","FALSE&amp;VAR:CALENDAR=US&amp;VAR:SYMBOL=CSX&amp;VAR:INDEX=0"}</definedName>
    <definedName name="_410__FDSAUDITLINK__" hidden="1">{"fdsup://directions/FAT Viewer?action=UPDATE&amp;creator=factset&amp;DYN_ARGS=TRUE&amp;DOC_NAME=FAT:FQL_AUDITING_CLIENT_TEMPLATE.FAT&amp;display_string=Audit&amp;VAR:KEY=PQLAFCXOTY&amp;VAR:QUERY=RkZfRUJJVERBKEFOTiwyMDEwKQ==&amp;WINDOW=FIRST_POPUP&amp;HEIGHT=450&amp;WIDTH=450&amp;START_MAXIMIZED=","FALSE&amp;VAR:CALENDAR=US&amp;VAR:SYMBOL=CSX&amp;VAR:INDEX=0"}</definedName>
    <definedName name="_411__FDSAUDITLINK__" localSheetId="4" hidden="1">{"fdsup://directions/FAT Viewer?action=UPDATE&amp;creator=factset&amp;DYN_ARGS=TRUE&amp;DOC_NAME=FAT:FQL_AUDITING_CLIENT_TEMPLATE.FAT&amp;display_string=Audit&amp;VAR:KEY=RIRKPQFWPA&amp;VAR:QUERY=RkZfRUJJVERBKEFOTiwyMDEwKQ==&amp;WINDOW=FIRST_POPUP&amp;HEIGHT=450&amp;WIDTH=450&amp;START_MAXIMIZED=","FALSE&amp;VAR:CALENDAR=US&amp;VAR:SYMBOL=CP&amp;VAR:INDEX=0"}</definedName>
    <definedName name="_411__FDSAUDITLINK__" hidden="1">{"fdsup://directions/FAT Viewer?action=UPDATE&amp;creator=factset&amp;DYN_ARGS=TRUE&amp;DOC_NAME=FAT:FQL_AUDITING_CLIENT_TEMPLATE.FAT&amp;display_string=Audit&amp;VAR:KEY=RIRKPQFWPA&amp;VAR:QUERY=RkZfRUJJVERBKEFOTiwyMDEwKQ==&amp;WINDOW=FIRST_POPUP&amp;HEIGHT=450&amp;WIDTH=450&amp;START_MAXIMIZED=","FALSE&amp;VAR:CALENDAR=US&amp;VAR:SYMBOL=CP&amp;VAR:INDEX=0"}</definedName>
    <definedName name="_412__FDSAUDITLINK__" localSheetId="4" hidden="1">{"fdsup://directions/FAT Viewer?action=UPDATE&amp;creator=factset&amp;DYN_ARGS=TRUE&amp;DOC_NAME=FAT:FQL_AUDITING_CLIENT_TEMPLATE.FAT&amp;display_string=Audit&amp;VAR:KEY=PSZGDAPQRQ&amp;VAR:QUERY=RkZfRUJJVERBKEFOTiwyMDEwKQ==&amp;WINDOW=FIRST_POPUP&amp;HEIGHT=450&amp;WIDTH=450&amp;START_MAXIMIZED=","FALSE&amp;VAR:CALENDAR=US&amp;VAR:SYMBOL=CNI&amp;VAR:INDEX=0"}</definedName>
    <definedName name="_412__FDSAUDITLINK__" hidden="1">{"fdsup://directions/FAT Viewer?action=UPDATE&amp;creator=factset&amp;DYN_ARGS=TRUE&amp;DOC_NAME=FAT:FQL_AUDITING_CLIENT_TEMPLATE.FAT&amp;display_string=Audit&amp;VAR:KEY=PSZGDAPQRQ&amp;VAR:QUERY=RkZfRUJJVERBKEFOTiwyMDEwKQ==&amp;WINDOW=FIRST_POPUP&amp;HEIGHT=450&amp;WIDTH=450&amp;START_MAXIMIZED=","FALSE&amp;VAR:CALENDAR=US&amp;VAR:SYMBOL=CNI&amp;VAR:INDEX=0"}</definedName>
    <definedName name="_413__FDSAUDITLINK__" localSheetId="4" hidden="1">{"fdsup://directions/FAT Viewer?action=UPDATE&amp;creator=factset&amp;DYN_ARGS=TRUE&amp;DOC_NAME=FAT:FQL_AUDITING_CLIENT_TEMPLATE.FAT&amp;display_string=Audit&amp;VAR:KEY=NMJUNILOFE&amp;VAR:QUERY=RkZfRUJJVERBKEFOTiwyMDEwKQ==&amp;WINDOW=FIRST_POPUP&amp;HEIGHT=450&amp;WIDTH=450&amp;START_MAXIMIZED=","FALSE&amp;VAR:CALENDAR=US&amp;VAR:SYMBOL=CHRW&amp;VAR:INDEX=0"}</definedName>
    <definedName name="_413__FDSAUDITLINK__" hidden="1">{"fdsup://directions/FAT Viewer?action=UPDATE&amp;creator=factset&amp;DYN_ARGS=TRUE&amp;DOC_NAME=FAT:FQL_AUDITING_CLIENT_TEMPLATE.FAT&amp;display_string=Audit&amp;VAR:KEY=NMJUNILOFE&amp;VAR:QUERY=RkZfRUJJVERBKEFOTiwyMDEwKQ==&amp;WINDOW=FIRST_POPUP&amp;HEIGHT=450&amp;WIDTH=450&amp;START_MAXIMIZED=","FALSE&amp;VAR:CALENDAR=US&amp;VAR:SYMBOL=CHRW&amp;VAR:INDEX=0"}</definedName>
    <definedName name="_414__FDSAUDITLINK__" localSheetId="4" hidden="1">{"fdsup://Directions/FactSet Auditing Viewer?action=AUDIT_VALUE&amp;DB=129&amp;ID1=90781810&amp;VALUEID=01401&amp;SDATE=2010&amp;PERIODTYPE=ANN_STD&amp;SCFT=3&amp;window=popup_no_bar&amp;width=385&amp;height=120&amp;START_MAXIMIZED=FALSE&amp;creator=factset&amp;display_string=Audit"}</definedName>
    <definedName name="_414__FDSAUDITLINK__" hidden="1">{"fdsup://Directions/FactSet Auditing Viewer?action=AUDIT_VALUE&amp;DB=129&amp;ID1=90781810&amp;VALUEID=01401&amp;SDATE=2010&amp;PERIODTYPE=ANN_STD&amp;SCFT=3&amp;window=popup_no_bar&amp;width=385&amp;height=120&amp;START_MAXIMIZED=FALSE&amp;creator=factset&amp;display_string=Audit"}</definedName>
    <definedName name="_415__FDSAUDITLINK__" localSheetId="4" hidden="1">{"fdsup://Directions/FactSet Auditing Viewer?action=AUDIT_VALUE&amp;DB=129&amp;ID1=75075340&amp;VALUEID=01401&amp;SDATE=2010&amp;PERIODTYPE=ANN_STD&amp;SCFT=3&amp;window=popup_no_bar&amp;width=385&amp;height=120&amp;START_MAXIMIZED=FALSE&amp;creator=factset&amp;display_string=Audit"}</definedName>
    <definedName name="_415__FDSAUDITLINK__" hidden="1">{"fdsup://Directions/FactSet Auditing Viewer?action=AUDIT_VALUE&amp;DB=129&amp;ID1=75075340&amp;VALUEID=01401&amp;SDATE=2010&amp;PERIODTYPE=ANN_STD&amp;SCFT=3&amp;window=popup_no_bar&amp;width=385&amp;height=120&amp;START_MAXIMIZED=FALSE&amp;creator=factset&amp;display_string=Audit"}</definedName>
    <definedName name="_416__FDSAUDITLINK__" localSheetId="4" hidden="1">{"fdsup://Directions/FactSet Auditing Viewer?action=AUDIT_VALUE&amp;DB=129&amp;ID1=65584410&amp;VALUEID=01401&amp;SDATE=2010&amp;PERIODTYPE=ANN_STD&amp;SCFT=3&amp;window=popup_no_bar&amp;width=385&amp;height=120&amp;START_MAXIMIZED=FALSE&amp;creator=factset&amp;display_string=Audit"}</definedName>
    <definedName name="_416__FDSAUDITLINK__" hidden="1">{"fdsup://Directions/FactSet Auditing Viewer?action=AUDIT_VALUE&amp;DB=129&amp;ID1=65584410&amp;VALUEID=01401&amp;SDATE=2010&amp;PERIODTYPE=ANN_STD&amp;SCFT=3&amp;window=popup_no_bar&amp;width=385&amp;height=120&amp;START_MAXIMIZED=FALSE&amp;creator=factset&amp;display_string=Audit"}</definedName>
    <definedName name="_417__FDSAUDITLINK__" localSheetId="4" hidden="1">{"fdsup://Directions/FactSet Auditing Viewer?action=AUDIT_VALUE&amp;DB=129&amp;ID1=48517030&amp;VALUEID=01401&amp;SDATE=2010&amp;PERIODTYPE=ANN_STD&amp;SCFT=3&amp;window=popup_no_bar&amp;width=385&amp;height=120&amp;START_MAXIMIZED=FALSE&amp;creator=factset&amp;display_string=Audit"}</definedName>
    <definedName name="_417__FDSAUDITLINK__" hidden="1">{"fdsup://Directions/FactSet Auditing Viewer?action=AUDIT_VALUE&amp;DB=129&amp;ID1=48517030&amp;VALUEID=01401&amp;SDATE=2010&amp;PERIODTYPE=ANN_STD&amp;SCFT=3&amp;window=popup_no_bar&amp;width=385&amp;height=120&amp;START_MAXIMIZED=FALSE&amp;creator=factset&amp;display_string=Audit"}</definedName>
    <definedName name="_418__FDSAUDITLINK__" localSheetId="4" hidden="1">{"fdsup://Directions/FactSet Auditing Viewer?action=AUDIT_VALUE&amp;DB=129&amp;ID1=37155910&amp;VALUEID=01401&amp;SDATE=2010&amp;PERIODTYPE=ANN_STD&amp;SCFT=3&amp;window=popup_no_bar&amp;width=385&amp;height=120&amp;START_MAXIMIZED=FALSE&amp;creator=factset&amp;display_string=Audit"}</definedName>
    <definedName name="_418__FDSAUDITLINK__" hidden="1">{"fdsup://Directions/FactSet Auditing Viewer?action=AUDIT_VALUE&amp;DB=129&amp;ID1=37155910&amp;VALUEID=01401&amp;SDATE=2010&amp;PERIODTYPE=ANN_STD&amp;SCFT=3&amp;window=popup_no_bar&amp;width=385&amp;height=120&amp;START_MAXIMIZED=FALSE&amp;creator=factset&amp;display_string=Audit"}</definedName>
    <definedName name="_419__FDSAUDITLINK__" localSheetId="4" hidden="1">{"fdsup://Directions/FactSet Auditing Viewer?action=AUDIT_VALUE&amp;DB=129&amp;ID1=12640810&amp;VALUEID=01401&amp;SDATE=2010&amp;PERIODTYPE=ANN_STD&amp;SCFT=3&amp;window=popup_no_bar&amp;width=385&amp;height=120&amp;START_MAXIMIZED=FALSE&amp;creator=factset&amp;display_string=Audit"}</definedName>
    <definedName name="_419__FDSAUDITLINK__" hidden="1">{"fdsup://Directions/FactSet Auditing Viewer?action=AUDIT_VALUE&amp;DB=129&amp;ID1=12640810&amp;VALUEID=01401&amp;SDATE=2010&amp;PERIODTYPE=ANN_STD&amp;SCFT=3&amp;window=popup_no_bar&amp;width=385&amp;height=120&amp;START_MAXIMIZED=FALSE&amp;creator=factset&amp;display_string=Audit"}</definedName>
    <definedName name="_42__FDSAUDITLINK__" localSheetId="4" hidden="1">{"fdsup://directions/FAT Viewer?action=UPDATE&amp;creator=factset&amp;DYN_ARGS=TRUE&amp;DOC_NAME=FAT:FQL_AUDITING_CLIENT_TEMPLATE.FAT&amp;display_string=Audit&amp;VAR:KEY=EFKFOZQBKX&amp;VAR:QUERY=RkZfTkVUX0lOQyhBTk4sMjAxMCk=&amp;WINDOW=FIRST_POPUP&amp;HEIGHT=450&amp;WIDTH=450&amp;START_MAXIMIZED=","FALSE&amp;VAR:CALENDAR=US&amp;VAR:SYMBOL=CSX&amp;VAR:INDEX=0"}</definedName>
    <definedName name="_42__FDSAUDITLINK__" localSheetId="5" hidden="1">{"fdsup://Directions/FactSet Auditing Viewer?action=AUDIT_VALUE&amp;DB=129&amp;ID1=12640810&amp;VALUEID=01250&amp;SDATE=2009&amp;PERIODTYPE=ANN_STD&amp;window=popup_no_bar&amp;width=385&amp;height=120&amp;START_MAXIMIZED=FALSE&amp;creator=factset&amp;display_string=Audit"}</definedName>
    <definedName name="_42__FDSAUDITLINK__" localSheetId="6" hidden="1">{"fdsup://Directions/FactSet Auditing Viewer?action=AUDIT_VALUE&amp;DB=129&amp;ID1=12640810&amp;VALUEID=01250&amp;SDATE=2009&amp;PERIODTYPE=ANN_STD&amp;window=popup_no_bar&amp;width=385&amp;height=120&amp;START_MAXIMIZED=FALSE&amp;creator=factset&amp;display_string=Audit"}</definedName>
    <definedName name="_42__FDSAUDITLINK__" hidden="1">{"fdsup://directions/FAT Viewer?action=UPDATE&amp;creator=factset&amp;DYN_ARGS=TRUE&amp;DOC_NAME=FAT:FQL_AUDITING_CLIENT_TEMPLATE.FAT&amp;display_string=Audit&amp;VAR:KEY=EFKFOZQBKX&amp;VAR:QUERY=RkZfTkVUX0lOQyhBTk4sMjAxMCk=&amp;WINDOW=FIRST_POPUP&amp;HEIGHT=450&amp;WIDTH=450&amp;START_MAXIMIZED=","FALSE&amp;VAR:CALENDAR=US&amp;VAR:SYMBOL=CSX&amp;VAR:INDEX=0"}</definedName>
    <definedName name="_420__FDSAUDITLINK__" localSheetId="4" hidden="1">{"fdsup://directions/FAT Viewer?action=UPDATE&amp;creator=factset&amp;DYN_ARGS=TRUE&amp;DOC_NAME=FAT:FQL_AUDITING_CLIENT_TEMPLATE.FAT&amp;display_string=Audit&amp;VAR:KEY=TEFEBCHYLA&amp;VAR:QUERY=RkZfTkVUX0lOQyhBTk4sMjAxMCk=&amp;WINDOW=FIRST_POPUP&amp;HEIGHT=450&amp;WIDTH=450&amp;START_MAXIMIZED=","FALSE&amp;VAR:CALENDAR=US&amp;VAR:SYMBOL=WERN&amp;VAR:INDEX=0"}</definedName>
    <definedName name="_420__FDSAUDITLINK__" hidden="1">{"fdsup://directions/FAT Viewer?action=UPDATE&amp;creator=factset&amp;DYN_ARGS=TRUE&amp;DOC_NAME=FAT:FQL_AUDITING_CLIENT_TEMPLATE.FAT&amp;display_string=Audit&amp;VAR:KEY=TEFEBCHYLA&amp;VAR:QUERY=RkZfTkVUX0lOQyhBTk4sMjAxMCk=&amp;WINDOW=FIRST_POPUP&amp;HEIGHT=450&amp;WIDTH=450&amp;START_MAXIMIZED=","FALSE&amp;VAR:CALENDAR=US&amp;VAR:SYMBOL=WERN&amp;VAR:INDEX=0"}</definedName>
    <definedName name="_421__FDSAUDITLINK__" localSheetId="4" hidden="1">{"fdsup://directions/FAT Viewer?action=UPDATE&amp;creator=factset&amp;DYN_ARGS=TRUE&amp;DOC_NAME=FAT:FQL_AUDITING_CLIENT_TEMPLATE.FAT&amp;display_string=Audit&amp;VAR:KEY=DKZMTQXOBY&amp;VAR:QUERY=RkZfTkVUX0lOQyhBTk4sMjAxMCk=&amp;WINDOW=FIRST_POPUP&amp;HEIGHT=450&amp;WIDTH=450&amp;START_MAXIMIZED=","FALSE&amp;VAR:CALENDAR=US&amp;VAR:SYMBOL=UTIW&amp;VAR:INDEX=0"}</definedName>
    <definedName name="_421__FDSAUDITLINK__" hidden="1">{"fdsup://directions/FAT Viewer?action=UPDATE&amp;creator=factset&amp;DYN_ARGS=TRUE&amp;DOC_NAME=FAT:FQL_AUDITING_CLIENT_TEMPLATE.FAT&amp;display_string=Audit&amp;VAR:KEY=DKZMTQXOBY&amp;VAR:QUERY=RkZfTkVUX0lOQyhBTk4sMjAxMCk=&amp;WINDOW=FIRST_POPUP&amp;HEIGHT=450&amp;WIDTH=450&amp;START_MAXIMIZED=","FALSE&amp;VAR:CALENDAR=US&amp;VAR:SYMBOL=UTIW&amp;VAR:INDEX=0"}</definedName>
    <definedName name="_422__FDSAUDITLINK__" localSheetId="4" hidden="1">{"fdsup://directions/FAT Viewer?action=UPDATE&amp;creator=factset&amp;DYN_ARGS=TRUE&amp;DOC_NAME=FAT:FQL_AUDITING_CLIENT_TEMPLATE.FAT&amp;display_string=Audit&amp;VAR:KEY=ZMPSHSFQPC&amp;VAR:QUERY=RkZfTkVUX0lOQyhBTk4sMjAxMCk=&amp;WINDOW=FIRST_POPUP&amp;HEIGHT=450&amp;WIDTH=450&amp;START_MAXIMIZED=","FALSE&amp;VAR:CALENDAR=US&amp;VAR:SYMBOL=UPS&amp;VAR:INDEX=0"}</definedName>
    <definedName name="_422__FDSAUDITLINK__" hidden="1">{"fdsup://directions/FAT Viewer?action=UPDATE&amp;creator=factset&amp;DYN_ARGS=TRUE&amp;DOC_NAME=FAT:FQL_AUDITING_CLIENT_TEMPLATE.FAT&amp;display_string=Audit&amp;VAR:KEY=ZMPSHSFQPC&amp;VAR:QUERY=RkZfTkVUX0lOQyhBTk4sMjAxMCk=&amp;WINDOW=FIRST_POPUP&amp;HEIGHT=450&amp;WIDTH=450&amp;START_MAXIMIZED=","FALSE&amp;VAR:CALENDAR=US&amp;VAR:SYMBOL=UPS&amp;VAR:INDEX=0"}</definedName>
    <definedName name="_423__FDSAUDITLINK__" localSheetId="4" hidden="1">{"fdsup://directions/FAT Viewer?action=UPDATE&amp;creator=factset&amp;DYN_ARGS=TRUE&amp;DOC_NAME=FAT:FQL_AUDITING_CLIENT_TEMPLATE.FAT&amp;display_string=Audit&amp;VAR:KEY=ZERKTWLUZM&amp;VAR:QUERY=RkZfTkVUX0lOQyhBTk4sMjAxMCk=&amp;WINDOW=FIRST_POPUP&amp;HEIGHT=450&amp;WIDTH=450&amp;START_MAXIMIZED=","FALSE&amp;VAR:CALENDAR=US&amp;VAR:SYMBOL=UNP&amp;VAR:INDEX=0"}</definedName>
    <definedName name="_423__FDSAUDITLINK__" hidden="1">{"fdsup://directions/FAT Viewer?action=UPDATE&amp;creator=factset&amp;DYN_ARGS=TRUE&amp;DOC_NAME=FAT:FQL_AUDITING_CLIENT_TEMPLATE.FAT&amp;display_string=Audit&amp;VAR:KEY=ZERKTWLUZM&amp;VAR:QUERY=RkZfTkVUX0lOQyhBTk4sMjAxMCk=&amp;WINDOW=FIRST_POPUP&amp;HEIGHT=450&amp;WIDTH=450&amp;START_MAXIMIZED=","FALSE&amp;VAR:CALENDAR=US&amp;VAR:SYMBOL=UNP&amp;VAR:INDEX=0"}</definedName>
    <definedName name="_424__FDSAUDITLINK__" localSheetId="4" hidden="1">{"fdsup://directions/FAT Viewer?action=UPDATE&amp;creator=factset&amp;DYN_ARGS=TRUE&amp;DOC_NAME=FAT:FQL_AUDITING_CLIENT_TEMPLATE.FAT&amp;display_string=Audit&amp;VAR:KEY=XSHQBOPYBO&amp;VAR:QUERY=RkZfTkVUX0lOQyhBTk4sMjAxMCk=&amp;WINDOW=FIRST_POPUP&amp;HEIGHT=450&amp;WIDTH=450&amp;START_MAXIMIZED=","FALSE&amp;VAR:CALENDAR=US&amp;VAR:SYMBOL=SWFT&amp;VAR:INDEX=0"}</definedName>
    <definedName name="_424__FDSAUDITLINK__" hidden="1">{"fdsup://directions/FAT Viewer?action=UPDATE&amp;creator=factset&amp;DYN_ARGS=TRUE&amp;DOC_NAME=FAT:FQL_AUDITING_CLIENT_TEMPLATE.FAT&amp;display_string=Audit&amp;VAR:KEY=XSHQBOPYBO&amp;VAR:QUERY=RkZfTkVUX0lOQyhBTk4sMjAxMCk=&amp;WINDOW=FIRST_POPUP&amp;HEIGHT=450&amp;WIDTH=450&amp;START_MAXIMIZED=","FALSE&amp;VAR:CALENDAR=US&amp;VAR:SYMBOL=SWFT&amp;VAR:INDEX=0"}</definedName>
    <definedName name="_425__FDSAUDITLINK__" localSheetId="4" hidden="1">{"fdsup://directions/FAT Viewer?action=UPDATE&amp;creator=factset&amp;DYN_ARGS=TRUE&amp;DOC_NAME=FAT:FQL_AUDITING_CLIENT_TEMPLATE.FAT&amp;display_string=Audit&amp;VAR:KEY=VMJEPWPIXO&amp;VAR:QUERY=RkZfTkVUX0lOQyhBTk4sMjAxMCk=&amp;WINDOW=FIRST_POPUP&amp;HEIGHT=450&amp;WIDTH=450&amp;START_MAXIMIZED=","FALSE&amp;VAR:CALENDAR=US&amp;VAR:SYMBOL=RA&amp;VAR:INDEX=0"}</definedName>
    <definedName name="_425__FDSAUDITLINK__" hidden="1">{"fdsup://directions/FAT Viewer?action=UPDATE&amp;creator=factset&amp;DYN_ARGS=TRUE&amp;DOC_NAME=FAT:FQL_AUDITING_CLIENT_TEMPLATE.FAT&amp;display_string=Audit&amp;VAR:KEY=VMJEPWPIXO&amp;VAR:QUERY=RkZfTkVUX0lOQyhBTk4sMjAxMCk=&amp;WINDOW=FIRST_POPUP&amp;HEIGHT=450&amp;WIDTH=450&amp;START_MAXIMIZED=","FALSE&amp;VAR:CALENDAR=US&amp;VAR:SYMBOL=RA&amp;VAR:INDEX=0"}</definedName>
    <definedName name="_426__FDSAUDITLINK__" localSheetId="4" hidden="1">{"fdsup://directions/FAT Viewer?action=UPDATE&amp;creator=factset&amp;DYN_ARGS=TRUE&amp;DOC_NAME=FAT:FQL_AUDITING_CLIENT_TEMPLATE.FAT&amp;display_string=Audit&amp;VAR:KEY=NKHQVIBYPU&amp;VAR:QUERY=RkZfTkVUX0lOQyhBTk4sMjAxMCk=&amp;WINDOW=FIRST_POPUP&amp;HEIGHT=450&amp;WIDTH=450&amp;START_MAXIMIZED=","FALSE&amp;VAR:CALENDAR=US&amp;VAR:SYMBOL=NSC&amp;VAR:INDEX=0"}</definedName>
    <definedName name="_426__FDSAUDITLINK__" hidden="1">{"fdsup://directions/FAT Viewer?action=UPDATE&amp;creator=factset&amp;DYN_ARGS=TRUE&amp;DOC_NAME=FAT:FQL_AUDITING_CLIENT_TEMPLATE.FAT&amp;display_string=Audit&amp;VAR:KEY=NKHQVIBYPU&amp;VAR:QUERY=RkZfTkVUX0lOQyhBTk4sMjAxMCk=&amp;WINDOW=FIRST_POPUP&amp;HEIGHT=450&amp;WIDTH=450&amp;START_MAXIMIZED=","FALSE&amp;VAR:CALENDAR=US&amp;VAR:SYMBOL=NSC&amp;VAR:INDEX=0"}</definedName>
    <definedName name="_427__FDSAUDITLINK__" localSheetId="4" hidden="1">{"fdsup://directions/FAT Viewer?action=UPDATE&amp;creator=factset&amp;DYN_ARGS=TRUE&amp;DOC_NAME=FAT:FQL_AUDITING_CLIENT_TEMPLATE.FAT&amp;display_string=Audit&amp;VAR:KEY=NUZSXGPYTE&amp;VAR:QUERY=RkZfTkVUX0lOQyhBTk4sMjAxMCk=&amp;WINDOW=FIRST_POPUP&amp;HEIGHT=450&amp;WIDTH=450&amp;START_MAXIMIZED=","FALSE&amp;VAR:CALENDAR=US&amp;VAR:SYMBOL=KSU&amp;VAR:INDEX=0"}</definedName>
    <definedName name="_427__FDSAUDITLINK__" hidden="1">{"fdsup://directions/FAT Viewer?action=UPDATE&amp;creator=factset&amp;DYN_ARGS=TRUE&amp;DOC_NAME=FAT:FQL_AUDITING_CLIENT_TEMPLATE.FAT&amp;display_string=Audit&amp;VAR:KEY=NUZSXGPYTE&amp;VAR:QUERY=RkZfTkVUX0lOQyhBTk4sMjAxMCk=&amp;WINDOW=FIRST_POPUP&amp;HEIGHT=450&amp;WIDTH=450&amp;START_MAXIMIZED=","FALSE&amp;VAR:CALENDAR=US&amp;VAR:SYMBOL=KSU&amp;VAR:INDEX=0"}</definedName>
    <definedName name="_428__FDSAUDITLINK__" localSheetId="4" hidden="1">{"fdsup://directions/FAT Viewer?action=UPDATE&amp;creator=factset&amp;DYN_ARGS=TRUE&amp;DOC_NAME=FAT:FQL_AUDITING_CLIENT_TEMPLATE.FAT&amp;display_string=Audit&amp;VAR:KEY=VIXYFCHCJW&amp;VAR:QUERY=RkZfTkVUX0lOQyhBTk4sMjAxMCk=&amp;WINDOW=FIRST_POPUP&amp;HEIGHT=450&amp;WIDTH=450&amp;START_MAXIMIZED=","FALSE&amp;VAR:CALENDAR=US&amp;VAR:SYMBOL=KNX&amp;VAR:INDEX=0"}</definedName>
    <definedName name="_428__FDSAUDITLINK__" hidden="1">{"fdsup://directions/FAT Viewer?action=UPDATE&amp;creator=factset&amp;DYN_ARGS=TRUE&amp;DOC_NAME=FAT:FQL_AUDITING_CLIENT_TEMPLATE.FAT&amp;display_string=Audit&amp;VAR:KEY=VIXYFCHCJW&amp;VAR:QUERY=RkZfTkVUX0lOQyhBTk4sMjAxMCk=&amp;WINDOW=FIRST_POPUP&amp;HEIGHT=450&amp;WIDTH=450&amp;START_MAXIMIZED=","FALSE&amp;VAR:CALENDAR=US&amp;VAR:SYMBOL=KNX&amp;VAR:INDEX=0"}</definedName>
    <definedName name="_429__FDSAUDITLINK__" localSheetId="4" hidden="1">{"fdsup://directions/FAT Viewer?action=UPDATE&amp;creator=factset&amp;DYN_ARGS=TRUE&amp;DOC_NAME=FAT:FQL_AUDITING_CLIENT_TEMPLATE.FAT&amp;display_string=Audit&amp;VAR:KEY=VWBAHYTEZO&amp;VAR:QUERY=RkZfTkVUX0lOQyhBTk4sMjAxMCk=&amp;WINDOW=FIRST_POPUP&amp;HEIGHT=450&amp;WIDTH=450&amp;START_MAXIMIZED=","FALSE&amp;VAR:CALENDAR=US&amp;VAR:SYMBOL=JBHT&amp;VAR:INDEX=0"}</definedName>
    <definedName name="_429__FDSAUDITLINK__" hidden="1">{"fdsup://directions/FAT Viewer?action=UPDATE&amp;creator=factset&amp;DYN_ARGS=TRUE&amp;DOC_NAME=FAT:FQL_AUDITING_CLIENT_TEMPLATE.FAT&amp;display_string=Audit&amp;VAR:KEY=VWBAHYTEZO&amp;VAR:QUERY=RkZfTkVUX0lOQyhBTk4sMjAxMCk=&amp;WINDOW=FIRST_POPUP&amp;HEIGHT=450&amp;WIDTH=450&amp;START_MAXIMIZED=","FALSE&amp;VAR:CALENDAR=US&amp;VAR:SYMBOL=JBHT&amp;VAR:INDEX=0"}</definedName>
    <definedName name="_43__FDSAUDITLINK__" localSheetId="4" hidden="1">{"fdsup://directions/FAT Viewer?action=UPDATE&amp;creator=factset&amp;DYN_ARGS=TRUE&amp;DOC_NAME=FAT:FQL_AUDITING_CLIENT_TEMPLATE.FAT&amp;display_string=Audit&amp;VAR:KEY=OZKRUNWHIL&amp;VAR:QUERY=RkZfTkVUX0lOQyhBTk4sMjAxMCk=&amp;WINDOW=FIRST_POPUP&amp;HEIGHT=450&amp;WIDTH=450&amp;START_MAXIMIZED=","FALSE&amp;VAR:CALENDAR=US&amp;VAR:SYMBOL=CP&amp;VAR:INDEX=0"}</definedName>
    <definedName name="_43__FDSAUDITLINK__" localSheetId="5" hidden="1">{"fdsup://Directions/FactSet Auditing Viewer?action=AUDIT_VALUE&amp;DB=129&amp;ID1=90781810&amp;VALUEID=01001&amp;SDATE=2009&amp;PERIODTYPE=ANN_STD&amp;window=popup_no_bar&amp;width=385&amp;height=120&amp;START_MAXIMIZED=FALSE&amp;creator=factset&amp;display_string=Audit"}</definedName>
    <definedName name="_43__FDSAUDITLINK__" localSheetId="6" hidden="1">{"fdsup://Directions/FactSet Auditing Viewer?action=AUDIT_VALUE&amp;DB=129&amp;ID1=90781810&amp;VALUEID=01001&amp;SDATE=2009&amp;PERIODTYPE=ANN_STD&amp;window=popup_no_bar&amp;width=385&amp;height=120&amp;START_MAXIMIZED=FALSE&amp;creator=factset&amp;display_string=Audit"}</definedName>
    <definedName name="_43__FDSAUDITLINK__" hidden="1">{"fdsup://directions/FAT Viewer?action=UPDATE&amp;creator=factset&amp;DYN_ARGS=TRUE&amp;DOC_NAME=FAT:FQL_AUDITING_CLIENT_TEMPLATE.FAT&amp;display_string=Audit&amp;VAR:KEY=OZKRUNWHIL&amp;VAR:QUERY=RkZfTkVUX0lOQyhBTk4sMjAxMCk=&amp;WINDOW=FIRST_POPUP&amp;HEIGHT=450&amp;WIDTH=450&amp;START_MAXIMIZED=","FALSE&amp;VAR:CALENDAR=US&amp;VAR:SYMBOL=CP&amp;VAR:INDEX=0"}</definedName>
    <definedName name="_430__FDSAUDITLINK__" localSheetId="4" hidden="1">{"fdsup://directions/FAT Viewer?action=UPDATE&amp;creator=factset&amp;DYN_ARGS=TRUE&amp;DOC_NAME=FAT:FQL_AUDITING_CLIENT_TEMPLATE.FAT&amp;display_string=Audit&amp;VAR:KEY=ZUDYNERMNW&amp;VAR:QUERY=RkZfTkVUX0lOQyhBTk4sMjAxMCk=&amp;WINDOW=FIRST_POPUP&amp;HEIGHT=450&amp;WIDTH=450&amp;START_MAXIMIZED=","FALSE&amp;VAR:CALENDAR=US&amp;VAR:SYMBOL=HTLD&amp;VAR:INDEX=0"}</definedName>
    <definedName name="_430__FDSAUDITLINK__" hidden="1">{"fdsup://directions/FAT Viewer?action=UPDATE&amp;creator=factset&amp;DYN_ARGS=TRUE&amp;DOC_NAME=FAT:FQL_AUDITING_CLIENT_TEMPLATE.FAT&amp;display_string=Audit&amp;VAR:KEY=ZUDYNERMNW&amp;VAR:QUERY=RkZfTkVUX0lOQyhBTk4sMjAxMCk=&amp;WINDOW=FIRST_POPUP&amp;HEIGHT=450&amp;WIDTH=450&amp;START_MAXIMIZED=","FALSE&amp;VAR:CALENDAR=US&amp;VAR:SYMBOL=HTLD&amp;VAR:INDEX=0"}</definedName>
    <definedName name="_431__FDSAUDITLINK__" localSheetId="4" hidden="1">{"fdsup://directions/FAT Viewer?action=UPDATE&amp;creator=factset&amp;DYN_ARGS=TRUE&amp;DOC_NAME=FAT:FQL_AUDITING_CLIENT_TEMPLATE.FAT&amp;display_string=Audit&amp;VAR:KEY=DWLKJADUPM&amp;VAR:QUERY=RkZfTkVUX0lOQyhBTk4sMjAxMCk=&amp;WINDOW=FIRST_POPUP&amp;HEIGHT=450&amp;WIDTH=450&amp;START_MAXIMIZED=","FALSE&amp;VAR:CALENDAR=US&amp;VAR:SYMBOL=GWR&amp;VAR:INDEX=0"}</definedName>
    <definedName name="_431__FDSAUDITLINK__" hidden="1">{"fdsup://directions/FAT Viewer?action=UPDATE&amp;creator=factset&amp;DYN_ARGS=TRUE&amp;DOC_NAME=FAT:FQL_AUDITING_CLIENT_TEMPLATE.FAT&amp;display_string=Audit&amp;VAR:KEY=DWLKJADUPM&amp;VAR:QUERY=RkZfTkVUX0lOQyhBTk4sMjAxMCk=&amp;WINDOW=FIRST_POPUP&amp;HEIGHT=450&amp;WIDTH=450&amp;START_MAXIMIZED=","FALSE&amp;VAR:CALENDAR=US&amp;VAR:SYMBOL=GWR&amp;VAR:INDEX=0"}</definedName>
    <definedName name="_432__FDSAUDITLINK__" localSheetId="4" hidden="1">{"fdsup://directions/FAT Viewer?action=UPDATE&amp;creator=factset&amp;DYN_ARGS=TRUE&amp;DOC_NAME=FAT:FQL_AUDITING_CLIENT_TEMPLATE.FAT&amp;display_string=Audit&amp;VAR:KEY=NCHITCFSDK&amp;VAR:QUERY=RkZfTkVUX0lOQyhBTk4sMjAxMCk=&amp;WINDOW=FIRST_POPUP&amp;HEIGHT=450&amp;WIDTH=450&amp;START_MAXIMIZED=","FALSE&amp;VAR:CALENDAR=US&amp;VAR:SYMBOL=FDX&amp;VAR:INDEX=0"}</definedName>
    <definedName name="_432__FDSAUDITLINK__" hidden="1">{"fdsup://directions/FAT Viewer?action=UPDATE&amp;creator=factset&amp;DYN_ARGS=TRUE&amp;DOC_NAME=FAT:FQL_AUDITING_CLIENT_TEMPLATE.FAT&amp;display_string=Audit&amp;VAR:KEY=NCHITCFSDK&amp;VAR:QUERY=RkZfTkVUX0lOQyhBTk4sMjAxMCk=&amp;WINDOW=FIRST_POPUP&amp;HEIGHT=450&amp;WIDTH=450&amp;START_MAXIMIZED=","FALSE&amp;VAR:CALENDAR=US&amp;VAR:SYMBOL=FDX&amp;VAR:INDEX=0"}</definedName>
    <definedName name="_433__FDSAUDITLINK__" localSheetId="4" hidden="1">{"fdsup://directions/FAT Viewer?action=UPDATE&amp;creator=factset&amp;DYN_ARGS=TRUE&amp;DOC_NAME=FAT:FQL_AUDITING_CLIENT_TEMPLATE.FAT&amp;display_string=Audit&amp;VAR:KEY=DYDADKPAZI&amp;VAR:QUERY=RkZfTkVUX0lOQyhBTk4sMjAxMCk=&amp;WINDOW=FIRST_POPUP&amp;HEIGHT=450&amp;WIDTH=450&amp;START_MAXIMIZED=","FALSE&amp;VAR:CALENDAR=US&amp;VAR:SYMBOL=EXPD&amp;VAR:INDEX=0"}</definedName>
    <definedName name="_433__FDSAUDITLINK__" hidden="1">{"fdsup://directions/FAT Viewer?action=UPDATE&amp;creator=factset&amp;DYN_ARGS=TRUE&amp;DOC_NAME=FAT:FQL_AUDITING_CLIENT_TEMPLATE.FAT&amp;display_string=Audit&amp;VAR:KEY=DYDADKPAZI&amp;VAR:QUERY=RkZfTkVUX0lOQyhBTk4sMjAxMCk=&amp;WINDOW=FIRST_POPUP&amp;HEIGHT=450&amp;WIDTH=450&amp;START_MAXIMIZED=","FALSE&amp;VAR:CALENDAR=US&amp;VAR:SYMBOL=EXPD&amp;VAR:INDEX=0"}</definedName>
    <definedName name="_434__FDSAUDITLINK__" localSheetId="4" hidden="1">{"fdsup://directions/FAT Viewer?action=UPDATE&amp;creator=factset&amp;DYN_ARGS=TRUE&amp;DOC_NAME=FAT:FQL_AUDITING_CLIENT_TEMPLATE.FAT&amp;display_string=Audit&amp;VAR:KEY=BCNGDMHELQ&amp;VAR:QUERY=RkZfTkVUX0lOQyhBTk4sMjAxMCk=&amp;WINDOW=FIRST_POPUP&amp;HEIGHT=450&amp;WIDTH=450&amp;START_MAXIMIZED=","FALSE&amp;VAR:CALENDAR=US&amp;VAR:SYMBOL=ECHO&amp;VAR:INDEX=0"}</definedName>
    <definedName name="_434__FDSAUDITLINK__" hidden="1">{"fdsup://directions/FAT Viewer?action=UPDATE&amp;creator=factset&amp;DYN_ARGS=TRUE&amp;DOC_NAME=FAT:FQL_AUDITING_CLIENT_TEMPLATE.FAT&amp;display_string=Audit&amp;VAR:KEY=BCNGDMHELQ&amp;VAR:QUERY=RkZfTkVUX0lOQyhBTk4sMjAxMCk=&amp;WINDOW=FIRST_POPUP&amp;HEIGHT=450&amp;WIDTH=450&amp;START_MAXIMIZED=","FALSE&amp;VAR:CALENDAR=US&amp;VAR:SYMBOL=ECHO&amp;VAR:INDEX=0"}</definedName>
    <definedName name="_435__FDSAUDITLINK__" localSheetId="4" hidden="1">{"fdsup://directions/FAT Viewer?action=UPDATE&amp;creator=factset&amp;DYN_ARGS=TRUE&amp;DOC_NAME=FAT:FQL_AUDITING_CLIENT_TEMPLATE.FAT&amp;display_string=Audit&amp;VAR:KEY=ZAXCRELUXM&amp;VAR:QUERY=RkZfTkVUX0lOQyhBTk4sMjAxMCk=&amp;WINDOW=FIRST_POPUP&amp;HEIGHT=450&amp;WIDTH=450&amp;START_MAXIMIZED=","FALSE&amp;VAR:CALENDAR=US&amp;VAR:SYMBOL=CSX&amp;VAR:INDEX=0"}</definedName>
    <definedName name="_435__FDSAUDITLINK__" hidden="1">{"fdsup://directions/FAT Viewer?action=UPDATE&amp;creator=factset&amp;DYN_ARGS=TRUE&amp;DOC_NAME=FAT:FQL_AUDITING_CLIENT_TEMPLATE.FAT&amp;display_string=Audit&amp;VAR:KEY=ZAXCRELUXM&amp;VAR:QUERY=RkZfTkVUX0lOQyhBTk4sMjAxMCk=&amp;WINDOW=FIRST_POPUP&amp;HEIGHT=450&amp;WIDTH=450&amp;START_MAXIMIZED=","FALSE&amp;VAR:CALENDAR=US&amp;VAR:SYMBOL=CSX&amp;VAR:INDEX=0"}</definedName>
    <definedName name="_436__FDSAUDITLINK__" localSheetId="4" hidden="1">{"fdsup://directions/FAT Viewer?action=UPDATE&amp;creator=factset&amp;DYN_ARGS=TRUE&amp;DOC_NAME=FAT:FQL_AUDITING_CLIENT_TEMPLATE.FAT&amp;display_string=Audit&amp;VAR:KEY=TOPEJIDUDE&amp;VAR:QUERY=RkZfTkVUX0lOQyhBTk4sMjAxMCk=&amp;WINDOW=FIRST_POPUP&amp;HEIGHT=450&amp;WIDTH=450&amp;START_MAXIMIZED=","FALSE&amp;VAR:CALENDAR=US&amp;VAR:SYMBOL=CP&amp;VAR:INDEX=0"}</definedName>
    <definedName name="_436__FDSAUDITLINK__" hidden="1">{"fdsup://directions/FAT Viewer?action=UPDATE&amp;creator=factset&amp;DYN_ARGS=TRUE&amp;DOC_NAME=FAT:FQL_AUDITING_CLIENT_TEMPLATE.FAT&amp;display_string=Audit&amp;VAR:KEY=TOPEJIDUDE&amp;VAR:QUERY=RkZfTkVUX0lOQyhBTk4sMjAxMCk=&amp;WINDOW=FIRST_POPUP&amp;HEIGHT=450&amp;WIDTH=450&amp;START_MAXIMIZED=","FALSE&amp;VAR:CALENDAR=US&amp;VAR:SYMBOL=CP&amp;VAR:INDEX=0"}</definedName>
    <definedName name="_437__FDSAUDITLINK__" localSheetId="4" hidden="1">{"fdsup://directions/FAT Viewer?action=UPDATE&amp;creator=factset&amp;DYN_ARGS=TRUE&amp;DOC_NAME=FAT:FQL_AUDITING_CLIENT_TEMPLATE.FAT&amp;display_string=Audit&amp;VAR:KEY=TSDAZCBUZS&amp;VAR:QUERY=RkZfTkVUX0lOQyhBTk4sMjAxMCk=&amp;WINDOW=FIRST_POPUP&amp;HEIGHT=450&amp;WIDTH=450&amp;START_MAXIMIZED=","FALSE&amp;VAR:CALENDAR=US&amp;VAR:SYMBOL=CNI&amp;VAR:INDEX=0"}</definedName>
    <definedName name="_437__FDSAUDITLINK__" hidden="1">{"fdsup://directions/FAT Viewer?action=UPDATE&amp;creator=factset&amp;DYN_ARGS=TRUE&amp;DOC_NAME=FAT:FQL_AUDITING_CLIENT_TEMPLATE.FAT&amp;display_string=Audit&amp;VAR:KEY=TSDAZCBUZS&amp;VAR:QUERY=RkZfTkVUX0lOQyhBTk4sMjAxMCk=&amp;WINDOW=FIRST_POPUP&amp;HEIGHT=450&amp;WIDTH=450&amp;START_MAXIMIZED=","FALSE&amp;VAR:CALENDAR=US&amp;VAR:SYMBOL=CNI&amp;VAR:INDEX=0"}</definedName>
    <definedName name="_438__FDSAUDITLINK__" localSheetId="4" hidden="1">{"fdsup://directions/FAT Viewer?action=UPDATE&amp;creator=factset&amp;DYN_ARGS=TRUE&amp;DOC_NAME=FAT:FQL_AUDITING_CLIENT_TEMPLATE.FAT&amp;display_string=Audit&amp;VAR:KEY=VGFEBKRWDE&amp;VAR:QUERY=RkZfTkVUX0lOQyhBTk4sMjAxMCk=&amp;WINDOW=FIRST_POPUP&amp;HEIGHT=450&amp;WIDTH=450&amp;START_MAXIMIZED=","FALSE&amp;VAR:CALENDAR=US&amp;VAR:SYMBOL=CHRW&amp;VAR:INDEX=0"}</definedName>
    <definedName name="_438__FDSAUDITLINK__" hidden="1">{"fdsup://directions/FAT Viewer?action=UPDATE&amp;creator=factset&amp;DYN_ARGS=TRUE&amp;DOC_NAME=FAT:FQL_AUDITING_CLIENT_TEMPLATE.FAT&amp;display_string=Audit&amp;VAR:KEY=VGFEBKRWDE&amp;VAR:QUERY=RkZfTkVUX0lOQyhBTk4sMjAxMCk=&amp;WINDOW=FIRST_POPUP&amp;HEIGHT=450&amp;WIDTH=450&amp;START_MAXIMIZED=","FALSE&amp;VAR:CALENDAR=US&amp;VAR:SYMBOL=CHRW&amp;VAR:INDEX=0"}</definedName>
    <definedName name="_439__FDSAUDITLINK__" localSheetId="4" hidden="1">{"fdsup://directions/FAT Viewer?action=UPDATE&amp;creator=factset&amp;DYN_ARGS=TRUE&amp;DOC_NAME=FAT:FQL_AUDITING_CLIENT_TEMPLATE.FAT&amp;display_string=Audit&amp;VAR:KEY=TEFEBCHYLA&amp;VAR:QUERY=RkZfTkVUX0lOQyhBTk4sMjAxMCk=&amp;WINDOW=FIRST_POPUP&amp;HEIGHT=450&amp;WIDTH=450&amp;START_MAXIMIZED=","FALSE&amp;VAR:CALENDAR=US&amp;VAR:SYMBOL=WERN&amp;VAR:INDEX=0"}</definedName>
    <definedName name="_439__FDSAUDITLINK__" hidden="1">{"fdsup://directions/FAT Viewer?action=UPDATE&amp;creator=factset&amp;DYN_ARGS=TRUE&amp;DOC_NAME=FAT:FQL_AUDITING_CLIENT_TEMPLATE.FAT&amp;display_string=Audit&amp;VAR:KEY=TEFEBCHYLA&amp;VAR:QUERY=RkZfTkVUX0lOQyhBTk4sMjAxMCk=&amp;WINDOW=FIRST_POPUP&amp;HEIGHT=450&amp;WIDTH=450&amp;START_MAXIMIZED=","FALSE&amp;VAR:CALENDAR=US&amp;VAR:SYMBOL=WERN&amp;VAR:INDEX=0"}</definedName>
    <definedName name="_44__FDSAUDITLINK__" localSheetId="4" hidden="1">{"fdsup://directions/FAT Viewer?action=UPDATE&amp;creator=factset&amp;DYN_ARGS=TRUE&amp;DOC_NAME=FAT:FQL_AUDITING_CLIENT_TEMPLATE.FAT&amp;display_string=Audit&amp;VAR:KEY=QPUPARQXUX&amp;VAR:QUERY=RkZfTkVUX0lOQyhBTk4sMjAxMCk=&amp;WINDOW=FIRST_POPUP&amp;HEIGHT=450&amp;WIDTH=450&amp;START_MAXIMIZED=","FALSE&amp;VAR:CALENDAR=US&amp;VAR:SYMBOL=CNI&amp;VAR:INDEX=0"}</definedName>
    <definedName name="_44__FDSAUDITLINK__" localSheetId="5" hidden="1">{"fdsup://Directions/FactSet Auditing Viewer?action=AUDIT_VALUE&amp;DB=129&amp;ID1=75075340&amp;VALUEID=01001&amp;SDATE=2009&amp;PERIODTYPE=ANN_STD&amp;window=popup_no_bar&amp;width=385&amp;height=120&amp;START_MAXIMIZED=FALSE&amp;creator=factset&amp;display_string=Audit"}</definedName>
    <definedName name="_44__FDSAUDITLINK__" localSheetId="6" hidden="1">{"fdsup://Directions/FactSet Auditing Viewer?action=AUDIT_VALUE&amp;DB=129&amp;ID1=75075340&amp;VALUEID=01001&amp;SDATE=2009&amp;PERIODTYPE=ANN_STD&amp;window=popup_no_bar&amp;width=385&amp;height=120&amp;START_MAXIMIZED=FALSE&amp;creator=factset&amp;display_string=Audit"}</definedName>
    <definedName name="_44__FDSAUDITLINK__" hidden="1">{"fdsup://directions/FAT Viewer?action=UPDATE&amp;creator=factset&amp;DYN_ARGS=TRUE&amp;DOC_NAME=FAT:FQL_AUDITING_CLIENT_TEMPLATE.FAT&amp;display_string=Audit&amp;VAR:KEY=QPUPARQXUX&amp;VAR:QUERY=RkZfTkVUX0lOQyhBTk4sMjAxMCk=&amp;WINDOW=FIRST_POPUP&amp;HEIGHT=450&amp;WIDTH=450&amp;START_MAXIMIZED=","FALSE&amp;VAR:CALENDAR=US&amp;VAR:SYMBOL=CNI&amp;VAR:INDEX=0"}</definedName>
    <definedName name="_440__FDSAUDITLINK__" localSheetId="4" hidden="1">{"fdsup://directions/FAT Viewer?action=UPDATE&amp;creator=factset&amp;DYN_ARGS=TRUE&amp;DOC_NAME=FAT:FQL_AUDITING_CLIENT_TEMPLATE.FAT&amp;display_string=Audit&amp;VAR:KEY=DKZMTQXOBY&amp;VAR:QUERY=RkZfTkVUX0lOQyhBTk4sMjAxMCk=&amp;WINDOW=FIRST_POPUP&amp;HEIGHT=450&amp;WIDTH=450&amp;START_MAXIMIZED=","FALSE&amp;VAR:CALENDAR=US&amp;VAR:SYMBOL=UTIW&amp;VAR:INDEX=0"}</definedName>
    <definedName name="_440__FDSAUDITLINK__" hidden="1">{"fdsup://directions/FAT Viewer?action=UPDATE&amp;creator=factset&amp;DYN_ARGS=TRUE&amp;DOC_NAME=FAT:FQL_AUDITING_CLIENT_TEMPLATE.FAT&amp;display_string=Audit&amp;VAR:KEY=DKZMTQXOBY&amp;VAR:QUERY=RkZfTkVUX0lOQyhBTk4sMjAxMCk=&amp;WINDOW=FIRST_POPUP&amp;HEIGHT=450&amp;WIDTH=450&amp;START_MAXIMIZED=","FALSE&amp;VAR:CALENDAR=US&amp;VAR:SYMBOL=UTIW&amp;VAR:INDEX=0"}</definedName>
    <definedName name="_441__FDSAUDITLINK__" localSheetId="4" hidden="1">{"fdsup://directions/FAT Viewer?action=UPDATE&amp;creator=factset&amp;DYN_ARGS=TRUE&amp;DOC_NAME=FAT:FQL_AUDITING_CLIENT_TEMPLATE.FAT&amp;display_string=Audit&amp;VAR:KEY=ZMPSHSFQPC&amp;VAR:QUERY=RkZfTkVUX0lOQyhBTk4sMjAxMCk=&amp;WINDOW=FIRST_POPUP&amp;HEIGHT=450&amp;WIDTH=450&amp;START_MAXIMIZED=","FALSE&amp;VAR:CALENDAR=US&amp;VAR:SYMBOL=UPS&amp;VAR:INDEX=0"}</definedName>
    <definedName name="_441__FDSAUDITLINK__" hidden="1">{"fdsup://directions/FAT Viewer?action=UPDATE&amp;creator=factset&amp;DYN_ARGS=TRUE&amp;DOC_NAME=FAT:FQL_AUDITING_CLIENT_TEMPLATE.FAT&amp;display_string=Audit&amp;VAR:KEY=ZMPSHSFQPC&amp;VAR:QUERY=RkZfTkVUX0lOQyhBTk4sMjAxMCk=&amp;WINDOW=FIRST_POPUP&amp;HEIGHT=450&amp;WIDTH=450&amp;START_MAXIMIZED=","FALSE&amp;VAR:CALENDAR=US&amp;VAR:SYMBOL=UPS&amp;VAR:INDEX=0"}</definedName>
    <definedName name="_442__FDSAUDITLINK__" localSheetId="4" hidden="1">{"fdsup://directions/FAT Viewer?action=UPDATE&amp;creator=factset&amp;DYN_ARGS=TRUE&amp;DOC_NAME=FAT:FQL_AUDITING_CLIENT_TEMPLATE.FAT&amp;display_string=Audit&amp;VAR:KEY=ZERKTWLUZM&amp;VAR:QUERY=RkZfTkVUX0lOQyhBTk4sMjAxMCk=&amp;WINDOW=FIRST_POPUP&amp;HEIGHT=450&amp;WIDTH=450&amp;START_MAXIMIZED=","FALSE&amp;VAR:CALENDAR=US&amp;VAR:SYMBOL=UNP&amp;VAR:INDEX=0"}</definedName>
    <definedName name="_442__FDSAUDITLINK__" hidden="1">{"fdsup://directions/FAT Viewer?action=UPDATE&amp;creator=factset&amp;DYN_ARGS=TRUE&amp;DOC_NAME=FAT:FQL_AUDITING_CLIENT_TEMPLATE.FAT&amp;display_string=Audit&amp;VAR:KEY=ZERKTWLUZM&amp;VAR:QUERY=RkZfTkVUX0lOQyhBTk4sMjAxMCk=&amp;WINDOW=FIRST_POPUP&amp;HEIGHT=450&amp;WIDTH=450&amp;START_MAXIMIZED=","FALSE&amp;VAR:CALENDAR=US&amp;VAR:SYMBOL=UNP&amp;VAR:INDEX=0"}</definedName>
    <definedName name="_443__FDSAUDITLINK__" localSheetId="4" hidden="1">{"fdsup://directions/FAT Viewer?action=UPDATE&amp;creator=factset&amp;DYN_ARGS=TRUE&amp;DOC_NAME=FAT:FQL_AUDITING_CLIENT_TEMPLATE.FAT&amp;display_string=Audit&amp;VAR:KEY=XSHQBOPYBO&amp;VAR:QUERY=RkZfTkVUX0lOQyhBTk4sMjAxMCk=&amp;WINDOW=FIRST_POPUP&amp;HEIGHT=450&amp;WIDTH=450&amp;START_MAXIMIZED=","FALSE&amp;VAR:CALENDAR=US&amp;VAR:SYMBOL=SWFT&amp;VAR:INDEX=0"}</definedName>
    <definedName name="_443__FDSAUDITLINK__" hidden="1">{"fdsup://directions/FAT Viewer?action=UPDATE&amp;creator=factset&amp;DYN_ARGS=TRUE&amp;DOC_NAME=FAT:FQL_AUDITING_CLIENT_TEMPLATE.FAT&amp;display_string=Audit&amp;VAR:KEY=XSHQBOPYBO&amp;VAR:QUERY=RkZfTkVUX0lOQyhBTk4sMjAxMCk=&amp;WINDOW=FIRST_POPUP&amp;HEIGHT=450&amp;WIDTH=450&amp;START_MAXIMIZED=","FALSE&amp;VAR:CALENDAR=US&amp;VAR:SYMBOL=SWFT&amp;VAR:INDEX=0"}</definedName>
    <definedName name="_444__FDSAUDITLINK__" localSheetId="4" hidden="1">{"fdsup://directions/FAT Viewer?action=UPDATE&amp;creator=factset&amp;DYN_ARGS=TRUE&amp;DOC_NAME=FAT:FQL_AUDITING_CLIENT_TEMPLATE.FAT&amp;display_string=Audit&amp;VAR:KEY=VMJEPWPIXO&amp;VAR:QUERY=RkZfTkVUX0lOQyhBTk4sMjAxMCk=&amp;WINDOW=FIRST_POPUP&amp;HEIGHT=450&amp;WIDTH=450&amp;START_MAXIMIZED=","FALSE&amp;VAR:CALENDAR=US&amp;VAR:SYMBOL=RA&amp;VAR:INDEX=0"}</definedName>
    <definedName name="_444__FDSAUDITLINK__" hidden="1">{"fdsup://directions/FAT Viewer?action=UPDATE&amp;creator=factset&amp;DYN_ARGS=TRUE&amp;DOC_NAME=FAT:FQL_AUDITING_CLIENT_TEMPLATE.FAT&amp;display_string=Audit&amp;VAR:KEY=VMJEPWPIXO&amp;VAR:QUERY=RkZfTkVUX0lOQyhBTk4sMjAxMCk=&amp;WINDOW=FIRST_POPUP&amp;HEIGHT=450&amp;WIDTH=450&amp;START_MAXIMIZED=","FALSE&amp;VAR:CALENDAR=US&amp;VAR:SYMBOL=RA&amp;VAR:INDEX=0"}</definedName>
    <definedName name="_445__FDSAUDITLINK__" localSheetId="4" hidden="1">{"fdsup://directions/FAT Viewer?action=UPDATE&amp;creator=factset&amp;DYN_ARGS=TRUE&amp;DOC_NAME=FAT:FQL_AUDITING_CLIENT_TEMPLATE.FAT&amp;display_string=Audit&amp;VAR:KEY=NKHQVIBYPU&amp;VAR:QUERY=RkZfTkVUX0lOQyhBTk4sMjAxMCk=&amp;WINDOW=FIRST_POPUP&amp;HEIGHT=450&amp;WIDTH=450&amp;START_MAXIMIZED=","FALSE&amp;VAR:CALENDAR=US&amp;VAR:SYMBOL=NSC&amp;VAR:INDEX=0"}</definedName>
    <definedName name="_445__FDSAUDITLINK__" hidden="1">{"fdsup://directions/FAT Viewer?action=UPDATE&amp;creator=factset&amp;DYN_ARGS=TRUE&amp;DOC_NAME=FAT:FQL_AUDITING_CLIENT_TEMPLATE.FAT&amp;display_string=Audit&amp;VAR:KEY=NKHQVIBYPU&amp;VAR:QUERY=RkZfTkVUX0lOQyhBTk4sMjAxMCk=&amp;WINDOW=FIRST_POPUP&amp;HEIGHT=450&amp;WIDTH=450&amp;START_MAXIMIZED=","FALSE&amp;VAR:CALENDAR=US&amp;VAR:SYMBOL=NSC&amp;VAR:INDEX=0"}</definedName>
    <definedName name="_446__FDSAUDITLINK__" localSheetId="4" hidden="1">{"fdsup://directions/FAT Viewer?action=UPDATE&amp;creator=factset&amp;DYN_ARGS=TRUE&amp;DOC_NAME=FAT:FQL_AUDITING_CLIENT_TEMPLATE.FAT&amp;display_string=Audit&amp;VAR:KEY=NUZSXGPYTE&amp;VAR:QUERY=RkZfTkVUX0lOQyhBTk4sMjAxMCk=&amp;WINDOW=FIRST_POPUP&amp;HEIGHT=450&amp;WIDTH=450&amp;START_MAXIMIZED=","FALSE&amp;VAR:CALENDAR=US&amp;VAR:SYMBOL=KSU&amp;VAR:INDEX=0"}</definedName>
    <definedName name="_446__FDSAUDITLINK__" hidden="1">{"fdsup://directions/FAT Viewer?action=UPDATE&amp;creator=factset&amp;DYN_ARGS=TRUE&amp;DOC_NAME=FAT:FQL_AUDITING_CLIENT_TEMPLATE.FAT&amp;display_string=Audit&amp;VAR:KEY=NUZSXGPYTE&amp;VAR:QUERY=RkZfTkVUX0lOQyhBTk4sMjAxMCk=&amp;WINDOW=FIRST_POPUP&amp;HEIGHT=450&amp;WIDTH=450&amp;START_MAXIMIZED=","FALSE&amp;VAR:CALENDAR=US&amp;VAR:SYMBOL=KSU&amp;VAR:INDEX=0"}</definedName>
    <definedName name="_447__FDSAUDITLINK__" localSheetId="4" hidden="1">{"fdsup://directions/FAT Viewer?action=UPDATE&amp;creator=factset&amp;DYN_ARGS=TRUE&amp;DOC_NAME=FAT:FQL_AUDITING_CLIENT_TEMPLATE.FAT&amp;display_string=Audit&amp;VAR:KEY=VIXYFCHCJW&amp;VAR:QUERY=RkZfTkVUX0lOQyhBTk4sMjAxMCk=&amp;WINDOW=FIRST_POPUP&amp;HEIGHT=450&amp;WIDTH=450&amp;START_MAXIMIZED=","FALSE&amp;VAR:CALENDAR=US&amp;VAR:SYMBOL=KNX&amp;VAR:INDEX=0"}</definedName>
    <definedName name="_447__FDSAUDITLINK__" hidden="1">{"fdsup://directions/FAT Viewer?action=UPDATE&amp;creator=factset&amp;DYN_ARGS=TRUE&amp;DOC_NAME=FAT:FQL_AUDITING_CLIENT_TEMPLATE.FAT&amp;display_string=Audit&amp;VAR:KEY=VIXYFCHCJW&amp;VAR:QUERY=RkZfTkVUX0lOQyhBTk4sMjAxMCk=&amp;WINDOW=FIRST_POPUP&amp;HEIGHT=450&amp;WIDTH=450&amp;START_MAXIMIZED=","FALSE&amp;VAR:CALENDAR=US&amp;VAR:SYMBOL=KNX&amp;VAR:INDEX=0"}</definedName>
    <definedName name="_448__FDSAUDITLINK__" localSheetId="4" hidden="1">{"fdsup://directions/FAT Viewer?action=UPDATE&amp;creator=factset&amp;DYN_ARGS=TRUE&amp;DOC_NAME=FAT:FQL_AUDITING_CLIENT_TEMPLATE.FAT&amp;display_string=Audit&amp;VAR:KEY=VWBAHYTEZO&amp;VAR:QUERY=RkZfTkVUX0lOQyhBTk4sMjAxMCk=&amp;WINDOW=FIRST_POPUP&amp;HEIGHT=450&amp;WIDTH=450&amp;START_MAXIMIZED=","FALSE&amp;VAR:CALENDAR=US&amp;VAR:SYMBOL=JBHT&amp;VAR:INDEX=0"}</definedName>
    <definedName name="_448__FDSAUDITLINK__" hidden="1">{"fdsup://directions/FAT Viewer?action=UPDATE&amp;creator=factset&amp;DYN_ARGS=TRUE&amp;DOC_NAME=FAT:FQL_AUDITING_CLIENT_TEMPLATE.FAT&amp;display_string=Audit&amp;VAR:KEY=VWBAHYTEZO&amp;VAR:QUERY=RkZfTkVUX0lOQyhBTk4sMjAxMCk=&amp;WINDOW=FIRST_POPUP&amp;HEIGHT=450&amp;WIDTH=450&amp;START_MAXIMIZED=","FALSE&amp;VAR:CALENDAR=US&amp;VAR:SYMBOL=JBHT&amp;VAR:INDEX=0"}</definedName>
    <definedName name="_449__FDSAUDITLINK__" localSheetId="4" hidden="1">{"fdsup://directions/FAT Viewer?action=UPDATE&amp;creator=factset&amp;DYN_ARGS=TRUE&amp;DOC_NAME=FAT:FQL_AUDITING_CLIENT_TEMPLATE.FAT&amp;display_string=Audit&amp;VAR:KEY=ZUDYNERMNW&amp;VAR:QUERY=RkZfTkVUX0lOQyhBTk4sMjAxMCk=&amp;WINDOW=FIRST_POPUP&amp;HEIGHT=450&amp;WIDTH=450&amp;START_MAXIMIZED=","FALSE&amp;VAR:CALENDAR=US&amp;VAR:SYMBOL=HTLD&amp;VAR:INDEX=0"}</definedName>
    <definedName name="_449__FDSAUDITLINK__" hidden="1">{"fdsup://directions/FAT Viewer?action=UPDATE&amp;creator=factset&amp;DYN_ARGS=TRUE&amp;DOC_NAME=FAT:FQL_AUDITING_CLIENT_TEMPLATE.FAT&amp;display_string=Audit&amp;VAR:KEY=ZUDYNERMNW&amp;VAR:QUERY=RkZfTkVUX0lOQyhBTk4sMjAxMCk=&amp;WINDOW=FIRST_POPUP&amp;HEIGHT=450&amp;WIDTH=450&amp;START_MAXIMIZED=","FALSE&amp;VAR:CALENDAR=US&amp;VAR:SYMBOL=HTLD&amp;VAR:INDEX=0"}</definedName>
    <definedName name="_45__FDSAUDITLINK__" localSheetId="4" hidden="1">{"fdsup://directions/FAT Viewer?action=UPDATE&amp;creator=factset&amp;DYN_ARGS=TRUE&amp;DOC_NAME=FAT:FQL_AUDITING_CLIENT_TEMPLATE.FAT&amp;display_string=Audit&amp;VAR:KEY=UNOBIVMNGP&amp;VAR:QUERY=RkZfRUJJVChBTk4sMjAxMCk=&amp;WINDOW=FIRST_POPUP&amp;HEIGHT=450&amp;WIDTH=450&amp;START_MAXIMIZED=FALS","E&amp;VAR:CALENDAR=US&amp;VAR:SYMBOL=UNP&amp;VAR:INDEX=0"}</definedName>
    <definedName name="_45__FDSAUDITLINK__" localSheetId="5" hidden="1">{"fdsup://Directions/FactSet Auditing Viewer?action=AUDIT_VALUE&amp;DB=129&amp;ID1=65584410&amp;VALUEID=01001&amp;SDATE=2009&amp;PERIODTYPE=ANN_STD&amp;window=popup_no_bar&amp;width=385&amp;height=120&amp;START_MAXIMIZED=FALSE&amp;creator=factset&amp;display_string=Audit"}</definedName>
    <definedName name="_45__FDSAUDITLINK__" localSheetId="6" hidden="1">{"fdsup://Directions/FactSet Auditing Viewer?action=AUDIT_VALUE&amp;DB=129&amp;ID1=65584410&amp;VALUEID=01001&amp;SDATE=2009&amp;PERIODTYPE=ANN_STD&amp;window=popup_no_bar&amp;width=385&amp;height=120&amp;START_MAXIMIZED=FALSE&amp;creator=factset&amp;display_string=Audit"}</definedName>
    <definedName name="_45__FDSAUDITLINK__" hidden="1">{"fdsup://directions/FAT Viewer?action=UPDATE&amp;creator=factset&amp;DYN_ARGS=TRUE&amp;DOC_NAME=FAT:FQL_AUDITING_CLIENT_TEMPLATE.FAT&amp;display_string=Audit&amp;VAR:KEY=UNOBIVMNGP&amp;VAR:QUERY=RkZfRUJJVChBTk4sMjAxMCk=&amp;WINDOW=FIRST_POPUP&amp;HEIGHT=450&amp;WIDTH=450&amp;START_MAXIMIZED=FALS","E&amp;VAR:CALENDAR=US&amp;VAR:SYMBOL=UNP&amp;VAR:INDEX=0"}</definedName>
    <definedName name="_450__FDSAUDITLINK__" localSheetId="4" hidden="1">{"fdsup://directions/FAT Viewer?action=UPDATE&amp;creator=factset&amp;DYN_ARGS=TRUE&amp;DOC_NAME=FAT:FQL_AUDITING_CLIENT_TEMPLATE.FAT&amp;display_string=Audit&amp;VAR:KEY=DWLKJADUPM&amp;VAR:QUERY=RkZfTkVUX0lOQyhBTk4sMjAxMCk=&amp;WINDOW=FIRST_POPUP&amp;HEIGHT=450&amp;WIDTH=450&amp;START_MAXIMIZED=","FALSE&amp;VAR:CALENDAR=US&amp;VAR:SYMBOL=GWR&amp;VAR:INDEX=0"}</definedName>
    <definedName name="_450__FDSAUDITLINK__" hidden="1">{"fdsup://directions/FAT Viewer?action=UPDATE&amp;creator=factset&amp;DYN_ARGS=TRUE&amp;DOC_NAME=FAT:FQL_AUDITING_CLIENT_TEMPLATE.FAT&amp;display_string=Audit&amp;VAR:KEY=DWLKJADUPM&amp;VAR:QUERY=RkZfTkVUX0lOQyhBTk4sMjAxMCk=&amp;WINDOW=FIRST_POPUP&amp;HEIGHT=450&amp;WIDTH=450&amp;START_MAXIMIZED=","FALSE&amp;VAR:CALENDAR=US&amp;VAR:SYMBOL=GWR&amp;VAR:INDEX=0"}</definedName>
    <definedName name="_451__FDSAUDITLINK__" localSheetId="4" hidden="1">{"fdsup://directions/FAT Viewer?action=UPDATE&amp;creator=factset&amp;DYN_ARGS=TRUE&amp;DOC_NAME=FAT:FQL_AUDITING_CLIENT_TEMPLATE.FAT&amp;display_string=Audit&amp;VAR:KEY=NCHITCFSDK&amp;VAR:QUERY=RkZfTkVUX0lOQyhBTk4sMjAxMCk=&amp;WINDOW=FIRST_POPUP&amp;HEIGHT=450&amp;WIDTH=450&amp;START_MAXIMIZED=","FALSE&amp;VAR:CALENDAR=US&amp;VAR:SYMBOL=FDX&amp;VAR:INDEX=0"}</definedName>
    <definedName name="_451__FDSAUDITLINK__" hidden="1">{"fdsup://directions/FAT Viewer?action=UPDATE&amp;creator=factset&amp;DYN_ARGS=TRUE&amp;DOC_NAME=FAT:FQL_AUDITING_CLIENT_TEMPLATE.FAT&amp;display_string=Audit&amp;VAR:KEY=NCHITCFSDK&amp;VAR:QUERY=RkZfTkVUX0lOQyhBTk4sMjAxMCk=&amp;WINDOW=FIRST_POPUP&amp;HEIGHT=450&amp;WIDTH=450&amp;START_MAXIMIZED=","FALSE&amp;VAR:CALENDAR=US&amp;VAR:SYMBOL=FDX&amp;VAR:INDEX=0"}</definedName>
    <definedName name="_452__FDSAUDITLINK__" localSheetId="4" hidden="1">{"fdsup://directions/FAT Viewer?action=UPDATE&amp;creator=factset&amp;DYN_ARGS=TRUE&amp;DOC_NAME=FAT:FQL_AUDITING_CLIENT_TEMPLATE.FAT&amp;display_string=Audit&amp;VAR:KEY=DYDADKPAZI&amp;VAR:QUERY=RkZfTkVUX0lOQyhBTk4sMjAxMCk=&amp;WINDOW=FIRST_POPUP&amp;HEIGHT=450&amp;WIDTH=450&amp;START_MAXIMIZED=","FALSE&amp;VAR:CALENDAR=US&amp;VAR:SYMBOL=EXPD&amp;VAR:INDEX=0"}</definedName>
    <definedName name="_452__FDSAUDITLINK__" hidden="1">{"fdsup://directions/FAT Viewer?action=UPDATE&amp;creator=factset&amp;DYN_ARGS=TRUE&amp;DOC_NAME=FAT:FQL_AUDITING_CLIENT_TEMPLATE.FAT&amp;display_string=Audit&amp;VAR:KEY=DYDADKPAZI&amp;VAR:QUERY=RkZfTkVUX0lOQyhBTk4sMjAxMCk=&amp;WINDOW=FIRST_POPUP&amp;HEIGHT=450&amp;WIDTH=450&amp;START_MAXIMIZED=","FALSE&amp;VAR:CALENDAR=US&amp;VAR:SYMBOL=EXPD&amp;VAR:INDEX=0"}</definedName>
    <definedName name="_453__FDSAUDITLINK__" localSheetId="4" hidden="1">{"fdsup://directions/FAT Viewer?action=UPDATE&amp;creator=factset&amp;DYN_ARGS=TRUE&amp;DOC_NAME=FAT:FQL_AUDITING_CLIENT_TEMPLATE.FAT&amp;display_string=Audit&amp;VAR:KEY=BCNGDMHELQ&amp;VAR:QUERY=RkZfTkVUX0lOQyhBTk4sMjAxMCk=&amp;WINDOW=FIRST_POPUP&amp;HEIGHT=450&amp;WIDTH=450&amp;START_MAXIMIZED=","FALSE&amp;VAR:CALENDAR=US&amp;VAR:SYMBOL=ECHO&amp;VAR:INDEX=0"}</definedName>
    <definedName name="_453__FDSAUDITLINK__" hidden="1">{"fdsup://directions/FAT Viewer?action=UPDATE&amp;creator=factset&amp;DYN_ARGS=TRUE&amp;DOC_NAME=FAT:FQL_AUDITING_CLIENT_TEMPLATE.FAT&amp;display_string=Audit&amp;VAR:KEY=BCNGDMHELQ&amp;VAR:QUERY=RkZfTkVUX0lOQyhBTk4sMjAxMCk=&amp;WINDOW=FIRST_POPUP&amp;HEIGHT=450&amp;WIDTH=450&amp;START_MAXIMIZED=","FALSE&amp;VAR:CALENDAR=US&amp;VAR:SYMBOL=ECHO&amp;VAR:INDEX=0"}</definedName>
    <definedName name="_454__FDSAUDITLINK__" localSheetId="4" hidden="1">{"fdsup://directions/FAT Viewer?action=UPDATE&amp;creator=factset&amp;DYN_ARGS=TRUE&amp;DOC_NAME=FAT:FQL_AUDITING_CLIENT_TEMPLATE.FAT&amp;display_string=Audit&amp;VAR:KEY=ZAXCRELUXM&amp;VAR:QUERY=RkZfTkVUX0lOQyhBTk4sMjAxMCk=&amp;WINDOW=FIRST_POPUP&amp;HEIGHT=450&amp;WIDTH=450&amp;START_MAXIMIZED=","FALSE&amp;VAR:CALENDAR=US&amp;VAR:SYMBOL=CSX&amp;VAR:INDEX=0"}</definedName>
    <definedName name="_454__FDSAUDITLINK__" hidden="1">{"fdsup://directions/FAT Viewer?action=UPDATE&amp;creator=factset&amp;DYN_ARGS=TRUE&amp;DOC_NAME=FAT:FQL_AUDITING_CLIENT_TEMPLATE.FAT&amp;display_string=Audit&amp;VAR:KEY=ZAXCRELUXM&amp;VAR:QUERY=RkZfTkVUX0lOQyhBTk4sMjAxMCk=&amp;WINDOW=FIRST_POPUP&amp;HEIGHT=450&amp;WIDTH=450&amp;START_MAXIMIZED=","FALSE&amp;VAR:CALENDAR=US&amp;VAR:SYMBOL=CSX&amp;VAR:INDEX=0"}</definedName>
    <definedName name="_455__FDSAUDITLINK__" localSheetId="4" hidden="1">{"fdsup://directions/FAT Viewer?action=UPDATE&amp;creator=factset&amp;DYN_ARGS=TRUE&amp;DOC_NAME=FAT:FQL_AUDITING_CLIENT_TEMPLATE.FAT&amp;display_string=Audit&amp;VAR:KEY=TOPEJIDUDE&amp;VAR:QUERY=RkZfTkVUX0lOQyhBTk4sMjAxMCk=&amp;WINDOW=FIRST_POPUP&amp;HEIGHT=450&amp;WIDTH=450&amp;START_MAXIMIZED=","FALSE&amp;VAR:CALENDAR=US&amp;VAR:SYMBOL=CP&amp;VAR:INDEX=0"}</definedName>
    <definedName name="_455__FDSAUDITLINK__" hidden="1">{"fdsup://directions/FAT Viewer?action=UPDATE&amp;creator=factset&amp;DYN_ARGS=TRUE&amp;DOC_NAME=FAT:FQL_AUDITING_CLIENT_TEMPLATE.FAT&amp;display_string=Audit&amp;VAR:KEY=TOPEJIDUDE&amp;VAR:QUERY=RkZfTkVUX0lOQyhBTk4sMjAxMCk=&amp;WINDOW=FIRST_POPUP&amp;HEIGHT=450&amp;WIDTH=450&amp;START_MAXIMIZED=","FALSE&amp;VAR:CALENDAR=US&amp;VAR:SYMBOL=CP&amp;VAR:INDEX=0"}</definedName>
    <definedName name="_456__FDSAUDITLINK__" localSheetId="4" hidden="1">{"fdsup://directions/FAT Viewer?action=UPDATE&amp;creator=factset&amp;DYN_ARGS=TRUE&amp;DOC_NAME=FAT:FQL_AUDITING_CLIENT_TEMPLATE.FAT&amp;display_string=Audit&amp;VAR:KEY=TSDAZCBUZS&amp;VAR:QUERY=RkZfTkVUX0lOQyhBTk4sMjAxMCk=&amp;WINDOW=FIRST_POPUP&amp;HEIGHT=450&amp;WIDTH=450&amp;START_MAXIMIZED=","FALSE&amp;VAR:CALENDAR=US&amp;VAR:SYMBOL=CNI&amp;VAR:INDEX=0"}</definedName>
    <definedName name="_456__FDSAUDITLINK__" hidden="1">{"fdsup://directions/FAT Viewer?action=UPDATE&amp;creator=factset&amp;DYN_ARGS=TRUE&amp;DOC_NAME=FAT:FQL_AUDITING_CLIENT_TEMPLATE.FAT&amp;display_string=Audit&amp;VAR:KEY=TSDAZCBUZS&amp;VAR:QUERY=RkZfTkVUX0lOQyhBTk4sMjAxMCk=&amp;WINDOW=FIRST_POPUP&amp;HEIGHT=450&amp;WIDTH=450&amp;START_MAXIMIZED=","FALSE&amp;VAR:CALENDAR=US&amp;VAR:SYMBOL=CNI&amp;VAR:INDEX=0"}</definedName>
    <definedName name="_457__FDSAUDITLINK__" localSheetId="4" hidden="1">{"fdsup://directions/FAT Viewer?action=UPDATE&amp;creator=factset&amp;DYN_ARGS=TRUE&amp;DOC_NAME=FAT:FQL_AUDITING_CLIENT_TEMPLATE.FAT&amp;display_string=Audit&amp;VAR:KEY=VGFEBKRWDE&amp;VAR:QUERY=RkZfTkVUX0lOQyhBTk4sMjAxMCk=&amp;WINDOW=FIRST_POPUP&amp;HEIGHT=450&amp;WIDTH=450&amp;START_MAXIMIZED=","FALSE&amp;VAR:CALENDAR=US&amp;VAR:SYMBOL=CHRW&amp;VAR:INDEX=0"}</definedName>
    <definedName name="_457__FDSAUDITLINK__" hidden="1">{"fdsup://directions/FAT Viewer?action=UPDATE&amp;creator=factset&amp;DYN_ARGS=TRUE&amp;DOC_NAME=FAT:FQL_AUDITING_CLIENT_TEMPLATE.FAT&amp;display_string=Audit&amp;VAR:KEY=VGFEBKRWDE&amp;VAR:QUERY=RkZfTkVUX0lOQyhBTk4sMjAxMCk=&amp;WINDOW=FIRST_POPUP&amp;HEIGHT=450&amp;WIDTH=450&amp;START_MAXIMIZED=","FALSE&amp;VAR:CALENDAR=US&amp;VAR:SYMBOL=CHRW&amp;VAR:INDEX=0"}</definedName>
    <definedName name="_458__FDSAUDITLINK__" localSheetId="4" hidden="1">{"fdsup://Directions/FactSet Auditing Viewer?action=AUDIT_VALUE&amp;DB=129&amp;ID1=90781810&amp;VALUEID=01401&amp;SDATE=2010&amp;PERIODTYPE=ANN_STD&amp;SCFT=3&amp;window=popup_no_bar&amp;width=385&amp;height=120&amp;START_MAXIMIZED=FALSE&amp;creator=factset&amp;display_string=Audit"}</definedName>
    <definedName name="_458__FDSAUDITLINK__" hidden="1">{"fdsup://Directions/FactSet Auditing Viewer?action=AUDIT_VALUE&amp;DB=129&amp;ID1=90781810&amp;VALUEID=01401&amp;SDATE=2010&amp;PERIODTYPE=ANN_STD&amp;SCFT=3&amp;window=popup_no_bar&amp;width=385&amp;height=120&amp;START_MAXIMIZED=FALSE&amp;creator=factset&amp;display_string=Audit"}</definedName>
    <definedName name="_459__FDSAUDITLINK__" localSheetId="4" hidden="1">{"fdsup://Directions/FactSet Auditing Viewer?action=AUDIT_VALUE&amp;DB=129&amp;ID1=75075340&amp;VALUEID=01401&amp;SDATE=2010&amp;PERIODTYPE=ANN_STD&amp;SCFT=3&amp;window=popup_no_bar&amp;width=385&amp;height=120&amp;START_MAXIMIZED=FALSE&amp;creator=factset&amp;display_string=Audit"}</definedName>
    <definedName name="_459__FDSAUDITLINK__" hidden="1">{"fdsup://Directions/FactSet Auditing Viewer?action=AUDIT_VALUE&amp;DB=129&amp;ID1=75075340&amp;VALUEID=01401&amp;SDATE=2010&amp;PERIODTYPE=ANN_STD&amp;SCFT=3&amp;window=popup_no_bar&amp;width=385&amp;height=120&amp;START_MAXIMIZED=FALSE&amp;creator=factset&amp;display_string=Audit"}</definedName>
    <definedName name="_46__FDSAUDITLINK__" localSheetId="4" hidden="1">{"fdsup://directions/FAT Viewer?action=UPDATE&amp;creator=factset&amp;DYN_ARGS=TRUE&amp;DOC_NAME=FAT:FQL_AUDITING_CLIENT_TEMPLATE.FAT&amp;display_string=Audit&amp;VAR:KEY=CHSVMLSVYH&amp;VAR:QUERY=RkZfRUJJVChBTk4sMjAxMCk=&amp;WINDOW=FIRST_POPUP&amp;HEIGHT=450&amp;WIDTH=450&amp;START_MAXIMIZED=FALS","E&amp;VAR:CALENDAR=US&amp;VAR:SYMBOL=RA&amp;VAR:INDEX=0"}</definedName>
    <definedName name="_46__FDSAUDITLINK__" localSheetId="5" hidden="1">{"fdsup://Directions/FactSet Auditing Viewer?action=AUDIT_VALUE&amp;DB=129&amp;ID1=48517030&amp;VALUEID=01001&amp;SDATE=2009&amp;PERIODTYPE=ANN_STD&amp;window=popup_no_bar&amp;width=385&amp;height=120&amp;START_MAXIMIZED=FALSE&amp;creator=factset&amp;display_string=Audit"}</definedName>
    <definedName name="_46__FDSAUDITLINK__" localSheetId="6" hidden="1">{"fdsup://Directions/FactSet Auditing Viewer?action=AUDIT_VALUE&amp;DB=129&amp;ID1=48517030&amp;VALUEID=01001&amp;SDATE=2009&amp;PERIODTYPE=ANN_STD&amp;window=popup_no_bar&amp;width=385&amp;height=120&amp;START_MAXIMIZED=FALSE&amp;creator=factset&amp;display_string=Audit"}</definedName>
    <definedName name="_46__FDSAUDITLINK__" hidden="1">{"fdsup://directions/FAT Viewer?action=UPDATE&amp;creator=factset&amp;DYN_ARGS=TRUE&amp;DOC_NAME=FAT:FQL_AUDITING_CLIENT_TEMPLATE.FAT&amp;display_string=Audit&amp;VAR:KEY=CHSVMLSVYH&amp;VAR:QUERY=RkZfRUJJVChBTk4sMjAxMCk=&amp;WINDOW=FIRST_POPUP&amp;HEIGHT=450&amp;WIDTH=450&amp;START_MAXIMIZED=FALS","E&amp;VAR:CALENDAR=US&amp;VAR:SYMBOL=RA&amp;VAR:INDEX=0"}</definedName>
    <definedName name="_460__FDSAUDITLINK__" localSheetId="4" hidden="1">{"fdsup://Directions/FactSet Auditing Viewer?action=AUDIT_VALUE&amp;DB=129&amp;ID1=65584410&amp;VALUEID=01401&amp;SDATE=2010&amp;PERIODTYPE=ANN_STD&amp;SCFT=3&amp;window=popup_no_bar&amp;width=385&amp;height=120&amp;START_MAXIMIZED=FALSE&amp;creator=factset&amp;display_string=Audit"}</definedName>
    <definedName name="_460__FDSAUDITLINK__" hidden="1">{"fdsup://Directions/FactSet Auditing Viewer?action=AUDIT_VALUE&amp;DB=129&amp;ID1=65584410&amp;VALUEID=01401&amp;SDATE=2010&amp;PERIODTYPE=ANN_STD&amp;SCFT=3&amp;window=popup_no_bar&amp;width=385&amp;height=120&amp;START_MAXIMIZED=FALSE&amp;creator=factset&amp;display_string=Audit"}</definedName>
    <definedName name="_461__FDSAUDITLINK__" localSheetId="4" hidden="1">{"fdsup://Directions/FactSet Auditing Viewer?action=AUDIT_VALUE&amp;DB=129&amp;ID1=48517030&amp;VALUEID=01401&amp;SDATE=2010&amp;PERIODTYPE=ANN_STD&amp;SCFT=3&amp;window=popup_no_bar&amp;width=385&amp;height=120&amp;START_MAXIMIZED=FALSE&amp;creator=factset&amp;display_string=Audit"}</definedName>
    <definedName name="_461__FDSAUDITLINK__" hidden="1">{"fdsup://Directions/FactSet Auditing Viewer?action=AUDIT_VALUE&amp;DB=129&amp;ID1=48517030&amp;VALUEID=01401&amp;SDATE=2010&amp;PERIODTYPE=ANN_STD&amp;SCFT=3&amp;window=popup_no_bar&amp;width=385&amp;height=120&amp;START_MAXIMIZED=FALSE&amp;creator=factset&amp;display_string=Audit"}</definedName>
    <definedName name="_462__FDSAUDITLINK__" localSheetId="4" hidden="1">{"fdsup://Directions/FactSet Auditing Viewer?action=AUDIT_VALUE&amp;DB=129&amp;ID1=37155910&amp;VALUEID=01401&amp;SDATE=2010&amp;PERIODTYPE=ANN_STD&amp;SCFT=3&amp;window=popup_no_bar&amp;width=385&amp;height=120&amp;START_MAXIMIZED=FALSE&amp;creator=factset&amp;display_string=Audit"}</definedName>
    <definedName name="_462__FDSAUDITLINK__" hidden="1">{"fdsup://Directions/FactSet Auditing Viewer?action=AUDIT_VALUE&amp;DB=129&amp;ID1=37155910&amp;VALUEID=01401&amp;SDATE=2010&amp;PERIODTYPE=ANN_STD&amp;SCFT=3&amp;window=popup_no_bar&amp;width=385&amp;height=120&amp;START_MAXIMIZED=FALSE&amp;creator=factset&amp;display_string=Audit"}</definedName>
    <definedName name="_463__FDSAUDITLINK__" localSheetId="4" hidden="1">{"fdsup://Directions/FactSet Auditing Viewer?action=AUDIT_VALUE&amp;DB=129&amp;ID1=12640810&amp;VALUEID=01401&amp;SDATE=2010&amp;PERIODTYPE=ANN_STD&amp;SCFT=3&amp;window=popup_no_bar&amp;width=385&amp;height=120&amp;START_MAXIMIZED=FALSE&amp;creator=factset&amp;display_string=Audit"}</definedName>
    <definedName name="_463__FDSAUDITLINK__" hidden="1">{"fdsup://Directions/FactSet Auditing Viewer?action=AUDIT_VALUE&amp;DB=129&amp;ID1=12640810&amp;VALUEID=01401&amp;SDATE=2010&amp;PERIODTYPE=ANN_STD&amp;SCFT=3&amp;window=popup_no_bar&amp;width=385&amp;height=120&amp;START_MAXIMIZED=FALSE&amp;creator=factset&amp;display_string=Audit"}</definedName>
    <definedName name="_47__FDSAUDITLINK__" localSheetId="4" hidden="1">{"fdsup://directions/FAT Viewer?action=UPDATE&amp;creator=factset&amp;DYN_ARGS=TRUE&amp;DOC_NAME=FAT:FQL_AUDITING_CLIENT_TEMPLATE.FAT&amp;display_string=Audit&amp;VAR:KEY=CBKNWDAHKJ&amp;VAR:QUERY=RkZfRUJJVChBTk4sMjAxMCk=&amp;WINDOW=FIRST_POPUP&amp;HEIGHT=450&amp;WIDTH=450&amp;START_MAXIMIZED=FALS","E&amp;VAR:CALENDAR=US&amp;VAR:SYMBOL=NSC&amp;VAR:INDEX=0"}</definedName>
    <definedName name="_47__FDSAUDITLINK__" localSheetId="5" hidden="1">{"fdsup://Directions/FactSet Auditing Viewer?action=AUDIT_VALUE&amp;DB=129&amp;ID1=37155910&amp;VALUEID=01001&amp;SDATE=2009&amp;PERIODTYPE=ANN_STD&amp;window=popup_no_bar&amp;width=385&amp;height=120&amp;START_MAXIMIZED=FALSE&amp;creator=factset&amp;display_string=Audit"}</definedName>
    <definedName name="_47__FDSAUDITLINK__" localSheetId="6" hidden="1">{"fdsup://Directions/FactSet Auditing Viewer?action=AUDIT_VALUE&amp;DB=129&amp;ID1=37155910&amp;VALUEID=01001&amp;SDATE=2009&amp;PERIODTYPE=ANN_STD&amp;window=popup_no_bar&amp;width=385&amp;height=120&amp;START_MAXIMIZED=FALSE&amp;creator=factset&amp;display_string=Audit"}</definedName>
    <definedName name="_47__FDSAUDITLINK__" hidden="1">{"fdsup://directions/FAT Viewer?action=UPDATE&amp;creator=factset&amp;DYN_ARGS=TRUE&amp;DOC_NAME=FAT:FQL_AUDITING_CLIENT_TEMPLATE.FAT&amp;display_string=Audit&amp;VAR:KEY=CBKNWDAHKJ&amp;VAR:QUERY=RkZfRUJJVChBTk4sMjAxMCk=&amp;WINDOW=FIRST_POPUP&amp;HEIGHT=450&amp;WIDTH=450&amp;START_MAXIMIZED=FALS","E&amp;VAR:CALENDAR=US&amp;VAR:SYMBOL=NSC&amp;VAR:INDEX=0"}</definedName>
    <definedName name="_48__FDSAUDITLINK__" localSheetId="4" hidden="1">{"fdsup://directions/FAT Viewer?action=UPDATE&amp;creator=factset&amp;DYN_ARGS=TRUE&amp;DOC_NAME=FAT:FQL_AUDITING_CLIENT_TEMPLATE.FAT&amp;display_string=Audit&amp;VAR:KEY=KPODUPWHYR&amp;VAR:QUERY=RkZfRUJJVChBTk4sMjAxMCk=&amp;WINDOW=FIRST_POPUP&amp;HEIGHT=450&amp;WIDTH=450&amp;START_MAXIMIZED=FALS","E&amp;VAR:CALENDAR=US&amp;VAR:SYMBOL=KSU&amp;VAR:INDEX=0"}</definedName>
    <definedName name="_48__FDSAUDITLINK__" localSheetId="5" hidden="1">{"fdsup://Directions/FactSet Auditing Viewer?action=AUDIT_VALUE&amp;DB=129&amp;ID1=12640810&amp;VALUEID=01001&amp;SDATE=2009&amp;PERIODTYPE=ANN_STD&amp;window=popup_no_bar&amp;width=385&amp;height=120&amp;START_MAXIMIZED=FALSE&amp;creator=factset&amp;display_string=Audit"}</definedName>
    <definedName name="_48__FDSAUDITLINK__" localSheetId="6" hidden="1">{"fdsup://Directions/FactSet Auditing Viewer?action=AUDIT_VALUE&amp;DB=129&amp;ID1=12640810&amp;VALUEID=01001&amp;SDATE=2009&amp;PERIODTYPE=ANN_STD&amp;window=popup_no_bar&amp;width=385&amp;height=120&amp;START_MAXIMIZED=FALSE&amp;creator=factset&amp;display_string=Audit"}</definedName>
    <definedName name="_48__FDSAUDITLINK__" hidden="1">{"fdsup://directions/FAT Viewer?action=UPDATE&amp;creator=factset&amp;DYN_ARGS=TRUE&amp;DOC_NAME=FAT:FQL_AUDITING_CLIENT_TEMPLATE.FAT&amp;display_string=Audit&amp;VAR:KEY=KPODUPWHYR&amp;VAR:QUERY=RkZfRUJJVChBTk4sMjAxMCk=&amp;WINDOW=FIRST_POPUP&amp;HEIGHT=450&amp;WIDTH=450&amp;START_MAXIMIZED=FALS","E&amp;VAR:CALENDAR=US&amp;VAR:SYMBOL=KSU&amp;VAR:INDEX=0"}</definedName>
    <definedName name="_49__FDSAUDITLINK__" localSheetId="4" hidden="1">{"fdsup://directions/FAT Viewer?action=UPDATE&amp;creator=factset&amp;DYN_ARGS=TRUE&amp;DOC_NAME=FAT:FQL_AUDITING_CLIENT_TEMPLATE.FAT&amp;display_string=Audit&amp;VAR:KEY=WHUFCHOVAN&amp;VAR:QUERY=RkZfRUJJVChBTk4sMjAxMCk=&amp;WINDOW=FIRST_POPUP&amp;HEIGHT=450&amp;WIDTH=450&amp;START_MAXIMIZED=FALS","E&amp;VAR:CALENDAR=US&amp;VAR:SYMBOL=GWR&amp;VAR:INDEX=0"}</definedName>
    <definedName name="_49__FDSAUDITLINK__" localSheetId="5" hidden="1">{"fdsup://directions/FAT Viewer?action=UPDATE&amp;creator=factset&amp;DYN_ARGS=TRUE&amp;DOC_NAME=FAT:FQL_AUDITING_CLIENT_TEMPLATE.FAT&amp;display_string=Audit&amp;VAR:KEY=ANGBAXMJIR&amp;VAR:QUERY=RkZfTkVUX0lOQyhBTk4sMjAwOSk=&amp;WINDOW=FIRST_POPUP&amp;HEIGHT=450&amp;WIDTH=450&amp;START_MAXIMIZED=","FALSE&amp;VAR:CALENDAR=US&amp;VAR:SYMBOL=UNP&amp;VAR:INDEX=0"}</definedName>
    <definedName name="_49__FDSAUDITLINK__" localSheetId="6" hidden="1">{"fdsup://directions/FAT Viewer?action=UPDATE&amp;creator=factset&amp;DYN_ARGS=TRUE&amp;DOC_NAME=FAT:FQL_AUDITING_CLIENT_TEMPLATE.FAT&amp;display_string=Audit&amp;VAR:KEY=ANGBAXMJIR&amp;VAR:QUERY=RkZfTkVUX0lOQyhBTk4sMjAwOSk=&amp;WINDOW=FIRST_POPUP&amp;HEIGHT=450&amp;WIDTH=450&amp;START_MAXIMIZED=","FALSE&amp;VAR:CALENDAR=US&amp;VAR:SYMBOL=UNP&amp;VAR:INDEX=0"}</definedName>
    <definedName name="_49__FDSAUDITLINK__" hidden="1">{"fdsup://directions/FAT Viewer?action=UPDATE&amp;creator=factset&amp;DYN_ARGS=TRUE&amp;DOC_NAME=FAT:FQL_AUDITING_CLIENT_TEMPLATE.FAT&amp;display_string=Audit&amp;VAR:KEY=WHUFCHOVAN&amp;VAR:QUERY=RkZfRUJJVChBTk4sMjAxMCk=&amp;WINDOW=FIRST_POPUP&amp;HEIGHT=450&amp;WIDTH=450&amp;START_MAXIMIZED=FALS","E&amp;VAR:CALENDAR=US&amp;VAR:SYMBOL=GWR&amp;VAR:INDEX=0"}</definedName>
    <definedName name="_5__FDSAUDITLINK__" localSheetId="4" hidden="1">{"fdsup://directions/FAT Viewer?action=UPDATE&amp;creator=factset&amp;DYN_ARGS=TRUE&amp;DOC_NAME=FAT:FQL_AUDITING_CLIENT_TEMPLATE.FAT&amp;display_string=Audit&amp;VAR:KEY=ENALIHQZUJ&amp;VAR:QUERY=RkZfTkVUX0lOQyhBTk4sMjAxMCk=&amp;WINDOW=FIRST_POPUP&amp;HEIGHT=450&amp;WIDTH=450&amp;START_MAXIMIZED=","FALSE&amp;VAR:CALENDAR=US&amp;VAR:SYMBOL=GWR&amp;VAR:INDEX=0"}</definedName>
    <definedName name="_5__FDSAUDITLINK__" localSheetId="5" hidden="1">{"fdsup://Directions/FactSet Auditing Viewer?action=AUDIT_VALUE&amp;DB=129&amp;ID1=37155910&amp;VALUEID=01401&amp;SDATE=2009&amp;PERIODTYPE=ANN_STD&amp;window=popup_no_bar&amp;width=385&amp;height=120&amp;START_MAXIMIZED=FALSE&amp;creator=factset&amp;display_string=Audit"}</definedName>
    <definedName name="_5__FDSAUDITLINK__" localSheetId="6" hidden="1">{"fdsup://Directions/FactSet Auditing Viewer?action=AUDIT_VALUE&amp;DB=129&amp;ID1=37155910&amp;VALUEID=01401&amp;SDATE=2009&amp;PERIODTYPE=ANN_STD&amp;window=popup_no_bar&amp;width=385&amp;height=120&amp;START_MAXIMIZED=FALSE&amp;creator=factset&amp;display_string=Audit"}</definedName>
    <definedName name="_5__FDSAUDITLINK__" hidden="1">{"fdsup://directions/FAT Viewer?action=UPDATE&amp;creator=factset&amp;DYN_ARGS=TRUE&amp;DOC_NAME=FAT:FQL_AUDITING_CLIENT_TEMPLATE.FAT&amp;display_string=Audit&amp;VAR:KEY=ENALIHQZUJ&amp;VAR:QUERY=RkZfTkVUX0lOQyhBTk4sMjAxMCk=&amp;WINDOW=FIRST_POPUP&amp;HEIGHT=450&amp;WIDTH=450&amp;START_MAXIMIZED=","FALSE&amp;VAR:CALENDAR=US&amp;VAR:SYMBOL=GWR&amp;VAR:INDEX=0"}</definedName>
    <definedName name="_50__FDSAUDITLINK__" localSheetId="4" hidden="1">{"fdsup://directions/FAT Viewer?action=UPDATE&amp;creator=factset&amp;DYN_ARGS=TRUE&amp;DOC_NAME=FAT:FQL_AUDITING_CLIENT_TEMPLATE.FAT&amp;display_string=Audit&amp;VAR:KEY=QDWBINOJIH&amp;VAR:QUERY=RkZfRUJJVChBTk4sMjAxMCk=&amp;WINDOW=FIRST_POPUP&amp;HEIGHT=450&amp;WIDTH=450&amp;START_MAXIMIZED=FALS","E&amp;VAR:CALENDAR=US&amp;VAR:SYMBOL=CSX&amp;VAR:INDEX=0"}</definedName>
    <definedName name="_50__FDSAUDITLINK__" localSheetId="5" hidden="1">{"fdsup://directions/FAT Viewer?action=UPDATE&amp;creator=factset&amp;DYN_ARGS=TRUE&amp;DOC_NAME=FAT:FQL_AUDITING_CLIENT_TEMPLATE.FAT&amp;display_string=Audit&amp;VAR:KEY=WRKHEPUPKH&amp;VAR:QUERY=RkZfTkVUX0lOQyhBTk4sMjAwOSk=&amp;WINDOW=FIRST_POPUP&amp;HEIGHT=450&amp;WIDTH=450&amp;START_MAXIMIZED=","FALSE&amp;VAR:CALENDAR=US&amp;VAR:SYMBOL=RA&amp;VAR:INDEX=0"}</definedName>
    <definedName name="_50__FDSAUDITLINK__" localSheetId="6" hidden="1">{"fdsup://directions/FAT Viewer?action=UPDATE&amp;creator=factset&amp;DYN_ARGS=TRUE&amp;DOC_NAME=FAT:FQL_AUDITING_CLIENT_TEMPLATE.FAT&amp;display_string=Audit&amp;VAR:KEY=WRKHEPUPKH&amp;VAR:QUERY=RkZfTkVUX0lOQyhBTk4sMjAwOSk=&amp;WINDOW=FIRST_POPUP&amp;HEIGHT=450&amp;WIDTH=450&amp;START_MAXIMIZED=","FALSE&amp;VAR:CALENDAR=US&amp;VAR:SYMBOL=RA&amp;VAR:INDEX=0"}</definedName>
    <definedName name="_50__FDSAUDITLINK__" hidden="1">{"fdsup://directions/FAT Viewer?action=UPDATE&amp;creator=factset&amp;DYN_ARGS=TRUE&amp;DOC_NAME=FAT:FQL_AUDITING_CLIENT_TEMPLATE.FAT&amp;display_string=Audit&amp;VAR:KEY=QDWBINOJIH&amp;VAR:QUERY=RkZfRUJJVChBTk4sMjAxMCk=&amp;WINDOW=FIRST_POPUP&amp;HEIGHT=450&amp;WIDTH=450&amp;START_MAXIMIZED=FALS","E&amp;VAR:CALENDAR=US&amp;VAR:SYMBOL=CSX&amp;VAR:INDEX=0"}</definedName>
    <definedName name="_51__FDSAUDITLINK__" localSheetId="4" hidden="1">{"fdsup://directions/FAT Viewer?action=UPDATE&amp;creator=factset&amp;DYN_ARGS=TRUE&amp;DOC_NAME=FAT:FQL_AUDITING_CLIENT_TEMPLATE.FAT&amp;display_string=Audit&amp;VAR:KEY=UXUVUJWNOH&amp;VAR:QUERY=RkZfRUJJVChBTk4sMjAxMCk=&amp;WINDOW=FIRST_POPUP&amp;HEIGHT=450&amp;WIDTH=450&amp;START_MAXIMIZED=FALS","E&amp;VAR:CALENDAR=US&amp;VAR:SYMBOL=CP&amp;VAR:INDEX=0"}</definedName>
    <definedName name="_51__FDSAUDITLINK__" localSheetId="5" hidden="1">{"fdsup://directions/FAT Viewer?action=UPDATE&amp;creator=factset&amp;DYN_ARGS=TRUE&amp;DOC_NAME=FAT:FQL_AUDITING_CLIENT_TEMPLATE.FAT&amp;display_string=Audit&amp;VAR:KEY=CJYJWBARGH&amp;VAR:QUERY=RkZfTkVUX0lOQyhBTk4sMjAwOSk=&amp;WINDOW=FIRST_POPUP&amp;HEIGHT=450&amp;WIDTH=450&amp;START_MAXIMIZED=","FALSE&amp;VAR:CALENDAR=US&amp;VAR:SYMBOL=NSC&amp;VAR:INDEX=0"}</definedName>
    <definedName name="_51__FDSAUDITLINK__" localSheetId="6" hidden="1">{"fdsup://directions/FAT Viewer?action=UPDATE&amp;creator=factset&amp;DYN_ARGS=TRUE&amp;DOC_NAME=FAT:FQL_AUDITING_CLIENT_TEMPLATE.FAT&amp;display_string=Audit&amp;VAR:KEY=CJYJWBARGH&amp;VAR:QUERY=RkZfTkVUX0lOQyhBTk4sMjAwOSk=&amp;WINDOW=FIRST_POPUP&amp;HEIGHT=450&amp;WIDTH=450&amp;START_MAXIMIZED=","FALSE&amp;VAR:CALENDAR=US&amp;VAR:SYMBOL=NSC&amp;VAR:INDEX=0"}</definedName>
    <definedName name="_51__FDSAUDITLINK__" hidden="1">{"fdsup://directions/FAT Viewer?action=UPDATE&amp;creator=factset&amp;DYN_ARGS=TRUE&amp;DOC_NAME=FAT:FQL_AUDITING_CLIENT_TEMPLATE.FAT&amp;display_string=Audit&amp;VAR:KEY=UXUVUJWNOH&amp;VAR:QUERY=RkZfRUJJVChBTk4sMjAxMCk=&amp;WINDOW=FIRST_POPUP&amp;HEIGHT=450&amp;WIDTH=450&amp;START_MAXIMIZED=FALS","E&amp;VAR:CALENDAR=US&amp;VAR:SYMBOL=CP&amp;VAR:INDEX=0"}</definedName>
    <definedName name="_52__FDSAUDITLINK__" localSheetId="4" hidden="1">{"fdsup://directions/FAT Viewer?action=UPDATE&amp;creator=factset&amp;DYN_ARGS=TRUE&amp;DOC_NAME=FAT:FQL_AUDITING_CLIENT_TEMPLATE.FAT&amp;display_string=Audit&amp;VAR:KEY=GPYRITKBWH&amp;VAR:QUERY=RkZfRUJJVChBTk4sMjAxMCk=&amp;WINDOW=FIRST_POPUP&amp;HEIGHT=450&amp;WIDTH=450&amp;START_MAXIMIZED=FALS","E&amp;VAR:CALENDAR=US&amp;VAR:SYMBOL=CNI&amp;VAR:INDEX=0"}</definedName>
    <definedName name="_52__FDSAUDITLINK__" localSheetId="5" hidden="1">{"fdsup://directions/FAT Viewer?action=UPDATE&amp;creator=factset&amp;DYN_ARGS=TRUE&amp;DOC_NAME=FAT:FQL_AUDITING_CLIENT_TEMPLATE.FAT&amp;display_string=Audit&amp;VAR:KEY=GJCZAPULOX&amp;VAR:QUERY=RkZfTkVUX0lOQyhBTk4sMjAwOSk=&amp;WINDOW=FIRST_POPUP&amp;HEIGHT=450&amp;WIDTH=450&amp;START_MAXIMIZED=","FALSE&amp;VAR:CALENDAR=US&amp;VAR:SYMBOL=KSU&amp;VAR:INDEX=0"}</definedName>
    <definedName name="_52__FDSAUDITLINK__" localSheetId="6" hidden="1">{"fdsup://directions/FAT Viewer?action=UPDATE&amp;creator=factset&amp;DYN_ARGS=TRUE&amp;DOC_NAME=FAT:FQL_AUDITING_CLIENT_TEMPLATE.FAT&amp;display_string=Audit&amp;VAR:KEY=GJCZAPULOX&amp;VAR:QUERY=RkZfTkVUX0lOQyhBTk4sMjAwOSk=&amp;WINDOW=FIRST_POPUP&amp;HEIGHT=450&amp;WIDTH=450&amp;START_MAXIMIZED=","FALSE&amp;VAR:CALENDAR=US&amp;VAR:SYMBOL=KSU&amp;VAR:INDEX=0"}</definedName>
    <definedName name="_52__FDSAUDITLINK__" hidden="1">{"fdsup://directions/FAT Viewer?action=UPDATE&amp;creator=factset&amp;DYN_ARGS=TRUE&amp;DOC_NAME=FAT:FQL_AUDITING_CLIENT_TEMPLATE.FAT&amp;display_string=Audit&amp;VAR:KEY=GPYRITKBWH&amp;VAR:QUERY=RkZfRUJJVChBTk4sMjAxMCk=&amp;WINDOW=FIRST_POPUP&amp;HEIGHT=450&amp;WIDTH=450&amp;START_MAXIMIZED=FALS","E&amp;VAR:CALENDAR=US&amp;VAR:SYMBOL=CNI&amp;VAR:INDEX=0"}</definedName>
    <definedName name="_53__FDSAUDITLINK__" localSheetId="4" hidden="1">{"fdsup://directions/FAT Viewer?action=UPDATE&amp;creator=factset&amp;DYN_ARGS=TRUE&amp;DOC_NAME=FAT:FQL_AUDITING_CLIENT_TEMPLATE.FAT&amp;display_string=Audit&amp;VAR:KEY=ONQHQDUZKF&amp;VAR:QUERY=RkZfRUJJVERBKEFOTiwyMDEwKQ==&amp;WINDOW=FIRST_POPUP&amp;HEIGHT=450&amp;WIDTH=450&amp;START_MAXIMIZED=","FALSE&amp;VAR:CALENDAR=US&amp;VAR:SYMBOL=UNP&amp;VAR:INDEX=0"}</definedName>
    <definedName name="_53__FDSAUDITLINK__" localSheetId="5" hidden="1">{"fdsup://directions/FAT Viewer?action=UPDATE&amp;creator=factset&amp;DYN_ARGS=TRUE&amp;DOC_NAME=FAT:FQL_AUDITING_CLIENT_TEMPLATE.FAT&amp;display_string=Audit&amp;VAR:KEY=WXAHGFODMX&amp;VAR:QUERY=RkZfTkVUX0lOQyhBTk4sMjAwOSk=&amp;WINDOW=FIRST_POPUP&amp;HEIGHT=450&amp;WIDTH=450&amp;START_MAXIMIZED=","FALSE&amp;VAR:CALENDAR=US&amp;VAR:SYMBOL=GWR&amp;VAR:INDEX=0"}</definedName>
    <definedName name="_53__FDSAUDITLINK__" localSheetId="6" hidden="1">{"fdsup://directions/FAT Viewer?action=UPDATE&amp;creator=factset&amp;DYN_ARGS=TRUE&amp;DOC_NAME=FAT:FQL_AUDITING_CLIENT_TEMPLATE.FAT&amp;display_string=Audit&amp;VAR:KEY=WXAHGFODMX&amp;VAR:QUERY=RkZfTkVUX0lOQyhBTk4sMjAwOSk=&amp;WINDOW=FIRST_POPUP&amp;HEIGHT=450&amp;WIDTH=450&amp;START_MAXIMIZED=","FALSE&amp;VAR:CALENDAR=US&amp;VAR:SYMBOL=GWR&amp;VAR:INDEX=0"}</definedName>
    <definedName name="_53__FDSAUDITLINK__" hidden="1">{"fdsup://directions/FAT Viewer?action=UPDATE&amp;creator=factset&amp;DYN_ARGS=TRUE&amp;DOC_NAME=FAT:FQL_AUDITING_CLIENT_TEMPLATE.FAT&amp;display_string=Audit&amp;VAR:KEY=ONQHQDUZKF&amp;VAR:QUERY=RkZfRUJJVERBKEFOTiwyMDEwKQ==&amp;WINDOW=FIRST_POPUP&amp;HEIGHT=450&amp;WIDTH=450&amp;START_MAXIMIZED=","FALSE&amp;VAR:CALENDAR=US&amp;VAR:SYMBOL=UNP&amp;VAR:INDEX=0"}</definedName>
    <definedName name="_54__FDSAUDITLINK__" localSheetId="4" hidden="1">{"fdsup://directions/FAT Viewer?action=UPDATE&amp;creator=factset&amp;DYN_ARGS=TRUE&amp;DOC_NAME=FAT:FQL_AUDITING_CLIENT_TEMPLATE.FAT&amp;display_string=Audit&amp;VAR:KEY=OLOPGHWHAP&amp;VAR:QUERY=RkZfRUJJVERBKEFOTiwyMDEwKQ==&amp;WINDOW=FIRST_POPUP&amp;HEIGHT=450&amp;WIDTH=450&amp;START_MAXIMIZED=","FALSE&amp;VAR:CALENDAR=US&amp;VAR:SYMBOL=RA&amp;VAR:INDEX=0"}</definedName>
    <definedName name="_54__FDSAUDITLINK__" localSheetId="5" hidden="1">{"fdsup://directions/FAT Viewer?action=UPDATE&amp;creator=factset&amp;DYN_ARGS=TRUE&amp;DOC_NAME=FAT:FQL_AUDITING_CLIENT_TEMPLATE.FAT&amp;display_string=Audit&amp;VAR:KEY=GJSJUZSNOH&amp;VAR:QUERY=RkZfTkVUX0lOQyhBTk4sMjAwOSk=&amp;WINDOW=FIRST_POPUP&amp;HEIGHT=450&amp;WIDTH=450&amp;START_MAXIMIZED=","FALSE&amp;VAR:CALENDAR=US&amp;VAR:SYMBOL=CSX&amp;VAR:INDEX=0"}</definedName>
    <definedName name="_54__FDSAUDITLINK__" localSheetId="6" hidden="1">{"fdsup://directions/FAT Viewer?action=UPDATE&amp;creator=factset&amp;DYN_ARGS=TRUE&amp;DOC_NAME=FAT:FQL_AUDITING_CLIENT_TEMPLATE.FAT&amp;display_string=Audit&amp;VAR:KEY=GJSJUZSNOH&amp;VAR:QUERY=RkZfTkVUX0lOQyhBTk4sMjAwOSk=&amp;WINDOW=FIRST_POPUP&amp;HEIGHT=450&amp;WIDTH=450&amp;START_MAXIMIZED=","FALSE&amp;VAR:CALENDAR=US&amp;VAR:SYMBOL=CSX&amp;VAR:INDEX=0"}</definedName>
    <definedName name="_54__FDSAUDITLINK__" hidden="1">{"fdsup://directions/FAT Viewer?action=UPDATE&amp;creator=factset&amp;DYN_ARGS=TRUE&amp;DOC_NAME=FAT:FQL_AUDITING_CLIENT_TEMPLATE.FAT&amp;display_string=Audit&amp;VAR:KEY=OLOPGHWHAP&amp;VAR:QUERY=RkZfRUJJVERBKEFOTiwyMDEwKQ==&amp;WINDOW=FIRST_POPUP&amp;HEIGHT=450&amp;WIDTH=450&amp;START_MAXIMIZED=","FALSE&amp;VAR:CALENDAR=US&amp;VAR:SYMBOL=RA&amp;VAR:INDEX=0"}</definedName>
    <definedName name="_55__FDSAUDITLINK__" localSheetId="4" hidden="1">{"fdsup://directions/FAT Viewer?action=UPDATE&amp;creator=factset&amp;DYN_ARGS=TRUE&amp;DOC_NAME=FAT:FQL_AUDITING_CLIENT_TEMPLATE.FAT&amp;display_string=Audit&amp;VAR:KEY=EZCLCRSDAP&amp;VAR:QUERY=RkZfRUJJVERBKEFOTiwyMDEwKQ==&amp;WINDOW=FIRST_POPUP&amp;HEIGHT=450&amp;WIDTH=450&amp;START_MAXIMIZED=","FALSE&amp;VAR:CALENDAR=US&amp;VAR:SYMBOL=NSC&amp;VAR:INDEX=0"}</definedName>
    <definedName name="_55__FDSAUDITLINK__" localSheetId="5" hidden="1">{"fdsup://directions/FAT Viewer?action=UPDATE&amp;creator=factset&amp;DYN_ARGS=TRUE&amp;DOC_NAME=FAT:FQL_AUDITING_CLIENT_TEMPLATE.FAT&amp;display_string=Audit&amp;VAR:KEY=ARGDMXEBWP&amp;VAR:QUERY=RkZfTkVUX0lOQyhBTk4sMjAwOSk=&amp;WINDOW=FIRST_POPUP&amp;HEIGHT=450&amp;WIDTH=450&amp;START_MAXIMIZED=","FALSE&amp;VAR:CALENDAR=US&amp;VAR:SYMBOL=CP&amp;VAR:INDEX=0"}</definedName>
    <definedName name="_55__FDSAUDITLINK__" localSheetId="6" hidden="1">{"fdsup://directions/FAT Viewer?action=UPDATE&amp;creator=factset&amp;DYN_ARGS=TRUE&amp;DOC_NAME=FAT:FQL_AUDITING_CLIENT_TEMPLATE.FAT&amp;display_string=Audit&amp;VAR:KEY=ARGDMXEBWP&amp;VAR:QUERY=RkZfTkVUX0lOQyhBTk4sMjAwOSk=&amp;WINDOW=FIRST_POPUP&amp;HEIGHT=450&amp;WIDTH=450&amp;START_MAXIMIZED=","FALSE&amp;VAR:CALENDAR=US&amp;VAR:SYMBOL=CP&amp;VAR:INDEX=0"}</definedName>
    <definedName name="_55__FDSAUDITLINK__" hidden="1">{"fdsup://directions/FAT Viewer?action=UPDATE&amp;creator=factset&amp;DYN_ARGS=TRUE&amp;DOC_NAME=FAT:FQL_AUDITING_CLIENT_TEMPLATE.FAT&amp;display_string=Audit&amp;VAR:KEY=EZCLCRSDAP&amp;VAR:QUERY=RkZfRUJJVERBKEFOTiwyMDEwKQ==&amp;WINDOW=FIRST_POPUP&amp;HEIGHT=450&amp;WIDTH=450&amp;START_MAXIMIZED=","FALSE&amp;VAR:CALENDAR=US&amp;VAR:SYMBOL=NSC&amp;VAR:INDEX=0"}</definedName>
    <definedName name="_56__FDSAUDITLINK__" localSheetId="4" hidden="1">{"fdsup://directions/FAT Viewer?action=UPDATE&amp;creator=factset&amp;DYN_ARGS=TRUE&amp;DOC_NAME=FAT:FQL_AUDITING_CLIENT_TEMPLATE.FAT&amp;display_string=Audit&amp;VAR:KEY=CBYLCVWFIZ&amp;VAR:QUERY=RkZfRUJJVERBKEFOTiwyMDEwKQ==&amp;WINDOW=FIRST_POPUP&amp;HEIGHT=450&amp;WIDTH=450&amp;START_MAXIMIZED=","FALSE&amp;VAR:CALENDAR=US&amp;VAR:SYMBOL=KSU&amp;VAR:INDEX=0"}</definedName>
    <definedName name="_56__FDSAUDITLINK__" localSheetId="5" hidden="1">{"fdsup://directions/FAT Viewer?action=UPDATE&amp;creator=factset&amp;DYN_ARGS=TRUE&amp;DOC_NAME=FAT:FQL_AUDITING_CLIENT_TEMPLATE.FAT&amp;display_string=Audit&amp;VAR:KEY=CTIRWDKLYN&amp;VAR:QUERY=RkZfTkVUX0lOQyhBTk4sMjAwOSk=&amp;WINDOW=FIRST_POPUP&amp;HEIGHT=450&amp;WIDTH=450&amp;START_MAXIMIZED=","FALSE&amp;VAR:CALENDAR=US&amp;VAR:SYMBOL=CNI&amp;VAR:INDEX=0"}</definedName>
    <definedName name="_56__FDSAUDITLINK__" localSheetId="6" hidden="1">{"fdsup://directions/FAT Viewer?action=UPDATE&amp;creator=factset&amp;DYN_ARGS=TRUE&amp;DOC_NAME=FAT:FQL_AUDITING_CLIENT_TEMPLATE.FAT&amp;display_string=Audit&amp;VAR:KEY=CTIRWDKLYN&amp;VAR:QUERY=RkZfTkVUX0lOQyhBTk4sMjAwOSk=&amp;WINDOW=FIRST_POPUP&amp;HEIGHT=450&amp;WIDTH=450&amp;START_MAXIMIZED=","FALSE&amp;VAR:CALENDAR=US&amp;VAR:SYMBOL=CNI&amp;VAR:INDEX=0"}</definedName>
    <definedName name="_56__FDSAUDITLINK__" hidden="1">{"fdsup://directions/FAT Viewer?action=UPDATE&amp;creator=factset&amp;DYN_ARGS=TRUE&amp;DOC_NAME=FAT:FQL_AUDITING_CLIENT_TEMPLATE.FAT&amp;display_string=Audit&amp;VAR:KEY=CBYLCVWFIZ&amp;VAR:QUERY=RkZfRUJJVERBKEFOTiwyMDEwKQ==&amp;WINDOW=FIRST_POPUP&amp;HEIGHT=450&amp;WIDTH=450&amp;START_MAXIMIZED=","FALSE&amp;VAR:CALENDAR=US&amp;VAR:SYMBOL=KSU&amp;VAR:INDEX=0"}</definedName>
    <definedName name="_57__FDSAUDITLINK__" localSheetId="4" hidden="1">{"fdsup://directions/FAT Viewer?action=UPDATE&amp;creator=factset&amp;DYN_ARGS=TRUE&amp;DOC_NAME=FAT:FQL_AUDITING_CLIENT_TEMPLATE.FAT&amp;display_string=Audit&amp;VAR:KEY=MZIRGRQDQT&amp;VAR:QUERY=RkZfRUJJVERBKEFOTiwyMDEwKQ==&amp;WINDOW=FIRST_POPUP&amp;HEIGHT=450&amp;WIDTH=450&amp;START_MAXIMIZED=","FALSE&amp;VAR:CALENDAR=US&amp;VAR:SYMBOL=GWR&amp;VAR:INDEX=0"}</definedName>
    <definedName name="_57__FDSAUDITLINK__" localSheetId="5" hidden="1">{"fdsup://directions/FAT Viewer?action=UPDATE&amp;creator=factset&amp;DYN_ARGS=TRUE&amp;DOC_NAME=FAT:FQL_AUDITING_CLIENT_TEMPLATE.FAT&amp;display_string=Audit&amp;VAR:KEY=QJADUXODKH&amp;VAR:QUERY=RkZfRUJJVChBTk4sMjAwOSk=&amp;WINDOW=FIRST_POPUP&amp;HEIGHT=450&amp;WIDTH=450&amp;START_MAXIMIZED=FALS","E&amp;VAR:CALENDAR=US&amp;VAR:SYMBOL=UNP&amp;VAR:INDEX=0"}</definedName>
    <definedName name="_57__FDSAUDITLINK__" localSheetId="6" hidden="1">{"fdsup://directions/FAT Viewer?action=UPDATE&amp;creator=factset&amp;DYN_ARGS=TRUE&amp;DOC_NAME=FAT:FQL_AUDITING_CLIENT_TEMPLATE.FAT&amp;display_string=Audit&amp;VAR:KEY=QJADUXODKH&amp;VAR:QUERY=RkZfRUJJVChBTk4sMjAwOSk=&amp;WINDOW=FIRST_POPUP&amp;HEIGHT=450&amp;WIDTH=450&amp;START_MAXIMIZED=FALS","E&amp;VAR:CALENDAR=US&amp;VAR:SYMBOL=UNP&amp;VAR:INDEX=0"}</definedName>
    <definedName name="_57__FDSAUDITLINK__" hidden="1">{"fdsup://directions/FAT Viewer?action=UPDATE&amp;creator=factset&amp;DYN_ARGS=TRUE&amp;DOC_NAME=FAT:FQL_AUDITING_CLIENT_TEMPLATE.FAT&amp;display_string=Audit&amp;VAR:KEY=MZIRGRQDQT&amp;VAR:QUERY=RkZfRUJJVERBKEFOTiwyMDEwKQ==&amp;WINDOW=FIRST_POPUP&amp;HEIGHT=450&amp;WIDTH=450&amp;START_MAXIMIZED=","FALSE&amp;VAR:CALENDAR=US&amp;VAR:SYMBOL=GWR&amp;VAR:INDEX=0"}</definedName>
    <definedName name="_58__FDSAUDITLINK__" localSheetId="4" hidden="1">{"fdsup://directions/FAT Viewer?action=UPDATE&amp;creator=factset&amp;DYN_ARGS=TRUE&amp;DOC_NAME=FAT:FQL_AUDITING_CLIENT_TEMPLATE.FAT&amp;display_string=Audit&amp;VAR:KEY=WNEPKPEBAB&amp;VAR:QUERY=RkZfRUJJVERBKEFOTiwyMDEwKQ==&amp;WINDOW=FIRST_POPUP&amp;HEIGHT=450&amp;WIDTH=450&amp;START_MAXIMIZED=","FALSE&amp;VAR:CALENDAR=US&amp;VAR:SYMBOL=CSX&amp;VAR:INDEX=0"}</definedName>
    <definedName name="_58__FDSAUDITLINK__" localSheetId="5" hidden="1">{"fdsup://directions/FAT Viewer?action=UPDATE&amp;creator=factset&amp;DYN_ARGS=TRUE&amp;DOC_NAME=FAT:FQL_AUDITING_CLIENT_TEMPLATE.FAT&amp;display_string=Audit&amp;VAR:KEY=SZMFOPEPUL&amp;VAR:QUERY=RkZfRUJJVChBTk4sMjAwOSk=&amp;WINDOW=FIRST_POPUP&amp;HEIGHT=450&amp;WIDTH=450&amp;START_MAXIMIZED=FALS","E&amp;VAR:CALENDAR=US&amp;VAR:SYMBOL=RA&amp;VAR:INDEX=0"}</definedName>
    <definedName name="_58__FDSAUDITLINK__" localSheetId="6" hidden="1">{"fdsup://directions/FAT Viewer?action=UPDATE&amp;creator=factset&amp;DYN_ARGS=TRUE&amp;DOC_NAME=FAT:FQL_AUDITING_CLIENT_TEMPLATE.FAT&amp;display_string=Audit&amp;VAR:KEY=SZMFOPEPUL&amp;VAR:QUERY=RkZfRUJJVChBTk4sMjAwOSk=&amp;WINDOW=FIRST_POPUP&amp;HEIGHT=450&amp;WIDTH=450&amp;START_MAXIMIZED=FALS","E&amp;VAR:CALENDAR=US&amp;VAR:SYMBOL=RA&amp;VAR:INDEX=0"}</definedName>
    <definedName name="_58__FDSAUDITLINK__" hidden="1">{"fdsup://directions/FAT Viewer?action=UPDATE&amp;creator=factset&amp;DYN_ARGS=TRUE&amp;DOC_NAME=FAT:FQL_AUDITING_CLIENT_TEMPLATE.FAT&amp;display_string=Audit&amp;VAR:KEY=WNEPKPEBAB&amp;VAR:QUERY=RkZfRUJJVERBKEFOTiwyMDEwKQ==&amp;WINDOW=FIRST_POPUP&amp;HEIGHT=450&amp;WIDTH=450&amp;START_MAXIMIZED=","FALSE&amp;VAR:CALENDAR=US&amp;VAR:SYMBOL=CSX&amp;VAR:INDEX=0"}</definedName>
    <definedName name="_59__FDSAUDITLINK__" localSheetId="4" hidden="1">{"fdsup://directions/FAT Viewer?action=UPDATE&amp;creator=factset&amp;DYN_ARGS=TRUE&amp;DOC_NAME=FAT:FQL_AUDITING_CLIENT_TEMPLATE.FAT&amp;display_string=Audit&amp;VAR:KEY=KDCPCRGJOX&amp;VAR:QUERY=RkZfRUJJVERBKEFOTiwyMDEwKQ==&amp;WINDOW=FIRST_POPUP&amp;HEIGHT=450&amp;WIDTH=450&amp;START_MAXIMIZED=","FALSE&amp;VAR:CALENDAR=US&amp;VAR:SYMBOL=CP&amp;VAR:INDEX=0"}</definedName>
    <definedName name="_59__FDSAUDITLINK__" localSheetId="5" hidden="1">{"fdsup://directions/FAT Viewer?action=UPDATE&amp;creator=factset&amp;DYN_ARGS=TRUE&amp;DOC_NAME=FAT:FQL_AUDITING_CLIENT_TEMPLATE.FAT&amp;display_string=Audit&amp;VAR:KEY=GPUNIXIDQH&amp;VAR:QUERY=RkZfRUJJVChBTk4sMjAwOSk=&amp;WINDOW=FIRST_POPUP&amp;HEIGHT=450&amp;WIDTH=450&amp;START_MAXIMIZED=FALS","E&amp;VAR:CALENDAR=US&amp;VAR:SYMBOL=NSC&amp;VAR:INDEX=0"}</definedName>
    <definedName name="_59__FDSAUDITLINK__" localSheetId="6" hidden="1">{"fdsup://directions/FAT Viewer?action=UPDATE&amp;creator=factset&amp;DYN_ARGS=TRUE&amp;DOC_NAME=FAT:FQL_AUDITING_CLIENT_TEMPLATE.FAT&amp;display_string=Audit&amp;VAR:KEY=GPUNIXIDQH&amp;VAR:QUERY=RkZfRUJJVChBTk4sMjAwOSk=&amp;WINDOW=FIRST_POPUP&amp;HEIGHT=450&amp;WIDTH=450&amp;START_MAXIMIZED=FALS","E&amp;VAR:CALENDAR=US&amp;VAR:SYMBOL=NSC&amp;VAR:INDEX=0"}</definedName>
    <definedName name="_59__FDSAUDITLINK__" hidden="1">{"fdsup://directions/FAT Viewer?action=UPDATE&amp;creator=factset&amp;DYN_ARGS=TRUE&amp;DOC_NAME=FAT:FQL_AUDITING_CLIENT_TEMPLATE.FAT&amp;display_string=Audit&amp;VAR:KEY=KDCPCRGJOX&amp;VAR:QUERY=RkZfRUJJVERBKEFOTiwyMDEwKQ==&amp;WINDOW=FIRST_POPUP&amp;HEIGHT=450&amp;WIDTH=450&amp;START_MAXIMIZED=","FALSE&amp;VAR:CALENDAR=US&amp;VAR:SYMBOL=CP&amp;VAR:INDEX=0"}</definedName>
    <definedName name="_6__FDSAUDITLINK__" localSheetId="4" hidden="1">{"fdsup://directions/FAT Viewer?action=UPDATE&amp;creator=factset&amp;DYN_ARGS=TRUE&amp;DOC_NAME=FAT:FQL_AUDITING_CLIENT_TEMPLATE.FAT&amp;display_string=Audit&amp;VAR:KEY=EFKFOZQBKX&amp;VAR:QUERY=RkZfTkVUX0lOQyhBTk4sMjAxMCk=&amp;WINDOW=FIRST_POPUP&amp;HEIGHT=450&amp;WIDTH=450&amp;START_MAXIMIZED=","FALSE&amp;VAR:CALENDAR=US&amp;VAR:SYMBOL=CSX&amp;VAR:INDEX=0"}</definedName>
    <definedName name="_6__FDSAUDITLINK__" localSheetId="5" hidden="1">{"fdsup://Directions/FactSet Auditing Viewer?action=AUDIT_VALUE&amp;DB=129&amp;ID1=12640810&amp;VALUEID=01401&amp;SDATE=2009&amp;PERIODTYPE=ANN_STD&amp;window=popup_no_bar&amp;width=385&amp;height=120&amp;START_MAXIMIZED=FALSE&amp;creator=factset&amp;display_string=Audit"}</definedName>
    <definedName name="_6__FDSAUDITLINK__" localSheetId="6" hidden="1">{"fdsup://Directions/FactSet Auditing Viewer?action=AUDIT_VALUE&amp;DB=129&amp;ID1=12640810&amp;VALUEID=01401&amp;SDATE=2009&amp;PERIODTYPE=ANN_STD&amp;window=popup_no_bar&amp;width=385&amp;height=120&amp;START_MAXIMIZED=FALSE&amp;creator=factset&amp;display_string=Audit"}</definedName>
    <definedName name="_6__FDSAUDITLINK__" hidden="1">{"fdsup://directions/FAT Viewer?action=UPDATE&amp;creator=factset&amp;DYN_ARGS=TRUE&amp;DOC_NAME=FAT:FQL_AUDITING_CLIENT_TEMPLATE.FAT&amp;display_string=Audit&amp;VAR:KEY=EFKFOZQBKX&amp;VAR:QUERY=RkZfTkVUX0lOQyhBTk4sMjAxMCk=&amp;WINDOW=FIRST_POPUP&amp;HEIGHT=450&amp;WIDTH=450&amp;START_MAXIMIZED=","FALSE&amp;VAR:CALENDAR=US&amp;VAR:SYMBOL=CSX&amp;VAR:INDEX=0"}</definedName>
    <definedName name="_60__FDSAUDITLINK__" localSheetId="4" hidden="1">{"fdsup://directions/FAT Viewer?action=UPDATE&amp;creator=factset&amp;DYN_ARGS=TRUE&amp;DOC_NAME=FAT:FQL_AUDITING_CLIENT_TEMPLATE.FAT&amp;display_string=Audit&amp;VAR:KEY=AZYZAZOHSN&amp;VAR:QUERY=RkZfRUJJVERBKEFOTiwyMDEwKQ==&amp;WINDOW=FIRST_POPUP&amp;HEIGHT=450&amp;WIDTH=450&amp;START_MAXIMIZED=","FALSE&amp;VAR:CALENDAR=US&amp;VAR:SYMBOL=CNI&amp;VAR:INDEX=0"}</definedName>
    <definedName name="_60__FDSAUDITLINK__" localSheetId="5" hidden="1">{"fdsup://directions/FAT Viewer?action=UPDATE&amp;creator=factset&amp;DYN_ARGS=TRUE&amp;DOC_NAME=FAT:FQL_AUDITING_CLIENT_TEMPLATE.FAT&amp;display_string=Audit&amp;VAR:KEY=MJMBODSLUL&amp;VAR:QUERY=RkZfRUJJVChBTk4sMjAwOSk=&amp;WINDOW=FIRST_POPUP&amp;HEIGHT=450&amp;WIDTH=450&amp;START_MAXIMIZED=FALS","E&amp;VAR:CALENDAR=US&amp;VAR:SYMBOL=KSU&amp;VAR:INDEX=0"}</definedName>
    <definedName name="_60__FDSAUDITLINK__" localSheetId="6" hidden="1">{"fdsup://directions/FAT Viewer?action=UPDATE&amp;creator=factset&amp;DYN_ARGS=TRUE&amp;DOC_NAME=FAT:FQL_AUDITING_CLIENT_TEMPLATE.FAT&amp;display_string=Audit&amp;VAR:KEY=MJMBODSLUL&amp;VAR:QUERY=RkZfRUJJVChBTk4sMjAwOSk=&amp;WINDOW=FIRST_POPUP&amp;HEIGHT=450&amp;WIDTH=450&amp;START_MAXIMIZED=FALS","E&amp;VAR:CALENDAR=US&amp;VAR:SYMBOL=KSU&amp;VAR:INDEX=0"}</definedName>
    <definedName name="_60__FDSAUDITLINK__" hidden="1">{"fdsup://directions/FAT Viewer?action=UPDATE&amp;creator=factset&amp;DYN_ARGS=TRUE&amp;DOC_NAME=FAT:FQL_AUDITING_CLIENT_TEMPLATE.FAT&amp;display_string=Audit&amp;VAR:KEY=AZYZAZOHSN&amp;VAR:QUERY=RkZfRUJJVERBKEFOTiwyMDEwKQ==&amp;WINDOW=FIRST_POPUP&amp;HEIGHT=450&amp;WIDTH=450&amp;START_MAXIMIZED=","FALSE&amp;VAR:CALENDAR=US&amp;VAR:SYMBOL=CNI&amp;VAR:INDEX=0"}</definedName>
    <definedName name="_61__FDSAUDITLINK__" localSheetId="4" hidden="1">{"fdsup://Directions/FactSet Auditing Viewer?action=AUDIT_VALUE&amp;DB=129&amp;ID1=90781810&amp;VALUEID=01250&amp;SDATE=2010&amp;PERIODTYPE=ANN_STD&amp;window=popup_no_bar&amp;width=385&amp;height=120&amp;START_MAXIMIZED=FALSE&amp;creator=factset&amp;display_string=Audit"}</definedName>
    <definedName name="_61__FDSAUDITLINK__" localSheetId="5" hidden="1">{"fdsup://directions/FAT Viewer?action=UPDATE&amp;creator=factset&amp;DYN_ARGS=TRUE&amp;DOC_NAME=FAT:FQL_AUDITING_CLIENT_TEMPLATE.FAT&amp;display_string=Audit&amp;VAR:KEY=MRWTQBQXSR&amp;VAR:QUERY=RkZfRUJJVChBTk4sMjAwOSk=&amp;WINDOW=FIRST_POPUP&amp;HEIGHT=450&amp;WIDTH=450&amp;START_MAXIMIZED=FALS","E&amp;VAR:CALENDAR=US&amp;VAR:SYMBOL=GWR&amp;VAR:INDEX=0"}</definedName>
    <definedName name="_61__FDSAUDITLINK__" localSheetId="6" hidden="1">{"fdsup://directions/FAT Viewer?action=UPDATE&amp;creator=factset&amp;DYN_ARGS=TRUE&amp;DOC_NAME=FAT:FQL_AUDITING_CLIENT_TEMPLATE.FAT&amp;display_string=Audit&amp;VAR:KEY=MRWTQBQXSR&amp;VAR:QUERY=RkZfRUJJVChBTk4sMjAwOSk=&amp;WINDOW=FIRST_POPUP&amp;HEIGHT=450&amp;WIDTH=450&amp;START_MAXIMIZED=FALS","E&amp;VAR:CALENDAR=US&amp;VAR:SYMBOL=GWR&amp;VAR:INDEX=0"}</definedName>
    <definedName name="_61__FDSAUDITLINK__" hidden="1">{"fdsup://Directions/FactSet Auditing Viewer?action=AUDIT_VALUE&amp;DB=129&amp;ID1=90781810&amp;VALUEID=01250&amp;SDATE=2010&amp;PERIODTYPE=ANN_STD&amp;window=popup_no_bar&amp;width=385&amp;height=120&amp;START_MAXIMIZED=FALSE&amp;creator=factset&amp;display_string=Audit"}</definedName>
    <definedName name="_62__FDSAUDITLINK__" localSheetId="4" hidden="1">{"fdsup://Directions/FactSet Auditing Viewer?action=AUDIT_VALUE&amp;DB=129&amp;ID1=75075340&amp;VALUEID=01250&amp;SDATE=2010&amp;PERIODTYPE=ANN_STD&amp;window=popup_no_bar&amp;width=385&amp;height=120&amp;START_MAXIMIZED=FALSE&amp;creator=factset&amp;display_string=Audit"}</definedName>
    <definedName name="_62__FDSAUDITLINK__" localSheetId="5" hidden="1">{"fdsup://directions/FAT Viewer?action=UPDATE&amp;creator=factset&amp;DYN_ARGS=TRUE&amp;DOC_NAME=FAT:FQL_AUDITING_CLIENT_TEMPLATE.FAT&amp;display_string=Audit&amp;VAR:KEY=MPCZQDGHYJ&amp;VAR:QUERY=RkZfRUJJVChBTk4sMjAwOSk=&amp;WINDOW=FIRST_POPUP&amp;HEIGHT=450&amp;WIDTH=450&amp;START_MAXIMIZED=FALS","E&amp;VAR:CALENDAR=US&amp;VAR:SYMBOL=CSX&amp;VAR:INDEX=0"}</definedName>
    <definedName name="_62__FDSAUDITLINK__" localSheetId="6" hidden="1">{"fdsup://directions/FAT Viewer?action=UPDATE&amp;creator=factset&amp;DYN_ARGS=TRUE&amp;DOC_NAME=FAT:FQL_AUDITING_CLIENT_TEMPLATE.FAT&amp;display_string=Audit&amp;VAR:KEY=MPCZQDGHYJ&amp;VAR:QUERY=RkZfRUJJVChBTk4sMjAwOSk=&amp;WINDOW=FIRST_POPUP&amp;HEIGHT=450&amp;WIDTH=450&amp;START_MAXIMIZED=FALS","E&amp;VAR:CALENDAR=US&amp;VAR:SYMBOL=CSX&amp;VAR:INDEX=0"}</definedName>
    <definedName name="_62__FDSAUDITLINK__" hidden="1">{"fdsup://Directions/FactSet Auditing Viewer?action=AUDIT_VALUE&amp;DB=129&amp;ID1=75075340&amp;VALUEID=01250&amp;SDATE=2010&amp;PERIODTYPE=ANN_STD&amp;window=popup_no_bar&amp;width=385&amp;height=120&amp;START_MAXIMIZED=FALSE&amp;creator=factset&amp;display_string=Audit"}</definedName>
    <definedName name="_63__FDSAUDITLINK__" localSheetId="4" hidden="1">{"fdsup://Directions/FactSet Auditing Viewer?action=AUDIT_VALUE&amp;DB=129&amp;ID1=65584410&amp;VALUEID=01250&amp;SDATE=2010&amp;PERIODTYPE=ANN_STD&amp;window=popup_no_bar&amp;width=385&amp;height=120&amp;START_MAXIMIZED=FALSE&amp;creator=factset&amp;display_string=Audit"}</definedName>
    <definedName name="_63__FDSAUDITLINK__" localSheetId="5" hidden="1">{"fdsup://directions/FAT Viewer?action=UPDATE&amp;creator=factset&amp;DYN_ARGS=TRUE&amp;DOC_NAME=FAT:FQL_AUDITING_CLIENT_TEMPLATE.FAT&amp;display_string=Audit&amp;VAR:KEY=GHYXEZAFED&amp;VAR:QUERY=RkZfRUJJVChBTk4sMjAwOSk=&amp;WINDOW=FIRST_POPUP&amp;HEIGHT=450&amp;WIDTH=450&amp;START_MAXIMIZED=FALS","E&amp;VAR:CALENDAR=US&amp;VAR:SYMBOL=CP&amp;VAR:INDEX=0"}</definedName>
    <definedName name="_63__FDSAUDITLINK__" localSheetId="6" hidden="1">{"fdsup://directions/FAT Viewer?action=UPDATE&amp;creator=factset&amp;DYN_ARGS=TRUE&amp;DOC_NAME=FAT:FQL_AUDITING_CLIENT_TEMPLATE.FAT&amp;display_string=Audit&amp;VAR:KEY=GHYXEZAFED&amp;VAR:QUERY=RkZfRUJJVChBTk4sMjAwOSk=&amp;WINDOW=FIRST_POPUP&amp;HEIGHT=450&amp;WIDTH=450&amp;START_MAXIMIZED=FALS","E&amp;VAR:CALENDAR=US&amp;VAR:SYMBOL=CP&amp;VAR:INDEX=0"}</definedName>
    <definedName name="_63__FDSAUDITLINK__" hidden="1">{"fdsup://Directions/FactSet Auditing Viewer?action=AUDIT_VALUE&amp;DB=129&amp;ID1=65584410&amp;VALUEID=01250&amp;SDATE=2010&amp;PERIODTYPE=ANN_STD&amp;window=popup_no_bar&amp;width=385&amp;height=120&amp;START_MAXIMIZED=FALSE&amp;creator=factset&amp;display_string=Audit"}</definedName>
    <definedName name="_64__FDSAUDITLINK__" localSheetId="4" hidden="1">{"fdsup://Directions/FactSet Auditing Viewer?action=AUDIT_VALUE&amp;DB=129&amp;ID1=48517030&amp;VALUEID=01250&amp;SDATE=2010&amp;PERIODTYPE=ANN_STD&amp;window=popup_no_bar&amp;width=385&amp;height=120&amp;START_MAXIMIZED=FALSE&amp;creator=factset&amp;display_string=Audit"}</definedName>
    <definedName name="_64__FDSAUDITLINK__" localSheetId="5" hidden="1">{"fdsup://directions/FAT Viewer?action=UPDATE&amp;creator=factset&amp;DYN_ARGS=TRUE&amp;DOC_NAME=FAT:FQL_AUDITING_CLIENT_TEMPLATE.FAT&amp;display_string=Audit&amp;VAR:KEY=SZUDEVQRKX&amp;VAR:QUERY=RkZfRUJJVChBTk4sMjAwOSk=&amp;WINDOW=FIRST_POPUP&amp;HEIGHT=450&amp;WIDTH=450&amp;START_MAXIMIZED=FALS","E&amp;VAR:CALENDAR=US&amp;VAR:SYMBOL=CNI&amp;VAR:INDEX=0"}</definedName>
    <definedName name="_64__FDSAUDITLINK__" localSheetId="6" hidden="1">{"fdsup://directions/FAT Viewer?action=UPDATE&amp;creator=factset&amp;DYN_ARGS=TRUE&amp;DOC_NAME=FAT:FQL_AUDITING_CLIENT_TEMPLATE.FAT&amp;display_string=Audit&amp;VAR:KEY=SZUDEVQRKX&amp;VAR:QUERY=RkZfRUJJVChBTk4sMjAwOSk=&amp;WINDOW=FIRST_POPUP&amp;HEIGHT=450&amp;WIDTH=450&amp;START_MAXIMIZED=FALS","E&amp;VAR:CALENDAR=US&amp;VAR:SYMBOL=CNI&amp;VAR:INDEX=0"}</definedName>
    <definedName name="_64__FDSAUDITLINK__" hidden="1">{"fdsup://Directions/FactSet Auditing Viewer?action=AUDIT_VALUE&amp;DB=129&amp;ID1=48517030&amp;VALUEID=01250&amp;SDATE=2010&amp;PERIODTYPE=ANN_STD&amp;window=popup_no_bar&amp;width=385&amp;height=120&amp;START_MAXIMIZED=FALSE&amp;creator=factset&amp;display_string=Audit"}</definedName>
    <definedName name="_65__FDSAUDITLINK__" localSheetId="4" hidden="1">{"fdsup://Directions/FactSet Auditing Viewer?action=AUDIT_VALUE&amp;DB=129&amp;ID1=37155910&amp;VALUEID=01250&amp;SDATE=2010&amp;PERIODTYPE=ANN_STD&amp;window=popup_no_bar&amp;width=385&amp;height=120&amp;START_MAXIMIZED=FALSE&amp;creator=factset&amp;display_string=Audit"}</definedName>
    <definedName name="_65__FDSAUDITLINK__" localSheetId="5" hidden="1">{"fdsup://directions/FAT Viewer?action=UPDATE&amp;creator=factset&amp;DYN_ARGS=TRUE&amp;DOC_NAME=FAT:FQL_AUDITING_CLIENT_TEMPLATE.FAT&amp;display_string=Audit&amp;VAR:KEY=GNGLEVGRQN&amp;VAR:QUERY=RkZfRUJJVERBKEFOTiwyMDA5KQ==&amp;WINDOW=FIRST_POPUP&amp;HEIGHT=450&amp;WIDTH=450&amp;START_MAXIMIZED=","FALSE&amp;VAR:CALENDAR=US&amp;VAR:SYMBOL=UNP&amp;VAR:INDEX=0"}</definedName>
    <definedName name="_65__FDSAUDITLINK__" localSheetId="6" hidden="1">{"fdsup://directions/FAT Viewer?action=UPDATE&amp;creator=factset&amp;DYN_ARGS=TRUE&amp;DOC_NAME=FAT:FQL_AUDITING_CLIENT_TEMPLATE.FAT&amp;display_string=Audit&amp;VAR:KEY=GNGLEVGRQN&amp;VAR:QUERY=RkZfRUJJVERBKEFOTiwyMDA5KQ==&amp;WINDOW=FIRST_POPUP&amp;HEIGHT=450&amp;WIDTH=450&amp;START_MAXIMIZED=","FALSE&amp;VAR:CALENDAR=US&amp;VAR:SYMBOL=UNP&amp;VAR:INDEX=0"}</definedName>
    <definedName name="_65__FDSAUDITLINK__" hidden="1">{"fdsup://Directions/FactSet Auditing Viewer?action=AUDIT_VALUE&amp;DB=129&amp;ID1=37155910&amp;VALUEID=01250&amp;SDATE=2010&amp;PERIODTYPE=ANN_STD&amp;window=popup_no_bar&amp;width=385&amp;height=120&amp;START_MAXIMIZED=FALSE&amp;creator=factset&amp;display_string=Audit"}</definedName>
    <definedName name="_66__FDSAUDITLINK__" localSheetId="4" hidden="1">{"fdsup://Directions/FactSet Auditing Viewer?action=AUDIT_VALUE&amp;DB=129&amp;ID1=12640810&amp;VALUEID=01250&amp;SDATE=2010&amp;PERIODTYPE=ANN_STD&amp;window=popup_no_bar&amp;width=385&amp;height=120&amp;START_MAXIMIZED=FALSE&amp;creator=factset&amp;display_string=Audit"}</definedName>
    <definedName name="_66__FDSAUDITLINK__" localSheetId="5" hidden="1">{"fdsup://directions/FAT Viewer?action=UPDATE&amp;creator=factset&amp;DYN_ARGS=TRUE&amp;DOC_NAME=FAT:FQL_AUDITING_CLIENT_TEMPLATE.FAT&amp;display_string=Audit&amp;VAR:KEY=QPANSVANQN&amp;VAR:QUERY=RkZfRUJJVERBKEFOTiwyMDA5KQ==&amp;WINDOW=FIRST_POPUP&amp;HEIGHT=450&amp;WIDTH=450&amp;START_MAXIMIZED=","FALSE&amp;VAR:CALENDAR=US&amp;VAR:SYMBOL=RA&amp;VAR:INDEX=0"}</definedName>
    <definedName name="_66__FDSAUDITLINK__" localSheetId="6" hidden="1">{"fdsup://directions/FAT Viewer?action=UPDATE&amp;creator=factset&amp;DYN_ARGS=TRUE&amp;DOC_NAME=FAT:FQL_AUDITING_CLIENT_TEMPLATE.FAT&amp;display_string=Audit&amp;VAR:KEY=QPANSVANQN&amp;VAR:QUERY=RkZfRUJJVERBKEFOTiwyMDA5KQ==&amp;WINDOW=FIRST_POPUP&amp;HEIGHT=450&amp;WIDTH=450&amp;START_MAXIMIZED=","FALSE&amp;VAR:CALENDAR=US&amp;VAR:SYMBOL=RA&amp;VAR:INDEX=0"}</definedName>
    <definedName name="_66__FDSAUDITLINK__" hidden="1">{"fdsup://Directions/FactSet Auditing Viewer?action=AUDIT_VALUE&amp;DB=129&amp;ID1=12640810&amp;VALUEID=01250&amp;SDATE=2010&amp;PERIODTYPE=ANN_STD&amp;window=popup_no_bar&amp;width=385&amp;height=120&amp;START_MAXIMIZED=FALSE&amp;creator=factset&amp;display_string=Audit"}</definedName>
    <definedName name="_67__FDSAUDITLINK__" localSheetId="4" hidden="1">{"fdsup://Directions/FactSet Auditing Viewer?action=AUDIT_VALUE&amp;DB=129&amp;ID1=90781810&amp;VALUEID=01001&amp;SDATE=2010&amp;PERIODTYPE=ANN_STD&amp;window=popup_no_bar&amp;width=385&amp;height=120&amp;START_MAXIMIZED=FALSE&amp;creator=factset&amp;display_string=Audit"}</definedName>
    <definedName name="_67__FDSAUDITLINK__" localSheetId="5" hidden="1">{"fdsup://directions/FAT Viewer?action=UPDATE&amp;creator=factset&amp;DYN_ARGS=TRUE&amp;DOC_NAME=FAT:FQL_AUDITING_CLIENT_TEMPLATE.FAT&amp;display_string=Audit&amp;VAR:KEY=YRCTQJQJKV&amp;VAR:QUERY=RkZfRUJJVERBKEFOTiwyMDA5KQ==&amp;WINDOW=FIRST_POPUP&amp;HEIGHT=450&amp;WIDTH=450&amp;START_MAXIMIZED=","FALSE&amp;VAR:CALENDAR=US&amp;VAR:SYMBOL=NSC&amp;VAR:INDEX=0"}</definedName>
    <definedName name="_67__FDSAUDITLINK__" localSheetId="6" hidden="1">{"fdsup://directions/FAT Viewer?action=UPDATE&amp;creator=factset&amp;DYN_ARGS=TRUE&amp;DOC_NAME=FAT:FQL_AUDITING_CLIENT_TEMPLATE.FAT&amp;display_string=Audit&amp;VAR:KEY=YRCTQJQJKV&amp;VAR:QUERY=RkZfRUJJVERBKEFOTiwyMDA5KQ==&amp;WINDOW=FIRST_POPUP&amp;HEIGHT=450&amp;WIDTH=450&amp;START_MAXIMIZED=","FALSE&amp;VAR:CALENDAR=US&amp;VAR:SYMBOL=NSC&amp;VAR:INDEX=0"}</definedName>
    <definedName name="_67__FDSAUDITLINK__" hidden="1">{"fdsup://Directions/FactSet Auditing Viewer?action=AUDIT_VALUE&amp;DB=129&amp;ID1=90781810&amp;VALUEID=01001&amp;SDATE=2010&amp;PERIODTYPE=ANN_STD&amp;window=popup_no_bar&amp;width=385&amp;height=120&amp;START_MAXIMIZED=FALSE&amp;creator=factset&amp;display_string=Audit"}</definedName>
    <definedName name="_68__FDSAUDITLINK__" localSheetId="4" hidden="1">{"fdsup://Directions/FactSet Auditing Viewer?action=AUDIT_VALUE&amp;DB=129&amp;ID1=75075340&amp;VALUEID=01001&amp;SDATE=2010&amp;PERIODTYPE=ANN_STD&amp;window=popup_no_bar&amp;width=385&amp;height=120&amp;START_MAXIMIZED=FALSE&amp;creator=factset&amp;display_string=Audit"}</definedName>
    <definedName name="_68__FDSAUDITLINK__" localSheetId="5" hidden="1">{"fdsup://directions/FAT Viewer?action=UPDATE&amp;creator=factset&amp;DYN_ARGS=TRUE&amp;DOC_NAME=FAT:FQL_AUDITING_CLIENT_TEMPLATE.FAT&amp;display_string=Audit&amp;VAR:KEY=IPOVABEZWT&amp;VAR:QUERY=RkZfRUJJVERBKEFOTiwyMDA5KQ==&amp;WINDOW=FIRST_POPUP&amp;HEIGHT=450&amp;WIDTH=450&amp;START_MAXIMIZED=","FALSE&amp;VAR:CALENDAR=US&amp;VAR:SYMBOL=KSU&amp;VAR:INDEX=0"}</definedName>
    <definedName name="_68__FDSAUDITLINK__" localSheetId="6" hidden="1">{"fdsup://directions/FAT Viewer?action=UPDATE&amp;creator=factset&amp;DYN_ARGS=TRUE&amp;DOC_NAME=FAT:FQL_AUDITING_CLIENT_TEMPLATE.FAT&amp;display_string=Audit&amp;VAR:KEY=IPOVABEZWT&amp;VAR:QUERY=RkZfRUJJVERBKEFOTiwyMDA5KQ==&amp;WINDOW=FIRST_POPUP&amp;HEIGHT=450&amp;WIDTH=450&amp;START_MAXIMIZED=","FALSE&amp;VAR:CALENDAR=US&amp;VAR:SYMBOL=KSU&amp;VAR:INDEX=0"}</definedName>
    <definedName name="_68__FDSAUDITLINK__" hidden="1">{"fdsup://Directions/FactSet Auditing Viewer?action=AUDIT_VALUE&amp;DB=129&amp;ID1=75075340&amp;VALUEID=01001&amp;SDATE=2010&amp;PERIODTYPE=ANN_STD&amp;window=popup_no_bar&amp;width=385&amp;height=120&amp;START_MAXIMIZED=FALSE&amp;creator=factset&amp;display_string=Audit"}</definedName>
    <definedName name="_69__FDSAUDITLINK__" localSheetId="4" hidden="1">{"fdsup://Directions/FactSet Auditing Viewer?action=AUDIT_VALUE&amp;DB=129&amp;ID1=65584410&amp;VALUEID=01001&amp;SDATE=2010&amp;PERIODTYPE=ANN_STD&amp;window=popup_no_bar&amp;width=385&amp;height=120&amp;START_MAXIMIZED=FALSE&amp;creator=factset&amp;display_string=Audit"}</definedName>
    <definedName name="_69__FDSAUDITLINK__" localSheetId="5" hidden="1">{"fdsup://directions/FAT Viewer?action=UPDATE&amp;creator=factset&amp;DYN_ARGS=TRUE&amp;DOC_NAME=FAT:FQL_AUDITING_CLIENT_TEMPLATE.FAT&amp;display_string=Audit&amp;VAR:KEY=SLCBUDIFIN&amp;VAR:QUERY=RkZfRUJJVERBKEFOTiwyMDA5KQ==&amp;WINDOW=FIRST_POPUP&amp;HEIGHT=450&amp;WIDTH=450&amp;START_MAXIMIZED=","FALSE&amp;VAR:CALENDAR=US&amp;VAR:SYMBOL=GWR&amp;VAR:INDEX=0"}</definedName>
    <definedName name="_69__FDSAUDITLINK__" localSheetId="6" hidden="1">{"fdsup://directions/FAT Viewer?action=UPDATE&amp;creator=factset&amp;DYN_ARGS=TRUE&amp;DOC_NAME=FAT:FQL_AUDITING_CLIENT_TEMPLATE.FAT&amp;display_string=Audit&amp;VAR:KEY=SLCBUDIFIN&amp;VAR:QUERY=RkZfRUJJVERBKEFOTiwyMDA5KQ==&amp;WINDOW=FIRST_POPUP&amp;HEIGHT=450&amp;WIDTH=450&amp;START_MAXIMIZED=","FALSE&amp;VAR:CALENDAR=US&amp;VAR:SYMBOL=GWR&amp;VAR:INDEX=0"}</definedName>
    <definedName name="_69__FDSAUDITLINK__" hidden="1">{"fdsup://Directions/FactSet Auditing Viewer?action=AUDIT_VALUE&amp;DB=129&amp;ID1=65584410&amp;VALUEID=01001&amp;SDATE=2010&amp;PERIODTYPE=ANN_STD&amp;window=popup_no_bar&amp;width=385&amp;height=120&amp;START_MAXIMIZED=FALSE&amp;creator=factset&amp;display_string=Audit"}</definedName>
    <definedName name="_7__FDSAUDITLINK__" localSheetId="4" hidden="1">{"fdsup://directions/FAT Viewer?action=UPDATE&amp;creator=factset&amp;DYN_ARGS=TRUE&amp;DOC_NAME=FAT:FQL_AUDITING_CLIENT_TEMPLATE.FAT&amp;display_string=Audit&amp;VAR:KEY=OZKRUNWHIL&amp;VAR:QUERY=RkZfTkVUX0lOQyhBTk4sMjAxMCk=&amp;WINDOW=FIRST_POPUP&amp;HEIGHT=450&amp;WIDTH=450&amp;START_MAXIMIZED=","FALSE&amp;VAR:CALENDAR=US&amp;VAR:SYMBOL=CP&amp;VAR:INDEX=0"}</definedName>
    <definedName name="_7__FDSAUDITLINK__" localSheetId="5" hidden="1">{"fdsup://Directions/FactSet Auditing Viewer?action=AUDIT_VALUE&amp;DB=129&amp;ID1=90781810&amp;VALUEID=01401&amp;SDATE=2009&amp;PERIODTYPE=ANN_STD&amp;window=popup_no_bar&amp;width=385&amp;height=120&amp;START_MAXIMIZED=FALSE&amp;creator=factset&amp;display_string=Audit"}</definedName>
    <definedName name="_7__FDSAUDITLINK__" localSheetId="6" hidden="1">{"fdsup://Directions/FactSet Auditing Viewer?action=AUDIT_VALUE&amp;DB=129&amp;ID1=90781810&amp;VALUEID=01401&amp;SDATE=2009&amp;PERIODTYPE=ANN_STD&amp;window=popup_no_bar&amp;width=385&amp;height=120&amp;START_MAXIMIZED=FALSE&amp;creator=factset&amp;display_string=Audit"}</definedName>
    <definedName name="_7__FDSAUDITLINK__" hidden="1">{"fdsup://directions/FAT Viewer?action=UPDATE&amp;creator=factset&amp;DYN_ARGS=TRUE&amp;DOC_NAME=FAT:FQL_AUDITING_CLIENT_TEMPLATE.FAT&amp;display_string=Audit&amp;VAR:KEY=OZKRUNWHIL&amp;VAR:QUERY=RkZfTkVUX0lOQyhBTk4sMjAxMCk=&amp;WINDOW=FIRST_POPUP&amp;HEIGHT=450&amp;WIDTH=450&amp;START_MAXIMIZED=","FALSE&amp;VAR:CALENDAR=US&amp;VAR:SYMBOL=CP&amp;VAR:INDEX=0"}</definedName>
    <definedName name="_70__FDSAUDITLINK__" localSheetId="4" hidden="1">{"fdsup://Directions/FactSet Auditing Viewer?action=AUDIT_VALUE&amp;DB=129&amp;ID1=48517030&amp;VALUEID=01001&amp;SDATE=2010&amp;PERIODTYPE=ANN_STD&amp;window=popup_no_bar&amp;width=385&amp;height=120&amp;START_MAXIMIZED=FALSE&amp;creator=factset&amp;display_string=Audit"}</definedName>
    <definedName name="_70__FDSAUDITLINK__" localSheetId="5" hidden="1">{"fdsup://directions/FAT Viewer?action=UPDATE&amp;creator=factset&amp;DYN_ARGS=TRUE&amp;DOC_NAME=FAT:FQL_AUDITING_CLIENT_TEMPLATE.FAT&amp;display_string=Audit&amp;VAR:KEY=WZMLEPWVMP&amp;VAR:QUERY=RkZfRUJJVERBKEFOTiwyMDA5KQ==&amp;WINDOW=FIRST_POPUP&amp;HEIGHT=450&amp;WIDTH=450&amp;START_MAXIMIZED=","FALSE&amp;VAR:CALENDAR=US&amp;VAR:SYMBOL=CSX&amp;VAR:INDEX=0"}</definedName>
    <definedName name="_70__FDSAUDITLINK__" localSheetId="6" hidden="1">{"fdsup://directions/FAT Viewer?action=UPDATE&amp;creator=factset&amp;DYN_ARGS=TRUE&amp;DOC_NAME=FAT:FQL_AUDITING_CLIENT_TEMPLATE.FAT&amp;display_string=Audit&amp;VAR:KEY=WZMLEPWVMP&amp;VAR:QUERY=RkZfRUJJVERBKEFOTiwyMDA5KQ==&amp;WINDOW=FIRST_POPUP&amp;HEIGHT=450&amp;WIDTH=450&amp;START_MAXIMIZED=","FALSE&amp;VAR:CALENDAR=US&amp;VAR:SYMBOL=CSX&amp;VAR:INDEX=0"}</definedName>
    <definedName name="_70__FDSAUDITLINK__" hidden="1">{"fdsup://Directions/FactSet Auditing Viewer?action=AUDIT_VALUE&amp;DB=129&amp;ID1=48517030&amp;VALUEID=01001&amp;SDATE=2010&amp;PERIODTYPE=ANN_STD&amp;window=popup_no_bar&amp;width=385&amp;height=120&amp;START_MAXIMIZED=FALSE&amp;creator=factset&amp;display_string=Audit"}</definedName>
    <definedName name="_71__FDSAUDITLINK__" localSheetId="4" hidden="1">{"fdsup://Directions/FactSet Auditing Viewer?action=AUDIT_VALUE&amp;DB=129&amp;ID1=37155910&amp;VALUEID=01001&amp;SDATE=2010&amp;PERIODTYPE=ANN_STD&amp;window=popup_no_bar&amp;width=385&amp;height=120&amp;START_MAXIMIZED=FALSE&amp;creator=factset&amp;display_string=Audit"}</definedName>
    <definedName name="_71__FDSAUDITLINK__" localSheetId="5" hidden="1">{"fdsup://directions/FAT Viewer?action=UPDATE&amp;creator=factset&amp;DYN_ARGS=TRUE&amp;DOC_NAME=FAT:FQL_AUDITING_CLIENT_TEMPLATE.FAT&amp;display_string=Audit&amp;VAR:KEY=WZODSXOHUN&amp;VAR:QUERY=RkZfRUJJVERBKEFOTiwyMDA5KQ==&amp;WINDOW=FIRST_POPUP&amp;HEIGHT=450&amp;WIDTH=450&amp;START_MAXIMIZED=","FALSE&amp;VAR:CALENDAR=US&amp;VAR:SYMBOL=CP&amp;VAR:INDEX=0"}</definedName>
    <definedName name="_71__FDSAUDITLINK__" localSheetId="6" hidden="1">{"fdsup://directions/FAT Viewer?action=UPDATE&amp;creator=factset&amp;DYN_ARGS=TRUE&amp;DOC_NAME=FAT:FQL_AUDITING_CLIENT_TEMPLATE.FAT&amp;display_string=Audit&amp;VAR:KEY=WZODSXOHUN&amp;VAR:QUERY=RkZfRUJJVERBKEFOTiwyMDA5KQ==&amp;WINDOW=FIRST_POPUP&amp;HEIGHT=450&amp;WIDTH=450&amp;START_MAXIMIZED=","FALSE&amp;VAR:CALENDAR=US&amp;VAR:SYMBOL=CP&amp;VAR:INDEX=0"}</definedName>
    <definedName name="_71__FDSAUDITLINK__" hidden="1">{"fdsup://Directions/FactSet Auditing Viewer?action=AUDIT_VALUE&amp;DB=129&amp;ID1=37155910&amp;VALUEID=01001&amp;SDATE=2010&amp;PERIODTYPE=ANN_STD&amp;window=popup_no_bar&amp;width=385&amp;height=120&amp;START_MAXIMIZED=FALSE&amp;creator=factset&amp;display_string=Audit"}</definedName>
    <definedName name="_72__FDSAUDITLINK__" localSheetId="4" hidden="1">{"fdsup://Directions/FactSet Auditing Viewer?action=AUDIT_VALUE&amp;DB=129&amp;ID1=12640810&amp;VALUEID=01001&amp;SDATE=2010&amp;PERIODTYPE=ANN_STD&amp;window=popup_no_bar&amp;width=385&amp;height=120&amp;START_MAXIMIZED=FALSE&amp;creator=factset&amp;display_string=Audit"}</definedName>
    <definedName name="_72__FDSAUDITLINK__" localSheetId="5" hidden="1">{"fdsup://directions/FAT Viewer?action=UPDATE&amp;creator=factset&amp;DYN_ARGS=TRUE&amp;DOC_NAME=FAT:FQL_AUDITING_CLIENT_TEMPLATE.FAT&amp;display_string=Audit&amp;VAR:KEY=AXULYVYRCP&amp;VAR:QUERY=RkZfRUJJVERBKEFOTiwyMDA5KQ==&amp;WINDOW=FIRST_POPUP&amp;HEIGHT=450&amp;WIDTH=450&amp;START_MAXIMIZED=","FALSE&amp;VAR:CALENDAR=US&amp;VAR:SYMBOL=CNI&amp;VAR:INDEX=0"}</definedName>
    <definedName name="_72__FDSAUDITLINK__" localSheetId="6" hidden="1">{"fdsup://directions/FAT Viewer?action=UPDATE&amp;creator=factset&amp;DYN_ARGS=TRUE&amp;DOC_NAME=FAT:FQL_AUDITING_CLIENT_TEMPLATE.FAT&amp;display_string=Audit&amp;VAR:KEY=AXULYVYRCP&amp;VAR:QUERY=RkZfRUJJVERBKEFOTiwyMDA5KQ==&amp;WINDOW=FIRST_POPUP&amp;HEIGHT=450&amp;WIDTH=450&amp;START_MAXIMIZED=","FALSE&amp;VAR:CALENDAR=US&amp;VAR:SYMBOL=CNI&amp;VAR:INDEX=0"}</definedName>
    <definedName name="_72__FDSAUDITLINK__" hidden="1">{"fdsup://Directions/FactSet Auditing Viewer?action=AUDIT_VALUE&amp;DB=129&amp;ID1=12640810&amp;VALUEID=01001&amp;SDATE=2010&amp;PERIODTYPE=ANN_STD&amp;window=popup_no_bar&amp;width=385&amp;height=120&amp;START_MAXIMIZED=FALSE&amp;creator=factset&amp;display_string=Audit"}</definedName>
    <definedName name="_73__FDSAUDITLINK__" localSheetId="4" hidden="1">{"fdsup://directions/FAT Viewer?action=UPDATE&amp;creator=factset&amp;DYN_ARGS=TRUE&amp;DOC_NAME=FAT:FQL_AUDITING_CLIENT_TEMPLATE.FAT&amp;display_string=Audit&amp;VAR:KEY=GFSNGJUZGB&amp;VAR:QUERY=RkZfTkVUX0lOQyhBTk4sMjAxMCk=&amp;WINDOW=FIRST_POPUP&amp;HEIGHT=450&amp;WIDTH=450&amp;START_MAXIMIZED=","FALSE&amp;VAR:CALENDAR=US&amp;VAR:SYMBOL=UNP&amp;VAR:INDEX=0"}</definedName>
    <definedName name="_73__FDSAUDITLINK__" localSheetId="5" hidden="1">{"fdsup://Directions/FactSet Auditing Viewer?action=AUDIT_VALUE&amp;DB=129&amp;ID1=90781810&amp;VALUEID=01250&amp;SDATE=2009&amp;PERIODTYPE=ANN_STD&amp;window=popup_no_bar&amp;width=385&amp;height=120&amp;START_MAXIMIZED=FALSE&amp;creator=factset&amp;display_string=Audit"}</definedName>
    <definedName name="_73__FDSAUDITLINK__" localSheetId="6" hidden="1">{"fdsup://Directions/FactSet Auditing Viewer?action=AUDIT_VALUE&amp;DB=129&amp;ID1=90781810&amp;VALUEID=01250&amp;SDATE=2009&amp;PERIODTYPE=ANN_STD&amp;window=popup_no_bar&amp;width=385&amp;height=120&amp;START_MAXIMIZED=FALSE&amp;creator=factset&amp;display_string=Audit"}</definedName>
    <definedName name="_73__FDSAUDITLINK__" hidden="1">{"fdsup://directions/FAT Viewer?action=UPDATE&amp;creator=factset&amp;DYN_ARGS=TRUE&amp;DOC_NAME=FAT:FQL_AUDITING_CLIENT_TEMPLATE.FAT&amp;display_string=Audit&amp;VAR:KEY=GFSNGJUZGB&amp;VAR:QUERY=RkZfTkVUX0lOQyhBTk4sMjAxMCk=&amp;WINDOW=FIRST_POPUP&amp;HEIGHT=450&amp;WIDTH=450&amp;START_MAXIMIZED=","FALSE&amp;VAR:CALENDAR=US&amp;VAR:SYMBOL=UNP&amp;VAR:INDEX=0"}</definedName>
    <definedName name="_74__FDSAUDITLINK__" localSheetId="4" hidden="1">{"fdsup://directions/FAT Viewer?action=UPDATE&amp;creator=factset&amp;DYN_ARGS=TRUE&amp;DOC_NAME=FAT:FQL_AUDITING_CLIENT_TEMPLATE.FAT&amp;display_string=Audit&amp;VAR:KEY=CBUFQRWTMN&amp;VAR:QUERY=RkZfTkVUX0lOQyhBTk4sMjAxMCk=&amp;WINDOW=FIRST_POPUP&amp;HEIGHT=450&amp;WIDTH=450&amp;START_MAXIMIZED=","FALSE&amp;VAR:CALENDAR=US&amp;VAR:SYMBOL=RA&amp;VAR:INDEX=0"}</definedName>
    <definedName name="_74__FDSAUDITLINK__" localSheetId="5" hidden="1">{"fdsup://Directions/FactSet Auditing Viewer?action=AUDIT_VALUE&amp;DB=129&amp;ID1=75075340&amp;VALUEID=01250&amp;SDATE=2009&amp;PERIODTYPE=ANN_STD&amp;window=popup_no_bar&amp;width=385&amp;height=120&amp;START_MAXIMIZED=FALSE&amp;creator=factset&amp;display_string=Audit"}</definedName>
    <definedName name="_74__FDSAUDITLINK__" localSheetId="6" hidden="1">{"fdsup://Directions/FactSet Auditing Viewer?action=AUDIT_VALUE&amp;DB=129&amp;ID1=75075340&amp;VALUEID=01250&amp;SDATE=2009&amp;PERIODTYPE=ANN_STD&amp;window=popup_no_bar&amp;width=385&amp;height=120&amp;START_MAXIMIZED=FALSE&amp;creator=factset&amp;display_string=Audit"}</definedName>
    <definedName name="_74__FDSAUDITLINK__" hidden="1">{"fdsup://directions/FAT Viewer?action=UPDATE&amp;creator=factset&amp;DYN_ARGS=TRUE&amp;DOC_NAME=FAT:FQL_AUDITING_CLIENT_TEMPLATE.FAT&amp;display_string=Audit&amp;VAR:KEY=CBUFQRWTMN&amp;VAR:QUERY=RkZfTkVUX0lOQyhBTk4sMjAxMCk=&amp;WINDOW=FIRST_POPUP&amp;HEIGHT=450&amp;WIDTH=450&amp;START_MAXIMIZED=","FALSE&amp;VAR:CALENDAR=US&amp;VAR:SYMBOL=RA&amp;VAR:INDEX=0"}</definedName>
    <definedName name="_75__FDSAUDITLINK__" localSheetId="4" hidden="1">{"fdsup://directions/FAT Viewer?action=UPDATE&amp;creator=factset&amp;DYN_ARGS=TRUE&amp;DOC_NAME=FAT:FQL_AUDITING_CLIENT_TEMPLATE.FAT&amp;display_string=Audit&amp;VAR:KEY=CFMTMNEHCF&amp;VAR:QUERY=RkZfTkVUX0lOQyhBTk4sMjAxMCk=&amp;WINDOW=FIRST_POPUP&amp;HEIGHT=450&amp;WIDTH=450&amp;START_MAXIMIZED=","FALSE&amp;VAR:CALENDAR=US&amp;VAR:SYMBOL=NSC&amp;VAR:INDEX=0"}</definedName>
    <definedName name="_75__FDSAUDITLINK__" localSheetId="5" hidden="1">{"fdsup://Directions/FactSet Auditing Viewer?action=AUDIT_VALUE&amp;DB=129&amp;ID1=65584410&amp;VALUEID=01250&amp;SDATE=2009&amp;PERIODTYPE=ANN_STD&amp;window=popup_no_bar&amp;width=385&amp;height=120&amp;START_MAXIMIZED=FALSE&amp;creator=factset&amp;display_string=Audit"}</definedName>
    <definedName name="_75__FDSAUDITLINK__" localSheetId="6" hidden="1">{"fdsup://Directions/FactSet Auditing Viewer?action=AUDIT_VALUE&amp;DB=129&amp;ID1=65584410&amp;VALUEID=01250&amp;SDATE=2009&amp;PERIODTYPE=ANN_STD&amp;window=popup_no_bar&amp;width=385&amp;height=120&amp;START_MAXIMIZED=FALSE&amp;creator=factset&amp;display_string=Audit"}</definedName>
    <definedName name="_75__FDSAUDITLINK__" hidden="1">{"fdsup://directions/FAT Viewer?action=UPDATE&amp;creator=factset&amp;DYN_ARGS=TRUE&amp;DOC_NAME=FAT:FQL_AUDITING_CLIENT_TEMPLATE.FAT&amp;display_string=Audit&amp;VAR:KEY=CFMTMNEHCF&amp;VAR:QUERY=RkZfTkVUX0lOQyhBTk4sMjAxMCk=&amp;WINDOW=FIRST_POPUP&amp;HEIGHT=450&amp;WIDTH=450&amp;START_MAXIMIZED=","FALSE&amp;VAR:CALENDAR=US&amp;VAR:SYMBOL=NSC&amp;VAR:INDEX=0"}</definedName>
    <definedName name="_76__FDSAUDITLINK__" localSheetId="4" hidden="1">{"fdsup://directions/FAT Viewer?action=UPDATE&amp;creator=factset&amp;DYN_ARGS=TRUE&amp;DOC_NAME=FAT:FQL_AUDITING_CLIENT_TEMPLATE.FAT&amp;display_string=Audit&amp;VAR:KEY=EPWDAVAVWL&amp;VAR:QUERY=RkZfTkVUX0lOQyhBTk4sMjAxMCk=&amp;WINDOW=FIRST_POPUP&amp;HEIGHT=450&amp;WIDTH=450&amp;START_MAXIMIZED=","FALSE&amp;VAR:CALENDAR=US&amp;VAR:SYMBOL=KSU&amp;VAR:INDEX=0"}</definedName>
    <definedName name="_76__FDSAUDITLINK__" localSheetId="5" hidden="1">{"fdsup://Directions/FactSet Auditing Viewer?action=AUDIT_VALUE&amp;DB=129&amp;ID1=48517030&amp;VALUEID=01250&amp;SDATE=2009&amp;PERIODTYPE=ANN_STD&amp;window=popup_no_bar&amp;width=385&amp;height=120&amp;START_MAXIMIZED=FALSE&amp;creator=factset&amp;display_string=Audit"}</definedName>
    <definedName name="_76__FDSAUDITLINK__" localSheetId="6" hidden="1">{"fdsup://Directions/FactSet Auditing Viewer?action=AUDIT_VALUE&amp;DB=129&amp;ID1=48517030&amp;VALUEID=01250&amp;SDATE=2009&amp;PERIODTYPE=ANN_STD&amp;window=popup_no_bar&amp;width=385&amp;height=120&amp;START_MAXIMIZED=FALSE&amp;creator=factset&amp;display_string=Audit"}</definedName>
    <definedName name="_76__FDSAUDITLINK__" hidden="1">{"fdsup://directions/FAT Viewer?action=UPDATE&amp;creator=factset&amp;DYN_ARGS=TRUE&amp;DOC_NAME=FAT:FQL_AUDITING_CLIENT_TEMPLATE.FAT&amp;display_string=Audit&amp;VAR:KEY=EPWDAVAVWL&amp;VAR:QUERY=RkZfTkVUX0lOQyhBTk4sMjAxMCk=&amp;WINDOW=FIRST_POPUP&amp;HEIGHT=450&amp;WIDTH=450&amp;START_MAXIMIZED=","FALSE&amp;VAR:CALENDAR=US&amp;VAR:SYMBOL=KSU&amp;VAR:INDEX=0"}</definedName>
    <definedName name="_77__FDSAUDITLINK__" localSheetId="4" hidden="1">{"fdsup://directions/FAT Viewer?action=UPDATE&amp;creator=factset&amp;DYN_ARGS=TRUE&amp;DOC_NAME=FAT:FQL_AUDITING_CLIENT_TEMPLATE.FAT&amp;display_string=Audit&amp;VAR:KEY=ENALIHQZUJ&amp;VAR:QUERY=RkZfTkVUX0lOQyhBTk4sMjAxMCk=&amp;WINDOW=FIRST_POPUP&amp;HEIGHT=450&amp;WIDTH=450&amp;START_MAXIMIZED=","FALSE&amp;VAR:CALENDAR=US&amp;VAR:SYMBOL=GWR&amp;VAR:INDEX=0"}</definedName>
    <definedName name="_77__FDSAUDITLINK__" localSheetId="5" hidden="1">{"fdsup://Directions/FactSet Auditing Viewer?action=AUDIT_VALUE&amp;DB=129&amp;ID1=37155910&amp;VALUEID=01250&amp;SDATE=2009&amp;PERIODTYPE=ANN_STD&amp;window=popup_no_bar&amp;width=385&amp;height=120&amp;START_MAXIMIZED=FALSE&amp;creator=factset&amp;display_string=Audit"}</definedName>
    <definedName name="_77__FDSAUDITLINK__" localSheetId="6" hidden="1">{"fdsup://Directions/FactSet Auditing Viewer?action=AUDIT_VALUE&amp;DB=129&amp;ID1=37155910&amp;VALUEID=01250&amp;SDATE=2009&amp;PERIODTYPE=ANN_STD&amp;window=popup_no_bar&amp;width=385&amp;height=120&amp;START_MAXIMIZED=FALSE&amp;creator=factset&amp;display_string=Audit"}</definedName>
    <definedName name="_77__FDSAUDITLINK__" hidden="1">{"fdsup://directions/FAT Viewer?action=UPDATE&amp;creator=factset&amp;DYN_ARGS=TRUE&amp;DOC_NAME=FAT:FQL_AUDITING_CLIENT_TEMPLATE.FAT&amp;display_string=Audit&amp;VAR:KEY=ENALIHQZUJ&amp;VAR:QUERY=RkZfTkVUX0lOQyhBTk4sMjAxMCk=&amp;WINDOW=FIRST_POPUP&amp;HEIGHT=450&amp;WIDTH=450&amp;START_MAXIMIZED=","FALSE&amp;VAR:CALENDAR=US&amp;VAR:SYMBOL=GWR&amp;VAR:INDEX=0"}</definedName>
    <definedName name="_78__FDSAUDITLINK__" localSheetId="4" hidden="1">{"fdsup://directions/FAT Viewer?action=UPDATE&amp;creator=factset&amp;DYN_ARGS=TRUE&amp;DOC_NAME=FAT:FQL_AUDITING_CLIENT_TEMPLATE.FAT&amp;display_string=Audit&amp;VAR:KEY=EFKFOZQBKX&amp;VAR:QUERY=RkZfTkVUX0lOQyhBTk4sMjAxMCk=&amp;WINDOW=FIRST_POPUP&amp;HEIGHT=450&amp;WIDTH=450&amp;START_MAXIMIZED=","FALSE&amp;VAR:CALENDAR=US&amp;VAR:SYMBOL=CSX&amp;VAR:INDEX=0"}</definedName>
    <definedName name="_78__FDSAUDITLINK__" localSheetId="5" hidden="1">{"fdsup://Directions/FactSet Auditing Viewer?action=AUDIT_VALUE&amp;DB=129&amp;ID1=12640810&amp;VALUEID=01250&amp;SDATE=2009&amp;PERIODTYPE=ANN_STD&amp;window=popup_no_bar&amp;width=385&amp;height=120&amp;START_MAXIMIZED=FALSE&amp;creator=factset&amp;display_string=Audit"}</definedName>
    <definedName name="_78__FDSAUDITLINK__" localSheetId="6" hidden="1">{"fdsup://Directions/FactSet Auditing Viewer?action=AUDIT_VALUE&amp;DB=129&amp;ID1=12640810&amp;VALUEID=01250&amp;SDATE=2009&amp;PERIODTYPE=ANN_STD&amp;window=popup_no_bar&amp;width=385&amp;height=120&amp;START_MAXIMIZED=FALSE&amp;creator=factset&amp;display_string=Audit"}</definedName>
    <definedName name="_78__FDSAUDITLINK__" hidden="1">{"fdsup://directions/FAT Viewer?action=UPDATE&amp;creator=factset&amp;DYN_ARGS=TRUE&amp;DOC_NAME=FAT:FQL_AUDITING_CLIENT_TEMPLATE.FAT&amp;display_string=Audit&amp;VAR:KEY=EFKFOZQBKX&amp;VAR:QUERY=RkZfTkVUX0lOQyhBTk4sMjAxMCk=&amp;WINDOW=FIRST_POPUP&amp;HEIGHT=450&amp;WIDTH=450&amp;START_MAXIMIZED=","FALSE&amp;VAR:CALENDAR=US&amp;VAR:SYMBOL=CSX&amp;VAR:INDEX=0"}</definedName>
    <definedName name="_79__FDSAUDITLINK__" localSheetId="4" hidden="1">{"fdsup://directions/FAT Viewer?action=UPDATE&amp;creator=factset&amp;DYN_ARGS=TRUE&amp;DOC_NAME=FAT:FQL_AUDITING_CLIENT_TEMPLATE.FAT&amp;display_string=Audit&amp;VAR:KEY=OZKRUNWHIL&amp;VAR:QUERY=RkZfTkVUX0lOQyhBTk4sMjAxMCk=&amp;WINDOW=FIRST_POPUP&amp;HEIGHT=450&amp;WIDTH=450&amp;START_MAXIMIZED=","FALSE&amp;VAR:CALENDAR=US&amp;VAR:SYMBOL=CP&amp;VAR:INDEX=0"}</definedName>
    <definedName name="_79__FDSAUDITLINK__" localSheetId="5" hidden="1">{"fdsup://Directions/FactSet Auditing Viewer?action=AUDIT_VALUE&amp;DB=129&amp;ID1=90781810&amp;VALUEID=01001&amp;SDATE=2009&amp;PERIODTYPE=ANN_STD&amp;window=popup_no_bar&amp;width=385&amp;height=120&amp;START_MAXIMIZED=FALSE&amp;creator=factset&amp;display_string=Audit"}</definedName>
    <definedName name="_79__FDSAUDITLINK__" localSheetId="6" hidden="1">{"fdsup://Directions/FactSet Auditing Viewer?action=AUDIT_VALUE&amp;DB=129&amp;ID1=90781810&amp;VALUEID=01001&amp;SDATE=2009&amp;PERIODTYPE=ANN_STD&amp;window=popup_no_bar&amp;width=385&amp;height=120&amp;START_MAXIMIZED=FALSE&amp;creator=factset&amp;display_string=Audit"}</definedName>
    <definedName name="_79__FDSAUDITLINK__" hidden="1">{"fdsup://directions/FAT Viewer?action=UPDATE&amp;creator=factset&amp;DYN_ARGS=TRUE&amp;DOC_NAME=FAT:FQL_AUDITING_CLIENT_TEMPLATE.FAT&amp;display_string=Audit&amp;VAR:KEY=OZKRUNWHIL&amp;VAR:QUERY=RkZfTkVUX0lOQyhBTk4sMjAxMCk=&amp;WINDOW=FIRST_POPUP&amp;HEIGHT=450&amp;WIDTH=450&amp;START_MAXIMIZED=","FALSE&amp;VAR:CALENDAR=US&amp;VAR:SYMBOL=CP&amp;VAR:INDEX=0"}</definedName>
    <definedName name="_8__FDSAUDITLINK__" localSheetId="4" hidden="1">{"fdsup://directions/FAT Viewer?action=UPDATE&amp;creator=factset&amp;DYN_ARGS=TRUE&amp;DOC_NAME=FAT:FQL_AUDITING_CLIENT_TEMPLATE.FAT&amp;display_string=Audit&amp;VAR:KEY=QPUPARQXUX&amp;VAR:QUERY=RkZfTkVUX0lOQyhBTk4sMjAxMCk=&amp;WINDOW=FIRST_POPUP&amp;HEIGHT=450&amp;WIDTH=450&amp;START_MAXIMIZED=","FALSE&amp;VAR:CALENDAR=US&amp;VAR:SYMBOL=CNI&amp;VAR:INDEX=0"}</definedName>
    <definedName name="_8__FDSAUDITLINK__" localSheetId="5" hidden="1">{"fdsup://Directions/FactSet Auditing Viewer?action=AUDIT_VALUE&amp;DB=129&amp;ID1=75075340&amp;VALUEID=01401&amp;SDATE=2009&amp;PERIODTYPE=ANN_STD&amp;window=popup_no_bar&amp;width=385&amp;height=120&amp;START_MAXIMIZED=FALSE&amp;creator=factset&amp;display_string=Audit"}</definedName>
    <definedName name="_8__FDSAUDITLINK__" localSheetId="6" hidden="1">{"fdsup://Directions/FactSet Auditing Viewer?action=AUDIT_VALUE&amp;DB=129&amp;ID1=75075340&amp;VALUEID=01401&amp;SDATE=2009&amp;PERIODTYPE=ANN_STD&amp;window=popup_no_bar&amp;width=385&amp;height=120&amp;START_MAXIMIZED=FALSE&amp;creator=factset&amp;display_string=Audit"}</definedName>
    <definedName name="_8__FDSAUDITLINK__" hidden="1">{"fdsup://directions/FAT Viewer?action=UPDATE&amp;creator=factset&amp;DYN_ARGS=TRUE&amp;DOC_NAME=FAT:FQL_AUDITING_CLIENT_TEMPLATE.FAT&amp;display_string=Audit&amp;VAR:KEY=QPUPARQXUX&amp;VAR:QUERY=RkZfTkVUX0lOQyhBTk4sMjAxMCk=&amp;WINDOW=FIRST_POPUP&amp;HEIGHT=450&amp;WIDTH=450&amp;START_MAXIMIZED=","FALSE&amp;VAR:CALENDAR=US&amp;VAR:SYMBOL=CNI&amp;VAR:INDEX=0"}</definedName>
    <definedName name="_80__FDSAUDITLINK__" localSheetId="4" hidden="1">{"fdsup://directions/FAT Viewer?action=UPDATE&amp;creator=factset&amp;DYN_ARGS=TRUE&amp;DOC_NAME=FAT:FQL_AUDITING_CLIENT_TEMPLATE.FAT&amp;display_string=Audit&amp;VAR:KEY=QPUPARQXUX&amp;VAR:QUERY=RkZfTkVUX0lOQyhBTk4sMjAxMCk=&amp;WINDOW=FIRST_POPUP&amp;HEIGHT=450&amp;WIDTH=450&amp;START_MAXIMIZED=","FALSE&amp;VAR:CALENDAR=US&amp;VAR:SYMBOL=CNI&amp;VAR:INDEX=0"}</definedName>
    <definedName name="_80__FDSAUDITLINK__" localSheetId="5" hidden="1">{"fdsup://Directions/FactSet Auditing Viewer?action=AUDIT_VALUE&amp;DB=129&amp;ID1=75075340&amp;VALUEID=01001&amp;SDATE=2009&amp;PERIODTYPE=ANN_STD&amp;window=popup_no_bar&amp;width=385&amp;height=120&amp;START_MAXIMIZED=FALSE&amp;creator=factset&amp;display_string=Audit"}</definedName>
    <definedName name="_80__FDSAUDITLINK__" localSheetId="6" hidden="1">{"fdsup://Directions/FactSet Auditing Viewer?action=AUDIT_VALUE&amp;DB=129&amp;ID1=75075340&amp;VALUEID=01001&amp;SDATE=2009&amp;PERIODTYPE=ANN_STD&amp;window=popup_no_bar&amp;width=385&amp;height=120&amp;START_MAXIMIZED=FALSE&amp;creator=factset&amp;display_string=Audit"}</definedName>
    <definedName name="_80__FDSAUDITLINK__" hidden="1">{"fdsup://directions/FAT Viewer?action=UPDATE&amp;creator=factset&amp;DYN_ARGS=TRUE&amp;DOC_NAME=FAT:FQL_AUDITING_CLIENT_TEMPLATE.FAT&amp;display_string=Audit&amp;VAR:KEY=QPUPARQXUX&amp;VAR:QUERY=RkZfTkVUX0lOQyhBTk4sMjAxMCk=&amp;WINDOW=FIRST_POPUP&amp;HEIGHT=450&amp;WIDTH=450&amp;START_MAXIMIZED=","FALSE&amp;VAR:CALENDAR=US&amp;VAR:SYMBOL=CNI&amp;VAR:INDEX=0"}</definedName>
    <definedName name="_81__FDSAUDITLINK__" localSheetId="4" hidden="1">{"fdsup://directions/FAT Viewer?action=UPDATE&amp;creator=factset&amp;DYN_ARGS=TRUE&amp;DOC_NAME=FAT:FQL_AUDITING_CLIENT_TEMPLATE.FAT&amp;display_string=Audit&amp;VAR:KEY=UNOBIVMNGP&amp;VAR:QUERY=RkZfRUJJVChBTk4sMjAxMCk=&amp;WINDOW=FIRST_POPUP&amp;HEIGHT=450&amp;WIDTH=450&amp;START_MAXIMIZED=FALS","E&amp;VAR:CALENDAR=US&amp;VAR:SYMBOL=UNP&amp;VAR:INDEX=0"}</definedName>
    <definedName name="_81__FDSAUDITLINK__" localSheetId="5" hidden="1">{"fdsup://Directions/FactSet Auditing Viewer?action=AUDIT_VALUE&amp;DB=129&amp;ID1=65584410&amp;VALUEID=01001&amp;SDATE=2009&amp;PERIODTYPE=ANN_STD&amp;window=popup_no_bar&amp;width=385&amp;height=120&amp;START_MAXIMIZED=FALSE&amp;creator=factset&amp;display_string=Audit"}</definedName>
    <definedName name="_81__FDSAUDITLINK__" localSheetId="6" hidden="1">{"fdsup://Directions/FactSet Auditing Viewer?action=AUDIT_VALUE&amp;DB=129&amp;ID1=65584410&amp;VALUEID=01001&amp;SDATE=2009&amp;PERIODTYPE=ANN_STD&amp;window=popup_no_bar&amp;width=385&amp;height=120&amp;START_MAXIMIZED=FALSE&amp;creator=factset&amp;display_string=Audit"}</definedName>
    <definedName name="_81__FDSAUDITLINK__" hidden="1">{"fdsup://directions/FAT Viewer?action=UPDATE&amp;creator=factset&amp;DYN_ARGS=TRUE&amp;DOC_NAME=FAT:FQL_AUDITING_CLIENT_TEMPLATE.FAT&amp;display_string=Audit&amp;VAR:KEY=UNOBIVMNGP&amp;VAR:QUERY=RkZfRUJJVChBTk4sMjAxMCk=&amp;WINDOW=FIRST_POPUP&amp;HEIGHT=450&amp;WIDTH=450&amp;START_MAXIMIZED=FALS","E&amp;VAR:CALENDAR=US&amp;VAR:SYMBOL=UNP&amp;VAR:INDEX=0"}</definedName>
    <definedName name="_82__FDSAUDITLINK__" localSheetId="4" hidden="1">{"fdsup://directions/FAT Viewer?action=UPDATE&amp;creator=factset&amp;DYN_ARGS=TRUE&amp;DOC_NAME=FAT:FQL_AUDITING_CLIENT_TEMPLATE.FAT&amp;display_string=Audit&amp;VAR:KEY=CHSVMLSVYH&amp;VAR:QUERY=RkZfRUJJVChBTk4sMjAxMCk=&amp;WINDOW=FIRST_POPUP&amp;HEIGHT=450&amp;WIDTH=450&amp;START_MAXIMIZED=FALS","E&amp;VAR:CALENDAR=US&amp;VAR:SYMBOL=RA&amp;VAR:INDEX=0"}</definedName>
    <definedName name="_82__FDSAUDITLINK__" localSheetId="5" hidden="1">{"fdsup://Directions/FactSet Auditing Viewer?action=AUDIT_VALUE&amp;DB=129&amp;ID1=48517030&amp;VALUEID=01001&amp;SDATE=2009&amp;PERIODTYPE=ANN_STD&amp;window=popup_no_bar&amp;width=385&amp;height=120&amp;START_MAXIMIZED=FALSE&amp;creator=factset&amp;display_string=Audit"}</definedName>
    <definedName name="_82__FDSAUDITLINK__" localSheetId="6" hidden="1">{"fdsup://Directions/FactSet Auditing Viewer?action=AUDIT_VALUE&amp;DB=129&amp;ID1=48517030&amp;VALUEID=01001&amp;SDATE=2009&amp;PERIODTYPE=ANN_STD&amp;window=popup_no_bar&amp;width=385&amp;height=120&amp;START_MAXIMIZED=FALSE&amp;creator=factset&amp;display_string=Audit"}</definedName>
    <definedName name="_82__FDSAUDITLINK__" hidden="1">{"fdsup://directions/FAT Viewer?action=UPDATE&amp;creator=factset&amp;DYN_ARGS=TRUE&amp;DOC_NAME=FAT:FQL_AUDITING_CLIENT_TEMPLATE.FAT&amp;display_string=Audit&amp;VAR:KEY=CHSVMLSVYH&amp;VAR:QUERY=RkZfRUJJVChBTk4sMjAxMCk=&amp;WINDOW=FIRST_POPUP&amp;HEIGHT=450&amp;WIDTH=450&amp;START_MAXIMIZED=FALS","E&amp;VAR:CALENDAR=US&amp;VAR:SYMBOL=RA&amp;VAR:INDEX=0"}</definedName>
    <definedName name="_83__FDSAUDITLINK__" localSheetId="4" hidden="1">{"fdsup://directions/FAT Viewer?action=UPDATE&amp;creator=factset&amp;DYN_ARGS=TRUE&amp;DOC_NAME=FAT:FQL_AUDITING_CLIENT_TEMPLATE.FAT&amp;display_string=Audit&amp;VAR:KEY=CBKNWDAHKJ&amp;VAR:QUERY=RkZfRUJJVChBTk4sMjAxMCk=&amp;WINDOW=FIRST_POPUP&amp;HEIGHT=450&amp;WIDTH=450&amp;START_MAXIMIZED=FALS","E&amp;VAR:CALENDAR=US&amp;VAR:SYMBOL=NSC&amp;VAR:INDEX=0"}</definedName>
    <definedName name="_83__FDSAUDITLINK__" localSheetId="5" hidden="1">{"fdsup://Directions/FactSet Auditing Viewer?action=AUDIT_VALUE&amp;DB=129&amp;ID1=37155910&amp;VALUEID=01001&amp;SDATE=2009&amp;PERIODTYPE=ANN_STD&amp;window=popup_no_bar&amp;width=385&amp;height=120&amp;START_MAXIMIZED=FALSE&amp;creator=factset&amp;display_string=Audit"}</definedName>
    <definedName name="_83__FDSAUDITLINK__" localSheetId="6" hidden="1">{"fdsup://Directions/FactSet Auditing Viewer?action=AUDIT_VALUE&amp;DB=129&amp;ID1=37155910&amp;VALUEID=01001&amp;SDATE=2009&amp;PERIODTYPE=ANN_STD&amp;window=popup_no_bar&amp;width=385&amp;height=120&amp;START_MAXIMIZED=FALSE&amp;creator=factset&amp;display_string=Audit"}</definedName>
    <definedName name="_83__FDSAUDITLINK__" hidden="1">{"fdsup://directions/FAT Viewer?action=UPDATE&amp;creator=factset&amp;DYN_ARGS=TRUE&amp;DOC_NAME=FAT:FQL_AUDITING_CLIENT_TEMPLATE.FAT&amp;display_string=Audit&amp;VAR:KEY=CBKNWDAHKJ&amp;VAR:QUERY=RkZfRUJJVChBTk4sMjAxMCk=&amp;WINDOW=FIRST_POPUP&amp;HEIGHT=450&amp;WIDTH=450&amp;START_MAXIMIZED=FALS","E&amp;VAR:CALENDAR=US&amp;VAR:SYMBOL=NSC&amp;VAR:INDEX=0"}</definedName>
    <definedName name="_84__FDSAUDITLINK__" localSheetId="4" hidden="1">{"fdsup://directions/FAT Viewer?action=UPDATE&amp;creator=factset&amp;DYN_ARGS=TRUE&amp;DOC_NAME=FAT:FQL_AUDITING_CLIENT_TEMPLATE.FAT&amp;display_string=Audit&amp;VAR:KEY=KPODUPWHYR&amp;VAR:QUERY=RkZfRUJJVChBTk4sMjAxMCk=&amp;WINDOW=FIRST_POPUP&amp;HEIGHT=450&amp;WIDTH=450&amp;START_MAXIMIZED=FALS","E&amp;VAR:CALENDAR=US&amp;VAR:SYMBOL=KSU&amp;VAR:INDEX=0"}</definedName>
    <definedName name="_84__FDSAUDITLINK__" localSheetId="5" hidden="1">{"fdsup://Directions/FactSet Auditing Viewer?action=AUDIT_VALUE&amp;DB=129&amp;ID1=12640810&amp;VALUEID=01001&amp;SDATE=2009&amp;PERIODTYPE=ANN_STD&amp;window=popup_no_bar&amp;width=385&amp;height=120&amp;START_MAXIMIZED=FALSE&amp;creator=factset&amp;display_string=Audit"}</definedName>
    <definedName name="_84__FDSAUDITLINK__" localSheetId="6" hidden="1">{"fdsup://Directions/FactSet Auditing Viewer?action=AUDIT_VALUE&amp;DB=129&amp;ID1=12640810&amp;VALUEID=01001&amp;SDATE=2009&amp;PERIODTYPE=ANN_STD&amp;window=popup_no_bar&amp;width=385&amp;height=120&amp;START_MAXIMIZED=FALSE&amp;creator=factset&amp;display_string=Audit"}</definedName>
    <definedName name="_84__FDSAUDITLINK__" hidden="1">{"fdsup://directions/FAT Viewer?action=UPDATE&amp;creator=factset&amp;DYN_ARGS=TRUE&amp;DOC_NAME=FAT:FQL_AUDITING_CLIENT_TEMPLATE.FAT&amp;display_string=Audit&amp;VAR:KEY=KPODUPWHYR&amp;VAR:QUERY=RkZfRUJJVChBTk4sMjAxMCk=&amp;WINDOW=FIRST_POPUP&amp;HEIGHT=450&amp;WIDTH=450&amp;START_MAXIMIZED=FALS","E&amp;VAR:CALENDAR=US&amp;VAR:SYMBOL=KSU&amp;VAR:INDEX=0"}</definedName>
    <definedName name="_85__FDSAUDITLINK__" localSheetId="4" hidden="1">{"fdsup://directions/FAT Viewer?action=UPDATE&amp;creator=factset&amp;DYN_ARGS=TRUE&amp;DOC_NAME=FAT:FQL_AUDITING_CLIENT_TEMPLATE.FAT&amp;display_string=Audit&amp;VAR:KEY=WHUFCHOVAN&amp;VAR:QUERY=RkZfRUJJVChBTk4sMjAxMCk=&amp;WINDOW=FIRST_POPUP&amp;HEIGHT=450&amp;WIDTH=450&amp;START_MAXIMIZED=FALS","E&amp;VAR:CALENDAR=US&amp;VAR:SYMBOL=GWR&amp;VAR:INDEX=0"}</definedName>
    <definedName name="_85__FDSAUDITLINK__" localSheetId="5" hidden="1">{"fdsup://directions/FAT Viewer?action=UPDATE&amp;creator=factset&amp;DYN_ARGS=TRUE&amp;DOC_NAME=FAT:FQL_AUDITING_CLIENT_TEMPLATE.FAT&amp;display_string=Audit&amp;VAR:KEY=ANGBAXMJIR&amp;VAR:QUERY=RkZfTkVUX0lOQyhBTk4sMjAwOSk=&amp;WINDOW=FIRST_POPUP&amp;HEIGHT=450&amp;WIDTH=450&amp;START_MAXIMIZED=","FALSE&amp;VAR:CALENDAR=US&amp;VAR:SYMBOL=UNP&amp;VAR:INDEX=0"}</definedName>
    <definedName name="_85__FDSAUDITLINK__" localSheetId="6" hidden="1">{"fdsup://directions/FAT Viewer?action=UPDATE&amp;creator=factset&amp;DYN_ARGS=TRUE&amp;DOC_NAME=FAT:FQL_AUDITING_CLIENT_TEMPLATE.FAT&amp;display_string=Audit&amp;VAR:KEY=ANGBAXMJIR&amp;VAR:QUERY=RkZfTkVUX0lOQyhBTk4sMjAwOSk=&amp;WINDOW=FIRST_POPUP&amp;HEIGHT=450&amp;WIDTH=450&amp;START_MAXIMIZED=","FALSE&amp;VAR:CALENDAR=US&amp;VAR:SYMBOL=UNP&amp;VAR:INDEX=0"}</definedName>
    <definedName name="_85__FDSAUDITLINK__" hidden="1">{"fdsup://directions/FAT Viewer?action=UPDATE&amp;creator=factset&amp;DYN_ARGS=TRUE&amp;DOC_NAME=FAT:FQL_AUDITING_CLIENT_TEMPLATE.FAT&amp;display_string=Audit&amp;VAR:KEY=WHUFCHOVAN&amp;VAR:QUERY=RkZfRUJJVChBTk4sMjAxMCk=&amp;WINDOW=FIRST_POPUP&amp;HEIGHT=450&amp;WIDTH=450&amp;START_MAXIMIZED=FALS","E&amp;VAR:CALENDAR=US&amp;VAR:SYMBOL=GWR&amp;VAR:INDEX=0"}</definedName>
    <definedName name="_86__FDSAUDITLINK__" localSheetId="4" hidden="1">{"fdsup://directions/FAT Viewer?action=UPDATE&amp;creator=factset&amp;DYN_ARGS=TRUE&amp;DOC_NAME=FAT:FQL_AUDITING_CLIENT_TEMPLATE.FAT&amp;display_string=Audit&amp;VAR:KEY=QDWBINOJIH&amp;VAR:QUERY=RkZfRUJJVChBTk4sMjAxMCk=&amp;WINDOW=FIRST_POPUP&amp;HEIGHT=450&amp;WIDTH=450&amp;START_MAXIMIZED=FALS","E&amp;VAR:CALENDAR=US&amp;VAR:SYMBOL=CSX&amp;VAR:INDEX=0"}</definedName>
    <definedName name="_86__FDSAUDITLINK__" localSheetId="5" hidden="1">{"fdsup://directions/FAT Viewer?action=UPDATE&amp;creator=factset&amp;DYN_ARGS=TRUE&amp;DOC_NAME=FAT:FQL_AUDITING_CLIENT_TEMPLATE.FAT&amp;display_string=Audit&amp;VAR:KEY=WRKHEPUPKH&amp;VAR:QUERY=RkZfTkVUX0lOQyhBTk4sMjAwOSk=&amp;WINDOW=FIRST_POPUP&amp;HEIGHT=450&amp;WIDTH=450&amp;START_MAXIMIZED=","FALSE&amp;VAR:CALENDAR=US&amp;VAR:SYMBOL=RA&amp;VAR:INDEX=0"}</definedName>
    <definedName name="_86__FDSAUDITLINK__" localSheetId="6" hidden="1">{"fdsup://directions/FAT Viewer?action=UPDATE&amp;creator=factset&amp;DYN_ARGS=TRUE&amp;DOC_NAME=FAT:FQL_AUDITING_CLIENT_TEMPLATE.FAT&amp;display_string=Audit&amp;VAR:KEY=WRKHEPUPKH&amp;VAR:QUERY=RkZfTkVUX0lOQyhBTk4sMjAwOSk=&amp;WINDOW=FIRST_POPUP&amp;HEIGHT=450&amp;WIDTH=450&amp;START_MAXIMIZED=","FALSE&amp;VAR:CALENDAR=US&amp;VAR:SYMBOL=RA&amp;VAR:INDEX=0"}</definedName>
    <definedName name="_86__FDSAUDITLINK__" hidden="1">{"fdsup://directions/FAT Viewer?action=UPDATE&amp;creator=factset&amp;DYN_ARGS=TRUE&amp;DOC_NAME=FAT:FQL_AUDITING_CLIENT_TEMPLATE.FAT&amp;display_string=Audit&amp;VAR:KEY=QDWBINOJIH&amp;VAR:QUERY=RkZfRUJJVChBTk4sMjAxMCk=&amp;WINDOW=FIRST_POPUP&amp;HEIGHT=450&amp;WIDTH=450&amp;START_MAXIMIZED=FALS","E&amp;VAR:CALENDAR=US&amp;VAR:SYMBOL=CSX&amp;VAR:INDEX=0"}</definedName>
    <definedName name="_87__FDSAUDITLINK__" localSheetId="4" hidden="1">{"fdsup://directions/FAT Viewer?action=UPDATE&amp;creator=factset&amp;DYN_ARGS=TRUE&amp;DOC_NAME=FAT:FQL_AUDITING_CLIENT_TEMPLATE.FAT&amp;display_string=Audit&amp;VAR:KEY=UXUVUJWNOH&amp;VAR:QUERY=RkZfRUJJVChBTk4sMjAxMCk=&amp;WINDOW=FIRST_POPUP&amp;HEIGHT=450&amp;WIDTH=450&amp;START_MAXIMIZED=FALS","E&amp;VAR:CALENDAR=US&amp;VAR:SYMBOL=CP&amp;VAR:INDEX=0"}</definedName>
    <definedName name="_87__FDSAUDITLINK__" localSheetId="5" hidden="1">{"fdsup://directions/FAT Viewer?action=UPDATE&amp;creator=factset&amp;DYN_ARGS=TRUE&amp;DOC_NAME=FAT:FQL_AUDITING_CLIENT_TEMPLATE.FAT&amp;display_string=Audit&amp;VAR:KEY=CJYJWBARGH&amp;VAR:QUERY=RkZfTkVUX0lOQyhBTk4sMjAwOSk=&amp;WINDOW=FIRST_POPUP&amp;HEIGHT=450&amp;WIDTH=450&amp;START_MAXIMIZED=","FALSE&amp;VAR:CALENDAR=US&amp;VAR:SYMBOL=NSC&amp;VAR:INDEX=0"}</definedName>
    <definedName name="_87__FDSAUDITLINK__" localSheetId="6" hidden="1">{"fdsup://directions/FAT Viewer?action=UPDATE&amp;creator=factset&amp;DYN_ARGS=TRUE&amp;DOC_NAME=FAT:FQL_AUDITING_CLIENT_TEMPLATE.FAT&amp;display_string=Audit&amp;VAR:KEY=CJYJWBARGH&amp;VAR:QUERY=RkZfTkVUX0lOQyhBTk4sMjAwOSk=&amp;WINDOW=FIRST_POPUP&amp;HEIGHT=450&amp;WIDTH=450&amp;START_MAXIMIZED=","FALSE&amp;VAR:CALENDAR=US&amp;VAR:SYMBOL=NSC&amp;VAR:INDEX=0"}</definedName>
    <definedName name="_87__FDSAUDITLINK__" hidden="1">{"fdsup://directions/FAT Viewer?action=UPDATE&amp;creator=factset&amp;DYN_ARGS=TRUE&amp;DOC_NAME=FAT:FQL_AUDITING_CLIENT_TEMPLATE.FAT&amp;display_string=Audit&amp;VAR:KEY=UXUVUJWNOH&amp;VAR:QUERY=RkZfRUJJVChBTk4sMjAxMCk=&amp;WINDOW=FIRST_POPUP&amp;HEIGHT=450&amp;WIDTH=450&amp;START_MAXIMIZED=FALS","E&amp;VAR:CALENDAR=US&amp;VAR:SYMBOL=CP&amp;VAR:INDEX=0"}</definedName>
    <definedName name="_88__FDSAUDITLINK__" localSheetId="4" hidden="1">{"fdsup://directions/FAT Viewer?action=UPDATE&amp;creator=factset&amp;DYN_ARGS=TRUE&amp;DOC_NAME=FAT:FQL_AUDITING_CLIENT_TEMPLATE.FAT&amp;display_string=Audit&amp;VAR:KEY=GPYRITKBWH&amp;VAR:QUERY=RkZfRUJJVChBTk4sMjAxMCk=&amp;WINDOW=FIRST_POPUP&amp;HEIGHT=450&amp;WIDTH=450&amp;START_MAXIMIZED=FALS","E&amp;VAR:CALENDAR=US&amp;VAR:SYMBOL=CNI&amp;VAR:INDEX=0"}</definedName>
    <definedName name="_88__FDSAUDITLINK__" localSheetId="5" hidden="1">{"fdsup://directions/FAT Viewer?action=UPDATE&amp;creator=factset&amp;DYN_ARGS=TRUE&amp;DOC_NAME=FAT:FQL_AUDITING_CLIENT_TEMPLATE.FAT&amp;display_string=Audit&amp;VAR:KEY=GJCZAPULOX&amp;VAR:QUERY=RkZfTkVUX0lOQyhBTk4sMjAwOSk=&amp;WINDOW=FIRST_POPUP&amp;HEIGHT=450&amp;WIDTH=450&amp;START_MAXIMIZED=","FALSE&amp;VAR:CALENDAR=US&amp;VAR:SYMBOL=KSU&amp;VAR:INDEX=0"}</definedName>
    <definedName name="_88__FDSAUDITLINK__" localSheetId="6" hidden="1">{"fdsup://directions/FAT Viewer?action=UPDATE&amp;creator=factset&amp;DYN_ARGS=TRUE&amp;DOC_NAME=FAT:FQL_AUDITING_CLIENT_TEMPLATE.FAT&amp;display_string=Audit&amp;VAR:KEY=GJCZAPULOX&amp;VAR:QUERY=RkZfTkVUX0lOQyhBTk4sMjAwOSk=&amp;WINDOW=FIRST_POPUP&amp;HEIGHT=450&amp;WIDTH=450&amp;START_MAXIMIZED=","FALSE&amp;VAR:CALENDAR=US&amp;VAR:SYMBOL=KSU&amp;VAR:INDEX=0"}</definedName>
    <definedName name="_88__FDSAUDITLINK__" hidden="1">{"fdsup://directions/FAT Viewer?action=UPDATE&amp;creator=factset&amp;DYN_ARGS=TRUE&amp;DOC_NAME=FAT:FQL_AUDITING_CLIENT_TEMPLATE.FAT&amp;display_string=Audit&amp;VAR:KEY=GPYRITKBWH&amp;VAR:QUERY=RkZfRUJJVChBTk4sMjAxMCk=&amp;WINDOW=FIRST_POPUP&amp;HEIGHT=450&amp;WIDTH=450&amp;START_MAXIMIZED=FALS","E&amp;VAR:CALENDAR=US&amp;VAR:SYMBOL=CNI&amp;VAR:INDEX=0"}</definedName>
    <definedName name="_89__FDSAUDITLINK__" localSheetId="4" hidden="1">{"fdsup://directions/FAT Viewer?action=UPDATE&amp;creator=factset&amp;DYN_ARGS=TRUE&amp;DOC_NAME=FAT:FQL_AUDITING_CLIENT_TEMPLATE.FAT&amp;display_string=Audit&amp;VAR:KEY=ONQHQDUZKF&amp;VAR:QUERY=RkZfRUJJVERBKEFOTiwyMDEwKQ==&amp;WINDOW=FIRST_POPUP&amp;HEIGHT=450&amp;WIDTH=450&amp;START_MAXIMIZED=","FALSE&amp;VAR:CALENDAR=US&amp;VAR:SYMBOL=UNP&amp;VAR:INDEX=0"}</definedName>
    <definedName name="_89__FDSAUDITLINK__" localSheetId="5" hidden="1">{"fdsup://directions/FAT Viewer?action=UPDATE&amp;creator=factset&amp;DYN_ARGS=TRUE&amp;DOC_NAME=FAT:FQL_AUDITING_CLIENT_TEMPLATE.FAT&amp;display_string=Audit&amp;VAR:KEY=WXAHGFODMX&amp;VAR:QUERY=RkZfTkVUX0lOQyhBTk4sMjAwOSk=&amp;WINDOW=FIRST_POPUP&amp;HEIGHT=450&amp;WIDTH=450&amp;START_MAXIMIZED=","FALSE&amp;VAR:CALENDAR=US&amp;VAR:SYMBOL=GWR&amp;VAR:INDEX=0"}</definedName>
    <definedName name="_89__FDSAUDITLINK__" localSheetId="6" hidden="1">{"fdsup://directions/FAT Viewer?action=UPDATE&amp;creator=factset&amp;DYN_ARGS=TRUE&amp;DOC_NAME=FAT:FQL_AUDITING_CLIENT_TEMPLATE.FAT&amp;display_string=Audit&amp;VAR:KEY=WXAHGFODMX&amp;VAR:QUERY=RkZfTkVUX0lOQyhBTk4sMjAwOSk=&amp;WINDOW=FIRST_POPUP&amp;HEIGHT=450&amp;WIDTH=450&amp;START_MAXIMIZED=","FALSE&amp;VAR:CALENDAR=US&amp;VAR:SYMBOL=GWR&amp;VAR:INDEX=0"}</definedName>
    <definedName name="_89__FDSAUDITLINK__" hidden="1">{"fdsup://directions/FAT Viewer?action=UPDATE&amp;creator=factset&amp;DYN_ARGS=TRUE&amp;DOC_NAME=FAT:FQL_AUDITING_CLIENT_TEMPLATE.FAT&amp;display_string=Audit&amp;VAR:KEY=ONQHQDUZKF&amp;VAR:QUERY=RkZfRUJJVERBKEFOTiwyMDEwKQ==&amp;WINDOW=FIRST_POPUP&amp;HEIGHT=450&amp;WIDTH=450&amp;START_MAXIMIZED=","FALSE&amp;VAR:CALENDAR=US&amp;VAR:SYMBOL=UNP&amp;VAR:INDEX=0"}</definedName>
    <definedName name="_9__FDSAUDITLINK__" localSheetId="4" hidden="1">{"fdsup://directions/FAT Viewer?action=UPDATE&amp;creator=factset&amp;DYN_ARGS=TRUE&amp;DOC_NAME=FAT:FQL_AUDITING_CLIENT_TEMPLATE.FAT&amp;display_string=Audit&amp;VAR:KEY=UNOBIVMNGP&amp;VAR:QUERY=RkZfRUJJVChBTk4sMjAxMCk=&amp;WINDOW=FIRST_POPUP&amp;HEIGHT=450&amp;WIDTH=450&amp;START_MAXIMIZED=FALS","E&amp;VAR:CALENDAR=US&amp;VAR:SYMBOL=UNP&amp;VAR:INDEX=0"}</definedName>
    <definedName name="_9__FDSAUDITLINK__" localSheetId="5" hidden="1">{"fdsup://Directions/FactSet Auditing Viewer?action=AUDIT_VALUE&amp;DB=129&amp;ID1=65584410&amp;VALUEID=01401&amp;SDATE=2009&amp;PERIODTYPE=ANN_STD&amp;window=popup_no_bar&amp;width=385&amp;height=120&amp;START_MAXIMIZED=FALSE&amp;creator=factset&amp;display_string=Audit"}</definedName>
    <definedName name="_9__FDSAUDITLINK__" localSheetId="6" hidden="1">{"fdsup://Directions/FactSet Auditing Viewer?action=AUDIT_VALUE&amp;DB=129&amp;ID1=65584410&amp;VALUEID=01401&amp;SDATE=2009&amp;PERIODTYPE=ANN_STD&amp;window=popup_no_bar&amp;width=385&amp;height=120&amp;START_MAXIMIZED=FALSE&amp;creator=factset&amp;display_string=Audit"}</definedName>
    <definedName name="_9__FDSAUDITLINK__" hidden="1">{"fdsup://directions/FAT Viewer?action=UPDATE&amp;creator=factset&amp;DYN_ARGS=TRUE&amp;DOC_NAME=FAT:FQL_AUDITING_CLIENT_TEMPLATE.FAT&amp;display_string=Audit&amp;VAR:KEY=UNOBIVMNGP&amp;VAR:QUERY=RkZfRUJJVChBTk4sMjAxMCk=&amp;WINDOW=FIRST_POPUP&amp;HEIGHT=450&amp;WIDTH=450&amp;START_MAXIMIZED=FALS","E&amp;VAR:CALENDAR=US&amp;VAR:SYMBOL=UNP&amp;VAR:INDEX=0"}</definedName>
    <definedName name="_90__FDSAUDITLINK__" localSheetId="4" hidden="1">{"fdsup://directions/FAT Viewer?action=UPDATE&amp;creator=factset&amp;DYN_ARGS=TRUE&amp;DOC_NAME=FAT:FQL_AUDITING_CLIENT_TEMPLATE.FAT&amp;display_string=Audit&amp;VAR:KEY=OLOPGHWHAP&amp;VAR:QUERY=RkZfRUJJVERBKEFOTiwyMDEwKQ==&amp;WINDOW=FIRST_POPUP&amp;HEIGHT=450&amp;WIDTH=450&amp;START_MAXIMIZED=","FALSE&amp;VAR:CALENDAR=US&amp;VAR:SYMBOL=RA&amp;VAR:INDEX=0"}</definedName>
    <definedName name="_90__FDSAUDITLINK__" localSheetId="5" hidden="1">{"fdsup://directions/FAT Viewer?action=UPDATE&amp;creator=factset&amp;DYN_ARGS=TRUE&amp;DOC_NAME=FAT:FQL_AUDITING_CLIENT_TEMPLATE.FAT&amp;display_string=Audit&amp;VAR:KEY=GJSJUZSNOH&amp;VAR:QUERY=RkZfTkVUX0lOQyhBTk4sMjAwOSk=&amp;WINDOW=FIRST_POPUP&amp;HEIGHT=450&amp;WIDTH=450&amp;START_MAXIMIZED=","FALSE&amp;VAR:CALENDAR=US&amp;VAR:SYMBOL=CSX&amp;VAR:INDEX=0"}</definedName>
    <definedName name="_90__FDSAUDITLINK__" localSheetId="6" hidden="1">{"fdsup://directions/FAT Viewer?action=UPDATE&amp;creator=factset&amp;DYN_ARGS=TRUE&amp;DOC_NAME=FAT:FQL_AUDITING_CLIENT_TEMPLATE.FAT&amp;display_string=Audit&amp;VAR:KEY=GJSJUZSNOH&amp;VAR:QUERY=RkZfTkVUX0lOQyhBTk4sMjAwOSk=&amp;WINDOW=FIRST_POPUP&amp;HEIGHT=450&amp;WIDTH=450&amp;START_MAXIMIZED=","FALSE&amp;VAR:CALENDAR=US&amp;VAR:SYMBOL=CSX&amp;VAR:INDEX=0"}</definedName>
    <definedName name="_90__FDSAUDITLINK__" hidden="1">{"fdsup://directions/FAT Viewer?action=UPDATE&amp;creator=factset&amp;DYN_ARGS=TRUE&amp;DOC_NAME=FAT:FQL_AUDITING_CLIENT_TEMPLATE.FAT&amp;display_string=Audit&amp;VAR:KEY=OLOPGHWHAP&amp;VAR:QUERY=RkZfRUJJVERBKEFOTiwyMDEwKQ==&amp;WINDOW=FIRST_POPUP&amp;HEIGHT=450&amp;WIDTH=450&amp;START_MAXIMIZED=","FALSE&amp;VAR:CALENDAR=US&amp;VAR:SYMBOL=RA&amp;VAR:INDEX=0"}</definedName>
    <definedName name="_91__FDSAUDITLINK__" localSheetId="4" hidden="1">{"fdsup://directions/FAT Viewer?action=UPDATE&amp;creator=factset&amp;DYN_ARGS=TRUE&amp;DOC_NAME=FAT:FQL_AUDITING_CLIENT_TEMPLATE.FAT&amp;display_string=Audit&amp;VAR:KEY=EZCLCRSDAP&amp;VAR:QUERY=RkZfRUJJVERBKEFOTiwyMDEwKQ==&amp;WINDOW=FIRST_POPUP&amp;HEIGHT=450&amp;WIDTH=450&amp;START_MAXIMIZED=","FALSE&amp;VAR:CALENDAR=US&amp;VAR:SYMBOL=NSC&amp;VAR:INDEX=0"}</definedName>
    <definedName name="_91__FDSAUDITLINK__" localSheetId="5" hidden="1">{"fdsup://directions/FAT Viewer?action=UPDATE&amp;creator=factset&amp;DYN_ARGS=TRUE&amp;DOC_NAME=FAT:FQL_AUDITING_CLIENT_TEMPLATE.FAT&amp;display_string=Audit&amp;VAR:KEY=ARGDMXEBWP&amp;VAR:QUERY=RkZfTkVUX0lOQyhBTk4sMjAwOSk=&amp;WINDOW=FIRST_POPUP&amp;HEIGHT=450&amp;WIDTH=450&amp;START_MAXIMIZED=","FALSE&amp;VAR:CALENDAR=US&amp;VAR:SYMBOL=CP&amp;VAR:INDEX=0"}</definedName>
    <definedName name="_91__FDSAUDITLINK__" localSheetId="6" hidden="1">{"fdsup://directions/FAT Viewer?action=UPDATE&amp;creator=factset&amp;DYN_ARGS=TRUE&amp;DOC_NAME=FAT:FQL_AUDITING_CLIENT_TEMPLATE.FAT&amp;display_string=Audit&amp;VAR:KEY=ARGDMXEBWP&amp;VAR:QUERY=RkZfTkVUX0lOQyhBTk4sMjAwOSk=&amp;WINDOW=FIRST_POPUP&amp;HEIGHT=450&amp;WIDTH=450&amp;START_MAXIMIZED=","FALSE&amp;VAR:CALENDAR=US&amp;VAR:SYMBOL=CP&amp;VAR:INDEX=0"}</definedName>
    <definedName name="_91__FDSAUDITLINK__" hidden="1">{"fdsup://directions/FAT Viewer?action=UPDATE&amp;creator=factset&amp;DYN_ARGS=TRUE&amp;DOC_NAME=FAT:FQL_AUDITING_CLIENT_TEMPLATE.FAT&amp;display_string=Audit&amp;VAR:KEY=EZCLCRSDAP&amp;VAR:QUERY=RkZfRUJJVERBKEFOTiwyMDEwKQ==&amp;WINDOW=FIRST_POPUP&amp;HEIGHT=450&amp;WIDTH=450&amp;START_MAXIMIZED=","FALSE&amp;VAR:CALENDAR=US&amp;VAR:SYMBOL=NSC&amp;VAR:INDEX=0"}</definedName>
    <definedName name="_92__FDSAUDITLINK__" localSheetId="4" hidden="1">{"fdsup://directions/FAT Viewer?action=UPDATE&amp;creator=factset&amp;DYN_ARGS=TRUE&amp;DOC_NAME=FAT:FQL_AUDITING_CLIENT_TEMPLATE.FAT&amp;display_string=Audit&amp;VAR:KEY=CBYLCVWFIZ&amp;VAR:QUERY=RkZfRUJJVERBKEFOTiwyMDEwKQ==&amp;WINDOW=FIRST_POPUP&amp;HEIGHT=450&amp;WIDTH=450&amp;START_MAXIMIZED=","FALSE&amp;VAR:CALENDAR=US&amp;VAR:SYMBOL=KSU&amp;VAR:INDEX=0"}</definedName>
    <definedName name="_92__FDSAUDITLINK__" localSheetId="5" hidden="1">{"fdsup://directions/FAT Viewer?action=UPDATE&amp;creator=factset&amp;DYN_ARGS=TRUE&amp;DOC_NAME=FAT:FQL_AUDITING_CLIENT_TEMPLATE.FAT&amp;display_string=Audit&amp;VAR:KEY=CTIRWDKLYN&amp;VAR:QUERY=RkZfTkVUX0lOQyhBTk4sMjAwOSk=&amp;WINDOW=FIRST_POPUP&amp;HEIGHT=450&amp;WIDTH=450&amp;START_MAXIMIZED=","FALSE&amp;VAR:CALENDAR=US&amp;VAR:SYMBOL=CNI&amp;VAR:INDEX=0"}</definedName>
    <definedName name="_92__FDSAUDITLINK__" localSheetId="6" hidden="1">{"fdsup://directions/FAT Viewer?action=UPDATE&amp;creator=factset&amp;DYN_ARGS=TRUE&amp;DOC_NAME=FAT:FQL_AUDITING_CLIENT_TEMPLATE.FAT&amp;display_string=Audit&amp;VAR:KEY=CTIRWDKLYN&amp;VAR:QUERY=RkZfTkVUX0lOQyhBTk4sMjAwOSk=&amp;WINDOW=FIRST_POPUP&amp;HEIGHT=450&amp;WIDTH=450&amp;START_MAXIMIZED=","FALSE&amp;VAR:CALENDAR=US&amp;VAR:SYMBOL=CNI&amp;VAR:INDEX=0"}</definedName>
    <definedName name="_92__FDSAUDITLINK__" hidden="1">{"fdsup://directions/FAT Viewer?action=UPDATE&amp;creator=factset&amp;DYN_ARGS=TRUE&amp;DOC_NAME=FAT:FQL_AUDITING_CLIENT_TEMPLATE.FAT&amp;display_string=Audit&amp;VAR:KEY=CBYLCVWFIZ&amp;VAR:QUERY=RkZfRUJJVERBKEFOTiwyMDEwKQ==&amp;WINDOW=FIRST_POPUP&amp;HEIGHT=450&amp;WIDTH=450&amp;START_MAXIMIZED=","FALSE&amp;VAR:CALENDAR=US&amp;VAR:SYMBOL=KSU&amp;VAR:INDEX=0"}</definedName>
    <definedName name="_93__FDSAUDITLINK__" localSheetId="4" hidden="1">{"fdsup://directions/FAT Viewer?action=UPDATE&amp;creator=factset&amp;DYN_ARGS=TRUE&amp;DOC_NAME=FAT:FQL_AUDITING_CLIENT_TEMPLATE.FAT&amp;display_string=Audit&amp;VAR:KEY=MZIRGRQDQT&amp;VAR:QUERY=RkZfRUJJVERBKEFOTiwyMDEwKQ==&amp;WINDOW=FIRST_POPUP&amp;HEIGHT=450&amp;WIDTH=450&amp;START_MAXIMIZED=","FALSE&amp;VAR:CALENDAR=US&amp;VAR:SYMBOL=GWR&amp;VAR:INDEX=0"}</definedName>
    <definedName name="_93__FDSAUDITLINK__" localSheetId="5" hidden="1">{"fdsup://directions/FAT Viewer?action=UPDATE&amp;creator=factset&amp;DYN_ARGS=TRUE&amp;DOC_NAME=FAT:FQL_AUDITING_CLIENT_TEMPLATE.FAT&amp;display_string=Audit&amp;VAR:KEY=QJADUXODKH&amp;VAR:QUERY=RkZfRUJJVChBTk4sMjAwOSk=&amp;WINDOW=FIRST_POPUP&amp;HEIGHT=450&amp;WIDTH=450&amp;START_MAXIMIZED=FALS","E&amp;VAR:CALENDAR=US&amp;VAR:SYMBOL=UNP&amp;VAR:INDEX=0"}</definedName>
    <definedName name="_93__FDSAUDITLINK__" localSheetId="6" hidden="1">{"fdsup://directions/FAT Viewer?action=UPDATE&amp;creator=factset&amp;DYN_ARGS=TRUE&amp;DOC_NAME=FAT:FQL_AUDITING_CLIENT_TEMPLATE.FAT&amp;display_string=Audit&amp;VAR:KEY=QJADUXODKH&amp;VAR:QUERY=RkZfRUJJVChBTk4sMjAwOSk=&amp;WINDOW=FIRST_POPUP&amp;HEIGHT=450&amp;WIDTH=450&amp;START_MAXIMIZED=FALS","E&amp;VAR:CALENDAR=US&amp;VAR:SYMBOL=UNP&amp;VAR:INDEX=0"}</definedName>
    <definedName name="_93__FDSAUDITLINK__" hidden="1">{"fdsup://directions/FAT Viewer?action=UPDATE&amp;creator=factset&amp;DYN_ARGS=TRUE&amp;DOC_NAME=FAT:FQL_AUDITING_CLIENT_TEMPLATE.FAT&amp;display_string=Audit&amp;VAR:KEY=MZIRGRQDQT&amp;VAR:QUERY=RkZfRUJJVERBKEFOTiwyMDEwKQ==&amp;WINDOW=FIRST_POPUP&amp;HEIGHT=450&amp;WIDTH=450&amp;START_MAXIMIZED=","FALSE&amp;VAR:CALENDAR=US&amp;VAR:SYMBOL=GWR&amp;VAR:INDEX=0"}</definedName>
    <definedName name="_94__FDSAUDITLINK__" localSheetId="4" hidden="1">{"fdsup://directions/FAT Viewer?action=UPDATE&amp;creator=factset&amp;DYN_ARGS=TRUE&amp;DOC_NAME=FAT:FQL_AUDITING_CLIENT_TEMPLATE.FAT&amp;display_string=Audit&amp;VAR:KEY=WNEPKPEBAB&amp;VAR:QUERY=RkZfRUJJVERBKEFOTiwyMDEwKQ==&amp;WINDOW=FIRST_POPUP&amp;HEIGHT=450&amp;WIDTH=450&amp;START_MAXIMIZED=","FALSE&amp;VAR:CALENDAR=US&amp;VAR:SYMBOL=CSX&amp;VAR:INDEX=0"}</definedName>
    <definedName name="_94__FDSAUDITLINK__" localSheetId="5" hidden="1">{"fdsup://directions/FAT Viewer?action=UPDATE&amp;creator=factset&amp;DYN_ARGS=TRUE&amp;DOC_NAME=FAT:FQL_AUDITING_CLIENT_TEMPLATE.FAT&amp;display_string=Audit&amp;VAR:KEY=SZMFOPEPUL&amp;VAR:QUERY=RkZfRUJJVChBTk4sMjAwOSk=&amp;WINDOW=FIRST_POPUP&amp;HEIGHT=450&amp;WIDTH=450&amp;START_MAXIMIZED=FALS","E&amp;VAR:CALENDAR=US&amp;VAR:SYMBOL=RA&amp;VAR:INDEX=0"}</definedName>
    <definedName name="_94__FDSAUDITLINK__" localSheetId="6" hidden="1">{"fdsup://directions/FAT Viewer?action=UPDATE&amp;creator=factset&amp;DYN_ARGS=TRUE&amp;DOC_NAME=FAT:FQL_AUDITING_CLIENT_TEMPLATE.FAT&amp;display_string=Audit&amp;VAR:KEY=SZMFOPEPUL&amp;VAR:QUERY=RkZfRUJJVChBTk4sMjAwOSk=&amp;WINDOW=FIRST_POPUP&amp;HEIGHT=450&amp;WIDTH=450&amp;START_MAXIMIZED=FALS","E&amp;VAR:CALENDAR=US&amp;VAR:SYMBOL=RA&amp;VAR:INDEX=0"}</definedName>
    <definedName name="_94__FDSAUDITLINK__" hidden="1">{"fdsup://directions/FAT Viewer?action=UPDATE&amp;creator=factset&amp;DYN_ARGS=TRUE&amp;DOC_NAME=FAT:FQL_AUDITING_CLIENT_TEMPLATE.FAT&amp;display_string=Audit&amp;VAR:KEY=WNEPKPEBAB&amp;VAR:QUERY=RkZfRUJJVERBKEFOTiwyMDEwKQ==&amp;WINDOW=FIRST_POPUP&amp;HEIGHT=450&amp;WIDTH=450&amp;START_MAXIMIZED=","FALSE&amp;VAR:CALENDAR=US&amp;VAR:SYMBOL=CSX&amp;VAR:INDEX=0"}</definedName>
    <definedName name="_95__FDSAUDITLINK__" localSheetId="4" hidden="1">{"fdsup://directions/FAT Viewer?action=UPDATE&amp;creator=factset&amp;DYN_ARGS=TRUE&amp;DOC_NAME=FAT:FQL_AUDITING_CLIENT_TEMPLATE.FAT&amp;display_string=Audit&amp;VAR:KEY=KDCPCRGJOX&amp;VAR:QUERY=RkZfRUJJVERBKEFOTiwyMDEwKQ==&amp;WINDOW=FIRST_POPUP&amp;HEIGHT=450&amp;WIDTH=450&amp;START_MAXIMIZED=","FALSE&amp;VAR:CALENDAR=US&amp;VAR:SYMBOL=CP&amp;VAR:INDEX=0"}</definedName>
    <definedName name="_95__FDSAUDITLINK__" localSheetId="5" hidden="1">{"fdsup://directions/FAT Viewer?action=UPDATE&amp;creator=factset&amp;DYN_ARGS=TRUE&amp;DOC_NAME=FAT:FQL_AUDITING_CLIENT_TEMPLATE.FAT&amp;display_string=Audit&amp;VAR:KEY=GPUNIXIDQH&amp;VAR:QUERY=RkZfRUJJVChBTk4sMjAwOSk=&amp;WINDOW=FIRST_POPUP&amp;HEIGHT=450&amp;WIDTH=450&amp;START_MAXIMIZED=FALS","E&amp;VAR:CALENDAR=US&amp;VAR:SYMBOL=NSC&amp;VAR:INDEX=0"}</definedName>
    <definedName name="_95__FDSAUDITLINK__" localSheetId="6" hidden="1">{"fdsup://directions/FAT Viewer?action=UPDATE&amp;creator=factset&amp;DYN_ARGS=TRUE&amp;DOC_NAME=FAT:FQL_AUDITING_CLIENT_TEMPLATE.FAT&amp;display_string=Audit&amp;VAR:KEY=GPUNIXIDQH&amp;VAR:QUERY=RkZfRUJJVChBTk4sMjAwOSk=&amp;WINDOW=FIRST_POPUP&amp;HEIGHT=450&amp;WIDTH=450&amp;START_MAXIMIZED=FALS","E&amp;VAR:CALENDAR=US&amp;VAR:SYMBOL=NSC&amp;VAR:INDEX=0"}</definedName>
    <definedName name="_95__FDSAUDITLINK__" hidden="1">{"fdsup://directions/FAT Viewer?action=UPDATE&amp;creator=factset&amp;DYN_ARGS=TRUE&amp;DOC_NAME=FAT:FQL_AUDITING_CLIENT_TEMPLATE.FAT&amp;display_string=Audit&amp;VAR:KEY=KDCPCRGJOX&amp;VAR:QUERY=RkZfRUJJVERBKEFOTiwyMDEwKQ==&amp;WINDOW=FIRST_POPUP&amp;HEIGHT=450&amp;WIDTH=450&amp;START_MAXIMIZED=","FALSE&amp;VAR:CALENDAR=US&amp;VAR:SYMBOL=CP&amp;VAR:INDEX=0"}</definedName>
    <definedName name="_96__FDSAUDITLINK__" localSheetId="4" hidden="1">{"fdsup://directions/FAT Viewer?action=UPDATE&amp;creator=factset&amp;DYN_ARGS=TRUE&amp;DOC_NAME=FAT:FQL_AUDITING_CLIENT_TEMPLATE.FAT&amp;display_string=Audit&amp;VAR:KEY=AZYZAZOHSN&amp;VAR:QUERY=RkZfRUJJVERBKEFOTiwyMDEwKQ==&amp;WINDOW=FIRST_POPUP&amp;HEIGHT=450&amp;WIDTH=450&amp;START_MAXIMIZED=","FALSE&amp;VAR:CALENDAR=US&amp;VAR:SYMBOL=CNI&amp;VAR:INDEX=0"}</definedName>
    <definedName name="_96__FDSAUDITLINK__" localSheetId="5" hidden="1">{"fdsup://directions/FAT Viewer?action=UPDATE&amp;creator=factset&amp;DYN_ARGS=TRUE&amp;DOC_NAME=FAT:FQL_AUDITING_CLIENT_TEMPLATE.FAT&amp;display_string=Audit&amp;VAR:KEY=MJMBODSLUL&amp;VAR:QUERY=RkZfRUJJVChBTk4sMjAwOSk=&amp;WINDOW=FIRST_POPUP&amp;HEIGHT=450&amp;WIDTH=450&amp;START_MAXIMIZED=FALS","E&amp;VAR:CALENDAR=US&amp;VAR:SYMBOL=KSU&amp;VAR:INDEX=0"}</definedName>
    <definedName name="_96__FDSAUDITLINK__" localSheetId="6" hidden="1">{"fdsup://directions/FAT Viewer?action=UPDATE&amp;creator=factset&amp;DYN_ARGS=TRUE&amp;DOC_NAME=FAT:FQL_AUDITING_CLIENT_TEMPLATE.FAT&amp;display_string=Audit&amp;VAR:KEY=MJMBODSLUL&amp;VAR:QUERY=RkZfRUJJVChBTk4sMjAwOSk=&amp;WINDOW=FIRST_POPUP&amp;HEIGHT=450&amp;WIDTH=450&amp;START_MAXIMIZED=FALS","E&amp;VAR:CALENDAR=US&amp;VAR:SYMBOL=KSU&amp;VAR:INDEX=0"}</definedName>
    <definedName name="_96__FDSAUDITLINK__" hidden="1">{"fdsup://directions/FAT Viewer?action=UPDATE&amp;creator=factset&amp;DYN_ARGS=TRUE&amp;DOC_NAME=FAT:FQL_AUDITING_CLIENT_TEMPLATE.FAT&amp;display_string=Audit&amp;VAR:KEY=AZYZAZOHSN&amp;VAR:QUERY=RkZfRUJJVERBKEFOTiwyMDEwKQ==&amp;WINDOW=FIRST_POPUP&amp;HEIGHT=450&amp;WIDTH=450&amp;START_MAXIMIZED=","FALSE&amp;VAR:CALENDAR=US&amp;VAR:SYMBOL=CNI&amp;VAR:INDEX=0"}</definedName>
    <definedName name="_97__FDSAUDITLINK__" localSheetId="4" hidden="1">{"fdsup://Directions/FactSet Auditing Viewer?action=AUDIT_VALUE&amp;DB=129&amp;ID1=90781810&amp;VALUEID=01250&amp;SDATE=2010&amp;PERIODTYPE=ANN_STD&amp;window=popup_no_bar&amp;width=385&amp;height=120&amp;START_MAXIMIZED=FALSE&amp;creator=factset&amp;display_string=Audit"}</definedName>
    <definedName name="_97__FDSAUDITLINK__" localSheetId="5" hidden="1">{"fdsup://directions/FAT Viewer?action=UPDATE&amp;creator=factset&amp;DYN_ARGS=TRUE&amp;DOC_NAME=FAT:FQL_AUDITING_CLIENT_TEMPLATE.FAT&amp;display_string=Audit&amp;VAR:KEY=MRWTQBQXSR&amp;VAR:QUERY=RkZfRUJJVChBTk4sMjAwOSk=&amp;WINDOW=FIRST_POPUP&amp;HEIGHT=450&amp;WIDTH=450&amp;START_MAXIMIZED=FALS","E&amp;VAR:CALENDAR=US&amp;VAR:SYMBOL=GWR&amp;VAR:INDEX=0"}</definedName>
    <definedName name="_97__FDSAUDITLINK__" localSheetId="6" hidden="1">{"fdsup://directions/FAT Viewer?action=UPDATE&amp;creator=factset&amp;DYN_ARGS=TRUE&amp;DOC_NAME=FAT:FQL_AUDITING_CLIENT_TEMPLATE.FAT&amp;display_string=Audit&amp;VAR:KEY=MRWTQBQXSR&amp;VAR:QUERY=RkZfRUJJVChBTk4sMjAwOSk=&amp;WINDOW=FIRST_POPUP&amp;HEIGHT=450&amp;WIDTH=450&amp;START_MAXIMIZED=FALS","E&amp;VAR:CALENDAR=US&amp;VAR:SYMBOL=GWR&amp;VAR:INDEX=0"}</definedName>
    <definedName name="_97__FDSAUDITLINK__" hidden="1">{"fdsup://Directions/FactSet Auditing Viewer?action=AUDIT_VALUE&amp;DB=129&amp;ID1=90781810&amp;VALUEID=01250&amp;SDATE=2010&amp;PERIODTYPE=ANN_STD&amp;window=popup_no_bar&amp;width=385&amp;height=120&amp;START_MAXIMIZED=FALSE&amp;creator=factset&amp;display_string=Audit"}</definedName>
    <definedName name="_98__FDSAUDITLINK__" localSheetId="4" hidden="1">{"fdsup://Directions/FactSet Auditing Viewer?action=AUDIT_VALUE&amp;DB=129&amp;ID1=75075340&amp;VALUEID=01250&amp;SDATE=2010&amp;PERIODTYPE=ANN_STD&amp;window=popup_no_bar&amp;width=385&amp;height=120&amp;START_MAXIMIZED=FALSE&amp;creator=factset&amp;display_string=Audit"}</definedName>
    <definedName name="_98__FDSAUDITLINK__" localSheetId="5" hidden="1">{"fdsup://directions/FAT Viewer?action=UPDATE&amp;creator=factset&amp;DYN_ARGS=TRUE&amp;DOC_NAME=FAT:FQL_AUDITING_CLIENT_TEMPLATE.FAT&amp;display_string=Audit&amp;VAR:KEY=MPCZQDGHYJ&amp;VAR:QUERY=RkZfRUJJVChBTk4sMjAwOSk=&amp;WINDOW=FIRST_POPUP&amp;HEIGHT=450&amp;WIDTH=450&amp;START_MAXIMIZED=FALS","E&amp;VAR:CALENDAR=US&amp;VAR:SYMBOL=CSX&amp;VAR:INDEX=0"}</definedName>
    <definedName name="_98__FDSAUDITLINK__" localSheetId="6" hidden="1">{"fdsup://directions/FAT Viewer?action=UPDATE&amp;creator=factset&amp;DYN_ARGS=TRUE&amp;DOC_NAME=FAT:FQL_AUDITING_CLIENT_TEMPLATE.FAT&amp;display_string=Audit&amp;VAR:KEY=MPCZQDGHYJ&amp;VAR:QUERY=RkZfRUJJVChBTk4sMjAwOSk=&amp;WINDOW=FIRST_POPUP&amp;HEIGHT=450&amp;WIDTH=450&amp;START_MAXIMIZED=FALS","E&amp;VAR:CALENDAR=US&amp;VAR:SYMBOL=CSX&amp;VAR:INDEX=0"}</definedName>
    <definedName name="_98__FDSAUDITLINK__" hidden="1">{"fdsup://Directions/FactSet Auditing Viewer?action=AUDIT_VALUE&amp;DB=129&amp;ID1=75075340&amp;VALUEID=01250&amp;SDATE=2010&amp;PERIODTYPE=ANN_STD&amp;window=popup_no_bar&amp;width=385&amp;height=120&amp;START_MAXIMIZED=FALSE&amp;creator=factset&amp;display_string=Audit"}</definedName>
    <definedName name="_99__FDSAUDITLINK__" localSheetId="4" hidden="1">{"fdsup://Directions/FactSet Auditing Viewer?action=AUDIT_VALUE&amp;DB=129&amp;ID1=65584410&amp;VALUEID=01250&amp;SDATE=2010&amp;PERIODTYPE=ANN_STD&amp;window=popup_no_bar&amp;width=385&amp;height=120&amp;START_MAXIMIZED=FALSE&amp;creator=factset&amp;display_string=Audit"}</definedName>
    <definedName name="_99__FDSAUDITLINK__" localSheetId="5" hidden="1">{"fdsup://directions/FAT Viewer?action=UPDATE&amp;creator=factset&amp;DYN_ARGS=TRUE&amp;DOC_NAME=FAT:FQL_AUDITING_CLIENT_TEMPLATE.FAT&amp;display_string=Audit&amp;VAR:KEY=GHYXEZAFED&amp;VAR:QUERY=RkZfRUJJVChBTk4sMjAwOSk=&amp;WINDOW=FIRST_POPUP&amp;HEIGHT=450&amp;WIDTH=450&amp;START_MAXIMIZED=FALS","E&amp;VAR:CALENDAR=US&amp;VAR:SYMBOL=CP&amp;VAR:INDEX=0"}</definedName>
    <definedName name="_99__FDSAUDITLINK__" localSheetId="6" hidden="1">{"fdsup://directions/FAT Viewer?action=UPDATE&amp;creator=factset&amp;DYN_ARGS=TRUE&amp;DOC_NAME=FAT:FQL_AUDITING_CLIENT_TEMPLATE.FAT&amp;display_string=Audit&amp;VAR:KEY=GHYXEZAFED&amp;VAR:QUERY=RkZfRUJJVChBTk4sMjAwOSk=&amp;WINDOW=FIRST_POPUP&amp;HEIGHT=450&amp;WIDTH=450&amp;START_MAXIMIZED=FALS","E&amp;VAR:CALENDAR=US&amp;VAR:SYMBOL=CP&amp;VAR:INDEX=0"}</definedName>
    <definedName name="_99__FDSAUDITLINK__" hidden="1">{"fdsup://Directions/FactSet Auditing Viewer?action=AUDIT_VALUE&amp;DB=129&amp;ID1=65584410&amp;VALUEID=01250&amp;SDATE=2010&amp;PERIODTYPE=ANN_STD&amp;window=popup_no_bar&amp;width=385&amp;height=120&amp;START_MAXIMIZED=FALSE&amp;creator=factset&amp;display_string=Audit"}</definedName>
    <definedName name="_bdm.02E29E7B1053433EA3CCCBE4E5141596.edm" localSheetId="4" hidden="1">[2]Sheet1!$A:$IV</definedName>
    <definedName name="_bdm.02E29E7B1053433EA3CCCBE4E5141596.edm" localSheetId="8" hidden="1">[3]Sheet1!$1:$1048576</definedName>
    <definedName name="_bdm.02E29E7B1053433EA3CCCBE4E5141596.edm" localSheetId="7" hidden="1">[3]Sheet1!$1:$1048576</definedName>
    <definedName name="_bdm.02E29E7B1053433EA3CCCBE4E5141596.edm" hidden="1">[3]Sheet1!$A:$IV</definedName>
    <definedName name="_bdm.11EB72ACE3374B1CB252FDD683429D59.edm" localSheetId="8" hidden="1">[2]C1500!$1:$1048576</definedName>
    <definedName name="_bdm.11EB72ACE3374B1CB252FDD683429D59.edm" localSheetId="7" hidden="1">[2]C1500!$1:$1048576</definedName>
    <definedName name="_bdm.11EB72ACE3374B1CB252FDD683429D59.edm" hidden="1">[2]C1500!$A:$IV</definedName>
    <definedName name="_bdm.3813F386668D4752AAF7FAF8750591E7.edm" localSheetId="3" hidden="1">Model!$CX$53</definedName>
    <definedName name="_bdm.8B624F7BCBE84F26AA678C46E0A9F45E.edm" localSheetId="3" hidden="1">Model!$CX$11:$CY$22</definedName>
    <definedName name="_bdm.F9074802615D45D4BF232D6A72EEB098.edm" hidden="1">Model!$1:$1048576</definedName>
    <definedName name="_Order1" hidden="1">255</definedName>
    <definedName name="AdditionalInstructions">IndexInformation!$B$42</definedName>
    <definedName name="Address" localSheetId="2">ImportantDisclosures!$A$2:$A$2</definedName>
    <definedName name="ANA" localSheetId="10">ModPubIndex!$A$7</definedName>
    <definedName name="anscount" localSheetId="6" hidden="1">2</definedName>
    <definedName name="anscount" hidden="1">1</definedName>
    <definedName name="Authors" localSheetId="2">ImportantDisclosures!$A$7</definedName>
    <definedName name="Authors" localSheetId="9">IndexInformation!$B$18</definedName>
    <definedName name="BRO" localSheetId="10">ModPubIndex!$A$1</definedName>
    <definedName name="CopyrightStamp">ImportantDisclosures!$A$27</definedName>
    <definedName name="COU" localSheetId="10">ModPubIndex!$A$5</definedName>
    <definedName name="CQEnd" localSheetId="9">IndexInformation!$B$31</definedName>
    <definedName name="Currency" localSheetId="9">IndexInformation!$B$24</definedName>
    <definedName name="Currency_ISOcode" localSheetId="8">OPEB!$AQ$174</definedName>
    <definedName name="Currency_ISOcode" localSheetId="7">Pension!$AQ$186</definedName>
    <definedName name="currentFY" localSheetId="8">Pension!$AZ$18</definedName>
    <definedName name="currentFY" localSheetId="7">Pension!$AZ$18</definedName>
    <definedName name="CurrentStockPrice" localSheetId="9">IndexInformation!$B$23</definedName>
    <definedName name="CurrQtrEPS" localSheetId="9">IndexInformation!$B$29</definedName>
    <definedName name="CurrYearEPS" localSheetId="9">IndexInformation!$B$11</definedName>
    <definedName name="CurrYearTotalRevenue" localSheetId="9">IndexInformation!$B$10</definedName>
    <definedName name="CurrYearTotalRevenueActual" localSheetId="9">IndexInformation!$B$32</definedName>
    <definedName name="CUSIP" localSheetId="9">IndexInformation!$B$20</definedName>
    <definedName name="CYEnd" localSheetId="9">IndexInformation!$B$30</definedName>
    <definedName name="Date" localSheetId="2">ImportantDisclosures!$A$8</definedName>
    <definedName name="Deleted" localSheetId="9">IndexInformation!$B$27</definedName>
    <definedName name="Description" localSheetId="9">IndexInformation!$B$7</definedName>
    <definedName name="DEVELOPMENT">5</definedName>
    <definedName name="Discipline" localSheetId="9">IndexInformation!$B$3</definedName>
    <definedName name="DISCIPLINE" localSheetId="10">ModPubIndex!$A$12</definedName>
    <definedName name="DisclosuresText">ImportantDisclosures!$A$22</definedName>
    <definedName name="Distribution" localSheetId="9">IndexInformation!$B$26</definedName>
    <definedName name="DistTable" localSheetId="2">ImportantDisclosures!#REF!</definedName>
    <definedName name="DistTablePreamble" localSheetId="2">ImportantDisclosures!#REF!</definedName>
    <definedName name="DOCDAT" localSheetId="10">ModPubIndex!$A$2</definedName>
    <definedName name="DOCTIME" localSheetId="10">ModPubIndex!$A$3</definedName>
    <definedName name="DocType" localSheetId="9">IndexInformation!$B$5</definedName>
    <definedName name="Download_series">[4]!Download_series</definedName>
    <definedName name="dropDown" localSheetId="8">Pension!$AZ$21</definedName>
    <definedName name="dropDown" localSheetId="7">Pension!$AZ$21</definedName>
    <definedName name="dropDown2" localSheetId="8">OPEB!$AZ$21</definedName>
    <definedName name="dropDown2" localSheetId="7">[5]OPEB!$AZ$21</definedName>
    <definedName name="EMAIL_ALERT" localSheetId="10">ModPubIndex!$A$10</definedName>
    <definedName name="EmailAlert" localSheetId="9">IndexInformation!$B$28</definedName>
    <definedName name="fair_value">DCF!$E$36</definedName>
    <definedName name="FiveYearGrowthRate" localSheetId="9">IndexInformation!$B$16</definedName>
    <definedName name="FollowingYearEPS" localSheetId="9">IndexInformation!$B$15</definedName>
    <definedName name="FollowingYearTotalRevenue" localSheetId="9">IndexInformation!$B$14</definedName>
    <definedName name="FollowingYearTotalRevenueActual" localSheetId="9">IndexInformation!$B$34</definedName>
    <definedName name="HL" localSheetId="10">ModPubIndex!$A$8</definedName>
    <definedName name="IND" localSheetId="10">ModPubIndex!$A$9</definedName>
    <definedName name="Industry" localSheetId="2">ImportantDisclosures!$A$12</definedName>
    <definedName name="IndustryId">IndexInformation!$B$40</definedName>
    <definedName name="IndustryRating" localSheetId="2">ImportantDisclosures!$A$13</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DIN" hidden="1">"AUTO"</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REUT" hidden="1">"c3630"</definedName>
    <definedName name="IQ_AVG_DAILY_VOL" hidden="1">"c65"</definedName>
    <definedName name="IQ_AVG_INDUSTRY_REC" hidden="1">"c4455"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OVER_SHARES" hidden="1">"c1349"</definedName>
    <definedName name="IQ_BV_SHARE" hidden="1">"c100"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localSheetId="5">"c3460"</definedName>
    <definedName name="IQ_CAPITALIZED_INTEREST" localSheetId="6" hidden="1">"c3460"</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"c116"</definedName>
    <definedName name="IQ_CASH_CONVERSION" hidden="1">"c117"</definedName>
    <definedName name="IQ_CASH_DUE_BANKS" hidden="1">"c1351"</definedName>
    <definedName name="IQ_CASH_EQUIV" hidden="1">"c118"</definedName>
    <definedName name="IQ_CASH_FINAN" hidden="1">"c119"</definedName>
    <definedName name="IQ_CASH_FLOW_ACT_OR_EST" hidden="1">"c4154"</definedName>
    <definedName name="IQ_CASH_INTEREST" hidden="1">"c120"</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EXP_DATE" hidden="1">"c3043"</definedName>
    <definedName name="IQ_CONV_PREMIUM" hidden="1">"c2195"</definedName>
    <definedName name="IQ_CONV_PRICE" hidden="1">"c2193"</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OSITS_INTEREST_SECURITIES" hidden="1">"c5509"</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Q_INC" hidden="1">"c3498"</definedName>
    <definedName name="IQ_EBIT_EQ_INC_EXCL_SBC" hidden="1">"c3502"</definedName>
    <definedName name="IQ_EBIT_EXCL_SBC" hidden="1">"c3082"</definedName>
    <definedName name="IQ_EBIT_GW_ACT_OR_EST" hidden="1">"c4306"</definedName>
    <definedName name="IQ_EBIT_INT" hidden="1">"c360"</definedName>
    <definedName name="IQ_EBIT_MARGIN" hidden="1">"c359"</definedName>
    <definedName name="IQ_EBIT_OVER_IE" hidden="1">"c1369"</definedName>
    <definedName name="IQ_EBIT_SBC_ACT_OR_EST" hidden="1">"c4316"</definedName>
    <definedName name="IQ_EBIT_SBC_GW_ACT_OR_EST" hidden="1">"c4320"</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REUT" hidden="1">"c3640"</definedName>
    <definedName name="IQ_EBITDA_EXCL_SBC" hidden="1">"c3081"</definedName>
    <definedName name="IQ_EBITDA_HIGH_EST" hidden="1">"c370"</definedName>
    <definedName name="IQ_EBITDA_HIGH_EST_REUT" hidden="1">"c3642"</definedName>
    <definedName name="IQ_EBITDA_INT" hidden="1">"c373"</definedName>
    <definedName name="IQ_EBITDA_LOW_EST" hidden="1">"c371"</definedName>
    <definedName name="IQ_EBITDA_LOW_EST_REUT" hidden="1">"c3643"</definedName>
    <definedName name="IQ_EBITDA_MARGIN" hidden="1">"c372"</definedName>
    <definedName name="IQ_EBITDA_MEDIAN_EST" hidden="1">"c1663"</definedName>
    <definedName name="IQ_EBITDA_MEDIAN_EST_REUT" hidden="1">"c3641"</definedName>
    <definedName name="IQ_EBITDA_NUM_EST" hidden="1">"c374"</definedName>
    <definedName name="IQ_EBITDA_NUM_EST_REUT" hidden="1">"c3644"</definedName>
    <definedName name="IQ_EBITDA_OVER_TOTAL_IE" hidden="1">"c1371"</definedName>
    <definedName name="IQ_EBITDA_SBC_ACT_OR_EST" hidden="1">"c4337"</definedName>
    <definedName name="IQ_EBITDA_STDDEV_EST" hidden="1">"c375"</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SBC_ACT_OR_EST" hidden="1">"c4350"</definedName>
    <definedName name="IQ_EBT_SBC_GW_ACT_OR_EST" hidden="1">"c4354"</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EST_REUT" hidden="1">"c5453"</definedName>
    <definedName name="IQ_EPS_HIGH_EST" hidden="1">"c400"</definedName>
    <definedName name="IQ_EPS_HIGH_EST_REUT" hidden="1">"c5454"</definedName>
    <definedName name="IQ_EPS_LOW_EST" hidden="1">"c401"</definedName>
    <definedName name="IQ_EPS_LOW_EST_REUT" hidden="1">"c5455"</definedName>
    <definedName name="IQ_EPS_MEDIAN_EST" hidden="1">"c1661"</definedName>
    <definedName name="IQ_EPS_MEDIAN_EST_REUT" hidden="1">"c5456"</definedName>
    <definedName name="IQ_EPS_NORM" hidden="1">"c1902"</definedName>
    <definedName name="IQ_EPS_NUM_EST" hidden="1">"c402"</definedName>
    <definedName name="IQ_EPS_NUM_EST_REUT" hidden="1">"c5451"</definedName>
    <definedName name="IQ_EPS_SBC_ACT_OR_EST" hidden="1">"c4376"</definedName>
    <definedName name="IQ_EPS_SBC_GW_ACT_OR_EST" hidden="1">"c4380"</definedName>
    <definedName name="IQ_EPS_STDDEV_EST" hidden="1">"c403"</definedName>
    <definedName name="IQ_EPS_STDDEV_EST_REUT" hidden="1">"c5452"</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CURRENCY" hidden="1">"c2140"</definedName>
    <definedName name="IQ_EST_CURRENCY_REUT" hidden="1">"c5437"</definedName>
    <definedName name="IQ_EST_DATE" hidden="1">"c1634"</definedName>
    <definedName name="IQ_EST_DATE_REUT" hidden="1">"c5438"</definedName>
    <definedName name="IQ_EST_EPS_GROWTH_1YR" hidden="1">"c1636"</definedName>
    <definedName name="IQ_EST_EPS_GROWTH_1YR_REUT" hidden="1">"c3646"</definedName>
    <definedName name="IQ_EST_EPS_GROWTH_5YR" hidden="1">"c1655"</definedName>
    <definedName name="IQ_EST_EPS_GROWTH_5YR_REUT" hidden="1">"c3633"</definedName>
    <definedName name="IQ_EST_EPS_GROWTH_Q_1YR" hidden="1">"c1641"</definedName>
    <definedName name="IQ_EST_EPS_GROWTH_Q_1YR_REUT" hidden="1">"c5410"</definedName>
    <definedName name="IQ_EST_VENDOR" hidden="1">"c5564"</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ADJ_ACT_OR_EST" hidden="1">"c4435"</definedName>
    <definedName name="IQ_FFO_PAYOUT_RATIO" hidden="1">"c3492"</definedName>
    <definedName name="IQ_FFO_SHARE_ACT_OR_EST" hidden="1">"c4446"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NOTES_PAY_TOTAL" hidden="1">"c5522"</definedName>
    <definedName name="IQ_FIN_DIV_REV" hidden="1">"c437"</definedName>
    <definedName name="IQ_FIN_DIV_ST_DEBT_TOTAL" hidden="1">"c5527"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_TARGET_PRICE_REUT" hidden="1">"c5317"</definedName>
    <definedName name="IQ_HIGHPRICE" hidden="1">"c545"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NVEST_SECURITY_SUPPL" hidden="1">"c5511"</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_TARGET_PRICE" hidden="1">"c1652"</definedName>
    <definedName name="IQ_LOW_TARGET_PRICE_REUT" hidden="1">"c5318"</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C_RATIO" hidden="1">"c2783"</definedName>
    <definedName name="IQ_MC_STATUTORY_SURPLUS" hidden="1">"c2772"</definedName>
    <definedName name="IQ_MEDIAN_TARGET_PRICE" hidden="1">"c1650"</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M_ACCOUNT" hidden="1">"c743"</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BC_ACT_OR_EST" hidden="1">"c4474"</definedName>
    <definedName name="IQ_NI_SBC_GW_ACT_OR_EST" hidden="1">"c4478"</definedName>
    <definedName name="IQ_NI_SFAS" hidden="1">"c795"</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MORT" hidden="1">"c5563"</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"c1023"</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NORMALIZED" hidden="1">"c2207"</definedName>
    <definedName name="IQ_PE_RATIO" hidden="1">"c1610"</definedName>
    <definedName name="IQ_PEG_FWD" hidden="1">"c1863"</definedName>
    <definedName name="IQ_PEG_FWD_REUT" hidden="1">"c4052"</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ICE_OVER_BVPS" hidden="1">"c1412"</definedName>
    <definedName name="IQ_PRICE_OVER_LTM_EPS" hidden="1">"c1413"</definedName>
    <definedName name="IQ_PRICE_TARGET" hidden="1">"c82"</definedName>
    <definedName name="IQ_PRICE_TARGET_REUT" hidden="1">"c3631"</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T_DATE_SCHEDULE" hidden="1">"c2483"</definedName>
    <definedName name="IQ_PUT_NOTIFICATION" hidden="1">"c2485"</definedName>
    <definedName name="IQ_PUT_PRICE_SCHEDULE" hidden="1">"c2484"</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CURRING_PROFIT_ACT_OR_EST" hidden="1">"c4507"</definedName>
    <definedName name="IQ_RECURRING_PROFIT_SHARE_ACT_OR_EST" hidden="1">"c4508"</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CQUIRED_FRANCHISE_STORES" localSheetId="5">"c2895"</definedName>
    <definedName name="IQ_RETAIL_ACQUIRED_FRANCHISE_STORES" localSheetId="6" hidden="1">"c2895"</definedName>
    <definedName name="IQ_RETAIL_ACQUIRED_FRANCHISE_STORES" hidden="1">"c2903"</definedName>
    <definedName name="IQ_RETAIL_ACQUIRED_OWNED_STORES" localSheetId="5">"c2903"</definedName>
    <definedName name="IQ_RETAIL_ACQUIRED_OWNED_STORES" localSheetId="6" hidden="1">"c2903"</definedName>
    <definedName name="IQ_RETAIL_ACQUIRED_OWNED_STORES" hidden="1">"c2895"</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STDDEV_EST_REUT" hidden="1">"c3639"</definedName>
    <definedName name="IQ_REV_UTI" hidden="1">"c1125"</definedName>
    <definedName name="IQ_REVENUE" hidden="1">"c1422"</definedName>
    <definedName name="IQ_REVENUE_EST" hidden="1">"c1126"</definedName>
    <definedName name="IQ_REVENUE_EST_REUT" hidden="1">"c3634"</definedName>
    <definedName name="IQ_REVENUE_HIGH_EST" hidden="1">"c1127"</definedName>
    <definedName name="IQ_REVENUE_HIGH_EST_REUT" hidden="1">"c3636"</definedName>
    <definedName name="IQ_REVENUE_LOW_EST" hidden="1">"c1128"</definedName>
    <definedName name="IQ_REVENUE_LOW_EST_REUT" hidden="1">"c3637"</definedName>
    <definedName name="IQ_REVENUE_MEDIAN_EST" hidden="1">"c1662"</definedName>
    <definedName name="IQ_REVENUE_MEDIAN_EST_REUT" hidden="1">"c3635"</definedName>
    <definedName name="IQ_REVENUE_NUM_EST" hidden="1">"c1129"</definedName>
    <definedName name="IQ_REVENUE_NUM_EST_REUT" hidden="1">"c3638"</definedName>
    <definedName name="IQ_REVISION_DATE_" localSheetId="5">39489.6256597222</definedName>
    <definedName name="IQ_REVISION_DATE_" localSheetId="6" hidden="1">39465.3762152778</definedName>
    <definedName name="IQ_REVISION_DATE_" hidden="1">39177.5491319444</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DEBT" hidden="1">"c2546"</definedName>
    <definedName name="IQ_SECURED_DEBT_PCT" hidden="1">"c2547"</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NUM_REUT" hidden="1">"c5319"</definedName>
    <definedName name="IQ_TARGET_PRICE_STDDEV" hidden="1">"c1654"</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BITDA_FWD_REUT" hidden="1">"c4050"</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IGHTED_AVG_PRICE" hidden="1">"c1334"</definedName>
    <definedName name="IQ_WIP_INV" hidden="1">"c1335"</definedName>
    <definedName name="IQ_WORKING_CAP" hidden="1">"c3494"</definedName>
    <definedName name="IQ_WORKMEN_WRITTEN" hidden="1">"c1336"</definedName>
    <definedName name="IQ_XDIV_DATE" hidden="1">"c2203"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W" hidden="1">"c2163"</definedName>
    <definedName name="IQ_YTW_DATE" hidden="1">"c2164"</definedName>
    <definedName name="IQ_YTW_DATE_TYPE" hidden="1">"c2165"</definedName>
    <definedName name="IQ_Z_SCORE" hidden="1">"c1339"</definedName>
    <definedName name="KeepVersions" localSheetId="9">IndexInformation!$B$8</definedName>
    <definedName name="LanguageCode">IndexInformation!$B$38</definedName>
    <definedName name="LastCell" localSheetId="2">ImportantDisclosures!$A$22</definedName>
    <definedName name="limcount" hidden="1">2</definedName>
    <definedName name="MacroVersion" localSheetId="9">IndexInformation!$B$1</definedName>
    <definedName name="ModelPrice" localSheetId="2">ImportantDisclosures!$A$14</definedName>
    <definedName name="mstagrange" localSheetId="8">OPEB!$AV$25:$AZ$25</definedName>
    <definedName name="mstagrange1" localSheetId="8">Pension!$AV$25:$AZ$25</definedName>
    <definedName name="mstagrange1" localSheetId="7">Pension!$AV$25:$AZ$25</definedName>
    <definedName name="Multiplier" localSheetId="9">IndexInformation!$B$35</definedName>
    <definedName name="mwTaxrate2">0.36</definedName>
    <definedName name="NextYearEPS" localSheetId="9">IndexInformation!$B$13</definedName>
    <definedName name="NextYearTotalRevenue" localSheetId="9">IndexInformation!$B$12</definedName>
    <definedName name="NextYearTotalRevenueActual" localSheetId="9">IndexInformation!$B$33</definedName>
    <definedName name="ObjectType">IndexInformation!$B$37</definedName>
    <definedName name="OPEB_Guide" localSheetId="8">OPEB!$A$1</definedName>
    <definedName name="PANA" localSheetId="10">ModPubIndex!$A$11</definedName>
    <definedName name="PathName" localSheetId="9">IndexInformation!$B$25</definedName>
    <definedName name="Pension_Guide" localSheetId="8">Pension!$A$1</definedName>
    <definedName name="Pension_Guide" localSheetId="7">Pension!$A$1</definedName>
    <definedName name="_xlnm.Print_Area" localSheetId="3">Model!$A$1:$FY$361</definedName>
    <definedName name="_xlnm.Print_Area" localSheetId="7">Pension!$A$1:$Y$85</definedName>
    <definedName name="_xlnm.Print_Area">#REF!</definedName>
    <definedName name="_xlnm.Print_Titles" localSheetId="3">Model!$A:$A,Model!$1:$2</definedName>
    <definedName name="_xlnm.Print_Titles">#REF!</definedName>
    <definedName name="PRODUCT" localSheetId="10">ModPubIndex!$A$6</definedName>
    <definedName name="ProjectName" localSheetId="4">{"Client Name or Project Name"}</definedName>
    <definedName name="ProjectName" localSheetId="5">{"Client Name or Project Name"}</definedName>
    <definedName name="ProjectName" localSheetId="6">{"Client Name or Project Name"}</definedName>
    <definedName name="ProjectName">{"Client Name or Project Name"}</definedName>
    <definedName name="PSYM" localSheetId="10">ModPubIndex!$A$4</definedName>
    <definedName name="PublishDate" localSheetId="9">IndexInformation!$B$2</definedName>
    <definedName name="Rating" localSheetId="9">IndexInformation!$B$9</definedName>
    <definedName name="RatingsDefined" localSheetId="2">ImportantDisclosures!$A$21</definedName>
    <definedName name="RatingsDefs" localSheetId="2">ImportantDisclosures!#REF!</definedName>
    <definedName name="RegACDisclosure" localSheetId="2">ImportantDisclosures!#REF!</definedName>
    <definedName name="Rem_Bus_ROIC" localSheetId="6">OFFSET(MarketData!XRange,11,0)</definedName>
    <definedName name="ResearchTopic" localSheetId="9">IndexInformation!$B$4</definedName>
    <definedName name="RIC" localSheetId="9">IndexInformation!$B$21</definedName>
    <definedName name="rngStartYear" localSheetId="7">Pension!$BC$11</definedName>
    <definedName name="rngTicker" localSheetId="8">Pension!$H$1</definedName>
    <definedName name="rngTicker" localSheetId="7">Pension!$H$1</definedName>
    <definedName name="Rwvu.FULL." localSheetId="3" hidden="1">Model!$B:$AD,Model!$AU:$AX</definedName>
    <definedName name="SECSettlement" localSheetId="2">ImportantDisclosures!#REF!</definedName>
    <definedName name="SEDOL" localSheetId="9">IndexInformation!$B$22</definedName>
    <definedName name="Sedol" localSheetId="8">Pension!$H$3</definedName>
    <definedName name="Sedol" localSheetId="7">Pension!$H$3</definedName>
    <definedName name="sedol">2160753</definedName>
    <definedName name="sencount" hidden="1">2</definedName>
    <definedName name="solver_adj" localSheetId="3" hidden="1">Model!$AT$240</definedName>
    <definedName name="solver_lin" localSheetId="3" hidden="1">0</definedName>
    <definedName name="solver_lin" hidden="1">0</definedName>
    <definedName name="solver_num" localSheetId="3" hidden="1">0</definedName>
    <definedName name="solver_num" hidden="1">0</definedName>
    <definedName name="solver_opt" localSheetId="3" hidden="1">Model!$AT$252</definedName>
    <definedName name="solver_typ" localSheetId="3" hidden="1">3</definedName>
    <definedName name="solver_typ" hidden="1">3</definedName>
    <definedName name="solver_val" localSheetId="3" hidden="1">0</definedName>
    <definedName name="solver_val" hidden="1">3729</definedName>
    <definedName name="SourceDefined" localSheetId="2">ImportantDisclosures!$A$19</definedName>
    <definedName name="Statement" localSheetId="4">DCF!Statement</definedName>
    <definedName name="Statement" localSheetId="5">Fuel!Statement</definedName>
    <definedName name="Statement" localSheetId="6">MarketData!Statement</definedName>
    <definedName name="Statement">DCF!Statement</definedName>
    <definedName name="StockRating" localSheetId="2">ImportantDisclosures!$A$11</definedName>
    <definedName name="SubjectCode" localSheetId="9">IndexInformation!$B$6</definedName>
    <definedName name="SubmitterUserId">IndexInformation!$B$39</definedName>
    <definedName name="SUPPRESSED" localSheetId="10">ModPubIndex!$A$13</definedName>
    <definedName name="TargetPrice" localSheetId="2">ImportantDisclosures!$A$15</definedName>
    <definedName name="TemplateRegion">IndexInformation!$B$36</definedName>
    <definedName name="Ticker" localSheetId="2">ImportantDisclosures!$A$10</definedName>
    <definedName name="TickerRegion">IndexInformation!$B$41</definedName>
    <definedName name="Tickers" localSheetId="9">IndexInformation!$B$19</definedName>
    <definedName name="Total_Bus_ROIC" localSheetId="6">OFFSET(MarketData!XRange,12,0)</definedName>
    <definedName name="trEdate" localSheetId="8">Pension!$AZ$13</definedName>
    <definedName name="trEdate" localSheetId="7">Pension!$AZ$13</definedName>
    <definedName name="trEdate">"0FY"</definedName>
    <definedName name="trSdate" localSheetId="8">Pension!$AZ$12</definedName>
    <definedName name="trSdate" localSheetId="7">Pension!$AZ$12</definedName>
    <definedName name="Update_This">[4]!Update_This</definedName>
    <definedName name="UpdateReason" localSheetId="9">IndexInformation!$B$17</definedName>
    <definedName name="USRegDisclosures" localSheetId="2">ImportantDisclosures!#REF!</definedName>
    <definedName name="Version">"June 29, 2004"</definedName>
    <definedName name="WACC" localSheetId="6">OFFSET(MarketData!XRange,13,0)</definedName>
    <definedName name="YearRow" localSheetId="8">Pension!$D$6:$T$6</definedName>
    <definedName name="YearRow" localSheetId="7">Pension!$D$6:$T$6</definedName>
    <definedName name="Z_13645292_BF4D_11D1_BD96_00805F0F908D_.wvu.Cols" localSheetId="3" hidden="1">Model!$B:$AD,Model!$AU:$AX</definedName>
    <definedName name="Z_13645292_BF4D_11D1_BD96_00805F0F908D_.wvu.PrintArea" localSheetId="3" hidden="1">Model!$AF$60:$AY$361</definedName>
    <definedName name="Z_13645292_BF4D_11D1_BD96_00805F0F908D_.wvu.PrintTitles" localSheetId="3" hidden="1">Model!$A:$A,Model!$1:$2</definedName>
    <definedName name="Z_5345F5AA_A976_11D1_BD75_00805F0F908D_.wvu.Cols" localSheetId="3" hidden="1">Model!$B:$AD,Model!$AU:$AX</definedName>
    <definedName name="Z_5345F5AA_A976_11D1_BD75_00805F0F908D_.wvu.PrintArea" localSheetId="3" hidden="1">Model!$AF$60:$AY$361</definedName>
    <definedName name="Z_5345F5AA_A976_11D1_BD75_00805F0F908D_.wvu.PrintTitles" localSheetId="3" hidden="1">Model!$A:$A,Model!$1:$2</definedName>
    <definedName name="Z_CD034DB7_E59E_11D1_BDCD_00805F0F908D_.wvu.Cols" localSheetId="3" hidden="1">Model!$B:$AD,Model!$AU:$AX</definedName>
    <definedName name="Z_CD034DB7_E59E_11D1_BDCD_00805F0F908D_.wvu.PrintArea" localSheetId="3" hidden="1">Model!$AF$59:$AY$361</definedName>
    <definedName name="Z_CD034DB7_E59E_11D1_BDCD_00805F0F908D_.wvu.PrintTitles" localSheetId="3" hidden="1">Model!$A:$A,Model!$1:$2</definedName>
    <definedName name="Z_EBA35019_E147_11D1_BDC8_00805F0F908D_.wvu.Cols" localSheetId="3" hidden="1">Model!$B:$AD,Model!$AU:$AX</definedName>
    <definedName name="Z_EBA35019_E147_11D1_BDC8_00805F0F908D_.wvu.PrintArea" localSheetId="3" hidden="1">Model!$AF$60:$AY$361</definedName>
    <definedName name="Z_EBA35019_E147_11D1_BDC8_00805F0F908D_.wvu.PrintTitles" localSheetId="3" hidden="1">Model!$A:$A,Model!$1:$2</definedName>
  </definedNames>
  <calcPr calcId="145621" iterate="1"/>
</workbook>
</file>

<file path=xl/calcChain.xml><?xml version="1.0" encoding="utf-8"?>
<calcChain xmlns="http://schemas.openxmlformats.org/spreadsheetml/2006/main">
  <c r="X21" i="91" l="1"/>
  <c r="Y21" i="91" s="1"/>
  <c r="W21" i="91"/>
  <c r="V21" i="91"/>
  <c r="Y14" i="91"/>
  <c r="X14" i="91"/>
  <c r="W14" i="91"/>
  <c r="V14" i="91"/>
  <c r="U14" i="91"/>
  <c r="T14" i="91"/>
  <c r="S14" i="91"/>
  <c r="R14" i="91"/>
  <c r="EL197" i="3" l="1"/>
  <c r="FI271" i="3" l="1"/>
  <c r="FE221" i="3" l="1"/>
  <c r="EZ260" i="3"/>
  <c r="EZ265" i="3"/>
  <c r="ES263" i="3"/>
  <c r="ET263" i="3" s="1"/>
  <c r="ER263" i="3"/>
  <c r="EQ267" i="3"/>
  <c r="EU349" i="3"/>
  <c r="EU341" i="3"/>
  <c r="EU338" i="3"/>
  <c r="FH196" i="3"/>
  <c r="FE268" i="3"/>
  <c r="FQ177" i="3" l="1"/>
  <c r="ES198" i="3"/>
  <c r="ET198" i="3" s="1"/>
  <c r="EQ163" i="3"/>
  <c r="EO159" i="3"/>
  <c r="EN159" i="3"/>
  <c r="EM159" i="3"/>
  <c r="EO268" i="3"/>
  <c r="EN268" i="3"/>
  <c r="EM268" i="3"/>
  <c r="EL268" i="3"/>
  <c r="EL159" i="3"/>
  <c r="EM165" i="3"/>
  <c r="EQ158" i="3"/>
  <c r="EQ153" i="3"/>
  <c r="EM153" i="3"/>
  <c r="EQ223" i="3" l="1"/>
  <c r="FN285" i="3" l="1"/>
  <c r="FN278" i="3"/>
  <c r="FN272" i="3"/>
  <c r="FN269" i="3"/>
  <c r="FN268" i="3"/>
  <c r="FN263" i="3"/>
  <c r="FN258" i="3"/>
  <c r="FN236" i="3"/>
  <c r="FN235" i="3"/>
  <c r="FN234" i="3"/>
  <c r="FN233" i="3"/>
  <c r="FN232" i="3"/>
  <c r="FN231" i="3"/>
  <c r="FN230" i="3"/>
  <c r="FN214" i="3"/>
  <c r="FN207" i="3"/>
  <c r="FN203" i="3"/>
  <c r="FN202" i="3"/>
  <c r="FN201" i="3"/>
  <c r="FN200" i="3"/>
  <c r="FN199" i="3"/>
  <c r="FN197" i="3"/>
  <c r="FN196" i="3"/>
  <c r="FN195" i="3"/>
  <c r="FN191" i="3"/>
  <c r="FN189" i="3"/>
  <c r="FN184" i="3"/>
  <c r="FN183" i="3"/>
  <c r="FN177" i="3"/>
  <c r="FN169" i="3"/>
  <c r="FN164" i="3"/>
  <c r="FN163" i="3"/>
  <c r="FN159" i="3"/>
  <c r="FN153" i="3"/>
  <c r="FN152" i="3"/>
  <c r="FN139" i="3"/>
  <c r="FN135" i="3"/>
  <c r="FN117" i="3"/>
  <c r="FN116" i="3"/>
  <c r="FN115" i="3"/>
  <c r="FN114" i="3"/>
  <c r="FN113" i="3"/>
  <c r="FN112" i="3"/>
  <c r="FN111" i="3"/>
  <c r="FN99" i="3"/>
  <c r="FN95" i="3"/>
  <c r="FN93" i="3"/>
  <c r="FN74" i="3"/>
  <c r="FN71" i="3"/>
  <c r="FN69" i="3"/>
  <c r="FN53" i="3"/>
  <c r="FN51" i="3"/>
  <c r="FN49" i="3"/>
  <c r="FN47" i="3"/>
  <c r="FN39" i="3"/>
  <c r="FN22" i="3"/>
  <c r="FN20" i="3"/>
  <c r="FN19" i="3"/>
  <c r="FN17" i="3"/>
  <c r="FN16" i="3"/>
  <c r="FN12" i="3"/>
  <c r="FN11" i="3"/>
  <c r="FN10" i="3"/>
  <c r="FN9" i="3"/>
  <c r="FN8" i="3"/>
  <c r="FN6" i="3"/>
  <c r="FN5" i="3"/>
  <c r="FM236" i="3"/>
  <c r="FM235" i="3"/>
  <c r="FM234" i="3"/>
  <c r="FM233" i="3"/>
  <c r="FM232" i="3"/>
  <c r="FM231" i="3"/>
  <c r="FM230" i="3"/>
  <c r="FM203" i="3"/>
  <c r="FM202" i="3"/>
  <c r="FM201" i="3"/>
  <c r="FM200" i="3"/>
  <c r="FM199" i="3"/>
  <c r="FM197" i="3"/>
  <c r="FM196" i="3"/>
  <c r="FM195" i="3"/>
  <c r="FM183" i="3"/>
  <c r="FM164" i="3"/>
  <c r="FM163" i="3"/>
  <c r="FM152" i="3"/>
  <c r="FM139" i="3"/>
  <c r="FM135" i="3"/>
  <c r="FM112" i="3"/>
  <c r="FM71" i="3"/>
  <c r="FM39" i="3"/>
  <c r="FM22" i="3"/>
  <c r="FM169" i="3" l="1"/>
  <c r="FM189" i="3"/>
  <c r="FM184" i="3"/>
  <c r="FM53" i="3"/>
  <c r="FM51" i="3"/>
  <c r="FM47" i="3"/>
  <c r="FM95" i="3"/>
  <c r="FM93" i="3"/>
  <c r="FM6" i="3"/>
  <c r="FM9" i="3"/>
  <c r="FM5" i="3"/>
  <c r="FM10" i="3"/>
  <c r="FM16" i="3"/>
  <c r="FM8" i="3"/>
  <c r="FM11" i="3"/>
  <c r="FM12" i="3"/>
  <c r="FM19" i="3"/>
  <c r="FM117" i="3"/>
  <c r="FM153" i="3"/>
  <c r="FM116" i="3"/>
  <c r="FM74" i="3"/>
  <c r="FM111" i="3"/>
  <c r="FM115" i="3"/>
  <c r="FM114" i="3"/>
  <c r="EQ291" i="3"/>
  <c r="FM278" i="3"/>
  <c r="FM285" i="3"/>
  <c r="FM272" i="3"/>
  <c r="FM268" i="3"/>
  <c r="FM258" i="3"/>
  <c r="FM263" i="3"/>
  <c r="FM207" i="3"/>
  <c r="FM214" i="3"/>
  <c r="FM177" i="3"/>
  <c r="FM191" i="3"/>
  <c r="EQ262" i="3"/>
  <c r="EQ140" i="3"/>
  <c r="FM140" i="3" s="1"/>
  <c r="EQ137" i="3"/>
  <c r="EQ75" i="3"/>
  <c r="FM75" i="3" s="1"/>
  <c r="EQ63" i="3"/>
  <c r="EQ60" i="3"/>
  <c r="EQ37" i="3"/>
  <c r="FM37" i="3" s="1"/>
  <c r="EQ36" i="3"/>
  <c r="FM36" i="3" s="1"/>
  <c r="EQ30" i="3" l="1"/>
  <c r="FM30" i="3" s="1"/>
  <c r="FM99" i="3"/>
  <c r="EQ91" i="3"/>
  <c r="EQ33" i="3"/>
  <c r="FM33" i="3" s="1"/>
  <c r="EQ35" i="3"/>
  <c r="FM35" i="3" s="1"/>
  <c r="EQ178" i="3"/>
  <c r="FM178" i="3" s="1"/>
  <c r="EQ31" i="3"/>
  <c r="FM31" i="3" s="1"/>
  <c r="EQ257" i="3"/>
  <c r="FM257" i="3" s="1"/>
  <c r="FM96" i="3"/>
  <c r="EQ34" i="3"/>
  <c r="FM34" i="3" s="1"/>
  <c r="EQ77" i="3"/>
  <c r="EQ170" i="3"/>
  <c r="FM170" i="3" s="1"/>
  <c r="EQ287" i="3"/>
  <c r="FM287" i="3" s="1"/>
  <c r="EQ154" i="3"/>
  <c r="FM154" i="3" s="1"/>
  <c r="EQ180" i="3"/>
  <c r="FM180" i="3" s="1"/>
  <c r="FM97" i="3"/>
  <c r="EQ118" i="3"/>
  <c r="FM118" i="3" s="1"/>
  <c r="EQ185" i="3"/>
  <c r="FM185" i="3" s="1"/>
  <c r="EQ23" i="3"/>
  <c r="FM23" i="3" s="1"/>
  <c r="EQ52" i="3"/>
  <c r="FM52" i="3" s="1"/>
  <c r="EQ120" i="3"/>
  <c r="EQ198" i="3"/>
  <c r="FM198" i="3" s="1"/>
  <c r="EQ38" i="3"/>
  <c r="FM38" i="3" s="1"/>
  <c r="EQ123" i="3"/>
  <c r="EQ45" i="3"/>
  <c r="EQ55" i="3" s="1"/>
  <c r="FM55" i="3" s="1"/>
  <c r="EQ80" i="3"/>
  <c r="FM80" i="3" s="1"/>
  <c r="EQ186" i="3"/>
  <c r="FM186" i="3" s="1"/>
  <c r="EQ50" i="3"/>
  <c r="FM50" i="3" s="1"/>
  <c r="FM49" i="3"/>
  <c r="EQ32" i="3"/>
  <c r="FM32" i="3" s="1"/>
  <c r="EQ48" i="3"/>
  <c r="FM48" i="3" s="1"/>
  <c r="EQ90" i="3"/>
  <c r="FM90" i="3" s="1"/>
  <c r="EQ192" i="3"/>
  <c r="FM192" i="3" s="1"/>
  <c r="EQ279" i="3"/>
  <c r="FM279" i="3" s="1"/>
  <c r="EQ208" i="3"/>
  <c r="FM208" i="3" s="1"/>
  <c r="EQ101" i="3"/>
  <c r="EQ126" i="3" s="1"/>
  <c r="FM126" i="3" s="1"/>
  <c r="FM113" i="3"/>
  <c r="EQ54" i="3"/>
  <c r="FM54" i="3" s="1"/>
  <c r="EQ100" i="3"/>
  <c r="FM100" i="3" s="1"/>
  <c r="EQ215" i="3"/>
  <c r="FM215" i="3" s="1"/>
  <c r="FM94" i="3"/>
  <c r="EQ7" i="3"/>
  <c r="EQ104" i="3" s="1"/>
  <c r="EQ217" i="3"/>
  <c r="FM217" i="3" s="1"/>
  <c r="EQ66" i="3"/>
  <c r="FM66" i="3" s="1"/>
  <c r="FM60" i="3"/>
  <c r="FM123" i="3"/>
  <c r="EQ138" i="3"/>
  <c r="FM138" i="3" s="1"/>
  <c r="FM137" i="3"/>
  <c r="EQ256" i="3"/>
  <c r="FM256" i="3" s="1"/>
  <c r="EQ211" i="3"/>
  <c r="FM211" i="3" s="1"/>
  <c r="FD120" i="3"/>
  <c r="FC120" i="3"/>
  <c r="FB120" i="3"/>
  <c r="FA120" i="3"/>
  <c r="EY120" i="3"/>
  <c r="EX120" i="3"/>
  <c r="EW120" i="3"/>
  <c r="EV120" i="3"/>
  <c r="EO120" i="3"/>
  <c r="EN120" i="3"/>
  <c r="EM120" i="3"/>
  <c r="EL120" i="3"/>
  <c r="EJ120" i="3"/>
  <c r="EI120" i="3"/>
  <c r="EH120" i="3"/>
  <c r="EG120" i="3"/>
  <c r="EE120" i="3"/>
  <c r="ED120" i="3"/>
  <c r="EC120" i="3"/>
  <c r="EC121" i="3" s="1"/>
  <c r="EB120" i="3"/>
  <c r="DZ120" i="3"/>
  <c r="DY120" i="3"/>
  <c r="DX120" i="3"/>
  <c r="DW120" i="3"/>
  <c r="DU120" i="3"/>
  <c r="DU121" i="3" s="1"/>
  <c r="DT120" i="3"/>
  <c r="DS120" i="3"/>
  <c r="DR120" i="3"/>
  <c r="DP120" i="3"/>
  <c r="DO120" i="3"/>
  <c r="DN120" i="3"/>
  <c r="DM120" i="3"/>
  <c r="DK120" i="3"/>
  <c r="DJ120" i="3"/>
  <c r="DO121" i="3" s="1"/>
  <c r="DI120" i="3"/>
  <c r="DH120" i="3"/>
  <c r="EJ121" i="3"/>
  <c r="DR121" i="3"/>
  <c r="FD77" i="3"/>
  <c r="FC77" i="3"/>
  <c r="FB77" i="3"/>
  <c r="FA77" i="3"/>
  <c r="EY77" i="3"/>
  <c r="EX77" i="3"/>
  <c r="EW77" i="3"/>
  <c r="EV77" i="3"/>
  <c r="EO77" i="3"/>
  <c r="EN77" i="3"/>
  <c r="EM77" i="3"/>
  <c r="EL77" i="3"/>
  <c r="EJ77" i="3"/>
  <c r="EI77" i="3"/>
  <c r="EH77" i="3"/>
  <c r="EG77" i="3"/>
  <c r="EE77" i="3"/>
  <c r="ED77" i="3"/>
  <c r="EC77" i="3"/>
  <c r="EB77" i="3"/>
  <c r="DZ77" i="3"/>
  <c r="EE78" i="3" s="1"/>
  <c r="DY77" i="3"/>
  <c r="DX77" i="3"/>
  <c r="DW77" i="3"/>
  <c r="DU77" i="3"/>
  <c r="DT77" i="3"/>
  <c r="DS77" i="3"/>
  <c r="DR77" i="3"/>
  <c r="DP77" i="3"/>
  <c r="DO77" i="3"/>
  <c r="DN77" i="3"/>
  <c r="DS78" i="3" s="1"/>
  <c r="DM77" i="3"/>
  <c r="DK77" i="3"/>
  <c r="DJ77" i="3"/>
  <c r="DI77" i="3"/>
  <c r="DH77" i="3"/>
  <c r="EC78" i="3"/>
  <c r="EJ63" i="3"/>
  <c r="EI63" i="3"/>
  <c r="EH63" i="3"/>
  <c r="EG63" i="3"/>
  <c r="EE63" i="3"/>
  <c r="ED63" i="3"/>
  <c r="EC63" i="3"/>
  <c r="EB63" i="3"/>
  <c r="DZ63" i="3"/>
  <c r="DY63" i="3"/>
  <c r="DX63" i="3"/>
  <c r="DW63" i="3"/>
  <c r="DU63" i="3"/>
  <c r="DT63" i="3"/>
  <c r="DS63" i="3"/>
  <c r="DR63" i="3"/>
  <c r="DP63" i="3"/>
  <c r="DO63" i="3"/>
  <c r="DN63" i="3"/>
  <c r="DM63" i="3"/>
  <c r="DM64" i="3" s="1"/>
  <c r="DK63" i="3"/>
  <c r="DJ63" i="3"/>
  <c r="DI63" i="3"/>
  <c r="DH63" i="3"/>
  <c r="FD63" i="3"/>
  <c r="FC63" i="3"/>
  <c r="FB63" i="3"/>
  <c r="FA63" i="3"/>
  <c r="EY63" i="3"/>
  <c r="EX63" i="3"/>
  <c r="EW63" i="3"/>
  <c r="EV63" i="3"/>
  <c r="EO63" i="3"/>
  <c r="EO64" i="3" s="1"/>
  <c r="EN63" i="3"/>
  <c r="EN64" i="3" s="1"/>
  <c r="EM63" i="3"/>
  <c r="EM64" i="3" s="1"/>
  <c r="EL63" i="3"/>
  <c r="EL64" i="3" s="1"/>
  <c r="EQ79" i="3" l="1"/>
  <c r="EQ204" i="3"/>
  <c r="FM204" i="3" s="1"/>
  <c r="EQ121" i="3"/>
  <c r="EQ26" i="3"/>
  <c r="FM26" i="3" s="1"/>
  <c r="EQ78" i="3"/>
  <c r="EQ65" i="3"/>
  <c r="EQ190" i="3"/>
  <c r="FM190" i="3" s="1"/>
  <c r="EQ122" i="3"/>
  <c r="EQ171" i="3"/>
  <c r="FM171" i="3" s="1"/>
  <c r="FM45" i="3"/>
  <c r="EQ84" i="3"/>
  <c r="EQ107" i="3"/>
  <c r="FM107" i="3" s="1"/>
  <c r="FM101" i="3"/>
  <c r="EQ42" i="3"/>
  <c r="FM42" i="3" s="1"/>
  <c r="FM91" i="3"/>
  <c r="FM7" i="3"/>
  <c r="EQ64" i="3"/>
  <c r="DM121" i="3"/>
  <c r="DP64" i="3"/>
  <c r="DU64" i="3"/>
  <c r="EE64" i="3"/>
  <c r="EJ64" i="3"/>
  <c r="EQ106" i="3"/>
  <c r="EQ129" i="3"/>
  <c r="FM129" i="3" s="1"/>
  <c r="EQ155" i="3"/>
  <c r="FM155" i="3" s="1"/>
  <c r="EQ156" i="3"/>
  <c r="FM156" i="3" s="1"/>
  <c r="EQ142" i="3"/>
  <c r="FM142" i="3" s="1"/>
  <c r="DZ64" i="3"/>
  <c r="EI64" i="3"/>
  <c r="ED64" i="3"/>
  <c r="DY64" i="3"/>
  <c r="DT64" i="3"/>
  <c r="DO64" i="3"/>
  <c r="EG64" i="3"/>
  <c r="EB64" i="3"/>
  <c r="DW64" i="3"/>
  <c r="DR64" i="3"/>
  <c r="DU78" i="3"/>
  <c r="DR78" i="3"/>
  <c r="DS121" i="3"/>
  <c r="EH64" i="3"/>
  <c r="EC64" i="3"/>
  <c r="DX64" i="3"/>
  <c r="DS64" i="3"/>
  <c r="DN64" i="3"/>
  <c r="EH78" i="3"/>
  <c r="DO78" i="3"/>
  <c r="DX78" i="3"/>
  <c r="DT121" i="3"/>
  <c r="EB121" i="3"/>
  <c r="EH121" i="3"/>
  <c r="EI121" i="3"/>
  <c r="DZ121" i="3"/>
  <c r="ED121" i="3"/>
  <c r="DW121" i="3"/>
  <c r="EE121" i="3"/>
  <c r="EM121" i="3"/>
  <c r="DP121" i="3"/>
  <c r="DX121" i="3"/>
  <c r="EN121" i="3"/>
  <c r="DY121" i="3"/>
  <c r="EG121" i="3"/>
  <c r="EO121" i="3"/>
  <c r="DN121" i="3"/>
  <c r="EL121" i="3"/>
  <c r="EM78" i="3"/>
  <c r="EN78" i="3"/>
  <c r="DZ78" i="3"/>
  <c r="EI78" i="3"/>
  <c r="DP78" i="3"/>
  <c r="DW78" i="3"/>
  <c r="DM78" i="3"/>
  <c r="DT78" i="3"/>
  <c r="EB78" i="3"/>
  <c r="EJ78" i="3"/>
  <c r="DN78" i="3"/>
  <c r="ED78" i="3"/>
  <c r="EL78" i="3"/>
  <c r="DY78" i="3"/>
  <c r="EG78" i="3"/>
  <c r="EO78" i="3"/>
  <c r="EQ148" i="3" l="1"/>
  <c r="FM148" i="3" s="1"/>
  <c r="EQ238" i="3"/>
  <c r="FM238" i="3" s="1"/>
  <c r="EQ76" i="3"/>
  <c r="FM76" i="3" s="1"/>
  <c r="EQ103" i="3"/>
  <c r="FM103" i="3" s="1"/>
  <c r="EQ119" i="3"/>
  <c r="FM119" i="3" s="1"/>
  <c r="EQ62" i="3"/>
  <c r="FM62" i="3" s="1"/>
  <c r="EQ128" i="3"/>
  <c r="FM128" i="3" s="1"/>
  <c r="EQ131" i="3"/>
  <c r="EQ146" i="3"/>
  <c r="FM131" i="3" l="1"/>
  <c r="FM146" i="3"/>
  <c r="FE187" i="3"/>
  <c r="FJ273" i="3" l="1"/>
  <c r="S20" i="91"/>
  <c r="T20" i="91" s="1"/>
  <c r="U20" i="91" s="1"/>
  <c r="V20" i="91" s="1"/>
  <c r="W20" i="91" s="1"/>
  <c r="X20" i="91" s="1"/>
  <c r="Y20" i="91" s="1"/>
  <c r="ER268" i="3" l="1"/>
  <c r="ES268" i="3" s="1"/>
  <c r="ET268" i="3" s="1"/>
  <c r="FJ171" i="3" l="1"/>
  <c r="FI171" i="3"/>
  <c r="FH171" i="3"/>
  <c r="EO359" i="3" l="1"/>
  <c r="EO354" i="3"/>
  <c r="EO352" i="3"/>
  <c r="EO351" i="3"/>
  <c r="EO350" i="3"/>
  <c r="EO353" i="3" s="1"/>
  <c r="EO347" i="3"/>
  <c r="EO345" i="3"/>
  <c r="EO343" i="3"/>
  <c r="EO342" i="3"/>
  <c r="EO338" i="3"/>
  <c r="EO344" i="3" l="1"/>
  <c r="EO348" i="3"/>
  <c r="FE265" i="3"/>
  <c r="FT331" i="3"/>
  <c r="FU331" i="3" s="1"/>
  <c r="EU347" i="3"/>
  <c r="EQ307" i="3"/>
  <c r="EP358" i="3" l="1"/>
  <c r="EP356" i="3"/>
  <c r="EP353" i="3"/>
  <c r="EP348" i="3"/>
  <c r="EP344" i="3"/>
  <c r="EO309" i="3"/>
  <c r="EP324" i="3"/>
  <c r="EP317" i="3"/>
  <c r="EP316" i="3"/>
  <c r="EJ309" i="3"/>
  <c r="EX279" i="3"/>
  <c r="EY279" i="3" s="1"/>
  <c r="ES279" i="3"/>
  <c r="ET279" i="3" s="1"/>
  <c r="ET399" i="3" l="1"/>
  <c r="ES399" i="3"/>
  <c r="ER399" i="3"/>
  <c r="EQ399" i="3"/>
  <c r="EU398" i="3"/>
  <c r="ET398" i="3"/>
  <c r="ES398" i="3"/>
  <c r="ER398" i="3"/>
  <c r="EQ398" i="3"/>
  <c r="EP399" i="3"/>
  <c r="EL399" i="3"/>
  <c r="EP398" i="3"/>
  <c r="EO398" i="3"/>
  <c r="EN398" i="3"/>
  <c r="EM398" i="3"/>
  <c r="EL398" i="3"/>
  <c r="EJ398" i="3"/>
  <c r="EO197" i="3" l="1"/>
  <c r="EO163" i="3"/>
  <c r="EO158" i="3"/>
  <c r="EO165" i="3"/>
  <c r="ES197" i="3" l="1"/>
  <c r="ET197" i="3" s="1"/>
  <c r="EP326" i="3"/>
  <c r="FA314" i="3" l="1"/>
  <c r="FB314" i="3"/>
  <c r="FC314" i="3"/>
  <c r="FD314" i="3"/>
  <c r="EO164" i="3"/>
  <c r="FD143" i="3"/>
  <c r="FC143" i="3"/>
  <c r="FB143" i="3"/>
  <c r="FA143" i="3"/>
  <c r="EY143" i="3"/>
  <c r="EX143" i="3"/>
  <c r="EW143" i="3"/>
  <c r="EV143" i="3"/>
  <c r="FD223" i="3"/>
  <c r="FC223" i="3"/>
  <c r="FB223" i="3"/>
  <c r="FA223" i="3"/>
  <c r="EY223" i="3"/>
  <c r="EX223" i="3"/>
  <c r="EW223" i="3"/>
  <c r="EV223" i="3"/>
  <c r="EJ223" i="3"/>
  <c r="EJ207" i="3"/>
  <c r="EJ191" i="3"/>
  <c r="ES221" i="3"/>
  <c r="ET221" i="3" s="1"/>
  <c r="EO221" i="3"/>
  <c r="EK221" i="3"/>
  <c r="EP221" i="3" l="1"/>
  <c r="EU221" i="3"/>
  <c r="EO94" i="3" l="1"/>
  <c r="EO97" i="3"/>
  <c r="EO96" i="3" l="1"/>
  <c r="Y2" i="91" l="1"/>
  <c r="EP283" i="3" l="1"/>
  <c r="EO48" i="3"/>
  <c r="EP290" i="3"/>
  <c r="EP73" i="3"/>
  <c r="EP284" i="3"/>
  <c r="EP282" i="3"/>
  <c r="EP196" i="3"/>
  <c r="EP195" i="3"/>
  <c r="EP164" i="3"/>
  <c r="EP152" i="3"/>
  <c r="EP139" i="3"/>
  <c r="EP117" i="3"/>
  <c r="EP95" i="3"/>
  <c r="EO267" i="3"/>
  <c r="EQ266" i="3" s="1"/>
  <c r="EQ265" i="3" s="1"/>
  <c r="EO140" i="3"/>
  <c r="EO137" i="3"/>
  <c r="EO118" i="3"/>
  <c r="EP263" i="3" l="1"/>
  <c r="EO36" i="3"/>
  <c r="EP114" i="3"/>
  <c r="EP115" i="3"/>
  <c r="EP169" i="3"/>
  <c r="EO217" i="3"/>
  <c r="EO223" i="3"/>
  <c r="EP6" i="3"/>
  <c r="EP19" i="3"/>
  <c r="EP189" i="3"/>
  <c r="EO154" i="3"/>
  <c r="EP99" i="3"/>
  <c r="EO33" i="3"/>
  <c r="EO180" i="3"/>
  <c r="EO190" i="3" s="1"/>
  <c r="EO32" i="3"/>
  <c r="EO38" i="3"/>
  <c r="EP5" i="3"/>
  <c r="EP77" i="3" s="1"/>
  <c r="EO80" i="3"/>
  <c r="EQ82" i="3" s="1"/>
  <c r="FM82" i="3" s="1"/>
  <c r="EO75" i="3"/>
  <c r="EO186" i="3"/>
  <c r="EQ188" i="3" s="1"/>
  <c r="FM188" i="3" s="1"/>
  <c r="EO60" i="3"/>
  <c r="EO66" i="3" s="1"/>
  <c r="EQ68" i="3" s="1"/>
  <c r="FM68" i="3" s="1"/>
  <c r="EO91" i="3"/>
  <c r="EO84" i="3" s="1"/>
  <c r="EO291" i="3"/>
  <c r="EP268" i="3"/>
  <c r="EO279" i="3"/>
  <c r="EO192" i="3"/>
  <c r="EP93" i="3"/>
  <c r="EP207" i="3"/>
  <c r="EP113" i="3"/>
  <c r="EP49" i="3"/>
  <c r="EP278" i="3"/>
  <c r="EO198" i="3"/>
  <c r="EP51" i="3"/>
  <c r="EP111" i="3"/>
  <c r="EP53" i="3"/>
  <c r="EP177" i="3"/>
  <c r="EP10" i="3"/>
  <c r="EO215" i="3"/>
  <c r="EP184" i="3"/>
  <c r="EO54" i="3"/>
  <c r="EO100" i="3"/>
  <c r="EO170" i="3"/>
  <c r="EO257" i="3"/>
  <c r="EP8" i="3"/>
  <c r="EP63" i="3" s="1"/>
  <c r="EP70" i="3"/>
  <c r="EP258" i="3"/>
  <c r="EP74" i="3"/>
  <c r="EP9" i="3"/>
  <c r="EO50" i="3"/>
  <c r="EO160" i="3"/>
  <c r="EO52" i="3"/>
  <c r="EO34" i="3"/>
  <c r="EO101" i="3"/>
  <c r="EO178" i="3"/>
  <c r="EP12" i="3"/>
  <c r="EP191" i="3"/>
  <c r="EP116" i="3"/>
  <c r="EO30" i="3"/>
  <c r="EP16" i="3"/>
  <c r="EP272" i="3"/>
  <c r="EP308" i="3" s="1"/>
  <c r="EO37" i="3"/>
  <c r="EO185" i="3"/>
  <c r="EP159" i="3"/>
  <c r="EO123" i="3"/>
  <c r="EQ125" i="3" s="1"/>
  <c r="FM125" i="3" s="1"/>
  <c r="EP285" i="3"/>
  <c r="EP47" i="3"/>
  <c r="EO45" i="3"/>
  <c r="EO287" i="3"/>
  <c r="EP214" i="3"/>
  <c r="EP304" i="3" s="1"/>
  <c r="EO31" i="3"/>
  <c r="EO7" i="3"/>
  <c r="EO104" i="3" s="1"/>
  <c r="EP11" i="3"/>
  <c r="EO23" i="3"/>
  <c r="EQ24" i="3" s="1"/>
  <c r="FM24" i="3" s="1"/>
  <c r="EO35" i="3"/>
  <c r="EO138" i="3"/>
  <c r="EN158" i="3"/>
  <c r="EO122" i="3" l="1"/>
  <c r="EO79" i="3"/>
  <c r="EO65" i="3"/>
  <c r="EP123" i="3"/>
  <c r="EP120" i="3"/>
  <c r="EO106" i="3"/>
  <c r="EP306" i="3"/>
  <c r="EP223" i="3"/>
  <c r="EP240" i="3" s="1"/>
  <c r="EP349" i="3" s="1"/>
  <c r="EO208" i="3"/>
  <c r="EP186" i="3"/>
  <c r="EO90" i="3"/>
  <c r="EP80" i="3"/>
  <c r="EO256" i="3"/>
  <c r="EO126" i="3"/>
  <c r="EO156" i="3" s="1"/>
  <c r="EO76" i="3" s="1"/>
  <c r="EP183" i="3"/>
  <c r="EP180" i="3" s="1"/>
  <c r="EP190" i="3" s="1"/>
  <c r="EO107" i="3"/>
  <c r="EQ109" i="3" s="1"/>
  <c r="FM109" i="3" s="1"/>
  <c r="EO166" i="3"/>
  <c r="EO55" i="3"/>
  <c r="EQ57" i="3" s="1"/>
  <c r="FM57" i="3" s="1"/>
  <c r="EO210" i="3"/>
  <c r="EP23" i="3"/>
  <c r="EP45" i="3"/>
  <c r="EP55" i="3" s="1"/>
  <c r="EO204" i="3"/>
  <c r="EQ206" i="3" s="1"/>
  <c r="FM206" i="3" s="1"/>
  <c r="EO42" i="3"/>
  <c r="EQ44" i="3" s="1"/>
  <c r="FM44" i="3" s="1"/>
  <c r="EO211" i="3"/>
  <c r="EQ213" i="3" s="1"/>
  <c r="FM213" i="3" s="1"/>
  <c r="EO171" i="3"/>
  <c r="EQ173" i="3" s="1"/>
  <c r="FM173" i="3" s="1"/>
  <c r="EO26" i="3"/>
  <c r="EQ27" i="3" s="1"/>
  <c r="FM27" i="3" s="1"/>
  <c r="EP7" i="3"/>
  <c r="EP104" i="3" s="1"/>
  <c r="EO227" i="3"/>
  <c r="EO225" i="3"/>
  <c r="EO179" i="3"/>
  <c r="EO240" i="3"/>
  <c r="EO218" i="3"/>
  <c r="EO194" i="3"/>
  <c r="EO161" i="3"/>
  <c r="EP194" i="3" l="1"/>
  <c r="EO349" i="3"/>
  <c r="EP122" i="3"/>
  <c r="EP106" i="3"/>
  <c r="EP171" i="3"/>
  <c r="EP79" i="3"/>
  <c r="EP65" i="3"/>
  <c r="EP310" i="3"/>
  <c r="EP161" i="3"/>
  <c r="EO142" i="3"/>
  <c r="EO129" i="3"/>
  <c r="EO155" i="3"/>
  <c r="EP211" i="3"/>
  <c r="EP179" i="3"/>
  <c r="EP225" i="3"/>
  <c r="EP210" i="3"/>
  <c r="EP218" i="3"/>
  <c r="EP227" i="3"/>
  <c r="EP42" i="3"/>
  <c r="EP148" i="3" s="1"/>
  <c r="EO174" i="3"/>
  <c r="EP26" i="3"/>
  <c r="EP204" i="3"/>
  <c r="EO103" i="3"/>
  <c r="EO148" i="3"/>
  <c r="EO146" i="3" s="1"/>
  <c r="EO238" i="3"/>
  <c r="EO339" i="3" s="1"/>
  <c r="EO62" i="3"/>
  <c r="EO128" i="3"/>
  <c r="EO119" i="3"/>
  <c r="EM158" i="3"/>
  <c r="CZ14" i="41" l="1"/>
  <c r="EO131" i="3"/>
  <c r="EQ132" i="3" s="1"/>
  <c r="FM132" i="3" s="1"/>
  <c r="EO242" i="3"/>
  <c r="EO251" i="3"/>
  <c r="EO270" i="3" s="1"/>
  <c r="EN153" i="3"/>
  <c r="EO253" i="3" l="1"/>
  <c r="EO246" i="3"/>
  <c r="EO271" i="3"/>
  <c r="EO273" i="3"/>
  <c r="EO250" i="3" l="1"/>
  <c r="EO286" i="3"/>
  <c r="EO275" i="3"/>
  <c r="EN324" i="3"/>
  <c r="EO324" i="3" s="1"/>
  <c r="EO326" i="3" s="1"/>
  <c r="EJ268" i="3"/>
  <c r="EO292" i="3" l="1"/>
  <c r="EO288" i="3"/>
  <c r="EO224" i="3" l="1"/>
  <c r="EN360" i="3" l="1"/>
  <c r="EN350" i="3"/>
  <c r="EN353" i="3" s="1"/>
  <c r="EN348" i="3"/>
  <c r="EN342" i="3"/>
  <c r="EN344" i="3" s="1"/>
  <c r="EN340" i="3"/>
  <c r="EN326" i="3"/>
  <c r="EM321" i="3" l="1"/>
  <c r="EN267" i="3"/>
  <c r="EO266" i="3" s="1"/>
  <c r="EO265" i="3" s="1"/>
  <c r="EN197" i="3"/>
  <c r="EN163" i="3"/>
  <c r="EN321" i="3" l="1"/>
  <c r="EO321" i="3"/>
  <c r="ES1" i="3" l="1"/>
  <c r="ET1" i="3" s="1"/>
  <c r="ER291" i="3"/>
  <c r="ER214" i="3"/>
  <c r="ER191" i="3"/>
  <c r="ER169" i="3"/>
  <c r="ER140" i="3"/>
  <c r="ER137" i="3"/>
  <c r="ER100" i="3"/>
  <c r="ER19" i="3"/>
  <c r="ER16" i="3"/>
  <c r="ER12" i="3"/>
  <c r="ER11" i="3"/>
  <c r="ER10" i="3"/>
  <c r="ER9" i="3"/>
  <c r="ER8" i="3"/>
  <c r="ER63" i="3" s="1"/>
  <c r="ER6" i="3"/>
  <c r="ER120" i="3" s="1"/>
  <c r="ER121" i="3" s="1"/>
  <c r="ER5" i="3"/>
  <c r="ER77" i="3" s="1"/>
  <c r="EU326" i="3"/>
  <c r="EU285" i="3"/>
  <c r="EU284" i="3"/>
  <c r="EU283" i="3"/>
  <c r="EU282" i="3"/>
  <c r="EU263" i="3"/>
  <c r="EU198" i="3"/>
  <c r="EU197" i="3"/>
  <c r="EU196" i="3"/>
  <c r="EU164" i="3"/>
  <c r="ET154" i="3"/>
  <c r="EU153" i="3"/>
  <c r="EU152" i="3"/>
  <c r="ET140" i="3"/>
  <c r="ES140" i="3"/>
  <c r="EU139" i="3"/>
  <c r="ET137" i="3"/>
  <c r="ES137" i="3"/>
  <c r="ET100" i="3"/>
  <c r="EU99" i="3"/>
  <c r="ER78" i="3" l="1"/>
  <c r="ER64" i="3"/>
  <c r="FI170" i="3"/>
  <c r="FH170" i="3"/>
  <c r="ER7" i="3"/>
  <c r="ER104" i="3" s="1"/>
  <c r="ER23" i="3"/>
  <c r="EU290" i="3"/>
  <c r="ER192" i="3"/>
  <c r="ER217" i="3"/>
  <c r="EU268" i="3"/>
  <c r="EU195" i="3"/>
  <c r="EZ195" i="3" s="1"/>
  <c r="FE195" i="3" s="1"/>
  <c r="ER171" i="3" l="1"/>
  <c r="ER122" i="3"/>
  <c r="ER79" i="3"/>
  <c r="ER106" i="3"/>
  <c r="ER65" i="3"/>
  <c r="ER204" i="3"/>
  <c r="ER26" i="3"/>
  <c r="ER24" i="3"/>
  <c r="FI169" i="3" s="1"/>
  <c r="ER206" i="3" l="1"/>
  <c r="ER27" i="3"/>
  <c r="ER173" i="3"/>
  <c r="ES154" i="3" l="1"/>
  <c r="EN170" i="3" l="1"/>
  <c r="ES100" i="3"/>
  <c r="EN192" i="3"/>
  <c r="ES9" i="3"/>
  <c r="EN32" i="3"/>
  <c r="EN34" i="3"/>
  <c r="EN30" i="3"/>
  <c r="ES11" i="3"/>
  <c r="EN36" i="3"/>
  <c r="EN262" i="3"/>
  <c r="EN154" i="3"/>
  <c r="EN140" i="3"/>
  <c r="EN137" i="3"/>
  <c r="EN54" i="3"/>
  <c r="EN50" i="3"/>
  <c r="ES214" i="3" l="1"/>
  <c r="ES217" i="3" s="1"/>
  <c r="EN304" i="3"/>
  <c r="EN306" i="3" s="1"/>
  <c r="EN287" i="3"/>
  <c r="EN215" i="3"/>
  <c r="EN52" i="3"/>
  <c r="EN45" i="3"/>
  <c r="EN75" i="3"/>
  <c r="EN118" i="3"/>
  <c r="ES19" i="3"/>
  <c r="ES6" i="3"/>
  <c r="ES120" i="3" s="1"/>
  <c r="ES121" i="3" s="1"/>
  <c r="EN257" i="3"/>
  <c r="ES12" i="3"/>
  <c r="EN291" i="3"/>
  <c r="ES291" i="3"/>
  <c r="ES5" i="3"/>
  <c r="ES77" i="3" s="1"/>
  <c r="ES191" i="3"/>
  <c r="EN160" i="3"/>
  <c r="ES16" i="3"/>
  <c r="EN101" i="3"/>
  <c r="ES8" i="3"/>
  <c r="ES63" i="3" s="1"/>
  <c r="EN165" i="3"/>
  <c r="EN279" i="3"/>
  <c r="ES10" i="3"/>
  <c r="ES169" i="3"/>
  <c r="FJ170" i="3" s="1"/>
  <c r="EN31" i="3"/>
  <c r="EN178" i="3"/>
  <c r="EN208" i="3"/>
  <c r="EN100" i="3"/>
  <c r="EN186" i="3"/>
  <c r="EO188" i="3" s="1"/>
  <c r="EN35" i="3"/>
  <c r="EN217" i="3"/>
  <c r="EN96" i="3"/>
  <c r="EN48" i="3"/>
  <c r="EN180" i="3"/>
  <c r="EN185" i="3"/>
  <c r="EN97" i="3"/>
  <c r="EN91" i="3"/>
  <c r="EN90" i="3" s="1"/>
  <c r="EN94" i="3"/>
  <c r="EN138" i="3"/>
  <c r="EN223" i="3"/>
  <c r="EN161" i="3" s="1"/>
  <c r="EN198" i="3"/>
  <c r="EN123" i="3"/>
  <c r="EO125" i="3" s="1"/>
  <c r="EN60" i="3"/>
  <c r="EN33" i="3"/>
  <c r="EN80" i="3"/>
  <c r="EN23" i="3"/>
  <c r="EN7" i="3"/>
  <c r="EN104" i="3" s="1"/>
  <c r="EO24" i="3" l="1"/>
  <c r="EN122" i="3"/>
  <c r="EN79" i="3"/>
  <c r="EN65" i="3"/>
  <c r="EN106" i="3"/>
  <c r="ES78" i="3"/>
  <c r="ES64" i="3"/>
  <c r="ES80" i="3"/>
  <c r="ES74" i="3" s="1"/>
  <c r="EO82" i="3"/>
  <c r="EN166" i="3"/>
  <c r="EN179" i="3"/>
  <c r="EN218" i="3"/>
  <c r="ES23" i="3"/>
  <c r="EN107" i="3"/>
  <c r="EN256" i="3"/>
  <c r="EN126" i="3"/>
  <c r="EN142" i="3" s="1"/>
  <c r="ES186" i="3"/>
  <c r="ES7" i="3"/>
  <c r="ES192" i="3"/>
  <c r="EN225" i="3"/>
  <c r="EN194" i="3"/>
  <c r="EN210" i="3"/>
  <c r="EN240" i="3"/>
  <c r="EN349" i="3" s="1"/>
  <c r="EN55" i="3"/>
  <c r="EN190" i="3"/>
  <c r="EN42" i="3"/>
  <c r="EN84" i="3"/>
  <c r="EN66" i="3"/>
  <c r="EO68" i="3" s="1"/>
  <c r="EN227" i="3"/>
  <c r="EO229" i="3" s="1"/>
  <c r="EN171" i="3"/>
  <c r="EO173" i="3" s="1"/>
  <c r="EN211" i="3"/>
  <c r="EO213" i="3" s="1"/>
  <c r="EN26" i="3"/>
  <c r="EO27" i="3" s="1"/>
  <c r="EN204" i="3"/>
  <c r="EO206" i="3" s="1"/>
  <c r="ES204" i="3" l="1"/>
  <c r="ES205" i="3" s="1"/>
  <c r="ES122" i="3"/>
  <c r="ES29" i="3"/>
  <c r="ES104" i="3"/>
  <c r="ES79" i="3"/>
  <c r="ES65" i="3"/>
  <c r="ES55" i="3"/>
  <c r="EO57" i="3"/>
  <c r="EN148" i="3"/>
  <c r="EO44" i="3"/>
  <c r="EN174" i="3"/>
  <c r="EO176" i="3" s="1"/>
  <c r="EO168" i="3"/>
  <c r="ES107" i="3"/>
  <c r="ES101" i="3" s="1"/>
  <c r="ES102" i="3" s="1"/>
  <c r="EO109" i="3"/>
  <c r="CY14" i="41"/>
  <c r="EN129" i="3"/>
  <c r="EN156" i="3"/>
  <c r="ES66" i="3"/>
  <c r="ES75" i="3"/>
  <c r="EN155" i="3"/>
  <c r="ES211" i="3"/>
  <c r="ES207" i="3" s="1"/>
  <c r="ES40" i="3"/>
  <c r="ES24" i="3"/>
  <c r="FJ169" i="3" s="1"/>
  <c r="ES26" i="3"/>
  <c r="ES171" i="3"/>
  <c r="ES206" i="3" l="1"/>
  <c r="ES105" i="3"/>
  <c r="ES106" i="3"/>
  <c r="EN131" i="3"/>
  <c r="EO132" i="3" s="1"/>
  <c r="EN146" i="3"/>
  <c r="EN76" i="3"/>
  <c r="EN238" i="3"/>
  <c r="ES136" i="3"/>
  <c r="ES208" i="3"/>
  <c r="EN62" i="3"/>
  <c r="ES173" i="3"/>
  <c r="ES172" i="3"/>
  <c r="ES60" i="3"/>
  <c r="EN103" i="3"/>
  <c r="ES27" i="3"/>
  <c r="EN128" i="3"/>
  <c r="EN119" i="3"/>
  <c r="EN337" i="3" l="1"/>
  <c r="EN339" i="3"/>
  <c r="EN341" i="3"/>
  <c r="EN251" i="3"/>
  <c r="EN242" i="3"/>
  <c r="EO244" i="3" s="1"/>
  <c r="ES61" i="3"/>
  <c r="EN270" i="3" l="1"/>
  <c r="EN246" i="3"/>
  <c r="EO248" i="3" s="1"/>
  <c r="EN253" i="3"/>
  <c r="FJ165" i="3"/>
  <c r="FI165" i="3"/>
  <c r="FT196" i="3"/>
  <c r="FU167" i="3"/>
  <c r="EP153" i="3" l="1"/>
  <c r="ER154" i="3"/>
  <c r="EN271" i="3"/>
  <c r="EN273" i="3"/>
  <c r="EN250" i="3"/>
  <c r="EN275" i="3" l="1"/>
  <c r="EO277" i="3" s="1"/>
  <c r="EN286" i="3"/>
  <c r="EN303" i="3" l="1"/>
  <c r="EN292" i="3"/>
  <c r="EN288" i="3"/>
  <c r="EL158" i="3"/>
  <c r="EM360" i="3" l="1"/>
  <c r="EM356" i="3"/>
  <c r="EM358" i="3" s="1"/>
  <c r="EM353" i="3"/>
  <c r="EM348" i="3"/>
  <c r="EM328" i="3"/>
  <c r="EM320" i="3"/>
  <c r="EM318" i="3"/>
  <c r="EM313" i="3"/>
  <c r="EM326" i="3"/>
  <c r="EM307" i="3"/>
  <c r="EM311" i="3"/>
  <c r="EM304" i="3"/>
  <c r="EM306" i="3" s="1"/>
  <c r="EN320" i="3" l="1"/>
  <c r="EO320" i="3"/>
  <c r="EM399" i="3"/>
  <c r="EN313" i="3"/>
  <c r="EN314" i="3" s="1"/>
  <c r="EN307" i="3"/>
  <c r="EN308" i="3" s="1"/>
  <c r="EO307" i="3"/>
  <c r="EO308" i="3" s="1"/>
  <c r="EN328" i="3"/>
  <c r="EO328" i="3" s="1"/>
  <c r="EN311" i="3"/>
  <c r="EO311" i="3"/>
  <c r="EN318" i="3"/>
  <c r="EO318" i="3" s="1"/>
  <c r="EM308" i="3"/>
  <c r="EN310" i="3"/>
  <c r="EM315" i="3"/>
  <c r="EM323" i="3"/>
  <c r="EM327" i="3" s="1"/>
  <c r="EL215" i="3"/>
  <c r="FN215" i="3" s="1"/>
  <c r="EM197" i="3"/>
  <c r="FV173" i="3"/>
  <c r="FV176" i="3" s="1"/>
  <c r="FV178" i="3" s="1"/>
  <c r="FW171" i="3"/>
  <c r="FX171" i="3" s="1"/>
  <c r="FY171" i="3" s="1"/>
  <c r="FU176" i="3"/>
  <c r="EM163" i="3"/>
  <c r="EO399" i="3" l="1"/>
  <c r="EO323" i="3"/>
  <c r="EO327" i="3" s="1"/>
  <c r="EO315" i="3"/>
  <c r="EN315" i="3"/>
  <c r="EO313" i="3"/>
  <c r="EN323" i="3"/>
  <c r="EN327" i="3" s="1"/>
  <c r="EN399" i="3"/>
  <c r="EP197" i="3"/>
  <c r="EO314" i="3" l="1"/>
  <c r="EM291" i="3"/>
  <c r="EM267" i="3"/>
  <c r="EN266" i="3" s="1"/>
  <c r="EN265" i="3" s="1"/>
  <c r="EM262" i="3"/>
  <c r="EN261" i="3" s="1"/>
  <c r="EN260" i="3" s="1"/>
  <c r="EM198" i="3"/>
  <c r="EM178" i="3"/>
  <c r="EM160" i="3"/>
  <c r="EM140" i="3"/>
  <c r="EM137" i="3"/>
  <c r="EM96" i="3"/>
  <c r="EM94" i="3"/>
  <c r="EM52" i="3"/>
  <c r="EM32" i="3"/>
  <c r="EM257" i="3" l="1"/>
  <c r="EM256" i="3" s="1"/>
  <c r="EM54" i="3"/>
  <c r="EM31" i="3"/>
  <c r="EM138" i="3"/>
  <c r="EM33" i="3"/>
  <c r="EM97" i="3"/>
  <c r="EM166" i="3"/>
  <c r="EN168" i="3" s="1"/>
  <c r="EM185" i="3"/>
  <c r="EM75" i="3"/>
  <c r="EM123" i="3"/>
  <c r="EN125" i="3" s="1"/>
  <c r="EM192" i="3"/>
  <c r="EM215" i="3"/>
  <c r="EM279" i="3"/>
  <c r="FQ279" i="3" s="1"/>
  <c r="EM34" i="3"/>
  <c r="EM91" i="3"/>
  <c r="EM84" i="3" s="1"/>
  <c r="EM100" i="3"/>
  <c r="EM180" i="3"/>
  <c r="EM186" i="3"/>
  <c r="EM217" i="3"/>
  <c r="EM154" i="3"/>
  <c r="EM35" i="3"/>
  <c r="EM208" i="3"/>
  <c r="EM287" i="3"/>
  <c r="EM48" i="3"/>
  <c r="EM170" i="3"/>
  <c r="EM45" i="3"/>
  <c r="EM50" i="3"/>
  <c r="EM223" i="3"/>
  <c r="EM194" i="3" s="1"/>
  <c r="EM118" i="3"/>
  <c r="EM80" i="3"/>
  <c r="EM60" i="3"/>
  <c r="EM66" i="3" s="1"/>
  <c r="EM101" i="3"/>
  <c r="EM7" i="3"/>
  <c r="AQ174" i="93"/>
  <c r="K45" i="93"/>
  <c r="J45" i="93"/>
  <c r="I45" i="93"/>
  <c r="H45" i="93"/>
  <c r="G45" i="93"/>
  <c r="F45" i="93"/>
  <c r="E45" i="93"/>
  <c r="D45" i="93"/>
  <c r="K44" i="93"/>
  <c r="J44" i="93"/>
  <c r="I44" i="93"/>
  <c r="H44" i="93"/>
  <c r="G44" i="93"/>
  <c r="F44" i="93"/>
  <c r="E44" i="93"/>
  <c r="D44" i="93"/>
  <c r="CG42" i="93"/>
  <c r="CF42" i="93"/>
  <c r="CE42" i="93"/>
  <c r="CD42" i="93"/>
  <c r="CJ40" i="93"/>
  <c r="CI40" i="93"/>
  <c r="CH40" i="93"/>
  <c r="CG40" i="93"/>
  <c r="CG41" i="93" s="1"/>
  <c r="CF40" i="93"/>
  <c r="CF41" i="93" s="1"/>
  <c r="CE40" i="93"/>
  <c r="CE41" i="93" s="1"/>
  <c r="CD40" i="93"/>
  <c r="CD41" i="93" s="1"/>
  <c r="CC40" i="93"/>
  <c r="K40" i="93"/>
  <c r="J40" i="93"/>
  <c r="I40" i="93"/>
  <c r="H40" i="93"/>
  <c r="G40" i="93"/>
  <c r="F40" i="93"/>
  <c r="E40" i="93"/>
  <c r="D40" i="93"/>
  <c r="D41" i="93" s="1"/>
  <c r="L37" i="93"/>
  <c r="K37" i="93"/>
  <c r="K41" i="93" s="1"/>
  <c r="J37" i="93"/>
  <c r="J41" i="93" s="1"/>
  <c r="I37" i="93"/>
  <c r="I41" i="93" s="1"/>
  <c r="H37" i="93"/>
  <c r="H41" i="93" s="1"/>
  <c r="G37" i="93"/>
  <c r="F37" i="93"/>
  <c r="E37" i="93"/>
  <c r="L33" i="93"/>
  <c r="M33" i="93" s="1"/>
  <c r="K31" i="93"/>
  <c r="J31" i="93"/>
  <c r="I31" i="93"/>
  <c r="H31" i="93"/>
  <c r="G31" i="93"/>
  <c r="F31" i="93"/>
  <c r="E31" i="93"/>
  <c r="D31" i="93"/>
  <c r="K30" i="93"/>
  <c r="J30" i="93"/>
  <c r="I30" i="93"/>
  <c r="H30" i="93"/>
  <c r="G30" i="93"/>
  <c r="F30" i="93"/>
  <c r="E30" i="93"/>
  <c r="D30" i="93"/>
  <c r="D34" i="93" s="1"/>
  <c r="L29" i="93"/>
  <c r="K29" i="93"/>
  <c r="J29" i="93"/>
  <c r="J34" i="93" s="1"/>
  <c r="I29" i="93"/>
  <c r="I34" i="93" s="1"/>
  <c r="H29" i="93"/>
  <c r="H34" i="93" s="1"/>
  <c r="G29" i="93"/>
  <c r="G34" i="93" s="1"/>
  <c r="F29" i="93"/>
  <c r="F34" i="93" s="1"/>
  <c r="E29" i="93"/>
  <c r="E34" i="93" s="1"/>
  <c r="K24" i="93"/>
  <c r="J24" i="93"/>
  <c r="I24" i="93"/>
  <c r="H24" i="93"/>
  <c r="G24" i="93"/>
  <c r="F24" i="93"/>
  <c r="E24" i="93"/>
  <c r="D24" i="93"/>
  <c r="K23" i="93"/>
  <c r="J23" i="93"/>
  <c r="I23" i="93"/>
  <c r="H23" i="93"/>
  <c r="G23" i="93"/>
  <c r="F23" i="93"/>
  <c r="E23" i="93"/>
  <c r="D23" i="93"/>
  <c r="AZ21" i="93"/>
  <c r="L21" i="93"/>
  <c r="L31" i="93" s="1"/>
  <c r="L20" i="93"/>
  <c r="M20" i="93" s="1"/>
  <c r="N20" i="93" s="1"/>
  <c r="O20" i="93" s="1"/>
  <c r="P20" i="93" s="1"/>
  <c r="Q20" i="93" s="1"/>
  <c r="R20" i="93" s="1"/>
  <c r="S20" i="93" s="1"/>
  <c r="T20" i="93" s="1"/>
  <c r="T13" i="93"/>
  <c r="T52" i="93" s="1"/>
  <c r="S13" i="93"/>
  <c r="S52" i="93" s="1"/>
  <c r="R13" i="93"/>
  <c r="R52" i="93" s="1"/>
  <c r="Q13" i="93"/>
  <c r="Q52" i="93" s="1"/>
  <c r="P13" i="93"/>
  <c r="P52" i="93" s="1"/>
  <c r="O13" i="93"/>
  <c r="O52" i="93" s="1"/>
  <c r="N13" i="93"/>
  <c r="N52" i="93" s="1"/>
  <c r="M13" i="93"/>
  <c r="M52" i="93" s="1"/>
  <c r="L13" i="93"/>
  <c r="L52" i="93" s="1"/>
  <c r="K13" i="93"/>
  <c r="K52" i="93" s="1"/>
  <c r="J13" i="93"/>
  <c r="J52" i="93" s="1"/>
  <c r="I13" i="93"/>
  <c r="I52" i="93" s="1"/>
  <c r="H13" i="93"/>
  <c r="H52" i="93" s="1"/>
  <c r="G13" i="93"/>
  <c r="G52" i="93" s="1"/>
  <c r="F13" i="93"/>
  <c r="F52" i="93" s="1"/>
  <c r="E13" i="93"/>
  <c r="E52" i="93" s="1"/>
  <c r="D13" i="93"/>
  <c r="D52" i="93" s="1"/>
  <c r="K12" i="93"/>
  <c r="G12" i="93"/>
  <c r="F12" i="93"/>
  <c r="E12" i="93"/>
  <c r="D12" i="93"/>
  <c r="L11" i="93"/>
  <c r="L22" i="93" s="1"/>
  <c r="BG10" i="93"/>
  <c r="K10" i="93"/>
  <c r="J10" i="93"/>
  <c r="I10" i="93"/>
  <c r="H10" i="93"/>
  <c r="G10" i="93"/>
  <c r="F10" i="93"/>
  <c r="E10" i="93"/>
  <c r="D10" i="93"/>
  <c r="L9" i="93"/>
  <c r="M9" i="93" s="1"/>
  <c r="N9" i="93" s="1"/>
  <c r="O9" i="93" s="1"/>
  <c r="P9" i="93" s="1"/>
  <c r="Q9" i="93" s="1"/>
  <c r="R9" i="93" s="1"/>
  <c r="S9" i="93" s="1"/>
  <c r="T9" i="93" s="1"/>
  <c r="K9" i="93"/>
  <c r="L19" i="93" s="1"/>
  <c r="J9" i="93"/>
  <c r="I9" i="93"/>
  <c r="H9" i="93"/>
  <c r="G9" i="93"/>
  <c r="F9" i="93"/>
  <c r="E9" i="93"/>
  <c r="D9" i="93"/>
  <c r="L8" i="93"/>
  <c r="K6" i="93"/>
  <c r="CG38" i="93" s="1"/>
  <c r="H2" i="93"/>
  <c r="H1" i="93"/>
  <c r="ER29" i="3" l="1"/>
  <c r="EM104" i="3"/>
  <c r="L32" i="93"/>
  <c r="ER80" i="3"/>
  <c r="EN82" i="3"/>
  <c r="ER186" i="3"/>
  <c r="EN188" i="3"/>
  <c r="ER66" i="3"/>
  <c r="EN68" i="3"/>
  <c r="FX131" i="3"/>
  <c r="H12" i="93"/>
  <c r="I12" i="93"/>
  <c r="J12" i="93"/>
  <c r="E41" i="93"/>
  <c r="F41" i="93"/>
  <c r="K34" i="93"/>
  <c r="G41" i="93"/>
  <c r="EM174" i="3"/>
  <c r="EN176" i="3" s="1"/>
  <c r="EM126" i="3"/>
  <c r="EM142" i="3" s="1"/>
  <c r="EM190" i="3"/>
  <c r="EM90" i="3"/>
  <c r="EM240" i="3"/>
  <c r="EM349" i="3" s="1"/>
  <c r="EM55" i="3"/>
  <c r="EM179" i="3"/>
  <c r="EM218" i="3"/>
  <c r="EM210" i="3"/>
  <c r="EM161" i="3"/>
  <c r="EM23" i="3"/>
  <c r="EM107" i="3"/>
  <c r="ER107" i="3" s="1"/>
  <c r="L30" i="93"/>
  <c r="L35" i="93" s="1"/>
  <c r="M19" i="93"/>
  <c r="L12" i="93"/>
  <c r="L38" i="93" s="1"/>
  <c r="J6" i="93"/>
  <c r="L6" i="93"/>
  <c r="M8" i="93"/>
  <c r="N8" i="93" s="1"/>
  <c r="O8" i="93" s="1"/>
  <c r="P8" i="93" s="1"/>
  <c r="Q8" i="93" s="1"/>
  <c r="R8" i="93" s="1"/>
  <c r="S8" i="93" s="1"/>
  <c r="T8" i="93" s="1"/>
  <c r="M11" i="93"/>
  <c r="L24" i="93"/>
  <c r="M24" i="93" s="1"/>
  <c r="K15" i="93"/>
  <c r="K54" i="93" s="1"/>
  <c r="L42" i="93"/>
  <c r="D25" i="93"/>
  <c r="D51" i="93" s="1"/>
  <c r="F25" i="93"/>
  <c r="F51" i="93" s="1"/>
  <c r="H25" i="93"/>
  <c r="H51" i="93" s="1"/>
  <c r="J25" i="93"/>
  <c r="J51" i="93" s="1"/>
  <c r="M59" i="93"/>
  <c r="D47" i="93"/>
  <c r="E47" i="93" s="1"/>
  <c r="F47" i="93" s="1"/>
  <c r="G47" i="93" s="1"/>
  <c r="H47" i="93" s="1"/>
  <c r="I47" i="93" s="1"/>
  <c r="J47" i="93" s="1"/>
  <c r="K47" i="93" s="1"/>
  <c r="E25" i="93"/>
  <c r="E51" i="93" s="1"/>
  <c r="G25" i="93"/>
  <c r="G51" i="93" s="1"/>
  <c r="I25" i="93"/>
  <c r="I51" i="93" s="1"/>
  <c r="K25" i="93"/>
  <c r="K51" i="93" s="1"/>
  <c r="L59" i="93"/>
  <c r="N33" i="93"/>
  <c r="K1" i="92"/>
  <c r="H3" i="92"/>
  <c r="J3" i="92"/>
  <c r="ER40" i="3" l="1"/>
  <c r="EM79" i="3"/>
  <c r="EM122" i="3"/>
  <c r="EM65" i="3"/>
  <c r="EM106" i="3"/>
  <c r="ER105" i="3"/>
  <c r="ER55" i="3"/>
  <c r="EN57" i="3"/>
  <c r="ER60" i="3"/>
  <c r="ER61" i="3" s="1"/>
  <c r="ES68" i="3"/>
  <c r="ES188" i="3"/>
  <c r="ER74" i="3"/>
  <c r="ER75" i="3" s="1"/>
  <c r="ES82" i="3"/>
  <c r="ER101" i="3"/>
  <c r="ER102" i="3" s="1"/>
  <c r="ES109" i="3"/>
  <c r="FX128" i="3"/>
  <c r="EM129" i="3"/>
  <c r="ER136" i="3" s="1"/>
  <c r="EN24" i="3"/>
  <c r="EN109" i="3"/>
  <c r="CX14" i="41"/>
  <c r="L67" i="93"/>
  <c r="L25" i="93"/>
  <c r="L51" i="93" s="1"/>
  <c r="EM155" i="3"/>
  <c r="EM227" i="3"/>
  <c r="EN229" i="3" s="1"/>
  <c r="EM156" i="3"/>
  <c r="EM225" i="3"/>
  <c r="EM204" i="3"/>
  <c r="EM42" i="3"/>
  <c r="EN44" i="3" s="1"/>
  <c r="EM171" i="3"/>
  <c r="ER172" i="3" s="1"/>
  <c r="EM26" i="3"/>
  <c r="EN27" i="3" s="1"/>
  <c r="EM211" i="3"/>
  <c r="H3" i="93"/>
  <c r="L44" i="93"/>
  <c r="L66" i="93" s="1"/>
  <c r="CH42" i="93"/>
  <c r="CH41" i="93"/>
  <c r="M32" i="93"/>
  <c r="M29" i="93"/>
  <c r="M21" i="93"/>
  <c r="CF38" i="93"/>
  <c r="I6" i="93"/>
  <c r="J15" i="93"/>
  <c r="J54" i="93" s="1"/>
  <c r="M30" i="93"/>
  <c r="N19" i="93"/>
  <c r="N59" i="93"/>
  <c r="O33" i="93"/>
  <c r="L45" i="93"/>
  <c r="M22" i="93"/>
  <c r="M37" i="93"/>
  <c r="M12" i="93"/>
  <c r="M38" i="93" s="1"/>
  <c r="N11" i="93"/>
  <c r="CH38" i="93"/>
  <c r="M6" i="93"/>
  <c r="L15" i="93"/>
  <c r="L54" i="93" s="1"/>
  <c r="L23" i="93"/>
  <c r="BG7" i="92"/>
  <c r="L8" i="92"/>
  <c r="M8" i="92"/>
  <c r="N8" i="92" s="1"/>
  <c r="O8" i="92" s="1"/>
  <c r="P8" i="92" s="1"/>
  <c r="Q8" i="92" s="1"/>
  <c r="R8" i="92" s="1"/>
  <c r="S8" i="92" s="1"/>
  <c r="T8" i="92" s="1"/>
  <c r="L9" i="92"/>
  <c r="M9" i="92"/>
  <c r="N9" i="92" s="1"/>
  <c r="O9" i="92" s="1"/>
  <c r="P9" i="92" s="1"/>
  <c r="Q9" i="92" s="1"/>
  <c r="R9" i="92" s="1"/>
  <c r="S9" i="92" s="1"/>
  <c r="T9" i="92" s="1"/>
  <c r="L10" i="92"/>
  <c r="M10" i="92" s="1"/>
  <c r="N10" i="92" s="1"/>
  <c r="O10" i="92" s="1"/>
  <c r="P10" i="92" s="1"/>
  <c r="Q10" i="92" s="1"/>
  <c r="R10" i="92" s="1"/>
  <c r="S10" i="92" s="1"/>
  <c r="T10" i="92" s="1"/>
  <c r="L11" i="92"/>
  <c r="L12" i="92" s="1"/>
  <c r="M11" i="92"/>
  <c r="N11" i="92" s="1"/>
  <c r="O11" i="92" s="1"/>
  <c r="P11" i="92" s="1"/>
  <c r="Q11" i="92" s="1"/>
  <c r="R11" i="92" s="1"/>
  <c r="S11" i="92" s="1"/>
  <c r="T11" i="92" s="1"/>
  <c r="T12" i="92" s="1"/>
  <c r="D12" i="92"/>
  <c r="S12" i="92"/>
  <c r="D15" i="92"/>
  <c r="E15" i="92"/>
  <c r="F15" i="92"/>
  <c r="G15" i="92"/>
  <c r="H15" i="92"/>
  <c r="I15" i="92"/>
  <c r="J15" i="92"/>
  <c r="K15" i="92"/>
  <c r="L15" i="92"/>
  <c r="M15" i="92"/>
  <c r="N15" i="92"/>
  <c r="O15" i="92"/>
  <c r="P15" i="92"/>
  <c r="Q15" i="92"/>
  <c r="R15" i="92"/>
  <c r="S15" i="92"/>
  <c r="T15" i="92"/>
  <c r="AZ15" i="92"/>
  <c r="BA12" i="92" s="1"/>
  <c r="L68" i="93" l="1"/>
  <c r="L60" i="93"/>
  <c r="EN213" i="3"/>
  <c r="ER211" i="3"/>
  <c r="EN206" i="3"/>
  <c r="ER205" i="3"/>
  <c r="ES57" i="3"/>
  <c r="EM131" i="3"/>
  <c r="EN132" i="3" s="1"/>
  <c r="EN173" i="3"/>
  <c r="R12" i="92"/>
  <c r="Q12" i="92"/>
  <c r="P12" i="92"/>
  <c r="O12" i="92"/>
  <c r="M12" i="92"/>
  <c r="L47" i="93"/>
  <c r="L61" i="93" s="1"/>
  <c r="L62" i="93" s="1"/>
  <c r="L69" i="93" s="1"/>
  <c r="BG6" i="92"/>
  <c r="BG6" i="93" s="1"/>
  <c r="BG7" i="93"/>
  <c r="N12" i="92"/>
  <c r="EM119" i="3"/>
  <c r="EM103" i="3"/>
  <c r="EM128" i="3"/>
  <c r="EM238" i="3"/>
  <c r="EM76" i="3"/>
  <c r="EM62" i="3"/>
  <c r="EM148" i="3"/>
  <c r="CI38" i="93"/>
  <c r="M15" i="93"/>
  <c r="M54" i="93" s="1"/>
  <c r="N6" i="93"/>
  <c r="O11" i="93"/>
  <c r="N12" i="93"/>
  <c r="M42" i="93"/>
  <c r="M67" i="93"/>
  <c r="N30" i="93"/>
  <c r="O19" i="93"/>
  <c r="CE38" i="93"/>
  <c r="I15" i="93"/>
  <c r="I54" i="93" s="1"/>
  <c r="H6" i="93"/>
  <c r="N24" i="93"/>
  <c r="O59" i="93"/>
  <c r="P33" i="93"/>
  <c r="M31" i="93"/>
  <c r="M35" i="93" s="1"/>
  <c r="M25" i="93"/>
  <c r="M23" i="93"/>
  <c r="AZ13" i="92"/>
  <c r="AZ16" i="92"/>
  <c r="L19" i="92"/>
  <c r="M19" i="92" s="1"/>
  <c r="N19" i="92" s="1"/>
  <c r="O19" i="92" s="1"/>
  <c r="P19" i="92" s="1"/>
  <c r="Q19" i="92" s="1"/>
  <c r="R19" i="92" s="1"/>
  <c r="S19" i="92" s="1"/>
  <c r="T19" i="92" s="1"/>
  <c r="BA19" i="92"/>
  <c r="ER207" i="3" l="1"/>
  <c r="ER208" i="3" s="1"/>
  <c r="ES213" i="3"/>
  <c r="EM339" i="3"/>
  <c r="EM337" i="3"/>
  <c r="EM314" i="3"/>
  <c r="EM251" i="3"/>
  <c r="EM146" i="3"/>
  <c r="EM242" i="3"/>
  <c r="EN244" i="3" s="1"/>
  <c r="M60" i="93"/>
  <c r="M51" i="93"/>
  <c r="P59" i="93"/>
  <c r="Q33" i="93"/>
  <c r="CI42" i="93"/>
  <c r="M44" i="93"/>
  <c r="CI41" i="93"/>
  <c r="N32" i="93"/>
  <c r="O24" i="93" s="1"/>
  <c r="N29" i="93"/>
  <c r="N21" i="93"/>
  <c r="CD38" i="93"/>
  <c r="G6" i="93"/>
  <c r="H15" i="93"/>
  <c r="H54" i="93" s="1"/>
  <c r="O30" i="93"/>
  <c r="P19" i="93"/>
  <c r="M45" i="93"/>
  <c r="N38" i="93"/>
  <c r="N37" i="93"/>
  <c r="N42" i="93" s="1"/>
  <c r="N22" i="93"/>
  <c r="O12" i="93"/>
  <c r="P11" i="93"/>
  <c r="CJ38" i="93"/>
  <c r="O6" i="93"/>
  <c r="N15" i="93"/>
  <c r="N54" i="93" s="1"/>
  <c r="AZ11" i="92"/>
  <c r="AZ12" i="92"/>
  <c r="L20" i="92"/>
  <c r="M20" i="92"/>
  <c r="N20" i="92" s="1"/>
  <c r="O20" i="92" s="1"/>
  <c r="P20" i="92" s="1"/>
  <c r="Q20" i="92" s="1"/>
  <c r="R20" i="92" s="1"/>
  <c r="S20" i="92" s="1"/>
  <c r="T20" i="92" s="1"/>
  <c r="BG37" i="93"/>
  <c r="BG35" i="93"/>
  <c r="BG26" i="93"/>
  <c r="BG11" i="92"/>
  <c r="BG42" i="93"/>
  <c r="BG8" i="92"/>
  <c r="BG22" i="93"/>
  <c r="BG38" i="93"/>
  <c r="BG29" i="93"/>
  <c r="BG21" i="93"/>
  <c r="BG8" i="93"/>
  <c r="BG19" i="93"/>
  <c r="BG11" i="93"/>
  <c r="BG20" i="93"/>
  <c r="N67" i="93" l="1"/>
  <c r="EM246" i="3"/>
  <c r="EN248" i="3" s="1"/>
  <c r="EM253" i="3"/>
  <c r="EM270" i="3"/>
  <c r="O22" i="93"/>
  <c r="O38" i="93"/>
  <c r="O37" i="93"/>
  <c r="P30" i="93"/>
  <c r="Q19" i="93"/>
  <c r="G15" i="93"/>
  <c r="G54" i="93" s="1"/>
  <c r="F6" i="93"/>
  <c r="O15" i="93"/>
  <c r="O54" i="93" s="1"/>
  <c r="P6" i="93"/>
  <c r="Q11" i="93"/>
  <c r="P12" i="93"/>
  <c r="N31" i="93"/>
  <c r="N35" i="93" s="1"/>
  <c r="N25" i="93"/>
  <c r="N23" i="93"/>
  <c r="M66" i="93"/>
  <c r="M68" i="93" s="1"/>
  <c r="M47" i="93"/>
  <c r="Q59" i="93"/>
  <c r="R33" i="93"/>
  <c r="L21" i="92"/>
  <c r="AZ21" i="92"/>
  <c r="G25" i="92" s="1"/>
  <c r="L22" i="92"/>
  <c r="D23" i="92"/>
  <c r="E23" i="92"/>
  <c r="F23" i="92"/>
  <c r="G23" i="92"/>
  <c r="H23" i="92"/>
  <c r="I23" i="92"/>
  <c r="J23" i="92"/>
  <c r="K23" i="92"/>
  <c r="D24" i="92"/>
  <c r="E24" i="92"/>
  <c r="E25" i="92" s="1"/>
  <c r="F24" i="92"/>
  <c r="F25" i="92" s="1"/>
  <c r="G24" i="92"/>
  <c r="H24" i="92"/>
  <c r="I24" i="92"/>
  <c r="J24" i="92"/>
  <c r="K24" i="92"/>
  <c r="K25" i="92"/>
  <c r="CH27" i="92"/>
  <c r="CH28" i="92"/>
  <c r="D25" i="92" l="1"/>
  <c r="J25" i="92"/>
  <c r="I25" i="92"/>
  <c r="H25" i="92"/>
  <c r="EM273" i="3"/>
  <c r="EM271" i="3"/>
  <c r="EM250" i="3"/>
  <c r="N44" i="93"/>
  <c r="N66" i="93" s="1"/>
  <c r="N68" i="93" s="1"/>
  <c r="CJ42" i="93"/>
  <c r="CJ41" i="93"/>
  <c r="O32" i="93"/>
  <c r="O29" i="93"/>
  <c r="O21" i="93"/>
  <c r="N45" i="93"/>
  <c r="N60" i="93"/>
  <c r="N51" i="93"/>
  <c r="E6" i="93"/>
  <c r="F15" i="93"/>
  <c r="F54" i="93" s="1"/>
  <c r="R59" i="93"/>
  <c r="S33" i="93"/>
  <c r="M61" i="93"/>
  <c r="M62" i="93" s="1"/>
  <c r="M69" i="93" s="1"/>
  <c r="Q12" i="93"/>
  <c r="R11" i="93"/>
  <c r="Q6" i="93"/>
  <c r="P15" i="93"/>
  <c r="P54" i="93" s="1"/>
  <c r="Q30" i="93"/>
  <c r="R19" i="93"/>
  <c r="O42" i="93"/>
  <c r="E29" i="92"/>
  <c r="F29" i="92"/>
  <c r="G29" i="92"/>
  <c r="H29" i="92"/>
  <c r="I29" i="92"/>
  <c r="J29" i="92"/>
  <c r="K29" i="92"/>
  <c r="L29" i="92"/>
  <c r="CH29" i="92"/>
  <c r="N47" i="93" l="1"/>
  <c r="N61" i="93" s="1"/>
  <c r="N62" i="93" s="1"/>
  <c r="N69" i="93" s="1"/>
  <c r="EM275" i="3"/>
  <c r="EN277" i="3" s="1"/>
  <c r="EM286" i="3"/>
  <c r="P38" i="93"/>
  <c r="P37" i="93"/>
  <c r="P42" i="93" s="1"/>
  <c r="P22" i="93"/>
  <c r="R30" i="93"/>
  <c r="S19" i="93"/>
  <c r="Q15" i="93"/>
  <c r="Q54" i="93" s="1"/>
  <c r="R6" i="93"/>
  <c r="O31" i="93"/>
  <c r="O35" i="93" s="1"/>
  <c r="O25" i="93"/>
  <c r="O23" i="93"/>
  <c r="P24" i="93"/>
  <c r="O67" i="93"/>
  <c r="S11" i="93"/>
  <c r="R12" i="93"/>
  <c r="S59" i="93"/>
  <c r="T33" i="93"/>
  <c r="T59" i="93" s="1"/>
  <c r="E15" i="93"/>
  <c r="E54" i="93" s="1"/>
  <c r="D6" i="93"/>
  <c r="D30" i="92"/>
  <c r="E30" i="92"/>
  <c r="F30" i="92"/>
  <c r="G30" i="92"/>
  <c r="H30" i="92"/>
  <c r="I30" i="92"/>
  <c r="J30" i="92"/>
  <c r="K30" i="92"/>
  <c r="L30" i="92"/>
  <c r="M30" i="92"/>
  <c r="N30" i="92"/>
  <c r="O30" i="92"/>
  <c r="P30" i="92"/>
  <c r="Q30" i="92"/>
  <c r="R30" i="92"/>
  <c r="S30" i="92"/>
  <c r="T30" i="92"/>
  <c r="CH30" i="92"/>
  <c r="EM303" i="3" l="1"/>
  <c r="EM292" i="3"/>
  <c r="EM288" i="3"/>
  <c r="D15" i="93"/>
  <c r="D54" i="93" s="1"/>
  <c r="O44" i="93"/>
  <c r="P32" i="93"/>
  <c r="P23" i="93" s="1"/>
  <c r="P29" i="93"/>
  <c r="P21" i="93"/>
  <c r="S12" i="93"/>
  <c r="T11" i="93"/>
  <c r="T12" i="93" s="1"/>
  <c r="O60" i="93"/>
  <c r="O51" i="93"/>
  <c r="S30" i="93"/>
  <c r="T19" i="93"/>
  <c r="S6" i="93"/>
  <c r="R15" i="93"/>
  <c r="R54" i="93" s="1"/>
  <c r="Q22" i="93"/>
  <c r="Q38" i="93"/>
  <c r="Q37" i="93"/>
  <c r="O45" i="93"/>
  <c r="D31" i="92"/>
  <c r="E31" i="92"/>
  <c r="F31" i="92"/>
  <c r="G31" i="92"/>
  <c r="H31" i="92"/>
  <c r="I31" i="92"/>
  <c r="J31" i="92"/>
  <c r="K31" i="92"/>
  <c r="L31" i="92"/>
  <c r="CD31" i="92"/>
  <c r="CE31" i="92"/>
  <c r="CF31" i="92"/>
  <c r="CG31" i="92"/>
  <c r="L32" i="92"/>
  <c r="L23" i="92" s="1"/>
  <c r="L33" i="92"/>
  <c r="M33" i="92"/>
  <c r="N33" i="92" s="1"/>
  <c r="O33" i="92" s="1"/>
  <c r="P33" i="92" s="1"/>
  <c r="Q33" i="92" s="1"/>
  <c r="R33" i="92" s="1"/>
  <c r="S33" i="92" s="1"/>
  <c r="T33" i="92" s="1"/>
  <c r="D34" i="92"/>
  <c r="E34" i="92"/>
  <c r="F34" i="92"/>
  <c r="G34" i="92"/>
  <c r="H34" i="92"/>
  <c r="I34" i="92"/>
  <c r="J34" i="92"/>
  <c r="K34" i="92"/>
  <c r="EM310" i="3" l="1"/>
  <c r="EO303" i="3"/>
  <c r="Q24" i="93"/>
  <c r="P67" i="93"/>
  <c r="L35" i="92"/>
  <c r="Q42" i="93"/>
  <c r="R22" i="93" s="1"/>
  <c r="T30" i="93"/>
  <c r="P31" i="93"/>
  <c r="P35" i="93" s="1"/>
  <c r="P25" i="93"/>
  <c r="R38" i="93"/>
  <c r="R37" i="93"/>
  <c r="S15" i="93"/>
  <c r="S54" i="93" s="1"/>
  <c r="T6" i="93"/>
  <c r="O66" i="93"/>
  <c r="O68" i="93" s="1"/>
  <c r="O47" i="93"/>
  <c r="M21" i="92"/>
  <c r="M29" i="92"/>
  <c r="M32" i="92"/>
  <c r="E37" i="92"/>
  <c r="E12" i="92" s="1"/>
  <c r="F37" i="92"/>
  <c r="F12" i="92" s="1"/>
  <c r="G37" i="92"/>
  <c r="G12" i="92" s="1"/>
  <c r="H37" i="92"/>
  <c r="H12" i="92" s="1"/>
  <c r="I37" i="92"/>
  <c r="I12" i="92" s="1"/>
  <c r="J37" i="92"/>
  <c r="J12" i="92" s="1"/>
  <c r="K37" i="92"/>
  <c r="K12" i="92" s="1"/>
  <c r="L24" i="92" s="1"/>
  <c r="L37" i="92"/>
  <c r="P60" i="93" l="1"/>
  <c r="P51" i="93"/>
  <c r="T15" i="93"/>
  <c r="T54" i="93" s="1"/>
  <c r="O61" i="93"/>
  <c r="O62" i="93" s="1"/>
  <c r="O69" i="93" s="1"/>
  <c r="P44" i="93"/>
  <c r="P66" i="93" s="1"/>
  <c r="P68" i="93" s="1"/>
  <c r="Q32" i="93"/>
  <c r="Q29" i="93"/>
  <c r="Q21" i="93"/>
  <c r="P45" i="93"/>
  <c r="R42" i="93"/>
  <c r="M24" i="92"/>
  <c r="L25" i="92"/>
  <c r="M31" i="92"/>
  <c r="M35" i="92" s="1"/>
  <c r="S22" i="93" l="1"/>
  <c r="S38" i="93"/>
  <c r="S37" i="93"/>
  <c r="S42" i="93" s="1"/>
  <c r="Q31" i="93"/>
  <c r="Q35" i="93" s="1"/>
  <c r="Q25" i="93"/>
  <c r="Q23" i="93"/>
  <c r="Q67" i="93"/>
  <c r="R24" i="93"/>
  <c r="P47" i="93"/>
  <c r="N21" i="92"/>
  <c r="N29" i="92"/>
  <c r="N32" i="92"/>
  <c r="CD38" i="92"/>
  <c r="CD26" i="92" s="1"/>
  <c r="CE38" i="92"/>
  <c r="CE26" i="92" s="1"/>
  <c r="CF38" i="92"/>
  <c r="CF26" i="92" s="1"/>
  <c r="CG38" i="92"/>
  <c r="CG26" i="92" s="1"/>
  <c r="CH38" i="92"/>
  <c r="CI38" i="92"/>
  <c r="CI3" i="92" s="1"/>
  <c r="CJ38" i="92"/>
  <c r="CJ3" i="92" s="1"/>
  <c r="L38" i="92"/>
  <c r="D40" i="92"/>
  <c r="E40" i="92"/>
  <c r="F40" i="92"/>
  <c r="G40" i="92"/>
  <c r="G41" i="92" s="1"/>
  <c r="H40" i="92"/>
  <c r="I40" i="92"/>
  <c r="J40" i="92"/>
  <c r="K40" i="92"/>
  <c r="L40" i="92"/>
  <c r="M40" i="92"/>
  <c r="N40" i="92"/>
  <c r="O40" i="92"/>
  <c r="P40" i="92"/>
  <c r="Q40" i="92"/>
  <c r="R40" i="92"/>
  <c r="S40" i="92"/>
  <c r="T40" i="92"/>
  <c r="D41" i="92"/>
  <c r="E41" i="92"/>
  <c r="F41" i="92"/>
  <c r="H41" i="92"/>
  <c r="I41" i="92"/>
  <c r="J41" i="92"/>
  <c r="K41" i="92"/>
  <c r="L42" i="92" l="1"/>
  <c r="Q44" i="93"/>
  <c r="Q66" i="93" s="1"/>
  <c r="Q68" i="93" s="1"/>
  <c r="R32" i="93"/>
  <c r="R29" i="93"/>
  <c r="R21" i="93"/>
  <c r="Q45" i="93"/>
  <c r="P61" i="93"/>
  <c r="P62" i="93" s="1"/>
  <c r="P69" i="93" s="1"/>
  <c r="Q60" i="93"/>
  <c r="Q51" i="93"/>
  <c r="T38" i="93"/>
  <c r="T37" i="93"/>
  <c r="T22" i="93"/>
  <c r="S24" i="93"/>
  <c r="M22" i="92"/>
  <c r="M37" i="92"/>
  <c r="N31" i="92"/>
  <c r="N35" i="92" s="1"/>
  <c r="D44" i="92"/>
  <c r="E44" i="92"/>
  <c r="F44" i="92"/>
  <c r="G44" i="92"/>
  <c r="H44" i="92"/>
  <c r="CD41" i="92" s="1"/>
  <c r="CD42" i="92" s="1"/>
  <c r="I44" i="92"/>
  <c r="CE41" i="92" s="1"/>
  <c r="CE42" i="92" s="1"/>
  <c r="J44" i="92"/>
  <c r="CF41" i="92" s="1"/>
  <c r="CF42" i="92" s="1"/>
  <c r="K44" i="92"/>
  <c r="CG41" i="92" s="1"/>
  <c r="CG42" i="92" s="1"/>
  <c r="L44" i="92"/>
  <c r="CH41" i="92" s="1"/>
  <c r="CH42" i="92" s="1"/>
  <c r="CE44" i="92"/>
  <c r="CF44" i="92"/>
  <c r="CJ44" i="92"/>
  <c r="CD44" i="92"/>
  <c r="CI44" i="92"/>
  <c r="CG44" i="92"/>
  <c r="CH44" i="92"/>
  <c r="Q47" i="93" l="1"/>
  <c r="T42" i="93"/>
  <c r="R31" i="93"/>
  <c r="R35" i="93" s="1"/>
  <c r="R25" i="93"/>
  <c r="R23" i="93"/>
  <c r="R67" i="93"/>
  <c r="Q61" i="93"/>
  <c r="Q62" i="93" s="1"/>
  <c r="Q69" i="93" s="1"/>
  <c r="O21" i="92"/>
  <c r="O29" i="92"/>
  <c r="O32" i="92"/>
  <c r="M38" i="92"/>
  <c r="M42" i="92" s="1"/>
  <c r="M25" i="92"/>
  <c r="M51" i="92" s="1"/>
  <c r="EU309" i="3" s="1"/>
  <c r="M23" i="92"/>
  <c r="N24" i="92"/>
  <c r="D45" i="92"/>
  <c r="E45" i="92"/>
  <c r="F45" i="92"/>
  <c r="G45" i="92"/>
  <c r="H45" i="92"/>
  <c r="CD43" i="92" s="1"/>
  <c r="I45" i="92"/>
  <c r="CE43" i="92" s="1"/>
  <c r="J45" i="92"/>
  <c r="CF43" i="92" s="1"/>
  <c r="K45" i="92"/>
  <c r="CG43" i="92" s="1"/>
  <c r="L45" i="92"/>
  <c r="CH43" i="92" s="1"/>
  <c r="D47" i="92"/>
  <c r="E47" i="92" s="1"/>
  <c r="F47" i="92" s="1"/>
  <c r="G47" i="92" s="1"/>
  <c r="H47" i="92" s="1"/>
  <c r="I47" i="92" s="1"/>
  <c r="J47" i="92" s="1"/>
  <c r="K47" i="92" s="1"/>
  <c r="L47" i="92" s="1"/>
  <c r="D51" i="92"/>
  <c r="E51" i="92"/>
  <c r="F51" i="92"/>
  <c r="G51" i="92"/>
  <c r="H51" i="92"/>
  <c r="I51" i="92"/>
  <c r="J51" i="92"/>
  <c r="K51" i="92"/>
  <c r="L51" i="92"/>
  <c r="D52" i="92"/>
  <c r="E52" i="92"/>
  <c r="F52" i="92"/>
  <c r="G52" i="92"/>
  <c r="H52" i="92"/>
  <c r="I52" i="92"/>
  <c r="J52" i="92"/>
  <c r="K52" i="92"/>
  <c r="L52" i="92"/>
  <c r="M52" i="92"/>
  <c r="M59" i="92" s="1"/>
  <c r="O52" i="92"/>
  <c r="O59" i="92" s="1"/>
  <c r="D54" i="92"/>
  <c r="E54" i="92"/>
  <c r="F54" i="92"/>
  <c r="G54" i="92"/>
  <c r="H54" i="92"/>
  <c r="I54" i="92"/>
  <c r="J54" i="92"/>
  <c r="K54" i="92"/>
  <c r="L54" i="92"/>
  <c r="M54" i="92"/>
  <c r="N54" i="92"/>
  <c r="O54" i="92"/>
  <c r="P54" i="92"/>
  <c r="Q54" i="92"/>
  <c r="R54" i="92"/>
  <c r="S54" i="92"/>
  <c r="T54" i="92"/>
  <c r="L59" i="92"/>
  <c r="L60" i="92"/>
  <c r="L66" i="92"/>
  <c r="L67" i="92"/>
  <c r="M67" i="92"/>
  <c r="D87" i="92"/>
  <c r="E87" i="92"/>
  <c r="F87" i="92"/>
  <c r="G87" i="92"/>
  <c r="H87" i="92"/>
  <c r="I87" i="92"/>
  <c r="J87" i="92"/>
  <c r="K87" i="92"/>
  <c r="L87" i="92"/>
  <c r="M87" i="92"/>
  <c r="N87" i="92"/>
  <c r="O87" i="92"/>
  <c r="P87" i="92"/>
  <c r="Q87" i="92"/>
  <c r="R87" i="92"/>
  <c r="S87" i="92"/>
  <c r="T87" i="92"/>
  <c r="D89" i="92"/>
  <c r="E89" i="92"/>
  <c r="E91" i="92" s="1"/>
  <c r="F89" i="92"/>
  <c r="F91" i="92" s="1"/>
  <c r="G89" i="92"/>
  <c r="H89" i="92"/>
  <c r="I89" i="92"/>
  <c r="J89" i="92"/>
  <c r="J91" i="92" s="1"/>
  <c r="K89" i="92"/>
  <c r="L89" i="92"/>
  <c r="M89" i="92"/>
  <c r="M91" i="92" s="1"/>
  <c r="N89" i="92"/>
  <c r="O89" i="92"/>
  <c r="P89" i="92"/>
  <c r="Q89" i="92"/>
  <c r="R89" i="92"/>
  <c r="S89" i="92"/>
  <c r="T89" i="92"/>
  <c r="E90" i="92"/>
  <c r="F90" i="92"/>
  <c r="G90" i="92"/>
  <c r="H90" i="92"/>
  <c r="I90" i="92"/>
  <c r="J90" i="92"/>
  <c r="K90" i="92"/>
  <c r="L90" i="92"/>
  <c r="M90" i="92"/>
  <c r="D91" i="92"/>
  <c r="G91" i="92"/>
  <c r="H91" i="92"/>
  <c r="I91" i="92"/>
  <c r="K91" i="92"/>
  <c r="L91" i="92"/>
  <c r="C93" i="92"/>
  <c r="D93" i="92"/>
  <c r="E93" i="92"/>
  <c r="F93" i="92"/>
  <c r="F95" i="92" s="1"/>
  <c r="F99" i="92" s="1"/>
  <c r="G93" i="92"/>
  <c r="G95" i="92" s="1"/>
  <c r="G99" i="92" s="1"/>
  <c r="H93" i="92"/>
  <c r="H95" i="92" s="1"/>
  <c r="H99" i="92" s="1"/>
  <c r="I93" i="92"/>
  <c r="I95" i="92" s="1"/>
  <c r="I99" i="92" s="1"/>
  <c r="J93" i="92"/>
  <c r="K93" i="92"/>
  <c r="L93" i="92"/>
  <c r="AQ182" i="92"/>
  <c r="AQ186" i="92"/>
  <c r="AP189" i="92"/>
  <c r="AQ189" i="92"/>
  <c r="AR190" i="92"/>
  <c r="AR191" i="92"/>
  <c r="AR192" i="92"/>
  <c r="AR193" i="92"/>
  <c r="AR194" i="92"/>
  <c r="AR195" i="92"/>
  <c r="AR196" i="92"/>
  <c r="AR197" i="92"/>
  <c r="AR198" i="92"/>
  <c r="AR199" i="92"/>
  <c r="AR200" i="92"/>
  <c r="AR201" i="92"/>
  <c r="AR202" i="92"/>
  <c r="AR203" i="92"/>
  <c r="AR204" i="92"/>
  <c r="AR205" i="92"/>
  <c r="AR206" i="92"/>
  <c r="AR207" i="92"/>
  <c r="AR208" i="92"/>
  <c r="AR209" i="92"/>
  <c r="AR210" i="92"/>
  <c r="AR211" i="92"/>
  <c r="AR212" i="92"/>
  <c r="AR213" i="92"/>
  <c r="AR214" i="92"/>
  <c r="AR215" i="92"/>
  <c r="AR216" i="92"/>
  <c r="AR217" i="92"/>
  <c r="AR218" i="92"/>
  <c r="AR219" i="92"/>
  <c r="AR220" i="92"/>
  <c r="AR221" i="92"/>
  <c r="AR222" i="92"/>
  <c r="AR223" i="92"/>
  <c r="AR224" i="92"/>
  <c r="AR225" i="92"/>
  <c r="AR226" i="92"/>
  <c r="AR227" i="92"/>
  <c r="AR228" i="92"/>
  <c r="AR229" i="92"/>
  <c r="AR230" i="92"/>
  <c r="AR231" i="92"/>
  <c r="AR232" i="92"/>
  <c r="AR233" i="92"/>
  <c r="AR234" i="92"/>
  <c r="AR235" i="92"/>
  <c r="AR236" i="92"/>
  <c r="AR237" i="92"/>
  <c r="AR238" i="92"/>
  <c r="AR239" i="92"/>
  <c r="AR240" i="92"/>
  <c r="AR241" i="92"/>
  <c r="AR242" i="92"/>
  <c r="AR243" i="92"/>
  <c r="AR186" i="92" s="1"/>
  <c r="AS186" i="92" s="1"/>
  <c r="AR244" i="92"/>
  <c r="AR245" i="92"/>
  <c r="BG29" i="92"/>
  <c r="BG26" i="92"/>
  <c r="BG35" i="92"/>
  <c r="BG22" i="92"/>
  <c r="BG19" i="92"/>
  <c r="BG42" i="92"/>
  <c r="BG38" i="92"/>
  <c r="BG20" i="92"/>
  <c r="BG37" i="92"/>
  <c r="BG21" i="92"/>
  <c r="K95" i="92" l="1"/>
  <c r="K99" i="92" s="1"/>
  <c r="J95" i="92"/>
  <c r="J99" i="92" s="1"/>
  <c r="D95" i="92"/>
  <c r="D99" i="92" s="1"/>
  <c r="L95" i="92"/>
  <c r="L99" i="92" s="1"/>
  <c r="E95" i="92"/>
  <c r="E99" i="92" s="1"/>
  <c r="AX25" i="93"/>
  <c r="M93" i="92"/>
  <c r="M95" i="92" s="1"/>
  <c r="M99" i="92" s="1"/>
  <c r="L68" i="92"/>
  <c r="M60" i="92"/>
  <c r="N52" i="92"/>
  <c r="N59" i="92" s="1"/>
  <c r="R60" i="93"/>
  <c r="R51" i="93"/>
  <c r="R44" i="93"/>
  <c r="S32" i="93"/>
  <c r="S29" i="93"/>
  <c r="S21" i="93"/>
  <c r="R45" i="93"/>
  <c r="L61" i="92"/>
  <c r="N22" i="92"/>
  <c r="N37" i="92"/>
  <c r="N38" i="92"/>
  <c r="M44" i="92"/>
  <c r="M45" i="92"/>
  <c r="CI43" i="92" s="1"/>
  <c r="P52" i="92"/>
  <c r="P59" i="92" s="1"/>
  <c r="AX25" i="92"/>
  <c r="O24" i="92"/>
  <c r="O31" i="92"/>
  <c r="O35" i="92" s="1"/>
  <c r="L62" i="92" l="1"/>
  <c r="L69" i="92" s="1"/>
  <c r="S31" i="93"/>
  <c r="S25" i="93"/>
  <c r="S23" i="93"/>
  <c r="S67" i="93"/>
  <c r="T24" i="93"/>
  <c r="S35" i="93"/>
  <c r="R66" i="93"/>
  <c r="R68" i="93" s="1"/>
  <c r="R47" i="93"/>
  <c r="P21" i="92"/>
  <c r="P29" i="92"/>
  <c r="P32" i="92"/>
  <c r="Q52" i="92"/>
  <c r="Q59" i="92" s="1"/>
  <c r="R52" i="92"/>
  <c r="R59" i="92" s="1"/>
  <c r="S52" i="92"/>
  <c r="S59" i="92" s="1"/>
  <c r="CI41" i="92"/>
  <c r="CI42" i="92" s="1"/>
  <c r="M66" i="92"/>
  <c r="N90" i="92"/>
  <c r="N91" i="92" s="1"/>
  <c r="N42" i="92"/>
  <c r="N23" i="92"/>
  <c r="N25" i="92"/>
  <c r="N67" i="92"/>
  <c r="M47" i="92"/>
  <c r="M68" i="92" l="1"/>
  <c r="R61" i="93"/>
  <c r="R62" i="93" s="1"/>
  <c r="R69" i="93" s="1"/>
  <c r="S44" i="93"/>
  <c r="S66" i="93" s="1"/>
  <c r="S68" i="93" s="1"/>
  <c r="T32" i="93"/>
  <c r="T29" i="93"/>
  <c r="T21" i="93"/>
  <c r="S45" i="93"/>
  <c r="S60" i="93"/>
  <c r="S51" i="93"/>
  <c r="O22" i="92"/>
  <c r="O37" i="92"/>
  <c r="O38" i="92"/>
  <c r="N44" i="92"/>
  <c r="N45" i="92"/>
  <c r="CJ43" i="92" s="1"/>
  <c r="M61" i="92"/>
  <c r="M62" i="92" s="1"/>
  <c r="M69" i="92" s="1"/>
  <c r="N51" i="92"/>
  <c r="EZ309" i="3" s="1"/>
  <c r="N60" i="92"/>
  <c r="N93" i="92"/>
  <c r="N95" i="92" s="1"/>
  <c r="N99" i="92" s="1"/>
  <c r="T52" i="92"/>
  <c r="T59" i="92" s="1"/>
  <c r="P31" i="92"/>
  <c r="P35" i="92" s="1"/>
  <c r="O42" i="92" l="1"/>
  <c r="P37" i="92" s="1"/>
  <c r="T31" i="93"/>
  <c r="T25" i="93"/>
  <c r="T23" i="93"/>
  <c r="T67" i="93"/>
  <c r="S47" i="93"/>
  <c r="T35" i="93"/>
  <c r="Q21" i="92"/>
  <c r="Q29" i="92"/>
  <c r="Q32" i="92"/>
  <c r="CJ41" i="92"/>
  <c r="CJ42" i="92" s="1"/>
  <c r="O90" i="92"/>
  <c r="O91" i="92" s="1"/>
  <c r="N66" i="92"/>
  <c r="N68" i="92" s="1"/>
  <c r="P22" i="92"/>
  <c r="P38" i="92"/>
  <c r="N47" i="92"/>
  <c r="O67" i="92"/>
  <c r="O23" i="92"/>
  <c r="O25" i="92"/>
  <c r="P24" i="92"/>
  <c r="O44" i="92" l="1"/>
  <c r="O66" i="92" s="1"/>
  <c r="O68" i="92" s="1"/>
  <c r="Q24" i="92"/>
  <c r="O45" i="92"/>
  <c r="S61" i="93"/>
  <c r="S62" i="93" s="1"/>
  <c r="S69" i="93" s="1"/>
  <c r="T44" i="93"/>
  <c r="T66" i="93" s="1"/>
  <c r="T68" i="93" s="1"/>
  <c r="T45" i="93"/>
  <c r="T60" i="93"/>
  <c r="T51" i="93"/>
  <c r="N61" i="92"/>
  <c r="N62" i="92" s="1"/>
  <c r="N69" i="92" s="1"/>
  <c r="P90" i="92"/>
  <c r="P91" i="92" s="1"/>
  <c r="P67" i="92"/>
  <c r="P25" i="92"/>
  <c r="P23" i="92"/>
  <c r="O51" i="92"/>
  <c r="FE309" i="3" s="1"/>
  <c r="O60" i="92"/>
  <c r="O93" i="92"/>
  <c r="O95" i="92" s="1"/>
  <c r="O99" i="92" s="1"/>
  <c r="P42" i="92"/>
  <c r="Q31" i="92"/>
  <c r="Q35" i="92" s="1"/>
  <c r="O47" i="92" l="1"/>
  <c r="O61" i="92" s="1"/>
  <c r="O62" i="92" s="1"/>
  <c r="O69" i="92" s="1"/>
  <c r="T47" i="93"/>
  <c r="T61" i="93" s="1"/>
  <c r="T62" i="93" s="1"/>
  <c r="T69" i="93" s="1"/>
  <c r="U69" i="93" s="1"/>
  <c r="R21" i="92"/>
  <c r="R29" i="92"/>
  <c r="R32" i="92"/>
  <c r="Q22" i="92"/>
  <c r="Q37" i="92"/>
  <c r="Q38" i="92"/>
  <c r="P45" i="92"/>
  <c r="P44" i="92"/>
  <c r="P51" i="92"/>
  <c r="P60" i="92"/>
  <c r="P93" i="92"/>
  <c r="P95" i="92" s="1"/>
  <c r="P99" i="92" s="1"/>
  <c r="Q42" i="92" l="1"/>
  <c r="Q90" i="92"/>
  <c r="Q91" i="92" s="1"/>
  <c r="P66" i="92"/>
  <c r="P68" i="92" s="1"/>
  <c r="Q67" i="92"/>
  <c r="R24" i="92"/>
  <c r="Q25" i="92"/>
  <c r="Q23" i="92"/>
  <c r="P47" i="92"/>
  <c r="R31" i="92"/>
  <c r="R35" i="92" s="1"/>
  <c r="S21" i="92" l="1"/>
  <c r="S29" i="92"/>
  <c r="S32" i="92"/>
  <c r="R22" i="92"/>
  <c r="S24" i="92" s="1"/>
  <c r="R37" i="92"/>
  <c r="R38" i="92"/>
  <c r="Q45" i="92"/>
  <c r="Q44" i="92"/>
  <c r="Q47" i="92" s="1"/>
  <c r="P61" i="92"/>
  <c r="P62" i="92" s="1"/>
  <c r="P69" i="92" s="1"/>
  <c r="Q51" i="92"/>
  <c r="Q60" i="92"/>
  <c r="Q93" i="92"/>
  <c r="Q95" i="92" s="1"/>
  <c r="Q99" i="92" s="1"/>
  <c r="Q61" i="92" l="1"/>
  <c r="R42" i="92"/>
  <c r="Q62" i="92"/>
  <c r="Q66" i="92"/>
  <c r="Q68" i="92" s="1"/>
  <c r="R90" i="92"/>
  <c r="R91" i="92" s="1"/>
  <c r="R67" i="92"/>
  <c r="R23" i="92"/>
  <c r="R25" i="92"/>
  <c r="S31" i="92"/>
  <c r="S35" i="92" s="1"/>
  <c r="Q69" i="92" l="1"/>
  <c r="T21" i="92"/>
  <c r="T29" i="92"/>
  <c r="T32" i="92"/>
  <c r="R51" i="92"/>
  <c r="R60" i="92"/>
  <c r="R93" i="92"/>
  <c r="R95" i="92" s="1"/>
  <c r="R99" i="92" s="1"/>
  <c r="S22" i="92"/>
  <c r="S37" i="92"/>
  <c r="S38" i="92"/>
  <c r="R45" i="92"/>
  <c r="R44" i="92"/>
  <c r="S42" i="92" l="1"/>
  <c r="S45" i="92" s="1"/>
  <c r="T22" i="92"/>
  <c r="T37" i="92"/>
  <c r="T38" i="92"/>
  <c r="S90" i="92"/>
  <c r="S91" i="92" s="1"/>
  <c r="R66" i="92"/>
  <c r="R68" i="92" s="1"/>
  <c r="R47" i="92"/>
  <c r="S67" i="92"/>
  <c r="T24" i="92"/>
  <c r="S25" i="92"/>
  <c r="S23" i="92"/>
  <c r="T31" i="92"/>
  <c r="T35" i="92" s="1"/>
  <c r="T25" i="92" l="1"/>
  <c r="T51" i="92" s="1"/>
  <c r="T23" i="92"/>
  <c r="S44" i="92"/>
  <c r="S66" i="92" s="1"/>
  <c r="S68" i="92" s="1"/>
  <c r="T42" i="92"/>
  <c r="T44" i="92" s="1"/>
  <c r="T66" i="92" s="1"/>
  <c r="S51" i="92"/>
  <c r="S60" i="92"/>
  <c r="S93" i="92"/>
  <c r="S95" i="92" s="1"/>
  <c r="S99" i="92" s="1"/>
  <c r="S47" i="92"/>
  <c r="R61" i="92"/>
  <c r="R62" i="92" s="1"/>
  <c r="R69" i="92" s="1"/>
  <c r="T67" i="92"/>
  <c r="T45" i="92" l="1"/>
  <c r="T90" i="92"/>
  <c r="T91" i="92" s="1"/>
  <c r="T93" i="92"/>
  <c r="T95" i="92" s="1"/>
  <c r="T99" i="92" s="1"/>
  <c r="T60" i="92"/>
  <c r="T62" i="92" s="1"/>
  <c r="T68" i="92"/>
  <c r="T47" i="92"/>
  <c r="T61" i="92" s="1"/>
  <c r="S61" i="92"/>
  <c r="S62" i="92" s="1"/>
  <c r="S69" i="92" s="1"/>
  <c r="T69" i="92" l="1"/>
  <c r="U69" i="92" s="1"/>
  <c r="EL356" i="3" l="1"/>
  <c r="EL358" i="3" s="1"/>
  <c r="EL353" i="3"/>
  <c r="EL340" i="3"/>
  <c r="EL344" i="3"/>
  <c r="EL326" i="3"/>
  <c r="EL323" i="3"/>
  <c r="EL316" i="3"/>
  <c r="EM316" i="3" s="1"/>
  <c r="EL315" i="3"/>
  <c r="EL308" i="3"/>
  <c r="EL304" i="3"/>
  <c r="EL306" i="3" l="1"/>
  <c r="EO304" i="3"/>
  <c r="EL317" i="3"/>
  <c r="EM317" i="3"/>
  <c r="EN316" i="3"/>
  <c r="EN317" i="3" s="1"/>
  <c r="EL327" i="3"/>
  <c r="H1104" i="41"/>
  <c r="DP1" i="41"/>
  <c r="DO1" i="41"/>
  <c r="DN1" i="41"/>
  <c r="DM1" i="41"/>
  <c r="DL1" i="41"/>
  <c r="FE398" i="3"/>
  <c r="FE326" i="3"/>
  <c r="FE257" i="3"/>
  <c r="FE256" i="3" s="1"/>
  <c r="FD196" i="3"/>
  <c r="FC196" i="3"/>
  <c r="FB196" i="3"/>
  <c r="FA196" i="3"/>
  <c r="FD155" i="3"/>
  <c r="FC155" i="3"/>
  <c r="FB155" i="3"/>
  <c r="FA155" i="3"/>
  <c r="FD137" i="3"/>
  <c r="FC137" i="3"/>
  <c r="FB137" i="3"/>
  <c r="FA137" i="3"/>
  <c r="FE100" i="3"/>
  <c r="FD52" i="3"/>
  <c r="FC52" i="3"/>
  <c r="FB52" i="3"/>
  <c r="FA52" i="3"/>
  <c r="FD50" i="3"/>
  <c r="FC50" i="3"/>
  <c r="FB50" i="3"/>
  <c r="FA50" i="3"/>
  <c r="FD48" i="3"/>
  <c r="FC48" i="3"/>
  <c r="FB48" i="3"/>
  <c r="FA48" i="3"/>
  <c r="FD23" i="3"/>
  <c r="FD204" i="3" s="1"/>
  <c r="FC23" i="3"/>
  <c r="FC204" i="3" s="1"/>
  <c r="FB23" i="3"/>
  <c r="FB204" i="3" s="1"/>
  <c r="FA23" i="3"/>
  <c r="FA204" i="3" s="1"/>
  <c r="FD7" i="3"/>
  <c r="FD104" i="3" s="1"/>
  <c r="FC7" i="3"/>
  <c r="FC104" i="3" s="1"/>
  <c r="FB7" i="3"/>
  <c r="FB104" i="3" s="1"/>
  <c r="FA7" i="3"/>
  <c r="FA104" i="3" s="1"/>
  <c r="EO316" i="3" l="1"/>
  <c r="EO317" i="3" s="1"/>
  <c r="EL310" i="3"/>
  <c r="EO306" i="3"/>
  <c r="EO310" i="3" s="1"/>
  <c r="EL267" i="3"/>
  <c r="EM266" i="3" s="1"/>
  <c r="EM265" i="3" s="1"/>
  <c r="EL262" i="3"/>
  <c r="EM261" i="3" s="1"/>
  <c r="EM260" i="3" s="1"/>
  <c r="EL163" i="3"/>
  <c r="EP163" i="3" s="1"/>
  <c r="EL45" i="3" l="1"/>
  <c r="FN45" i="3" l="1"/>
  <c r="EQ46" i="3"/>
  <c r="FM46" i="3" s="1"/>
  <c r="EL101" i="3"/>
  <c r="EL291" i="3"/>
  <c r="EL287" i="3"/>
  <c r="EL279" i="3"/>
  <c r="FN279" i="3" s="1"/>
  <c r="EL257" i="3"/>
  <c r="EL223" i="3"/>
  <c r="FN223" i="3" s="1"/>
  <c r="EL217" i="3"/>
  <c r="FN217" i="3" s="1"/>
  <c r="EL208" i="3"/>
  <c r="FN208" i="3" s="1"/>
  <c r="EL198" i="3"/>
  <c r="EL192" i="3"/>
  <c r="FN192" i="3" s="1"/>
  <c r="EL186" i="3"/>
  <c r="EL185" i="3"/>
  <c r="FN185" i="3" s="1"/>
  <c r="EL180" i="3"/>
  <c r="FN180" i="3" s="1"/>
  <c r="EL178" i="3"/>
  <c r="FN178" i="3" s="1"/>
  <c r="EL170" i="3"/>
  <c r="FN170" i="3" s="1"/>
  <c r="EL165" i="3"/>
  <c r="EL160" i="3"/>
  <c r="FN160" i="3" s="1"/>
  <c r="EL154" i="3"/>
  <c r="FN154" i="3" s="1"/>
  <c r="EL140" i="3"/>
  <c r="FN140" i="3" s="1"/>
  <c r="EL137" i="3"/>
  <c r="FN137" i="3" s="1"/>
  <c r="EL123" i="3"/>
  <c r="EL118" i="3"/>
  <c r="FN118" i="3" s="1"/>
  <c r="EL100" i="3"/>
  <c r="FN100" i="3" s="1"/>
  <c r="EL97" i="3"/>
  <c r="EL96" i="3"/>
  <c r="FN96" i="3" s="1"/>
  <c r="EL94" i="3"/>
  <c r="FN94" i="3" s="1"/>
  <c r="EL91" i="3"/>
  <c r="EL80" i="3"/>
  <c r="EL75" i="3"/>
  <c r="FN75" i="3" s="1"/>
  <c r="EL60" i="3"/>
  <c r="EL54" i="3"/>
  <c r="FN54" i="3" s="1"/>
  <c r="EL52" i="3"/>
  <c r="FN52" i="3" s="1"/>
  <c r="EL50" i="3"/>
  <c r="FN50" i="3" s="1"/>
  <c r="EL48" i="3"/>
  <c r="FN48" i="3" s="1"/>
  <c r="EL55" i="3"/>
  <c r="EL34" i="3"/>
  <c r="FN34" i="3" s="1"/>
  <c r="EL33" i="3"/>
  <c r="FN33" i="3" s="1"/>
  <c r="EL32" i="3"/>
  <c r="FN32" i="3" s="1"/>
  <c r="EL31" i="3"/>
  <c r="FN31" i="3" s="1"/>
  <c r="FN80" i="3" l="1"/>
  <c r="EQ81" i="3"/>
  <c r="FM81" i="3" s="1"/>
  <c r="EP97" i="3"/>
  <c r="FN97" i="3"/>
  <c r="EQ98" i="3"/>
  <c r="FM98" i="3" s="1"/>
  <c r="EP165" i="3"/>
  <c r="FN165" i="3"/>
  <c r="FN91" i="3"/>
  <c r="EQ92" i="3"/>
  <c r="FM92" i="3" s="1"/>
  <c r="EP287" i="3"/>
  <c r="FN287" i="3"/>
  <c r="EP60" i="3"/>
  <c r="FN60" i="3"/>
  <c r="EQ61" i="3"/>
  <c r="FM61" i="3" s="1"/>
  <c r="FN55" i="3"/>
  <c r="EQ56" i="3"/>
  <c r="FM56" i="3" s="1"/>
  <c r="FN186" i="3"/>
  <c r="EQ187" i="3"/>
  <c r="FM187" i="3" s="1"/>
  <c r="EM125" i="3"/>
  <c r="FN123" i="3"/>
  <c r="EQ124" i="3"/>
  <c r="FM124" i="3" s="1"/>
  <c r="EP198" i="3"/>
  <c r="FN198" i="3"/>
  <c r="EP257" i="3"/>
  <c r="EP256" i="3" s="1"/>
  <c r="FN257" i="3"/>
  <c r="EP101" i="3"/>
  <c r="FN101" i="3"/>
  <c r="EQ102" i="3"/>
  <c r="FM102" i="3" s="1"/>
  <c r="EP107" i="3"/>
  <c r="EP66" i="3"/>
  <c r="EM82" i="3"/>
  <c r="EM57" i="3"/>
  <c r="EM188" i="3"/>
  <c r="ER188" i="3"/>
  <c r="FV131" i="3"/>
  <c r="FX132" i="3"/>
  <c r="FW129" i="3" s="1"/>
  <c r="EL84" i="3"/>
  <c r="EL66" i="3"/>
  <c r="EL190" i="3"/>
  <c r="FN190" i="3" s="1"/>
  <c r="EL256" i="3"/>
  <c r="FN256" i="3" s="1"/>
  <c r="EL166" i="3"/>
  <c r="EL240" i="3"/>
  <c r="FN240" i="3" s="1"/>
  <c r="EL35" i="3"/>
  <c r="FN35" i="3" s="1"/>
  <c r="EL126" i="3"/>
  <c r="EL161" i="3"/>
  <c r="FN161" i="3" s="1"/>
  <c r="EL210" i="3"/>
  <c r="FN210" i="3" s="1"/>
  <c r="EL179" i="3"/>
  <c r="FN179" i="3" s="1"/>
  <c r="EL194" i="3"/>
  <c r="FN194" i="3" s="1"/>
  <c r="EL218" i="3"/>
  <c r="FN218" i="3" s="1"/>
  <c r="EL90" i="3"/>
  <c r="EL138" i="3"/>
  <c r="FN138" i="3" s="1"/>
  <c r="EP90" i="3" l="1"/>
  <c r="EP91" i="3" s="1"/>
  <c r="FN90" i="3"/>
  <c r="FN66" i="3"/>
  <c r="EQ67" i="3"/>
  <c r="FM67" i="3" s="1"/>
  <c r="EP166" i="3"/>
  <c r="EP174" i="3" s="1"/>
  <c r="FN166" i="3"/>
  <c r="FN126" i="3"/>
  <c r="EQ127" i="3"/>
  <c r="FM127" i="3" s="1"/>
  <c r="EL156" i="3"/>
  <c r="EP126" i="3"/>
  <c r="EM68" i="3"/>
  <c r="ER57" i="3"/>
  <c r="ER82" i="3"/>
  <c r="FV128" i="3"/>
  <c r="EM168" i="3"/>
  <c r="EL174" i="3"/>
  <c r="EL142" i="3"/>
  <c r="EL155" i="3"/>
  <c r="FN155" i="3" s="1"/>
  <c r="EL107" i="3"/>
  <c r="EL7" i="3"/>
  <c r="EL23" i="3"/>
  <c r="CW14" i="41" l="1"/>
  <c r="FN142" i="3"/>
  <c r="EL76" i="3"/>
  <c r="FN76" i="3" s="1"/>
  <c r="FN156" i="3"/>
  <c r="EQ157" i="3"/>
  <c r="FM157" i="3" s="1"/>
  <c r="FN23" i="3"/>
  <c r="EQ40" i="3"/>
  <c r="FM40" i="3" s="1"/>
  <c r="EM176" i="3"/>
  <c r="FN174" i="3"/>
  <c r="FN107" i="3"/>
  <c r="EQ108" i="3"/>
  <c r="FM108" i="3" s="1"/>
  <c r="FN7" i="3"/>
  <c r="EQ29" i="3"/>
  <c r="FM29" i="3" s="1"/>
  <c r="EL79" i="3"/>
  <c r="EL122" i="3"/>
  <c r="EL65" i="3"/>
  <c r="EL104" i="3"/>
  <c r="EQ105" i="3" s="1"/>
  <c r="EP156" i="3"/>
  <c r="EP128" i="3" s="1"/>
  <c r="EP155" i="3"/>
  <c r="EP142" i="3"/>
  <c r="DA14" i="41" s="1"/>
  <c r="EP129" i="3"/>
  <c r="ER68" i="3"/>
  <c r="EM24" i="3"/>
  <c r="ER109" i="3"/>
  <c r="EM109" i="3"/>
  <c r="EL62" i="3"/>
  <c r="FN62" i="3" s="1"/>
  <c r="EL128" i="3"/>
  <c r="FN128" i="3" s="1"/>
  <c r="EL103" i="3"/>
  <c r="FN103" i="3" s="1"/>
  <c r="EL119" i="3"/>
  <c r="FN119" i="3" s="1"/>
  <c r="EL238" i="3"/>
  <c r="EL171" i="3"/>
  <c r="EL211" i="3"/>
  <c r="EL26" i="3"/>
  <c r="EL204" i="3"/>
  <c r="EL42" i="3"/>
  <c r="EL129" i="3"/>
  <c r="EL227" i="3"/>
  <c r="EL225" i="3"/>
  <c r="FN225" i="3" s="1"/>
  <c r="EM27" i="3" l="1"/>
  <c r="FN26" i="3"/>
  <c r="FN204" i="3"/>
  <c r="EQ205" i="3"/>
  <c r="FM205" i="3" s="1"/>
  <c r="FN238" i="3"/>
  <c r="EQ239" i="3"/>
  <c r="FM239" i="3" s="1"/>
  <c r="FN211" i="3"/>
  <c r="EQ212" i="3"/>
  <c r="FM212" i="3" s="1"/>
  <c r="EM229" i="3"/>
  <c r="FN227" i="3"/>
  <c r="FN129" i="3"/>
  <c r="EQ136" i="3"/>
  <c r="FM136" i="3" s="1"/>
  <c r="EQ130" i="3"/>
  <c r="EM44" i="3"/>
  <c r="FN42" i="3"/>
  <c r="EQ43" i="3"/>
  <c r="FM43" i="3" s="1"/>
  <c r="FN171" i="3"/>
  <c r="EQ172" i="3"/>
  <c r="FM172" i="3" s="1"/>
  <c r="EL106" i="3"/>
  <c r="EP131" i="3"/>
  <c r="EP146" i="3"/>
  <c r="EP119" i="3"/>
  <c r="EP76" i="3"/>
  <c r="EP238" i="3"/>
  <c r="EP314" i="3" s="1"/>
  <c r="EP103" i="3"/>
  <c r="EP62" i="3"/>
  <c r="EM173" i="3"/>
  <c r="EM206" i="3"/>
  <c r="EM213" i="3"/>
  <c r="EL339" i="3"/>
  <c r="EL337" i="3"/>
  <c r="EL314" i="3"/>
  <c r="EL341" i="3"/>
  <c r="EL242" i="3"/>
  <c r="EL251" i="3"/>
  <c r="EL148" i="3"/>
  <c r="EL131" i="3"/>
  <c r="EM244" i="3" l="1"/>
  <c r="FN242" i="3"/>
  <c r="FN148" i="3"/>
  <c r="EQ149" i="3"/>
  <c r="FM149" i="3" s="1"/>
  <c r="EM132" i="3"/>
  <c r="FN131" i="3"/>
  <c r="EL270" i="3"/>
  <c r="FN270" i="3" s="1"/>
  <c r="FN251" i="3"/>
  <c r="EQ133" i="3"/>
  <c r="FM130" i="3"/>
  <c r="FQ130" i="3" s="1"/>
  <c r="EP251" i="3"/>
  <c r="EP242" i="3"/>
  <c r="ER213" i="3"/>
  <c r="EL146" i="3"/>
  <c r="EL253" i="3"/>
  <c r="EL246" i="3"/>
  <c r="ET5" i="3"/>
  <c r="ET77" i="3" s="1"/>
  <c r="FN146" i="3" l="1"/>
  <c r="EQ151" i="3"/>
  <c r="EQ147" i="3"/>
  <c r="FM147" i="3" s="1"/>
  <c r="EM248" i="3"/>
  <c r="FN246" i="3"/>
  <c r="EP253" i="3"/>
  <c r="FN253" i="3"/>
  <c r="FM133" i="3"/>
  <c r="FQ133" i="3" s="1"/>
  <c r="ET78" i="3"/>
  <c r="EP270" i="3"/>
  <c r="EU5" i="3"/>
  <c r="EU77" i="3" s="1"/>
  <c r="EL250" i="3"/>
  <c r="FN250" i="3" s="1"/>
  <c r="EL273" i="3"/>
  <c r="FN273" i="3" s="1"/>
  <c r="EL271" i="3"/>
  <c r="FN271" i="3" s="1"/>
  <c r="EQ150" i="3" l="1"/>
  <c r="FM151" i="3"/>
  <c r="EU78" i="3"/>
  <c r="EP273" i="3"/>
  <c r="EP275" i="3" s="1"/>
  <c r="EP271" i="3"/>
  <c r="EL286" i="3"/>
  <c r="EL275" i="3"/>
  <c r="EP286" i="3" l="1"/>
  <c r="FN286" i="3"/>
  <c r="EM277" i="3"/>
  <c r="FN275" i="3"/>
  <c r="EQ145" i="3"/>
  <c r="FM150" i="3"/>
  <c r="EL292" i="3"/>
  <c r="EL288" i="3"/>
  <c r="FN288" i="3" s="1"/>
  <c r="FM145" i="3" l="1"/>
  <c r="EQ134" i="3"/>
  <c r="FM134" i="3" s="1"/>
  <c r="FQ134" i="3" s="1"/>
  <c r="EP292" i="3"/>
  <c r="EP288" i="3"/>
  <c r="FU158" i="3" l="1"/>
  <c r="FT158" i="3" s="1"/>
  <c r="FH159" i="3" s="1"/>
  <c r="FI159" i="3" s="1"/>
  <c r="FJ159" i="3" s="1"/>
  <c r="EK358" i="3" l="1"/>
  <c r="EJ358" i="3" s="1"/>
  <c r="EK356" i="3"/>
  <c r="EK360" i="3"/>
  <c r="EJ360" i="3" s="1"/>
  <c r="EJ359" i="3"/>
  <c r="EJ357" i="3"/>
  <c r="EJ354" i="3"/>
  <c r="EJ352" i="3"/>
  <c r="EJ351" i="3"/>
  <c r="EK353" i="3"/>
  <c r="EU353" i="3" s="1"/>
  <c r="EJ350" i="3"/>
  <c r="EK348" i="3"/>
  <c r="EJ347" i="3"/>
  <c r="EJ345" i="3"/>
  <c r="EK344" i="3"/>
  <c r="EU344" i="3" s="1"/>
  <c r="EJ343" i="3"/>
  <c r="EJ342" i="3"/>
  <c r="EJ338" i="3"/>
  <c r="EK324" i="3"/>
  <c r="EK326" i="3" s="1"/>
  <c r="EK316" i="3"/>
  <c r="EK330" i="3"/>
  <c r="EK323" i="3"/>
  <c r="EK315" i="3"/>
  <c r="EZ344" i="3" l="1"/>
  <c r="FE344" i="3" s="1"/>
  <c r="EZ353" i="3"/>
  <c r="FE353" i="3" s="1"/>
  <c r="EJ348" i="3"/>
  <c r="EK327" i="3"/>
  <c r="EJ344" i="3"/>
  <c r="EK361" i="3"/>
  <c r="EJ353" i="3"/>
  <c r="EJ356" i="3"/>
  <c r="EK317" i="3"/>
  <c r="EH197" i="3" l="1"/>
  <c r="EJ23" i="3"/>
  <c r="EG197" i="3"/>
  <c r="EI158" i="3"/>
  <c r="EJ197" i="3"/>
  <c r="EJ267" i="3"/>
  <c r="EL266" i="3" s="1"/>
  <c r="EL265" i="3" s="1"/>
  <c r="EK399" i="3"/>
  <c r="EK398" i="3"/>
  <c r="EU356" i="3"/>
  <c r="EZ338" i="3"/>
  <c r="FE338" i="3" s="1"/>
  <c r="EU305" i="3"/>
  <c r="EI398" i="3"/>
  <c r="EJ79" i="3" l="1"/>
  <c r="EJ65" i="3"/>
  <c r="EJ122" i="3"/>
  <c r="EJ393" i="3"/>
  <c r="EJ389" i="3"/>
  <c r="EJ392" i="3"/>
  <c r="EJ395" i="3"/>
  <c r="EJ396" i="3"/>
  <c r="EJ388" i="3"/>
  <c r="EJ391" i="3"/>
  <c r="EJ387" i="3"/>
  <c r="EJ394" i="3"/>
  <c r="EJ390" i="3"/>
  <c r="EO40" i="3"/>
  <c r="EJ26" i="3"/>
  <c r="EL24" i="3"/>
  <c r="FN24" i="3" s="1"/>
  <c r="EK267" i="3"/>
  <c r="EK365" i="3"/>
  <c r="EJ158" i="3"/>
  <c r="EJ163" i="3"/>
  <c r="EL27" i="3" l="1"/>
  <c r="FN27" i="3" s="1"/>
  <c r="EJ186" i="3"/>
  <c r="EK49" i="3"/>
  <c r="EP50" i="3" s="1"/>
  <c r="EJ96" i="3"/>
  <c r="EJ291" i="3"/>
  <c r="EK207" i="3"/>
  <c r="EP208" i="3" s="1"/>
  <c r="EK191" i="3"/>
  <c r="EP192" i="3" s="1"/>
  <c r="EJ75" i="3"/>
  <c r="EK73" i="3"/>
  <c r="EJ60" i="3"/>
  <c r="EJ32" i="3"/>
  <c r="EK11" i="3"/>
  <c r="EP35" i="3" s="1"/>
  <c r="EK284" i="3"/>
  <c r="EK283" i="3"/>
  <c r="EK282" i="3"/>
  <c r="EK196" i="3"/>
  <c r="EK195" i="3"/>
  <c r="EK164" i="3"/>
  <c r="EK152" i="3"/>
  <c r="EJ140" i="3"/>
  <c r="EK139" i="3"/>
  <c r="EJ137" i="3"/>
  <c r="EP137" i="3" l="1"/>
  <c r="EP140" i="3"/>
  <c r="EL188" i="3"/>
  <c r="FN188" i="3" s="1"/>
  <c r="EO187" i="3"/>
  <c r="EO61" i="3"/>
  <c r="EH209" i="3"/>
  <c r="EG209" i="3"/>
  <c r="EJ209" i="3"/>
  <c r="EI209" i="3"/>
  <c r="EI193" i="3"/>
  <c r="EJ193" i="3"/>
  <c r="EH193" i="3"/>
  <c r="EG193" i="3"/>
  <c r="EJ35" i="3"/>
  <c r="EK278" i="3"/>
  <c r="EP279" i="3" s="1"/>
  <c r="EJ100" i="3"/>
  <c r="EK6" i="3"/>
  <c r="EK214" i="3"/>
  <c r="EJ33" i="3"/>
  <c r="EJ215" i="3"/>
  <c r="EK184" i="3"/>
  <c r="EP185" i="3" s="1"/>
  <c r="EJ217" i="3"/>
  <c r="EJ185" i="3"/>
  <c r="EK9" i="3"/>
  <c r="EP31" i="3" s="1"/>
  <c r="EK51" i="3"/>
  <c r="EP52" i="3" s="1"/>
  <c r="EJ178" i="3"/>
  <c r="EK10" i="3"/>
  <c r="EP34" i="3" s="1"/>
  <c r="EJ31" i="3"/>
  <c r="EJ118" i="3"/>
  <c r="EK290" i="3"/>
  <c r="EP291" i="3" s="1"/>
  <c r="EK47" i="3"/>
  <c r="EP48" i="3" s="1"/>
  <c r="EK159" i="3"/>
  <c r="EP160" i="3" s="1"/>
  <c r="EJ34" i="3"/>
  <c r="EJ94" i="3"/>
  <c r="EK189" i="3"/>
  <c r="EJ170" i="3"/>
  <c r="EK111" i="3"/>
  <c r="EK263" i="3"/>
  <c r="EJ52" i="3"/>
  <c r="EK114" i="3"/>
  <c r="EK285" i="3"/>
  <c r="EK117" i="3"/>
  <c r="EP118" i="3" s="1"/>
  <c r="EJ287" i="3"/>
  <c r="EJ91" i="3"/>
  <c r="EJ48" i="3"/>
  <c r="EK99" i="3"/>
  <c r="EP100" i="3" s="1"/>
  <c r="EK116" i="3"/>
  <c r="EJ154" i="3"/>
  <c r="EK53" i="3"/>
  <c r="EK5" i="3"/>
  <c r="EJ54" i="3"/>
  <c r="EK93" i="3"/>
  <c r="EP94" i="3" s="1"/>
  <c r="EJ138" i="3"/>
  <c r="EK153" i="3"/>
  <c r="EP154" i="3" s="1"/>
  <c r="EJ160" i="3"/>
  <c r="EK169" i="3"/>
  <c r="EP170" i="3" s="1"/>
  <c r="EK177" i="3"/>
  <c r="EP178" i="3" s="1"/>
  <c r="EJ180" i="3"/>
  <c r="EJ208" i="3"/>
  <c r="EK258" i="3"/>
  <c r="EK272" i="3"/>
  <c r="EK308" i="3" s="1"/>
  <c r="EJ279" i="3"/>
  <c r="EK113" i="3"/>
  <c r="EK115" i="3"/>
  <c r="EK70" i="3"/>
  <c r="EJ80" i="3"/>
  <c r="EJ198" i="3"/>
  <c r="EK268" i="3"/>
  <c r="EJ97" i="3"/>
  <c r="EJ123" i="3"/>
  <c r="EJ45" i="3"/>
  <c r="EJ50" i="3"/>
  <c r="EK95" i="3"/>
  <c r="EP96" i="3" s="1"/>
  <c r="EJ257" i="3"/>
  <c r="EJ192" i="3"/>
  <c r="EK74" i="3"/>
  <c r="EP75" i="3" s="1"/>
  <c r="EJ66" i="3"/>
  <c r="EJ101" i="3"/>
  <c r="EJ165" i="3"/>
  <c r="EP32" i="3" l="1"/>
  <c r="EK77" i="3"/>
  <c r="EP33" i="3"/>
  <c r="EK120" i="3"/>
  <c r="EL68" i="3"/>
  <c r="FN68" i="3" s="1"/>
  <c r="EO67" i="3"/>
  <c r="EO98" i="3"/>
  <c r="EJ84" i="3"/>
  <c r="EO92" i="3"/>
  <c r="EL82" i="3"/>
  <c r="FN82" i="3" s="1"/>
  <c r="EO81" i="3"/>
  <c r="EK304" i="3"/>
  <c r="EK306" i="3" s="1"/>
  <c r="EP215" i="3"/>
  <c r="EO46" i="3"/>
  <c r="EO102" i="3"/>
  <c r="EL125" i="3"/>
  <c r="FN125" i="3" s="1"/>
  <c r="EO124" i="3"/>
  <c r="EP138" i="3"/>
  <c r="EP246" i="3" s="1"/>
  <c r="EI162" i="3"/>
  <c r="EH162" i="3"/>
  <c r="EG162" i="3"/>
  <c r="EJ162" i="3"/>
  <c r="EK80" i="3"/>
  <c r="EP81" i="3" s="1"/>
  <c r="EK45" i="3"/>
  <c r="EP46" i="3" s="1"/>
  <c r="EK186" i="3"/>
  <c r="EP187" i="3" s="1"/>
  <c r="EK183" i="3"/>
  <c r="EK180" i="3" s="1"/>
  <c r="EK190" i="3" s="1"/>
  <c r="EK123" i="3"/>
  <c r="EP124" i="3" s="1"/>
  <c r="EJ240" i="3"/>
  <c r="EI216" i="3"/>
  <c r="EK220" i="3"/>
  <c r="EH216" i="3"/>
  <c r="EJ216" i="3"/>
  <c r="EG216" i="3"/>
  <c r="EK223" i="3"/>
  <c r="EP224" i="3" s="1"/>
  <c r="EK219" i="3"/>
  <c r="EJ179" i="3"/>
  <c r="EJ90" i="3"/>
  <c r="EJ161" i="3"/>
  <c r="EJ218" i="3"/>
  <c r="EJ210" i="3"/>
  <c r="EJ7" i="3"/>
  <c r="EJ104" i="3" s="1"/>
  <c r="EJ227" i="3"/>
  <c r="EJ194" i="3"/>
  <c r="EJ190" i="3"/>
  <c r="EJ55" i="3"/>
  <c r="EJ256" i="3"/>
  <c r="EJ126" i="3"/>
  <c r="EJ107" i="3"/>
  <c r="EJ166" i="3"/>
  <c r="EP121" i="3" l="1"/>
  <c r="EP78" i="3"/>
  <c r="EJ106" i="3"/>
  <c r="EO105" i="3"/>
  <c r="EL229" i="3"/>
  <c r="FN229" i="3" s="1"/>
  <c r="EO228" i="3"/>
  <c r="EL168" i="3"/>
  <c r="FN168" i="3" s="1"/>
  <c r="EO167" i="3"/>
  <c r="EO29" i="3"/>
  <c r="EP250" i="3"/>
  <c r="EL57" i="3"/>
  <c r="FN57" i="3" s="1"/>
  <c r="EO56" i="3"/>
  <c r="EO241" i="3"/>
  <c r="EL109" i="3"/>
  <c r="FN109" i="3" s="1"/>
  <c r="EO108" i="3"/>
  <c r="EJ156" i="3"/>
  <c r="EJ103" i="3" s="1"/>
  <c r="EO127" i="3"/>
  <c r="EJ349" i="3"/>
  <c r="EK218" i="3"/>
  <c r="EK240" i="3"/>
  <c r="EP241" i="3" s="1"/>
  <c r="EK55" i="3"/>
  <c r="EP56" i="3" s="1"/>
  <c r="EK310" i="3"/>
  <c r="EK161" i="3"/>
  <c r="EK194" i="3"/>
  <c r="EK210" i="3"/>
  <c r="EK179" i="3"/>
  <c r="EJ225" i="3"/>
  <c r="EJ42" i="3"/>
  <c r="EJ204" i="3"/>
  <c r="EJ211" i="3"/>
  <c r="EJ171" i="3"/>
  <c r="EJ155" i="3"/>
  <c r="EJ129" i="3"/>
  <c r="EJ142" i="3"/>
  <c r="EJ174" i="3"/>
  <c r="CU14" i="41" l="1"/>
  <c r="EO226" i="3"/>
  <c r="EO136" i="3"/>
  <c r="EO130" i="3"/>
  <c r="EL213" i="3"/>
  <c r="FN213" i="3" s="1"/>
  <c r="EO212" i="3"/>
  <c r="EL206" i="3"/>
  <c r="FN206" i="3" s="1"/>
  <c r="EO205" i="3"/>
  <c r="EO157" i="3"/>
  <c r="EL173" i="3"/>
  <c r="FN173" i="3" s="1"/>
  <c r="EO172" i="3"/>
  <c r="EL176" i="3"/>
  <c r="FN176" i="3" s="1"/>
  <c r="EO175" i="3"/>
  <c r="EL44" i="3"/>
  <c r="FN44" i="3" s="1"/>
  <c r="EO43" i="3"/>
  <c r="EK349" i="3"/>
  <c r="EJ148" i="3"/>
  <c r="EJ76" i="3"/>
  <c r="EJ238" i="3"/>
  <c r="EJ131" i="3"/>
  <c r="EJ128" i="3"/>
  <c r="EJ62" i="3"/>
  <c r="EJ119" i="3"/>
  <c r="EO133" i="3" l="1"/>
  <c r="EO149" i="3"/>
  <c r="EL132" i="3"/>
  <c r="FN132" i="3" s="1"/>
  <c r="EJ251" i="3"/>
  <c r="EJ383" i="3" s="1"/>
  <c r="EO239" i="3"/>
  <c r="EZ349" i="3"/>
  <c r="FE349" i="3" s="1"/>
  <c r="EJ339" i="3"/>
  <c r="EJ146" i="3"/>
  <c r="EJ242" i="3"/>
  <c r="EL244" i="3" l="1"/>
  <c r="FN244" i="3" s="1"/>
  <c r="EO243" i="3"/>
  <c r="EO151" i="3"/>
  <c r="EO147" i="3"/>
  <c r="EO249" i="3"/>
  <c r="EO252" i="3"/>
  <c r="EO245" i="3"/>
  <c r="EJ246" i="3"/>
  <c r="EJ253" i="3"/>
  <c r="EJ270" i="3"/>
  <c r="EJ384" i="3" l="1"/>
  <c r="EO254" i="3"/>
  <c r="EL248" i="3"/>
  <c r="FN248" i="3" s="1"/>
  <c r="EO247" i="3"/>
  <c r="EO150" i="3"/>
  <c r="EJ273" i="3"/>
  <c r="EJ385" i="3" s="1"/>
  <c r="EJ271" i="3"/>
  <c r="EJ250" i="3"/>
  <c r="EO145" i="3" l="1"/>
  <c r="EO274" i="3"/>
  <c r="EJ286" i="3"/>
  <c r="EJ275" i="3"/>
  <c r="EL277" i="3" l="1"/>
  <c r="FN277" i="3" s="1"/>
  <c r="EO276" i="3"/>
  <c r="EO134" i="3"/>
  <c r="EJ288" i="3"/>
  <c r="EJ292" i="3"/>
  <c r="EO289" i="3" l="1"/>
  <c r="A227" i="42"/>
  <c r="A279" i="42" s="1"/>
  <c r="A331" i="42" s="1"/>
  <c r="A226" i="42"/>
  <c r="A278" i="42" s="1"/>
  <c r="A330" i="42" s="1"/>
  <c r="A225" i="42"/>
  <c r="A277" i="42" s="1"/>
  <c r="A329" i="42" s="1"/>
  <c r="A224" i="42"/>
  <c r="A276" i="42" s="1"/>
  <c r="A328" i="42" s="1"/>
  <c r="A380" i="42" s="1"/>
  <c r="A432" i="42" s="1"/>
  <c r="A223" i="42"/>
  <c r="A275" i="42" s="1"/>
  <c r="A327" i="42" s="1"/>
  <c r="A222" i="42"/>
  <c r="A274" i="42" s="1"/>
  <c r="A326" i="42" s="1"/>
  <c r="A221" i="42"/>
  <c r="A273" i="42" s="1"/>
  <c r="A325" i="42" s="1"/>
  <c r="A220" i="42"/>
  <c r="A272" i="42" s="1"/>
  <c r="A324" i="42" s="1"/>
  <c r="A219" i="42"/>
  <c r="A271" i="42" s="1"/>
  <c r="A323" i="42" s="1"/>
  <c r="A218" i="42"/>
  <c r="A270" i="42" s="1"/>
  <c r="A322" i="42" s="1"/>
  <c r="A217" i="42"/>
  <c r="A269" i="42" s="1"/>
  <c r="A321" i="42" s="1"/>
  <c r="A373" i="42" s="1"/>
  <c r="A216" i="42"/>
  <c r="A268" i="42" s="1"/>
  <c r="A320" i="42" s="1"/>
  <c r="A215" i="42"/>
  <c r="A267" i="42" s="1"/>
  <c r="A319" i="42" s="1"/>
  <c r="A371" i="42" s="1"/>
  <c r="A214" i="42"/>
  <c r="A266" i="42" s="1"/>
  <c r="A318" i="42" s="1"/>
  <c r="A213" i="42"/>
  <c r="A265" i="42" s="1"/>
  <c r="A317" i="42" s="1"/>
  <c r="A212" i="42"/>
  <c r="A264" i="42" s="1"/>
  <c r="A316" i="42" s="1"/>
  <c r="A211" i="42"/>
  <c r="A263" i="42" s="1"/>
  <c r="A315" i="42" s="1"/>
  <c r="A210" i="42"/>
  <c r="A262" i="42" s="1"/>
  <c r="A314" i="42" s="1"/>
  <c r="A209" i="42"/>
  <c r="A261" i="42" s="1"/>
  <c r="A208" i="42"/>
  <c r="A260" i="42" s="1"/>
  <c r="A207" i="42"/>
  <c r="A259" i="42" s="1"/>
  <c r="A206" i="42"/>
  <c r="A258" i="42" s="1"/>
  <c r="A205" i="42"/>
  <c r="A257" i="42" s="1"/>
  <c r="A204" i="42"/>
  <c r="A256" i="42" s="1"/>
  <c r="A203" i="42"/>
  <c r="A255" i="42" s="1"/>
  <c r="A202" i="42"/>
  <c r="A254" i="42" s="1"/>
  <c r="A201" i="42"/>
  <c r="A253" i="42" s="1"/>
  <c r="A200" i="42"/>
  <c r="A252" i="42" s="1"/>
  <c r="A199" i="42"/>
  <c r="A251" i="42" s="1"/>
  <c r="A198" i="42"/>
  <c r="A250" i="42" s="1"/>
  <c r="A197" i="42"/>
  <c r="A249" i="42" s="1"/>
  <c r="A196" i="42"/>
  <c r="A248" i="42" s="1"/>
  <c r="A195" i="42"/>
  <c r="A247" i="42" s="1"/>
  <c r="A194" i="42"/>
  <c r="A246" i="42" s="1"/>
  <c r="A193" i="42"/>
  <c r="A245" i="42" s="1"/>
  <c r="A192" i="42"/>
  <c r="A244" i="42" s="1"/>
  <c r="A191" i="42"/>
  <c r="A243" i="42" s="1"/>
  <c r="A190" i="42"/>
  <c r="A242" i="42" s="1"/>
  <c r="A189" i="42"/>
  <c r="A241" i="42" s="1"/>
  <c r="A188" i="42"/>
  <c r="A240" i="42" s="1"/>
  <c r="A187" i="42"/>
  <c r="A239" i="42" s="1"/>
  <c r="A186" i="42"/>
  <c r="A238" i="42" s="1"/>
  <c r="A185" i="42"/>
  <c r="A237" i="42" s="1"/>
  <c r="A184" i="42"/>
  <c r="A236" i="42" s="1"/>
  <c r="A183" i="42"/>
  <c r="A235" i="42" s="1"/>
  <c r="A182" i="42"/>
  <c r="A234" i="42" s="1"/>
  <c r="A181" i="42"/>
  <c r="A233" i="42" s="1"/>
  <c r="A180" i="42"/>
  <c r="A232" i="42" s="1"/>
  <c r="A179" i="42"/>
  <c r="A231" i="42" s="1"/>
  <c r="A178" i="42"/>
  <c r="A230" i="42" s="1"/>
  <c r="A177" i="42"/>
  <c r="A229" i="42" s="1"/>
  <c r="C176" i="42"/>
  <c r="C177" i="42" s="1"/>
  <c r="C178" i="42" s="1"/>
  <c r="C179" i="42" s="1"/>
  <c r="C180" i="42" s="1"/>
  <c r="C181" i="42" s="1"/>
  <c r="C182" i="42" s="1"/>
  <c r="C183" i="42" s="1"/>
  <c r="C184" i="42" s="1"/>
  <c r="C185" i="42" s="1"/>
  <c r="C186" i="42" s="1"/>
  <c r="C187" i="42" s="1"/>
  <c r="C188" i="42" s="1"/>
  <c r="C189" i="42" s="1"/>
  <c r="C190" i="42" s="1"/>
  <c r="C191" i="42" s="1"/>
  <c r="C192" i="42" s="1"/>
  <c r="C193" i="42" s="1"/>
  <c r="C194" i="42" s="1"/>
  <c r="C195" i="42" s="1"/>
  <c r="C196" i="42" s="1"/>
  <c r="C197" i="42" s="1"/>
  <c r="C198" i="42" s="1"/>
  <c r="C199" i="42" s="1"/>
  <c r="C200" i="42" s="1"/>
  <c r="C201" i="42" s="1"/>
  <c r="C202" i="42" s="1"/>
  <c r="C203" i="42" s="1"/>
  <c r="C204" i="42" s="1"/>
  <c r="C205" i="42" s="1"/>
  <c r="C206" i="42" s="1"/>
  <c r="C207" i="42" s="1"/>
  <c r="C208" i="42" s="1"/>
  <c r="C209" i="42" s="1"/>
  <c r="C210" i="42" s="1"/>
  <c r="C211" i="42" s="1"/>
  <c r="C212" i="42" s="1"/>
  <c r="C213" i="42" s="1"/>
  <c r="C214" i="42" s="1"/>
  <c r="C215" i="42" s="1"/>
  <c r="C216" i="42" s="1"/>
  <c r="C217" i="42" s="1"/>
  <c r="C218" i="42" s="1"/>
  <c r="C219" i="42" s="1"/>
  <c r="C220" i="42" s="1"/>
  <c r="C221" i="42" s="1"/>
  <c r="C222" i="42" s="1"/>
  <c r="C223" i="42" s="1"/>
  <c r="C224" i="42" s="1"/>
  <c r="C225" i="42" s="1"/>
  <c r="C226" i="42" s="1"/>
  <c r="C227" i="42" s="1"/>
  <c r="B227" i="42" s="1"/>
  <c r="D227" i="42" s="1"/>
  <c r="A176" i="42"/>
  <c r="A228" i="42" s="1"/>
  <c r="I30" i="42"/>
  <c r="J30" i="42" s="1"/>
  <c r="H27" i="42"/>
  <c r="G27" i="42"/>
  <c r="G32" i="42" s="1"/>
  <c r="H26" i="42"/>
  <c r="I25" i="42"/>
  <c r="J25" i="42" s="1"/>
  <c r="K25" i="42" s="1"/>
  <c r="R24" i="42"/>
  <c r="S24" i="42" s="1"/>
  <c r="T24" i="42" s="1"/>
  <c r="U24" i="42" s="1"/>
  <c r="V24" i="42" s="1"/>
  <c r="W24" i="42" s="1"/>
  <c r="X24" i="42" s="1"/>
  <c r="Y24" i="42" s="1"/>
  <c r="Z24" i="42" s="1"/>
  <c r="H22" i="42"/>
  <c r="H32" i="42" s="1"/>
  <c r="H21" i="42"/>
  <c r="I20" i="42"/>
  <c r="I22" i="42" s="1"/>
  <c r="I32" i="42" s="1"/>
  <c r="AV19" i="42"/>
  <c r="AW19" i="42" s="1"/>
  <c r="AX19" i="42" s="1"/>
  <c r="AY19" i="42" s="1"/>
  <c r="AZ19" i="42" s="1"/>
  <c r="BA19" i="42" s="1"/>
  <c r="BB19" i="42" s="1"/>
  <c r="BC19" i="42" s="1"/>
  <c r="BD19" i="42" s="1"/>
  <c r="BE19" i="42" s="1"/>
  <c r="BF19" i="42" s="1"/>
  <c r="BG19" i="42" s="1"/>
  <c r="BH19" i="42" s="1"/>
  <c r="BI19" i="42" s="1"/>
  <c r="BJ19" i="42" s="1"/>
  <c r="BK19" i="42" s="1"/>
  <c r="BL19" i="42" s="1"/>
  <c r="BM19" i="42" s="1"/>
  <c r="BN19" i="42" s="1"/>
  <c r="BO19" i="42" s="1"/>
  <c r="BP19" i="42" s="1"/>
  <c r="BQ19" i="42" s="1"/>
  <c r="BR19" i="42" s="1"/>
  <c r="BS19" i="42" s="1"/>
  <c r="BT19" i="42" s="1"/>
  <c r="BU19" i="42" s="1"/>
  <c r="BV19" i="42" s="1"/>
  <c r="BW19" i="42" s="1"/>
  <c r="BX19" i="42" s="1"/>
  <c r="BY19" i="42" s="1"/>
  <c r="BZ19" i="42" s="1"/>
  <c r="CA19" i="42" s="1"/>
  <c r="I14" i="42"/>
  <c r="J14" i="42" s="1"/>
  <c r="G11" i="42"/>
  <c r="G16" i="42" s="1"/>
  <c r="I10" i="42"/>
  <c r="H10" i="42"/>
  <c r="I9" i="42"/>
  <c r="J9" i="42" s="1"/>
  <c r="J10" i="42" s="1"/>
  <c r="B121" i="42"/>
  <c r="B120" i="42"/>
  <c r="B119" i="42"/>
  <c r="B118" i="42"/>
  <c r="B117" i="42"/>
  <c r="B116" i="42"/>
  <c r="B115" i="42"/>
  <c r="B114" i="42"/>
  <c r="B113" i="42"/>
  <c r="B112" i="42"/>
  <c r="B111" i="42"/>
  <c r="B110" i="42"/>
  <c r="B109" i="42"/>
  <c r="B108" i="42"/>
  <c r="B107" i="42"/>
  <c r="B106" i="42"/>
  <c r="B105" i="42"/>
  <c r="B104" i="42"/>
  <c r="B103" i="42"/>
  <c r="B102" i="42"/>
  <c r="B101" i="42"/>
  <c r="B100" i="42"/>
  <c r="B99" i="42"/>
  <c r="B98" i="42"/>
  <c r="B97" i="42"/>
  <c r="B96" i="42"/>
  <c r="B95" i="42"/>
  <c r="B94" i="42"/>
  <c r="B93" i="42"/>
  <c r="B92" i="42"/>
  <c r="B91" i="42"/>
  <c r="B90" i="42"/>
  <c r="B89" i="42"/>
  <c r="B88" i="42"/>
  <c r="B87" i="42"/>
  <c r="B86" i="42"/>
  <c r="B85" i="42"/>
  <c r="B84" i="42"/>
  <c r="B83" i="42"/>
  <c r="B82" i="42"/>
  <c r="B81" i="42"/>
  <c r="B80" i="42"/>
  <c r="B79" i="42"/>
  <c r="B78" i="42"/>
  <c r="B77" i="42"/>
  <c r="B76" i="42"/>
  <c r="B75" i="42"/>
  <c r="B74" i="42"/>
  <c r="B73" i="42"/>
  <c r="B72" i="42"/>
  <c r="B71" i="42"/>
  <c r="B70" i="42"/>
  <c r="B69" i="42"/>
  <c r="B68" i="42"/>
  <c r="B67" i="42"/>
  <c r="B66" i="42"/>
  <c r="B65" i="42"/>
  <c r="B64" i="42"/>
  <c r="B63" i="42"/>
  <c r="B62" i="42"/>
  <c r="B61" i="42"/>
  <c r="B60" i="42"/>
  <c r="B59" i="42"/>
  <c r="B58" i="42"/>
  <c r="B57" i="42"/>
  <c r="B56" i="42"/>
  <c r="B55" i="42"/>
  <c r="B54" i="42"/>
  <c r="B53" i="42"/>
  <c r="B52" i="42"/>
  <c r="B51" i="42"/>
  <c r="B50" i="42"/>
  <c r="B49" i="42"/>
  <c r="B48" i="42"/>
  <c r="B47" i="42"/>
  <c r="B46" i="42"/>
  <c r="B45" i="42"/>
  <c r="B44" i="42"/>
  <c r="B43" i="42"/>
  <c r="B42" i="42"/>
  <c r="B41" i="42"/>
  <c r="B40" i="42"/>
  <c r="B39" i="42"/>
  <c r="B38" i="42"/>
  <c r="B37" i="42"/>
  <c r="B36" i="42"/>
  <c r="B35" i="42"/>
  <c r="B34" i="42"/>
  <c r="B33" i="42"/>
  <c r="B32" i="42"/>
  <c r="B31" i="42"/>
  <c r="B30" i="42"/>
  <c r="B29" i="42"/>
  <c r="B28" i="42"/>
  <c r="B27" i="42"/>
  <c r="B26" i="42"/>
  <c r="B25" i="42"/>
  <c r="B24" i="42"/>
  <c r="B23" i="42"/>
  <c r="B22" i="42"/>
  <c r="B21" i="42"/>
  <c r="B20" i="42"/>
  <c r="B19" i="42"/>
  <c r="B18" i="42"/>
  <c r="B17" i="42"/>
  <c r="A17" i="42"/>
  <c r="B16" i="42"/>
  <c r="A16" i="42"/>
  <c r="B15" i="42"/>
  <c r="A15" i="42"/>
  <c r="B14" i="42"/>
  <c r="B13" i="42"/>
  <c r="B12" i="42"/>
  <c r="B11" i="42"/>
  <c r="B10" i="42"/>
  <c r="B9" i="42"/>
  <c r="B8" i="42"/>
  <c r="A8" i="42"/>
  <c r="A11" i="42" s="1"/>
  <c r="B7" i="42"/>
  <c r="A7" i="42"/>
  <c r="A10" i="42" s="1"/>
  <c r="A13" i="42" s="1"/>
  <c r="B6" i="42"/>
  <c r="A6" i="42"/>
  <c r="A9" i="42" s="1"/>
  <c r="H5" i="42"/>
  <c r="H15" i="42" s="1"/>
  <c r="B5" i="42"/>
  <c r="D5" i="42" s="1"/>
  <c r="B4" i="42"/>
  <c r="D4" i="42" s="1"/>
  <c r="B3" i="42"/>
  <c r="D3" i="42" s="1"/>
  <c r="I4" i="42"/>
  <c r="I5" i="42" s="1"/>
  <c r="K758" i="41"/>
  <c r="N15" i="41"/>
  <c r="N16" i="41" s="1"/>
  <c r="N5" i="41"/>
  <c r="N6" i="41" s="1"/>
  <c r="N7" i="41" s="1"/>
  <c r="N8" i="41" s="1"/>
  <c r="N9" i="41" s="1"/>
  <c r="N10" i="41" s="1"/>
  <c r="N11" i="41" s="1"/>
  <c r="N12" i="41" s="1"/>
  <c r="K6" i="41"/>
  <c r="K7" i="41" s="1"/>
  <c r="K8" i="41" s="1"/>
  <c r="K9" i="41" s="1"/>
  <c r="K10" i="41" s="1"/>
  <c r="K11" i="41" s="1"/>
  <c r="K12" i="41" s="1"/>
  <c r="K13" i="41" s="1"/>
  <c r="K14" i="41" s="1"/>
  <c r="K15" i="41" s="1"/>
  <c r="K16" i="41" s="1"/>
  <c r="K17" i="41" s="1"/>
  <c r="K18" i="41" s="1"/>
  <c r="K19" i="41" s="1"/>
  <c r="K20" i="41" s="1"/>
  <c r="K21" i="41" s="1"/>
  <c r="K22" i="41" s="1"/>
  <c r="K23" i="41" s="1"/>
  <c r="K24" i="41" s="1"/>
  <c r="K25" i="41" s="1"/>
  <c r="K26" i="41" s="1"/>
  <c r="K27" i="41" s="1"/>
  <c r="K28" i="41" s="1"/>
  <c r="K29" i="41" s="1"/>
  <c r="K30" i="41" s="1"/>
  <c r="K31" i="41" s="1"/>
  <c r="K32" i="41" s="1"/>
  <c r="K33" i="41" s="1"/>
  <c r="K34" i="41" s="1"/>
  <c r="K35" i="41" s="1"/>
  <c r="K36" i="41" s="1"/>
  <c r="K37" i="41" s="1"/>
  <c r="K38" i="41" s="1"/>
  <c r="K39" i="41" s="1"/>
  <c r="K40" i="41" s="1"/>
  <c r="K41" i="41" s="1"/>
  <c r="K42" i="41" s="1"/>
  <c r="K43" i="41" s="1"/>
  <c r="K44" i="41" s="1"/>
  <c r="K45" i="41" s="1"/>
  <c r="K46" i="41" s="1"/>
  <c r="K47" i="41" s="1"/>
  <c r="K48" i="41" s="1"/>
  <c r="K49" i="41" s="1"/>
  <c r="K50" i="41" s="1"/>
  <c r="K51" i="41" s="1"/>
  <c r="K52" i="41" s="1"/>
  <c r="K53" i="41" s="1"/>
  <c r="K54" i="41" s="1"/>
  <c r="K55" i="41" s="1"/>
  <c r="K56" i="41" s="1"/>
  <c r="K57" i="41" s="1"/>
  <c r="K58" i="41" s="1"/>
  <c r="K59" i="41" s="1"/>
  <c r="K60" i="41" s="1"/>
  <c r="K61" i="41" s="1"/>
  <c r="K62" i="41" s="1"/>
  <c r="K63" i="41" s="1"/>
  <c r="K64" i="41" s="1"/>
  <c r="K65" i="41" s="1"/>
  <c r="K66" i="41" s="1"/>
  <c r="K67" i="41" s="1"/>
  <c r="K68" i="41" s="1"/>
  <c r="K69" i="41" s="1"/>
  <c r="K70" i="41" s="1"/>
  <c r="K71" i="41" s="1"/>
  <c r="K72" i="41" s="1"/>
  <c r="K73" i="41" s="1"/>
  <c r="K74" i="41" s="1"/>
  <c r="K75" i="41" s="1"/>
  <c r="K76" i="41" s="1"/>
  <c r="K77" i="41" s="1"/>
  <c r="K78" i="41" s="1"/>
  <c r="K79" i="41" s="1"/>
  <c r="K80" i="41" s="1"/>
  <c r="K81" i="41" s="1"/>
  <c r="K82" i="41" s="1"/>
  <c r="K83" i="41" s="1"/>
  <c r="K84" i="41" s="1"/>
  <c r="K85" i="41" s="1"/>
  <c r="K86" i="41" s="1"/>
  <c r="K87" i="41" s="1"/>
  <c r="K88" i="41" s="1"/>
  <c r="K89" i="41" s="1"/>
  <c r="K90" i="41" s="1"/>
  <c r="K91" i="41" s="1"/>
  <c r="K92" i="41" s="1"/>
  <c r="K93" i="41" s="1"/>
  <c r="K94" i="41" s="1"/>
  <c r="K95" i="41" s="1"/>
  <c r="K96" i="41" s="1"/>
  <c r="K97" i="41" s="1"/>
  <c r="K98" i="41" s="1"/>
  <c r="K99" i="41" s="1"/>
  <c r="K100" i="41" s="1"/>
  <c r="K101" i="41" s="1"/>
  <c r="K102" i="41" s="1"/>
  <c r="K103" i="41" s="1"/>
  <c r="K104" i="41" s="1"/>
  <c r="K105" i="41" s="1"/>
  <c r="K106" i="41" s="1"/>
  <c r="K107" i="41" s="1"/>
  <c r="K108" i="41" s="1"/>
  <c r="K109" i="41" s="1"/>
  <c r="K110" i="41" s="1"/>
  <c r="K111" i="41" s="1"/>
  <c r="K112" i="41" s="1"/>
  <c r="K113" i="41" s="1"/>
  <c r="K114" i="41" s="1"/>
  <c r="K115" i="41" s="1"/>
  <c r="K116" i="41" s="1"/>
  <c r="K117" i="41" s="1"/>
  <c r="K118" i="41" s="1"/>
  <c r="K119" i="41" s="1"/>
  <c r="K120" i="41" s="1"/>
  <c r="K121" i="41" s="1"/>
  <c r="K122" i="41" s="1"/>
  <c r="K123" i="41" s="1"/>
  <c r="K124" i="41" s="1"/>
  <c r="K125" i="41" s="1"/>
  <c r="K126" i="41" s="1"/>
  <c r="K127" i="41" s="1"/>
  <c r="K128" i="41" s="1"/>
  <c r="K129" i="41" s="1"/>
  <c r="K130" i="41" s="1"/>
  <c r="K131" i="41" s="1"/>
  <c r="K132" i="41" s="1"/>
  <c r="K133" i="41" s="1"/>
  <c r="K134" i="41" s="1"/>
  <c r="K135" i="41" s="1"/>
  <c r="K136" i="41" s="1"/>
  <c r="K137" i="41" s="1"/>
  <c r="K138" i="41" s="1"/>
  <c r="K139" i="41" s="1"/>
  <c r="K140" i="41" s="1"/>
  <c r="K141" i="41" s="1"/>
  <c r="K142" i="41" s="1"/>
  <c r="K143" i="41" s="1"/>
  <c r="K144" i="41" s="1"/>
  <c r="K145" i="41" s="1"/>
  <c r="K146" i="41" s="1"/>
  <c r="K147" i="41" s="1"/>
  <c r="K148" i="41" s="1"/>
  <c r="K149" i="41" s="1"/>
  <c r="K150" i="41" s="1"/>
  <c r="K151" i="41" s="1"/>
  <c r="K152" i="41" s="1"/>
  <c r="K153" i="41" s="1"/>
  <c r="J5" i="41"/>
  <c r="J6" i="41" s="1"/>
  <c r="J7" i="41" s="1"/>
  <c r="J8" i="41" s="1"/>
  <c r="J9" i="41" s="1"/>
  <c r="J10" i="41" s="1"/>
  <c r="J11" i="41" s="1"/>
  <c r="J12" i="41" s="1"/>
  <c r="J13" i="41" s="1"/>
  <c r="J14" i="41" s="1"/>
  <c r="J15" i="41" s="1"/>
  <c r="J16" i="41" s="1"/>
  <c r="J17" i="41" s="1"/>
  <c r="J18" i="41" s="1"/>
  <c r="J19" i="41" s="1"/>
  <c r="J20" i="41" s="1"/>
  <c r="J21" i="41" s="1"/>
  <c r="J22" i="41" s="1"/>
  <c r="J23" i="41" s="1"/>
  <c r="J24" i="41" s="1"/>
  <c r="J25" i="41" s="1"/>
  <c r="J26" i="41" s="1"/>
  <c r="J27" i="41" s="1"/>
  <c r="J28" i="41" s="1"/>
  <c r="J29" i="41" s="1"/>
  <c r="J30" i="41" s="1"/>
  <c r="J31" i="41" s="1"/>
  <c r="J32" i="41" s="1"/>
  <c r="J33" i="41" s="1"/>
  <c r="J34" i="41" s="1"/>
  <c r="J35" i="41" s="1"/>
  <c r="J36" i="41" s="1"/>
  <c r="J37" i="41" s="1"/>
  <c r="J38" i="41" s="1"/>
  <c r="J39" i="41" s="1"/>
  <c r="J40" i="41" s="1"/>
  <c r="J41" i="41" s="1"/>
  <c r="J42" i="41" s="1"/>
  <c r="J43" i="41" s="1"/>
  <c r="J44" i="41" s="1"/>
  <c r="J45" i="41" s="1"/>
  <c r="J46" i="41" s="1"/>
  <c r="J47" i="41" s="1"/>
  <c r="J48" i="41" s="1"/>
  <c r="J49" i="41" s="1"/>
  <c r="J50" i="41" s="1"/>
  <c r="J51" i="41" s="1"/>
  <c r="J52" i="41" s="1"/>
  <c r="J53" i="41" s="1"/>
  <c r="J54" i="41" s="1"/>
  <c r="J55" i="41" s="1"/>
  <c r="J56" i="41" s="1"/>
  <c r="J57" i="41" s="1"/>
  <c r="J58" i="41" s="1"/>
  <c r="J59" i="41" s="1"/>
  <c r="J60" i="41" s="1"/>
  <c r="J61" i="41" s="1"/>
  <c r="J62" i="41" s="1"/>
  <c r="J63" i="41" s="1"/>
  <c r="J64" i="41" s="1"/>
  <c r="J65" i="41" s="1"/>
  <c r="J66" i="41" s="1"/>
  <c r="J67" i="41" s="1"/>
  <c r="J68" i="41" s="1"/>
  <c r="J69" i="41" s="1"/>
  <c r="J70" i="41" s="1"/>
  <c r="J71" i="41" s="1"/>
  <c r="J72" i="41" s="1"/>
  <c r="J73" i="41" s="1"/>
  <c r="J74" i="41" s="1"/>
  <c r="J75" i="41" s="1"/>
  <c r="J76" i="41" s="1"/>
  <c r="J77" i="41" s="1"/>
  <c r="J78" i="41" s="1"/>
  <c r="J79" i="41" s="1"/>
  <c r="J80" i="41" s="1"/>
  <c r="J81" i="41" s="1"/>
  <c r="J82" i="41" s="1"/>
  <c r="J83" i="41" s="1"/>
  <c r="J84" i="41" s="1"/>
  <c r="J85" i="41" s="1"/>
  <c r="J86" i="41" s="1"/>
  <c r="J87" i="41" s="1"/>
  <c r="J88" i="41" s="1"/>
  <c r="J89" i="41" s="1"/>
  <c r="J90" i="41" s="1"/>
  <c r="J91" i="41" s="1"/>
  <c r="J92" i="41" s="1"/>
  <c r="J93" i="41" s="1"/>
  <c r="J94" i="41" s="1"/>
  <c r="J95" i="41" s="1"/>
  <c r="J96" i="41" s="1"/>
  <c r="J97" i="41" s="1"/>
  <c r="J98" i="41" s="1"/>
  <c r="J99" i="41" s="1"/>
  <c r="J100" i="41" s="1"/>
  <c r="J101" i="41" s="1"/>
  <c r="J102" i="41" s="1"/>
  <c r="J103" i="41" s="1"/>
  <c r="J104" i="41" s="1"/>
  <c r="J105" i="41" s="1"/>
  <c r="J106" i="41" s="1"/>
  <c r="J107" i="41" s="1"/>
  <c r="J108" i="41" s="1"/>
  <c r="J109" i="41" s="1"/>
  <c r="J110" i="41" s="1"/>
  <c r="J111" i="41" s="1"/>
  <c r="J112" i="41" s="1"/>
  <c r="J113" i="41" s="1"/>
  <c r="J114" i="41" s="1"/>
  <c r="J115" i="41" s="1"/>
  <c r="J116" i="41" s="1"/>
  <c r="J117" i="41" s="1"/>
  <c r="J118" i="41" s="1"/>
  <c r="J119" i="41" s="1"/>
  <c r="J120" i="41" s="1"/>
  <c r="J121" i="41" s="1"/>
  <c r="J122" i="41" s="1"/>
  <c r="J123" i="41" s="1"/>
  <c r="J124" i="41" s="1"/>
  <c r="J125" i="41" s="1"/>
  <c r="J126" i="41" s="1"/>
  <c r="J127" i="41" s="1"/>
  <c r="J128" i="41" s="1"/>
  <c r="J129" i="41" s="1"/>
  <c r="J130" i="41" s="1"/>
  <c r="J131" i="41" s="1"/>
  <c r="J132" i="41" s="1"/>
  <c r="J133" i="41" s="1"/>
  <c r="J134" i="41" s="1"/>
  <c r="J135" i="41" s="1"/>
  <c r="J136" i="41" s="1"/>
  <c r="J137" i="41" s="1"/>
  <c r="J138" i="41" s="1"/>
  <c r="J139" i="41" s="1"/>
  <c r="J140" i="41" s="1"/>
  <c r="J141" i="41" s="1"/>
  <c r="J142" i="41" s="1"/>
  <c r="J143" i="41" s="1"/>
  <c r="J144" i="41" s="1"/>
  <c r="J145" i="41" s="1"/>
  <c r="J146" i="41" s="1"/>
  <c r="J147" i="41" s="1"/>
  <c r="J148" i="41" s="1"/>
  <c r="J149" i="41" s="1"/>
  <c r="J150" i="41" s="1"/>
  <c r="J151" i="41" s="1"/>
  <c r="J152" i="41" s="1"/>
  <c r="J153" i="41" s="1"/>
  <c r="I5" i="41"/>
  <c r="I6" i="41" s="1"/>
  <c r="I7" i="41" s="1"/>
  <c r="I8" i="41" s="1"/>
  <c r="I9" i="41" s="1"/>
  <c r="I10" i="41" s="1"/>
  <c r="I11" i="41" s="1"/>
  <c r="I12" i="41" s="1"/>
  <c r="I13" i="41" s="1"/>
  <c r="I14" i="41" s="1"/>
  <c r="I15" i="41" s="1"/>
  <c r="I16" i="41" s="1"/>
  <c r="I17" i="41" s="1"/>
  <c r="I18" i="41" s="1"/>
  <c r="I19" i="41" s="1"/>
  <c r="I20" i="41" s="1"/>
  <c r="I21" i="41" s="1"/>
  <c r="I22" i="41" s="1"/>
  <c r="I23" i="41" s="1"/>
  <c r="I24" i="41" s="1"/>
  <c r="I25" i="41" s="1"/>
  <c r="I26" i="41" s="1"/>
  <c r="I27" i="41" s="1"/>
  <c r="I28" i="41" s="1"/>
  <c r="I29" i="41" s="1"/>
  <c r="I30" i="41" s="1"/>
  <c r="I31" i="41" s="1"/>
  <c r="I32" i="41" s="1"/>
  <c r="I33" i="41" s="1"/>
  <c r="I34" i="41" s="1"/>
  <c r="I35" i="41" s="1"/>
  <c r="I36" i="41" s="1"/>
  <c r="I37" i="41" s="1"/>
  <c r="I38" i="41" s="1"/>
  <c r="I39" i="41" s="1"/>
  <c r="I40" i="41" s="1"/>
  <c r="I41" i="41" s="1"/>
  <c r="I42" i="41" s="1"/>
  <c r="I43" i="41" s="1"/>
  <c r="I44" i="41" s="1"/>
  <c r="I45" i="41" s="1"/>
  <c r="I46" i="41" s="1"/>
  <c r="I47" i="41" s="1"/>
  <c r="I48" i="41" s="1"/>
  <c r="I49" i="41" s="1"/>
  <c r="I50" i="41" s="1"/>
  <c r="I51" i="41" s="1"/>
  <c r="I52" i="41" s="1"/>
  <c r="I53" i="41" s="1"/>
  <c r="I54" i="41" s="1"/>
  <c r="I55" i="41" s="1"/>
  <c r="I56" i="41" s="1"/>
  <c r="I57" i="41" s="1"/>
  <c r="I58" i="41" s="1"/>
  <c r="I59" i="41" s="1"/>
  <c r="I60" i="41" s="1"/>
  <c r="I61" i="41" s="1"/>
  <c r="I62" i="41" s="1"/>
  <c r="I63" i="41" s="1"/>
  <c r="I64" i="41" s="1"/>
  <c r="I65" i="41" s="1"/>
  <c r="I66" i="41" s="1"/>
  <c r="I67" i="41" s="1"/>
  <c r="I68" i="41" s="1"/>
  <c r="I69" i="41" s="1"/>
  <c r="I70" i="41" s="1"/>
  <c r="I71" i="41" s="1"/>
  <c r="I72" i="41" s="1"/>
  <c r="I73" i="41" s="1"/>
  <c r="I74" i="41" s="1"/>
  <c r="I75" i="41" s="1"/>
  <c r="I76" i="41" s="1"/>
  <c r="I77" i="41" s="1"/>
  <c r="I78" i="41" s="1"/>
  <c r="D4" i="41"/>
  <c r="D5" i="41" s="1"/>
  <c r="CX2" i="41"/>
  <c r="DC2" i="41" s="1"/>
  <c r="DH2" i="41" s="1"/>
  <c r="DM2" i="41" s="1"/>
  <c r="CW2" i="41"/>
  <c r="DB2" i="41" s="1"/>
  <c r="DG2" i="41" s="1"/>
  <c r="DL2" i="41" s="1"/>
  <c r="CU2" i="41"/>
  <c r="CZ2" i="41" s="1"/>
  <c r="DE2" i="41" s="1"/>
  <c r="DJ2" i="41" s="1"/>
  <c r="DO2" i="41" s="1"/>
  <c r="CT2" i="41"/>
  <c r="CY2" i="41" s="1"/>
  <c r="DD2" i="41" s="1"/>
  <c r="DI2" i="41" s="1"/>
  <c r="DN2" i="41" s="1"/>
  <c r="CN2" i="41"/>
  <c r="CM2" i="41"/>
  <c r="CC1" i="41"/>
  <c r="CA2" i="41"/>
  <c r="BZ2" i="41"/>
  <c r="BY2" i="41"/>
  <c r="BX2" i="41"/>
  <c r="CC2" i="41" s="1"/>
  <c r="DK1" i="41"/>
  <c r="DJ1" i="41"/>
  <c r="DI1" i="41"/>
  <c r="DH1" i="41"/>
  <c r="DG1" i="41"/>
  <c r="DF1" i="41"/>
  <c r="DE1" i="41"/>
  <c r="DD1" i="41"/>
  <c r="DC1" i="41"/>
  <c r="DB1" i="41"/>
  <c r="DA1" i="41"/>
  <c r="CZ1" i="41"/>
  <c r="CY1" i="41"/>
  <c r="CX1" i="41"/>
  <c r="CW1" i="41"/>
  <c r="CV1" i="41"/>
  <c r="CU1" i="41"/>
  <c r="CT1" i="41"/>
  <c r="CS1" i="41"/>
  <c r="CR1" i="41"/>
  <c r="CQ1" i="41"/>
  <c r="CP1" i="41"/>
  <c r="CO1" i="41"/>
  <c r="CN1" i="41"/>
  <c r="CM1" i="41"/>
  <c r="CL1" i="41"/>
  <c r="CK1" i="41"/>
  <c r="CJ1" i="41"/>
  <c r="CI1" i="41"/>
  <c r="CH1" i="41"/>
  <c r="CG1" i="41"/>
  <c r="CF1" i="41"/>
  <c r="CE1" i="41"/>
  <c r="CD1" i="41"/>
  <c r="CB1" i="41"/>
  <c r="CA1" i="41"/>
  <c r="BZ1" i="41"/>
  <c r="BY1" i="41"/>
  <c r="BX1" i="41"/>
  <c r="BW1" i="41"/>
  <c r="BV1" i="41"/>
  <c r="BU1" i="41"/>
  <c r="BT1" i="41"/>
  <c r="BS1" i="41"/>
  <c r="BR1" i="41"/>
  <c r="BQ1" i="41"/>
  <c r="BP1" i="41"/>
  <c r="BO1" i="41"/>
  <c r="BN1" i="41"/>
  <c r="BM1" i="41"/>
  <c r="BL1" i="41"/>
  <c r="BK1" i="41"/>
  <c r="BJ1" i="41"/>
  <c r="BI1" i="41"/>
  <c r="BH1" i="41"/>
  <c r="BG1" i="41"/>
  <c r="BF1" i="41"/>
  <c r="BE1" i="41"/>
  <c r="BD1" i="41"/>
  <c r="BC1" i="41"/>
  <c r="BB1" i="41"/>
  <c r="BA1" i="41"/>
  <c r="AZ1" i="41"/>
  <c r="AY1" i="41"/>
  <c r="AX1" i="41"/>
  <c r="AW1" i="41"/>
  <c r="AV1" i="41"/>
  <c r="AU1" i="41"/>
  <c r="AT1" i="41"/>
  <c r="AS1" i="41"/>
  <c r="AR1" i="41"/>
  <c r="AQ1" i="41"/>
  <c r="AP1" i="41"/>
  <c r="AO1" i="41"/>
  <c r="AN1" i="41"/>
  <c r="AM1" i="41"/>
  <c r="AL1" i="41"/>
  <c r="AK1" i="41"/>
  <c r="AJ1" i="41"/>
  <c r="AI1" i="41"/>
  <c r="AH1" i="41"/>
  <c r="AG1" i="41"/>
  <c r="AF1" i="41"/>
  <c r="AE1" i="41"/>
  <c r="AD1" i="41"/>
  <c r="AC1" i="41"/>
  <c r="AB1" i="41"/>
  <c r="AA1" i="41"/>
  <c r="Z1" i="41"/>
  <c r="Y1" i="41"/>
  <c r="X1" i="41"/>
  <c r="W1" i="41"/>
  <c r="V1" i="41"/>
  <c r="U1" i="41"/>
  <c r="T1" i="41"/>
  <c r="S1" i="41"/>
  <c r="R1" i="41"/>
  <c r="Q1" i="41"/>
  <c r="P1" i="41"/>
  <c r="E51" i="91"/>
  <c r="J32" i="91" s="1"/>
  <c r="E45" i="91"/>
  <c r="E50" i="91" s="1"/>
  <c r="M30" i="91" s="1"/>
  <c r="N30" i="91" s="1"/>
  <c r="P24" i="91"/>
  <c r="Q24" i="91" s="1"/>
  <c r="R24" i="91" s="1"/>
  <c r="S24" i="91" s="1"/>
  <c r="T24" i="91" s="1"/>
  <c r="U24" i="91" s="1"/>
  <c r="V24" i="91" s="1"/>
  <c r="W24" i="91" s="1"/>
  <c r="M15" i="91"/>
  <c r="L15" i="91"/>
  <c r="K15" i="91"/>
  <c r="J15" i="91"/>
  <c r="I15" i="91"/>
  <c r="H15" i="91"/>
  <c r="G15" i="91"/>
  <c r="F15" i="91"/>
  <c r="G4" i="91"/>
  <c r="H4" i="91" s="1"/>
  <c r="I4" i="91" s="1"/>
  <c r="J4" i="91" s="1"/>
  <c r="K4" i="91" s="1"/>
  <c r="L4" i="91" s="1"/>
  <c r="M4" i="91" s="1"/>
  <c r="G2" i="91"/>
  <c r="H2" i="91" s="1"/>
  <c r="I2" i="91" s="1"/>
  <c r="J2" i="91" s="1"/>
  <c r="K2" i="91" s="1"/>
  <c r="L2" i="91" s="1"/>
  <c r="M2" i="91" s="1"/>
  <c r="N2" i="91" s="1"/>
  <c r="O2" i="91" s="1"/>
  <c r="P2" i="91" s="1"/>
  <c r="Q2" i="91" s="1"/>
  <c r="R2" i="91" s="1"/>
  <c r="S2" i="91" s="1"/>
  <c r="T2" i="91" s="1"/>
  <c r="U2" i="91" s="1"/>
  <c r="V2" i="91" s="1"/>
  <c r="W2" i="91" s="1"/>
  <c r="X2" i="91" s="1"/>
  <c r="DB403" i="3"/>
  <c r="DB402" i="3"/>
  <c r="CW403" i="3"/>
  <c r="CW402" i="3"/>
  <c r="CR403" i="3"/>
  <c r="CR402" i="3"/>
  <c r="CM403" i="3"/>
  <c r="CM402" i="3"/>
  <c r="CH403" i="3"/>
  <c r="CH402" i="3"/>
  <c r="CC403" i="3"/>
  <c r="CC402" i="3"/>
  <c r="BX403" i="3"/>
  <c r="BX402" i="3"/>
  <c r="BS403" i="3"/>
  <c r="BS402" i="3"/>
  <c r="BN403" i="3"/>
  <c r="BI403" i="3"/>
  <c r="DG403" i="3"/>
  <c r="DG402" i="3"/>
  <c r="EZ398" i="3"/>
  <c r="EG399" i="3"/>
  <c r="EF399" i="3"/>
  <c r="EB399" i="3"/>
  <c r="EA399" i="3"/>
  <c r="DW399" i="3"/>
  <c r="DV399" i="3"/>
  <c r="DR399" i="3"/>
  <c r="DQ399" i="3"/>
  <c r="DP399" i="3"/>
  <c r="DO399" i="3"/>
  <c r="DN399" i="3"/>
  <c r="DM399" i="3"/>
  <c r="DL399" i="3"/>
  <c r="DK399" i="3"/>
  <c r="DJ399" i="3"/>
  <c r="DI399" i="3"/>
  <c r="DH399" i="3"/>
  <c r="DG399" i="3"/>
  <c r="DF399" i="3"/>
  <c r="DE399" i="3"/>
  <c r="DD399" i="3"/>
  <c r="DC399" i="3"/>
  <c r="DB399" i="3"/>
  <c r="DA399" i="3"/>
  <c r="CZ399" i="3"/>
  <c r="CY399" i="3"/>
  <c r="CX399" i="3"/>
  <c r="CW399" i="3"/>
  <c r="CV399" i="3"/>
  <c r="CU399" i="3"/>
  <c r="CT399" i="3"/>
  <c r="CS399" i="3"/>
  <c r="CR399" i="3"/>
  <c r="CQ399" i="3"/>
  <c r="CP399" i="3"/>
  <c r="CO399" i="3"/>
  <c r="CN399" i="3"/>
  <c r="CM399" i="3"/>
  <c r="CL399" i="3"/>
  <c r="CK399" i="3"/>
  <c r="CJ399" i="3"/>
  <c r="CI399" i="3"/>
  <c r="CH399" i="3"/>
  <c r="CG399" i="3"/>
  <c r="CF399" i="3"/>
  <c r="CE399" i="3"/>
  <c r="CD399" i="3"/>
  <c r="CC399" i="3"/>
  <c r="CB399" i="3"/>
  <c r="CA399" i="3"/>
  <c r="BZ399" i="3"/>
  <c r="BY399" i="3"/>
  <c r="BX399" i="3"/>
  <c r="BW399" i="3"/>
  <c r="BV399" i="3"/>
  <c r="BU399" i="3"/>
  <c r="BT399" i="3"/>
  <c r="BS399" i="3"/>
  <c r="BR399" i="3"/>
  <c r="BQ399" i="3"/>
  <c r="BP399" i="3"/>
  <c r="BO399" i="3"/>
  <c r="BN399" i="3"/>
  <c r="BM399" i="3"/>
  <c r="BL399" i="3"/>
  <c r="BK399" i="3"/>
  <c r="BJ399" i="3"/>
  <c r="BI399" i="3"/>
  <c r="BH399" i="3"/>
  <c r="BG399" i="3"/>
  <c r="BF399" i="3"/>
  <c r="BE399" i="3"/>
  <c r="BD399" i="3"/>
  <c r="BC399" i="3"/>
  <c r="BB399" i="3"/>
  <c r="BA399" i="3"/>
  <c r="AZ399" i="3"/>
  <c r="AY399" i="3"/>
  <c r="AX399" i="3"/>
  <c r="AW399" i="3"/>
  <c r="AV399" i="3"/>
  <c r="AU399" i="3"/>
  <c r="AT399" i="3"/>
  <c r="AS399" i="3"/>
  <c r="AR399" i="3"/>
  <c r="AQ399" i="3"/>
  <c r="AP399" i="3"/>
  <c r="AO399" i="3"/>
  <c r="AN399" i="3"/>
  <c r="AM399" i="3"/>
  <c r="AL399" i="3"/>
  <c r="AK399" i="3"/>
  <c r="AJ399" i="3"/>
  <c r="AI399" i="3"/>
  <c r="AH399" i="3"/>
  <c r="AG399" i="3"/>
  <c r="AF399" i="3"/>
  <c r="AE399" i="3"/>
  <c r="AD399" i="3"/>
  <c r="AC399" i="3"/>
  <c r="AB399" i="3"/>
  <c r="AA399" i="3"/>
  <c r="Z399" i="3"/>
  <c r="Y399" i="3"/>
  <c r="X399" i="3"/>
  <c r="W399" i="3"/>
  <c r="V399" i="3"/>
  <c r="U399" i="3"/>
  <c r="T399" i="3"/>
  <c r="S399" i="3"/>
  <c r="R399" i="3"/>
  <c r="Q399" i="3"/>
  <c r="P399" i="3"/>
  <c r="O399" i="3"/>
  <c r="N399" i="3"/>
  <c r="M399" i="3"/>
  <c r="L399" i="3"/>
  <c r="K399" i="3"/>
  <c r="J399" i="3"/>
  <c r="I399" i="3"/>
  <c r="H399" i="3"/>
  <c r="G399" i="3"/>
  <c r="F399" i="3"/>
  <c r="E399" i="3"/>
  <c r="D399" i="3"/>
  <c r="C399" i="3"/>
  <c r="B399" i="3"/>
  <c r="EH398" i="3"/>
  <c r="EG398" i="3"/>
  <c r="EF398" i="3"/>
  <c r="EE398" i="3"/>
  <c r="ED398" i="3"/>
  <c r="EC398" i="3"/>
  <c r="EB398" i="3"/>
  <c r="EA398" i="3"/>
  <c r="DZ398" i="3"/>
  <c r="DY398" i="3"/>
  <c r="DX398" i="3"/>
  <c r="DW398" i="3"/>
  <c r="DV398" i="3"/>
  <c r="DU398" i="3"/>
  <c r="DT398" i="3"/>
  <c r="DS398" i="3"/>
  <c r="DR398" i="3"/>
  <c r="DQ398" i="3"/>
  <c r="DP398" i="3"/>
  <c r="DO398" i="3"/>
  <c r="DN398" i="3"/>
  <c r="DM398" i="3"/>
  <c r="DL398" i="3"/>
  <c r="DK398" i="3"/>
  <c r="DJ398" i="3"/>
  <c r="DI398" i="3"/>
  <c r="DH398" i="3"/>
  <c r="DG398" i="3"/>
  <c r="DF398" i="3"/>
  <c r="DE398" i="3"/>
  <c r="DD398" i="3"/>
  <c r="DC398" i="3"/>
  <c r="DB398" i="3"/>
  <c r="DA398" i="3"/>
  <c r="CZ398" i="3"/>
  <c r="CY398" i="3"/>
  <c r="CX398" i="3"/>
  <c r="CW398" i="3"/>
  <c r="CV398" i="3"/>
  <c r="CU398" i="3"/>
  <c r="CT398" i="3"/>
  <c r="CS398" i="3"/>
  <c r="CR398" i="3"/>
  <c r="CQ398" i="3"/>
  <c r="CP398" i="3"/>
  <c r="CO398" i="3"/>
  <c r="CN398" i="3"/>
  <c r="CM398" i="3"/>
  <c r="CL398" i="3"/>
  <c r="CK398" i="3"/>
  <c r="CJ398" i="3"/>
  <c r="CI398" i="3"/>
  <c r="CH398" i="3"/>
  <c r="CG398" i="3"/>
  <c r="CF398" i="3"/>
  <c r="CE398" i="3"/>
  <c r="CD398" i="3"/>
  <c r="CC398" i="3"/>
  <c r="CB398" i="3"/>
  <c r="CA398" i="3"/>
  <c r="BZ398" i="3"/>
  <c r="BY398" i="3"/>
  <c r="BX398" i="3"/>
  <c r="BW398" i="3"/>
  <c r="BV398" i="3"/>
  <c r="BU398" i="3"/>
  <c r="BT398" i="3"/>
  <c r="BS398" i="3"/>
  <c r="BR398" i="3"/>
  <c r="BQ398" i="3"/>
  <c r="BP398" i="3"/>
  <c r="BO398" i="3"/>
  <c r="BN398" i="3"/>
  <c r="BM398" i="3"/>
  <c r="BL398" i="3"/>
  <c r="BK398" i="3"/>
  <c r="BJ398" i="3"/>
  <c r="BI398" i="3"/>
  <c r="BH398" i="3"/>
  <c r="BG398" i="3"/>
  <c r="BF398" i="3"/>
  <c r="BE398" i="3"/>
  <c r="BD398" i="3"/>
  <c r="BC398" i="3"/>
  <c r="BB398" i="3"/>
  <c r="BA398" i="3"/>
  <c r="AZ398" i="3"/>
  <c r="AY398" i="3"/>
  <c r="AX398" i="3"/>
  <c r="AW398" i="3"/>
  <c r="AV398" i="3"/>
  <c r="AU398" i="3"/>
  <c r="AT398" i="3"/>
  <c r="AS398" i="3"/>
  <c r="AR398" i="3"/>
  <c r="AQ398" i="3"/>
  <c r="AP398" i="3"/>
  <c r="AO398" i="3"/>
  <c r="AN398" i="3"/>
  <c r="AM398" i="3"/>
  <c r="AL398" i="3"/>
  <c r="AK398" i="3"/>
  <c r="AJ398" i="3"/>
  <c r="AI398" i="3"/>
  <c r="AH398" i="3"/>
  <c r="AG398" i="3"/>
  <c r="AF398" i="3"/>
  <c r="AE398" i="3"/>
  <c r="AD398" i="3"/>
  <c r="AC398" i="3"/>
  <c r="AB398" i="3"/>
  <c r="AA398" i="3"/>
  <c r="Z398" i="3"/>
  <c r="Y398" i="3"/>
  <c r="X398" i="3"/>
  <c r="W398" i="3"/>
  <c r="V398" i="3"/>
  <c r="U398" i="3"/>
  <c r="T398" i="3"/>
  <c r="S398" i="3"/>
  <c r="R398" i="3"/>
  <c r="Q398" i="3"/>
  <c r="P398" i="3"/>
  <c r="O398" i="3"/>
  <c r="N398" i="3"/>
  <c r="M398" i="3"/>
  <c r="L398" i="3"/>
  <c r="K398" i="3"/>
  <c r="J398" i="3"/>
  <c r="I398" i="3"/>
  <c r="H398" i="3"/>
  <c r="G398" i="3"/>
  <c r="F398" i="3"/>
  <c r="E398" i="3"/>
  <c r="D398" i="3"/>
  <c r="C398" i="3"/>
  <c r="B398" i="3"/>
  <c r="P384" i="3"/>
  <c r="P383" i="3"/>
  <c r="EF366" i="3"/>
  <c r="EF365" i="3"/>
  <c r="EF364" i="3"/>
  <c r="EA366" i="3"/>
  <c r="EA365" i="3"/>
  <c r="EA364" i="3"/>
  <c r="DV366" i="3"/>
  <c r="DV365" i="3"/>
  <c r="DV364" i="3"/>
  <c r="DQ366" i="3"/>
  <c r="DQ365" i="3"/>
  <c r="DQ364" i="3"/>
  <c r="DL366" i="3"/>
  <c r="DL364" i="3"/>
  <c r="DG366" i="3"/>
  <c r="DG364" i="3"/>
  <c r="DB366" i="3"/>
  <c r="DB365" i="3"/>
  <c r="DB368" i="3" s="1"/>
  <c r="DB364" i="3"/>
  <c r="CW366" i="3"/>
  <c r="CW365" i="3"/>
  <c r="CW368" i="3" s="1"/>
  <c r="CW364" i="3"/>
  <c r="CR366" i="3"/>
  <c r="CR365" i="3"/>
  <c r="CR368" i="3" s="1"/>
  <c r="CR364" i="3"/>
  <c r="CM366" i="3"/>
  <c r="CM365" i="3"/>
  <c r="CM368" i="3" s="1"/>
  <c r="CM364" i="3"/>
  <c r="CH366" i="3"/>
  <c r="CH365" i="3"/>
  <c r="CH368" i="3" s="1"/>
  <c r="CH364" i="3"/>
  <c r="CC366" i="3"/>
  <c r="CC365" i="3"/>
  <c r="CC368" i="3" s="1"/>
  <c r="CC364" i="3"/>
  <c r="BX366" i="3"/>
  <c r="BX365" i="3"/>
  <c r="BX368" i="3" s="1"/>
  <c r="BX364" i="3"/>
  <c r="BS366" i="3"/>
  <c r="BS365" i="3"/>
  <c r="BS368" i="3" s="1"/>
  <c r="BS364" i="3"/>
  <c r="BN366" i="3"/>
  <c r="BN365" i="3"/>
  <c r="BN368" i="3" s="1"/>
  <c r="BN364" i="3"/>
  <c r="BI366" i="3"/>
  <c r="BI365" i="3"/>
  <c r="BI368" i="3" s="1"/>
  <c r="BI364" i="3"/>
  <c r="BD366" i="3"/>
  <c r="BD365" i="3"/>
  <c r="BD368" i="3" s="1"/>
  <c r="BD364" i="3"/>
  <c r="AY366" i="3"/>
  <c r="AY365" i="3"/>
  <c r="AY368" i="3" s="1"/>
  <c r="AY364" i="3"/>
  <c r="AT366" i="3"/>
  <c r="AT365" i="3"/>
  <c r="AT368" i="3" s="1"/>
  <c r="AT364" i="3"/>
  <c r="P373" i="3"/>
  <c r="P372" i="3"/>
  <c r="P371" i="3"/>
  <c r="P370" i="3"/>
  <c r="P369" i="3"/>
  <c r="P366" i="3"/>
  <c r="P365" i="3"/>
  <c r="P368" i="3" s="1"/>
  <c r="P364" i="3"/>
  <c r="EF360" i="3"/>
  <c r="EA360" i="3"/>
  <c r="DV360" i="3"/>
  <c r="DQ360" i="3"/>
  <c r="DQ361" i="3" s="1"/>
  <c r="DL360" i="3"/>
  <c r="DL361" i="3" s="1"/>
  <c r="DG360" i="3"/>
  <c r="DG361" i="3" s="1"/>
  <c r="EI360" i="3"/>
  <c r="EH360" i="3"/>
  <c r="ED360" i="3"/>
  <c r="EC360" i="3"/>
  <c r="EB360" i="3"/>
  <c r="DY360" i="3"/>
  <c r="DX360" i="3"/>
  <c r="DW360" i="3"/>
  <c r="DU359" i="3"/>
  <c r="DU357" i="3"/>
  <c r="DR360" i="3"/>
  <c r="EE359" i="3"/>
  <c r="EE357" i="3"/>
  <c r="DZ359" i="3"/>
  <c r="DZ357" i="3"/>
  <c r="DG358" i="3"/>
  <c r="CW358" i="3"/>
  <c r="CR358" i="3"/>
  <c r="CM358" i="3"/>
  <c r="CH358" i="3"/>
  <c r="CC358" i="3"/>
  <c r="BX358" i="3"/>
  <c r="BS358" i="3"/>
  <c r="BN358" i="3"/>
  <c r="BI358" i="3"/>
  <c r="BD358" i="3"/>
  <c r="AY358" i="3"/>
  <c r="AT358" i="3"/>
  <c r="EI356" i="3"/>
  <c r="EI358" i="3" s="1"/>
  <c r="EH356" i="3"/>
  <c r="EH358" i="3" s="1"/>
  <c r="EG356" i="3"/>
  <c r="EG358" i="3" s="1"/>
  <c r="EF356" i="3"/>
  <c r="EE356" i="3" s="1"/>
  <c r="ED356" i="3"/>
  <c r="ED358" i="3" s="1"/>
  <c r="EC356" i="3"/>
  <c r="EC358" i="3" s="1"/>
  <c r="EB356" i="3"/>
  <c r="EB358" i="3" s="1"/>
  <c r="EA356" i="3"/>
  <c r="EA358" i="3" s="1"/>
  <c r="DZ358" i="3" s="1"/>
  <c r="DY356" i="3"/>
  <c r="DY358" i="3" s="1"/>
  <c r="DX356" i="3"/>
  <c r="DX358" i="3" s="1"/>
  <c r="DW356" i="3"/>
  <c r="DW358" i="3" s="1"/>
  <c r="DV356" i="3"/>
  <c r="DV358" i="3" s="1"/>
  <c r="DU358" i="3" s="1"/>
  <c r="DT356" i="3"/>
  <c r="DT358" i="3" s="1"/>
  <c r="DS356" i="3"/>
  <c r="DS358" i="3" s="1"/>
  <c r="DR356" i="3"/>
  <c r="DR358" i="3" s="1"/>
  <c r="DQ356" i="3"/>
  <c r="DQ358" i="3" s="1"/>
  <c r="DL356" i="3"/>
  <c r="DL358" i="3" s="1"/>
  <c r="DB356" i="3"/>
  <c r="DB358" i="3" s="1"/>
  <c r="EE354" i="3"/>
  <c r="EE352" i="3"/>
  <c r="EE351" i="3"/>
  <c r="EE347" i="3"/>
  <c r="DZ354" i="3"/>
  <c r="DZ352" i="3"/>
  <c r="DZ351" i="3"/>
  <c r="DZ347" i="3"/>
  <c r="DU354" i="3"/>
  <c r="DU352" i="3"/>
  <c r="DU351" i="3"/>
  <c r="DU350" i="3"/>
  <c r="DU347" i="3"/>
  <c r="DB353" i="3"/>
  <c r="DB354" i="3" s="1"/>
  <c r="DB360" i="3" s="1"/>
  <c r="DB361" i="3" s="1"/>
  <c r="CW354" i="3"/>
  <c r="CW360" i="3" s="1"/>
  <c r="CW361" i="3" s="1"/>
  <c r="CR354" i="3"/>
  <c r="CR360" i="3" s="1"/>
  <c r="CR361" i="3" s="1"/>
  <c r="CM354" i="3"/>
  <c r="CM360" i="3" s="1"/>
  <c r="CM361" i="3" s="1"/>
  <c r="CH354" i="3"/>
  <c r="CH360" i="3" s="1"/>
  <c r="CH361" i="3" s="1"/>
  <c r="CC354" i="3"/>
  <c r="CC360" i="3" s="1"/>
  <c r="CC361" i="3" s="1"/>
  <c r="BX354" i="3"/>
  <c r="BX360" i="3" s="1"/>
  <c r="BX361" i="3" s="1"/>
  <c r="BS354" i="3"/>
  <c r="BS360" i="3" s="1"/>
  <c r="BS361" i="3" s="1"/>
  <c r="BN354" i="3"/>
  <c r="BN360" i="3" s="1"/>
  <c r="BN361" i="3" s="1"/>
  <c r="BI354" i="3"/>
  <c r="BI360" i="3" s="1"/>
  <c r="BI361" i="3" s="1"/>
  <c r="BD354" i="3"/>
  <c r="BD360" i="3" s="1"/>
  <c r="BD361" i="3" s="1"/>
  <c r="AY354" i="3"/>
  <c r="AY360" i="3" s="1"/>
  <c r="AY361" i="3" s="1"/>
  <c r="AT354" i="3"/>
  <c r="AT360" i="3" s="1"/>
  <c r="AT361" i="3" s="1"/>
  <c r="EI353" i="3"/>
  <c r="DY353" i="3"/>
  <c r="DV353" i="3"/>
  <c r="DT353" i="3"/>
  <c r="DS353" i="3"/>
  <c r="DR353" i="3"/>
  <c r="DQ353" i="3"/>
  <c r="DP351" i="3"/>
  <c r="DL351" i="3"/>
  <c r="DL353" i="3" s="1"/>
  <c r="DG351" i="3"/>
  <c r="DG353" i="3" s="1"/>
  <c r="EH350" i="3"/>
  <c r="EH353" i="3" s="1"/>
  <c r="EG350" i="3"/>
  <c r="EG354" i="3" s="1"/>
  <c r="EG360" i="3" s="1"/>
  <c r="EF350" i="3"/>
  <c r="EF348" i="3" s="1"/>
  <c r="DX350" i="3"/>
  <c r="DX348" i="3" s="1"/>
  <c r="DW350" i="3"/>
  <c r="DW353" i="3" s="1"/>
  <c r="DL347" i="3"/>
  <c r="DL348" i="3" s="1"/>
  <c r="DG347" i="3"/>
  <c r="DB348" i="3"/>
  <c r="CW348" i="3"/>
  <c r="CR348" i="3"/>
  <c r="CM348" i="3"/>
  <c r="CH348" i="3"/>
  <c r="CC348" i="3"/>
  <c r="BX348" i="3"/>
  <c r="BS348" i="3"/>
  <c r="BN348" i="3"/>
  <c r="BI348" i="3"/>
  <c r="BD348" i="3"/>
  <c r="AY348" i="3"/>
  <c r="AT348" i="3"/>
  <c r="EI348" i="3"/>
  <c r="ED350" i="3"/>
  <c r="ED348" i="3" s="1"/>
  <c r="EC350" i="3"/>
  <c r="EC353" i="3" s="1"/>
  <c r="EB350" i="3"/>
  <c r="EB353" i="3" s="1"/>
  <c r="EA350" i="3"/>
  <c r="EA353" i="3" s="1"/>
  <c r="DY348" i="3"/>
  <c r="DV348" i="3"/>
  <c r="DT348" i="3"/>
  <c r="DS348" i="3"/>
  <c r="DR348" i="3"/>
  <c r="DQ348" i="3"/>
  <c r="DP347" i="3"/>
  <c r="EE345" i="3"/>
  <c r="EE343" i="3"/>
  <c r="EE342" i="3"/>
  <c r="EE338" i="3"/>
  <c r="DZ345" i="3"/>
  <c r="DZ343" i="3"/>
  <c r="DZ338" i="3"/>
  <c r="DU345" i="3"/>
  <c r="DU343" i="3"/>
  <c r="DU342" i="3"/>
  <c r="DU338" i="3"/>
  <c r="EI344" i="3"/>
  <c r="EF344" i="3"/>
  <c r="DY344" i="3"/>
  <c r="DV344" i="3"/>
  <c r="DT344" i="3"/>
  <c r="DS344" i="3"/>
  <c r="DR344" i="3"/>
  <c r="DQ344" i="3"/>
  <c r="DL344" i="3"/>
  <c r="DG344" i="3"/>
  <c r="DB344" i="3"/>
  <c r="CW344" i="3"/>
  <c r="CR344" i="3"/>
  <c r="CM344" i="3"/>
  <c r="CH344" i="3"/>
  <c r="CC344" i="3"/>
  <c r="BX344" i="3"/>
  <c r="BS344" i="3"/>
  <c r="BN344" i="3"/>
  <c r="BI344" i="3"/>
  <c r="BD344" i="3"/>
  <c r="AY344" i="3"/>
  <c r="AT344" i="3"/>
  <c r="EH342" i="3"/>
  <c r="EH344" i="3" s="1"/>
  <c r="EG342" i="3"/>
  <c r="EG344" i="3" s="1"/>
  <c r="DX342" i="3"/>
  <c r="DX344" i="3" s="1"/>
  <c r="DW342" i="3"/>
  <c r="DW340" i="3" s="1"/>
  <c r="DG338" i="3"/>
  <c r="DB340" i="3"/>
  <c r="CW340" i="3"/>
  <c r="CR340" i="3"/>
  <c r="CM340" i="3"/>
  <c r="CH340" i="3"/>
  <c r="CC340" i="3"/>
  <c r="BX340" i="3"/>
  <c r="BS340" i="3"/>
  <c r="BN340" i="3"/>
  <c r="BI340" i="3"/>
  <c r="BD340" i="3"/>
  <c r="AY340" i="3"/>
  <c r="AT340" i="3"/>
  <c r="EI340" i="3"/>
  <c r="ED342" i="3"/>
  <c r="ED344" i="3" s="1"/>
  <c r="EC342" i="3"/>
  <c r="EC344" i="3" s="1"/>
  <c r="EB342" i="3"/>
  <c r="EB340" i="3" s="1"/>
  <c r="EA342" i="3"/>
  <c r="EA344" i="3" s="1"/>
  <c r="DY340" i="3"/>
  <c r="DT340" i="3"/>
  <c r="DS340" i="3"/>
  <c r="DR340" i="3"/>
  <c r="DP338" i="3"/>
  <c r="EF330" i="3"/>
  <c r="EA330" i="3"/>
  <c r="DV330" i="3"/>
  <c r="DQ330" i="3"/>
  <c r="DL330" i="3"/>
  <c r="DG330" i="3"/>
  <c r="DB330" i="3"/>
  <c r="CW330" i="3"/>
  <c r="CR330" i="3"/>
  <c r="CM330" i="3"/>
  <c r="CH330" i="3"/>
  <c r="CC330" i="3"/>
  <c r="BX330" i="3"/>
  <c r="BS330" i="3"/>
  <c r="BN330" i="3"/>
  <c r="BI330" i="3"/>
  <c r="BD330" i="3"/>
  <c r="AY330" i="3"/>
  <c r="AT330" i="3"/>
  <c r="AT332" i="3" s="1"/>
  <c r="AY331" i="3" s="1"/>
  <c r="EC328" i="3"/>
  <c r="DX328" i="3"/>
  <c r="DY328" i="3" s="1"/>
  <c r="DS328" i="3"/>
  <c r="DT328" i="3" s="1"/>
  <c r="EH328" i="3"/>
  <c r="EH326" i="3"/>
  <c r="EG326" i="3"/>
  <c r="EB326" i="3"/>
  <c r="DW326" i="3"/>
  <c r="DR326" i="3"/>
  <c r="EZ326" i="3"/>
  <c r="EI324" i="3"/>
  <c r="EF324" i="3"/>
  <c r="EF326" i="3" s="1"/>
  <c r="EC324" i="3"/>
  <c r="EA324" i="3"/>
  <c r="EA326" i="3" s="1"/>
  <c r="DX324" i="3"/>
  <c r="DV324" i="3"/>
  <c r="DV326" i="3" s="1"/>
  <c r="DS324" i="3"/>
  <c r="DS326" i="3" s="1"/>
  <c r="DQ324" i="3"/>
  <c r="DQ326" i="3" s="1"/>
  <c r="DQ323" i="3"/>
  <c r="DL324" i="3"/>
  <c r="DL326" i="3" s="1"/>
  <c r="DL323" i="3"/>
  <c r="DG324" i="3"/>
  <c r="DG326" i="3" s="1"/>
  <c r="DG323" i="3"/>
  <c r="DB324" i="3"/>
  <c r="DB326" i="3" s="1"/>
  <c r="DB323" i="3"/>
  <c r="CW324" i="3"/>
  <c r="CW326" i="3" s="1"/>
  <c r="CR324" i="3"/>
  <c r="CR326" i="3" s="1"/>
  <c r="CM324" i="3"/>
  <c r="CM326" i="3" s="1"/>
  <c r="CH324" i="3"/>
  <c r="CH326" i="3" s="1"/>
  <c r="CH323" i="3"/>
  <c r="CC324" i="3"/>
  <c r="CC326" i="3" s="1"/>
  <c r="CC323" i="3"/>
  <c r="BX324" i="3"/>
  <c r="BX326" i="3" s="1"/>
  <c r="BX323" i="3"/>
  <c r="BS324" i="3"/>
  <c r="BS326" i="3" s="1"/>
  <c r="BS323" i="3"/>
  <c r="BN324" i="3"/>
  <c r="BN326" i="3" s="1"/>
  <c r="BN323" i="3"/>
  <c r="BI324" i="3"/>
  <c r="BI326" i="3" s="1"/>
  <c r="BI323" i="3"/>
  <c r="BD324" i="3"/>
  <c r="BD326" i="3" s="1"/>
  <c r="BD323" i="3"/>
  <c r="AY324" i="3"/>
  <c r="AY326" i="3" s="1"/>
  <c r="AY323" i="3"/>
  <c r="AT324" i="3"/>
  <c r="AT326" i="3" s="1"/>
  <c r="AT323" i="3"/>
  <c r="EG323" i="3"/>
  <c r="EF323" i="3"/>
  <c r="EB323" i="3"/>
  <c r="EA323" i="3"/>
  <c r="DW323" i="3"/>
  <c r="DV323" i="3"/>
  <c r="DR323" i="3"/>
  <c r="EH321" i="3"/>
  <c r="CW321" i="3"/>
  <c r="CW323" i="3" s="1"/>
  <c r="CR321" i="3"/>
  <c r="CR323" i="3" s="1"/>
  <c r="CM321" i="3"/>
  <c r="CM323" i="3" s="1"/>
  <c r="EH320" i="3"/>
  <c r="EC321" i="3"/>
  <c r="ED321" i="3" s="1"/>
  <c r="EC320" i="3"/>
  <c r="EC399" i="3" s="1"/>
  <c r="DX321" i="3"/>
  <c r="DY321" i="3" s="1"/>
  <c r="DZ321" i="3" s="1"/>
  <c r="DX320" i="3"/>
  <c r="DX399" i="3" s="1"/>
  <c r="DT321" i="3"/>
  <c r="DU321" i="3" s="1"/>
  <c r="DS320" i="3"/>
  <c r="EC318" i="3"/>
  <c r="DX318" i="3"/>
  <c r="DY318" i="3" s="1"/>
  <c r="DS318" i="3"/>
  <c r="DT318" i="3" s="1"/>
  <c r="DL316" i="3"/>
  <c r="DL317" i="3" s="1"/>
  <c r="DL315" i="3"/>
  <c r="DG317" i="3"/>
  <c r="DB317" i="3"/>
  <c r="CW317" i="3"/>
  <c r="CR316" i="3"/>
  <c r="CR317" i="3" s="1"/>
  <c r="CR315" i="3"/>
  <c r="CM316" i="3"/>
  <c r="CM317" i="3" s="1"/>
  <c r="CM315" i="3"/>
  <c r="CH316" i="3"/>
  <c r="CH317" i="3" s="1"/>
  <c r="CH315" i="3"/>
  <c r="CC317" i="3"/>
  <c r="BX317" i="3"/>
  <c r="BS317" i="3"/>
  <c r="BN316" i="3"/>
  <c r="BN317" i="3" s="1"/>
  <c r="BN315" i="3"/>
  <c r="BI316" i="3"/>
  <c r="BI317" i="3" s="1"/>
  <c r="BI315" i="3"/>
  <c r="BD316" i="3"/>
  <c r="BD317" i="3" s="1"/>
  <c r="BD315" i="3"/>
  <c r="AY316" i="3"/>
  <c r="AY317" i="3" s="1"/>
  <c r="AY315" i="3"/>
  <c r="AT316" i="3"/>
  <c r="AT317" i="3" s="1"/>
  <c r="AT315" i="3"/>
  <c r="DG315" i="3"/>
  <c r="DB315" i="3"/>
  <c r="CW315" i="3"/>
  <c r="CC315" i="3"/>
  <c r="BX315" i="3"/>
  <c r="BS315" i="3"/>
  <c r="EH318" i="3"/>
  <c r="EG316" i="3"/>
  <c r="EG317" i="3" s="1"/>
  <c r="EF316" i="3"/>
  <c r="EF317" i="3" s="1"/>
  <c r="EB316" i="3"/>
  <c r="EB317" i="3" s="1"/>
  <c r="EA316" i="3"/>
  <c r="EA317" i="3" s="1"/>
  <c r="DW316" i="3"/>
  <c r="DW317" i="3" s="1"/>
  <c r="DV316" i="3"/>
  <c r="DV317" i="3" s="1"/>
  <c r="DR316" i="3"/>
  <c r="DQ316" i="3"/>
  <c r="DQ317" i="3" s="1"/>
  <c r="EG315" i="3"/>
  <c r="EF315" i="3"/>
  <c r="EB315" i="3"/>
  <c r="EA315" i="3"/>
  <c r="DW315" i="3"/>
  <c r="DV315" i="3"/>
  <c r="DR315" i="3"/>
  <c r="DQ315" i="3"/>
  <c r="EH313" i="3"/>
  <c r="EC313" i="3"/>
  <c r="DX313" i="3"/>
  <c r="DY313" i="3" s="1"/>
  <c r="DS313" i="3"/>
  <c r="EZ308" i="3"/>
  <c r="FE308" i="3" s="1"/>
  <c r="EC311" i="3"/>
  <c r="DX311" i="3"/>
  <c r="DS311" i="3"/>
  <c r="EH311" i="3"/>
  <c r="EG308" i="3"/>
  <c r="EB308" i="3"/>
  <c r="DR308" i="3"/>
  <c r="BD308" i="3"/>
  <c r="AY308" i="3"/>
  <c r="AT308" i="3"/>
  <c r="EZ305" i="3"/>
  <c r="FE305" i="3" s="1"/>
  <c r="EC307" i="3"/>
  <c r="DX307" i="3"/>
  <c r="DS307" i="3"/>
  <c r="DS308" i="3" s="1"/>
  <c r="EH307" i="3"/>
  <c r="DL306" i="3"/>
  <c r="DL310" i="3" s="1"/>
  <c r="H14" i="91" s="1"/>
  <c r="DG306" i="3"/>
  <c r="DG310" i="3" s="1"/>
  <c r="G14" i="91" s="1"/>
  <c r="DB306" i="3"/>
  <c r="DB310" i="3" s="1"/>
  <c r="F14" i="91" s="1"/>
  <c r="CW306" i="3"/>
  <c r="CW310" i="3" s="1"/>
  <c r="CR306" i="3"/>
  <c r="CR310" i="3" s="1"/>
  <c r="CM306" i="3"/>
  <c r="CM310" i="3" s="1"/>
  <c r="CH306" i="3"/>
  <c r="CH310" i="3" s="1"/>
  <c r="CC306" i="3"/>
  <c r="CC310" i="3" s="1"/>
  <c r="BX306" i="3"/>
  <c r="BX310" i="3" s="1"/>
  <c r="BS306" i="3"/>
  <c r="BS310" i="3" s="1"/>
  <c r="BN306" i="3"/>
  <c r="BN310" i="3" s="1"/>
  <c r="BI306" i="3"/>
  <c r="BI310" i="3" s="1"/>
  <c r="BD306" i="3"/>
  <c r="BD310" i="3" s="1"/>
  <c r="AY306" i="3"/>
  <c r="AY310" i="3" s="1"/>
  <c r="AT306" i="3"/>
  <c r="AT310" i="3" s="1"/>
  <c r="EI304" i="3"/>
  <c r="EI306" i="3" s="1"/>
  <c r="EH304" i="3"/>
  <c r="EH306" i="3" s="1"/>
  <c r="EG304" i="3"/>
  <c r="EG306" i="3" s="1"/>
  <c r="ED304" i="3"/>
  <c r="ED306" i="3" s="1"/>
  <c r="EC304" i="3"/>
  <c r="EC306" i="3" s="1"/>
  <c r="EB304" i="3"/>
  <c r="EB306" i="3" s="1"/>
  <c r="DY304" i="3"/>
  <c r="DY306" i="3" s="1"/>
  <c r="DX304" i="3"/>
  <c r="DX306" i="3" s="1"/>
  <c r="DW304" i="3"/>
  <c r="DW306" i="3" s="1"/>
  <c r="DU304" i="3"/>
  <c r="DU306" i="3" s="1"/>
  <c r="DT304" i="3"/>
  <c r="DT306" i="3" s="1"/>
  <c r="DS304" i="3"/>
  <c r="DS306" i="3" s="1"/>
  <c r="DR304" i="3"/>
  <c r="DR306" i="3" s="1"/>
  <c r="EI291" i="3"/>
  <c r="EH291" i="3"/>
  <c r="EG291" i="3"/>
  <c r="EE291" i="3"/>
  <c r="ED291" i="3"/>
  <c r="EC291" i="3"/>
  <c r="EB291" i="3"/>
  <c r="DZ291" i="3"/>
  <c r="DY291" i="3"/>
  <c r="DX291" i="3"/>
  <c r="DW291" i="3"/>
  <c r="DU291" i="3"/>
  <c r="DT291" i="3"/>
  <c r="DS291" i="3"/>
  <c r="DR291" i="3"/>
  <c r="DP291" i="3"/>
  <c r="DO291" i="3"/>
  <c r="DN291" i="3"/>
  <c r="DM291" i="3"/>
  <c r="DK291" i="3"/>
  <c r="DJ291" i="3"/>
  <c r="DI291" i="3"/>
  <c r="DH291" i="3"/>
  <c r="DF291" i="3"/>
  <c r="DE291" i="3"/>
  <c r="DD291" i="3"/>
  <c r="DC291" i="3"/>
  <c r="DA291" i="3"/>
  <c r="CZ291" i="3"/>
  <c r="CY291" i="3"/>
  <c r="CX291" i="3"/>
  <c r="CV291" i="3"/>
  <c r="CU291" i="3"/>
  <c r="CT291" i="3"/>
  <c r="CS291" i="3"/>
  <c r="CQ291" i="3"/>
  <c r="CP291" i="3"/>
  <c r="CO291" i="3"/>
  <c r="CN291" i="3"/>
  <c r="CL291" i="3"/>
  <c r="CK291" i="3"/>
  <c r="CJ291" i="3"/>
  <c r="CI291" i="3"/>
  <c r="CG291" i="3"/>
  <c r="CF291" i="3"/>
  <c r="CE291" i="3"/>
  <c r="CD291" i="3"/>
  <c r="BX290" i="3"/>
  <c r="BX284" i="3"/>
  <c r="EF290" i="3"/>
  <c r="EK291" i="3" s="1"/>
  <c r="EF285" i="3"/>
  <c r="EF284" i="3"/>
  <c r="EF283" i="3"/>
  <c r="EF282" i="3"/>
  <c r="EA290" i="3"/>
  <c r="EA285" i="3"/>
  <c r="EA284" i="3"/>
  <c r="EA283" i="3"/>
  <c r="EA282" i="3"/>
  <c r="DV290" i="3"/>
  <c r="DV285" i="3"/>
  <c r="DV284" i="3"/>
  <c r="DV283" i="3"/>
  <c r="DV282" i="3"/>
  <c r="DQ290" i="3"/>
  <c r="DQ285" i="3"/>
  <c r="DQ284" i="3"/>
  <c r="DQ283" i="3"/>
  <c r="DQ282" i="3"/>
  <c r="DL290" i="3"/>
  <c r="DL285" i="3"/>
  <c r="DL284" i="3"/>
  <c r="DL283" i="3"/>
  <c r="DL282" i="3"/>
  <c r="DG290" i="3"/>
  <c r="DG285" i="3"/>
  <c r="DG284" i="3"/>
  <c r="DG283" i="3"/>
  <c r="DG282" i="3"/>
  <c r="DB290" i="3"/>
  <c r="DB285" i="3"/>
  <c r="DB284" i="3"/>
  <c r="DB283" i="3"/>
  <c r="DB282" i="3"/>
  <c r="CW290" i="3"/>
  <c r="CW284" i="3"/>
  <c r="CW283" i="3"/>
  <c r="CW282" i="3"/>
  <c r="CR290" i="3"/>
  <c r="CR284" i="3"/>
  <c r="CR283" i="3"/>
  <c r="CR282" i="3"/>
  <c r="CM290" i="3"/>
  <c r="CM284" i="3"/>
  <c r="CM282" i="3"/>
  <c r="CH290" i="3"/>
  <c r="CH284" i="3"/>
  <c r="CH282" i="3"/>
  <c r="CC290" i="3"/>
  <c r="CC285" i="3"/>
  <c r="CC284" i="3"/>
  <c r="CC283" i="3"/>
  <c r="CC282" i="3"/>
  <c r="BS290" i="3"/>
  <c r="BS284" i="3"/>
  <c r="BS283" i="3"/>
  <c r="BN290" i="3"/>
  <c r="BN284" i="3"/>
  <c r="BN283" i="3"/>
  <c r="BN282" i="3"/>
  <c r="BI290" i="3"/>
  <c r="BD290" i="3"/>
  <c r="BD285" i="3"/>
  <c r="BD284" i="3"/>
  <c r="BD283" i="3"/>
  <c r="BD282" i="3"/>
  <c r="AY290" i="3"/>
  <c r="AY285" i="3"/>
  <c r="AY284" i="3"/>
  <c r="AY283" i="3"/>
  <c r="AY282" i="3"/>
  <c r="EI287" i="3"/>
  <c r="EH287" i="3"/>
  <c r="EG287" i="3"/>
  <c r="EE287" i="3"/>
  <c r="ED287" i="3"/>
  <c r="EC287" i="3"/>
  <c r="EB287" i="3"/>
  <c r="DZ287" i="3"/>
  <c r="DY287" i="3"/>
  <c r="DX287" i="3"/>
  <c r="DW287" i="3"/>
  <c r="DU287" i="3"/>
  <c r="DT287" i="3"/>
  <c r="DS287" i="3"/>
  <c r="DR287" i="3"/>
  <c r="DP287" i="3"/>
  <c r="DO287" i="3"/>
  <c r="DN287" i="3"/>
  <c r="DM287" i="3"/>
  <c r="DK287" i="3"/>
  <c r="DJ287" i="3"/>
  <c r="DI287" i="3"/>
  <c r="DH287" i="3"/>
  <c r="DF287" i="3"/>
  <c r="DE287" i="3"/>
  <c r="DD287" i="3"/>
  <c r="DC287" i="3"/>
  <c r="DA287" i="3"/>
  <c r="CZ287" i="3"/>
  <c r="CY287" i="3"/>
  <c r="CX287" i="3"/>
  <c r="CV287" i="3"/>
  <c r="CU287" i="3"/>
  <c r="CT287" i="3"/>
  <c r="CP287" i="3"/>
  <c r="CO287" i="3"/>
  <c r="CN287" i="3"/>
  <c r="CI287" i="3"/>
  <c r="CF287" i="3"/>
  <c r="CD287" i="3"/>
  <c r="CB287" i="3"/>
  <c r="CA287" i="3"/>
  <c r="BZ287" i="3"/>
  <c r="BY287" i="3"/>
  <c r="BU287" i="3"/>
  <c r="BT287" i="3"/>
  <c r="BR287" i="3"/>
  <c r="BQ287" i="3"/>
  <c r="BO287" i="3"/>
  <c r="BM287" i="3"/>
  <c r="BL287" i="3"/>
  <c r="BK287" i="3"/>
  <c r="BH287" i="3"/>
  <c r="BG287" i="3"/>
  <c r="BF287" i="3"/>
  <c r="BE287" i="3"/>
  <c r="BC287" i="3"/>
  <c r="BB287" i="3"/>
  <c r="BA287" i="3"/>
  <c r="AZ287" i="3"/>
  <c r="AX287" i="3"/>
  <c r="AW287" i="3"/>
  <c r="AV287" i="3"/>
  <c r="AU287" i="3"/>
  <c r="AS287" i="3"/>
  <c r="AR287" i="3"/>
  <c r="AQ287" i="3"/>
  <c r="AP287" i="3"/>
  <c r="AN287" i="3"/>
  <c r="AM287" i="3"/>
  <c r="AL287" i="3"/>
  <c r="AK287" i="3"/>
  <c r="AI287" i="3"/>
  <c r="AH287" i="3"/>
  <c r="AG287" i="3"/>
  <c r="AF287" i="3"/>
  <c r="AD287" i="3"/>
  <c r="AC287" i="3"/>
  <c r="AB287" i="3"/>
  <c r="AA287" i="3"/>
  <c r="Y287" i="3"/>
  <c r="X287" i="3"/>
  <c r="W287" i="3"/>
  <c r="V287" i="3"/>
  <c r="T287" i="3"/>
  <c r="S287" i="3"/>
  <c r="R287" i="3"/>
  <c r="Q287" i="3"/>
  <c r="CQ285" i="3"/>
  <c r="CL285" i="3"/>
  <c r="CL287" i="3" s="1"/>
  <c r="CK285" i="3"/>
  <c r="CK287" i="3" s="1"/>
  <c r="CJ285" i="3"/>
  <c r="CG285" i="3"/>
  <c r="CG287" i="3" s="1"/>
  <c r="BW285" i="3"/>
  <c r="BW287" i="3" s="1"/>
  <c r="BV285" i="3"/>
  <c r="BV287" i="3" s="1"/>
  <c r="BJ285" i="3"/>
  <c r="BN285" i="3" s="1"/>
  <c r="AT285" i="3"/>
  <c r="AT284" i="3"/>
  <c r="AT283" i="3"/>
  <c r="AT282" i="3"/>
  <c r="AO285" i="3"/>
  <c r="AO284" i="3"/>
  <c r="AO283" i="3"/>
  <c r="AO282" i="3"/>
  <c r="AJ285" i="3"/>
  <c r="AJ284" i="3"/>
  <c r="AJ283" i="3"/>
  <c r="AJ282" i="3"/>
  <c r="AE285" i="3"/>
  <c r="AE284" i="3"/>
  <c r="AE283" i="3"/>
  <c r="AE282" i="3"/>
  <c r="Z285" i="3"/>
  <c r="Z284" i="3"/>
  <c r="Z283" i="3"/>
  <c r="Z282" i="3"/>
  <c r="U285" i="3"/>
  <c r="U284" i="3"/>
  <c r="U283" i="3"/>
  <c r="U282" i="3"/>
  <c r="BI284" i="3"/>
  <c r="CL283" i="3"/>
  <c r="CM283" i="3" s="1"/>
  <c r="CE283" i="3"/>
  <c r="CH283" i="3" s="1"/>
  <c r="BO282" i="3"/>
  <c r="BS282" i="3" s="1"/>
  <c r="EI279" i="3"/>
  <c r="EH279" i="3"/>
  <c r="EG279" i="3"/>
  <c r="EE279" i="3"/>
  <c r="ED279" i="3"/>
  <c r="EC279" i="3"/>
  <c r="EB279" i="3"/>
  <c r="DZ279" i="3"/>
  <c r="DY279" i="3"/>
  <c r="DX279" i="3"/>
  <c r="DW279" i="3"/>
  <c r="DU279" i="3"/>
  <c r="DT279" i="3"/>
  <c r="DS279" i="3"/>
  <c r="DR279" i="3"/>
  <c r="DP279" i="3"/>
  <c r="DO279" i="3"/>
  <c r="DN279" i="3"/>
  <c r="DM279" i="3"/>
  <c r="DK279" i="3"/>
  <c r="DJ279" i="3"/>
  <c r="DI279" i="3"/>
  <c r="DH279" i="3"/>
  <c r="DH403" i="3" s="1"/>
  <c r="DF279" i="3"/>
  <c r="DE279" i="3"/>
  <c r="DD279" i="3"/>
  <c r="DC279" i="3"/>
  <c r="DA279" i="3"/>
  <c r="CZ279" i="3"/>
  <c r="CY279" i="3"/>
  <c r="CX279" i="3"/>
  <c r="CV279" i="3"/>
  <c r="CU279" i="3"/>
  <c r="CT279" i="3"/>
  <c r="CS279" i="3"/>
  <c r="CQ279" i="3"/>
  <c r="CP279" i="3"/>
  <c r="CO279" i="3"/>
  <c r="CN279" i="3"/>
  <c r="CL279" i="3"/>
  <c r="CK279" i="3"/>
  <c r="CJ279" i="3"/>
  <c r="CI279" i="3"/>
  <c r="CG279" i="3"/>
  <c r="CF279" i="3"/>
  <c r="CE279" i="3"/>
  <c r="CD279" i="3"/>
  <c r="CB279" i="3"/>
  <c r="CA279" i="3"/>
  <c r="BZ279" i="3"/>
  <c r="BY279" i="3"/>
  <c r="BW279" i="3"/>
  <c r="BV279" i="3"/>
  <c r="BU279" i="3"/>
  <c r="BT279" i="3"/>
  <c r="BR279" i="3"/>
  <c r="BQ279" i="3"/>
  <c r="BP279" i="3"/>
  <c r="BN278" i="3"/>
  <c r="EF278" i="3"/>
  <c r="EK279" i="3" s="1"/>
  <c r="EA278" i="3"/>
  <c r="DV278" i="3"/>
  <c r="DQ278" i="3"/>
  <c r="DL278" i="3"/>
  <c r="DG278" i="3"/>
  <c r="DB278" i="3"/>
  <c r="CW278" i="3"/>
  <c r="CR278" i="3"/>
  <c r="CM278" i="3"/>
  <c r="CH278" i="3"/>
  <c r="CC278" i="3"/>
  <c r="BX278" i="3"/>
  <c r="BS278" i="3"/>
  <c r="BI278" i="3"/>
  <c r="BI287" i="3" s="1"/>
  <c r="BD278" i="3"/>
  <c r="AY278" i="3"/>
  <c r="AT278" i="3"/>
  <c r="AO278" i="3"/>
  <c r="AJ278" i="3"/>
  <c r="AE278" i="3"/>
  <c r="Z278" i="3"/>
  <c r="U278" i="3"/>
  <c r="EF272" i="3"/>
  <c r="EF308" i="3" s="1"/>
  <c r="DX272" i="3"/>
  <c r="DW272" i="3"/>
  <c r="DW308" i="3" s="1"/>
  <c r="DV272" i="3"/>
  <c r="DV308" i="3" s="1"/>
  <c r="DQ272" i="3"/>
  <c r="DL272" i="3"/>
  <c r="DL308" i="3" s="1"/>
  <c r="DG272" i="3"/>
  <c r="DG308" i="3" s="1"/>
  <c r="DB272" i="3"/>
  <c r="DB308" i="3" s="1"/>
  <c r="CW272" i="3"/>
  <c r="CR272" i="3"/>
  <c r="CR308" i="3" s="1"/>
  <c r="CM272" i="3"/>
  <c r="CM308" i="3" s="1"/>
  <c r="CH272" i="3"/>
  <c r="CH308" i="3" s="1"/>
  <c r="CC272" i="3"/>
  <c r="BX272" i="3"/>
  <c r="BX308" i="3" s="1"/>
  <c r="BS272" i="3"/>
  <c r="BS308" i="3" s="1"/>
  <c r="BN272" i="3"/>
  <c r="BN308" i="3" s="1"/>
  <c r="BI272" i="3"/>
  <c r="FQ272" i="3"/>
  <c r="EF268" i="3"/>
  <c r="EF267" i="3"/>
  <c r="EK266" i="3" s="1"/>
  <c r="EK265" i="3" s="1"/>
  <c r="EA268" i="3"/>
  <c r="EA267" i="3"/>
  <c r="DV268" i="3"/>
  <c r="DV267" i="3"/>
  <c r="DQ268" i="3"/>
  <c r="DQ267" i="3"/>
  <c r="DL268" i="3"/>
  <c r="DG268" i="3"/>
  <c r="DB268" i="3"/>
  <c r="DB267" i="3"/>
  <c r="CW268" i="3"/>
  <c r="CW267" i="3"/>
  <c r="CR268" i="3"/>
  <c r="CR267" i="3"/>
  <c r="CM268" i="3"/>
  <c r="CM267" i="3"/>
  <c r="CH268" i="3"/>
  <c r="CH267" i="3"/>
  <c r="CC268" i="3"/>
  <c r="CC267" i="3"/>
  <c r="BX268" i="3"/>
  <c r="BX267" i="3"/>
  <c r="BS268" i="3"/>
  <c r="BS267" i="3"/>
  <c r="BN268" i="3"/>
  <c r="BN267" i="3"/>
  <c r="BN266" i="3"/>
  <c r="BI268" i="3"/>
  <c r="EI267" i="3"/>
  <c r="EJ266" i="3" s="1"/>
  <c r="EJ265" i="3" s="1"/>
  <c r="EH267" i="3"/>
  <c r="EG267" i="3"/>
  <c r="ED267" i="3"/>
  <c r="EC267" i="3"/>
  <c r="EB267" i="3"/>
  <c r="DY267" i="3"/>
  <c r="DX267" i="3"/>
  <c r="DW267" i="3"/>
  <c r="DT267" i="3"/>
  <c r="DS267" i="3"/>
  <c r="DR267" i="3"/>
  <c r="DO267" i="3"/>
  <c r="DN267" i="3"/>
  <c r="DM267" i="3"/>
  <c r="DK267" i="3"/>
  <c r="DJ267" i="3"/>
  <c r="DI267" i="3"/>
  <c r="DH267" i="3"/>
  <c r="DF267" i="3"/>
  <c r="DE267" i="3"/>
  <c r="DD267" i="3"/>
  <c r="DC267" i="3"/>
  <c r="DC266" i="3" s="1"/>
  <c r="DC265" i="3" s="1"/>
  <c r="DA266" i="3"/>
  <c r="DB266" i="3" s="1"/>
  <c r="CZ266" i="3"/>
  <c r="CZ265" i="3" s="1"/>
  <c r="CY266" i="3"/>
  <c r="CY265" i="3" s="1"/>
  <c r="CX266" i="3"/>
  <c r="CX265" i="3" s="1"/>
  <c r="CV266" i="3"/>
  <c r="CW266" i="3" s="1"/>
  <c r="CU266" i="3"/>
  <c r="CU265" i="3" s="1"/>
  <c r="CT266" i="3"/>
  <c r="CT265" i="3" s="1"/>
  <c r="CS266" i="3"/>
  <c r="CS265" i="3" s="1"/>
  <c r="CQ266" i="3"/>
  <c r="CR266" i="3" s="1"/>
  <c r="CP266" i="3"/>
  <c r="CP265" i="3" s="1"/>
  <c r="CO266" i="3"/>
  <c r="CO265" i="3" s="1"/>
  <c r="CN266" i="3"/>
  <c r="CN265" i="3" s="1"/>
  <c r="CL266" i="3"/>
  <c r="CM266" i="3" s="1"/>
  <c r="CK266" i="3"/>
  <c r="CK265" i="3" s="1"/>
  <c r="CJ266" i="3"/>
  <c r="CJ265" i="3" s="1"/>
  <c r="CI266" i="3"/>
  <c r="CI265" i="3" s="1"/>
  <c r="CG266" i="3"/>
  <c r="CH266" i="3" s="1"/>
  <c r="CF266" i="3"/>
  <c r="CF265" i="3" s="1"/>
  <c r="CE266" i="3"/>
  <c r="CE265" i="3" s="1"/>
  <c r="CD266" i="3"/>
  <c r="CD265" i="3" s="1"/>
  <c r="CB266" i="3"/>
  <c r="CC266" i="3" s="1"/>
  <c r="CA266" i="3"/>
  <c r="CA265" i="3" s="1"/>
  <c r="BZ266" i="3"/>
  <c r="BZ265" i="3" s="1"/>
  <c r="BY266" i="3"/>
  <c r="BY265" i="3" s="1"/>
  <c r="BW266" i="3"/>
  <c r="BX266" i="3" s="1"/>
  <c r="BV266" i="3"/>
  <c r="BV265" i="3" s="1"/>
  <c r="BU266" i="3"/>
  <c r="BU265" i="3" s="1"/>
  <c r="BT266" i="3"/>
  <c r="BT265" i="3" s="1"/>
  <c r="BR266" i="3"/>
  <c r="BS266" i="3" s="1"/>
  <c r="BQ266" i="3"/>
  <c r="BQ265" i="3" s="1"/>
  <c r="BP266" i="3"/>
  <c r="BP265" i="3" s="1"/>
  <c r="BO266" i="3"/>
  <c r="BO265" i="3" s="1"/>
  <c r="FQ263" i="3"/>
  <c r="EF263" i="3"/>
  <c r="EA263" i="3"/>
  <c r="DV263" i="3"/>
  <c r="DQ263" i="3"/>
  <c r="DL263" i="3"/>
  <c r="DG263" i="3"/>
  <c r="DB263" i="3"/>
  <c r="DB262" i="3"/>
  <c r="CW263" i="3"/>
  <c r="CW262" i="3"/>
  <c r="CR263" i="3"/>
  <c r="CR262" i="3"/>
  <c r="CM263" i="3"/>
  <c r="CM262" i="3"/>
  <c r="CH263" i="3"/>
  <c r="CH262" i="3"/>
  <c r="CC263" i="3"/>
  <c r="CC262" i="3"/>
  <c r="BX263" i="3"/>
  <c r="BX262" i="3"/>
  <c r="BS263" i="3"/>
  <c r="BS262" i="3"/>
  <c r="BN263" i="3"/>
  <c r="BN262" i="3"/>
  <c r="BN261" i="3"/>
  <c r="BI263" i="3"/>
  <c r="EI262" i="3"/>
  <c r="EH262" i="3"/>
  <c r="EG262" i="3"/>
  <c r="ED262" i="3"/>
  <c r="EC262" i="3"/>
  <c r="EB262" i="3"/>
  <c r="DY262" i="3"/>
  <c r="DX262" i="3"/>
  <c r="DW262" i="3"/>
  <c r="DT262" i="3"/>
  <c r="DS262" i="3"/>
  <c r="DR262" i="3"/>
  <c r="DO262" i="3"/>
  <c r="DN262" i="3"/>
  <c r="DM262" i="3"/>
  <c r="DJ262" i="3"/>
  <c r="DI262" i="3"/>
  <c r="DH262" i="3"/>
  <c r="DF262" i="3"/>
  <c r="DG262" i="3" s="1"/>
  <c r="DE262" i="3"/>
  <c r="DD262" i="3"/>
  <c r="DC262" i="3"/>
  <c r="DC261" i="3" s="1"/>
  <c r="DC260" i="3" s="1"/>
  <c r="DA261" i="3"/>
  <c r="DB261" i="3" s="1"/>
  <c r="CZ261" i="3"/>
  <c r="CZ260" i="3" s="1"/>
  <c r="CY261" i="3"/>
  <c r="CY260" i="3" s="1"/>
  <c r="CX261" i="3"/>
  <c r="CX260" i="3" s="1"/>
  <c r="CV261" i="3"/>
  <c r="CW261" i="3" s="1"/>
  <c r="CU261" i="3"/>
  <c r="CU260" i="3" s="1"/>
  <c r="CT261" i="3"/>
  <c r="CT260" i="3" s="1"/>
  <c r="CS261" i="3"/>
  <c r="CS260" i="3" s="1"/>
  <c r="CQ261" i="3"/>
  <c r="CR261" i="3" s="1"/>
  <c r="CP261" i="3"/>
  <c r="CP260" i="3" s="1"/>
  <c r="CO261" i="3"/>
  <c r="CO260" i="3" s="1"/>
  <c r="CN261" i="3"/>
  <c r="CN260" i="3" s="1"/>
  <c r="CL261" i="3"/>
  <c r="CM261" i="3" s="1"/>
  <c r="CK261" i="3"/>
  <c r="CK260" i="3" s="1"/>
  <c r="CJ261" i="3"/>
  <c r="CJ260" i="3" s="1"/>
  <c r="CI261" i="3"/>
  <c r="CI260" i="3" s="1"/>
  <c r="CG261" i="3"/>
  <c r="CH261" i="3" s="1"/>
  <c r="CF261" i="3"/>
  <c r="CF260" i="3" s="1"/>
  <c r="CE261" i="3"/>
  <c r="CE260" i="3" s="1"/>
  <c r="CD261" i="3"/>
  <c r="CD260" i="3" s="1"/>
  <c r="CB261" i="3"/>
  <c r="CC261" i="3" s="1"/>
  <c r="CA261" i="3"/>
  <c r="CA260" i="3" s="1"/>
  <c r="BZ261" i="3"/>
  <c r="BZ260" i="3" s="1"/>
  <c r="BY261" i="3"/>
  <c r="BY260" i="3" s="1"/>
  <c r="BW261" i="3"/>
  <c r="BX261" i="3" s="1"/>
  <c r="BV261" i="3"/>
  <c r="BV260" i="3" s="1"/>
  <c r="BU261" i="3"/>
  <c r="BU260" i="3" s="1"/>
  <c r="BT261" i="3"/>
  <c r="BT260" i="3" s="1"/>
  <c r="BR261" i="3"/>
  <c r="BS261" i="3" s="1"/>
  <c r="BQ261" i="3"/>
  <c r="BQ260" i="3" s="1"/>
  <c r="BP261" i="3"/>
  <c r="BP260" i="3" s="1"/>
  <c r="BO261" i="3"/>
  <c r="BO260" i="3" s="1"/>
  <c r="EF258" i="3"/>
  <c r="EA258" i="3"/>
  <c r="DV258" i="3"/>
  <c r="DQ258" i="3"/>
  <c r="DL258" i="3"/>
  <c r="DG258" i="3"/>
  <c r="DB258" i="3"/>
  <c r="CW258" i="3"/>
  <c r="CR258" i="3"/>
  <c r="CM258" i="3"/>
  <c r="CH258" i="3"/>
  <c r="CC258" i="3"/>
  <c r="BX258" i="3"/>
  <c r="BS258" i="3"/>
  <c r="BN258" i="3"/>
  <c r="EZ257" i="3"/>
  <c r="EZ256" i="3" s="1"/>
  <c r="EI257" i="3"/>
  <c r="EH257" i="3"/>
  <c r="EG257" i="3"/>
  <c r="EE257" i="3"/>
  <c r="ED257" i="3"/>
  <c r="ED256" i="3" s="1"/>
  <c r="EC257" i="3"/>
  <c r="EC256" i="3" s="1"/>
  <c r="EB257" i="3"/>
  <c r="EB256" i="3" s="1"/>
  <c r="DZ257" i="3"/>
  <c r="DZ256" i="3" s="1"/>
  <c r="DY257" i="3"/>
  <c r="DY256" i="3" s="1"/>
  <c r="DX257" i="3"/>
  <c r="DX256" i="3" s="1"/>
  <c r="DW257" i="3"/>
  <c r="DW256" i="3" s="1"/>
  <c r="DU257" i="3"/>
  <c r="DU256" i="3" s="1"/>
  <c r="DT257" i="3"/>
  <c r="DT256" i="3" s="1"/>
  <c r="DS257" i="3"/>
  <c r="DS256" i="3" s="1"/>
  <c r="DR257" i="3"/>
  <c r="DR256" i="3" s="1"/>
  <c r="DP257" i="3"/>
  <c r="DP256" i="3" s="1"/>
  <c r="DO257" i="3"/>
  <c r="DO256" i="3" s="1"/>
  <c r="DN257" i="3"/>
  <c r="DN256" i="3" s="1"/>
  <c r="DM257" i="3"/>
  <c r="DM256" i="3" s="1"/>
  <c r="DK257" i="3"/>
  <c r="DK256" i="3" s="1"/>
  <c r="DJ257" i="3"/>
  <c r="DJ256" i="3" s="1"/>
  <c r="DI257" i="3"/>
  <c r="DI256" i="3" s="1"/>
  <c r="DH257" i="3"/>
  <c r="DH256" i="3" s="1"/>
  <c r="DF257" i="3"/>
  <c r="DF256" i="3" s="1"/>
  <c r="DE257" i="3"/>
  <c r="DE256" i="3" s="1"/>
  <c r="DD257" i="3"/>
  <c r="DD256" i="3" s="1"/>
  <c r="DC257" i="3"/>
  <c r="DC256" i="3" s="1"/>
  <c r="DA257" i="3"/>
  <c r="DA256" i="3" s="1"/>
  <c r="CZ257" i="3"/>
  <c r="CZ256" i="3" s="1"/>
  <c r="CY257" i="3"/>
  <c r="CY256" i="3" s="1"/>
  <c r="CX257" i="3"/>
  <c r="CX256" i="3" s="1"/>
  <c r="CV257" i="3"/>
  <c r="CV256" i="3" s="1"/>
  <c r="CU257" i="3"/>
  <c r="CU256" i="3" s="1"/>
  <c r="CT257" i="3"/>
  <c r="CT256" i="3" s="1"/>
  <c r="CS257" i="3"/>
  <c r="CS256" i="3" s="1"/>
  <c r="CQ257" i="3"/>
  <c r="CQ256" i="3" s="1"/>
  <c r="CP257" i="3"/>
  <c r="CP256" i="3" s="1"/>
  <c r="CO257" i="3"/>
  <c r="CO256" i="3" s="1"/>
  <c r="CN257" i="3"/>
  <c r="CN256" i="3" s="1"/>
  <c r="CL257" i="3"/>
  <c r="CL256" i="3" s="1"/>
  <c r="CK257" i="3"/>
  <c r="CK256" i="3" s="1"/>
  <c r="CJ257" i="3"/>
  <c r="CJ256" i="3" s="1"/>
  <c r="CI257" i="3"/>
  <c r="CI256" i="3" s="1"/>
  <c r="CG257" i="3"/>
  <c r="CG256" i="3" s="1"/>
  <c r="CF257" i="3"/>
  <c r="CF256" i="3" s="1"/>
  <c r="CE257" i="3"/>
  <c r="CE256" i="3" s="1"/>
  <c r="CD257" i="3"/>
  <c r="CD256" i="3" s="1"/>
  <c r="CB257" i="3"/>
  <c r="CB256" i="3" s="1"/>
  <c r="CA257" i="3"/>
  <c r="CA256" i="3" s="1"/>
  <c r="BZ257" i="3"/>
  <c r="BZ256" i="3" s="1"/>
  <c r="BY257" i="3"/>
  <c r="BY256" i="3" s="1"/>
  <c r="BW257" i="3"/>
  <c r="BW256" i="3" s="1"/>
  <c r="BV257" i="3"/>
  <c r="BV256" i="3" s="1"/>
  <c r="BU257" i="3"/>
  <c r="BU256" i="3" s="1"/>
  <c r="BT257" i="3"/>
  <c r="BT256" i="3" s="1"/>
  <c r="BR257" i="3"/>
  <c r="BR256" i="3" s="1"/>
  <c r="BQ257" i="3"/>
  <c r="BQ256" i="3" s="1"/>
  <c r="BP257" i="3"/>
  <c r="BP256" i="3" s="1"/>
  <c r="BO257" i="3"/>
  <c r="BO256" i="3" s="1"/>
  <c r="BM257" i="3"/>
  <c r="BL257" i="3"/>
  <c r="BK257" i="3"/>
  <c r="BJ257" i="3"/>
  <c r="BJ256" i="3" s="1"/>
  <c r="BH257" i="3"/>
  <c r="BH256" i="3" s="1"/>
  <c r="BG257" i="3"/>
  <c r="BG256" i="3" s="1"/>
  <c r="BF257" i="3"/>
  <c r="BF256" i="3" s="1"/>
  <c r="BE257" i="3"/>
  <c r="BD257" i="3"/>
  <c r="BD256" i="3" s="1"/>
  <c r="BC257" i="3"/>
  <c r="BC256" i="3" s="1"/>
  <c r="BB257" i="3"/>
  <c r="BB256" i="3" s="1"/>
  <c r="BA257" i="3"/>
  <c r="BA256" i="3" s="1"/>
  <c r="AZ257" i="3"/>
  <c r="AZ256" i="3" s="1"/>
  <c r="AY257" i="3"/>
  <c r="AY256" i="3" s="1"/>
  <c r="AX257" i="3"/>
  <c r="AX256" i="3" s="1"/>
  <c r="AW257" i="3"/>
  <c r="AW256" i="3" s="1"/>
  <c r="AV257" i="3"/>
  <c r="AV256" i="3" s="1"/>
  <c r="AU257" i="3"/>
  <c r="AU256" i="3" s="1"/>
  <c r="AT257" i="3"/>
  <c r="AT256" i="3" s="1"/>
  <c r="AS257" i="3"/>
  <c r="AS256" i="3" s="1"/>
  <c r="AR257" i="3"/>
  <c r="AR256" i="3" s="1"/>
  <c r="AQ257" i="3"/>
  <c r="AQ256" i="3" s="1"/>
  <c r="AP257" i="3"/>
  <c r="AP256" i="3" s="1"/>
  <c r="AO257" i="3"/>
  <c r="AO256" i="3" s="1"/>
  <c r="AN257" i="3"/>
  <c r="AN256" i="3" s="1"/>
  <c r="AM257" i="3"/>
  <c r="AM256" i="3" s="1"/>
  <c r="AL257" i="3"/>
  <c r="AL256" i="3" s="1"/>
  <c r="AK257" i="3"/>
  <c r="AK256" i="3" s="1"/>
  <c r="AJ257" i="3"/>
  <c r="AJ256" i="3" s="1"/>
  <c r="AI257" i="3"/>
  <c r="AI256" i="3" s="1"/>
  <c r="AH257" i="3"/>
  <c r="AH256" i="3" s="1"/>
  <c r="AG257" i="3"/>
  <c r="AG256" i="3" s="1"/>
  <c r="AF257" i="3"/>
  <c r="AF256" i="3" s="1"/>
  <c r="AE257" i="3"/>
  <c r="AE256" i="3" s="1"/>
  <c r="AD257" i="3"/>
  <c r="AD256" i="3" s="1"/>
  <c r="AC257" i="3"/>
  <c r="AC256" i="3" s="1"/>
  <c r="AB257" i="3"/>
  <c r="AB256" i="3" s="1"/>
  <c r="AA257" i="3"/>
  <c r="AA256" i="3" s="1"/>
  <c r="Z257" i="3"/>
  <c r="Z256" i="3" s="1"/>
  <c r="Y257" i="3"/>
  <c r="Y256" i="3" s="1"/>
  <c r="X257" i="3"/>
  <c r="X256" i="3" s="1"/>
  <c r="W257" i="3"/>
  <c r="W256" i="3" s="1"/>
  <c r="V257" i="3"/>
  <c r="V256" i="3" s="1"/>
  <c r="U257" i="3"/>
  <c r="U256" i="3" s="1"/>
  <c r="T257" i="3"/>
  <c r="T256" i="3" s="1"/>
  <c r="S257" i="3"/>
  <c r="S256" i="3" s="1"/>
  <c r="R257" i="3"/>
  <c r="R256" i="3" s="1"/>
  <c r="Q257" i="3"/>
  <c r="Q256" i="3" s="1"/>
  <c r="BM256" i="3"/>
  <c r="BL256" i="3"/>
  <c r="EI223" i="3"/>
  <c r="EH223" i="3"/>
  <c r="EH218" i="3" s="1"/>
  <c r="EG223" i="3"/>
  <c r="EG179" i="3" s="1"/>
  <c r="EE223" i="3"/>
  <c r="EE210" i="3" s="1"/>
  <c r="ED223" i="3"/>
  <c r="EB223" i="3"/>
  <c r="EB179" i="3" s="1"/>
  <c r="DZ223" i="3"/>
  <c r="DY223" i="3"/>
  <c r="DY240" i="3" s="1"/>
  <c r="DX223" i="3"/>
  <c r="DW223" i="3"/>
  <c r="DW240" i="3" s="1"/>
  <c r="DU223" i="3"/>
  <c r="DU179" i="3" s="1"/>
  <c r="DP223" i="3"/>
  <c r="DP179" i="3" s="1"/>
  <c r="DO223" i="3"/>
  <c r="DO161" i="3" s="1"/>
  <c r="DN223" i="3"/>
  <c r="DN240" i="3" s="1"/>
  <c r="DM223" i="3"/>
  <c r="DM161" i="3" s="1"/>
  <c r="DK223" i="3"/>
  <c r="DK240" i="3" s="1"/>
  <c r="DJ223" i="3"/>
  <c r="DJ161" i="3" s="1"/>
  <c r="DI223" i="3"/>
  <c r="DI240" i="3" s="1"/>
  <c r="DH223" i="3"/>
  <c r="DH161" i="3" s="1"/>
  <c r="DF223" i="3"/>
  <c r="DF240" i="3" s="1"/>
  <c r="DE223" i="3"/>
  <c r="DE194" i="3" s="1"/>
  <c r="DD223" i="3"/>
  <c r="DD179" i="3" s="1"/>
  <c r="DC223" i="3"/>
  <c r="DC194" i="3" s="1"/>
  <c r="DA223" i="3"/>
  <c r="DA240" i="3" s="1"/>
  <c r="CZ223" i="3"/>
  <c r="CZ194" i="3" s="1"/>
  <c r="CY223" i="3"/>
  <c r="CY240" i="3" s="1"/>
  <c r="CX223" i="3"/>
  <c r="CX194" i="3" s="1"/>
  <c r="CV223" i="3"/>
  <c r="CV161" i="3" s="1"/>
  <c r="CU223" i="3"/>
  <c r="CU194" i="3" s="1"/>
  <c r="CT223" i="3"/>
  <c r="CT240" i="3" s="1"/>
  <c r="CS223" i="3"/>
  <c r="CS194" i="3" s="1"/>
  <c r="CQ223" i="3"/>
  <c r="CQ240" i="3" s="1"/>
  <c r="CP223" i="3"/>
  <c r="CP218" i="3" s="1"/>
  <c r="CO223" i="3"/>
  <c r="CO240" i="3" s="1"/>
  <c r="CN223" i="3"/>
  <c r="CN218" i="3" s="1"/>
  <c r="CL223" i="3"/>
  <c r="CL240" i="3" s="1"/>
  <c r="CK223" i="3"/>
  <c r="CK194" i="3" s="1"/>
  <c r="CJ223" i="3"/>
  <c r="CJ218" i="3" s="1"/>
  <c r="CI223" i="3"/>
  <c r="CI194" i="3" s="1"/>
  <c r="CG223" i="3"/>
  <c r="CG240" i="3" s="1"/>
  <c r="CF223" i="3"/>
  <c r="CF201" i="3" s="1"/>
  <c r="CE223" i="3"/>
  <c r="CE240" i="3" s="1"/>
  <c r="CD223" i="3"/>
  <c r="CD201" i="3" s="1"/>
  <c r="CB223" i="3"/>
  <c r="CB210" i="3" s="1"/>
  <c r="CA223" i="3"/>
  <c r="CA218" i="3" s="1"/>
  <c r="BZ223" i="3"/>
  <c r="BZ240" i="3" s="1"/>
  <c r="BY223" i="3"/>
  <c r="BY218" i="3" s="1"/>
  <c r="BW223" i="3"/>
  <c r="BW240" i="3" s="1"/>
  <c r="BV223" i="3"/>
  <c r="BV201" i="3" s="1"/>
  <c r="BU223" i="3"/>
  <c r="BU240" i="3" s="1"/>
  <c r="BT223" i="3"/>
  <c r="BT194" i="3" s="1"/>
  <c r="BR223" i="3"/>
  <c r="BR240" i="3" s="1"/>
  <c r="BQ223" i="3"/>
  <c r="BQ218" i="3" s="1"/>
  <c r="BP223" i="3"/>
  <c r="BP201" i="3" s="1"/>
  <c r="BO223" i="3"/>
  <c r="BO194" i="3" s="1"/>
  <c r="BM223" i="3"/>
  <c r="BM240" i="3" s="1"/>
  <c r="BL223" i="3"/>
  <c r="BL194" i="3" s="1"/>
  <c r="BK223" i="3"/>
  <c r="BK240" i="3" s="1"/>
  <c r="BJ223" i="3"/>
  <c r="BJ201" i="3" s="1"/>
  <c r="BH223" i="3"/>
  <c r="BH194" i="3" s="1"/>
  <c r="BG223" i="3"/>
  <c r="BG201" i="3" s="1"/>
  <c r="BF223" i="3"/>
  <c r="BF240" i="3" s="1"/>
  <c r="BE223" i="3"/>
  <c r="BE194" i="3" s="1"/>
  <c r="BD223" i="3"/>
  <c r="BD218" i="3" s="1"/>
  <c r="BC223" i="3"/>
  <c r="BC201" i="3" s="1"/>
  <c r="BB223" i="3"/>
  <c r="BB240" i="3" s="1"/>
  <c r="BA223" i="3"/>
  <c r="BA201" i="3" s="1"/>
  <c r="AZ223" i="3"/>
  <c r="AZ218" i="3" s="1"/>
  <c r="AY223" i="3"/>
  <c r="AY194" i="3" s="1"/>
  <c r="AX223" i="3"/>
  <c r="AX240" i="3" s="1"/>
  <c r="AW223" i="3"/>
  <c r="AW194" i="3" s="1"/>
  <c r="AV223" i="3"/>
  <c r="AV179" i="3" s="1"/>
  <c r="AU223" i="3"/>
  <c r="AU179" i="3" s="1"/>
  <c r="AT223" i="3"/>
  <c r="AT240" i="3" s="1"/>
  <c r="AS223" i="3"/>
  <c r="AS179" i="3" s="1"/>
  <c r="AR223" i="3"/>
  <c r="AR194" i="3" s="1"/>
  <c r="AQ223" i="3"/>
  <c r="AQ179" i="3" s="1"/>
  <c r="AP223" i="3"/>
  <c r="AP240" i="3" s="1"/>
  <c r="AO223" i="3"/>
  <c r="AO194" i="3" s="1"/>
  <c r="AN223" i="3"/>
  <c r="AN218" i="3" s="1"/>
  <c r="AM223" i="3"/>
  <c r="AM194" i="3" s="1"/>
  <c r="AL223" i="3"/>
  <c r="AL240" i="3" s="1"/>
  <c r="AK223" i="3"/>
  <c r="AK179" i="3" s="1"/>
  <c r="AJ223" i="3"/>
  <c r="AJ210" i="3" s="1"/>
  <c r="AI223" i="3"/>
  <c r="AI179" i="3" s="1"/>
  <c r="AH223" i="3"/>
  <c r="AH240" i="3" s="1"/>
  <c r="AG223" i="3"/>
  <c r="AG194" i="3" s="1"/>
  <c r="AF223" i="3"/>
  <c r="AF194" i="3" s="1"/>
  <c r="AE223" i="3"/>
  <c r="AE194" i="3" s="1"/>
  <c r="AD223" i="3"/>
  <c r="AD240" i="3" s="1"/>
  <c r="AC223" i="3"/>
  <c r="AC194" i="3" s="1"/>
  <c r="AB223" i="3"/>
  <c r="AB161" i="3" s="1"/>
  <c r="AA223" i="3"/>
  <c r="AA179" i="3" s="1"/>
  <c r="Z223" i="3"/>
  <c r="Z240" i="3" s="1"/>
  <c r="Y223" i="3"/>
  <c r="Y194" i="3" s="1"/>
  <c r="X223" i="3"/>
  <c r="X218" i="3" s="1"/>
  <c r="W223" i="3"/>
  <c r="W179" i="3" s="1"/>
  <c r="V223" i="3"/>
  <c r="V240" i="3" s="1"/>
  <c r="U223" i="3"/>
  <c r="U179" i="3" s="1"/>
  <c r="T223" i="3"/>
  <c r="T194" i="3" s="1"/>
  <c r="S223" i="3"/>
  <c r="S179" i="3" s="1"/>
  <c r="R223" i="3"/>
  <c r="R240" i="3" s="1"/>
  <c r="Q223" i="3"/>
  <c r="Q194" i="3" s="1"/>
  <c r="BD220" i="3"/>
  <c r="BD219" i="3"/>
  <c r="AY220" i="3"/>
  <c r="AY219" i="3"/>
  <c r="AT220" i="3"/>
  <c r="AT219" i="3"/>
  <c r="EI217" i="3"/>
  <c r="EH217" i="3"/>
  <c r="EG217" i="3"/>
  <c r="EE217" i="3"/>
  <c r="ED217" i="3"/>
  <c r="EC217" i="3"/>
  <c r="EB217" i="3"/>
  <c r="DZ217" i="3"/>
  <c r="DY217" i="3"/>
  <c r="DX217" i="3"/>
  <c r="DW217" i="3"/>
  <c r="DU217" i="3"/>
  <c r="DT217" i="3"/>
  <c r="DS217" i="3"/>
  <c r="DR217" i="3"/>
  <c r="DP217" i="3"/>
  <c r="DO217" i="3"/>
  <c r="DN217" i="3"/>
  <c r="DM217" i="3"/>
  <c r="DK217" i="3"/>
  <c r="DJ217" i="3"/>
  <c r="DI217" i="3"/>
  <c r="DH217" i="3"/>
  <c r="DF217" i="3"/>
  <c r="DE217" i="3"/>
  <c r="DD217" i="3"/>
  <c r="DC217" i="3"/>
  <c r="DA217" i="3"/>
  <c r="CZ217" i="3"/>
  <c r="CY217" i="3"/>
  <c r="CX217" i="3"/>
  <c r="CV217" i="3"/>
  <c r="CU217" i="3"/>
  <c r="CT217" i="3"/>
  <c r="CS217" i="3"/>
  <c r="CQ217" i="3"/>
  <c r="CP217" i="3"/>
  <c r="CO217" i="3"/>
  <c r="CN217" i="3"/>
  <c r="CL217" i="3"/>
  <c r="CK217" i="3"/>
  <c r="CJ217" i="3"/>
  <c r="CI217" i="3"/>
  <c r="FH217" i="3" s="1"/>
  <c r="CG217" i="3"/>
  <c r="CF217" i="3"/>
  <c r="CE217" i="3"/>
  <c r="CD217" i="3"/>
  <c r="CB217" i="3"/>
  <c r="CA217" i="3"/>
  <c r="BZ217" i="3"/>
  <c r="BY217" i="3"/>
  <c r="BW217" i="3"/>
  <c r="BV217" i="3"/>
  <c r="BU217" i="3"/>
  <c r="BT217" i="3"/>
  <c r="BR217" i="3"/>
  <c r="BQ217" i="3"/>
  <c r="BP217" i="3"/>
  <c r="BO217" i="3"/>
  <c r="BM217" i="3"/>
  <c r="BL217" i="3"/>
  <c r="BK217" i="3"/>
  <c r="BJ217" i="3"/>
  <c r="BH217" i="3"/>
  <c r="BG217" i="3"/>
  <c r="BF217" i="3"/>
  <c r="BE217" i="3"/>
  <c r="BC217" i="3"/>
  <c r="BB217" i="3"/>
  <c r="BA217" i="3"/>
  <c r="AZ217" i="3"/>
  <c r="BC216" i="3"/>
  <c r="BB216" i="3"/>
  <c r="BA216" i="3"/>
  <c r="AZ216" i="3"/>
  <c r="AX217" i="3"/>
  <c r="AW217" i="3"/>
  <c r="AV217" i="3"/>
  <c r="AU217" i="3"/>
  <c r="AX216" i="3"/>
  <c r="AW216" i="3"/>
  <c r="AV216" i="3"/>
  <c r="AU216" i="3"/>
  <c r="AS217" i="3"/>
  <c r="AR217" i="3"/>
  <c r="AQ217" i="3"/>
  <c r="AP217" i="3"/>
  <c r="AS216" i="3"/>
  <c r="AR216" i="3"/>
  <c r="AQ216" i="3"/>
  <c r="AP216" i="3"/>
  <c r="AN217" i="3"/>
  <c r="AM217" i="3"/>
  <c r="AL217" i="3"/>
  <c r="AK217" i="3"/>
  <c r="AN216" i="3"/>
  <c r="AM216" i="3"/>
  <c r="AL216" i="3"/>
  <c r="AK216" i="3"/>
  <c r="AI217" i="3"/>
  <c r="AH217" i="3"/>
  <c r="AG217" i="3"/>
  <c r="AF217" i="3"/>
  <c r="AI216" i="3"/>
  <c r="AH216" i="3"/>
  <c r="AG216" i="3"/>
  <c r="AF216" i="3"/>
  <c r="AD217" i="3"/>
  <c r="AC217" i="3"/>
  <c r="AB217" i="3"/>
  <c r="AA217" i="3"/>
  <c r="AD216" i="3"/>
  <c r="AC216" i="3"/>
  <c r="AB216" i="3"/>
  <c r="AA216" i="3"/>
  <c r="Y217" i="3"/>
  <c r="X217" i="3"/>
  <c r="W217" i="3"/>
  <c r="V217" i="3"/>
  <c r="Y216" i="3"/>
  <c r="X216" i="3"/>
  <c r="W216" i="3"/>
  <c r="V216" i="3"/>
  <c r="T217" i="3"/>
  <c r="S217" i="3"/>
  <c r="R217" i="3"/>
  <c r="T216" i="3"/>
  <c r="S216" i="3"/>
  <c r="R216" i="3"/>
  <c r="Q216" i="3"/>
  <c r="EI215" i="3"/>
  <c r="EH215" i="3"/>
  <c r="EG215" i="3"/>
  <c r="EE215" i="3"/>
  <c r="ED215" i="3"/>
  <c r="EC215" i="3"/>
  <c r="EB215" i="3"/>
  <c r="DZ215" i="3"/>
  <c r="DY215" i="3"/>
  <c r="DX215" i="3"/>
  <c r="DW215" i="3"/>
  <c r="DU215" i="3"/>
  <c r="DT215" i="3"/>
  <c r="DS215" i="3"/>
  <c r="DR215" i="3"/>
  <c r="DP215" i="3"/>
  <c r="DO215" i="3"/>
  <c r="DN215" i="3"/>
  <c r="DM215" i="3"/>
  <c r="DK215" i="3"/>
  <c r="DJ215" i="3"/>
  <c r="DI215" i="3"/>
  <c r="DH215" i="3"/>
  <c r="DF215" i="3"/>
  <c r="DE215" i="3"/>
  <c r="DD215" i="3"/>
  <c r="DC215" i="3"/>
  <c r="DA215" i="3"/>
  <c r="CZ215" i="3"/>
  <c r="CY215" i="3"/>
  <c r="CX215" i="3"/>
  <c r="CV215" i="3"/>
  <c r="CU215" i="3"/>
  <c r="CT215" i="3"/>
  <c r="CS215" i="3"/>
  <c r="CQ215" i="3"/>
  <c r="CP215" i="3"/>
  <c r="CO215" i="3"/>
  <c r="CN215" i="3"/>
  <c r="CL215" i="3"/>
  <c r="CK215" i="3"/>
  <c r="CJ215" i="3"/>
  <c r="CI215" i="3"/>
  <c r="CG215" i="3"/>
  <c r="CF215" i="3"/>
  <c r="CE215" i="3"/>
  <c r="CD215" i="3"/>
  <c r="CB215" i="3"/>
  <c r="CA215" i="3"/>
  <c r="BZ215" i="3"/>
  <c r="BY215" i="3"/>
  <c r="BW215" i="3"/>
  <c r="BV215" i="3"/>
  <c r="BU215" i="3"/>
  <c r="BT215" i="3"/>
  <c r="BR215" i="3"/>
  <c r="BQ215" i="3"/>
  <c r="BP215" i="3"/>
  <c r="BO215" i="3"/>
  <c r="BM215" i="3"/>
  <c r="BL215" i="3"/>
  <c r="BK215" i="3"/>
  <c r="BJ215" i="3"/>
  <c r="BH215" i="3"/>
  <c r="BG215" i="3"/>
  <c r="BF215" i="3"/>
  <c r="BE215" i="3"/>
  <c r="BD215" i="3"/>
  <c r="BC215" i="3"/>
  <c r="BB215" i="3"/>
  <c r="BA215" i="3"/>
  <c r="AZ215" i="3"/>
  <c r="AY215" i="3"/>
  <c r="AX215" i="3"/>
  <c r="AW215" i="3"/>
  <c r="AV215" i="3"/>
  <c r="AU215" i="3"/>
  <c r="AT215" i="3"/>
  <c r="AS215" i="3"/>
  <c r="AR215" i="3"/>
  <c r="AQ215" i="3"/>
  <c r="AP215" i="3"/>
  <c r="AO215" i="3"/>
  <c r="AN215" i="3"/>
  <c r="AM215" i="3"/>
  <c r="AL215" i="3"/>
  <c r="AK215" i="3"/>
  <c r="AJ215" i="3"/>
  <c r="AI215" i="3"/>
  <c r="AH215" i="3"/>
  <c r="AG215" i="3"/>
  <c r="AF215" i="3"/>
  <c r="AE215" i="3"/>
  <c r="AD215" i="3"/>
  <c r="AC215" i="3"/>
  <c r="AB215" i="3"/>
  <c r="AA215" i="3"/>
  <c r="Z215" i="3"/>
  <c r="Y215" i="3"/>
  <c r="X215" i="3"/>
  <c r="W215" i="3"/>
  <c r="V215" i="3"/>
  <c r="EF214" i="3"/>
  <c r="EK215" i="3" s="1"/>
  <c r="EA214" i="3"/>
  <c r="DV214" i="3"/>
  <c r="DS216" i="3" s="1"/>
  <c r="DQ214" i="3"/>
  <c r="DL214" i="3"/>
  <c r="DI216" i="3" s="1"/>
  <c r="DG214" i="3"/>
  <c r="DB214" i="3"/>
  <c r="CW214" i="3"/>
  <c r="CR214" i="3"/>
  <c r="CM214" i="3"/>
  <c r="CH214" i="3"/>
  <c r="CE216" i="3" s="1"/>
  <c r="CC214" i="3"/>
  <c r="BX214" i="3"/>
  <c r="BS214" i="3"/>
  <c r="BP216" i="3" s="1"/>
  <c r="BN214" i="3"/>
  <c r="BK216" i="3" s="1"/>
  <c r="BI214" i="3"/>
  <c r="A211" i="3"/>
  <c r="BC209" i="3"/>
  <c r="BB209" i="3"/>
  <c r="BA209" i="3"/>
  <c r="AZ209" i="3"/>
  <c r="AX209" i="3"/>
  <c r="AW209" i="3"/>
  <c r="AV209" i="3"/>
  <c r="AU209" i="3"/>
  <c r="AS209" i="3"/>
  <c r="AR209" i="3"/>
  <c r="AQ209" i="3"/>
  <c r="AP209" i="3"/>
  <c r="AN209" i="3"/>
  <c r="AM209" i="3"/>
  <c r="AL209" i="3"/>
  <c r="AK209" i="3"/>
  <c r="AI209" i="3"/>
  <c r="AH209" i="3"/>
  <c r="AG209" i="3"/>
  <c r="AF209" i="3"/>
  <c r="AD209" i="3"/>
  <c r="AC209" i="3"/>
  <c r="AB209" i="3"/>
  <c r="AA209" i="3"/>
  <c r="Y209" i="3"/>
  <c r="X209" i="3"/>
  <c r="W209" i="3"/>
  <c r="V209" i="3"/>
  <c r="T209" i="3"/>
  <c r="S209" i="3"/>
  <c r="R209" i="3"/>
  <c r="Q209" i="3"/>
  <c r="EI208" i="3"/>
  <c r="EH208" i="3"/>
  <c r="EG208" i="3"/>
  <c r="EE208" i="3"/>
  <c r="ED208" i="3"/>
  <c r="EC208" i="3"/>
  <c r="EB208" i="3"/>
  <c r="DZ208" i="3"/>
  <c r="DY208" i="3"/>
  <c r="DX208" i="3"/>
  <c r="DW208" i="3"/>
  <c r="DU208" i="3"/>
  <c r="DT208" i="3"/>
  <c r="DS208" i="3"/>
  <c r="DR208" i="3"/>
  <c r="DP208" i="3"/>
  <c r="DO208" i="3"/>
  <c r="DN208" i="3"/>
  <c r="DM208" i="3"/>
  <c r="DK208" i="3"/>
  <c r="DJ208" i="3"/>
  <c r="DI208" i="3"/>
  <c r="DH208" i="3"/>
  <c r="DF208" i="3"/>
  <c r="DE208" i="3"/>
  <c r="DD208" i="3"/>
  <c r="DC208" i="3"/>
  <c r="DA208" i="3"/>
  <c r="CZ208" i="3"/>
  <c r="CY208" i="3"/>
  <c r="CX208" i="3"/>
  <c r="CV208" i="3"/>
  <c r="CU208" i="3"/>
  <c r="CT208" i="3"/>
  <c r="CS208" i="3"/>
  <c r="CQ208" i="3"/>
  <c r="CP208" i="3"/>
  <c r="CO208" i="3"/>
  <c r="CN208" i="3"/>
  <c r="CL208" i="3"/>
  <c r="CK208" i="3"/>
  <c r="CJ208" i="3"/>
  <c r="CI208" i="3"/>
  <c r="CG208" i="3"/>
  <c r="CF208" i="3"/>
  <c r="CE208" i="3"/>
  <c r="CD208" i="3"/>
  <c r="CB208" i="3"/>
  <c r="CA208" i="3"/>
  <c r="BZ208" i="3"/>
  <c r="BY208" i="3"/>
  <c r="BW208" i="3"/>
  <c r="BV208" i="3"/>
  <c r="BU208" i="3"/>
  <c r="BT208" i="3"/>
  <c r="BR208" i="3"/>
  <c r="BQ208" i="3"/>
  <c r="BP208" i="3"/>
  <c r="BO208" i="3"/>
  <c r="BM208" i="3"/>
  <c r="BL208" i="3"/>
  <c r="BK208" i="3"/>
  <c r="BJ208" i="3"/>
  <c r="BH208" i="3"/>
  <c r="BG208" i="3"/>
  <c r="BF208" i="3"/>
  <c r="BE208" i="3"/>
  <c r="BD208" i="3"/>
  <c r="BC208" i="3"/>
  <c r="BB208" i="3"/>
  <c r="BA208" i="3"/>
  <c r="AZ208" i="3"/>
  <c r="AY208" i="3"/>
  <c r="AX208" i="3"/>
  <c r="AW208" i="3"/>
  <c r="AV208" i="3"/>
  <c r="AU208" i="3"/>
  <c r="AT208" i="3"/>
  <c r="AS208" i="3"/>
  <c r="AR208" i="3"/>
  <c r="AQ208" i="3"/>
  <c r="AP208" i="3"/>
  <c r="AO208" i="3"/>
  <c r="AN208" i="3"/>
  <c r="AM208" i="3"/>
  <c r="AL208" i="3"/>
  <c r="AK208" i="3"/>
  <c r="AJ208" i="3"/>
  <c r="AI208" i="3"/>
  <c r="AH208" i="3"/>
  <c r="AG208" i="3"/>
  <c r="AF208" i="3"/>
  <c r="AE208" i="3"/>
  <c r="AD208" i="3"/>
  <c r="AC208" i="3"/>
  <c r="AB208" i="3"/>
  <c r="AA208" i="3"/>
  <c r="Z208" i="3"/>
  <c r="Y208" i="3"/>
  <c r="X208" i="3"/>
  <c r="W208" i="3"/>
  <c r="V208" i="3"/>
  <c r="EF207" i="3"/>
  <c r="EK208" i="3" s="1"/>
  <c r="EA207" i="3"/>
  <c r="DX209" i="3" s="1"/>
  <c r="DV207" i="3"/>
  <c r="DU209" i="3" s="1"/>
  <c r="DQ207" i="3"/>
  <c r="DP209" i="3" s="1"/>
  <c r="DL207" i="3"/>
  <c r="DI209" i="3" s="1"/>
  <c r="DG207" i="3"/>
  <c r="DD209" i="3" s="1"/>
  <c r="DB207" i="3"/>
  <c r="DA209" i="3" s="1"/>
  <c r="CW207" i="3"/>
  <c r="CR207" i="3"/>
  <c r="CO209" i="3" s="1"/>
  <c r="CM207" i="3"/>
  <c r="CJ209" i="3" s="1"/>
  <c r="CH207" i="3"/>
  <c r="CG209" i="3" s="1"/>
  <c r="CC207" i="3"/>
  <c r="CB209" i="3" s="1"/>
  <c r="BX207" i="3"/>
  <c r="BU209" i="3" s="1"/>
  <c r="BS207" i="3"/>
  <c r="BP209" i="3" s="1"/>
  <c r="BN207" i="3"/>
  <c r="BM209" i="3" s="1"/>
  <c r="BI207" i="3"/>
  <c r="A202" i="3"/>
  <c r="CH200" i="3"/>
  <c r="CG200" i="3"/>
  <c r="CF200" i="3"/>
  <c r="CE200" i="3"/>
  <c r="CD200" i="3"/>
  <c r="CC200" i="3"/>
  <c r="CB200" i="3"/>
  <c r="CA200" i="3"/>
  <c r="BZ200" i="3"/>
  <c r="BY200" i="3"/>
  <c r="BX200" i="3"/>
  <c r="BW200" i="3"/>
  <c r="BV200" i="3"/>
  <c r="BU200" i="3"/>
  <c r="BT200" i="3"/>
  <c r="BS200" i="3"/>
  <c r="BR200" i="3"/>
  <c r="BQ200" i="3"/>
  <c r="BP200" i="3"/>
  <c r="BO200" i="3"/>
  <c r="BN200" i="3"/>
  <c r="BM200" i="3"/>
  <c r="BL200" i="3"/>
  <c r="BK200" i="3"/>
  <c r="BJ200" i="3"/>
  <c r="BI200" i="3"/>
  <c r="BH200" i="3"/>
  <c r="BG200" i="3"/>
  <c r="BF200" i="3"/>
  <c r="EG198" i="3"/>
  <c r="DU198" i="3"/>
  <c r="DT198" i="3"/>
  <c r="DP198" i="3"/>
  <c r="DO198" i="3"/>
  <c r="DN198" i="3"/>
  <c r="DM198" i="3"/>
  <c r="DK198" i="3"/>
  <c r="DJ198" i="3"/>
  <c r="DI198" i="3"/>
  <c r="DH198" i="3"/>
  <c r="DF198" i="3"/>
  <c r="DE198" i="3"/>
  <c r="DD198" i="3"/>
  <c r="DC198" i="3"/>
  <c r="DA198" i="3"/>
  <c r="CZ198" i="3"/>
  <c r="CX198" i="3"/>
  <c r="EI197" i="3"/>
  <c r="EK197" i="3" s="1"/>
  <c r="EE197" i="3"/>
  <c r="ED197" i="3"/>
  <c r="ED198" i="3" s="1"/>
  <c r="EC197" i="3"/>
  <c r="EB197" i="3"/>
  <c r="EB198" i="3" s="1"/>
  <c r="DZ197" i="3"/>
  <c r="DZ198" i="3" s="1"/>
  <c r="DY197" i="3"/>
  <c r="DY198" i="3" s="1"/>
  <c r="DX197" i="3"/>
  <c r="DW197" i="3"/>
  <c r="DV197" i="3"/>
  <c r="DQ197" i="3"/>
  <c r="DQ196" i="3"/>
  <c r="DQ195" i="3"/>
  <c r="DL197" i="3"/>
  <c r="DL196" i="3"/>
  <c r="DL195" i="3"/>
  <c r="DG197" i="3"/>
  <c r="DG196" i="3"/>
  <c r="DG195" i="3"/>
  <c r="DB197" i="3"/>
  <c r="DB195" i="3"/>
  <c r="EY196" i="3"/>
  <c r="EX196" i="3"/>
  <c r="EW196" i="3"/>
  <c r="EV196" i="3"/>
  <c r="EF196" i="3"/>
  <c r="EF195" i="3"/>
  <c r="EA195" i="3"/>
  <c r="DX196" i="3"/>
  <c r="DW196" i="3"/>
  <c r="DV196" i="3"/>
  <c r="CY196" i="3"/>
  <c r="DB196" i="3" s="1"/>
  <c r="DV195" i="3"/>
  <c r="DA193" i="3"/>
  <c r="CZ193" i="3"/>
  <c r="CY193" i="3"/>
  <c r="CX193" i="3"/>
  <c r="CV193" i="3"/>
  <c r="CU193" i="3"/>
  <c r="CT193" i="3"/>
  <c r="CS193" i="3"/>
  <c r="CQ193" i="3"/>
  <c r="CP193" i="3"/>
  <c r="CO193" i="3"/>
  <c r="CN193" i="3"/>
  <c r="CL193" i="3"/>
  <c r="CK193" i="3"/>
  <c r="CJ193" i="3"/>
  <c r="CI193" i="3"/>
  <c r="CG193" i="3"/>
  <c r="CF193" i="3"/>
  <c r="CE193" i="3"/>
  <c r="CD193" i="3"/>
  <c r="CB193" i="3"/>
  <c r="CA193" i="3"/>
  <c r="BZ193" i="3"/>
  <c r="BY193" i="3"/>
  <c r="BW193" i="3"/>
  <c r="BV193" i="3"/>
  <c r="BU193" i="3"/>
  <c r="BT193" i="3"/>
  <c r="BR193" i="3"/>
  <c r="BQ193" i="3"/>
  <c r="BP193" i="3"/>
  <c r="BO193" i="3"/>
  <c r="BM193" i="3"/>
  <c r="BL193" i="3"/>
  <c r="BK193" i="3"/>
  <c r="BJ193" i="3"/>
  <c r="BH193" i="3"/>
  <c r="BG193" i="3"/>
  <c r="BF193" i="3"/>
  <c r="BE193" i="3"/>
  <c r="BC193" i="3"/>
  <c r="BB193" i="3"/>
  <c r="BA193" i="3"/>
  <c r="AZ193" i="3"/>
  <c r="AX193" i="3"/>
  <c r="AW193" i="3"/>
  <c r="AV193" i="3"/>
  <c r="AU193" i="3"/>
  <c r="AS193" i="3"/>
  <c r="AR193" i="3"/>
  <c r="AQ193" i="3"/>
  <c r="AP193" i="3"/>
  <c r="AN193" i="3"/>
  <c r="AM193" i="3"/>
  <c r="AL193" i="3"/>
  <c r="AK193" i="3"/>
  <c r="AI193" i="3"/>
  <c r="AH193" i="3"/>
  <c r="AG193" i="3"/>
  <c r="AF193" i="3"/>
  <c r="AD193" i="3"/>
  <c r="AC193" i="3"/>
  <c r="AB193" i="3"/>
  <c r="AA193" i="3"/>
  <c r="Y193" i="3"/>
  <c r="X193" i="3"/>
  <c r="W193" i="3"/>
  <c r="V193" i="3"/>
  <c r="T193" i="3"/>
  <c r="S193" i="3"/>
  <c r="R193" i="3"/>
  <c r="Q193" i="3"/>
  <c r="EI192" i="3"/>
  <c r="EG192" i="3"/>
  <c r="EE192" i="3"/>
  <c r="ED192" i="3"/>
  <c r="EB192" i="3"/>
  <c r="DZ192" i="3"/>
  <c r="DY192" i="3"/>
  <c r="DU192" i="3"/>
  <c r="DT192" i="3"/>
  <c r="DP192" i="3"/>
  <c r="DO192" i="3"/>
  <c r="DN192" i="3"/>
  <c r="DM192" i="3"/>
  <c r="DK192" i="3"/>
  <c r="DJ192" i="3"/>
  <c r="DI192" i="3"/>
  <c r="DH192" i="3"/>
  <c r="DF192" i="3"/>
  <c r="DE192" i="3"/>
  <c r="DD192" i="3"/>
  <c r="DC192" i="3"/>
  <c r="DB192" i="3"/>
  <c r="DA192" i="3"/>
  <c r="CZ192" i="3"/>
  <c r="CY192" i="3"/>
  <c r="CX192" i="3"/>
  <c r="CW192" i="3"/>
  <c r="CV192" i="3"/>
  <c r="CU192" i="3"/>
  <c r="CT192" i="3"/>
  <c r="CS192" i="3"/>
  <c r="CR192" i="3"/>
  <c r="CQ192" i="3"/>
  <c r="CP192" i="3"/>
  <c r="CO192" i="3"/>
  <c r="CN192" i="3"/>
  <c r="CM192" i="3"/>
  <c r="CL192" i="3"/>
  <c r="CK192" i="3"/>
  <c r="CJ192" i="3"/>
  <c r="CI192" i="3"/>
  <c r="CH192" i="3"/>
  <c r="CG192" i="3"/>
  <c r="CF192" i="3"/>
  <c r="CE192" i="3"/>
  <c r="CD192" i="3"/>
  <c r="CC192" i="3"/>
  <c r="CB192" i="3"/>
  <c r="CA192" i="3"/>
  <c r="BZ192" i="3"/>
  <c r="BY192" i="3"/>
  <c r="BX192" i="3"/>
  <c r="BW192" i="3"/>
  <c r="BV192" i="3"/>
  <c r="BU192" i="3"/>
  <c r="BT192" i="3"/>
  <c r="BS192" i="3"/>
  <c r="BR192" i="3"/>
  <c r="BQ192" i="3"/>
  <c r="BP192" i="3"/>
  <c r="BO192" i="3"/>
  <c r="BN192" i="3"/>
  <c r="BM192" i="3"/>
  <c r="BL192" i="3"/>
  <c r="BK192" i="3"/>
  <c r="BJ192" i="3"/>
  <c r="BI192" i="3"/>
  <c r="BH192" i="3"/>
  <c r="BG192" i="3"/>
  <c r="BF192" i="3"/>
  <c r="BE192" i="3"/>
  <c r="BD192" i="3"/>
  <c r="BC192" i="3"/>
  <c r="BB192" i="3"/>
  <c r="BA192" i="3"/>
  <c r="AZ192" i="3"/>
  <c r="AY192" i="3"/>
  <c r="AX192" i="3"/>
  <c r="AW192" i="3"/>
  <c r="AV192" i="3"/>
  <c r="AU192" i="3"/>
  <c r="AT192" i="3"/>
  <c r="AS192" i="3"/>
  <c r="AR192" i="3"/>
  <c r="AQ192" i="3"/>
  <c r="AP192" i="3"/>
  <c r="AO192" i="3"/>
  <c r="AN192" i="3"/>
  <c r="AM192" i="3"/>
  <c r="AL192" i="3"/>
  <c r="AK192" i="3"/>
  <c r="EF189" i="3"/>
  <c r="EC191" i="3"/>
  <c r="EC223" i="3" s="1"/>
  <c r="EC218" i="3" s="1"/>
  <c r="EA191" i="3"/>
  <c r="DX193" i="3" s="1"/>
  <c r="EA189" i="3"/>
  <c r="DS191" i="3"/>
  <c r="DS223" i="3" s="1"/>
  <c r="DR191" i="3"/>
  <c r="DR223" i="3" s="1"/>
  <c r="DR161" i="3" s="1"/>
  <c r="DQ191" i="3"/>
  <c r="DN193" i="3" s="1"/>
  <c r="DL191" i="3"/>
  <c r="DI193" i="3" s="1"/>
  <c r="DL189" i="3"/>
  <c r="DG191" i="3"/>
  <c r="DD193" i="3" s="1"/>
  <c r="DG189" i="3"/>
  <c r="DT189" i="3"/>
  <c r="DT186" i="3"/>
  <c r="DT185" i="3"/>
  <c r="DQ189" i="3"/>
  <c r="DB189" i="3"/>
  <c r="CW189" i="3"/>
  <c r="CR189" i="3"/>
  <c r="DU186" i="3"/>
  <c r="DU185" i="3"/>
  <c r="EI186" i="3"/>
  <c r="EH186" i="3"/>
  <c r="EG186" i="3"/>
  <c r="EE186" i="3"/>
  <c r="ED186" i="3"/>
  <c r="EC186" i="3"/>
  <c r="EB186" i="3"/>
  <c r="DZ186" i="3"/>
  <c r="DY186" i="3"/>
  <c r="DX186" i="3"/>
  <c r="DW186" i="3"/>
  <c r="EI185" i="3"/>
  <c r="EH185" i="3"/>
  <c r="EG185" i="3"/>
  <c r="EE185" i="3"/>
  <c r="ED185" i="3"/>
  <c r="EC185" i="3"/>
  <c r="EB185" i="3"/>
  <c r="DZ185" i="3"/>
  <c r="DY185" i="3"/>
  <c r="DX185" i="3"/>
  <c r="DW185" i="3"/>
  <c r="DS186" i="3"/>
  <c r="DR186" i="3"/>
  <c r="DS185" i="3"/>
  <c r="DR185" i="3"/>
  <c r="DP186" i="3"/>
  <c r="DO186" i="3"/>
  <c r="DN186" i="3"/>
  <c r="DM186" i="3"/>
  <c r="DK186" i="3"/>
  <c r="DJ186" i="3"/>
  <c r="DI186" i="3"/>
  <c r="DH186" i="3"/>
  <c r="DF186" i="3"/>
  <c r="DE186" i="3"/>
  <c r="DD186" i="3"/>
  <c r="DC186" i="3"/>
  <c r="DA186" i="3"/>
  <c r="CZ186" i="3"/>
  <c r="CY186" i="3"/>
  <c r="CX186" i="3"/>
  <c r="CV186" i="3"/>
  <c r="CU186" i="3"/>
  <c r="CT186" i="3"/>
  <c r="CS186" i="3"/>
  <c r="CQ186" i="3"/>
  <c r="CP186" i="3"/>
  <c r="CO186" i="3"/>
  <c r="CN186" i="3"/>
  <c r="CL186" i="3"/>
  <c r="CK186" i="3"/>
  <c r="CJ186" i="3"/>
  <c r="CI186" i="3"/>
  <c r="CG186" i="3"/>
  <c r="CF186" i="3"/>
  <c r="CE186" i="3"/>
  <c r="CD186" i="3"/>
  <c r="CB186" i="3"/>
  <c r="CA186" i="3"/>
  <c r="BZ186" i="3"/>
  <c r="BY186" i="3"/>
  <c r="DP185" i="3"/>
  <c r="DO185" i="3"/>
  <c r="DN185" i="3"/>
  <c r="DM185" i="3"/>
  <c r="DK185" i="3"/>
  <c r="DJ185" i="3"/>
  <c r="DI185" i="3"/>
  <c r="DH185" i="3"/>
  <c r="DF185" i="3"/>
  <c r="DE185" i="3"/>
  <c r="DD185" i="3"/>
  <c r="DC185" i="3"/>
  <c r="DA185" i="3"/>
  <c r="CZ185" i="3"/>
  <c r="CY185" i="3"/>
  <c r="CX185" i="3"/>
  <c r="CV185" i="3"/>
  <c r="CU185" i="3"/>
  <c r="CT185" i="3"/>
  <c r="CS185" i="3"/>
  <c r="CQ185" i="3"/>
  <c r="CP185" i="3"/>
  <c r="CO185" i="3"/>
  <c r="CN185" i="3"/>
  <c r="CL185" i="3"/>
  <c r="CK185" i="3"/>
  <c r="CJ185" i="3"/>
  <c r="CI185" i="3"/>
  <c r="CG185" i="3"/>
  <c r="CF185" i="3"/>
  <c r="CE185" i="3"/>
  <c r="CD185" i="3"/>
  <c r="CB185" i="3"/>
  <c r="CA185" i="3"/>
  <c r="BZ185" i="3"/>
  <c r="BY185" i="3"/>
  <c r="BW186" i="3"/>
  <c r="BV186" i="3"/>
  <c r="BU186" i="3"/>
  <c r="BT186" i="3"/>
  <c r="BW185" i="3"/>
  <c r="BV185" i="3"/>
  <c r="BU185" i="3"/>
  <c r="BT185" i="3"/>
  <c r="BR185" i="3"/>
  <c r="BQ185" i="3"/>
  <c r="BP185" i="3"/>
  <c r="BO185" i="3"/>
  <c r="BM185" i="3"/>
  <c r="BL185" i="3"/>
  <c r="BK185" i="3"/>
  <c r="BJ185" i="3"/>
  <c r="BH185" i="3"/>
  <c r="BG185" i="3"/>
  <c r="BF185" i="3"/>
  <c r="BE185" i="3"/>
  <c r="EF184" i="3"/>
  <c r="EK185" i="3" s="1"/>
  <c r="EF177" i="3"/>
  <c r="EK178" i="3" s="1"/>
  <c r="EA184" i="3"/>
  <c r="EA177" i="3"/>
  <c r="DV184" i="3"/>
  <c r="DQ184" i="3"/>
  <c r="DQ183" i="3" s="1"/>
  <c r="DQ180" i="3" s="1"/>
  <c r="DQ177" i="3"/>
  <c r="DL184" i="3"/>
  <c r="DL183" i="3" s="1"/>
  <c r="DL180" i="3" s="1"/>
  <c r="DL177" i="3"/>
  <c r="DG184" i="3"/>
  <c r="DG183" i="3" s="1"/>
  <c r="DG180" i="3" s="1"/>
  <c r="DG177" i="3"/>
  <c r="DB184" i="3"/>
  <c r="DB183" i="3" s="1"/>
  <c r="DB180" i="3" s="1"/>
  <c r="DB177" i="3"/>
  <c r="CW184" i="3"/>
  <c r="CR184" i="3"/>
  <c r="CM184" i="3"/>
  <c r="CH184" i="3"/>
  <c r="CC184" i="3"/>
  <c r="BX184" i="3"/>
  <c r="BS184" i="3"/>
  <c r="BN184" i="3"/>
  <c r="BI184" i="3"/>
  <c r="BD184" i="3"/>
  <c r="EI180" i="3"/>
  <c r="EH180" i="3"/>
  <c r="EG180" i="3"/>
  <c r="EG190" i="3" s="1"/>
  <c r="EI178" i="3"/>
  <c r="EH178" i="3"/>
  <c r="EG178" i="3"/>
  <c r="EE180" i="3"/>
  <c r="ED180" i="3"/>
  <c r="ED190" i="3" s="1"/>
  <c r="EC180" i="3"/>
  <c r="EC190" i="3" s="1"/>
  <c r="EB180" i="3"/>
  <c r="EB190" i="3" s="1"/>
  <c r="EE178" i="3"/>
  <c r="ED178" i="3"/>
  <c r="EC178" i="3"/>
  <c r="EB178" i="3"/>
  <c r="DZ180" i="3"/>
  <c r="DZ190" i="3" s="1"/>
  <c r="DY180" i="3"/>
  <c r="DY190" i="3" s="1"/>
  <c r="DX180" i="3"/>
  <c r="DX190" i="3" s="1"/>
  <c r="DW180" i="3"/>
  <c r="DW190" i="3" s="1"/>
  <c r="DZ178" i="3"/>
  <c r="DX178" i="3"/>
  <c r="DW178" i="3"/>
  <c r="DU180" i="3"/>
  <c r="DU190" i="3" s="1"/>
  <c r="DS180" i="3"/>
  <c r="DS190" i="3" s="1"/>
  <c r="DR180" i="3"/>
  <c r="DR190" i="3" s="1"/>
  <c r="DU178" i="3"/>
  <c r="DS178" i="3"/>
  <c r="DR178" i="3"/>
  <c r="DP180" i="3"/>
  <c r="DP190" i="3" s="1"/>
  <c r="DO180" i="3"/>
  <c r="DO190" i="3" s="1"/>
  <c r="DN180" i="3"/>
  <c r="DN190" i="3" s="1"/>
  <c r="DM180" i="3"/>
  <c r="DM190" i="3" s="1"/>
  <c r="DP178" i="3"/>
  <c r="DO178" i="3"/>
  <c r="DN178" i="3"/>
  <c r="DM178" i="3"/>
  <c r="DK180" i="3"/>
  <c r="DK190" i="3" s="1"/>
  <c r="DJ180" i="3"/>
  <c r="DJ190" i="3" s="1"/>
  <c r="DI180" i="3"/>
  <c r="DI190" i="3" s="1"/>
  <c r="DH180" i="3"/>
  <c r="DH190" i="3" s="1"/>
  <c r="DK178" i="3"/>
  <c r="DJ178" i="3"/>
  <c r="DI178" i="3"/>
  <c r="DH178" i="3"/>
  <c r="DF180" i="3"/>
  <c r="DF190" i="3" s="1"/>
  <c r="DE180" i="3"/>
  <c r="DE190" i="3" s="1"/>
  <c r="DD180" i="3"/>
  <c r="DD190" i="3" s="1"/>
  <c r="DC180" i="3"/>
  <c r="DC190" i="3" s="1"/>
  <c r="DF178" i="3"/>
  <c r="DE178" i="3"/>
  <c r="DD178" i="3"/>
  <c r="DC178" i="3"/>
  <c r="DA180" i="3"/>
  <c r="DA190" i="3" s="1"/>
  <c r="CZ180" i="3"/>
  <c r="CZ190" i="3" s="1"/>
  <c r="CY180" i="3"/>
  <c r="CY190" i="3" s="1"/>
  <c r="CX180" i="3"/>
  <c r="CX190" i="3" s="1"/>
  <c r="CV180" i="3"/>
  <c r="CV190" i="3" s="1"/>
  <c r="CU180" i="3"/>
  <c r="CU190" i="3" s="1"/>
  <c r="CT180" i="3"/>
  <c r="CT190" i="3" s="1"/>
  <c r="CS180" i="3"/>
  <c r="CS190" i="3" s="1"/>
  <c r="CQ180" i="3"/>
  <c r="CQ190" i="3" s="1"/>
  <c r="CP180" i="3"/>
  <c r="CP190" i="3" s="1"/>
  <c r="CO180" i="3"/>
  <c r="CO190" i="3" s="1"/>
  <c r="CN180" i="3"/>
  <c r="CN190" i="3" s="1"/>
  <c r="CL180" i="3"/>
  <c r="CK180" i="3"/>
  <c r="CJ180" i="3"/>
  <c r="CI180" i="3"/>
  <c r="CG180" i="3"/>
  <c r="CF180" i="3"/>
  <c r="CE180" i="3"/>
  <c r="CD180" i="3"/>
  <c r="CB180" i="3"/>
  <c r="CA180" i="3"/>
  <c r="BZ180" i="3"/>
  <c r="BY180" i="3"/>
  <c r="BW180" i="3"/>
  <c r="BV180" i="3"/>
  <c r="BU180" i="3"/>
  <c r="BT180" i="3"/>
  <c r="DA178" i="3"/>
  <c r="CZ178" i="3"/>
  <c r="CY178" i="3"/>
  <c r="CX178" i="3"/>
  <c r="CV178" i="3"/>
  <c r="CU178" i="3"/>
  <c r="CT178" i="3"/>
  <c r="CS178" i="3"/>
  <c r="CQ178" i="3"/>
  <c r="CP178" i="3"/>
  <c r="CO178" i="3"/>
  <c r="CN178" i="3"/>
  <c r="CL178" i="3"/>
  <c r="CK178" i="3"/>
  <c r="CJ178" i="3"/>
  <c r="CI178" i="3"/>
  <c r="CG178" i="3"/>
  <c r="CF178" i="3"/>
  <c r="CE178" i="3"/>
  <c r="CD178" i="3"/>
  <c r="CB178" i="3"/>
  <c r="CA178" i="3"/>
  <c r="BZ178" i="3"/>
  <c r="BY178" i="3"/>
  <c r="BW178" i="3"/>
  <c r="BV178" i="3"/>
  <c r="BU178" i="3"/>
  <c r="BT178" i="3"/>
  <c r="BR180" i="3"/>
  <c r="BQ180" i="3"/>
  <c r="BP180" i="3"/>
  <c r="BO180" i="3"/>
  <c r="BM180" i="3"/>
  <c r="BL180" i="3"/>
  <c r="BK180" i="3"/>
  <c r="BJ180" i="3"/>
  <c r="BH180" i="3"/>
  <c r="BG180" i="3"/>
  <c r="BF180" i="3"/>
  <c r="BE180" i="3"/>
  <c r="BC180" i="3"/>
  <c r="BB180" i="3"/>
  <c r="BA180" i="3"/>
  <c r="AZ180" i="3"/>
  <c r="AY180" i="3"/>
  <c r="BR178" i="3"/>
  <c r="BQ178" i="3"/>
  <c r="BP178" i="3"/>
  <c r="BO178" i="3"/>
  <c r="BM178" i="3"/>
  <c r="BL178" i="3"/>
  <c r="BK178" i="3"/>
  <c r="BJ178" i="3"/>
  <c r="BH178" i="3"/>
  <c r="BG178" i="3"/>
  <c r="BF178" i="3"/>
  <c r="BE178" i="3"/>
  <c r="BD178" i="3"/>
  <c r="BC178" i="3"/>
  <c r="BB178" i="3"/>
  <c r="BA178" i="3"/>
  <c r="AZ178" i="3"/>
  <c r="AY178" i="3"/>
  <c r="AX178" i="3"/>
  <c r="AW178" i="3"/>
  <c r="AV178" i="3"/>
  <c r="AU178" i="3"/>
  <c r="AT178" i="3"/>
  <c r="AS178" i="3"/>
  <c r="AR178" i="3"/>
  <c r="AQ178" i="3"/>
  <c r="AP178" i="3"/>
  <c r="AO178" i="3"/>
  <c r="AN178" i="3"/>
  <c r="AM178" i="3"/>
  <c r="AL178" i="3"/>
  <c r="AK178" i="3"/>
  <c r="DT177" i="3"/>
  <c r="DT223" i="3" s="1"/>
  <c r="DT210" i="3" s="1"/>
  <c r="DT170" i="3"/>
  <c r="CW177" i="3"/>
  <c r="CR177" i="3"/>
  <c r="CM177" i="3"/>
  <c r="CH177" i="3"/>
  <c r="CC177" i="3"/>
  <c r="BX177" i="3"/>
  <c r="BS177" i="3"/>
  <c r="BN177" i="3"/>
  <c r="BI177" i="3"/>
  <c r="DU170" i="3"/>
  <c r="EI170" i="3"/>
  <c r="EH170" i="3"/>
  <c r="EG170" i="3"/>
  <c r="EE170" i="3"/>
  <c r="ED170" i="3"/>
  <c r="EC170" i="3"/>
  <c r="EB170" i="3"/>
  <c r="DZ170" i="3"/>
  <c r="DY170" i="3"/>
  <c r="DX170" i="3"/>
  <c r="DW170" i="3"/>
  <c r="DS170" i="3"/>
  <c r="DR170" i="3"/>
  <c r="DP170" i="3"/>
  <c r="DO170" i="3"/>
  <c r="DN170" i="3"/>
  <c r="DM170" i="3"/>
  <c r="DK170" i="3"/>
  <c r="DJ170" i="3"/>
  <c r="DI170" i="3"/>
  <c r="DH170" i="3"/>
  <c r="DF170" i="3"/>
  <c r="DE170" i="3"/>
  <c r="DD170" i="3"/>
  <c r="DC170" i="3"/>
  <c r="DA170" i="3"/>
  <c r="CZ170" i="3"/>
  <c r="CY170" i="3"/>
  <c r="CX170" i="3"/>
  <c r="CV170" i="3"/>
  <c r="CU170" i="3"/>
  <c r="CT170" i="3"/>
  <c r="CS170" i="3"/>
  <c r="CQ170" i="3"/>
  <c r="CP170" i="3"/>
  <c r="CO170" i="3"/>
  <c r="CN170" i="3"/>
  <c r="CL170" i="3"/>
  <c r="CK170" i="3"/>
  <c r="CJ170" i="3"/>
  <c r="CI170" i="3"/>
  <c r="CG170" i="3"/>
  <c r="CF170" i="3"/>
  <c r="CE170" i="3"/>
  <c r="CD170" i="3"/>
  <c r="CB170" i="3"/>
  <c r="CA170" i="3"/>
  <c r="BZ170" i="3"/>
  <c r="BY170" i="3"/>
  <c r="BW170" i="3"/>
  <c r="BV170" i="3"/>
  <c r="BU170" i="3"/>
  <c r="BT170" i="3"/>
  <c r="BR170" i="3"/>
  <c r="BQ170" i="3"/>
  <c r="BP170" i="3"/>
  <c r="BO170" i="3"/>
  <c r="BM170" i="3"/>
  <c r="BL170" i="3"/>
  <c r="BK170" i="3"/>
  <c r="BJ170" i="3"/>
  <c r="BH170" i="3"/>
  <c r="BG170" i="3"/>
  <c r="BF170" i="3"/>
  <c r="BE170" i="3"/>
  <c r="BC170" i="3"/>
  <c r="BB170" i="3"/>
  <c r="BA170" i="3"/>
  <c r="AZ170" i="3"/>
  <c r="AX170" i="3"/>
  <c r="AW170" i="3"/>
  <c r="AV170" i="3"/>
  <c r="AU170" i="3"/>
  <c r="AS170" i="3"/>
  <c r="AR170" i="3"/>
  <c r="AQ170" i="3"/>
  <c r="AP170" i="3"/>
  <c r="AO170" i="3"/>
  <c r="AN170" i="3"/>
  <c r="AM170" i="3"/>
  <c r="AL170" i="3"/>
  <c r="AK170" i="3"/>
  <c r="AJ170" i="3"/>
  <c r="AI170" i="3"/>
  <c r="AH170" i="3"/>
  <c r="AG170" i="3"/>
  <c r="AF170" i="3"/>
  <c r="EF169" i="3"/>
  <c r="EK170" i="3" s="1"/>
  <c r="EA169" i="3"/>
  <c r="DV169" i="3"/>
  <c r="DQ169" i="3"/>
  <c r="DL169" i="3"/>
  <c r="DG169" i="3"/>
  <c r="DB169" i="3"/>
  <c r="CW169" i="3"/>
  <c r="CR169" i="3"/>
  <c r="CM169" i="3"/>
  <c r="CH169" i="3"/>
  <c r="CC169" i="3"/>
  <c r="BX169" i="3"/>
  <c r="BS169" i="3"/>
  <c r="BN169" i="3"/>
  <c r="BI169" i="3"/>
  <c r="BD169" i="3"/>
  <c r="AY169" i="3"/>
  <c r="AT169" i="3"/>
  <c r="AT170" i="3" s="1"/>
  <c r="ET169" i="3"/>
  <c r="EH165" i="3"/>
  <c r="EG165" i="3"/>
  <c r="EG166" i="3" s="1"/>
  <c r="EL167" i="3" s="1"/>
  <c r="FN167" i="3" s="1"/>
  <c r="DW165" i="3"/>
  <c r="DW166" i="3" s="1"/>
  <c r="DN165" i="3"/>
  <c r="DN166" i="3" s="1"/>
  <c r="DM165" i="3"/>
  <c r="DM166" i="3" s="1"/>
  <c r="DM174" i="3" s="1"/>
  <c r="DJ165" i="3"/>
  <c r="DJ166" i="3" s="1"/>
  <c r="DI165" i="3"/>
  <c r="DI166" i="3" s="1"/>
  <c r="DI174" i="3" s="1"/>
  <c r="DH165" i="3"/>
  <c r="DH166" i="3" s="1"/>
  <c r="DF165" i="3"/>
  <c r="DF166" i="3" s="1"/>
  <c r="DE165" i="3"/>
  <c r="DE166" i="3" s="1"/>
  <c r="DE174" i="3" s="1"/>
  <c r="DD165" i="3"/>
  <c r="DD166" i="3" s="1"/>
  <c r="DD174" i="3" s="1"/>
  <c r="DC165" i="3"/>
  <c r="DC166" i="3" s="1"/>
  <c r="DA165" i="3"/>
  <c r="DA166" i="3" s="1"/>
  <c r="DA174" i="3" s="1"/>
  <c r="CZ165" i="3"/>
  <c r="CZ166" i="3" s="1"/>
  <c r="CY165" i="3"/>
  <c r="CY166" i="3" s="1"/>
  <c r="CX165" i="3"/>
  <c r="EF164" i="3"/>
  <c r="EA164" i="3"/>
  <c r="DV164" i="3"/>
  <c r="DQ164" i="3"/>
  <c r="DL164" i="3"/>
  <c r="DG164" i="3"/>
  <c r="DG163" i="3"/>
  <c r="DB164" i="3"/>
  <c r="DB163" i="3"/>
  <c r="DK163" i="3"/>
  <c r="DL163" i="3" s="1"/>
  <c r="DK160" i="3"/>
  <c r="EI163" i="3"/>
  <c r="EK163" i="3" s="1"/>
  <c r="EE163" i="3"/>
  <c r="ED163" i="3"/>
  <c r="ED165" i="3" s="1"/>
  <c r="ED166" i="3" s="1"/>
  <c r="ED174" i="3" s="1"/>
  <c r="EC163" i="3"/>
  <c r="EC165" i="3" s="1"/>
  <c r="EC166" i="3" s="1"/>
  <c r="EB163" i="3"/>
  <c r="EB165" i="3" s="1"/>
  <c r="EB166" i="3" s="1"/>
  <c r="DZ163" i="3"/>
  <c r="DZ165" i="3" s="1"/>
  <c r="DZ166" i="3" s="1"/>
  <c r="DY163" i="3"/>
  <c r="DY165" i="3" s="1"/>
  <c r="DY166" i="3" s="1"/>
  <c r="DY174" i="3" s="1"/>
  <c r="DX163" i="3"/>
  <c r="DW160" i="3"/>
  <c r="DU163" i="3"/>
  <c r="DU165" i="3" s="1"/>
  <c r="DU166" i="3" s="1"/>
  <c r="DT163" i="3"/>
  <c r="DT165" i="3" s="1"/>
  <c r="DT166" i="3" s="1"/>
  <c r="DS163" i="3"/>
  <c r="DS165" i="3" s="1"/>
  <c r="DS166" i="3" s="1"/>
  <c r="DR163" i="3"/>
  <c r="DP163" i="3"/>
  <c r="DP165" i="3" s="1"/>
  <c r="DP166" i="3" s="1"/>
  <c r="DO163" i="3"/>
  <c r="DO165" i="3" s="1"/>
  <c r="DO166" i="3" s="1"/>
  <c r="BC162" i="3"/>
  <c r="BB162" i="3"/>
  <c r="BA162" i="3"/>
  <c r="AZ162" i="3"/>
  <c r="AX162" i="3"/>
  <c r="AW162" i="3"/>
  <c r="AV162" i="3"/>
  <c r="AU162" i="3"/>
  <c r="AS162" i="3"/>
  <c r="AR162" i="3"/>
  <c r="AQ162" i="3"/>
  <c r="AP162" i="3"/>
  <c r="AN162" i="3"/>
  <c r="AM162" i="3"/>
  <c r="AL162" i="3"/>
  <c r="AK162" i="3"/>
  <c r="AI162" i="3"/>
  <c r="AH162" i="3"/>
  <c r="AG162" i="3"/>
  <c r="AF162" i="3"/>
  <c r="AD162" i="3"/>
  <c r="AC162" i="3"/>
  <c r="AB162" i="3"/>
  <c r="AA162" i="3"/>
  <c r="Y162" i="3"/>
  <c r="X162" i="3"/>
  <c r="W162" i="3"/>
  <c r="V162" i="3"/>
  <c r="T162" i="3"/>
  <c r="S162" i="3"/>
  <c r="R162" i="3"/>
  <c r="Q162" i="3"/>
  <c r="EI160" i="3"/>
  <c r="EH160" i="3"/>
  <c r="EG160" i="3"/>
  <c r="EE160" i="3"/>
  <c r="ED160" i="3"/>
  <c r="EC160" i="3"/>
  <c r="EB160" i="3"/>
  <c r="DZ160" i="3"/>
  <c r="DY160" i="3"/>
  <c r="DX160" i="3"/>
  <c r="DU160" i="3"/>
  <c r="DT160" i="3"/>
  <c r="DS160" i="3"/>
  <c r="DR160" i="3"/>
  <c r="DP160" i="3"/>
  <c r="DO160" i="3"/>
  <c r="DN160" i="3"/>
  <c r="DM160" i="3"/>
  <c r="DJ160" i="3"/>
  <c r="DI160" i="3"/>
  <c r="DH160" i="3"/>
  <c r="DF160" i="3"/>
  <c r="DE160" i="3"/>
  <c r="DD160" i="3"/>
  <c r="DC160" i="3"/>
  <c r="DA160" i="3"/>
  <c r="CZ160" i="3"/>
  <c r="CY160" i="3"/>
  <c r="CX160" i="3"/>
  <c r="CV160" i="3"/>
  <c r="CU160" i="3"/>
  <c r="CT160" i="3"/>
  <c r="CS160" i="3"/>
  <c r="CQ160" i="3"/>
  <c r="CP160" i="3"/>
  <c r="CO160" i="3"/>
  <c r="CN160" i="3"/>
  <c r="CL160" i="3"/>
  <c r="CK160" i="3"/>
  <c r="CJ160" i="3"/>
  <c r="CI160" i="3"/>
  <c r="CG160" i="3"/>
  <c r="CF160" i="3"/>
  <c r="CE160" i="3"/>
  <c r="CD160" i="3"/>
  <c r="CB160" i="3"/>
  <c r="CA160" i="3"/>
  <c r="BZ160" i="3"/>
  <c r="BY160" i="3"/>
  <c r="BW160" i="3"/>
  <c r="BV160" i="3"/>
  <c r="BU160" i="3"/>
  <c r="BT160" i="3"/>
  <c r="BR160" i="3"/>
  <c r="BQ160" i="3"/>
  <c r="BP160" i="3"/>
  <c r="BO160" i="3"/>
  <c r="BM160" i="3"/>
  <c r="BL160" i="3"/>
  <c r="BK160" i="3"/>
  <c r="BJ160" i="3"/>
  <c r="BH160" i="3"/>
  <c r="BG160" i="3"/>
  <c r="BF160" i="3"/>
  <c r="BE160" i="3"/>
  <c r="BD160" i="3"/>
  <c r="BC160" i="3"/>
  <c r="BB160" i="3"/>
  <c r="BA160" i="3"/>
  <c r="AZ160" i="3"/>
  <c r="AY160" i="3"/>
  <c r="AX160" i="3"/>
  <c r="AW160" i="3"/>
  <c r="AV160" i="3"/>
  <c r="AU160" i="3"/>
  <c r="AT160" i="3"/>
  <c r="AS160" i="3"/>
  <c r="AR160" i="3"/>
  <c r="AQ160" i="3"/>
  <c r="AP160" i="3"/>
  <c r="AO160" i="3"/>
  <c r="AN160" i="3"/>
  <c r="AM160" i="3"/>
  <c r="AL160" i="3"/>
  <c r="AK160" i="3"/>
  <c r="FQ208" i="3"/>
  <c r="FQ192" i="3"/>
  <c r="FQ190" i="3"/>
  <c r="FQ185" i="3"/>
  <c r="FQ178" i="3"/>
  <c r="EF159" i="3"/>
  <c r="EK160" i="3" s="1"/>
  <c r="EA159" i="3"/>
  <c r="DV159" i="3"/>
  <c r="DS162" i="3" s="1"/>
  <c r="DQ159" i="3"/>
  <c r="DP162" i="3" s="1"/>
  <c r="DL159" i="3"/>
  <c r="DK162" i="3" s="1"/>
  <c r="DG159" i="3"/>
  <c r="DF162" i="3" s="1"/>
  <c r="DB159" i="3"/>
  <c r="DA162" i="3" s="1"/>
  <c r="CW159" i="3"/>
  <c r="CV162" i="3" s="1"/>
  <c r="CR159" i="3"/>
  <c r="CQ162" i="3" s="1"/>
  <c r="CM159" i="3"/>
  <c r="CL162" i="3" s="1"/>
  <c r="CH159" i="3"/>
  <c r="CG162" i="3" s="1"/>
  <c r="CC159" i="3"/>
  <c r="CB162" i="3" s="1"/>
  <c r="BX159" i="3"/>
  <c r="BW162" i="3" s="1"/>
  <c r="BS159" i="3"/>
  <c r="BR162" i="3" s="1"/>
  <c r="BN159" i="3"/>
  <c r="BM162" i="3" s="1"/>
  <c r="BI159" i="3"/>
  <c r="BH162" i="3" s="1"/>
  <c r="EH158" i="3"/>
  <c r="EG158" i="3"/>
  <c r="EE158" i="3"/>
  <c r="EE154" i="3"/>
  <c r="EY155" i="3"/>
  <c r="EX155" i="3"/>
  <c r="EW155" i="3"/>
  <c r="EV155" i="3"/>
  <c r="EI154" i="3"/>
  <c r="DZ154" i="3"/>
  <c r="DU154" i="3"/>
  <c r="DP154" i="3"/>
  <c r="DO154" i="3"/>
  <c r="DN154" i="3"/>
  <c r="DM154" i="3"/>
  <c r="DK154" i="3"/>
  <c r="DJ154" i="3"/>
  <c r="DI154" i="3"/>
  <c r="DH154" i="3"/>
  <c r="DF154" i="3"/>
  <c r="DE154" i="3"/>
  <c r="DD154" i="3"/>
  <c r="DC154" i="3"/>
  <c r="DA154" i="3"/>
  <c r="CZ154" i="3"/>
  <c r="CY154" i="3"/>
  <c r="CX154" i="3"/>
  <c r="CV154" i="3"/>
  <c r="CU154" i="3"/>
  <c r="CT154" i="3"/>
  <c r="CS154" i="3"/>
  <c r="CQ154" i="3"/>
  <c r="CP154" i="3"/>
  <c r="CO154" i="3"/>
  <c r="CN154" i="3"/>
  <c r="CL154" i="3"/>
  <c r="CK154" i="3"/>
  <c r="CJ154" i="3"/>
  <c r="CI154" i="3"/>
  <c r="CG154" i="3"/>
  <c r="CF154" i="3"/>
  <c r="CE154" i="3"/>
  <c r="CD154" i="3"/>
  <c r="CB154" i="3"/>
  <c r="CA154" i="3"/>
  <c r="BZ154" i="3"/>
  <c r="BY154" i="3"/>
  <c r="BW154" i="3"/>
  <c r="BV154" i="3"/>
  <c r="BU154" i="3"/>
  <c r="BT154" i="3"/>
  <c r="BR154" i="3"/>
  <c r="BQ154" i="3"/>
  <c r="BP154" i="3"/>
  <c r="BO154" i="3"/>
  <c r="BM154" i="3"/>
  <c r="BL154" i="3"/>
  <c r="BK154" i="3"/>
  <c r="BJ154" i="3"/>
  <c r="BH154" i="3"/>
  <c r="BG154" i="3"/>
  <c r="BF154" i="3"/>
  <c r="BE154" i="3"/>
  <c r="BD154" i="3"/>
  <c r="BC154" i="3"/>
  <c r="BB154" i="3"/>
  <c r="BA154" i="3"/>
  <c r="AZ154" i="3"/>
  <c r="AY154" i="3"/>
  <c r="AX154" i="3"/>
  <c r="AW154" i="3"/>
  <c r="AV154" i="3"/>
  <c r="AU154" i="3"/>
  <c r="AT154" i="3"/>
  <c r="AS154" i="3"/>
  <c r="AR154" i="3"/>
  <c r="AQ154" i="3"/>
  <c r="AP154" i="3"/>
  <c r="AO154" i="3"/>
  <c r="AN154" i="3"/>
  <c r="AM154" i="3"/>
  <c r="AL154" i="3"/>
  <c r="AK154" i="3"/>
  <c r="AJ154" i="3"/>
  <c r="AI154" i="3"/>
  <c r="AH154" i="3"/>
  <c r="AG154" i="3"/>
  <c r="AF154" i="3"/>
  <c r="AE154" i="3"/>
  <c r="AD154" i="3"/>
  <c r="AC154" i="3"/>
  <c r="AB154" i="3"/>
  <c r="AA154" i="3"/>
  <c r="Z154" i="3"/>
  <c r="Y154" i="3"/>
  <c r="X154" i="3"/>
  <c r="W154" i="3"/>
  <c r="V154" i="3"/>
  <c r="EF152" i="3"/>
  <c r="EF139" i="3"/>
  <c r="EC153" i="3"/>
  <c r="EH154" i="3" s="1"/>
  <c r="EB153" i="3"/>
  <c r="DY153" i="3"/>
  <c r="DX153" i="3"/>
  <c r="DW153" i="3"/>
  <c r="DT153" i="3"/>
  <c r="DT154" i="3" s="1"/>
  <c r="DS153" i="3"/>
  <c r="DS154" i="3" s="1"/>
  <c r="DR153" i="3"/>
  <c r="DQ153" i="3"/>
  <c r="DL153" i="3"/>
  <c r="DL152" i="3"/>
  <c r="DG153" i="3"/>
  <c r="DB153" i="3"/>
  <c r="CW153" i="3"/>
  <c r="CW152" i="3"/>
  <c r="CR153" i="3"/>
  <c r="CR152" i="3"/>
  <c r="CM153" i="3"/>
  <c r="CH153" i="3"/>
  <c r="CC153" i="3"/>
  <c r="BX153" i="3"/>
  <c r="BS153" i="3"/>
  <c r="BN153" i="3"/>
  <c r="BI153" i="3"/>
  <c r="EA152" i="3"/>
  <c r="DV152" i="3"/>
  <c r="DQ152" i="3"/>
  <c r="FQ153" i="3"/>
  <c r="EI140" i="3"/>
  <c r="EH140" i="3"/>
  <c r="EG140" i="3"/>
  <c r="EE140" i="3"/>
  <c r="ED140" i="3"/>
  <c r="EC140" i="3"/>
  <c r="EB140" i="3"/>
  <c r="DZ140" i="3"/>
  <c r="DY140" i="3"/>
  <c r="DX140" i="3"/>
  <c r="DW140" i="3"/>
  <c r="DU140" i="3"/>
  <c r="DT140" i="3"/>
  <c r="DS140" i="3"/>
  <c r="DR140" i="3"/>
  <c r="DP140" i="3"/>
  <c r="DO140" i="3"/>
  <c r="DN140" i="3"/>
  <c r="DM140" i="3"/>
  <c r="DK140" i="3"/>
  <c r="DJ140" i="3"/>
  <c r="DI140" i="3"/>
  <c r="DH140" i="3"/>
  <c r="DF140" i="3"/>
  <c r="DE140" i="3"/>
  <c r="DD140" i="3"/>
  <c r="DC140" i="3"/>
  <c r="DA140" i="3"/>
  <c r="CZ140" i="3"/>
  <c r="CY140" i="3"/>
  <c r="CX140" i="3"/>
  <c r="CU140" i="3"/>
  <c r="CT140" i="3"/>
  <c r="CS140" i="3"/>
  <c r="CP140" i="3"/>
  <c r="CO140" i="3"/>
  <c r="CN140" i="3"/>
  <c r="CL140" i="3"/>
  <c r="CK140" i="3"/>
  <c r="CJ140" i="3"/>
  <c r="CI140" i="3"/>
  <c r="EA139" i="3"/>
  <c r="DV139" i="3"/>
  <c r="DQ139" i="3"/>
  <c r="DL139" i="3"/>
  <c r="DG139" i="3"/>
  <c r="DB139" i="3"/>
  <c r="CW139" i="3"/>
  <c r="CQ139" i="3"/>
  <c r="CR139" i="3" s="1"/>
  <c r="CM139" i="3"/>
  <c r="CH139" i="3"/>
  <c r="CG137" i="3"/>
  <c r="CG138" i="3" s="1"/>
  <c r="CF137" i="3"/>
  <c r="CF138" i="3" s="1"/>
  <c r="CE137" i="3"/>
  <c r="CE138" i="3" s="1"/>
  <c r="CD137" i="3"/>
  <c r="CD138" i="3" s="1"/>
  <c r="FQ139" i="3"/>
  <c r="EY137" i="3"/>
  <c r="EX137" i="3"/>
  <c r="EW137" i="3"/>
  <c r="EV137" i="3"/>
  <c r="EI137" i="3"/>
  <c r="EH137" i="3"/>
  <c r="EG137" i="3"/>
  <c r="EG138" i="3" s="1"/>
  <c r="EE137" i="3"/>
  <c r="ED137" i="3"/>
  <c r="ED138" i="3" s="1"/>
  <c r="EC137" i="3"/>
  <c r="EC138" i="3" s="1"/>
  <c r="EB137" i="3"/>
  <c r="DZ137" i="3"/>
  <c r="DZ138" i="3" s="1"/>
  <c r="DY137" i="3"/>
  <c r="DX137" i="3"/>
  <c r="DW137" i="3"/>
  <c r="DW138" i="3" s="1"/>
  <c r="DU137" i="3"/>
  <c r="DU138" i="3" s="1"/>
  <c r="DT137" i="3"/>
  <c r="DS137" i="3"/>
  <c r="DS138" i="3" s="1"/>
  <c r="DR137" i="3"/>
  <c r="DR138" i="3" s="1"/>
  <c r="DP137" i="3"/>
  <c r="DP138" i="3" s="1"/>
  <c r="DO137" i="3"/>
  <c r="DO138" i="3" s="1"/>
  <c r="DN137" i="3"/>
  <c r="DN138" i="3" s="1"/>
  <c r="DM137" i="3"/>
  <c r="DM138" i="3" s="1"/>
  <c r="DK137" i="3"/>
  <c r="DK138" i="3" s="1"/>
  <c r="DJ137" i="3"/>
  <c r="DJ138" i="3" s="1"/>
  <c r="DI137" i="3"/>
  <c r="DI138" i="3" s="1"/>
  <c r="DH137" i="3"/>
  <c r="DH138" i="3" s="1"/>
  <c r="DF137" i="3"/>
  <c r="DF138" i="3" s="1"/>
  <c r="DE137" i="3"/>
  <c r="DE138" i="3" s="1"/>
  <c r="DD137" i="3"/>
  <c r="DD138" i="3" s="1"/>
  <c r="DC137" i="3"/>
  <c r="DC138" i="3" s="1"/>
  <c r="DA137" i="3"/>
  <c r="DA138" i="3" s="1"/>
  <c r="CZ137" i="3"/>
  <c r="CZ138" i="3" s="1"/>
  <c r="CY137" i="3"/>
  <c r="CY138" i="3" s="1"/>
  <c r="CX137" i="3"/>
  <c r="CX138" i="3" s="1"/>
  <c r="CU137" i="3"/>
  <c r="CU138" i="3" s="1"/>
  <c r="CT137" i="3"/>
  <c r="CT138" i="3" s="1"/>
  <c r="CS137" i="3"/>
  <c r="CS138" i="3" s="1"/>
  <c r="CP137" i="3"/>
  <c r="CP138" i="3" s="1"/>
  <c r="CO137" i="3"/>
  <c r="CO138" i="3" s="1"/>
  <c r="CN137" i="3"/>
  <c r="CN138" i="3" s="1"/>
  <c r="CL137" i="3"/>
  <c r="CL138" i="3" s="1"/>
  <c r="CK137" i="3"/>
  <c r="CK138" i="3" s="1"/>
  <c r="CJ137" i="3"/>
  <c r="CJ138" i="3" s="1"/>
  <c r="CI137" i="3"/>
  <c r="CI138" i="3" s="1"/>
  <c r="FV132" i="3"/>
  <c r="FU129" i="3" s="1"/>
  <c r="AS126" i="3"/>
  <c r="AR126" i="3"/>
  <c r="AQ126" i="3"/>
  <c r="AP126" i="3"/>
  <c r="AN126" i="3"/>
  <c r="AM126" i="3"/>
  <c r="AL126" i="3"/>
  <c r="AK126" i="3"/>
  <c r="AI126" i="3"/>
  <c r="AH126" i="3"/>
  <c r="AG126" i="3"/>
  <c r="AF126" i="3"/>
  <c r="AD126" i="3"/>
  <c r="AC126" i="3"/>
  <c r="AB126" i="3"/>
  <c r="AA126" i="3"/>
  <c r="Y126" i="3"/>
  <c r="X126" i="3"/>
  <c r="W126" i="3"/>
  <c r="V126" i="3"/>
  <c r="T126" i="3"/>
  <c r="S126" i="3"/>
  <c r="R126" i="3"/>
  <c r="Q126" i="3"/>
  <c r="EI123" i="3"/>
  <c r="EH123" i="3"/>
  <c r="EG123" i="3"/>
  <c r="EE123" i="3"/>
  <c r="ED123" i="3"/>
  <c r="EC123" i="3"/>
  <c r="EB123" i="3"/>
  <c r="DZ123" i="3"/>
  <c r="DY123" i="3"/>
  <c r="DX123" i="3"/>
  <c r="DW123" i="3"/>
  <c r="DU123" i="3"/>
  <c r="DT123" i="3"/>
  <c r="DS123" i="3"/>
  <c r="DR123" i="3"/>
  <c r="DP123" i="3"/>
  <c r="DO123" i="3"/>
  <c r="DN123" i="3"/>
  <c r="DM123" i="3"/>
  <c r="DK123" i="3"/>
  <c r="DJ123" i="3"/>
  <c r="DI123" i="3"/>
  <c r="DH123" i="3"/>
  <c r="DF123" i="3"/>
  <c r="DE123" i="3"/>
  <c r="DD123" i="3"/>
  <c r="DC123" i="3"/>
  <c r="DA123" i="3"/>
  <c r="CZ123" i="3"/>
  <c r="CY123" i="3"/>
  <c r="CX123" i="3"/>
  <c r="CV123" i="3"/>
  <c r="CU123" i="3"/>
  <c r="CT123" i="3"/>
  <c r="CS123" i="3"/>
  <c r="CQ123" i="3"/>
  <c r="CP123" i="3"/>
  <c r="CO123" i="3"/>
  <c r="CN123" i="3"/>
  <c r="CL123" i="3"/>
  <c r="CK123" i="3"/>
  <c r="CJ123" i="3"/>
  <c r="CI123" i="3"/>
  <c r="CG123" i="3"/>
  <c r="CF123" i="3"/>
  <c r="CE123" i="3"/>
  <c r="CD123" i="3"/>
  <c r="CB123" i="3"/>
  <c r="CA123" i="3"/>
  <c r="BZ123" i="3"/>
  <c r="BY123" i="3"/>
  <c r="BW123" i="3"/>
  <c r="BV123" i="3"/>
  <c r="BU123" i="3"/>
  <c r="BT123" i="3"/>
  <c r="BR123" i="3"/>
  <c r="BQ123" i="3"/>
  <c r="BP123" i="3"/>
  <c r="BO123" i="3"/>
  <c r="BM123" i="3"/>
  <c r="BL123" i="3"/>
  <c r="BK123" i="3"/>
  <c r="BJ123" i="3"/>
  <c r="BH123" i="3"/>
  <c r="BG123" i="3"/>
  <c r="BF123" i="3"/>
  <c r="BE123" i="3"/>
  <c r="BC123" i="3"/>
  <c r="BB123" i="3"/>
  <c r="BA123" i="3"/>
  <c r="AZ123" i="3"/>
  <c r="AX123" i="3"/>
  <c r="AW123" i="3"/>
  <c r="AV123" i="3"/>
  <c r="AU123" i="3"/>
  <c r="AS123" i="3"/>
  <c r="AR123" i="3"/>
  <c r="AQ123" i="3"/>
  <c r="AP123" i="3"/>
  <c r="AN123" i="3"/>
  <c r="AM123" i="3"/>
  <c r="AL123" i="3"/>
  <c r="AK123" i="3"/>
  <c r="AI123" i="3"/>
  <c r="AH123" i="3"/>
  <c r="AG123" i="3"/>
  <c r="AF123" i="3"/>
  <c r="AD123" i="3"/>
  <c r="AC123" i="3"/>
  <c r="AB123" i="3"/>
  <c r="AA123" i="3"/>
  <c r="Y123" i="3"/>
  <c r="X123" i="3"/>
  <c r="W123" i="3"/>
  <c r="V123" i="3"/>
  <c r="T123" i="3"/>
  <c r="S123" i="3"/>
  <c r="R123" i="3"/>
  <c r="Q123" i="3"/>
  <c r="FQ117" i="3"/>
  <c r="EI118" i="3"/>
  <c r="EH118" i="3"/>
  <c r="EG118" i="3"/>
  <c r="EE118" i="3"/>
  <c r="ED118" i="3"/>
  <c r="EC118" i="3"/>
  <c r="EB118" i="3"/>
  <c r="DZ118" i="3"/>
  <c r="DY118" i="3"/>
  <c r="DX118" i="3"/>
  <c r="DW118" i="3"/>
  <c r="DU118" i="3"/>
  <c r="DT118" i="3"/>
  <c r="DS118" i="3"/>
  <c r="DR118" i="3"/>
  <c r="DP118" i="3"/>
  <c r="DO118" i="3"/>
  <c r="DN118" i="3"/>
  <c r="DM118" i="3"/>
  <c r="DK118" i="3"/>
  <c r="DJ118" i="3"/>
  <c r="DI118" i="3"/>
  <c r="DH118" i="3"/>
  <c r="DF118" i="3"/>
  <c r="DE118" i="3"/>
  <c r="DD118" i="3"/>
  <c r="DC118" i="3"/>
  <c r="DA118" i="3"/>
  <c r="CZ118" i="3"/>
  <c r="CY118" i="3"/>
  <c r="CX118" i="3"/>
  <c r="CV118" i="3"/>
  <c r="CU118" i="3"/>
  <c r="CT118" i="3"/>
  <c r="CS118" i="3"/>
  <c r="CQ118" i="3"/>
  <c r="CP118" i="3"/>
  <c r="CO118" i="3"/>
  <c r="CN118" i="3"/>
  <c r="CL118" i="3"/>
  <c r="CK118" i="3"/>
  <c r="CJ118" i="3"/>
  <c r="CI118" i="3"/>
  <c r="CG118" i="3"/>
  <c r="CF118" i="3"/>
  <c r="CE118" i="3"/>
  <c r="CD118" i="3"/>
  <c r="CB118" i="3"/>
  <c r="CA118" i="3"/>
  <c r="BZ118" i="3"/>
  <c r="BY118" i="3"/>
  <c r="BW118" i="3"/>
  <c r="BV118" i="3"/>
  <c r="BU118" i="3"/>
  <c r="BT118" i="3"/>
  <c r="BR118" i="3"/>
  <c r="BQ118" i="3"/>
  <c r="BP118" i="3"/>
  <c r="BO118" i="3"/>
  <c r="BM118" i="3"/>
  <c r="BL118" i="3"/>
  <c r="BK118" i="3"/>
  <c r="BJ118" i="3"/>
  <c r="BH118" i="3"/>
  <c r="BG118" i="3"/>
  <c r="BF118" i="3"/>
  <c r="BE118" i="3"/>
  <c r="BC118" i="3"/>
  <c r="BB118" i="3"/>
  <c r="BA118" i="3"/>
  <c r="AZ118" i="3"/>
  <c r="AX118" i="3"/>
  <c r="AW118" i="3"/>
  <c r="AV118" i="3"/>
  <c r="AU118" i="3"/>
  <c r="AS118" i="3"/>
  <c r="AR118" i="3"/>
  <c r="AQ118" i="3"/>
  <c r="AP118" i="3"/>
  <c r="AN118" i="3"/>
  <c r="AM118" i="3"/>
  <c r="AL118" i="3"/>
  <c r="AK118" i="3"/>
  <c r="FP117" i="3"/>
  <c r="FP115" i="3"/>
  <c r="FP113" i="3"/>
  <c r="FP111" i="3"/>
  <c r="EF117" i="3"/>
  <c r="EK118" i="3" s="1"/>
  <c r="EF116" i="3"/>
  <c r="EF115" i="3"/>
  <c r="EF114" i="3"/>
  <c r="EF113" i="3"/>
  <c r="EF112" i="3"/>
  <c r="EF111" i="3"/>
  <c r="EA117" i="3"/>
  <c r="EA116" i="3"/>
  <c r="EA115" i="3"/>
  <c r="EA114" i="3"/>
  <c r="EA113" i="3"/>
  <c r="EA112" i="3"/>
  <c r="EA111" i="3"/>
  <c r="DV117" i="3"/>
  <c r="DV116" i="3"/>
  <c r="DV115" i="3"/>
  <c r="DV114" i="3"/>
  <c r="DV113" i="3"/>
  <c r="DV112" i="3"/>
  <c r="DV111" i="3"/>
  <c r="DQ117" i="3"/>
  <c r="DQ116" i="3"/>
  <c r="DQ115" i="3"/>
  <c r="DQ114" i="3"/>
  <c r="DQ113" i="3"/>
  <c r="DQ112" i="3"/>
  <c r="DQ111" i="3"/>
  <c r="DL117" i="3"/>
  <c r="DL116" i="3"/>
  <c r="DL115" i="3"/>
  <c r="DL114" i="3"/>
  <c r="DL113" i="3"/>
  <c r="DL112" i="3"/>
  <c r="DL111" i="3"/>
  <c r="DG117" i="3"/>
  <c r="DG116" i="3"/>
  <c r="DG115" i="3"/>
  <c r="DG114" i="3"/>
  <c r="DG113" i="3"/>
  <c r="DG112" i="3"/>
  <c r="DG111" i="3"/>
  <c r="DB117" i="3"/>
  <c r="DB116" i="3"/>
  <c r="DB115" i="3"/>
  <c r="DB114" i="3"/>
  <c r="DB113" i="3"/>
  <c r="DB112" i="3"/>
  <c r="DB111" i="3"/>
  <c r="CW117" i="3"/>
  <c r="CW116" i="3"/>
  <c r="CW115" i="3"/>
  <c r="CW114" i="3"/>
  <c r="CW113" i="3"/>
  <c r="CW112" i="3"/>
  <c r="CW111" i="3"/>
  <c r="CR117" i="3"/>
  <c r="CR116" i="3"/>
  <c r="CR115" i="3"/>
  <c r="CR114" i="3"/>
  <c r="CR113" i="3"/>
  <c r="CR112" i="3"/>
  <c r="CR111" i="3"/>
  <c r="CM117" i="3"/>
  <c r="CM116" i="3"/>
  <c r="CM115" i="3"/>
  <c r="CM114" i="3"/>
  <c r="CM113" i="3"/>
  <c r="CM112" i="3"/>
  <c r="CM111" i="3"/>
  <c r="CH117" i="3"/>
  <c r="CH116" i="3"/>
  <c r="CH115" i="3"/>
  <c r="CH114" i="3"/>
  <c r="CH113" i="3"/>
  <c r="CH112" i="3"/>
  <c r="CH111" i="3"/>
  <c r="CC117" i="3"/>
  <c r="CC116" i="3"/>
  <c r="CC115" i="3"/>
  <c r="CC114" i="3"/>
  <c r="CC112" i="3"/>
  <c r="CC111" i="3"/>
  <c r="BX117" i="3"/>
  <c r="BX116" i="3"/>
  <c r="BX115" i="3"/>
  <c r="BX114" i="3"/>
  <c r="BX113" i="3"/>
  <c r="BX112" i="3"/>
  <c r="BX111" i="3"/>
  <c r="BS117" i="3"/>
  <c r="BS116" i="3"/>
  <c r="BS115" i="3"/>
  <c r="BS114" i="3"/>
  <c r="BS113" i="3"/>
  <c r="BS112" i="3"/>
  <c r="BS111" i="3"/>
  <c r="BN117" i="3"/>
  <c r="BN116" i="3"/>
  <c r="BN115" i="3"/>
  <c r="BN114" i="3"/>
  <c r="BN112" i="3"/>
  <c r="BN111" i="3"/>
  <c r="BI117" i="3"/>
  <c r="BI116" i="3"/>
  <c r="BI115" i="3"/>
  <c r="BI114" i="3"/>
  <c r="BI112" i="3"/>
  <c r="BI111" i="3"/>
  <c r="BD117" i="3"/>
  <c r="BD116" i="3"/>
  <c r="AY117" i="3"/>
  <c r="AY116" i="3"/>
  <c r="AT117" i="3"/>
  <c r="AO117" i="3"/>
  <c r="AJ117" i="3"/>
  <c r="AE117" i="3"/>
  <c r="Z117" i="3"/>
  <c r="U117" i="3"/>
  <c r="BD114" i="3"/>
  <c r="BD113" i="3"/>
  <c r="BD112" i="3"/>
  <c r="BD111" i="3"/>
  <c r="AY114" i="3"/>
  <c r="AY113" i="3"/>
  <c r="AY112" i="3"/>
  <c r="AY111" i="3"/>
  <c r="BY113" i="3"/>
  <c r="CC113" i="3" s="1"/>
  <c r="BM113" i="3"/>
  <c r="BM101" i="3" s="1"/>
  <c r="BL113" i="3"/>
  <c r="BL101" i="3" s="1"/>
  <c r="BK113" i="3"/>
  <c r="BK101" i="3" s="1"/>
  <c r="BJ113" i="3"/>
  <c r="BH113" i="3"/>
  <c r="BH101" i="3" s="1"/>
  <c r="BG113" i="3"/>
  <c r="BG101" i="3" s="1"/>
  <c r="BF113" i="3"/>
  <c r="BF101" i="3" s="1"/>
  <c r="BE113" i="3"/>
  <c r="BE101" i="3" s="1"/>
  <c r="EU100" i="3"/>
  <c r="EZ100" i="3"/>
  <c r="AT107" i="3"/>
  <c r="AS107" i="3"/>
  <c r="AR107" i="3"/>
  <c r="AQ107" i="3"/>
  <c r="AP107" i="3"/>
  <c r="AO107" i="3"/>
  <c r="AN107" i="3"/>
  <c r="AM107" i="3"/>
  <c r="AL107" i="3"/>
  <c r="AK107" i="3"/>
  <c r="AJ107" i="3"/>
  <c r="AI107" i="3"/>
  <c r="AH107" i="3"/>
  <c r="AG107" i="3"/>
  <c r="AF107" i="3"/>
  <c r="AE107" i="3"/>
  <c r="AD107" i="3"/>
  <c r="AC107" i="3"/>
  <c r="AB107" i="3"/>
  <c r="AA107" i="3"/>
  <c r="Z107" i="3"/>
  <c r="Y107" i="3"/>
  <c r="X107" i="3"/>
  <c r="W107" i="3"/>
  <c r="V107" i="3"/>
  <c r="U107" i="3"/>
  <c r="T107" i="3"/>
  <c r="S107" i="3"/>
  <c r="R107" i="3"/>
  <c r="Q107" i="3"/>
  <c r="AT102" i="3"/>
  <c r="AS102" i="3"/>
  <c r="AR102" i="3"/>
  <c r="AQ102" i="3"/>
  <c r="AP102" i="3"/>
  <c r="AO102" i="3"/>
  <c r="AN102" i="3"/>
  <c r="AM102" i="3"/>
  <c r="AL102" i="3"/>
  <c r="AK102" i="3"/>
  <c r="EI101" i="3"/>
  <c r="EH101" i="3"/>
  <c r="EG101" i="3"/>
  <c r="EE101" i="3"/>
  <c r="ED101" i="3"/>
  <c r="EC101" i="3"/>
  <c r="EB101" i="3"/>
  <c r="DZ101" i="3"/>
  <c r="DY101" i="3"/>
  <c r="DX101" i="3"/>
  <c r="DW101" i="3"/>
  <c r="DU101" i="3"/>
  <c r="DU107" i="3" s="1"/>
  <c r="DT101" i="3"/>
  <c r="DS101" i="3"/>
  <c r="DS107" i="3" s="1"/>
  <c r="DR101" i="3"/>
  <c r="DP101" i="3"/>
  <c r="DP107" i="3" s="1"/>
  <c r="DO101" i="3"/>
  <c r="DN101" i="3"/>
  <c r="DM101" i="3"/>
  <c r="DK101" i="3"/>
  <c r="DJ101" i="3"/>
  <c r="DI101" i="3"/>
  <c r="DI107" i="3" s="1"/>
  <c r="DH101" i="3"/>
  <c r="DH107" i="3" s="1"/>
  <c r="DF101" i="3"/>
  <c r="DE101" i="3"/>
  <c r="DE107" i="3" s="1"/>
  <c r="DD101" i="3"/>
  <c r="DD107" i="3" s="1"/>
  <c r="DC101" i="3"/>
  <c r="DA101" i="3"/>
  <c r="DA107" i="3" s="1"/>
  <c r="CZ101" i="3"/>
  <c r="CZ107" i="3" s="1"/>
  <c r="CY101" i="3"/>
  <c r="CX101" i="3"/>
  <c r="CV101" i="3"/>
  <c r="CV107" i="3" s="1"/>
  <c r="CU101" i="3"/>
  <c r="CT101" i="3"/>
  <c r="CS101" i="3"/>
  <c r="CS107" i="3" s="1"/>
  <c r="CQ101" i="3"/>
  <c r="CP101" i="3"/>
  <c r="CO101" i="3"/>
  <c r="CO107" i="3" s="1"/>
  <c r="CN101" i="3"/>
  <c r="CN107" i="3" s="1"/>
  <c r="CL101" i="3"/>
  <c r="CK101" i="3"/>
  <c r="CK107" i="3" s="1"/>
  <c r="CJ101" i="3"/>
  <c r="CJ107" i="3" s="1"/>
  <c r="CI101" i="3"/>
  <c r="CG101" i="3"/>
  <c r="CF101" i="3"/>
  <c r="CF107" i="3" s="1"/>
  <c r="CE101" i="3"/>
  <c r="CD101" i="3"/>
  <c r="CB101" i="3"/>
  <c r="CB107" i="3" s="1"/>
  <c r="CA101" i="3"/>
  <c r="BZ101" i="3"/>
  <c r="BW101" i="3"/>
  <c r="BW107" i="3" s="1"/>
  <c r="BV101" i="3"/>
  <c r="BU101" i="3"/>
  <c r="BU107" i="3" s="1"/>
  <c r="BT101" i="3"/>
  <c r="BT107" i="3" s="1"/>
  <c r="BR101" i="3"/>
  <c r="BQ101" i="3"/>
  <c r="BP101" i="3"/>
  <c r="BO101" i="3"/>
  <c r="BC101" i="3"/>
  <c r="BB101" i="3"/>
  <c r="BA101" i="3"/>
  <c r="AZ101" i="3"/>
  <c r="AX101" i="3"/>
  <c r="AW101" i="3"/>
  <c r="AW102" i="3" s="1"/>
  <c r="AV101" i="3"/>
  <c r="AU101" i="3"/>
  <c r="EI100" i="3"/>
  <c r="EH100" i="3"/>
  <c r="EG100" i="3"/>
  <c r="EE100" i="3"/>
  <c r="ED100" i="3"/>
  <c r="EC100" i="3"/>
  <c r="EB100" i="3"/>
  <c r="DZ100" i="3"/>
  <c r="DY100" i="3"/>
  <c r="DX100" i="3"/>
  <c r="DW100" i="3"/>
  <c r="DU100" i="3"/>
  <c r="DT100" i="3"/>
  <c r="DS100" i="3"/>
  <c r="DR100" i="3"/>
  <c r="DP100" i="3"/>
  <c r="DO100" i="3"/>
  <c r="DN100" i="3"/>
  <c r="DM100" i="3"/>
  <c r="DK100" i="3"/>
  <c r="DJ100" i="3"/>
  <c r="DI100" i="3"/>
  <c r="DH100" i="3"/>
  <c r="DF100" i="3"/>
  <c r="DE100" i="3"/>
  <c r="DD100" i="3"/>
  <c r="DC100" i="3"/>
  <c r="DA100" i="3"/>
  <c r="CZ100" i="3"/>
  <c r="CY100" i="3"/>
  <c r="CX100" i="3"/>
  <c r="CV100" i="3"/>
  <c r="CU100" i="3"/>
  <c r="CT100" i="3"/>
  <c r="CS100" i="3"/>
  <c r="CQ100" i="3"/>
  <c r="CP100" i="3"/>
  <c r="CO100" i="3"/>
  <c r="CN100" i="3"/>
  <c r="CL100" i="3"/>
  <c r="CK100" i="3"/>
  <c r="CJ100" i="3"/>
  <c r="CI100" i="3"/>
  <c r="CG100" i="3"/>
  <c r="CF100" i="3"/>
  <c r="CE100" i="3"/>
  <c r="CD100" i="3"/>
  <c r="CB100" i="3"/>
  <c r="CA100" i="3"/>
  <c r="BZ100" i="3"/>
  <c r="BY100" i="3"/>
  <c r="BW100" i="3"/>
  <c r="BV100" i="3"/>
  <c r="BU100" i="3"/>
  <c r="BT100" i="3"/>
  <c r="BR100" i="3"/>
  <c r="BQ100" i="3"/>
  <c r="BP100" i="3"/>
  <c r="BO100" i="3"/>
  <c r="EF99" i="3"/>
  <c r="EK100" i="3" s="1"/>
  <c r="EF95" i="3"/>
  <c r="EK96" i="3" s="1"/>
  <c r="EF93" i="3"/>
  <c r="EK94" i="3" s="1"/>
  <c r="EA99" i="3"/>
  <c r="EA95" i="3"/>
  <c r="EA93" i="3"/>
  <c r="DV99" i="3"/>
  <c r="DV95" i="3"/>
  <c r="DV93" i="3"/>
  <c r="DQ99" i="3"/>
  <c r="DQ95" i="3"/>
  <c r="DQ93" i="3"/>
  <c r="DL99" i="3"/>
  <c r="DL95" i="3"/>
  <c r="DL93" i="3"/>
  <c r="DG99" i="3"/>
  <c r="DG95" i="3"/>
  <c r="DG93" i="3"/>
  <c r="DB99" i="3"/>
  <c r="DB95" i="3"/>
  <c r="DB93" i="3"/>
  <c r="CW99" i="3"/>
  <c r="CW95" i="3"/>
  <c r="CW93" i="3"/>
  <c r="CR99" i="3"/>
  <c r="CR95" i="3"/>
  <c r="CR93" i="3"/>
  <c r="CM99" i="3"/>
  <c r="CM95" i="3"/>
  <c r="CM93" i="3"/>
  <c r="CH99" i="3"/>
  <c r="CH95" i="3"/>
  <c r="CH93" i="3"/>
  <c r="CC99" i="3"/>
  <c r="CC95" i="3"/>
  <c r="CC93" i="3"/>
  <c r="BX99" i="3"/>
  <c r="BX95" i="3"/>
  <c r="BX93" i="3"/>
  <c r="BS99" i="3"/>
  <c r="BN99" i="3"/>
  <c r="EY97" i="3"/>
  <c r="EX97" i="3"/>
  <c r="EW97" i="3"/>
  <c r="EV97" i="3"/>
  <c r="BR97" i="3"/>
  <c r="BQ97" i="3"/>
  <c r="BP97" i="3"/>
  <c r="BO97" i="3"/>
  <c r="BM97" i="3"/>
  <c r="BL97" i="3"/>
  <c r="BK97" i="3"/>
  <c r="BJ97" i="3"/>
  <c r="EI97" i="3"/>
  <c r="EH97" i="3"/>
  <c r="EG97" i="3"/>
  <c r="EL98" i="3" s="1"/>
  <c r="FN98" i="3" s="1"/>
  <c r="EI96" i="3"/>
  <c r="EH96" i="3"/>
  <c r="EG96" i="3"/>
  <c r="EE97" i="3"/>
  <c r="ED97" i="3"/>
  <c r="EC97" i="3"/>
  <c r="EB97" i="3"/>
  <c r="EE96" i="3"/>
  <c r="ED96" i="3"/>
  <c r="EC96" i="3"/>
  <c r="EB96" i="3"/>
  <c r="DZ97" i="3"/>
  <c r="DY97" i="3"/>
  <c r="DX97" i="3"/>
  <c r="DW97" i="3"/>
  <c r="DZ96" i="3"/>
  <c r="DY96" i="3"/>
  <c r="DX96" i="3"/>
  <c r="DW96" i="3"/>
  <c r="DU97" i="3"/>
  <c r="DT97" i="3"/>
  <c r="DS97" i="3"/>
  <c r="DR97" i="3"/>
  <c r="DU96" i="3"/>
  <c r="DT96" i="3"/>
  <c r="DS96" i="3"/>
  <c r="DR96" i="3"/>
  <c r="DP97" i="3"/>
  <c r="DO97" i="3"/>
  <c r="DN97" i="3"/>
  <c r="DM97" i="3"/>
  <c r="DP96" i="3"/>
  <c r="DO96" i="3"/>
  <c r="DN96" i="3"/>
  <c r="DM96" i="3"/>
  <c r="DK97" i="3"/>
  <c r="DJ97" i="3"/>
  <c r="DI97" i="3"/>
  <c r="DH97" i="3"/>
  <c r="DK96" i="3"/>
  <c r="DJ96" i="3"/>
  <c r="DI96" i="3"/>
  <c r="DH96" i="3"/>
  <c r="DF97" i="3"/>
  <c r="DE97" i="3"/>
  <c r="DD97" i="3"/>
  <c r="DC97" i="3"/>
  <c r="DF96" i="3"/>
  <c r="DE96" i="3"/>
  <c r="DD96" i="3"/>
  <c r="DC96" i="3"/>
  <c r="DA97" i="3"/>
  <c r="CZ97" i="3"/>
  <c r="CY97" i="3"/>
  <c r="CX97" i="3"/>
  <c r="DA96" i="3"/>
  <c r="CZ96" i="3"/>
  <c r="CY96" i="3"/>
  <c r="CX96" i="3"/>
  <c r="CV97" i="3"/>
  <c r="CU97" i="3"/>
  <c r="CT97" i="3"/>
  <c r="CS97" i="3"/>
  <c r="CV96" i="3"/>
  <c r="CU96" i="3"/>
  <c r="CT96" i="3"/>
  <c r="CS96" i="3"/>
  <c r="CQ97" i="3"/>
  <c r="CP97" i="3"/>
  <c r="CO97" i="3"/>
  <c r="CN97" i="3"/>
  <c r="CQ96" i="3"/>
  <c r="CP96" i="3"/>
  <c r="CO96" i="3"/>
  <c r="CN96" i="3"/>
  <c r="CL97" i="3"/>
  <c r="CK97" i="3"/>
  <c r="CJ97" i="3"/>
  <c r="CI97" i="3"/>
  <c r="CL96" i="3"/>
  <c r="CK96" i="3"/>
  <c r="CJ96" i="3"/>
  <c r="CI96" i="3"/>
  <c r="CG97" i="3"/>
  <c r="CF97" i="3"/>
  <c r="CE97" i="3"/>
  <c r="CD97" i="3"/>
  <c r="CG96" i="3"/>
  <c r="CF96" i="3"/>
  <c r="CE96" i="3"/>
  <c r="CD96" i="3"/>
  <c r="CB97" i="3"/>
  <c r="CA97" i="3"/>
  <c r="BZ97" i="3"/>
  <c r="BY97" i="3"/>
  <c r="CB96" i="3"/>
  <c r="CA96" i="3"/>
  <c r="BZ96" i="3"/>
  <c r="BY96" i="3"/>
  <c r="BW97" i="3"/>
  <c r="BV97" i="3"/>
  <c r="BU97" i="3"/>
  <c r="BT97" i="3"/>
  <c r="BW96" i="3"/>
  <c r="BV96" i="3"/>
  <c r="BU96" i="3"/>
  <c r="BT96" i="3"/>
  <c r="BR96" i="3"/>
  <c r="BQ96" i="3"/>
  <c r="BP96" i="3"/>
  <c r="BO96" i="3"/>
  <c r="BS95" i="3"/>
  <c r="BS93" i="3"/>
  <c r="BN95" i="3"/>
  <c r="EI94" i="3"/>
  <c r="EH94" i="3"/>
  <c r="EG94" i="3"/>
  <c r="EE94" i="3"/>
  <c r="ED94" i="3"/>
  <c r="EC94" i="3"/>
  <c r="EB94" i="3"/>
  <c r="DZ94" i="3"/>
  <c r="DY94" i="3"/>
  <c r="DX94" i="3"/>
  <c r="DW94" i="3"/>
  <c r="DU94" i="3"/>
  <c r="DT94" i="3"/>
  <c r="DS94" i="3"/>
  <c r="DR94" i="3"/>
  <c r="DP94" i="3"/>
  <c r="DO94" i="3"/>
  <c r="DN94" i="3"/>
  <c r="DM94" i="3"/>
  <c r="DK94" i="3"/>
  <c r="DJ94" i="3"/>
  <c r="DI94" i="3"/>
  <c r="DH94" i="3"/>
  <c r="DF94" i="3"/>
  <c r="DE94" i="3"/>
  <c r="DD94" i="3"/>
  <c r="DC94" i="3"/>
  <c r="DA94" i="3"/>
  <c r="CZ94" i="3"/>
  <c r="CY94" i="3"/>
  <c r="CX94" i="3"/>
  <c r="CV94" i="3"/>
  <c r="CU94" i="3"/>
  <c r="CT94" i="3"/>
  <c r="CS94" i="3"/>
  <c r="CQ94" i="3"/>
  <c r="CP94" i="3"/>
  <c r="CO94" i="3"/>
  <c r="CN94" i="3"/>
  <c r="CL94" i="3"/>
  <c r="CK94" i="3"/>
  <c r="CJ94" i="3"/>
  <c r="CI94" i="3"/>
  <c r="CG94" i="3"/>
  <c r="CF94" i="3"/>
  <c r="CE94" i="3"/>
  <c r="CD94" i="3"/>
  <c r="CB94" i="3"/>
  <c r="CA94" i="3"/>
  <c r="BZ94" i="3"/>
  <c r="BY94" i="3"/>
  <c r="BW94" i="3"/>
  <c r="BV94" i="3"/>
  <c r="BU94" i="3"/>
  <c r="BT94" i="3"/>
  <c r="BR94" i="3"/>
  <c r="BQ94" i="3"/>
  <c r="BP94" i="3"/>
  <c r="BO94" i="3"/>
  <c r="BN93" i="3"/>
  <c r="FQ101" i="3"/>
  <c r="FQ100" i="3"/>
  <c r="FQ99" i="3"/>
  <c r="FQ95" i="3"/>
  <c r="FQ94" i="3"/>
  <c r="FP93" i="3"/>
  <c r="FQ93" i="3"/>
  <c r="EI91" i="3"/>
  <c r="EH91" i="3"/>
  <c r="EG91" i="3"/>
  <c r="EE91" i="3"/>
  <c r="EE90" i="3" s="1"/>
  <c r="ED91" i="3"/>
  <c r="ED90" i="3" s="1"/>
  <c r="EC91" i="3"/>
  <c r="EC84" i="3" s="1"/>
  <c r="EB91" i="3"/>
  <c r="EB90" i="3" s="1"/>
  <c r="DZ91" i="3"/>
  <c r="DZ84" i="3" s="1"/>
  <c r="DY91" i="3"/>
  <c r="DY90" i="3" s="1"/>
  <c r="DX91" i="3"/>
  <c r="DX84" i="3" s="1"/>
  <c r="DW91" i="3"/>
  <c r="DW90" i="3" s="1"/>
  <c r="DU91" i="3"/>
  <c r="DU84" i="3" s="1"/>
  <c r="DT91" i="3"/>
  <c r="DT90" i="3" s="1"/>
  <c r="DS91" i="3"/>
  <c r="DS84" i="3" s="1"/>
  <c r="DR91" i="3"/>
  <c r="DR84" i="3" s="1"/>
  <c r="DP91" i="3"/>
  <c r="DP84" i="3" s="1"/>
  <c r="DO91" i="3"/>
  <c r="DO90" i="3" s="1"/>
  <c r="DN91" i="3"/>
  <c r="DN84" i="3" s="1"/>
  <c r="DM91" i="3"/>
  <c r="DM90" i="3" s="1"/>
  <c r="DK91" i="3"/>
  <c r="DK90" i="3" s="1"/>
  <c r="DJ91" i="3"/>
  <c r="DJ84" i="3" s="1"/>
  <c r="DI91" i="3"/>
  <c r="DI84" i="3" s="1"/>
  <c r="DH91" i="3"/>
  <c r="DH90" i="3" s="1"/>
  <c r="DF91" i="3"/>
  <c r="DF84" i="3" s="1"/>
  <c r="DE91" i="3"/>
  <c r="DE90" i="3" s="1"/>
  <c r="DD91" i="3"/>
  <c r="DD84" i="3" s="1"/>
  <c r="DC91" i="3"/>
  <c r="DC90" i="3" s="1"/>
  <c r="DA91" i="3"/>
  <c r="DA90" i="3" s="1"/>
  <c r="CZ91" i="3"/>
  <c r="CZ90" i="3" s="1"/>
  <c r="CY91" i="3"/>
  <c r="CY84" i="3" s="1"/>
  <c r="CX91" i="3"/>
  <c r="CX84" i="3" s="1"/>
  <c r="CV91" i="3"/>
  <c r="CV84" i="3" s="1"/>
  <c r="CU91" i="3"/>
  <c r="CU84" i="3" s="1"/>
  <c r="CT91" i="3"/>
  <c r="CT84" i="3" s="1"/>
  <c r="CS91" i="3"/>
  <c r="CS84" i="3" s="1"/>
  <c r="CQ91" i="3"/>
  <c r="CQ90" i="3" s="1"/>
  <c r="CP91" i="3"/>
  <c r="CP84" i="3" s="1"/>
  <c r="CO91" i="3"/>
  <c r="CO84" i="3" s="1"/>
  <c r="CN91" i="3"/>
  <c r="CN90" i="3" s="1"/>
  <c r="CL91" i="3"/>
  <c r="CL84" i="3" s="1"/>
  <c r="CK91" i="3"/>
  <c r="CK84" i="3" s="1"/>
  <c r="CJ91" i="3"/>
  <c r="CJ84" i="3" s="1"/>
  <c r="CI91" i="3"/>
  <c r="CI90" i="3" s="1"/>
  <c r="CG91" i="3"/>
  <c r="CG84" i="3" s="1"/>
  <c r="CF91" i="3"/>
  <c r="CF90" i="3" s="1"/>
  <c r="CE91" i="3"/>
  <c r="CE90" i="3" s="1"/>
  <c r="CD91" i="3"/>
  <c r="CD84" i="3" s="1"/>
  <c r="CB91" i="3"/>
  <c r="CB84" i="3" s="1"/>
  <c r="CA91" i="3"/>
  <c r="CA90" i="3" s="1"/>
  <c r="BZ91" i="3"/>
  <c r="BZ84" i="3" s="1"/>
  <c r="BY91" i="3"/>
  <c r="BY84" i="3" s="1"/>
  <c r="BW91" i="3"/>
  <c r="BW90" i="3" s="1"/>
  <c r="BV91" i="3"/>
  <c r="BV84" i="3" s="1"/>
  <c r="BU91" i="3"/>
  <c r="BU84" i="3" s="1"/>
  <c r="BT91" i="3"/>
  <c r="BT90" i="3" s="1"/>
  <c r="BR91" i="3"/>
  <c r="BR84" i="3" s="1"/>
  <c r="BQ91" i="3"/>
  <c r="BQ90" i="3" s="1"/>
  <c r="BP91" i="3"/>
  <c r="BP84" i="3" s="1"/>
  <c r="BO91" i="3"/>
  <c r="BO90" i="3" s="1"/>
  <c r="BM91" i="3"/>
  <c r="BM90" i="3" s="1"/>
  <c r="BL91" i="3"/>
  <c r="BL90" i="3" s="1"/>
  <c r="BK91" i="3"/>
  <c r="BK90" i="3" s="1"/>
  <c r="BJ91" i="3"/>
  <c r="BJ84" i="3" s="1"/>
  <c r="DU87" i="3"/>
  <c r="DU86" i="3"/>
  <c r="DT87" i="3"/>
  <c r="DS87" i="3"/>
  <c r="DR87" i="3"/>
  <c r="DP87" i="3"/>
  <c r="DM87" i="3"/>
  <c r="DY87" i="3"/>
  <c r="DX87" i="3"/>
  <c r="DW87" i="3"/>
  <c r="DY86" i="3"/>
  <c r="DX86" i="3"/>
  <c r="DW86" i="3"/>
  <c r="EI80" i="3"/>
  <c r="EH80" i="3"/>
  <c r="EG80" i="3"/>
  <c r="EE80" i="3"/>
  <c r="ED80" i="3"/>
  <c r="EC80" i="3"/>
  <c r="EB80" i="3"/>
  <c r="DZ80" i="3"/>
  <c r="DY80" i="3"/>
  <c r="DX80" i="3"/>
  <c r="DW80" i="3"/>
  <c r="DU80" i="3"/>
  <c r="DT80" i="3"/>
  <c r="DS80" i="3"/>
  <c r="DR80" i="3"/>
  <c r="DP80" i="3"/>
  <c r="DO80" i="3"/>
  <c r="DN80" i="3"/>
  <c r="DM80" i="3"/>
  <c r="DK80" i="3"/>
  <c r="DJ80" i="3"/>
  <c r="DI80" i="3"/>
  <c r="DH80" i="3"/>
  <c r="DF80" i="3"/>
  <c r="DE80" i="3"/>
  <c r="DD80" i="3"/>
  <c r="DC80" i="3"/>
  <c r="DA80" i="3"/>
  <c r="CZ80" i="3"/>
  <c r="CY80" i="3"/>
  <c r="CX80" i="3"/>
  <c r="CV80" i="3"/>
  <c r="CU80" i="3"/>
  <c r="CT80" i="3"/>
  <c r="CS80" i="3"/>
  <c r="CQ80" i="3"/>
  <c r="CP80" i="3"/>
  <c r="CO80" i="3"/>
  <c r="CN80" i="3"/>
  <c r="CL80" i="3"/>
  <c r="CK80" i="3"/>
  <c r="CJ80" i="3"/>
  <c r="CI80" i="3"/>
  <c r="CG80" i="3"/>
  <c r="CF80" i="3"/>
  <c r="CE80" i="3"/>
  <c r="CD80" i="3"/>
  <c r="CB80" i="3"/>
  <c r="CA80" i="3"/>
  <c r="BZ80" i="3"/>
  <c r="BY80" i="3"/>
  <c r="BW80" i="3"/>
  <c r="BV80" i="3"/>
  <c r="BU80" i="3"/>
  <c r="BT80" i="3"/>
  <c r="BR80" i="3"/>
  <c r="BQ80" i="3"/>
  <c r="BP80" i="3"/>
  <c r="BO80" i="3"/>
  <c r="BM80" i="3"/>
  <c r="BL80" i="3"/>
  <c r="BK80" i="3"/>
  <c r="BJ80" i="3"/>
  <c r="BH80" i="3"/>
  <c r="BG80" i="3"/>
  <c r="BF80" i="3"/>
  <c r="BE80" i="3"/>
  <c r="BC80" i="3"/>
  <c r="BB80" i="3"/>
  <c r="BA80" i="3"/>
  <c r="AZ80" i="3"/>
  <c r="AX80" i="3"/>
  <c r="AW80" i="3"/>
  <c r="AV80" i="3"/>
  <c r="AU80" i="3"/>
  <c r="AS80" i="3"/>
  <c r="AR80" i="3"/>
  <c r="AQ80" i="3"/>
  <c r="AP80" i="3"/>
  <c r="AN80" i="3"/>
  <c r="AM80" i="3"/>
  <c r="AL80" i="3"/>
  <c r="AK80" i="3"/>
  <c r="AI80" i="3"/>
  <c r="AH80" i="3"/>
  <c r="AG80" i="3"/>
  <c r="AF80" i="3"/>
  <c r="AD80" i="3"/>
  <c r="AC80" i="3"/>
  <c r="AB80" i="3"/>
  <c r="AA80" i="3"/>
  <c r="Y80" i="3"/>
  <c r="X80" i="3"/>
  <c r="W80" i="3"/>
  <c r="V80" i="3"/>
  <c r="T80" i="3"/>
  <c r="S80" i="3"/>
  <c r="R80" i="3"/>
  <c r="Q80" i="3"/>
  <c r="EI75" i="3"/>
  <c r="EH75" i="3"/>
  <c r="EG75" i="3"/>
  <c r="EE75" i="3"/>
  <c r="ED75" i="3"/>
  <c r="EC75" i="3"/>
  <c r="EB75" i="3"/>
  <c r="DZ75" i="3"/>
  <c r="DY75" i="3"/>
  <c r="DX75" i="3"/>
  <c r="DW75" i="3"/>
  <c r="DU75" i="3"/>
  <c r="DT75" i="3"/>
  <c r="DS75" i="3"/>
  <c r="DR75" i="3"/>
  <c r="DP75" i="3"/>
  <c r="DO75" i="3"/>
  <c r="DN75" i="3"/>
  <c r="DM75" i="3"/>
  <c r="DK75" i="3"/>
  <c r="DJ75" i="3"/>
  <c r="DI75" i="3"/>
  <c r="DH75" i="3"/>
  <c r="DF75" i="3"/>
  <c r="DE75" i="3"/>
  <c r="DD75" i="3"/>
  <c r="DC75" i="3"/>
  <c r="DA75" i="3"/>
  <c r="CZ75" i="3"/>
  <c r="CY75" i="3"/>
  <c r="CX75" i="3"/>
  <c r="CV75" i="3"/>
  <c r="CU75" i="3"/>
  <c r="CT75" i="3"/>
  <c r="CS75" i="3"/>
  <c r="CQ75" i="3"/>
  <c r="CP75" i="3"/>
  <c r="CO75" i="3"/>
  <c r="CN75" i="3"/>
  <c r="CL75" i="3"/>
  <c r="CK75" i="3"/>
  <c r="CJ75" i="3"/>
  <c r="CI75" i="3"/>
  <c r="CG75" i="3"/>
  <c r="CF75" i="3"/>
  <c r="CE75" i="3"/>
  <c r="CD75" i="3"/>
  <c r="CB75" i="3"/>
  <c r="CA75" i="3"/>
  <c r="BZ75" i="3"/>
  <c r="BY75" i="3"/>
  <c r="BW75" i="3"/>
  <c r="BV75" i="3"/>
  <c r="BU75" i="3"/>
  <c r="BT75" i="3"/>
  <c r="BR75" i="3"/>
  <c r="BQ75" i="3"/>
  <c r="BP75" i="3"/>
  <c r="BO75" i="3"/>
  <c r="BM75" i="3"/>
  <c r="BL75" i="3"/>
  <c r="BK75" i="3"/>
  <c r="BJ75" i="3"/>
  <c r="BH75" i="3"/>
  <c r="BG75" i="3"/>
  <c r="BF75" i="3"/>
  <c r="BE75" i="3"/>
  <c r="BD75" i="3"/>
  <c r="BC75" i="3"/>
  <c r="BB75" i="3"/>
  <c r="BA75" i="3"/>
  <c r="AZ75" i="3"/>
  <c r="AY75" i="3"/>
  <c r="AX75" i="3"/>
  <c r="AW75" i="3"/>
  <c r="AV75" i="3"/>
  <c r="AU75" i="3"/>
  <c r="AT75" i="3"/>
  <c r="AS75" i="3"/>
  <c r="AR75" i="3"/>
  <c r="AQ75" i="3"/>
  <c r="AP75" i="3"/>
  <c r="AO75" i="3"/>
  <c r="AN75" i="3"/>
  <c r="AM75" i="3"/>
  <c r="AL75" i="3"/>
  <c r="AK75" i="3"/>
  <c r="EF74" i="3"/>
  <c r="EK75" i="3" s="1"/>
  <c r="EF73" i="3"/>
  <c r="EA74" i="3"/>
  <c r="EA73" i="3"/>
  <c r="DV74" i="3"/>
  <c r="DV73" i="3"/>
  <c r="DQ74" i="3"/>
  <c r="DQ73" i="3"/>
  <c r="DL74" i="3"/>
  <c r="DL73" i="3"/>
  <c r="DG74" i="3"/>
  <c r="DG73" i="3"/>
  <c r="DB74" i="3"/>
  <c r="DB73" i="3"/>
  <c r="CW74" i="3"/>
  <c r="CW73" i="3"/>
  <c r="CR74" i="3"/>
  <c r="CR73" i="3"/>
  <c r="CM74" i="3"/>
  <c r="CM73" i="3"/>
  <c r="CH74" i="3"/>
  <c r="CH73" i="3"/>
  <c r="CC74" i="3"/>
  <c r="CC73" i="3"/>
  <c r="BX74" i="3"/>
  <c r="BX73" i="3"/>
  <c r="BS74" i="3"/>
  <c r="BS73" i="3"/>
  <c r="BN74" i="3"/>
  <c r="BN73" i="3"/>
  <c r="BI74" i="3"/>
  <c r="BI73" i="3"/>
  <c r="EH72" i="3"/>
  <c r="EH71" i="3" s="1"/>
  <c r="EG72" i="3"/>
  <c r="EG71" i="3" s="1"/>
  <c r="DZ72" i="3"/>
  <c r="DY72" i="3"/>
  <c r="DX72" i="3"/>
  <c r="DW72" i="3"/>
  <c r="EI71" i="3"/>
  <c r="EE72" i="3"/>
  <c r="EE71" i="3" s="1"/>
  <c r="ED72" i="3"/>
  <c r="ED71" i="3" s="1"/>
  <c r="EC72" i="3"/>
  <c r="EC71" i="3" s="1"/>
  <c r="EB72" i="3"/>
  <c r="EB71" i="3" s="1"/>
  <c r="DV71" i="3"/>
  <c r="DQ71" i="3"/>
  <c r="DL71" i="3"/>
  <c r="DG71" i="3"/>
  <c r="DB71" i="3"/>
  <c r="CW71" i="3"/>
  <c r="CR71" i="3"/>
  <c r="CM71" i="3"/>
  <c r="CH71" i="3"/>
  <c r="CC71" i="3"/>
  <c r="BX71" i="3"/>
  <c r="BS71" i="3"/>
  <c r="BN71" i="3"/>
  <c r="BI71" i="3"/>
  <c r="EF70" i="3"/>
  <c r="EA70" i="3"/>
  <c r="EI60" i="3"/>
  <c r="EH60" i="3"/>
  <c r="EG60" i="3"/>
  <c r="EE60" i="3"/>
  <c r="ED60" i="3"/>
  <c r="EC60" i="3"/>
  <c r="EB60" i="3"/>
  <c r="DZ60" i="3"/>
  <c r="DY60" i="3"/>
  <c r="DX60" i="3"/>
  <c r="DW60" i="3"/>
  <c r="DU60" i="3"/>
  <c r="DU66" i="3" s="1"/>
  <c r="DT60" i="3"/>
  <c r="DT66" i="3" s="1"/>
  <c r="DS60" i="3"/>
  <c r="DS66" i="3" s="1"/>
  <c r="DR60" i="3"/>
  <c r="DP60" i="3"/>
  <c r="DP66" i="3" s="1"/>
  <c r="DO60" i="3"/>
  <c r="DN60" i="3"/>
  <c r="DM60" i="3"/>
  <c r="DM66" i="3" s="1"/>
  <c r="DK60" i="3"/>
  <c r="DJ60" i="3"/>
  <c r="DJ66" i="3" s="1"/>
  <c r="DI60" i="3"/>
  <c r="DI66" i="3" s="1"/>
  <c r="DH60" i="3"/>
  <c r="DH66" i="3" s="1"/>
  <c r="DF60" i="3"/>
  <c r="DE60" i="3"/>
  <c r="DE66" i="3" s="1"/>
  <c r="DD60" i="3"/>
  <c r="DD66" i="3" s="1"/>
  <c r="DC60" i="3"/>
  <c r="DA60" i="3"/>
  <c r="DA66" i="3" s="1"/>
  <c r="CZ60" i="3"/>
  <c r="CZ66" i="3" s="1"/>
  <c r="CY60" i="3"/>
  <c r="CX60" i="3"/>
  <c r="CV60" i="3"/>
  <c r="CV66" i="3" s="1"/>
  <c r="CU60" i="3"/>
  <c r="CT60" i="3"/>
  <c r="CT66" i="3" s="1"/>
  <c r="CS60" i="3"/>
  <c r="CS66" i="3" s="1"/>
  <c r="CQ60" i="3"/>
  <c r="CP60" i="3"/>
  <c r="CO60" i="3"/>
  <c r="CO66" i="3" s="1"/>
  <c r="CN60" i="3"/>
  <c r="CN66" i="3" s="1"/>
  <c r="CL60" i="3"/>
  <c r="CL66" i="3" s="1"/>
  <c r="CK60" i="3"/>
  <c r="CK66" i="3" s="1"/>
  <c r="CJ60" i="3"/>
  <c r="CJ66" i="3" s="1"/>
  <c r="CI60" i="3"/>
  <c r="CG60" i="3"/>
  <c r="CF60" i="3"/>
  <c r="CF66" i="3" s="1"/>
  <c r="CE60" i="3"/>
  <c r="CD60" i="3"/>
  <c r="CD66" i="3" s="1"/>
  <c r="CB60" i="3"/>
  <c r="CB66" i="3" s="1"/>
  <c r="CA60" i="3"/>
  <c r="BZ60" i="3"/>
  <c r="BY60" i="3"/>
  <c r="BW60" i="3"/>
  <c r="BV60" i="3"/>
  <c r="BU60" i="3"/>
  <c r="BU66" i="3" s="1"/>
  <c r="BT60" i="3"/>
  <c r="BT66" i="3" s="1"/>
  <c r="BR60" i="3"/>
  <c r="BQ60" i="3"/>
  <c r="BP60" i="3"/>
  <c r="BP66" i="3" s="1"/>
  <c r="BO60" i="3"/>
  <c r="BM60" i="3"/>
  <c r="BL60" i="3"/>
  <c r="BL66" i="3" s="1"/>
  <c r="BK60" i="3"/>
  <c r="BJ60" i="3"/>
  <c r="BH60" i="3"/>
  <c r="BH66" i="3" s="1"/>
  <c r="BG60" i="3"/>
  <c r="BF60" i="3"/>
  <c r="BE60" i="3"/>
  <c r="BE66" i="3" s="1"/>
  <c r="BD60" i="3"/>
  <c r="BC60" i="3"/>
  <c r="BB60" i="3"/>
  <c r="BA60" i="3"/>
  <c r="AZ60" i="3"/>
  <c r="AZ66" i="3" s="1"/>
  <c r="AY60" i="3"/>
  <c r="AX60" i="3"/>
  <c r="AX66" i="3" s="1"/>
  <c r="AW60" i="3"/>
  <c r="AV60" i="3"/>
  <c r="AV66" i="3" s="1"/>
  <c r="AU60" i="3"/>
  <c r="DP55" i="3"/>
  <c r="DO55" i="3"/>
  <c r="DN55" i="3"/>
  <c r="DM55" i="3"/>
  <c r="DK55" i="3"/>
  <c r="DJ55" i="3"/>
  <c r="DI55" i="3"/>
  <c r="DH55" i="3"/>
  <c r="DF55" i="3"/>
  <c r="DE55" i="3"/>
  <c r="DD55" i="3"/>
  <c r="DC55" i="3"/>
  <c r="DA55" i="3"/>
  <c r="CZ55" i="3"/>
  <c r="CY55" i="3"/>
  <c r="CX55" i="3"/>
  <c r="CV55" i="3"/>
  <c r="CU55" i="3"/>
  <c r="CT55" i="3"/>
  <c r="CS55" i="3"/>
  <c r="CQ55" i="3"/>
  <c r="CP55" i="3"/>
  <c r="CO55" i="3"/>
  <c r="CN55" i="3"/>
  <c r="CL55" i="3"/>
  <c r="CK55" i="3"/>
  <c r="CJ55" i="3"/>
  <c r="CI55" i="3"/>
  <c r="CG55" i="3"/>
  <c r="CF55" i="3"/>
  <c r="CE55" i="3"/>
  <c r="CD55" i="3"/>
  <c r="CB55" i="3"/>
  <c r="CA55" i="3"/>
  <c r="BZ55" i="3"/>
  <c r="BY55" i="3"/>
  <c r="BW55" i="3"/>
  <c r="BV55" i="3"/>
  <c r="BU55" i="3"/>
  <c r="BT55" i="3"/>
  <c r="EI54" i="3"/>
  <c r="EH54" i="3"/>
  <c r="EG54" i="3"/>
  <c r="EE54" i="3"/>
  <c r="ED54" i="3"/>
  <c r="EC54" i="3"/>
  <c r="EB54" i="3"/>
  <c r="DZ54" i="3"/>
  <c r="DY54" i="3"/>
  <c r="DX54" i="3"/>
  <c r="DW54" i="3"/>
  <c r="DU54" i="3"/>
  <c r="DT54" i="3"/>
  <c r="DS54" i="3"/>
  <c r="DR54" i="3"/>
  <c r="DP54" i="3"/>
  <c r="DO54" i="3"/>
  <c r="DN54" i="3"/>
  <c r="DM54" i="3"/>
  <c r="DK54" i="3"/>
  <c r="DJ54" i="3"/>
  <c r="DI54" i="3"/>
  <c r="DH54" i="3"/>
  <c r="DF54" i="3"/>
  <c r="DE54" i="3"/>
  <c r="DD54" i="3"/>
  <c r="DC54" i="3"/>
  <c r="DA54" i="3"/>
  <c r="CZ54" i="3"/>
  <c r="CY54" i="3"/>
  <c r="CX54" i="3"/>
  <c r="CV54" i="3"/>
  <c r="CU54" i="3"/>
  <c r="CT54" i="3"/>
  <c r="CS54" i="3"/>
  <c r="CQ54" i="3"/>
  <c r="CP54" i="3"/>
  <c r="CO54" i="3"/>
  <c r="CN54" i="3"/>
  <c r="CL54" i="3"/>
  <c r="CK54" i="3"/>
  <c r="CJ54" i="3"/>
  <c r="CI54" i="3"/>
  <c r="CG54" i="3"/>
  <c r="CF54" i="3"/>
  <c r="CE54" i="3"/>
  <c r="CD54" i="3"/>
  <c r="CB54" i="3"/>
  <c r="CA54" i="3"/>
  <c r="BZ54" i="3"/>
  <c r="BY54" i="3"/>
  <c r="EF53" i="3"/>
  <c r="EF51" i="3"/>
  <c r="EK52" i="3" s="1"/>
  <c r="EF49" i="3"/>
  <c r="EK50" i="3" s="1"/>
  <c r="EF47" i="3"/>
  <c r="EK48" i="3" s="1"/>
  <c r="EA53" i="3"/>
  <c r="EA51" i="3"/>
  <c r="EA49" i="3"/>
  <c r="EA47" i="3"/>
  <c r="DV53" i="3"/>
  <c r="DV51" i="3"/>
  <c r="DV49" i="3"/>
  <c r="DV47" i="3"/>
  <c r="DQ53" i="3"/>
  <c r="DQ51" i="3"/>
  <c r="DQ49" i="3"/>
  <c r="DQ47" i="3"/>
  <c r="DL53" i="3"/>
  <c r="DL51" i="3"/>
  <c r="DL49" i="3"/>
  <c r="DL47" i="3"/>
  <c r="DL45" i="3"/>
  <c r="DG53" i="3"/>
  <c r="DG51" i="3"/>
  <c r="DG49" i="3"/>
  <c r="DG45" i="3"/>
  <c r="DB53" i="3"/>
  <c r="CW53" i="3"/>
  <c r="CR53" i="3"/>
  <c r="CM53" i="3"/>
  <c r="CH53" i="3"/>
  <c r="CC53" i="3"/>
  <c r="BX53" i="3"/>
  <c r="EY52" i="3"/>
  <c r="EX52" i="3"/>
  <c r="EW52" i="3"/>
  <c r="EV52" i="3"/>
  <c r="EI52" i="3"/>
  <c r="EH52" i="3"/>
  <c r="EG52" i="3"/>
  <c r="EE52" i="3"/>
  <c r="ED52" i="3"/>
  <c r="EC52" i="3"/>
  <c r="EB52" i="3"/>
  <c r="DZ52" i="3"/>
  <c r="DY52" i="3"/>
  <c r="DX52" i="3"/>
  <c r="DW52" i="3"/>
  <c r="DU52" i="3"/>
  <c r="DT52" i="3"/>
  <c r="DS52" i="3"/>
  <c r="DR52" i="3"/>
  <c r="DP52" i="3"/>
  <c r="DO52" i="3"/>
  <c r="DN52" i="3"/>
  <c r="DM52" i="3"/>
  <c r="DK52" i="3"/>
  <c r="DJ52" i="3"/>
  <c r="DI52" i="3"/>
  <c r="DH52" i="3"/>
  <c r="DF52" i="3"/>
  <c r="DE52" i="3"/>
  <c r="DD52" i="3"/>
  <c r="DC52" i="3"/>
  <c r="DB51" i="3"/>
  <c r="EY50" i="3"/>
  <c r="EX50" i="3"/>
  <c r="EW50" i="3"/>
  <c r="EV50" i="3"/>
  <c r="EI50" i="3"/>
  <c r="EH50" i="3"/>
  <c r="EG50" i="3"/>
  <c r="EE50" i="3"/>
  <c r="ED50" i="3"/>
  <c r="EC50" i="3"/>
  <c r="EB50" i="3"/>
  <c r="DZ50" i="3"/>
  <c r="DY50" i="3"/>
  <c r="DX50" i="3"/>
  <c r="DW50" i="3"/>
  <c r="DU50" i="3"/>
  <c r="DT50" i="3"/>
  <c r="DS50" i="3"/>
  <c r="DR50" i="3"/>
  <c r="DP50" i="3"/>
  <c r="DO50" i="3"/>
  <c r="DN50" i="3"/>
  <c r="DM50" i="3"/>
  <c r="DK50" i="3"/>
  <c r="DJ50" i="3"/>
  <c r="DI50" i="3"/>
  <c r="DH50" i="3"/>
  <c r="DF50" i="3"/>
  <c r="DE50" i="3"/>
  <c r="DD50" i="3"/>
  <c r="DC50" i="3"/>
  <c r="DB49" i="3"/>
  <c r="EY48" i="3"/>
  <c r="EX48" i="3"/>
  <c r="EW48" i="3"/>
  <c r="EV48" i="3"/>
  <c r="EI48" i="3"/>
  <c r="EH48" i="3"/>
  <c r="EG48" i="3"/>
  <c r="EE48" i="3"/>
  <c r="ED48" i="3"/>
  <c r="EC48" i="3"/>
  <c r="EB48" i="3"/>
  <c r="DZ48" i="3"/>
  <c r="DY48" i="3"/>
  <c r="DX48" i="3"/>
  <c r="DW48" i="3"/>
  <c r="DU48" i="3"/>
  <c r="DT48" i="3"/>
  <c r="DS48" i="3"/>
  <c r="DR48" i="3"/>
  <c r="DP48" i="3"/>
  <c r="DO48" i="3"/>
  <c r="DN48" i="3"/>
  <c r="DM48" i="3"/>
  <c r="DK48" i="3"/>
  <c r="DJ48" i="3"/>
  <c r="DI48" i="3"/>
  <c r="DF48" i="3"/>
  <c r="DE48" i="3"/>
  <c r="DD48" i="3"/>
  <c r="DC47" i="3"/>
  <c r="DG47" i="3" s="1"/>
  <c r="CX47" i="3"/>
  <c r="CX46" i="3"/>
  <c r="DP46" i="3"/>
  <c r="DO46" i="3"/>
  <c r="DN46" i="3"/>
  <c r="DM46" i="3"/>
  <c r="DK46" i="3"/>
  <c r="DJ46" i="3"/>
  <c r="DI46" i="3"/>
  <c r="DH46" i="3"/>
  <c r="DF46" i="3"/>
  <c r="DE46" i="3"/>
  <c r="DD46" i="3"/>
  <c r="DC46" i="3"/>
  <c r="DA46" i="3"/>
  <c r="CZ46" i="3"/>
  <c r="CY46" i="3"/>
  <c r="CV46" i="3"/>
  <c r="CU46" i="3"/>
  <c r="CT46" i="3"/>
  <c r="CS46" i="3"/>
  <c r="CQ46" i="3"/>
  <c r="CP46" i="3"/>
  <c r="CO46" i="3"/>
  <c r="CN46" i="3"/>
  <c r="CL46" i="3"/>
  <c r="CK46" i="3"/>
  <c r="CJ46" i="3"/>
  <c r="CI46" i="3"/>
  <c r="CG46" i="3"/>
  <c r="CF46" i="3"/>
  <c r="CE46" i="3"/>
  <c r="CD46" i="3"/>
  <c r="CB46" i="3"/>
  <c r="CA46" i="3"/>
  <c r="BZ46" i="3"/>
  <c r="BY46" i="3"/>
  <c r="BW46" i="3"/>
  <c r="BV46" i="3"/>
  <c r="BU46" i="3"/>
  <c r="BT46" i="3"/>
  <c r="BR46" i="3"/>
  <c r="BQ46" i="3"/>
  <c r="BP46" i="3"/>
  <c r="BO46" i="3"/>
  <c r="DB45" i="3"/>
  <c r="CW45" i="3"/>
  <c r="CR45" i="3"/>
  <c r="CM45" i="3"/>
  <c r="CH45" i="3"/>
  <c r="CC45" i="3"/>
  <c r="BX45" i="3"/>
  <c r="BS45" i="3"/>
  <c r="BN45" i="3"/>
  <c r="EE45" i="3"/>
  <c r="ED45" i="3"/>
  <c r="EC45" i="3"/>
  <c r="EC55" i="3" s="1"/>
  <c r="EB45" i="3"/>
  <c r="EB55" i="3" s="1"/>
  <c r="DZ45" i="3"/>
  <c r="DY45" i="3"/>
  <c r="DY55" i="3" s="1"/>
  <c r="DX45" i="3"/>
  <c r="DX55" i="3" s="1"/>
  <c r="DW45" i="3"/>
  <c r="DU45" i="3"/>
  <c r="DU55" i="3" s="1"/>
  <c r="DT45" i="3"/>
  <c r="DT55" i="3" s="1"/>
  <c r="DS45" i="3"/>
  <c r="DS55" i="3" s="1"/>
  <c r="DR45" i="3"/>
  <c r="DR46" i="3" s="1"/>
  <c r="FQ54" i="3"/>
  <c r="FQ53" i="3"/>
  <c r="FQ52" i="3"/>
  <c r="FQ51" i="3"/>
  <c r="FQ50" i="3"/>
  <c r="FQ49" i="3"/>
  <c r="FQ48" i="3"/>
  <c r="FQ47" i="3"/>
  <c r="EI45" i="3"/>
  <c r="EH45" i="3"/>
  <c r="EG45" i="3"/>
  <c r="A40" i="3"/>
  <c r="A39" i="3"/>
  <c r="A38" i="3"/>
  <c r="A37" i="3"/>
  <c r="A36" i="3"/>
  <c r="A35" i="3"/>
  <c r="A34" i="3"/>
  <c r="A33" i="3"/>
  <c r="A32" i="3"/>
  <c r="A31" i="3"/>
  <c r="A30" i="3"/>
  <c r="A29" i="3"/>
  <c r="DU39" i="3"/>
  <c r="DT39" i="3"/>
  <c r="DS39" i="3"/>
  <c r="DR39" i="3"/>
  <c r="DP39" i="3"/>
  <c r="DO39" i="3"/>
  <c r="DN39" i="3"/>
  <c r="DM39" i="3"/>
  <c r="DK39" i="3"/>
  <c r="DJ39" i="3"/>
  <c r="DI39" i="3"/>
  <c r="DH39" i="3"/>
  <c r="DF39" i="3"/>
  <c r="DE39" i="3"/>
  <c r="DD39" i="3"/>
  <c r="DC39" i="3"/>
  <c r="DA39" i="3"/>
  <c r="CZ39" i="3"/>
  <c r="CY39" i="3"/>
  <c r="CX39" i="3"/>
  <c r="CV39" i="3"/>
  <c r="CU39" i="3"/>
  <c r="CT39" i="3"/>
  <c r="CS39" i="3"/>
  <c r="CQ39" i="3"/>
  <c r="CP39" i="3"/>
  <c r="CO39" i="3"/>
  <c r="CN39" i="3"/>
  <c r="CL39" i="3"/>
  <c r="CK39" i="3"/>
  <c r="CJ39" i="3"/>
  <c r="CI39" i="3"/>
  <c r="CG39" i="3"/>
  <c r="CF39" i="3"/>
  <c r="CE39" i="3"/>
  <c r="CD39" i="3"/>
  <c r="CB39" i="3"/>
  <c r="CA39" i="3"/>
  <c r="BZ39" i="3"/>
  <c r="BY39" i="3"/>
  <c r="BW39" i="3"/>
  <c r="BV39" i="3"/>
  <c r="BU39" i="3"/>
  <c r="BT39" i="3"/>
  <c r="BR39" i="3"/>
  <c r="BQ39" i="3"/>
  <c r="BP39" i="3"/>
  <c r="BO39" i="3"/>
  <c r="BM39" i="3"/>
  <c r="BL39" i="3"/>
  <c r="BK39" i="3"/>
  <c r="BJ39" i="3"/>
  <c r="BH39" i="3"/>
  <c r="BG39" i="3"/>
  <c r="BF39" i="3"/>
  <c r="BE39" i="3"/>
  <c r="BC39" i="3"/>
  <c r="BB39" i="3"/>
  <c r="BA39" i="3"/>
  <c r="AZ39" i="3"/>
  <c r="AX33" i="3"/>
  <c r="AW33" i="3"/>
  <c r="AV33" i="3"/>
  <c r="AU33" i="3"/>
  <c r="AS33" i="3"/>
  <c r="AR33" i="3"/>
  <c r="AQ33" i="3"/>
  <c r="AP33" i="3"/>
  <c r="AN33" i="3"/>
  <c r="AM33" i="3"/>
  <c r="AL33" i="3"/>
  <c r="AK33" i="3"/>
  <c r="AI33" i="3"/>
  <c r="AH33" i="3"/>
  <c r="AG33" i="3"/>
  <c r="AF33" i="3"/>
  <c r="AD33" i="3"/>
  <c r="AC33" i="3"/>
  <c r="AB33" i="3"/>
  <c r="AA33" i="3"/>
  <c r="Y33" i="3"/>
  <c r="X33" i="3"/>
  <c r="W33" i="3"/>
  <c r="V33" i="3"/>
  <c r="AX32" i="3"/>
  <c r="AW32" i="3"/>
  <c r="AV32" i="3"/>
  <c r="AU32" i="3"/>
  <c r="AS32" i="3"/>
  <c r="AR32" i="3"/>
  <c r="AQ32" i="3"/>
  <c r="AP32" i="3"/>
  <c r="AN32" i="3"/>
  <c r="AM32" i="3"/>
  <c r="AL32" i="3"/>
  <c r="AK32" i="3"/>
  <c r="AI32" i="3"/>
  <c r="AH32" i="3"/>
  <c r="AG32" i="3"/>
  <c r="AF32" i="3"/>
  <c r="AD32" i="3"/>
  <c r="AC32" i="3"/>
  <c r="AB32" i="3"/>
  <c r="AA32" i="3"/>
  <c r="Y32" i="3"/>
  <c r="X32" i="3"/>
  <c r="W32" i="3"/>
  <c r="V32" i="3"/>
  <c r="DU38" i="3"/>
  <c r="DT38" i="3"/>
  <c r="DS38" i="3"/>
  <c r="DR38" i="3"/>
  <c r="DP38" i="3"/>
  <c r="DO38" i="3"/>
  <c r="DN38" i="3"/>
  <c r="DM38" i="3"/>
  <c r="DK38" i="3"/>
  <c r="DJ38" i="3"/>
  <c r="DI38" i="3"/>
  <c r="DH38" i="3"/>
  <c r="DF38" i="3"/>
  <c r="DE38" i="3"/>
  <c r="DD38" i="3"/>
  <c r="DC38" i="3"/>
  <c r="DA38" i="3"/>
  <c r="CZ38" i="3"/>
  <c r="CY38" i="3"/>
  <c r="CX38" i="3"/>
  <c r="CV38" i="3"/>
  <c r="CU38" i="3"/>
  <c r="CT38" i="3"/>
  <c r="CS38" i="3"/>
  <c r="CQ38" i="3"/>
  <c r="CP38" i="3"/>
  <c r="CO38" i="3"/>
  <c r="CN38" i="3"/>
  <c r="CL38" i="3"/>
  <c r="CK38" i="3"/>
  <c r="CJ38" i="3"/>
  <c r="CI38" i="3"/>
  <c r="CG38" i="3"/>
  <c r="CF38" i="3"/>
  <c r="CE38" i="3"/>
  <c r="CD38" i="3"/>
  <c r="CB38" i="3"/>
  <c r="CA38" i="3"/>
  <c r="BZ38" i="3"/>
  <c r="BY38" i="3"/>
  <c r="BW38" i="3"/>
  <c r="BV38" i="3"/>
  <c r="BU38" i="3"/>
  <c r="BT38" i="3"/>
  <c r="BR38" i="3"/>
  <c r="BQ38" i="3"/>
  <c r="BP38" i="3"/>
  <c r="BO38" i="3"/>
  <c r="BM38" i="3"/>
  <c r="BL38" i="3"/>
  <c r="BK38" i="3"/>
  <c r="BJ38" i="3"/>
  <c r="BH38" i="3"/>
  <c r="BG38" i="3"/>
  <c r="BF38" i="3"/>
  <c r="BE38" i="3"/>
  <c r="BC38" i="3"/>
  <c r="BB38" i="3"/>
  <c r="BA38" i="3"/>
  <c r="AZ38" i="3"/>
  <c r="DU37" i="3"/>
  <c r="DT37" i="3"/>
  <c r="DS37" i="3"/>
  <c r="DR37" i="3"/>
  <c r="DP37" i="3"/>
  <c r="DO37" i="3"/>
  <c r="DN37" i="3"/>
  <c r="DM37" i="3"/>
  <c r="DK37" i="3"/>
  <c r="DJ37" i="3"/>
  <c r="DI37" i="3"/>
  <c r="DH37" i="3"/>
  <c r="DF37" i="3"/>
  <c r="DE37" i="3"/>
  <c r="DD37" i="3"/>
  <c r="DC37" i="3"/>
  <c r="DA37" i="3"/>
  <c r="CZ37" i="3"/>
  <c r="CY37" i="3"/>
  <c r="CX37" i="3"/>
  <c r="CV37" i="3"/>
  <c r="CU37" i="3"/>
  <c r="CT37" i="3"/>
  <c r="CS37" i="3"/>
  <c r="CQ37" i="3"/>
  <c r="CP37" i="3"/>
  <c r="CO37" i="3"/>
  <c r="CN37" i="3"/>
  <c r="CL37" i="3"/>
  <c r="CK37" i="3"/>
  <c r="CJ37" i="3"/>
  <c r="CI37" i="3"/>
  <c r="CG37" i="3"/>
  <c r="CF37" i="3"/>
  <c r="CE37" i="3"/>
  <c r="CD37" i="3"/>
  <c r="CB37" i="3"/>
  <c r="CA37" i="3"/>
  <c r="BZ37" i="3"/>
  <c r="BY37" i="3"/>
  <c r="BW37" i="3"/>
  <c r="BV37" i="3"/>
  <c r="BU37" i="3"/>
  <c r="BT37" i="3"/>
  <c r="BR37" i="3"/>
  <c r="BQ37" i="3"/>
  <c r="BP37" i="3"/>
  <c r="BO37" i="3"/>
  <c r="BM37" i="3"/>
  <c r="BL37" i="3"/>
  <c r="BK37" i="3"/>
  <c r="BJ37" i="3"/>
  <c r="BH37" i="3"/>
  <c r="BG37" i="3"/>
  <c r="BF37" i="3"/>
  <c r="BE37" i="3"/>
  <c r="BC37" i="3"/>
  <c r="BB37" i="3"/>
  <c r="BA37" i="3"/>
  <c r="AZ37" i="3"/>
  <c r="DU36" i="3"/>
  <c r="DS36" i="3"/>
  <c r="DR36" i="3"/>
  <c r="DP36" i="3"/>
  <c r="DN36" i="3"/>
  <c r="DM36" i="3"/>
  <c r="DK36" i="3"/>
  <c r="DJ36" i="3"/>
  <c r="DI36" i="3"/>
  <c r="DH36" i="3"/>
  <c r="DF36" i="3"/>
  <c r="DE36" i="3"/>
  <c r="DD36" i="3"/>
  <c r="DC36" i="3"/>
  <c r="DA36" i="3"/>
  <c r="CZ36" i="3"/>
  <c r="CY36" i="3"/>
  <c r="CX36" i="3"/>
  <c r="CV36" i="3"/>
  <c r="CU36" i="3"/>
  <c r="CT36" i="3"/>
  <c r="CS36" i="3"/>
  <c r="CQ36" i="3"/>
  <c r="CP36" i="3"/>
  <c r="CO36" i="3"/>
  <c r="CN36" i="3"/>
  <c r="CL36" i="3"/>
  <c r="CK36" i="3"/>
  <c r="CJ36" i="3"/>
  <c r="CI36" i="3"/>
  <c r="CG36" i="3"/>
  <c r="CF36" i="3"/>
  <c r="CE36" i="3"/>
  <c r="CD36" i="3"/>
  <c r="CB36" i="3"/>
  <c r="CA36" i="3"/>
  <c r="BZ36" i="3"/>
  <c r="BY36" i="3"/>
  <c r="BW36" i="3"/>
  <c r="BV36" i="3"/>
  <c r="BU36" i="3"/>
  <c r="BT36" i="3"/>
  <c r="BR36" i="3"/>
  <c r="BQ36" i="3"/>
  <c r="BP36" i="3"/>
  <c r="BO36" i="3"/>
  <c r="BM36" i="3"/>
  <c r="BL36" i="3"/>
  <c r="BK36" i="3"/>
  <c r="BJ36" i="3"/>
  <c r="BH36" i="3"/>
  <c r="BG36" i="3"/>
  <c r="BF36" i="3"/>
  <c r="BE36" i="3"/>
  <c r="BC36" i="3"/>
  <c r="BB36" i="3"/>
  <c r="BA36" i="3"/>
  <c r="AZ36" i="3"/>
  <c r="EI35" i="3"/>
  <c r="EH35" i="3"/>
  <c r="EG35" i="3"/>
  <c r="EE35" i="3"/>
  <c r="ED35" i="3"/>
  <c r="EC35" i="3"/>
  <c r="EB35" i="3"/>
  <c r="DZ35" i="3"/>
  <c r="DY35" i="3"/>
  <c r="DX35" i="3"/>
  <c r="DW35" i="3"/>
  <c r="DU35" i="3"/>
  <c r="DT35" i="3"/>
  <c r="DS35" i="3"/>
  <c r="DR35" i="3"/>
  <c r="DP35" i="3"/>
  <c r="DO35" i="3"/>
  <c r="DN35" i="3"/>
  <c r="DM35" i="3"/>
  <c r="DK35" i="3"/>
  <c r="DJ35" i="3"/>
  <c r="DI35" i="3"/>
  <c r="DH35" i="3"/>
  <c r="DF35" i="3"/>
  <c r="DE35" i="3"/>
  <c r="DD35" i="3"/>
  <c r="DC35" i="3"/>
  <c r="DA35" i="3"/>
  <c r="CZ35" i="3"/>
  <c r="CY35" i="3"/>
  <c r="CX35" i="3"/>
  <c r="CV35" i="3"/>
  <c r="CU35" i="3"/>
  <c r="CT35" i="3"/>
  <c r="CS35" i="3"/>
  <c r="CQ35" i="3"/>
  <c r="CP35" i="3"/>
  <c r="CO35" i="3"/>
  <c r="CN35" i="3"/>
  <c r="CL35" i="3"/>
  <c r="CK35" i="3"/>
  <c r="CJ35" i="3"/>
  <c r="CI35" i="3"/>
  <c r="CG35" i="3"/>
  <c r="CF35" i="3"/>
  <c r="CE35" i="3"/>
  <c r="CD35" i="3"/>
  <c r="CB35" i="3"/>
  <c r="CA35" i="3"/>
  <c r="BZ35" i="3"/>
  <c r="BY35" i="3"/>
  <c r="BW35" i="3"/>
  <c r="BV35" i="3"/>
  <c r="BU35" i="3"/>
  <c r="BT35" i="3"/>
  <c r="BC35" i="3"/>
  <c r="BB35" i="3"/>
  <c r="BA35" i="3"/>
  <c r="AZ35" i="3"/>
  <c r="EI34" i="3"/>
  <c r="EH34" i="3"/>
  <c r="EG34" i="3"/>
  <c r="EE34" i="3"/>
  <c r="ED34" i="3"/>
  <c r="EC34" i="3"/>
  <c r="EB34" i="3"/>
  <c r="DZ34" i="3"/>
  <c r="DY34" i="3"/>
  <c r="DX34" i="3"/>
  <c r="DW34" i="3"/>
  <c r="DU34" i="3"/>
  <c r="DT34" i="3"/>
  <c r="DS34" i="3"/>
  <c r="DR34" i="3"/>
  <c r="DP34" i="3"/>
  <c r="DO34" i="3"/>
  <c r="DN34" i="3"/>
  <c r="DM34" i="3"/>
  <c r="DK34" i="3"/>
  <c r="DJ34" i="3"/>
  <c r="DI34" i="3"/>
  <c r="DH34" i="3"/>
  <c r="DF34" i="3"/>
  <c r="DE34" i="3"/>
  <c r="DD34" i="3"/>
  <c r="DC34" i="3"/>
  <c r="DA34" i="3"/>
  <c r="CZ34" i="3"/>
  <c r="CY34" i="3"/>
  <c r="CX34" i="3"/>
  <c r="CV34" i="3"/>
  <c r="CU34" i="3"/>
  <c r="CT34" i="3"/>
  <c r="CS34" i="3"/>
  <c r="CQ34" i="3"/>
  <c r="CP34" i="3"/>
  <c r="CO34" i="3"/>
  <c r="CN34" i="3"/>
  <c r="CK34" i="3"/>
  <c r="CJ34" i="3"/>
  <c r="CI34" i="3"/>
  <c r="CF34" i="3"/>
  <c r="CE34" i="3"/>
  <c r="CD34" i="3"/>
  <c r="CB34" i="3"/>
  <c r="CA34" i="3"/>
  <c r="BZ34" i="3"/>
  <c r="BY34" i="3"/>
  <c r="BW34" i="3"/>
  <c r="BV34" i="3"/>
  <c r="BU34" i="3"/>
  <c r="BT34" i="3"/>
  <c r="BR34" i="3"/>
  <c r="BQ34" i="3"/>
  <c r="BP34" i="3"/>
  <c r="BO34" i="3"/>
  <c r="BM34" i="3"/>
  <c r="BL34" i="3"/>
  <c r="BK34" i="3"/>
  <c r="BJ34" i="3"/>
  <c r="BH34" i="3"/>
  <c r="BG34" i="3"/>
  <c r="BF34" i="3"/>
  <c r="BE34" i="3"/>
  <c r="BC34" i="3"/>
  <c r="BB34" i="3"/>
  <c r="BA34" i="3"/>
  <c r="AZ34" i="3"/>
  <c r="EI33" i="3"/>
  <c r="EH33" i="3"/>
  <c r="EG33" i="3"/>
  <c r="EE33" i="3"/>
  <c r="ED33" i="3"/>
  <c r="EC33" i="3"/>
  <c r="EB33" i="3"/>
  <c r="DZ33" i="3"/>
  <c r="DY33" i="3"/>
  <c r="DX33" i="3"/>
  <c r="DW33" i="3"/>
  <c r="DU33" i="3"/>
  <c r="DT33" i="3"/>
  <c r="DS33" i="3"/>
  <c r="DR33" i="3"/>
  <c r="DP33" i="3"/>
  <c r="DO33" i="3"/>
  <c r="DN33" i="3"/>
  <c r="DM33" i="3"/>
  <c r="DK33" i="3"/>
  <c r="DJ33" i="3"/>
  <c r="DI33" i="3"/>
  <c r="DH33" i="3"/>
  <c r="DF33" i="3"/>
  <c r="DE33" i="3"/>
  <c r="DD33" i="3"/>
  <c r="DC33" i="3"/>
  <c r="DA33" i="3"/>
  <c r="CZ33" i="3"/>
  <c r="CY33" i="3"/>
  <c r="CX33" i="3"/>
  <c r="CV33" i="3"/>
  <c r="CU33" i="3"/>
  <c r="CT33" i="3"/>
  <c r="CS33" i="3"/>
  <c r="CQ33" i="3"/>
  <c r="CP33" i="3"/>
  <c r="CO33" i="3"/>
  <c r="CN33" i="3"/>
  <c r="CL33" i="3"/>
  <c r="CK33" i="3"/>
  <c r="CJ33" i="3"/>
  <c r="CI33" i="3"/>
  <c r="CG33" i="3"/>
  <c r="CF33" i="3"/>
  <c r="CE33" i="3"/>
  <c r="CD33" i="3"/>
  <c r="CB33" i="3"/>
  <c r="CA33" i="3"/>
  <c r="BZ33" i="3"/>
  <c r="BY33" i="3"/>
  <c r="BW33" i="3"/>
  <c r="BV33" i="3"/>
  <c r="BU33" i="3"/>
  <c r="BT33" i="3"/>
  <c r="BR33" i="3"/>
  <c r="BQ33" i="3"/>
  <c r="BP33" i="3"/>
  <c r="BO33" i="3"/>
  <c r="BM33" i="3"/>
  <c r="BL33" i="3"/>
  <c r="BK33" i="3"/>
  <c r="BJ33" i="3"/>
  <c r="BH33" i="3"/>
  <c r="BG33" i="3"/>
  <c r="BF33" i="3"/>
  <c r="BE33" i="3"/>
  <c r="BC33" i="3"/>
  <c r="BB33" i="3"/>
  <c r="BA33" i="3"/>
  <c r="AZ33" i="3"/>
  <c r="EI32" i="3"/>
  <c r="EH32" i="3"/>
  <c r="EG32" i="3"/>
  <c r="EE32" i="3"/>
  <c r="ED32" i="3"/>
  <c r="EC32" i="3"/>
  <c r="EB32" i="3"/>
  <c r="DZ32" i="3"/>
  <c r="DY32" i="3"/>
  <c r="DX32" i="3"/>
  <c r="DW32" i="3"/>
  <c r="DU32" i="3"/>
  <c r="DT32" i="3"/>
  <c r="DS32" i="3"/>
  <c r="DR32" i="3"/>
  <c r="DP32" i="3"/>
  <c r="DO32" i="3"/>
  <c r="DN32" i="3"/>
  <c r="DM32" i="3"/>
  <c r="DK32" i="3"/>
  <c r="DJ32" i="3"/>
  <c r="DI32" i="3"/>
  <c r="DH32" i="3"/>
  <c r="DF32" i="3"/>
  <c r="DE32" i="3"/>
  <c r="DD32" i="3"/>
  <c r="DC32" i="3"/>
  <c r="DA32" i="3"/>
  <c r="CZ32" i="3"/>
  <c r="CY32" i="3"/>
  <c r="CX32" i="3"/>
  <c r="CV32" i="3"/>
  <c r="CU32" i="3"/>
  <c r="CT32" i="3"/>
  <c r="CS32" i="3"/>
  <c r="CQ32" i="3"/>
  <c r="CP32" i="3"/>
  <c r="CO32" i="3"/>
  <c r="CN32" i="3"/>
  <c r="CL32" i="3"/>
  <c r="CK32" i="3"/>
  <c r="CJ32" i="3"/>
  <c r="CI32" i="3"/>
  <c r="CG32" i="3"/>
  <c r="CF32" i="3"/>
  <c r="CE32" i="3"/>
  <c r="CD32" i="3"/>
  <c r="CB32" i="3"/>
  <c r="CA32" i="3"/>
  <c r="BZ32" i="3"/>
  <c r="BY32" i="3"/>
  <c r="BW32" i="3"/>
  <c r="BV32" i="3"/>
  <c r="BU32" i="3"/>
  <c r="BT32" i="3"/>
  <c r="BR32" i="3"/>
  <c r="BQ32" i="3"/>
  <c r="BP32" i="3"/>
  <c r="BO32" i="3"/>
  <c r="BM32" i="3"/>
  <c r="BL32" i="3"/>
  <c r="BK32" i="3"/>
  <c r="BJ32" i="3"/>
  <c r="BH32" i="3"/>
  <c r="BG32" i="3"/>
  <c r="BF32" i="3"/>
  <c r="BE32" i="3"/>
  <c r="BC32" i="3"/>
  <c r="BB32" i="3"/>
  <c r="BA32" i="3"/>
  <c r="AZ32" i="3"/>
  <c r="EI31" i="3"/>
  <c r="EH31" i="3"/>
  <c r="EG31" i="3"/>
  <c r="EE31" i="3"/>
  <c r="ED31" i="3"/>
  <c r="EC31" i="3"/>
  <c r="EB31" i="3"/>
  <c r="DZ31" i="3"/>
  <c r="DY31" i="3"/>
  <c r="DX31" i="3"/>
  <c r="DW31" i="3"/>
  <c r="DU31" i="3"/>
  <c r="DT31" i="3"/>
  <c r="DS31" i="3"/>
  <c r="DR31" i="3"/>
  <c r="DP31" i="3"/>
  <c r="DO31" i="3"/>
  <c r="DN31" i="3"/>
  <c r="DM31" i="3"/>
  <c r="DK31" i="3"/>
  <c r="DJ31" i="3"/>
  <c r="DI31" i="3"/>
  <c r="DH31" i="3"/>
  <c r="DF31" i="3"/>
  <c r="DE31" i="3"/>
  <c r="DD31" i="3"/>
  <c r="DC31" i="3"/>
  <c r="DA31" i="3"/>
  <c r="CZ31" i="3"/>
  <c r="CY31" i="3"/>
  <c r="CX31" i="3"/>
  <c r="CV31" i="3"/>
  <c r="CU31" i="3"/>
  <c r="CT31" i="3"/>
  <c r="CS31" i="3"/>
  <c r="CQ31" i="3"/>
  <c r="CP31" i="3"/>
  <c r="CO31" i="3"/>
  <c r="CN31" i="3"/>
  <c r="CL31" i="3"/>
  <c r="CK31" i="3"/>
  <c r="CJ31" i="3"/>
  <c r="CI31" i="3"/>
  <c r="CG31" i="3"/>
  <c r="CF31" i="3"/>
  <c r="CE31" i="3"/>
  <c r="CD31" i="3"/>
  <c r="CB31" i="3"/>
  <c r="CA31" i="3"/>
  <c r="BZ31" i="3"/>
  <c r="BY31" i="3"/>
  <c r="BW31" i="3"/>
  <c r="BV31" i="3"/>
  <c r="BU31" i="3"/>
  <c r="BT31" i="3"/>
  <c r="BR31" i="3"/>
  <c r="BQ31" i="3"/>
  <c r="BP31" i="3"/>
  <c r="BO31" i="3"/>
  <c r="BM31" i="3"/>
  <c r="BL31" i="3"/>
  <c r="BK31" i="3"/>
  <c r="BJ31" i="3"/>
  <c r="BH31" i="3"/>
  <c r="BG31" i="3"/>
  <c r="BF31" i="3"/>
  <c r="BE31" i="3"/>
  <c r="BC31" i="3"/>
  <c r="BB31" i="3"/>
  <c r="BA31" i="3"/>
  <c r="AZ31" i="3"/>
  <c r="DU30" i="3"/>
  <c r="DT30" i="3"/>
  <c r="DS30" i="3"/>
  <c r="DR30" i="3"/>
  <c r="DP30" i="3"/>
  <c r="DO30" i="3"/>
  <c r="DN30" i="3"/>
  <c r="DM30" i="3"/>
  <c r="DK30" i="3"/>
  <c r="DJ30" i="3"/>
  <c r="DI30" i="3"/>
  <c r="DH30" i="3"/>
  <c r="DF30" i="3"/>
  <c r="DE30" i="3"/>
  <c r="DD30" i="3"/>
  <c r="DC30" i="3"/>
  <c r="DA30" i="3"/>
  <c r="CZ30" i="3"/>
  <c r="CY30" i="3"/>
  <c r="CX30" i="3"/>
  <c r="CV30" i="3"/>
  <c r="CU30" i="3"/>
  <c r="CT30" i="3"/>
  <c r="CS30" i="3"/>
  <c r="CQ30" i="3"/>
  <c r="CP30" i="3"/>
  <c r="CO30" i="3"/>
  <c r="CN30" i="3"/>
  <c r="CL30" i="3"/>
  <c r="CK30" i="3"/>
  <c r="CJ30" i="3"/>
  <c r="CI30" i="3"/>
  <c r="CG30" i="3"/>
  <c r="CF30" i="3"/>
  <c r="CE30" i="3"/>
  <c r="CD30" i="3"/>
  <c r="CB30" i="3"/>
  <c r="CA30" i="3"/>
  <c r="BZ30" i="3"/>
  <c r="BY30" i="3"/>
  <c r="BW30" i="3"/>
  <c r="BV30" i="3"/>
  <c r="BU30" i="3"/>
  <c r="BT30" i="3"/>
  <c r="BR30" i="3"/>
  <c r="BQ30" i="3"/>
  <c r="BP30" i="3"/>
  <c r="BO30" i="3"/>
  <c r="BM30" i="3"/>
  <c r="BL30" i="3"/>
  <c r="BK30" i="3"/>
  <c r="BJ30" i="3"/>
  <c r="BH30" i="3"/>
  <c r="BG30" i="3"/>
  <c r="BF30" i="3"/>
  <c r="BE30" i="3"/>
  <c r="BC30" i="3"/>
  <c r="BB30" i="3"/>
  <c r="BA30" i="3"/>
  <c r="AZ30" i="3"/>
  <c r="FQ39" i="3"/>
  <c r="FQ35" i="3"/>
  <c r="FQ33" i="3"/>
  <c r="FQ31" i="3"/>
  <c r="EY23" i="3"/>
  <c r="EY204" i="3" s="1"/>
  <c r="FD205" i="3" s="1"/>
  <c r="EX23" i="3"/>
  <c r="EX204" i="3" s="1"/>
  <c r="FC205" i="3" s="1"/>
  <c r="EW23" i="3"/>
  <c r="EW204" i="3" s="1"/>
  <c r="FB205" i="3" s="1"/>
  <c r="EV23" i="3"/>
  <c r="EV204" i="3" s="1"/>
  <c r="FA205" i="3" s="1"/>
  <c r="DU23" i="3"/>
  <c r="DS23" i="3"/>
  <c r="DR23" i="3"/>
  <c r="DP23" i="3"/>
  <c r="DN23" i="3"/>
  <c r="DM23" i="3"/>
  <c r="DK23" i="3"/>
  <c r="DJ23" i="3"/>
  <c r="DI23" i="3"/>
  <c r="DH23" i="3"/>
  <c r="DF23" i="3"/>
  <c r="DE23" i="3"/>
  <c r="DD23" i="3"/>
  <c r="DC23" i="3"/>
  <c r="DA23" i="3"/>
  <c r="CZ23" i="3"/>
  <c r="CY23" i="3"/>
  <c r="CY26" i="3" s="1"/>
  <c r="CX23" i="3"/>
  <c r="CV23" i="3"/>
  <c r="CU23" i="3"/>
  <c r="CT23" i="3"/>
  <c r="CS23" i="3"/>
  <c r="CQ23" i="3"/>
  <c r="CQ26" i="3" s="1"/>
  <c r="CP23" i="3"/>
  <c r="CO23" i="3"/>
  <c r="CN23" i="3"/>
  <c r="CL23" i="3"/>
  <c r="CK23" i="3"/>
  <c r="CJ23" i="3"/>
  <c r="CI23" i="3"/>
  <c r="CF23" i="3"/>
  <c r="CE23" i="3"/>
  <c r="CD23" i="3"/>
  <c r="CB23" i="3"/>
  <c r="CA23" i="3"/>
  <c r="BZ23" i="3"/>
  <c r="BY23" i="3"/>
  <c r="BW23" i="3"/>
  <c r="BV23" i="3"/>
  <c r="BU23" i="3"/>
  <c r="BT23" i="3"/>
  <c r="BR23" i="3"/>
  <c r="BQ23" i="3"/>
  <c r="BP23" i="3"/>
  <c r="BO23" i="3"/>
  <c r="BO26" i="3" s="1"/>
  <c r="BC23" i="3"/>
  <c r="BB23" i="3"/>
  <c r="BA23" i="3"/>
  <c r="AZ23" i="3"/>
  <c r="AX23" i="3"/>
  <c r="AW23" i="3"/>
  <c r="AV23" i="3"/>
  <c r="AU23" i="3"/>
  <c r="AS23" i="3"/>
  <c r="AR23" i="3"/>
  <c r="AQ23" i="3"/>
  <c r="AP23" i="3"/>
  <c r="AN23" i="3"/>
  <c r="AM23" i="3"/>
  <c r="AL23" i="3"/>
  <c r="AK23" i="3"/>
  <c r="AI23" i="3"/>
  <c r="AH23" i="3"/>
  <c r="AG23" i="3"/>
  <c r="AF23" i="3"/>
  <c r="AD23" i="3"/>
  <c r="AC23" i="3"/>
  <c r="AB23" i="3"/>
  <c r="AA23" i="3"/>
  <c r="Y23" i="3"/>
  <c r="X23" i="3"/>
  <c r="W23" i="3"/>
  <c r="V23" i="3"/>
  <c r="T23" i="3"/>
  <c r="S23" i="3"/>
  <c r="S26" i="3" s="1"/>
  <c r="R23" i="3"/>
  <c r="Q23" i="3"/>
  <c r="FQ22" i="3"/>
  <c r="DV22" i="3"/>
  <c r="DQ22" i="3"/>
  <c r="DL22" i="3"/>
  <c r="DG22" i="3"/>
  <c r="DB22" i="3"/>
  <c r="CW22" i="3"/>
  <c r="CR22" i="3"/>
  <c r="CM22" i="3"/>
  <c r="CH22" i="3"/>
  <c r="CC22" i="3"/>
  <c r="BX22" i="3"/>
  <c r="BS22" i="3"/>
  <c r="BN22" i="3"/>
  <c r="BI22" i="3"/>
  <c r="BD22" i="3"/>
  <c r="AY22" i="3"/>
  <c r="EI21" i="3"/>
  <c r="EI19" i="3" s="1"/>
  <c r="EH21" i="3"/>
  <c r="EH19" i="3" s="1"/>
  <c r="EG21" i="3"/>
  <c r="EG19" i="3" s="1"/>
  <c r="EE21" i="3"/>
  <c r="EE19" i="3" s="1"/>
  <c r="ED21" i="3"/>
  <c r="EC21" i="3"/>
  <c r="EC19" i="3" s="1"/>
  <c r="EB21" i="3"/>
  <c r="DZ21" i="3"/>
  <c r="DZ14" i="3" s="1"/>
  <c r="DY21" i="3"/>
  <c r="DY14" i="3" s="1"/>
  <c r="DX21" i="3"/>
  <c r="DX19" i="3" s="1"/>
  <c r="DW21" i="3"/>
  <c r="DV19" i="3"/>
  <c r="DQ19" i="3"/>
  <c r="DL19" i="3"/>
  <c r="DG19" i="3"/>
  <c r="DB19" i="3"/>
  <c r="CW19" i="3"/>
  <c r="CR19" i="3"/>
  <c r="CM19" i="3"/>
  <c r="CH19" i="3"/>
  <c r="CC19" i="3"/>
  <c r="BX19" i="3"/>
  <c r="BS19" i="3"/>
  <c r="BN19" i="3"/>
  <c r="BI19" i="3"/>
  <c r="BD19" i="3"/>
  <c r="AY19" i="3"/>
  <c r="EH18" i="3"/>
  <c r="EH16" i="3" s="1"/>
  <c r="EG18" i="3"/>
  <c r="EG16" i="3" s="1"/>
  <c r="EE18" i="3"/>
  <c r="EE15" i="3" s="1"/>
  <c r="ED18" i="3"/>
  <c r="ED15" i="3" s="1"/>
  <c r="EC18" i="3"/>
  <c r="EC15" i="3" s="1"/>
  <c r="EB18" i="3"/>
  <c r="EB16" i="3" s="1"/>
  <c r="DZ18" i="3"/>
  <c r="DZ15" i="3" s="1"/>
  <c r="DY18" i="3"/>
  <c r="DY16" i="3" s="1"/>
  <c r="DX18" i="3"/>
  <c r="DX16" i="3" s="1"/>
  <c r="DW18" i="3"/>
  <c r="DW16" i="3" s="1"/>
  <c r="DW37" i="3" s="1"/>
  <c r="EI16" i="3"/>
  <c r="DV16" i="3"/>
  <c r="DQ16" i="3"/>
  <c r="DL16" i="3"/>
  <c r="DG16" i="3"/>
  <c r="DB16" i="3"/>
  <c r="CW16" i="3"/>
  <c r="CR16" i="3"/>
  <c r="CM16" i="3"/>
  <c r="CH16" i="3"/>
  <c r="CC16" i="3"/>
  <c r="BX16" i="3"/>
  <c r="BS16" i="3"/>
  <c r="BN16" i="3"/>
  <c r="BI16" i="3"/>
  <c r="BD16" i="3"/>
  <c r="AY16" i="3"/>
  <c r="DT12" i="3"/>
  <c r="DQ11" i="3"/>
  <c r="DQ10" i="3"/>
  <c r="DQ9" i="3"/>
  <c r="DQ8" i="3"/>
  <c r="DQ63" i="3" s="1"/>
  <c r="DQ6" i="3"/>
  <c r="DQ120" i="3" s="1"/>
  <c r="DQ5" i="3"/>
  <c r="DQ77" i="3" s="1"/>
  <c r="DO12" i="3"/>
  <c r="DO36" i="3" s="1"/>
  <c r="DL12" i="3"/>
  <c r="DL11" i="3"/>
  <c r="DL10" i="3"/>
  <c r="DL9" i="3"/>
  <c r="DL8" i="3"/>
  <c r="DL63" i="3" s="1"/>
  <c r="DL6" i="3"/>
  <c r="DL120" i="3" s="1"/>
  <c r="DL5" i="3"/>
  <c r="DL77" i="3" s="1"/>
  <c r="DG12" i="3"/>
  <c r="DG11" i="3"/>
  <c r="DG10" i="3"/>
  <c r="DG9" i="3"/>
  <c r="DG8" i="3"/>
  <c r="DG6" i="3"/>
  <c r="DG5" i="3"/>
  <c r="DB12" i="3"/>
  <c r="DB11" i="3"/>
  <c r="DB10" i="3"/>
  <c r="DB9" i="3"/>
  <c r="DB8" i="3"/>
  <c r="DB6" i="3"/>
  <c r="DB5" i="3"/>
  <c r="CW12" i="3"/>
  <c r="CW11" i="3"/>
  <c r="CW10" i="3"/>
  <c r="CW9" i="3"/>
  <c r="CW8" i="3"/>
  <c r="CW6" i="3"/>
  <c r="CW5" i="3"/>
  <c r="CR12" i="3"/>
  <c r="CR11" i="3"/>
  <c r="CR10" i="3"/>
  <c r="CR9" i="3"/>
  <c r="CR8" i="3"/>
  <c r="CR6" i="3"/>
  <c r="CR5" i="3"/>
  <c r="CM12" i="3"/>
  <c r="CM11" i="3"/>
  <c r="CM10" i="3"/>
  <c r="CM9" i="3"/>
  <c r="CM8" i="3"/>
  <c r="CM6" i="3"/>
  <c r="CM5" i="3"/>
  <c r="CH12" i="3"/>
  <c r="CH11" i="3"/>
  <c r="CH9" i="3"/>
  <c r="CH8" i="3"/>
  <c r="CH6" i="3"/>
  <c r="CH5" i="3"/>
  <c r="CC12" i="3"/>
  <c r="CC11" i="3"/>
  <c r="CC10" i="3"/>
  <c r="CC9" i="3"/>
  <c r="CC8" i="3"/>
  <c r="CC6" i="3"/>
  <c r="CC5" i="3"/>
  <c r="BX12" i="3"/>
  <c r="BX11" i="3"/>
  <c r="BX10" i="3"/>
  <c r="BX9" i="3"/>
  <c r="BX8" i="3"/>
  <c r="BX6" i="3"/>
  <c r="BX5" i="3"/>
  <c r="BS12" i="3"/>
  <c r="BS11" i="3"/>
  <c r="BS10" i="3"/>
  <c r="BS9" i="3"/>
  <c r="BS8" i="3"/>
  <c r="BS6" i="3"/>
  <c r="BS5" i="3"/>
  <c r="BN12" i="3"/>
  <c r="BN10" i="3"/>
  <c r="BN9" i="3"/>
  <c r="BN8" i="3"/>
  <c r="BN6" i="3"/>
  <c r="BN5" i="3"/>
  <c r="BI12" i="3"/>
  <c r="BI10" i="3"/>
  <c r="BI9" i="3"/>
  <c r="BI8" i="3"/>
  <c r="BI6" i="3"/>
  <c r="BI5" i="3"/>
  <c r="BD12" i="3"/>
  <c r="BD11" i="3"/>
  <c r="BD10" i="3"/>
  <c r="BD9" i="3"/>
  <c r="BD8" i="3"/>
  <c r="BD6" i="3"/>
  <c r="BD5" i="3"/>
  <c r="AY12" i="3"/>
  <c r="AY11" i="3"/>
  <c r="AY10" i="3"/>
  <c r="AY9" i="3"/>
  <c r="AY8" i="3"/>
  <c r="AY6" i="3"/>
  <c r="AY5" i="3"/>
  <c r="EF11" i="3"/>
  <c r="EK35" i="3" s="1"/>
  <c r="EF10" i="3"/>
  <c r="EK34" i="3" s="1"/>
  <c r="EF9" i="3"/>
  <c r="EK31" i="3" s="1"/>
  <c r="EF6" i="3"/>
  <c r="EF5" i="3"/>
  <c r="EA11" i="3"/>
  <c r="EA10" i="3"/>
  <c r="EA9" i="3"/>
  <c r="EA6" i="3"/>
  <c r="EA120" i="3" s="1"/>
  <c r="EA5" i="3"/>
  <c r="EA77" i="3" s="1"/>
  <c r="DV11" i="3"/>
  <c r="DV10" i="3"/>
  <c r="DV9" i="3"/>
  <c r="DV8" i="3"/>
  <c r="DV63" i="3" s="1"/>
  <c r="DV6" i="3"/>
  <c r="DV120" i="3" s="1"/>
  <c r="DV5" i="3"/>
  <c r="DV77" i="3" s="1"/>
  <c r="DV78" i="3" s="1"/>
  <c r="BM11" i="3"/>
  <c r="BM7" i="3" s="1"/>
  <c r="BL11" i="3"/>
  <c r="BQ35" i="3" s="1"/>
  <c r="BK11" i="3"/>
  <c r="BP35" i="3" s="1"/>
  <c r="BJ11" i="3"/>
  <c r="BO35" i="3" s="1"/>
  <c r="BH11" i="3"/>
  <c r="BH7" i="3" s="1"/>
  <c r="BG11" i="3"/>
  <c r="BG35" i="3" s="1"/>
  <c r="BF11" i="3"/>
  <c r="BF7" i="3" s="1"/>
  <c r="BE11" i="3"/>
  <c r="BE7" i="3" s="1"/>
  <c r="CG10" i="3"/>
  <c r="CH10" i="3" s="1"/>
  <c r="ET11" i="3"/>
  <c r="EH8" i="3"/>
  <c r="EG8" i="3"/>
  <c r="EL30" i="3" s="1"/>
  <c r="FN30" i="3" s="1"/>
  <c r="EY7" i="3"/>
  <c r="EY104" i="3" s="1"/>
  <c r="EX7" i="3"/>
  <c r="EX104" i="3" s="1"/>
  <c r="EW7" i="3"/>
  <c r="EW104" i="3" s="1"/>
  <c r="EV7" i="3"/>
  <c r="EV104" i="3" s="1"/>
  <c r="EE8" i="3"/>
  <c r="ED8" i="3"/>
  <c r="EI30" i="3" s="1"/>
  <c r="EC8" i="3"/>
  <c r="EB8" i="3"/>
  <c r="DZ8" i="3"/>
  <c r="DY8" i="3"/>
  <c r="DY30" i="3" s="1"/>
  <c r="DX8" i="3"/>
  <c r="DX30" i="3" s="1"/>
  <c r="DW8" i="3"/>
  <c r="DW30" i="3" s="1"/>
  <c r="DU7" i="3"/>
  <c r="DU104" i="3" s="1"/>
  <c r="DS7" i="3"/>
  <c r="DS104" i="3" s="1"/>
  <c r="DR7" i="3"/>
  <c r="DR104" i="3" s="1"/>
  <c r="DP7" i="3"/>
  <c r="DP104" i="3" s="1"/>
  <c r="DN7" i="3"/>
  <c r="DN104" i="3" s="1"/>
  <c r="DM7" i="3"/>
  <c r="DM104" i="3" s="1"/>
  <c r="DK7" i="3"/>
  <c r="DK104" i="3" s="1"/>
  <c r="DK106" i="3" s="1"/>
  <c r="DJ7" i="3"/>
  <c r="DJ104" i="3" s="1"/>
  <c r="DI7" i="3"/>
  <c r="DI104" i="3" s="1"/>
  <c r="DI106" i="3" s="1"/>
  <c r="DH7" i="3"/>
  <c r="DH104" i="3" s="1"/>
  <c r="DH106" i="3" s="1"/>
  <c r="DF7" i="3"/>
  <c r="DE7" i="3"/>
  <c r="DD7" i="3"/>
  <c r="DC7" i="3"/>
  <c r="DA7" i="3"/>
  <c r="CZ7" i="3"/>
  <c r="CY7" i="3"/>
  <c r="CX7" i="3"/>
  <c r="CV7" i="3"/>
  <c r="CU7" i="3"/>
  <c r="CT7" i="3"/>
  <c r="CS7" i="3"/>
  <c r="CQ7" i="3"/>
  <c r="CP7" i="3"/>
  <c r="CO7" i="3"/>
  <c r="CN7" i="3"/>
  <c r="CL7" i="3"/>
  <c r="CK7" i="3"/>
  <c r="CJ7" i="3"/>
  <c r="CI7" i="3"/>
  <c r="CF7" i="3"/>
  <c r="CE7" i="3"/>
  <c r="CD7" i="3"/>
  <c r="CB7" i="3"/>
  <c r="CA7" i="3"/>
  <c r="BZ7" i="3"/>
  <c r="BY7" i="3"/>
  <c r="BW7" i="3"/>
  <c r="BV7" i="3"/>
  <c r="BU7" i="3"/>
  <c r="BT7" i="3"/>
  <c r="BR7" i="3"/>
  <c r="BQ7" i="3"/>
  <c r="BP7" i="3"/>
  <c r="BO7" i="3"/>
  <c r="BC7" i="3"/>
  <c r="BB7" i="3"/>
  <c r="BA7" i="3"/>
  <c r="AZ7" i="3"/>
  <c r="AX7" i="3"/>
  <c r="AW7" i="3"/>
  <c r="AV7" i="3"/>
  <c r="AU7" i="3"/>
  <c r="AT7" i="3"/>
  <c r="AS7" i="3"/>
  <c r="AR7" i="3"/>
  <c r="AQ7" i="3"/>
  <c r="AP7" i="3"/>
  <c r="AO7" i="3"/>
  <c r="AN7" i="3"/>
  <c r="AM7" i="3"/>
  <c r="AL7" i="3"/>
  <c r="AK7" i="3"/>
  <c r="AJ7" i="3"/>
  <c r="AI7" i="3"/>
  <c r="AH7" i="3"/>
  <c r="AG7" i="3"/>
  <c r="AF7" i="3"/>
  <c r="AE7" i="3"/>
  <c r="AD7" i="3"/>
  <c r="AC7" i="3"/>
  <c r="AB7" i="3"/>
  <c r="AA7" i="3"/>
  <c r="Z7" i="3"/>
  <c r="Y7" i="3"/>
  <c r="X7" i="3"/>
  <c r="W7" i="3"/>
  <c r="V7" i="3"/>
  <c r="U7" i="3"/>
  <c r="T7" i="3"/>
  <c r="S7" i="3"/>
  <c r="R7" i="3"/>
  <c r="Q7" i="3"/>
  <c r="AT6" i="3"/>
  <c r="AT5" i="3"/>
  <c r="AT80" i="3" s="1"/>
  <c r="AO6" i="3"/>
  <c r="AO5" i="3"/>
  <c r="AO80" i="3" s="1"/>
  <c r="AJ6" i="3"/>
  <c r="AJ5" i="3"/>
  <c r="AJ80" i="3" s="1"/>
  <c r="AE6" i="3"/>
  <c r="AE5" i="3"/>
  <c r="AE80" i="3" s="1"/>
  <c r="Z6" i="3"/>
  <c r="Z5" i="3"/>
  <c r="Z80" i="3" s="1"/>
  <c r="U6" i="3"/>
  <c r="U5" i="3"/>
  <c r="U80" i="3" s="1"/>
  <c r="FQ10" i="3"/>
  <c r="FQ6" i="3"/>
  <c r="FQ12" i="3"/>
  <c r="FQ11" i="3"/>
  <c r="FQ9" i="3"/>
  <c r="FQ5" i="3"/>
  <c r="ET6" i="3"/>
  <c r="K2" i="3"/>
  <c r="P2" i="3" s="1"/>
  <c r="U2" i="3" s="1"/>
  <c r="Z2" i="3" s="1"/>
  <c r="AE2" i="3" s="1"/>
  <c r="AJ2" i="3" s="1"/>
  <c r="AO2" i="3" s="1"/>
  <c r="AT2" i="3" s="1"/>
  <c r="AY2" i="3" s="1"/>
  <c r="BD2" i="3" s="1"/>
  <c r="BI2" i="3" s="1"/>
  <c r="BN2" i="3" s="1"/>
  <c r="BS2" i="3" s="1"/>
  <c r="BX2" i="3" s="1"/>
  <c r="CC2" i="3" s="1"/>
  <c r="CH2" i="3" s="1"/>
  <c r="CM2" i="3" s="1"/>
  <c r="CR2" i="3" s="1"/>
  <c r="CW2" i="3" s="1"/>
  <c r="DB2" i="3" s="1"/>
  <c r="DG2" i="3" s="1"/>
  <c r="DL2" i="3" s="1"/>
  <c r="DQ2" i="3" s="1"/>
  <c r="DV2" i="3" s="1"/>
  <c r="EA2" i="3" s="1"/>
  <c r="EF2" i="3" s="1"/>
  <c r="ED1" i="3"/>
  <c r="EI1" i="3" s="1"/>
  <c r="J1" i="3"/>
  <c r="O1" i="3" s="1"/>
  <c r="T1" i="3" s="1"/>
  <c r="Y1" i="3" s="1"/>
  <c r="AD1" i="3" s="1"/>
  <c r="AI1" i="3" s="1"/>
  <c r="AN1" i="3" s="1"/>
  <c r="AS1" i="3" s="1"/>
  <c r="AX1" i="3" s="1"/>
  <c r="BC1" i="3" s="1"/>
  <c r="BH1" i="3" s="1"/>
  <c r="BM1" i="3" s="1"/>
  <c r="BR1" i="3" s="1"/>
  <c r="BW1" i="3" s="1"/>
  <c r="CB1" i="3" s="1"/>
  <c r="CG1" i="3" s="1"/>
  <c r="CL1" i="3" s="1"/>
  <c r="CQ1" i="3" s="1"/>
  <c r="CV1" i="3" s="1"/>
  <c r="DA1" i="3" s="1"/>
  <c r="DF1" i="3" s="1"/>
  <c r="DK1" i="3" s="1"/>
  <c r="DP1" i="3" s="1"/>
  <c r="DU1" i="3" s="1"/>
  <c r="DZ1" i="3" s="1"/>
  <c r="EE1" i="3" s="1"/>
  <c r="EJ1" i="3" s="1"/>
  <c r="I1" i="3"/>
  <c r="N1" i="3" s="1"/>
  <c r="S1" i="3" s="1"/>
  <c r="X1" i="3" s="1"/>
  <c r="AC1" i="3" s="1"/>
  <c r="AH1" i="3" s="1"/>
  <c r="AM1" i="3" s="1"/>
  <c r="AR1" i="3" s="1"/>
  <c r="AW1" i="3" s="1"/>
  <c r="BB1" i="3" s="1"/>
  <c r="BG1" i="3" s="1"/>
  <c r="BL1" i="3" s="1"/>
  <c r="BQ1" i="3" s="1"/>
  <c r="BV1" i="3" s="1"/>
  <c r="CA1" i="3" s="1"/>
  <c r="CF1" i="3" s="1"/>
  <c r="CK1" i="3" s="1"/>
  <c r="CP1" i="3" s="1"/>
  <c r="CU1" i="3" s="1"/>
  <c r="CZ1" i="3" s="1"/>
  <c r="DE1" i="3" s="1"/>
  <c r="DJ1" i="3" s="1"/>
  <c r="DO1" i="3" s="1"/>
  <c r="H1" i="3"/>
  <c r="M1" i="3" s="1"/>
  <c r="R1" i="3" s="1"/>
  <c r="W1" i="3" s="1"/>
  <c r="AB1" i="3" s="1"/>
  <c r="AG1" i="3" s="1"/>
  <c r="AL1" i="3" s="1"/>
  <c r="AQ1" i="3" s="1"/>
  <c r="AV1" i="3" s="1"/>
  <c r="BA1" i="3" s="1"/>
  <c r="BF1" i="3" s="1"/>
  <c r="BK1" i="3" s="1"/>
  <c r="BP1" i="3" s="1"/>
  <c r="BU1" i="3" s="1"/>
  <c r="BZ1" i="3" s="1"/>
  <c r="CE1" i="3" s="1"/>
  <c r="CJ1" i="3" s="1"/>
  <c r="CO1" i="3" s="1"/>
  <c r="CT1" i="3" s="1"/>
  <c r="CY1" i="3" s="1"/>
  <c r="DD1" i="3" s="1"/>
  <c r="DI1" i="3" s="1"/>
  <c r="DN1" i="3" s="1"/>
  <c r="DS1" i="3" s="1"/>
  <c r="DX1" i="3" s="1"/>
  <c r="EC1" i="3" s="1"/>
  <c r="EH1" i="3" s="1"/>
  <c r="EM1" i="3" s="1"/>
  <c r="G1" i="3"/>
  <c r="L1" i="3" s="1"/>
  <c r="Q1" i="3" s="1"/>
  <c r="V1" i="3" s="1"/>
  <c r="AA1" i="3" s="1"/>
  <c r="AF1" i="3" s="1"/>
  <c r="AK1" i="3" s="1"/>
  <c r="AP1" i="3" s="1"/>
  <c r="AU1" i="3" s="1"/>
  <c r="AZ1" i="3" s="1"/>
  <c r="BE1" i="3" s="1"/>
  <c r="BJ1" i="3" s="1"/>
  <c r="BO1" i="3" s="1"/>
  <c r="BT1" i="3" s="1"/>
  <c r="BY1" i="3" s="1"/>
  <c r="CD1" i="3" s="1"/>
  <c r="CI1" i="3" s="1"/>
  <c r="CN1" i="3" s="1"/>
  <c r="CS1" i="3" s="1"/>
  <c r="CX1" i="3" s="1"/>
  <c r="DC1" i="3" s="1"/>
  <c r="DH1" i="3" s="1"/>
  <c r="DM1" i="3" s="1"/>
  <c r="DR1" i="3" s="1"/>
  <c r="DW1" i="3" s="1"/>
  <c r="EB1" i="3" s="1"/>
  <c r="EG1" i="3" s="1"/>
  <c r="EL1" i="3" s="1"/>
  <c r="EQ1" i="3" s="1"/>
  <c r="W194" i="3" l="1"/>
  <c r="EA78" i="3"/>
  <c r="EU6" i="3"/>
  <c r="EU120" i="3" s="1"/>
  <c r="EU121" i="3" s="1"/>
  <c r="ET120" i="3"/>
  <c r="DM122" i="3"/>
  <c r="DM65" i="3"/>
  <c r="DM79" i="3"/>
  <c r="DN106" i="3"/>
  <c r="DN105" i="3"/>
  <c r="DU106" i="3"/>
  <c r="DU105" i="3"/>
  <c r="EA121" i="3"/>
  <c r="EK32" i="3"/>
  <c r="EF77" i="3"/>
  <c r="DI122" i="3"/>
  <c r="DI79" i="3"/>
  <c r="DI65" i="3"/>
  <c r="DN79" i="3"/>
  <c r="DN65" i="3"/>
  <c r="DN122" i="3"/>
  <c r="DU122" i="3"/>
  <c r="DU65" i="3"/>
  <c r="DU79" i="3"/>
  <c r="DM106" i="3"/>
  <c r="DM105" i="3"/>
  <c r="DQ121" i="3"/>
  <c r="DH122" i="3"/>
  <c r="DH65" i="3"/>
  <c r="DH79" i="3"/>
  <c r="DS65" i="3"/>
  <c r="DS122" i="3"/>
  <c r="DS79" i="3"/>
  <c r="DP105" i="3"/>
  <c r="DP106" i="3"/>
  <c r="EK33" i="3"/>
  <c r="EF120" i="3"/>
  <c r="DJ65" i="3"/>
  <c r="DJ122" i="3"/>
  <c r="DJ79" i="3"/>
  <c r="DP122" i="3"/>
  <c r="DP79" i="3"/>
  <c r="DP65" i="3"/>
  <c r="DS106" i="3"/>
  <c r="DS105" i="3"/>
  <c r="DJ106" i="3"/>
  <c r="DR105" i="3"/>
  <c r="DR106" i="3"/>
  <c r="DV121" i="3"/>
  <c r="DQ78" i="3"/>
  <c r="DK26" i="3"/>
  <c r="DK65" i="3"/>
  <c r="DK79" i="3"/>
  <c r="DK122" i="3"/>
  <c r="DR122" i="3"/>
  <c r="DR79" i="3"/>
  <c r="DR65" i="3"/>
  <c r="DQ64" i="3"/>
  <c r="DV64" i="3"/>
  <c r="EU169" i="3"/>
  <c r="FK170" i="3"/>
  <c r="DZ267" i="3"/>
  <c r="CM285" i="3"/>
  <c r="DC48" i="3"/>
  <c r="DN90" i="3"/>
  <c r="CE84" i="3"/>
  <c r="CW378" i="3"/>
  <c r="EA378" i="3"/>
  <c r="BR201" i="3"/>
  <c r="CH186" i="3"/>
  <c r="CL265" i="3"/>
  <c r="CP194" i="3"/>
  <c r="EE267" i="3"/>
  <c r="EE266" i="3" s="1"/>
  <c r="EE265" i="3" s="1"/>
  <c r="BU201" i="3"/>
  <c r="BK210" i="3"/>
  <c r="CE218" i="3"/>
  <c r="EU351" i="3"/>
  <c r="EU267" i="3" s="1"/>
  <c r="EP267" i="3"/>
  <c r="EP266" i="3" s="1"/>
  <c r="EP265" i="3" s="1"/>
  <c r="BT201" i="3"/>
  <c r="V161" i="3"/>
  <c r="BU210" i="3"/>
  <c r="CY161" i="3"/>
  <c r="AS194" i="3"/>
  <c r="FI217" i="3"/>
  <c r="CY179" i="3"/>
  <c r="AC179" i="3"/>
  <c r="BC194" i="3"/>
  <c r="FJ217" i="3"/>
  <c r="EC90" i="3"/>
  <c r="EF90" i="3" s="1"/>
  <c r="EF91" i="3" s="1"/>
  <c r="AD179" i="3"/>
  <c r="CN194" i="3"/>
  <c r="FK217" i="3"/>
  <c r="BW265" i="3"/>
  <c r="DU267" i="3"/>
  <c r="DU266" i="3" s="1"/>
  <c r="DU265" i="3" s="1"/>
  <c r="EI256" i="3"/>
  <c r="EJ82" i="3"/>
  <c r="EN81" i="3"/>
  <c r="FQ81" i="3" s="1"/>
  <c r="EN102" i="3"/>
  <c r="EI190" i="3"/>
  <c r="FQ32" i="3"/>
  <c r="FQ34" i="3"/>
  <c r="EN61" i="3"/>
  <c r="FQ75" i="3"/>
  <c r="FQ96" i="3"/>
  <c r="FQ118" i="3"/>
  <c r="EN124" i="3"/>
  <c r="EH161" i="3"/>
  <c r="AL161" i="3"/>
  <c r="DI179" i="3"/>
  <c r="EH194" i="3"/>
  <c r="AL194" i="3"/>
  <c r="AT194" i="3"/>
  <c r="CE194" i="3"/>
  <c r="CO194" i="3"/>
  <c r="BR210" i="3"/>
  <c r="CE210" i="3"/>
  <c r="CO218" i="3"/>
  <c r="EI179" i="3"/>
  <c r="EN224" i="3"/>
  <c r="EH266" i="3"/>
  <c r="EH265" i="3" s="1"/>
  <c r="DL267" i="3"/>
  <c r="DQ266" i="3" s="1"/>
  <c r="DQ265" i="3" s="1"/>
  <c r="FQ154" i="3"/>
  <c r="EU11" i="3"/>
  <c r="EI55" i="3"/>
  <c r="EN56" i="3" s="1"/>
  <c r="EN46" i="3"/>
  <c r="EJ188" i="3"/>
  <c r="EN187" i="3"/>
  <c r="EU137" i="3"/>
  <c r="EU140" i="3"/>
  <c r="EN92" i="3"/>
  <c r="EN98" i="3"/>
  <c r="EN38" i="3"/>
  <c r="EN37" i="3"/>
  <c r="DG186" i="3"/>
  <c r="CT90" i="3"/>
  <c r="CO161" i="3"/>
  <c r="BK179" i="3"/>
  <c r="CO179" i="3"/>
  <c r="AK194" i="3"/>
  <c r="CD194" i="3"/>
  <c r="EA196" i="3"/>
  <c r="AL210" i="3"/>
  <c r="EH210" i="3"/>
  <c r="BU218" i="3"/>
  <c r="AT218" i="3"/>
  <c r="CR260" i="3"/>
  <c r="DQ378" i="3"/>
  <c r="U194" i="3"/>
  <c r="BA194" i="3"/>
  <c r="AT161" i="3"/>
  <c r="V194" i="3"/>
  <c r="BB194" i="3"/>
  <c r="DI210" i="3"/>
  <c r="BB161" i="3"/>
  <c r="BU179" i="3"/>
  <c r="AL179" i="3"/>
  <c r="CE201" i="3"/>
  <c r="V210" i="3"/>
  <c r="DP210" i="3"/>
  <c r="DE84" i="3"/>
  <c r="DS90" i="3"/>
  <c r="CH94" i="3"/>
  <c r="CE161" i="3"/>
  <c r="BB179" i="3"/>
  <c r="CE179" i="3"/>
  <c r="EH179" i="3"/>
  <c r="AJ194" i="3"/>
  <c r="BJ194" i="3"/>
  <c r="AD210" i="3"/>
  <c r="DW210" i="3"/>
  <c r="CV218" i="3"/>
  <c r="DA265" i="3"/>
  <c r="EF266" i="3"/>
  <c r="EF265" i="3" s="1"/>
  <c r="DZ356" i="3"/>
  <c r="CG7" i="3"/>
  <c r="CG29" i="3" s="1"/>
  <c r="CH60" i="3"/>
  <c r="CH66" i="3" s="1"/>
  <c r="CO90" i="3"/>
  <c r="AZ161" i="3"/>
  <c r="EH316" i="3"/>
  <c r="EI316" i="3" s="1"/>
  <c r="CG265" i="3"/>
  <c r="DH48" i="3"/>
  <c r="EB154" i="3"/>
  <c r="CB161" i="3"/>
  <c r="EE194" i="3"/>
  <c r="FP8" i="3"/>
  <c r="EM30" i="3"/>
  <c r="CK90" i="3"/>
  <c r="DX90" i="3"/>
  <c r="BN113" i="3"/>
  <c r="BN101" i="3" s="1"/>
  <c r="EE161" i="3"/>
  <c r="CB265" i="3"/>
  <c r="DU348" i="3"/>
  <c r="EA186" i="3"/>
  <c r="DR90" i="3"/>
  <c r="BH179" i="3"/>
  <c r="CB179" i="3"/>
  <c r="EH256" i="3"/>
  <c r="FP256" i="3" s="1"/>
  <c r="EM38" i="3"/>
  <c r="FP45" i="3"/>
  <c r="EM46" i="3"/>
  <c r="EH90" i="3"/>
  <c r="EM92" i="3"/>
  <c r="EM98" i="3"/>
  <c r="FP101" i="3"/>
  <c r="EM102" i="3"/>
  <c r="FP123" i="3"/>
  <c r="EM124" i="3"/>
  <c r="EH138" i="3"/>
  <c r="FP137" i="3"/>
  <c r="EH166" i="3"/>
  <c r="EH168" i="3" s="1"/>
  <c r="EM187" i="3"/>
  <c r="EH240" i="3"/>
  <c r="EM224" i="3"/>
  <c r="EM37" i="3"/>
  <c r="EM61" i="3"/>
  <c r="FP80" i="3"/>
  <c r="EM81" i="3"/>
  <c r="DK84" i="3"/>
  <c r="EG90" i="3"/>
  <c r="EL92" i="3"/>
  <c r="FN92" i="3" s="1"/>
  <c r="BX96" i="3"/>
  <c r="DL91" i="3"/>
  <c r="DL84" i="3" s="1"/>
  <c r="V125" i="3"/>
  <c r="AF125" i="3"/>
  <c r="EH190" i="3"/>
  <c r="FP180" i="3"/>
  <c r="DV185" i="3"/>
  <c r="DO261" i="3"/>
  <c r="DO260" i="3" s="1"/>
  <c r="DS261" i="3"/>
  <c r="DS260" i="3" s="1"/>
  <c r="DT261" i="3"/>
  <c r="DT260" i="3" s="1"/>
  <c r="DK266" i="3"/>
  <c r="DK265" i="3" s="1"/>
  <c r="DX266" i="3"/>
  <c r="DX265" i="3" s="1"/>
  <c r="CR279" i="3"/>
  <c r="CG56" i="3"/>
  <c r="CQ56" i="3"/>
  <c r="EG55" i="3"/>
  <c r="EG56" i="3" s="1"/>
  <c r="EL46" i="3"/>
  <c r="FN46" i="3" s="1"/>
  <c r="EL187" i="3"/>
  <c r="FN187" i="3" s="1"/>
  <c r="EB161" i="3"/>
  <c r="DN210" i="3"/>
  <c r="BP218" i="3"/>
  <c r="AJ161" i="3"/>
  <c r="BZ161" i="3"/>
  <c r="EE179" i="3"/>
  <c r="AB179" i="3"/>
  <c r="AT179" i="3"/>
  <c r="DW194" i="3"/>
  <c r="AI194" i="3"/>
  <c r="AZ194" i="3"/>
  <c r="CB194" i="3"/>
  <c r="CY194" i="3"/>
  <c r="BK201" i="3"/>
  <c r="T210" i="3"/>
  <c r="BH210" i="3"/>
  <c r="CY210" i="3"/>
  <c r="EE218" i="3"/>
  <c r="AR218" i="3"/>
  <c r="BH161" i="3"/>
  <c r="DD161" i="3"/>
  <c r="AP179" i="3"/>
  <c r="BK194" i="3"/>
  <c r="AR210" i="3"/>
  <c r="CJ210" i="3"/>
  <c r="R218" i="3"/>
  <c r="BR179" i="3"/>
  <c r="AP210" i="3"/>
  <c r="AD161" i="3"/>
  <c r="BK161" i="3"/>
  <c r="DF161" i="3"/>
  <c r="DW161" i="3"/>
  <c r="CT179" i="3"/>
  <c r="V179" i="3"/>
  <c r="AR179" i="3"/>
  <c r="DI194" i="3"/>
  <c r="AX194" i="3"/>
  <c r="CV194" i="3"/>
  <c r="AT210" i="3"/>
  <c r="CL210" i="3"/>
  <c r="BB218" i="3"/>
  <c r="CB218" i="3"/>
  <c r="CY218" i="3"/>
  <c r="T218" i="3"/>
  <c r="DI161" i="3"/>
  <c r="AH161" i="3"/>
  <c r="BU161" i="3"/>
  <c r="CV179" i="3"/>
  <c r="DW179" i="3"/>
  <c r="Z179" i="3"/>
  <c r="DP194" i="3"/>
  <c r="AD194" i="3"/>
  <c r="BU194" i="3"/>
  <c r="BB201" i="3"/>
  <c r="R210" i="3"/>
  <c r="BB210" i="3"/>
  <c r="CO210" i="3"/>
  <c r="BK218" i="3"/>
  <c r="DI218" i="3"/>
  <c r="AB218" i="3"/>
  <c r="CT194" i="3"/>
  <c r="BP179" i="3"/>
  <c r="BZ179" i="3"/>
  <c r="EB194" i="3"/>
  <c r="BP194" i="3"/>
  <c r="BZ218" i="3"/>
  <c r="Z218" i="3"/>
  <c r="R161" i="3"/>
  <c r="CJ161" i="3"/>
  <c r="Z194" i="3"/>
  <c r="CJ194" i="3"/>
  <c r="BF201" i="3"/>
  <c r="CT210" i="3"/>
  <c r="DN161" i="3"/>
  <c r="T161" i="3"/>
  <c r="AP161" i="3"/>
  <c r="CL161" i="3"/>
  <c r="DF179" i="3"/>
  <c r="DD194" i="3"/>
  <c r="AB194" i="3"/>
  <c r="AP194" i="3"/>
  <c r="BR194" i="3"/>
  <c r="BH201" i="3"/>
  <c r="CB201" i="3"/>
  <c r="AB210" i="3"/>
  <c r="AX210" i="3"/>
  <c r="CV210" i="3"/>
  <c r="EB210" i="3"/>
  <c r="DN218" i="3"/>
  <c r="AD218" i="3"/>
  <c r="EL224" i="3"/>
  <c r="FN224" i="3" s="1"/>
  <c r="Z210" i="3"/>
  <c r="DP161" i="3"/>
  <c r="AR161" i="3"/>
  <c r="BP161" i="3"/>
  <c r="AZ179" i="3"/>
  <c r="CJ179" i="3"/>
  <c r="R179" i="3"/>
  <c r="AH179" i="3"/>
  <c r="AX179" i="3"/>
  <c r="DF194" i="3"/>
  <c r="R194" i="3"/>
  <c r="CL194" i="3"/>
  <c r="AZ210" i="3"/>
  <c r="BZ210" i="3"/>
  <c r="BF218" i="3"/>
  <c r="DP218" i="3"/>
  <c r="AH218" i="3"/>
  <c r="DD218" i="3"/>
  <c r="BQ194" i="3"/>
  <c r="BZ201" i="3"/>
  <c r="Z161" i="3"/>
  <c r="BR161" i="3"/>
  <c r="CT161" i="3"/>
  <c r="CL179" i="3"/>
  <c r="DN179" i="3"/>
  <c r="T179" i="3"/>
  <c r="AJ179" i="3"/>
  <c r="S194" i="3"/>
  <c r="BF194" i="3"/>
  <c r="AH210" i="3"/>
  <c r="DD210" i="3"/>
  <c r="BH218" i="3"/>
  <c r="AJ218" i="3"/>
  <c r="BF161" i="3"/>
  <c r="BP210" i="3"/>
  <c r="EB218" i="3"/>
  <c r="AX161" i="3"/>
  <c r="BF179" i="3"/>
  <c r="DR179" i="3"/>
  <c r="DN194" i="3"/>
  <c r="AH194" i="3"/>
  <c r="BZ194" i="3"/>
  <c r="BF210" i="3"/>
  <c r="DF210" i="3"/>
  <c r="CT218" i="3"/>
  <c r="AP218" i="3"/>
  <c r="EL124" i="3"/>
  <c r="FN124" i="3" s="1"/>
  <c r="EL61" i="3"/>
  <c r="FN61" i="3" s="1"/>
  <c r="BY90" i="3"/>
  <c r="BZ90" i="3"/>
  <c r="EL102" i="3"/>
  <c r="FN102" i="3" s="1"/>
  <c r="EL81" i="3"/>
  <c r="FN81" i="3" s="1"/>
  <c r="DA84" i="3"/>
  <c r="Y125" i="3"/>
  <c r="AS125" i="3"/>
  <c r="EC14" i="3"/>
  <c r="EC13" i="3" s="1"/>
  <c r="EC12" i="3" s="1"/>
  <c r="EL38" i="3"/>
  <c r="FN38" i="3" s="1"/>
  <c r="EL37" i="3"/>
  <c r="FN37" i="3" s="1"/>
  <c r="DG97" i="3"/>
  <c r="BX170" i="3"/>
  <c r="DL170" i="3"/>
  <c r="BI185" i="3"/>
  <c r="DL198" i="3"/>
  <c r="EE16" i="3"/>
  <c r="EJ37" i="3" s="1"/>
  <c r="CC60" i="3"/>
  <c r="BL84" i="3"/>
  <c r="CD90" i="3"/>
  <c r="CJ90" i="3"/>
  <c r="CP90" i="3"/>
  <c r="CU90" i="3"/>
  <c r="DI188" i="3"/>
  <c r="CR55" i="3"/>
  <c r="BW57" i="3"/>
  <c r="EB188" i="3"/>
  <c r="BY57" i="3"/>
  <c r="DE187" i="3"/>
  <c r="BX55" i="3"/>
  <c r="CA57" i="3"/>
  <c r="CR60" i="3"/>
  <c r="CR66" i="3" s="1"/>
  <c r="BM84" i="3"/>
  <c r="CW91" i="3"/>
  <c r="CW84" i="3" s="1"/>
  <c r="CV137" i="3"/>
  <c r="CV138" i="3" s="1"/>
  <c r="CV140" i="3"/>
  <c r="DB165" i="3"/>
  <c r="BD170" i="3"/>
  <c r="CR170" i="3"/>
  <c r="BN185" i="3"/>
  <c r="AA194" i="3"/>
  <c r="AU194" i="3"/>
  <c r="BG194" i="3"/>
  <c r="CF194" i="3"/>
  <c r="DR327" i="3"/>
  <c r="P378" i="3"/>
  <c r="CH378" i="3"/>
  <c r="DY138" i="3"/>
  <c r="AM179" i="3"/>
  <c r="BL201" i="3"/>
  <c r="DE266" i="3"/>
  <c r="DE265" i="3" s="1"/>
  <c r="DU344" i="3"/>
  <c r="J4" i="42"/>
  <c r="K4" i="42" s="1"/>
  <c r="K5" i="42" s="1"/>
  <c r="BK7" i="3"/>
  <c r="BK29" i="3" s="1"/>
  <c r="DT36" i="3"/>
  <c r="BQ84" i="3"/>
  <c r="DT84" i="3"/>
  <c r="EA97" i="3"/>
  <c r="BX100" i="3"/>
  <c r="CM96" i="3"/>
  <c r="DB94" i="3"/>
  <c r="DL100" i="3"/>
  <c r="BY101" i="3"/>
  <c r="BY107" i="3" s="1"/>
  <c r="BY108" i="3" s="1"/>
  <c r="DG101" i="3"/>
  <c r="DG107" i="3" s="1"/>
  <c r="DL118" i="3"/>
  <c r="AA125" i="3"/>
  <c r="AK125" i="3"/>
  <c r="AU125" i="3"/>
  <c r="EC161" i="3"/>
  <c r="CH178" i="3"/>
  <c r="DV183" i="3"/>
  <c r="DV180" i="3" s="1"/>
  <c r="EF191" i="3"/>
  <c r="EK192" i="3" s="1"/>
  <c r="EC192" i="3"/>
  <c r="EB348" i="3"/>
  <c r="P379" i="3"/>
  <c r="B176" i="42"/>
  <c r="D176" i="42" s="1"/>
  <c r="AH127" i="3"/>
  <c r="EC179" i="3"/>
  <c r="AE179" i="3"/>
  <c r="BV194" i="3"/>
  <c r="BL218" i="3"/>
  <c r="BR265" i="3"/>
  <c r="CV265" i="3"/>
  <c r="DX315" i="3"/>
  <c r="DW327" i="3"/>
  <c r="EB344" i="3"/>
  <c r="DZ342" i="3"/>
  <c r="DP267" i="3"/>
  <c r="DR266" i="3" s="1"/>
  <c r="DR265" i="3" s="1"/>
  <c r="DB60" i="3"/>
  <c r="DB66" i="3" s="1"/>
  <c r="CA84" i="3"/>
  <c r="BN97" i="3"/>
  <c r="DX102" i="3"/>
  <c r="CM55" i="3"/>
  <c r="BU90" i="3"/>
  <c r="DI90" i="3"/>
  <c r="DU90" i="3"/>
  <c r="DZ90" i="3"/>
  <c r="DV96" i="3"/>
  <c r="BD101" i="3"/>
  <c r="DZ125" i="3"/>
  <c r="DT138" i="3"/>
  <c r="DX340" i="3"/>
  <c r="AY378" i="3"/>
  <c r="BS46" i="3"/>
  <c r="BL7" i="3"/>
  <c r="BQ29" i="3" s="1"/>
  <c r="BN60" i="3"/>
  <c r="BN66" i="3" s="1"/>
  <c r="EK60" i="3"/>
  <c r="EP61" i="3" s="1"/>
  <c r="BX60" i="3"/>
  <c r="BP90" i="3"/>
  <c r="BV90" i="3"/>
  <c r="CX90" i="3"/>
  <c r="DD90" i="3"/>
  <c r="DJ90" i="3"/>
  <c r="CQ137" i="3"/>
  <c r="CQ138" i="3" s="1"/>
  <c r="EA163" i="3"/>
  <c r="AQ194" i="3"/>
  <c r="CA194" i="3"/>
  <c r="CQ265" i="3"/>
  <c r="DV291" i="3"/>
  <c r="CM327" i="3"/>
  <c r="BN378" i="3"/>
  <c r="DW88" i="3"/>
  <c r="CS90" i="3"/>
  <c r="CY90" i="3"/>
  <c r="CR100" i="3"/>
  <c r="DV97" i="3"/>
  <c r="AP125" i="3"/>
  <c r="AZ125" i="3"/>
  <c r="DT161" i="3"/>
  <c r="BE201" i="3"/>
  <c r="DY218" i="3"/>
  <c r="DY261" i="3"/>
  <c r="DY260" i="3" s="1"/>
  <c r="CC378" i="3"/>
  <c r="J38" i="91"/>
  <c r="J33" i="91"/>
  <c r="J39" i="91" s="1"/>
  <c r="J31" i="91"/>
  <c r="J37" i="91" s="1"/>
  <c r="DX154" i="3"/>
  <c r="AF161" i="3"/>
  <c r="AV161" i="3"/>
  <c r="BM161" i="3"/>
  <c r="CG161" i="3"/>
  <c r="DA161" i="3"/>
  <c r="CC180" i="3"/>
  <c r="BW179" i="3"/>
  <c r="CQ179" i="3"/>
  <c r="DK179" i="3"/>
  <c r="EC187" i="3"/>
  <c r="DG198" i="3"/>
  <c r="DQ198" i="3"/>
  <c r="BD201" i="3"/>
  <c r="AF210" i="3"/>
  <c r="AV210" i="3"/>
  <c r="BM210" i="3"/>
  <c r="CG210" i="3"/>
  <c r="DA210" i="3"/>
  <c r="DY210" i="3"/>
  <c r="DA218" i="3"/>
  <c r="CH260" i="3"/>
  <c r="DN266" i="3"/>
  <c r="DN265" i="3" s="1"/>
  <c r="DV279" i="3"/>
  <c r="DV327" i="3"/>
  <c r="AY327" i="3"/>
  <c r="BS327" i="3"/>
  <c r="EA348" i="3"/>
  <c r="EF358" i="3"/>
  <c r="EE358" i="3" s="1"/>
  <c r="DU356" i="3"/>
  <c r="BS378" i="3"/>
  <c r="AM125" i="3"/>
  <c r="BD179" i="3"/>
  <c r="DY179" i="3"/>
  <c r="AF179" i="3"/>
  <c r="CV188" i="3"/>
  <c r="EI318" i="3"/>
  <c r="EJ318" i="3" s="1"/>
  <c r="EA327" i="3"/>
  <c r="EI326" i="3"/>
  <c r="EJ324" i="3"/>
  <c r="EJ326" i="3" s="1"/>
  <c r="DB47" i="3"/>
  <c r="DG48" i="3" s="1"/>
  <c r="ED66" i="3"/>
  <c r="DY88" i="3"/>
  <c r="BR90" i="3"/>
  <c r="CB90" i="3"/>
  <c r="CG90" i="3"/>
  <c r="CL90" i="3"/>
  <c r="CV90" i="3"/>
  <c r="DF90" i="3"/>
  <c r="DP90" i="3"/>
  <c r="BV98" i="3"/>
  <c r="CH96" i="3"/>
  <c r="DG96" i="3"/>
  <c r="DV94" i="3"/>
  <c r="CN162" i="3"/>
  <c r="EE165" i="3"/>
  <c r="EE166" i="3" s="1"/>
  <c r="EG168" i="3" s="1"/>
  <c r="Q179" i="3"/>
  <c r="Y179" i="3"/>
  <c r="AG179" i="3"/>
  <c r="AO179" i="3"/>
  <c r="AW179" i="3"/>
  <c r="CH185" i="3"/>
  <c r="EF178" i="3"/>
  <c r="DY194" i="3"/>
  <c r="EA197" i="3"/>
  <c r="AF218" i="3"/>
  <c r="DA224" i="3"/>
  <c r="CW260" i="3"/>
  <c r="ED266" i="3"/>
  <c r="ED265" i="3" s="1"/>
  <c r="EB327" i="3"/>
  <c r="DZ350" i="3"/>
  <c r="DZ348" i="3" s="1"/>
  <c r="EJ30" i="3"/>
  <c r="BT98" i="3"/>
  <c r="BM224" i="3"/>
  <c r="CG61" i="3"/>
  <c r="BS60" i="3"/>
  <c r="BJ101" i="3"/>
  <c r="BJ102" i="3" s="1"/>
  <c r="EK140" i="3"/>
  <c r="EK137" i="3"/>
  <c r="EK138" i="3" s="1"/>
  <c r="DY161" i="3"/>
  <c r="X161" i="3"/>
  <c r="AN161" i="3"/>
  <c r="BD161" i="3"/>
  <c r="BW161" i="3"/>
  <c r="CQ161" i="3"/>
  <c r="CW180" i="3"/>
  <c r="CW190" i="3" s="1"/>
  <c r="CG179" i="3"/>
  <c r="DA179" i="3"/>
  <c r="DL178" i="3"/>
  <c r="BM201" i="3"/>
  <c r="BW201" i="3"/>
  <c r="CG201" i="3"/>
  <c r="X210" i="3"/>
  <c r="AN210" i="3"/>
  <c r="BD210" i="3"/>
  <c r="BW210" i="3"/>
  <c r="CQ210" i="3"/>
  <c r="DK210" i="3"/>
  <c r="BM218" i="3"/>
  <c r="DB260" i="3"/>
  <c r="CJ287" i="3"/>
  <c r="CM287" i="3" s="1"/>
  <c r="EI328" i="3"/>
  <c r="EJ328" i="3" s="1"/>
  <c r="CD57" i="3"/>
  <c r="DB170" i="3"/>
  <c r="DF188" i="3"/>
  <c r="EE198" i="3"/>
  <c r="BG7" i="3"/>
  <c r="BG29" i="3" s="1"/>
  <c r="CD61" i="3"/>
  <c r="EG84" i="3"/>
  <c r="BI113" i="3"/>
  <c r="BI101" i="3" s="1"/>
  <c r="DK161" i="3"/>
  <c r="DH193" i="3"/>
  <c r="BO201" i="3"/>
  <c r="BY201" i="3"/>
  <c r="AV218" i="3"/>
  <c r="CH291" i="3"/>
  <c r="DB291" i="3"/>
  <c r="EI311" i="3"/>
  <c r="EJ311" i="3" s="1"/>
  <c r="EG30" i="3"/>
  <c r="EK8" i="3"/>
  <c r="S125" i="3"/>
  <c r="X179" i="3"/>
  <c r="CB188" i="3"/>
  <c r="DV186" i="3"/>
  <c r="DM56" i="3"/>
  <c r="AH125" i="3"/>
  <c r="CQ140" i="3"/>
  <c r="DV163" i="3"/>
  <c r="CH170" i="3"/>
  <c r="DV170" i="3"/>
  <c r="BM179" i="3"/>
  <c r="CQ188" i="3"/>
  <c r="DK188" i="3"/>
  <c r="EH192" i="3"/>
  <c r="X194" i="3"/>
  <c r="AN194" i="3"/>
  <c r="AV194" i="3"/>
  <c r="BD194" i="3"/>
  <c r="BM194" i="3"/>
  <c r="BW194" i="3"/>
  <c r="CG194" i="3"/>
  <c r="CQ194" i="3"/>
  <c r="DA194" i="3"/>
  <c r="V218" i="3"/>
  <c r="AL218" i="3"/>
  <c r="AK224" i="3"/>
  <c r="BX260" i="3"/>
  <c r="BR260" i="3"/>
  <c r="BW260" i="3"/>
  <c r="CB260" i="3"/>
  <c r="CG260" i="3"/>
  <c r="CL260" i="3"/>
  <c r="CQ260" i="3"/>
  <c r="CV260" i="3"/>
  <c r="DA260" i="3"/>
  <c r="DG279" i="3"/>
  <c r="BN279" i="3"/>
  <c r="EI313" i="3"/>
  <c r="EJ313" i="3" s="1"/>
  <c r="EJ314" i="3" s="1"/>
  <c r="EI321" i="3"/>
  <c r="EJ321" i="3" s="1"/>
  <c r="DG327" i="3"/>
  <c r="EF353" i="3"/>
  <c r="J20" i="42"/>
  <c r="K20" i="42" s="1"/>
  <c r="EJ306" i="3"/>
  <c r="BN170" i="3"/>
  <c r="AN179" i="3"/>
  <c r="CL188" i="3"/>
  <c r="DP188" i="3"/>
  <c r="CG218" i="3"/>
  <c r="CG224" i="3"/>
  <c r="EA279" i="3"/>
  <c r="EI307" i="3"/>
  <c r="EI308" i="3" s="1"/>
  <c r="EH399" i="3"/>
  <c r="EB266" i="3"/>
  <c r="EB265" i="3" s="1"/>
  <c r="BJ7" i="3"/>
  <c r="BJ29" i="3" s="1"/>
  <c r="FQ30" i="3"/>
  <c r="EA45" i="3"/>
  <c r="EA55" i="3" s="1"/>
  <c r="CV102" i="3"/>
  <c r="EI165" i="3"/>
  <c r="DK194" i="3"/>
  <c r="BY194" i="3"/>
  <c r="EI198" i="3"/>
  <c r="BQ201" i="3"/>
  <c r="CA201" i="3"/>
  <c r="EE256" i="3"/>
  <c r="CC260" i="3"/>
  <c r="EJ304" i="3"/>
  <c r="DV378" i="3"/>
  <c r="X24" i="91"/>
  <c r="Y24" i="91" s="1"/>
  <c r="A4" i="41"/>
  <c r="B4" i="41" s="1"/>
  <c r="E5" i="41"/>
  <c r="E6" i="41" s="1"/>
  <c r="E7" i="41" s="1"/>
  <c r="EB15" i="3"/>
  <c r="DZ13" i="3"/>
  <c r="DZ12" i="3" s="1"/>
  <c r="DZ36" i="3" s="1"/>
  <c r="CM101" i="3"/>
  <c r="CM107" i="3" s="1"/>
  <c r="DD102" i="3"/>
  <c r="CA61" i="3"/>
  <c r="CE61" i="3"/>
  <c r="BP126" i="3"/>
  <c r="BP156" i="3" s="1"/>
  <c r="BP128" i="3" s="1"/>
  <c r="BW61" i="3"/>
  <c r="DT68" i="3"/>
  <c r="S24" i="3"/>
  <c r="AN24" i="3"/>
  <c r="CB24" i="3"/>
  <c r="CQ24" i="3"/>
  <c r="DK24" i="3"/>
  <c r="DZ19" i="3"/>
  <c r="DZ38" i="3" s="1"/>
  <c r="W29" i="3"/>
  <c r="AE29" i="3"/>
  <c r="AM29" i="3"/>
  <c r="AU29" i="3"/>
  <c r="EK2" i="3"/>
  <c r="EE55" i="3"/>
  <c r="EJ46" i="3"/>
  <c r="DV50" i="3"/>
  <c r="EF48" i="3"/>
  <c r="CX61" i="3"/>
  <c r="EE84" i="3"/>
  <c r="EJ92" i="3"/>
  <c r="CC100" i="3"/>
  <c r="CC91" i="3"/>
  <c r="CC90" i="3" s="1"/>
  <c r="BM102" i="3"/>
  <c r="DM102" i="3"/>
  <c r="DT102" i="3"/>
  <c r="DY102" i="3"/>
  <c r="EB102" i="3"/>
  <c r="EG102" i="3"/>
  <c r="EK101" i="3"/>
  <c r="EP102" i="3" s="1"/>
  <c r="BX101" i="3"/>
  <c r="CW101" i="3"/>
  <c r="CW107" i="3" s="1"/>
  <c r="FQ123" i="3"/>
  <c r="EJ125" i="3"/>
  <c r="EE138" i="3"/>
  <c r="BU216" i="3"/>
  <c r="BX220" i="3"/>
  <c r="CY216" i="3"/>
  <c r="F11" i="91"/>
  <c r="F22" i="91" s="1"/>
  <c r="EA35" i="3"/>
  <c r="AY33" i="3"/>
  <c r="BD34" i="3"/>
  <c r="BX34" i="3"/>
  <c r="CC35" i="3"/>
  <c r="CM33" i="3"/>
  <c r="CM31" i="3"/>
  <c r="CM35" i="3"/>
  <c r="CR34" i="3"/>
  <c r="CW35" i="3"/>
  <c r="DG33" i="3"/>
  <c r="DG31" i="3"/>
  <c r="DG35" i="3"/>
  <c r="DL34" i="3"/>
  <c r="DX14" i="3"/>
  <c r="DY15" i="3"/>
  <c r="DY13" i="3" s="1"/>
  <c r="DY12" i="3" s="1"/>
  <c r="EE14" i="3"/>
  <c r="EE13" i="3" s="1"/>
  <c r="EE12" i="3" s="1"/>
  <c r="BS37" i="3"/>
  <c r="CM37" i="3"/>
  <c r="DG37" i="3"/>
  <c r="BD39" i="3"/>
  <c r="BX39" i="3"/>
  <c r="CR39" i="3"/>
  <c r="DL39" i="3"/>
  <c r="EH46" i="3"/>
  <c r="DT56" i="3"/>
  <c r="CH46" i="3"/>
  <c r="DB46" i="3"/>
  <c r="DG52" i="3"/>
  <c r="FJ52" i="3" s="1"/>
  <c r="CC54" i="3"/>
  <c r="CW54" i="3"/>
  <c r="DL52" i="3"/>
  <c r="EA48" i="3"/>
  <c r="EA52" i="3"/>
  <c r="EF52" i="3"/>
  <c r="CO57" i="3"/>
  <c r="CQ57" i="3"/>
  <c r="CT57" i="3"/>
  <c r="CY57" i="3"/>
  <c r="DA57" i="3"/>
  <c r="DE57" i="3"/>
  <c r="DH57" i="3"/>
  <c r="DI57" i="3"/>
  <c r="DK57" i="3"/>
  <c r="DN56" i="3"/>
  <c r="DP57" i="3"/>
  <c r="BB61" i="3"/>
  <c r="BM61" i="3"/>
  <c r="BR61" i="3"/>
  <c r="DN66" i="3"/>
  <c r="DN67" i="3" s="1"/>
  <c r="DN61" i="3"/>
  <c r="DX61" i="3"/>
  <c r="EJ61" i="3"/>
  <c r="DD61" i="3"/>
  <c r="DB96" i="3"/>
  <c r="DQ100" i="3"/>
  <c r="DQ91" i="3"/>
  <c r="DQ84" i="3" s="1"/>
  <c r="EF96" i="3"/>
  <c r="EF94" i="3"/>
  <c r="CL125" i="3"/>
  <c r="AD127" i="3"/>
  <c r="AL127" i="3"/>
  <c r="EF170" i="3"/>
  <c r="BI178" i="3"/>
  <c r="BI180" i="3"/>
  <c r="BN178" i="3"/>
  <c r="EE190" i="3"/>
  <c r="DB178" i="3"/>
  <c r="DL185" i="3"/>
  <c r="CS209" i="3"/>
  <c r="CV209" i="3"/>
  <c r="BY209" i="3"/>
  <c r="DX179" i="3"/>
  <c r="DX161" i="3"/>
  <c r="DZ179" i="3"/>
  <c r="DZ161" i="3"/>
  <c r="BI60" i="3"/>
  <c r="BI61" i="3" s="1"/>
  <c r="CM60" i="3"/>
  <c r="CW60" i="3"/>
  <c r="CM75" i="3"/>
  <c r="DG75" i="3"/>
  <c r="EA75" i="3"/>
  <c r="R82" i="3"/>
  <c r="T82" i="3"/>
  <c r="X82" i="3"/>
  <c r="Y82" i="3"/>
  <c r="AD82" i="3"/>
  <c r="AG82" i="3"/>
  <c r="AI82" i="3"/>
  <c r="AL82" i="3"/>
  <c r="AN82" i="3"/>
  <c r="AR82" i="3"/>
  <c r="AS82" i="3"/>
  <c r="AX82" i="3"/>
  <c r="BA82" i="3"/>
  <c r="BC82" i="3"/>
  <c r="BF82" i="3"/>
  <c r="BH82" i="3"/>
  <c r="BL82" i="3"/>
  <c r="BM82" i="3"/>
  <c r="BR82" i="3"/>
  <c r="BU82" i="3"/>
  <c r="BW82" i="3"/>
  <c r="BZ82" i="3"/>
  <c r="CB82" i="3"/>
  <c r="CF82" i="3"/>
  <c r="CG82" i="3"/>
  <c r="CL82" i="3"/>
  <c r="CQ82" i="3"/>
  <c r="CT82" i="3"/>
  <c r="CV82" i="3"/>
  <c r="CZ82" i="3"/>
  <c r="DA82" i="3"/>
  <c r="DF82" i="3"/>
  <c r="DK82" i="3"/>
  <c r="DN82" i="3"/>
  <c r="DP82" i="3"/>
  <c r="DT82" i="3"/>
  <c r="DU82" i="3"/>
  <c r="DZ82" i="3"/>
  <c r="EE82" i="3"/>
  <c r="EJ81" i="3"/>
  <c r="DX88" i="3"/>
  <c r="BO92" i="3"/>
  <c r="BQ92" i="3"/>
  <c r="BU98" i="3"/>
  <c r="BW98" i="3"/>
  <c r="EJ98" i="3"/>
  <c r="EK97" i="3"/>
  <c r="EP98" i="3" s="1"/>
  <c r="BS100" i="3"/>
  <c r="CM97" i="3"/>
  <c r="CR91" i="3"/>
  <c r="CR84" i="3" s="1"/>
  <c r="CW100" i="3"/>
  <c r="BE102" i="3"/>
  <c r="BQ102" i="3"/>
  <c r="CG102" i="3"/>
  <c r="CZ102" i="3"/>
  <c r="EC102" i="3"/>
  <c r="EJ102" i="3"/>
  <c r="R109" i="3"/>
  <c r="T109" i="3"/>
  <c r="Y109" i="3"/>
  <c r="Z108" i="3"/>
  <c r="AG108" i="3"/>
  <c r="AD108" i="3"/>
  <c r="AH109" i="3"/>
  <c r="AO108" i="3"/>
  <c r="AL109" i="3"/>
  <c r="AN109" i="3"/>
  <c r="AS109" i="3"/>
  <c r="AT108" i="3"/>
  <c r="CC101" i="3"/>
  <c r="AY101" i="3"/>
  <c r="AY102" i="3" s="1"/>
  <c r="BS101" i="3"/>
  <c r="BS107" i="3" s="1"/>
  <c r="BX118" i="3"/>
  <c r="CH101" i="3"/>
  <c r="CH107" i="3" s="1"/>
  <c r="CR118" i="3"/>
  <c r="CR101" i="3"/>
  <c r="DB101" i="3"/>
  <c r="EF118" i="3"/>
  <c r="BF125" i="3"/>
  <c r="BH125" i="3"/>
  <c r="BZ125" i="3"/>
  <c r="CB125" i="3"/>
  <c r="CT125" i="3"/>
  <c r="CV125" i="3"/>
  <c r="DN125" i="3"/>
  <c r="DP125" i="3"/>
  <c r="EJ124" i="3"/>
  <c r="EH125" i="3"/>
  <c r="V127" i="3"/>
  <c r="AP127" i="3"/>
  <c r="CM137" i="3"/>
  <c r="CM138" i="3" s="1"/>
  <c r="DG137" i="3"/>
  <c r="DG138" i="3" s="1"/>
  <c r="DV137" i="3"/>
  <c r="BN154" i="3"/>
  <c r="BX154" i="3"/>
  <c r="CH154" i="3"/>
  <c r="DB154" i="3"/>
  <c r="EB162" i="3"/>
  <c r="DO167" i="3"/>
  <c r="EB167" i="3"/>
  <c r="DG185" i="3"/>
  <c r="EF183" i="3"/>
  <c r="EF180" i="3" s="1"/>
  <c r="EF190" i="3" s="1"/>
  <c r="BV188" i="3"/>
  <c r="BW188" i="3"/>
  <c r="CK188" i="3"/>
  <c r="CS187" i="3"/>
  <c r="DE188" i="3"/>
  <c r="DM187" i="3"/>
  <c r="CK187" i="3"/>
  <c r="DW187" i="3"/>
  <c r="DY187" i="3"/>
  <c r="EK257" i="3"/>
  <c r="EK256" i="3" s="1"/>
  <c r="EG256" i="3"/>
  <c r="P375" i="3"/>
  <c r="EJ187" i="3"/>
  <c r="DB190" i="3"/>
  <c r="DK193" i="3"/>
  <c r="EC209" i="3"/>
  <c r="CQ209" i="3"/>
  <c r="EE209" i="3"/>
  <c r="EE240" i="3"/>
  <c r="EJ224" i="3"/>
  <c r="BU224" i="3"/>
  <c r="CO224" i="3"/>
  <c r="DI224" i="3"/>
  <c r="CC257" i="3"/>
  <c r="CC256" i="3" s="1"/>
  <c r="CW257" i="3"/>
  <c r="CW256" i="3" s="1"/>
  <c r="DQ257" i="3"/>
  <c r="DQ256" i="3" s="1"/>
  <c r="DD261" i="3"/>
  <c r="DD260" i="3" s="1"/>
  <c r="DI261" i="3"/>
  <c r="DI260" i="3" s="1"/>
  <c r="DJ261" i="3"/>
  <c r="DJ260" i="3" s="1"/>
  <c r="EC261" i="3"/>
  <c r="EC260" i="3" s="1"/>
  <c r="ED261" i="3"/>
  <c r="ED260" i="3" s="1"/>
  <c r="EI261" i="3"/>
  <c r="EI260" i="3" s="1"/>
  <c r="DD266" i="3"/>
  <c r="DD265" i="3" s="1"/>
  <c r="DH266" i="3"/>
  <c r="DH265" i="3" s="1"/>
  <c r="DJ266" i="3"/>
  <c r="DJ265" i="3" s="1"/>
  <c r="DT266" i="3"/>
  <c r="DT265" i="3" s="1"/>
  <c r="EI266" i="3"/>
  <c r="EI265" i="3" s="1"/>
  <c r="DB279" i="3"/>
  <c r="DB287" i="3"/>
  <c r="DL287" i="3"/>
  <c r="DV287" i="3"/>
  <c r="EF287" i="3"/>
  <c r="EK287" i="3"/>
  <c r="CC291" i="3"/>
  <c r="CM291" i="3"/>
  <c r="DG291" i="3"/>
  <c r="EA291" i="3"/>
  <c r="AT327" i="3"/>
  <c r="BD327" i="3"/>
  <c r="BN327" i="3"/>
  <c r="BX327" i="3"/>
  <c r="CH327" i="3"/>
  <c r="EG327" i="3"/>
  <c r="AY367" i="3"/>
  <c r="BS367" i="3"/>
  <c r="CM367" i="3"/>
  <c r="DQ367" i="3"/>
  <c r="EA367" i="3"/>
  <c r="AC29" i="3"/>
  <c r="AK29" i="3"/>
  <c r="AS29" i="3"/>
  <c r="EH14" i="3"/>
  <c r="EJ38" i="3"/>
  <c r="EK19" i="3"/>
  <c r="EP38" i="3" s="1"/>
  <c r="DZ16" i="3"/>
  <c r="DZ37" i="3" s="1"/>
  <c r="DW15" i="3"/>
  <c r="ED16" i="3"/>
  <c r="EI37" i="3" s="1"/>
  <c r="EK16" i="3"/>
  <c r="EP37" i="3" s="1"/>
  <c r="Y29" i="3"/>
  <c r="AO29" i="3"/>
  <c r="DP29" i="3"/>
  <c r="AG29" i="3"/>
  <c r="AW29" i="3"/>
  <c r="AA29" i="3"/>
  <c r="AI29" i="3"/>
  <c r="AQ29" i="3"/>
  <c r="DS29" i="3"/>
  <c r="AE81" i="3"/>
  <c r="AO81" i="3"/>
  <c r="AZ29" i="3"/>
  <c r="BB29" i="3"/>
  <c r="BE29" i="3"/>
  <c r="BT29" i="3"/>
  <c r="BV29" i="3"/>
  <c r="BY29" i="3"/>
  <c r="CA29" i="3"/>
  <c r="CD29" i="3"/>
  <c r="CF29" i="3"/>
  <c r="CI29" i="3"/>
  <c r="CK29" i="3"/>
  <c r="CN29" i="3"/>
  <c r="CP29" i="3"/>
  <c r="CS29" i="3"/>
  <c r="CU29" i="3"/>
  <c r="CX29" i="3"/>
  <c r="CZ29" i="3"/>
  <c r="DC29" i="3"/>
  <c r="DE29" i="3"/>
  <c r="DH29" i="3"/>
  <c r="DJ29" i="3"/>
  <c r="DM29" i="3"/>
  <c r="ET8" i="3"/>
  <c r="BS33" i="3"/>
  <c r="BS31" i="3"/>
  <c r="DQ34" i="3"/>
  <c r="DW19" i="3"/>
  <c r="DW38" i="3" s="1"/>
  <c r="DW14" i="3"/>
  <c r="EB19" i="3"/>
  <c r="EB14" i="3"/>
  <c r="ED19" i="3"/>
  <c r="EI38" i="3" s="1"/>
  <c r="ED14" i="3"/>
  <c r="ED13" i="3" s="1"/>
  <c r="ED12" i="3" s="1"/>
  <c r="W40" i="3"/>
  <c r="AI40" i="3"/>
  <c r="AL40" i="3"/>
  <c r="AQ40" i="3"/>
  <c r="BC40" i="3"/>
  <c r="BC26" i="3"/>
  <c r="BW40" i="3"/>
  <c r="BW26" i="3"/>
  <c r="BZ40" i="3"/>
  <c r="CE40" i="3"/>
  <c r="CE26" i="3"/>
  <c r="CI40" i="3"/>
  <c r="CI26" i="3"/>
  <c r="CU40" i="3"/>
  <c r="CU26" i="3"/>
  <c r="CV24" i="3"/>
  <c r="CX40" i="3"/>
  <c r="DC40" i="3"/>
  <c r="DC26" i="3"/>
  <c r="DS40" i="3"/>
  <c r="DS26" i="3"/>
  <c r="EV205" i="3"/>
  <c r="EX205" i="3"/>
  <c r="EG14" i="3"/>
  <c r="DY19" i="3"/>
  <c r="DY38" i="3" s="1"/>
  <c r="FQ45" i="3"/>
  <c r="DW46" i="3"/>
  <c r="BX46" i="3"/>
  <c r="CR46" i="3"/>
  <c r="DG50" i="3"/>
  <c r="FI50" i="3" s="1"/>
  <c r="EA50" i="3"/>
  <c r="EF50" i="3"/>
  <c r="CH54" i="3"/>
  <c r="CH55" i="3"/>
  <c r="DA56" i="3"/>
  <c r="CB57" i="3"/>
  <c r="AZ68" i="3"/>
  <c r="BO61" i="3"/>
  <c r="BQ61" i="3"/>
  <c r="CN68" i="3"/>
  <c r="DC61" i="3"/>
  <c r="DE67" i="3"/>
  <c r="DR61" i="3"/>
  <c r="BH61" i="3"/>
  <c r="CN61" i="3"/>
  <c r="DT61" i="3"/>
  <c r="BY66" i="3"/>
  <c r="CD67" i="3" s="1"/>
  <c r="AB81" i="3"/>
  <c r="AV81" i="3"/>
  <c r="BP81" i="3"/>
  <c r="CJ81" i="3"/>
  <c r="CO81" i="3"/>
  <c r="DD81" i="3"/>
  <c r="DI81" i="3"/>
  <c r="DX81" i="3"/>
  <c r="EC81" i="3"/>
  <c r="AC82" i="3"/>
  <c r="AW82" i="3"/>
  <c r="BQ82" i="3"/>
  <c r="CK82" i="3"/>
  <c r="CP82" i="3"/>
  <c r="DI82" i="3"/>
  <c r="DY82" i="3"/>
  <c r="ED82" i="3"/>
  <c r="BT92" i="3"/>
  <c r="BY92" i="3"/>
  <c r="CA92" i="3"/>
  <c r="CF92" i="3"/>
  <c r="CI92" i="3"/>
  <c r="CK92" i="3"/>
  <c r="CN92" i="3"/>
  <c r="CS92" i="3"/>
  <c r="CU92" i="3"/>
  <c r="CZ92" i="3"/>
  <c r="DC92" i="3"/>
  <c r="DE92" i="3"/>
  <c r="DH92" i="3"/>
  <c r="DM92" i="3"/>
  <c r="DO92" i="3"/>
  <c r="DT92" i="3"/>
  <c r="DW92" i="3"/>
  <c r="DY92" i="3"/>
  <c r="EB92" i="3"/>
  <c r="EG92" i="3"/>
  <c r="BS96" i="3"/>
  <c r="BY98" i="3"/>
  <c r="CA98" i="3"/>
  <c r="CD98" i="3"/>
  <c r="CF98" i="3"/>
  <c r="CI98" i="3"/>
  <c r="CK98" i="3"/>
  <c r="CN98" i="3"/>
  <c r="CP98" i="3"/>
  <c r="CS98" i="3"/>
  <c r="CU98" i="3"/>
  <c r="CX98" i="3"/>
  <c r="CZ98" i="3"/>
  <c r="DC98" i="3"/>
  <c r="DE98" i="3"/>
  <c r="DH98" i="3"/>
  <c r="DJ98" i="3"/>
  <c r="DM98" i="3"/>
  <c r="DO98" i="3"/>
  <c r="DR98" i="3"/>
  <c r="DT98" i="3"/>
  <c r="DY98" i="3"/>
  <c r="EB98" i="3"/>
  <c r="ED98" i="3"/>
  <c r="EA100" i="3"/>
  <c r="EF100" i="3"/>
  <c r="AV126" i="3"/>
  <c r="AV129" i="3" s="1"/>
  <c r="AZ126" i="3"/>
  <c r="AZ156" i="3" s="1"/>
  <c r="AZ103" i="3" s="1"/>
  <c r="BH126" i="3"/>
  <c r="BH156" i="3" s="1"/>
  <c r="BA102" i="3"/>
  <c r="BU102" i="3"/>
  <c r="CO102" i="3"/>
  <c r="DH102" i="3"/>
  <c r="V109" i="3"/>
  <c r="AF109" i="3"/>
  <c r="AP109" i="3"/>
  <c r="AZ107" i="3"/>
  <c r="AH108" i="3"/>
  <c r="AP108" i="3"/>
  <c r="AD109" i="3"/>
  <c r="AC124" i="3"/>
  <c r="AW124" i="3"/>
  <c r="AX125" i="3"/>
  <c r="DG154" i="3"/>
  <c r="DZ162" i="3"/>
  <c r="DY162" i="3"/>
  <c r="ED188" i="3"/>
  <c r="EG188" i="3"/>
  <c r="EG187" i="3"/>
  <c r="EI187" i="3"/>
  <c r="DU188" i="3"/>
  <c r="DU187" i="3"/>
  <c r="BI219" i="3"/>
  <c r="BF216" i="3"/>
  <c r="CC219" i="3"/>
  <c r="CA216" i="3"/>
  <c r="BZ216" i="3"/>
  <c r="CM215" i="3"/>
  <c r="CJ216" i="3"/>
  <c r="CW219" i="3"/>
  <c r="CT216" i="3"/>
  <c r="CU216" i="3"/>
  <c r="DD216" i="3"/>
  <c r="G11" i="91"/>
  <c r="G22" i="91" s="1"/>
  <c r="DQ304" i="3"/>
  <c r="DQ306" i="3" s="1"/>
  <c r="DQ310" i="3" s="1"/>
  <c r="I14" i="91" s="1"/>
  <c r="I11" i="91"/>
  <c r="DN216" i="3"/>
  <c r="DX216" i="3"/>
  <c r="K11" i="91"/>
  <c r="K22" i="91" s="1"/>
  <c r="DO216" i="3"/>
  <c r="DS315" i="3"/>
  <c r="DT311" i="3"/>
  <c r="DU311" i="3" s="1"/>
  <c r="DS399" i="3"/>
  <c r="DS323" i="3"/>
  <c r="DS327" i="3" s="1"/>
  <c r="DT320" i="3"/>
  <c r="DT399" i="3" s="1"/>
  <c r="DV397" i="3"/>
  <c r="DU360" i="3"/>
  <c r="EF397" i="3"/>
  <c r="EE360" i="3"/>
  <c r="P367" i="3"/>
  <c r="P381" i="3" s="1"/>
  <c r="FP6" i="3"/>
  <c r="FP10" i="3"/>
  <c r="FQ8" i="3"/>
  <c r="Z33" i="3"/>
  <c r="AE33" i="3"/>
  <c r="AJ33" i="3"/>
  <c r="AO33" i="3"/>
  <c r="AT33" i="3"/>
  <c r="V29" i="3"/>
  <c r="X29" i="3"/>
  <c r="Z29" i="3"/>
  <c r="AB29" i="3"/>
  <c r="AD29" i="3"/>
  <c r="AF29" i="3"/>
  <c r="AH29" i="3"/>
  <c r="AJ29" i="3"/>
  <c r="AL29" i="3"/>
  <c r="AN29" i="3"/>
  <c r="AP29" i="3"/>
  <c r="AR29" i="3"/>
  <c r="AT29" i="3"/>
  <c r="AV29" i="3"/>
  <c r="AX29" i="3"/>
  <c r="BA29" i="3"/>
  <c r="BC29" i="3"/>
  <c r="BF29" i="3"/>
  <c r="BH29" i="3"/>
  <c r="BM29" i="3"/>
  <c r="BR29" i="3"/>
  <c r="BU29" i="3"/>
  <c r="BW29" i="3"/>
  <c r="BZ29" i="3"/>
  <c r="CB29" i="3"/>
  <c r="CE29" i="3"/>
  <c r="CJ29" i="3"/>
  <c r="CO29" i="3"/>
  <c r="CQ29" i="3"/>
  <c r="CT29" i="3"/>
  <c r="CV29" i="3"/>
  <c r="CY29" i="3"/>
  <c r="DA29" i="3"/>
  <c r="DD29" i="3"/>
  <c r="DF29" i="3"/>
  <c r="DI29" i="3"/>
  <c r="DK29" i="3"/>
  <c r="DN29" i="3"/>
  <c r="DR29" i="3"/>
  <c r="DU29" i="3"/>
  <c r="EA33" i="3"/>
  <c r="EA34" i="3"/>
  <c r="EF32" i="3"/>
  <c r="EF31" i="3"/>
  <c r="BD33" i="3"/>
  <c r="BD35" i="3"/>
  <c r="BS32" i="3"/>
  <c r="BS34" i="3"/>
  <c r="BX33" i="3"/>
  <c r="BX35" i="3"/>
  <c r="CC23" i="3"/>
  <c r="CC390" i="3" s="1"/>
  <c r="CM32" i="3"/>
  <c r="CM34" i="3"/>
  <c r="CR33" i="3"/>
  <c r="CR35" i="3"/>
  <c r="CW23" i="3"/>
  <c r="CW204" i="3" s="1"/>
  <c r="DG32" i="3"/>
  <c r="DG34" i="3"/>
  <c r="DL33" i="3"/>
  <c r="DL35" i="3"/>
  <c r="DQ33" i="3"/>
  <c r="BD37" i="3"/>
  <c r="BX37" i="3"/>
  <c r="CR37" i="3"/>
  <c r="DL37" i="3"/>
  <c r="EI23" i="3"/>
  <c r="BS38" i="3"/>
  <c r="CM38" i="3"/>
  <c r="DG38" i="3"/>
  <c r="BI39" i="3"/>
  <c r="BS39" i="3"/>
  <c r="CC39" i="3"/>
  <c r="CM39" i="3"/>
  <c r="CW39" i="3"/>
  <c r="DG39" i="3"/>
  <c r="DQ39" i="3"/>
  <c r="V40" i="3"/>
  <c r="AA40" i="3"/>
  <c r="AI24" i="3"/>
  <c r="AM40" i="3"/>
  <c r="AP40" i="3"/>
  <c r="AU40" i="3"/>
  <c r="BC24" i="3"/>
  <c r="BW24" i="3"/>
  <c r="CA40" i="3"/>
  <c r="CD40" i="3"/>
  <c r="CQ40" i="3"/>
  <c r="CT40" i="3"/>
  <c r="CY40" i="3"/>
  <c r="DK40" i="3"/>
  <c r="DN40" i="3"/>
  <c r="DR40" i="3"/>
  <c r="EW205" i="3"/>
  <c r="AU26" i="3"/>
  <c r="CA26" i="3"/>
  <c r="EI46" i="3"/>
  <c r="CC46" i="3"/>
  <c r="CW46" i="3"/>
  <c r="CM46" i="3"/>
  <c r="CM54" i="3"/>
  <c r="DG46" i="3"/>
  <c r="DL55" i="3"/>
  <c r="DQ50" i="3"/>
  <c r="DQ48" i="3"/>
  <c r="DQ52" i="3"/>
  <c r="EF45" i="3"/>
  <c r="EK46" i="3" s="1"/>
  <c r="BU57" i="3"/>
  <c r="BZ57" i="3"/>
  <c r="CE56" i="3"/>
  <c r="CG57" i="3"/>
  <c r="CI56" i="3"/>
  <c r="CK57" i="3"/>
  <c r="CP57" i="3"/>
  <c r="CS57" i="3"/>
  <c r="CV57" i="3"/>
  <c r="CX57" i="3"/>
  <c r="DC56" i="3"/>
  <c r="DE56" i="3"/>
  <c r="DJ56" i="3"/>
  <c r="DM57" i="3"/>
  <c r="DO57" i="3"/>
  <c r="CA56" i="3"/>
  <c r="CS56" i="3"/>
  <c r="DI56" i="3"/>
  <c r="CI57" i="3"/>
  <c r="DJ57" i="3"/>
  <c r="AY66" i="3"/>
  <c r="BA61" i="3"/>
  <c r="BC61" i="3"/>
  <c r="BG61" i="3"/>
  <c r="BK61" i="3"/>
  <c r="CI61" i="3"/>
  <c r="CO67" i="3"/>
  <c r="CQ61" i="3"/>
  <c r="CS67" i="3"/>
  <c r="CU61" i="3"/>
  <c r="CY61" i="3"/>
  <c r="DA67" i="3"/>
  <c r="DK61" i="3"/>
  <c r="DU67" i="3"/>
  <c r="EC61" i="3"/>
  <c r="EH61" i="3"/>
  <c r="CJ61" i="3"/>
  <c r="CS61" i="3"/>
  <c r="CZ61" i="3"/>
  <c r="DI61" i="3"/>
  <c r="DP61" i="3"/>
  <c r="BC66" i="3"/>
  <c r="BC67" i="3" s="1"/>
  <c r="DR66" i="3"/>
  <c r="DR68" i="3" s="1"/>
  <c r="S82" i="3"/>
  <c r="V81" i="3"/>
  <c r="X81" i="3"/>
  <c r="AA81" i="3"/>
  <c r="AC81" i="3"/>
  <c r="AF81" i="3"/>
  <c r="AH81" i="3"/>
  <c r="AK82" i="3"/>
  <c r="AM82" i="3"/>
  <c r="AP81" i="3"/>
  <c r="AR81" i="3"/>
  <c r="AU81" i="3"/>
  <c r="AW81" i="3"/>
  <c r="AZ81" i="3"/>
  <c r="BB81" i="3"/>
  <c r="BE82" i="3"/>
  <c r="BG82" i="3"/>
  <c r="BJ81" i="3"/>
  <c r="BL81" i="3"/>
  <c r="BO81" i="3"/>
  <c r="BQ81" i="3"/>
  <c r="BT81" i="3"/>
  <c r="BV81" i="3"/>
  <c r="BY82" i="3"/>
  <c r="CA82" i="3"/>
  <c r="CD81" i="3"/>
  <c r="CF81" i="3"/>
  <c r="CI81" i="3"/>
  <c r="CK81" i="3"/>
  <c r="CN81" i="3"/>
  <c r="CP81" i="3"/>
  <c r="CS82" i="3"/>
  <c r="CU82" i="3"/>
  <c r="CX81" i="3"/>
  <c r="CZ81" i="3"/>
  <c r="DC81" i="3"/>
  <c r="DE81" i="3"/>
  <c r="DH81" i="3"/>
  <c r="DJ81" i="3"/>
  <c r="DM82" i="3"/>
  <c r="DO82" i="3"/>
  <c r="DR81" i="3"/>
  <c r="DT81" i="3"/>
  <c r="DW81" i="3"/>
  <c r="DY81" i="3"/>
  <c r="EB81" i="3"/>
  <c r="ED81" i="3"/>
  <c r="EG82" i="3"/>
  <c r="AH82" i="3"/>
  <c r="BB82" i="3"/>
  <c r="BV82" i="3"/>
  <c r="CO82" i="3"/>
  <c r="DE82" i="3"/>
  <c r="DJ82" i="3"/>
  <c r="EC82" i="3"/>
  <c r="CF84" i="3"/>
  <c r="CZ84" i="3"/>
  <c r="DM84" i="3"/>
  <c r="DO84" i="3"/>
  <c r="DY84" i="3"/>
  <c r="ED84" i="3"/>
  <c r="EI84" i="3"/>
  <c r="DU88" i="3"/>
  <c r="BN91" i="3"/>
  <c r="BN84" i="3" s="1"/>
  <c r="BP92" i="3"/>
  <c r="BU92" i="3"/>
  <c r="BW92" i="3"/>
  <c r="BZ92" i="3"/>
  <c r="CB92" i="3"/>
  <c r="CE92" i="3"/>
  <c r="CG92" i="3"/>
  <c r="CJ92" i="3"/>
  <c r="CO92" i="3"/>
  <c r="CQ92" i="3"/>
  <c r="CT92" i="3"/>
  <c r="CV92" i="3"/>
  <c r="CY92" i="3"/>
  <c r="DA92" i="3"/>
  <c r="DD92" i="3"/>
  <c r="DI92" i="3"/>
  <c r="DK92" i="3"/>
  <c r="DN92" i="3"/>
  <c r="DP92" i="3"/>
  <c r="DS92" i="3"/>
  <c r="DU92" i="3"/>
  <c r="DX92" i="3"/>
  <c r="EC92" i="3"/>
  <c r="EI90" i="3"/>
  <c r="EI92" i="3"/>
  <c r="BS94" i="3"/>
  <c r="FP95" i="3"/>
  <c r="BZ98" i="3"/>
  <c r="CB98" i="3"/>
  <c r="CE98" i="3"/>
  <c r="CG98" i="3"/>
  <c r="CJ98" i="3"/>
  <c r="CL98" i="3"/>
  <c r="CO98" i="3"/>
  <c r="CQ98" i="3"/>
  <c r="CT98" i="3"/>
  <c r="CV98" i="3"/>
  <c r="CY98" i="3"/>
  <c r="DA98" i="3"/>
  <c r="DD98" i="3"/>
  <c r="DF98" i="3"/>
  <c r="DI98" i="3"/>
  <c r="DK98" i="3"/>
  <c r="DN98" i="3"/>
  <c r="DP98" i="3"/>
  <c r="DS98" i="3"/>
  <c r="DU98" i="3"/>
  <c r="DX98" i="3"/>
  <c r="DZ98" i="3"/>
  <c r="EF97" i="3"/>
  <c r="EE98" i="3"/>
  <c r="EH98" i="3"/>
  <c r="BX91" i="3"/>
  <c r="BX90" i="3" s="1"/>
  <c r="CC97" i="3"/>
  <c r="CC96" i="3"/>
  <c r="CH91" i="3"/>
  <c r="CH84" i="3" s="1"/>
  <c r="CM91" i="3"/>
  <c r="CM84" i="3" s="1"/>
  <c r="CR96" i="3"/>
  <c r="CM100" i="3"/>
  <c r="CR94" i="3"/>
  <c r="CW97" i="3"/>
  <c r="CW96" i="3"/>
  <c r="DB91" i="3"/>
  <c r="DB84" i="3" s="1"/>
  <c r="DG91" i="3"/>
  <c r="DG84" i="3" s="1"/>
  <c r="DL96" i="3"/>
  <c r="DG100" i="3"/>
  <c r="DL94" i="3"/>
  <c r="DQ97" i="3"/>
  <c r="DQ96" i="3"/>
  <c r="EA96" i="3"/>
  <c r="BL126" i="3"/>
  <c r="CK102" i="3"/>
  <c r="CS102" i="3"/>
  <c r="DA102" i="3"/>
  <c r="DE102" i="3"/>
  <c r="DI102" i="3"/>
  <c r="DP102" i="3"/>
  <c r="DU102" i="3"/>
  <c r="S109" i="3"/>
  <c r="W108" i="3"/>
  <c r="AA109" i="3"/>
  <c r="AC109" i="3"/>
  <c r="AE108" i="3"/>
  <c r="AG109" i="3"/>
  <c r="AI108" i="3"/>
  <c r="AK109" i="3"/>
  <c r="AM108" i="3"/>
  <c r="AQ108" i="3"/>
  <c r="AV107" i="3"/>
  <c r="AV108" i="3" s="1"/>
  <c r="BP107" i="3"/>
  <c r="BU108" i="3" s="1"/>
  <c r="V108" i="3"/>
  <c r="AL108" i="3"/>
  <c r="AI109" i="3"/>
  <c r="FP112" i="3"/>
  <c r="FP114" i="3"/>
  <c r="FP116" i="3"/>
  <c r="R125" i="3"/>
  <c r="T125" i="3"/>
  <c r="W125" i="3"/>
  <c r="AB124" i="3"/>
  <c r="AD124" i="3"/>
  <c r="AG124" i="3"/>
  <c r="AI124" i="3"/>
  <c r="AI125" i="3"/>
  <c r="AL125" i="3"/>
  <c r="AN125" i="3"/>
  <c r="AQ124" i="3"/>
  <c r="AS124" i="3"/>
  <c r="AV124" i="3"/>
  <c r="AX124" i="3"/>
  <c r="BA124" i="3"/>
  <c r="BC124" i="3"/>
  <c r="BC125" i="3"/>
  <c r="BK124" i="3"/>
  <c r="BM124" i="3"/>
  <c r="BP124" i="3"/>
  <c r="BR124" i="3"/>
  <c r="BU124" i="3"/>
  <c r="BW124" i="3"/>
  <c r="BW125" i="3"/>
  <c r="CE124" i="3"/>
  <c r="CG124" i="3"/>
  <c r="CJ124" i="3"/>
  <c r="CL124" i="3"/>
  <c r="CO124" i="3"/>
  <c r="CQ124" i="3"/>
  <c r="CQ125" i="3"/>
  <c r="CY124" i="3"/>
  <c r="DA124" i="3"/>
  <c r="DD124" i="3"/>
  <c r="DF124" i="3"/>
  <c r="DI124" i="3"/>
  <c r="DK124" i="3"/>
  <c r="DK125" i="3"/>
  <c r="DS124" i="3"/>
  <c r="DU124" i="3"/>
  <c r="DX124" i="3"/>
  <c r="DZ124" i="3"/>
  <c r="EC124" i="3"/>
  <c r="EE124" i="3"/>
  <c r="EE125" i="3"/>
  <c r="AD125" i="3"/>
  <c r="BR125" i="3"/>
  <c r="DF125" i="3"/>
  <c r="AC127" i="3"/>
  <c r="AF127" i="3"/>
  <c r="AK127" i="3"/>
  <c r="AR127" i="3"/>
  <c r="FP139" i="3"/>
  <c r="EA137" i="3"/>
  <c r="CX166" i="3"/>
  <c r="CX174" i="3" s="1"/>
  <c r="DT167" i="3"/>
  <c r="BN180" i="3"/>
  <c r="CH180" i="3"/>
  <c r="DG178" i="3"/>
  <c r="DQ178" i="3"/>
  <c r="EA185" i="3"/>
  <c r="EA183" i="3"/>
  <c r="EA180" i="3" s="1"/>
  <c r="EA190" i="3" s="1"/>
  <c r="BZ187" i="3"/>
  <c r="CE187" i="3"/>
  <c r="CG188" i="3"/>
  <c r="CG187" i="3"/>
  <c r="CJ187" i="3"/>
  <c r="CO187" i="3"/>
  <c r="CT187" i="3"/>
  <c r="CY187" i="3"/>
  <c r="DA188" i="3"/>
  <c r="DA187" i="3"/>
  <c r="DD187" i="3"/>
  <c r="DI187" i="3"/>
  <c r="DN187" i="3"/>
  <c r="DS187" i="3"/>
  <c r="EC188" i="3"/>
  <c r="CO188" i="3"/>
  <c r="DY188" i="3"/>
  <c r="DL190" i="3"/>
  <c r="DS210" i="3"/>
  <c r="DS179" i="3"/>
  <c r="DS161" i="3"/>
  <c r="BE209" i="3"/>
  <c r="BI208" i="3"/>
  <c r="BH209" i="3"/>
  <c r="DM209" i="3"/>
  <c r="BG216" i="3"/>
  <c r="Q240" i="3"/>
  <c r="Q218" i="3"/>
  <c r="Q210" i="3"/>
  <c r="Q161" i="3"/>
  <c r="S240" i="3"/>
  <c r="S218" i="3"/>
  <c r="S210" i="3"/>
  <c r="S161" i="3"/>
  <c r="U218" i="3"/>
  <c r="U210" i="3"/>
  <c r="U161" i="3"/>
  <c r="W240" i="3"/>
  <c r="W241" i="3" s="1"/>
  <c r="W218" i="3"/>
  <c r="W210" i="3"/>
  <c r="W161" i="3"/>
  <c r="Y240" i="3"/>
  <c r="AD241" i="3" s="1"/>
  <c r="Y224" i="3"/>
  <c r="Y218" i="3"/>
  <c r="Y210" i="3"/>
  <c r="Y161" i="3"/>
  <c r="AA240" i="3"/>
  <c r="AA241" i="3" s="1"/>
  <c r="AA218" i="3"/>
  <c r="AA210" i="3"/>
  <c r="AA161" i="3"/>
  <c r="AC240" i="3"/>
  <c r="AH241" i="3" s="1"/>
  <c r="AC218" i="3"/>
  <c r="AC224" i="3"/>
  <c r="AC210" i="3"/>
  <c r="AC161" i="3"/>
  <c r="AE240" i="3"/>
  <c r="AE241" i="3" s="1"/>
  <c r="AE218" i="3"/>
  <c r="AE210" i="3"/>
  <c r="AE161" i="3"/>
  <c r="AG240" i="3"/>
  <c r="AL241" i="3" s="1"/>
  <c r="AG224" i="3"/>
  <c r="AG218" i="3"/>
  <c r="AG210" i="3"/>
  <c r="AG161" i="3"/>
  <c r="AI240" i="3"/>
  <c r="AI241" i="3" s="1"/>
  <c r="AI218" i="3"/>
  <c r="AI210" i="3"/>
  <c r="AI161" i="3"/>
  <c r="AK240" i="3"/>
  <c r="AP241" i="3" s="1"/>
  <c r="AK218" i="3"/>
  <c r="AK210" i="3"/>
  <c r="AK161" i="3"/>
  <c r="AM240" i="3"/>
  <c r="AM241" i="3" s="1"/>
  <c r="AM218" i="3"/>
  <c r="AM210" i="3"/>
  <c r="AM161" i="3"/>
  <c r="AO240" i="3"/>
  <c r="AT241" i="3" s="1"/>
  <c r="AO224" i="3"/>
  <c r="AO218" i="3"/>
  <c r="AO210" i="3"/>
  <c r="AO161" i="3"/>
  <c r="AQ240" i="3"/>
  <c r="AQ241" i="3" s="1"/>
  <c r="AQ218" i="3"/>
  <c r="AQ210" i="3"/>
  <c r="AQ161" i="3"/>
  <c r="AS240" i="3"/>
  <c r="AX241" i="3" s="1"/>
  <c r="AS218" i="3"/>
  <c r="AS224" i="3"/>
  <c r="AS210" i="3"/>
  <c r="AS161" i="3"/>
  <c r="AU240" i="3"/>
  <c r="AU241" i="3" s="1"/>
  <c r="AU210" i="3"/>
  <c r="AU161" i="3"/>
  <c r="AW240" i="3"/>
  <c r="BB241" i="3" s="1"/>
  <c r="AW224" i="3"/>
  <c r="AW218" i="3"/>
  <c r="AW210" i="3"/>
  <c r="AW161" i="3"/>
  <c r="AY240" i="3"/>
  <c r="AY349" i="3" s="1"/>
  <c r="AY210" i="3"/>
  <c r="AY179" i="3"/>
  <c r="AY161" i="3"/>
  <c r="BA240" i="3"/>
  <c r="BF241" i="3" s="1"/>
  <c r="BA218" i="3"/>
  <c r="BA210" i="3"/>
  <c r="BA179" i="3"/>
  <c r="BA161" i="3"/>
  <c r="BC240" i="3"/>
  <c r="BC241" i="3" s="1"/>
  <c r="BC210" i="3"/>
  <c r="BC179" i="3"/>
  <c r="BC161" i="3"/>
  <c r="BE240" i="3"/>
  <c r="BE224" i="3"/>
  <c r="BE218" i="3"/>
  <c r="BE210" i="3"/>
  <c r="BE179" i="3"/>
  <c r="BE161" i="3"/>
  <c r="BG240" i="3"/>
  <c r="BG241" i="3" s="1"/>
  <c r="BG218" i="3"/>
  <c r="BG210" i="3"/>
  <c r="BG179" i="3"/>
  <c r="BG161" i="3"/>
  <c r="BJ240" i="3"/>
  <c r="BJ210" i="3"/>
  <c r="BJ179" i="3"/>
  <c r="BJ161" i="3"/>
  <c r="BL210" i="3"/>
  <c r="BL179" i="3"/>
  <c r="BL161" i="3"/>
  <c r="BO240" i="3"/>
  <c r="BO210" i="3"/>
  <c r="BO179" i="3"/>
  <c r="BO161" i="3"/>
  <c r="BQ240" i="3"/>
  <c r="BQ224" i="3"/>
  <c r="BQ210" i="3"/>
  <c r="BQ179" i="3"/>
  <c r="BQ161" i="3"/>
  <c r="BT218" i="3"/>
  <c r="BT210" i="3"/>
  <c r="BT179" i="3"/>
  <c r="BT161" i="3"/>
  <c r="BV240" i="3"/>
  <c r="BV218" i="3"/>
  <c r="BV210" i="3"/>
  <c r="BV179" i="3"/>
  <c r="BV161" i="3"/>
  <c r="BY240" i="3"/>
  <c r="BY224" i="3"/>
  <c r="BY210" i="3"/>
  <c r="BY179" i="3"/>
  <c r="BY161" i="3"/>
  <c r="CA240" i="3"/>
  <c r="CA210" i="3"/>
  <c r="CA179" i="3"/>
  <c r="CA161" i="3"/>
  <c r="CD240" i="3"/>
  <c r="CD210" i="3"/>
  <c r="CD179" i="3"/>
  <c r="CD161" i="3"/>
  <c r="CF218" i="3"/>
  <c r="CF210" i="3"/>
  <c r="CF179" i="3"/>
  <c r="CF161" i="3"/>
  <c r="CI240" i="3"/>
  <c r="CI241" i="3" s="1"/>
  <c r="CI210" i="3"/>
  <c r="CI179" i="3"/>
  <c r="CI161" i="3"/>
  <c r="CK240" i="3"/>
  <c r="CK224" i="3"/>
  <c r="CK218" i="3"/>
  <c r="CK210" i="3"/>
  <c r="CK179" i="3"/>
  <c r="CK161" i="3"/>
  <c r="CN210" i="3"/>
  <c r="CN179" i="3"/>
  <c r="CN161" i="3"/>
  <c r="CP240" i="3"/>
  <c r="CP210" i="3"/>
  <c r="CP179" i="3"/>
  <c r="CP161" i="3"/>
  <c r="CS240" i="3"/>
  <c r="CS224" i="3"/>
  <c r="CS218" i="3"/>
  <c r="CS210" i="3"/>
  <c r="CS179" i="3"/>
  <c r="CS161" i="3"/>
  <c r="CU240" i="3"/>
  <c r="CU241" i="3" s="1"/>
  <c r="CU218" i="3"/>
  <c r="CU210" i="3"/>
  <c r="CU179" i="3"/>
  <c r="CU161" i="3"/>
  <c r="CX240" i="3"/>
  <c r="CX210" i="3"/>
  <c r="CX179" i="3"/>
  <c r="CX161" i="3"/>
  <c r="CZ218" i="3"/>
  <c r="CZ210" i="3"/>
  <c r="CZ179" i="3"/>
  <c r="CZ161" i="3"/>
  <c r="DC240" i="3"/>
  <c r="DC241" i="3" s="1"/>
  <c r="DC210" i="3"/>
  <c r="DC179" i="3"/>
  <c r="DC161" i="3"/>
  <c r="DE240" i="3"/>
  <c r="DE224" i="3"/>
  <c r="DE218" i="3"/>
  <c r="DE210" i="3"/>
  <c r="DE179" i="3"/>
  <c r="DE161" i="3"/>
  <c r="DH218" i="3"/>
  <c r="DH210" i="3"/>
  <c r="DH194" i="3"/>
  <c r="DH179" i="3"/>
  <c r="DJ240" i="3"/>
  <c r="DJ218" i="3"/>
  <c r="DJ210" i="3"/>
  <c r="DJ194" i="3"/>
  <c r="DJ179" i="3"/>
  <c r="DM240" i="3"/>
  <c r="DM224" i="3"/>
  <c r="DM218" i="3"/>
  <c r="DM210" i="3"/>
  <c r="DM194" i="3"/>
  <c r="DM179" i="3"/>
  <c r="DO240" i="3"/>
  <c r="DO218" i="3"/>
  <c r="DO210" i="3"/>
  <c r="DO194" i="3"/>
  <c r="DO179" i="3"/>
  <c r="DU240" i="3"/>
  <c r="DU218" i="3"/>
  <c r="DU224" i="3"/>
  <c r="DU210" i="3"/>
  <c r="DU194" i="3"/>
  <c r="DU161" i="3"/>
  <c r="DX218" i="3"/>
  <c r="DX210" i="3"/>
  <c r="DX194" i="3"/>
  <c r="DZ240" i="3"/>
  <c r="DZ210" i="3"/>
  <c r="DZ194" i="3"/>
  <c r="ED240" i="3"/>
  <c r="ED241" i="3" s="1"/>
  <c r="ED218" i="3"/>
  <c r="ED210" i="3"/>
  <c r="ED194" i="3"/>
  <c r="ED179" i="3"/>
  <c r="ED161" i="3"/>
  <c r="EG240" i="3"/>
  <c r="EG224" i="3"/>
  <c r="EG218" i="3"/>
  <c r="EG210" i="3"/>
  <c r="EG194" i="3"/>
  <c r="EG161" i="3"/>
  <c r="EI240" i="3"/>
  <c r="EI218" i="3"/>
  <c r="EI210" i="3"/>
  <c r="EI194" i="3"/>
  <c r="EI161" i="3"/>
  <c r="BA224" i="3"/>
  <c r="BI257" i="3"/>
  <c r="BI256" i="3" s="1"/>
  <c r="BE256" i="3"/>
  <c r="DO266" i="3"/>
  <c r="DO265" i="3" s="1"/>
  <c r="BB125" i="3"/>
  <c r="BE125" i="3"/>
  <c r="BG125" i="3"/>
  <c r="BJ125" i="3"/>
  <c r="BM125" i="3"/>
  <c r="BO125" i="3"/>
  <c r="BQ124" i="3"/>
  <c r="BT125" i="3"/>
  <c r="BV125" i="3"/>
  <c r="BY125" i="3"/>
  <c r="CA125" i="3"/>
  <c r="CD125" i="3"/>
  <c r="CG125" i="3"/>
  <c r="CI125" i="3"/>
  <c r="CK124" i="3"/>
  <c r="CN125" i="3"/>
  <c r="CP125" i="3"/>
  <c r="CS125" i="3"/>
  <c r="CU125" i="3"/>
  <c r="CX125" i="3"/>
  <c r="DA125" i="3"/>
  <c r="DC125" i="3"/>
  <c r="DE124" i="3"/>
  <c r="DH125" i="3"/>
  <c r="DJ125" i="3"/>
  <c r="DM125" i="3"/>
  <c r="DO125" i="3"/>
  <c r="DR125" i="3"/>
  <c r="DU125" i="3"/>
  <c r="DW125" i="3"/>
  <c r="DY124" i="3"/>
  <c r="EB125" i="3"/>
  <c r="EG125" i="3"/>
  <c r="AB127" i="3"/>
  <c r="AG127" i="3"/>
  <c r="AS127" i="3"/>
  <c r="DL137" i="3"/>
  <c r="DL138" i="3" s="1"/>
  <c r="CR154" i="3"/>
  <c r="DL154" i="3"/>
  <c r="EF140" i="3"/>
  <c r="DL160" i="3"/>
  <c r="BT162" i="3"/>
  <c r="EC162" i="3"/>
  <c r="DC168" i="3"/>
  <c r="AY170" i="3"/>
  <c r="BS170" i="3"/>
  <c r="CM170" i="3"/>
  <c r="DG170" i="3"/>
  <c r="EA170" i="3"/>
  <c r="BS178" i="3"/>
  <c r="CM178" i="3"/>
  <c r="BS185" i="3"/>
  <c r="CC185" i="3"/>
  <c r="CW185" i="3"/>
  <c r="DB185" i="3"/>
  <c r="DQ185" i="3"/>
  <c r="BU188" i="3"/>
  <c r="BY188" i="3"/>
  <c r="CA187" i="3"/>
  <c r="CD187" i="3"/>
  <c r="CF187" i="3"/>
  <c r="CI187" i="3"/>
  <c r="CN188" i="3"/>
  <c r="CP188" i="3"/>
  <c r="CS188" i="3"/>
  <c r="CU187" i="3"/>
  <c r="CX187" i="3"/>
  <c r="CZ187" i="3"/>
  <c r="DC187" i="3"/>
  <c r="DH188" i="3"/>
  <c r="DJ188" i="3"/>
  <c r="DM188" i="3"/>
  <c r="DO187" i="3"/>
  <c r="DR188" i="3"/>
  <c r="DR187" i="3"/>
  <c r="DX187" i="3"/>
  <c r="DZ188" i="3"/>
  <c r="EE188" i="3"/>
  <c r="EH187" i="3"/>
  <c r="BW209" i="3"/>
  <c r="DK209" i="3"/>
  <c r="CR220" i="3"/>
  <c r="CP216" i="3"/>
  <c r="H11" i="91"/>
  <c r="H22" i="91" s="1"/>
  <c r="DJ216" i="3"/>
  <c r="EF304" i="3"/>
  <c r="EE304" i="3" s="1"/>
  <c r="L11" i="91"/>
  <c r="L22" i="91" s="1"/>
  <c r="EF220" i="3"/>
  <c r="ED216" i="3"/>
  <c r="BV216" i="3"/>
  <c r="CO216" i="3"/>
  <c r="EC216" i="3"/>
  <c r="DL220" i="3"/>
  <c r="DF261" i="3"/>
  <c r="DG261" i="3" s="1"/>
  <c r="DG260" i="3" s="1"/>
  <c r="DE261" i="3"/>
  <c r="DE260" i="3" s="1"/>
  <c r="DM266" i="3"/>
  <c r="DM265" i="3" s="1"/>
  <c r="DZ266" i="3"/>
  <c r="DZ265" i="3" s="1"/>
  <c r="DY266" i="3"/>
  <c r="DY265" i="3" s="1"/>
  <c r="BS279" i="3"/>
  <c r="ED307" i="3"/>
  <c r="ED308" i="3" s="1"/>
  <c r="EC308" i="3"/>
  <c r="J11" i="91"/>
  <c r="BS257" i="3"/>
  <c r="BS256" i="3" s="1"/>
  <c r="BX257" i="3"/>
  <c r="BX256" i="3" s="1"/>
  <c r="CH257" i="3"/>
  <c r="CH256" i="3" s="1"/>
  <c r="CM257" i="3"/>
  <c r="CM256" i="3" s="1"/>
  <c r="CR257" i="3"/>
  <c r="CR256" i="3" s="1"/>
  <c r="DB257" i="3"/>
  <c r="DB256" i="3" s="1"/>
  <c r="DG257" i="3"/>
  <c r="DG256" i="3" s="1"/>
  <c r="DL257" i="3"/>
  <c r="DL256" i="3" s="1"/>
  <c r="DV257" i="3"/>
  <c r="DV256" i="3" s="1"/>
  <c r="EA257" i="3"/>
  <c r="EA256" i="3" s="1"/>
  <c r="EF257" i="3"/>
  <c r="EF256" i="3" s="1"/>
  <c r="FP258" i="3"/>
  <c r="FQ258" i="3"/>
  <c r="DH261" i="3"/>
  <c r="DH260" i="3" s="1"/>
  <c r="DN261" i="3"/>
  <c r="DN260" i="3" s="1"/>
  <c r="DX261" i="3"/>
  <c r="DX260" i="3" s="1"/>
  <c r="EH261" i="3"/>
  <c r="EH260" i="3" s="1"/>
  <c r="BS265" i="3"/>
  <c r="BX265" i="3"/>
  <c r="CC265" i="3"/>
  <c r="CH265" i="3"/>
  <c r="CM265" i="3"/>
  <c r="CR265" i="3"/>
  <c r="CW265" i="3"/>
  <c r="DB265" i="3"/>
  <c r="FP263" i="3"/>
  <c r="DF266" i="3"/>
  <c r="DF265" i="3" s="1"/>
  <c r="DI266" i="3"/>
  <c r="DI265" i="3" s="1"/>
  <c r="DS266" i="3"/>
  <c r="DS265" i="3" s="1"/>
  <c r="EC266" i="3"/>
  <c r="EC265" i="3" s="1"/>
  <c r="BX279" i="3"/>
  <c r="DL279" i="3"/>
  <c r="U287" i="3"/>
  <c r="AO287" i="3"/>
  <c r="AY287" i="3"/>
  <c r="EC315" i="3"/>
  <c r="BI327" i="3"/>
  <c r="CC327" i="3"/>
  <c r="DQ327" i="3"/>
  <c r="CW327" i="3"/>
  <c r="EF327" i="3"/>
  <c r="AY332" i="3"/>
  <c r="BD331" i="3" s="1"/>
  <c r="BD332" i="3" s="1"/>
  <c r="BI331" i="3" s="1"/>
  <c r="BI332" i="3" s="1"/>
  <c r="BN331" i="3" s="1"/>
  <c r="BN332" i="3" s="1"/>
  <c r="BS331" i="3" s="1"/>
  <c r="BS332" i="3" s="1"/>
  <c r="BX331" i="3" s="1"/>
  <c r="BX332" i="3" s="1"/>
  <c r="CC331" i="3" s="1"/>
  <c r="CC332" i="3" s="1"/>
  <c r="CH331" i="3" s="1"/>
  <c r="CH332" i="3" s="1"/>
  <c r="CM331" i="3" s="1"/>
  <c r="CM332" i="3" s="1"/>
  <c r="CR331" i="3" s="1"/>
  <c r="CR332" i="3" s="1"/>
  <c r="CW331" i="3" s="1"/>
  <c r="CW332" i="3" s="1"/>
  <c r="DB331" i="3" s="1"/>
  <c r="DB332" i="3" s="1"/>
  <c r="DG331" i="3" s="1"/>
  <c r="DG332" i="3" s="1"/>
  <c r="EE344" i="3"/>
  <c r="DU353" i="3"/>
  <c r="P376" i="3"/>
  <c r="BI378" i="3"/>
  <c r="CC367" i="3"/>
  <c r="CW367" i="3"/>
  <c r="DV367" i="3"/>
  <c r="EF367" i="3"/>
  <c r="D13" i="42"/>
  <c r="A25" i="42"/>
  <c r="D9" i="42"/>
  <c r="A12" i="42"/>
  <c r="A21" i="42"/>
  <c r="D11" i="42"/>
  <c r="A14" i="42"/>
  <c r="A23" i="42"/>
  <c r="J5" i="42"/>
  <c r="J15" i="42" s="1"/>
  <c r="D7" i="42"/>
  <c r="D15" i="42"/>
  <c r="D17" i="42"/>
  <c r="A19" i="42"/>
  <c r="A27" i="42"/>
  <c r="A29" i="42"/>
  <c r="K9" i="42"/>
  <c r="K14" i="42"/>
  <c r="D6" i="42"/>
  <c r="D8" i="42"/>
  <c r="D10" i="42"/>
  <c r="D16" i="42"/>
  <c r="A18" i="42"/>
  <c r="A20" i="42"/>
  <c r="A22" i="42"/>
  <c r="A28" i="42"/>
  <c r="I15" i="42"/>
  <c r="K27" i="42"/>
  <c r="K26" i="42"/>
  <c r="L25" i="42"/>
  <c r="I21" i="42"/>
  <c r="J26" i="42"/>
  <c r="J27" i="42"/>
  <c r="B177" i="42"/>
  <c r="D177" i="42" s="1"/>
  <c r="A284" i="42"/>
  <c r="B181" i="42"/>
  <c r="D181" i="42" s="1"/>
  <c r="A288" i="42"/>
  <c r="B185" i="42"/>
  <c r="D185" i="42" s="1"/>
  <c r="A292" i="42"/>
  <c r="B189" i="42"/>
  <c r="D189" i="42" s="1"/>
  <c r="A296" i="42"/>
  <c r="B193" i="42"/>
  <c r="D193" i="42" s="1"/>
  <c r="A300" i="42"/>
  <c r="B197" i="42"/>
  <c r="D197" i="42" s="1"/>
  <c r="A304" i="42"/>
  <c r="A306" i="42"/>
  <c r="A308" i="42"/>
  <c r="A310" i="42"/>
  <c r="A312" i="42"/>
  <c r="C228" i="42"/>
  <c r="H31" i="42"/>
  <c r="A283" i="42"/>
  <c r="B180" i="42"/>
  <c r="D180" i="42" s="1"/>
  <c r="A287" i="42"/>
  <c r="B184" i="42"/>
  <c r="D184" i="42" s="1"/>
  <c r="A291" i="42"/>
  <c r="B188" i="42"/>
  <c r="D188" i="42" s="1"/>
  <c r="A295" i="42"/>
  <c r="B192" i="42"/>
  <c r="D192" i="42" s="1"/>
  <c r="A299" i="42"/>
  <c r="B196" i="42"/>
  <c r="D196" i="42" s="1"/>
  <c r="A303" i="42"/>
  <c r="B200" i="42"/>
  <c r="D200" i="42" s="1"/>
  <c r="B202" i="42"/>
  <c r="D202" i="42" s="1"/>
  <c r="B204" i="42"/>
  <c r="D204" i="42" s="1"/>
  <c r="B206" i="42"/>
  <c r="D206" i="42" s="1"/>
  <c r="B208" i="42"/>
  <c r="D208" i="42" s="1"/>
  <c r="B210" i="42"/>
  <c r="D210" i="42" s="1"/>
  <c r="B212" i="42"/>
  <c r="D212" i="42" s="1"/>
  <c r="B214" i="42"/>
  <c r="D214" i="42" s="1"/>
  <c r="B216" i="42"/>
  <c r="D216" i="42" s="1"/>
  <c r="B218" i="42"/>
  <c r="D218" i="42" s="1"/>
  <c r="B220" i="42"/>
  <c r="D220" i="42" s="1"/>
  <c r="B222" i="42"/>
  <c r="D222" i="42" s="1"/>
  <c r="B224" i="42"/>
  <c r="D224" i="42" s="1"/>
  <c r="B226" i="42"/>
  <c r="D226" i="42" s="1"/>
  <c r="A282" i="42"/>
  <c r="B179" i="42"/>
  <c r="D179" i="42" s="1"/>
  <c r="A286" i="42"/>
  <c r="B183" i="42"/>
  <c r="D183" i="42" s="1"/>
  <c r="A290" i="42"/>
  <c r="B187" i="42"/>
  <c r="D187" i="42" s="1"/>
  <c r="A294" i="42"/>
  <c r="B191" i="42"/>
  <c r="D191" i="42" s="1"/>
  <c r="A298" i="42"/>
  <c r="B195" i="42"/>
  <c r="D195" i="42" s="1"/>
  <c r="A302" i="42"/>
  <c r="B199" i="42"/>
  <c r="D199" i="42" s="1"/>
  <c r="A305" i="42"/>
  <c r="A307" i="42"/>
  <c r="A309" i="42"/>
  <c r="A311" i="42"/>
  <c r="A313" i="42"/>
  <c r="A367" i="42"/>
  <c r="I26" i="42"/>
  <c r="I27" i="42"/>
  <c r="K30" i="42"/>
  <c r="A280" i="42"/>
  <c r="A281" i="42"/>
  <c r="B178" i="42"/>
  <c r="D178" i="42" s="1"/>
  <c r="A285" i="42"/>
  <c r="B182" i="42"/>
  <c r="D182" i="42" s="1"/>
  <c r="A289" i="42"/>
  <c r="B186" i="42"/>
  <c r="D186" i="42" s="1"/>
  <c r="A293" i="42"/>
  <c r="B190" i="42"/>
  <c r="D190" i="42" s="1"/>
  <c r="A297" i="42"/>
  <c r="B194" i="42"/>
  <c r="D194" i="42" s="1"/>
  <c r="A301" i="42"/>
  <c r="B198" i="42"/>
  <c r="D198" i="42" s="1"/>
  <c r="B201" i="42"/>
  <c r="D201" i="42" s="1"/>
  <c r="B203" i="42"/>
  <c r="D203" i="42" s="1"/>
  <c r="B205" i="42"/>
  <c r="D205" i="42" s="1"/>
  <c r="B207" i="42"/>
  <c r="D207" i="42" s="1"/>
  <c r="B209" i="42"/>
  <c r="D209" i="42" s="1"/>
  <c r="B211" i="42"/>
  <c r="D211" i="42" s="1"/>
  <c r="B213" i="42"/>
  <c r="D213" i="42" s="1"/>
  <c r="B215" i="42"/>
  <c r="D215" i="42" s="1"/>
  <c r="B217" i="42"/>
  <c r="D217" i="42" s="1"/>
  <c r="B219" i="42"/>
  <c r="D219" i="42" s="1"/>
  <c r="B221" i="42"/>
  <c r="D221" i="42" s="1"/>
  <c r="B223" i="42"/>
  <c r="D223" i="42" s="1"/>
  <c r="B225" i="42"/>
  <c r="D225" i="42" s="1"/>
  <c r="A366" i="42"/>
  <c r="A368" i="42"/>
  <c r="A369" i="42"/>
  <c r="A370" i="42"/>
  <c r="A423" i="42"/>
  <c r="A372" i="42"/>
  <c r="A425" i="42"/>
  <c r="A374" i="42"/>
  <c r="A375" i="42"/>
  <c r="A376" i="42"/>
  <c r="A377" i="42"/>
  <c r="A378" i="42"/>
  <c r="A379" i="42"/>
  <c r="A484" i="42"/>
  <c r="A536" i="42" s="1"/>
  <c r="A588" i="42" s="1"/>
  <c r="A381" i="42"/>
  <c r="A382" i="42"/>
  <c r="A383" i="42"/>
  <c r="G746" i="41"/>
  <c r="H745" i="41" s="1"/>
  <c r="G742" i="41"/>
  <c r="H741" i="41" s="1"/>
  <c r="G738" i="41"/>
  <c r="H737" i="41" s="1"/>
  <c r="G734" i="41"/>
  <c r="H733" i="41" s="1"/>
  <c r="G730" i="41"/>
  <c r="H729" i="41" s="1"/>
  <c r="G726" i="41"/>
  <c r="H725" i="41" s="1"/>
  <c r="G722" i="41"/>
  <c r="H721" i="41" s="1"/>
  <c r="G718" i="41"/>
  <c r="H717" i="41" s="1"/>
  <c r="G714" i="41"/>
  <c r="H713" i="41" s="1"/>
  <c r="G710" i="41"/>
  <c r="H709" i="41" s="1"/>
  <c r="G706" i="41"/>
  <c r="H705" i="41" s="1"/>
  <c r="G702" i="41"/>
  <c r="H701" i="41" s="1"/>
  <c r="G698" i="41"/>
  <c r="H697" i="41" s="1"/>
  <c r="G747" i="41"/>
  <c r="H746" i="41" s="1"/>
  <c r="G743" i="41"/>
  <c r="H742" i="41" s="1"/>
  <c r="G739" i="41"/>
  <c r="H738" i="41" s="1"/>
  <c r="G735" i="41"/>
  <c r="H734" i="41" s="1"/>
  <c r="G731" i="41"/>
  <c r="H730" i="41" s="1"/>
  <c r="G744" i="41"/>
  <c r="H743" i="41" s="1"/>
  <c r="G740" i="41"/>
  <c r="H739" i="41" s="1"/>
  <c r="G736" i="41"/>
  <c r="H735" i="41" s="1"/>
  <c r="G732" i="41"/>
  <c r="H731" i="41" s="1"/>
  <c r="G728" i="41"/>
  <c r="H727" i="41" s="1"/>
  <c r="G724" i="41"/>
  <c r="H723" i="41" s="1"/>
  <c r="G720" i="41"/>
  <c r="H719" i="41" s="1"/>
  <c r="G716" i="41"/>
  <c r="H715" i="41" s="1"/>
  <c r="G745" i="41"/>
  <c r="H744" i="41" s="1"/>
  <c r="G741" i="41"/>
  <c r="H740" i="41" s="1"/>
  <c r="G737" i="41"/>
  <c r="H736" i="41" s="1"/>
  <c r="G733" i="41"/>
  <c r="H732" i="41" s="1"/>
  <c r="G729" i="41"/>
  <c r="H728" i="41" s="1"/>
  <c r="G725" i="41"/>
  <c r="H724" i="41" s="1"/>
  <c r="G721" i="41"/>
  <c r="H720" i="41" s="1"/>
  <c r="G717" i="41"/>
  <c r="H716" i="41" s="1"/>
  <c r="G713" i="41"/>
  <c r="H712" i="41" s="1"/>
  <c r="G709" i="41"/>
  <c r="H708" i="41" s="1"/>
  <c r="G705" i="41"/>
  <c r="H704" i="41" s="1"/>
  <c r="G701" i="41"/>
  <c r="H700" i="41" s="1"/>
  <c r="G697" i="41"/>
  <c r="H696" i="41" s="1"/>
  <c r="G693" i="41"/>
  <c r="H692" i="41" s="1"/>
  <c r="G723" i="41"/>
  <c r="H722" i="41" s="1"/>
  <c r="G715" i="41"/>
  <c r="H714" i="41" s="1"/>
  <c r="G694" i="41"/>
  <c r="H693" i="41" s="1"/>
  <c r="G696" i="41"/>
  <c r="H695" i="41" s="1"/>
  <c r="G727" i="41"/>
  <c r="H726" i="41" s="1"/>
  <c r="G719" i="41"/>
  <c r="H718" i="41" s="1"/>
  <c r="G712" i="41"/>
  <c r="H711" i="41" s="1"/>
  <c r="G711" i="41"/>
  <c r="H710" i="41" s="1"/>
  <c r="G708" i="41"/>
  <c r="H707" i="41" s="1"/>
  <c r="G707" i="41"/>
  <c r="H706" i="41" s="1"/>
  <c r="G704" i="41"/>
  <c r="H703" i="41" s="1"/>
  <c r="G703" i="41"/>
  <c r="H702" i="41" s="1"/>
  <c r="G700" i="41"/>
  <c r="H699" i="41" s="1"/>
  <c r="G699" i="41"/>
  <c r="H698" i="41" s="1"/>
  <c r="G695" i="41"/>
  <c r="H694" i="41" s="1"/>
  <c r="G692" i="41"/>
  <c r="H691" i="41" s="1"/>
  <c r="G427" i="41"/>
  <c r="H426" i="41" s="1"/>
  <c r="G425" i="41"/>
  <c r="H424" i="41" s="1"/>
  <c r="G423" i="41"/>
  <c r="H422" i="41" s="1"/>
  <c r="G421" i="41"/>
  <c r="H420" i="41" s="1"/>
  <c r="G419" i="41"/>
  <c r="H418" i="41" s="1"/>
  <c r="G417" i="41"/>
  <c r="H416" i="41" s="1"/>
  <c r="G415" i="41"/>
  <c r="H414" i="41" s="1"/>
  <c r="G413" i="41"/>
  <c r="H412" i="41" s="1"/>
  <c r="G411" i="41"/>
  <c r="H410" i="41" s="1"/>
  <c r="G409" i="41"/>
  <c r="H408" i="41" s="1"/>
  <c r="G407" i="41"/>
  <c r="H406" i="41" s="1"/>
  <c r="G405" i="41"/>
  <c r="H404" i="41" s="1"/>
  <c r="G403" i="41"/>
  <c r="H402" i="41" s="1"/>
  <c r="G401" i="41"/>
  <c r="H400" i="41" s="1"/>
  <c r="G399" i="41"/>
  <c r="H398" i="41" s="1"/>
  <c r="G398" i="41"/>
  <c r="H397" i="41" s="1"/>
  <c r="G397" i="41"/>
  <c r="H396" i="41" s="1"/>
  <c r="G396" i="41"/>
  <c r="H395" i="41" s="1"/>
  <c r="G395" i="41"/>
  <c r="H394" i="41" s="1"/>
  <c r="G394" i="41"/>
  <c r="H393" i="41" s="1"/>
  <c r="G393" i="41"/>
  <c r="H392" i="41" s="1"/>
  <c r="G392" i="41"/>
  <c r="H391" i="41" s="1"/>
  <c r="G391" i="41"/>
  <c r="H390" i="41" s="1"/>
  <c r="G390" i="41"/>
  <c r="H389" i="41" s="1"/>
  <c r="G389" i="41"/>
  <c r="H388" i="41" s="1"/>
  <c r="G388" i="41"/>
  <c r="H387" i="41" s="1"/>
  <c r="G387" i="41"/>
  <c r="H386" i="41" s="1"/>
  <c r="G386" i="41"/>
  <c r="H385" i="41" s="1"/>
  <c r="G385" i="41"/>
  <c r="H384" i="41" s="1"/>
  <c r="G384" i="41"/>
  <c r="H383" i="41" s="1"/>
  <c r="G383" i="41"/>
  <c r="H382" i="41" s="1"/>
  <c r="G382" i="41"/>
  <c r="H381" i="41" s="1"/>
  <c r="G381" i="41"/>
  <c r="H380" i="41" s="1"/>
  <c r="G380" i="41"/>
  <c r="H379" i="41" s="1"/>
  <c r="G379" i="41"/>
  <c r="H378" i="41" s="1"/>
  <c r="G378" i="41"/>
  <c r="H377" i="41" s="1"/>
  <c r="G377" i="41"/>
  <c r="H376" i="41" s="1"/>
  <c r="G376" i="41"/>
  <c r="H375" i="41" s="1"/>
  <c r="G375" i="41"/>
  <c r="H374" i="41" s="1"/>
  <c r="G374" i="41"/>
  <c r="H373" i="41" s="1"/>
  <c r="G373" i="41"/>
  <c r="H372" i="41" s="1"/>
  <c r="G372" i="41"/>
  <c r="H371" i="41" s="1"/>
  <c r="G371" i="41"/>
  <c r="H370" i="41" s="1"/>
  <c r="G370" i="41"/>
  <c r="H369" i="41" s="1"/>
  <c r="G369" i="41"/>
  <c r="H368" i="41" s="1"/>
  <c r="G368" i="41"/>
  <c r="H367" i="41" s="1"/>
  <c r="G367" i="41"/>
  <c r="H366" i="41" s="1"/>
  <c r="G366" i="41"/>
  <c r="H365" i="41" s="1"/>
  <c r="G362" i="41"/>
  <c r="H361" i="41" s="1"/>
  <c r="G358" i="41"/>
  <c r="H357" i="41" s="1"/>
  <c r="G354" i="41"/>
  <c r="H353" i="41" s="1"/>
  <c r="G350" i="41"/>
  <c r="H349" i="41" s="1"/>
  <c r="G346" i="41"/>
  <c r="H345" i="41" s="1"/>
  <c r="G342" i="41"/>
  <c r="H341" i="41" s="1"/>
  <c r="G339" i="41"/>
  <c r="H338" i="41" s="1"/>
  <c r="G335" i="41"/>
  <c r="H334" i="41" s="1"/>
  <c r="G331" i="41"/>
  <c r="H330" i="41" s="1"/>
  <c r="G327" i="41"/>
  <c r="H326" i="41" s="1"/>
  <c r="G323" i="41"/>
  <c r="H322" i="41" s="1"/>
  <c r="G319" i="41"/>
  <c r="H318" i="41" s="1"/>
  <c r="G315" i="41"/>
  <c r="H314" i="41" s="1"/>
  <c r="G311" i="41"/>
  <c r="H310" i="41" s="1"/>
  <c r="G307" i="41"/>
  <c r="H306" i="41" s="1"/>
  <c r="G303" i="41"/>
  <c r="H302" i="41" s="1"/>
  <c r="G299" i="41"/>
  <c r="H298" i="41" s="1"/>
  <c r="G295" i="41"/>
  <c r="H294" i="41" s="1"/>
  <c r="G291" i="41"/>
  <c r="H290" i="41" s="1"/>
  <c r="G287" i="41"/>
  <c r="H286" i="41" s="1"/>
  <c r="G283" i="41"/>
  <c r="H282" i="41" s="1"/>
  <c r="G279" i="41"/>
  <c r="H278" i="41" s="1"/>
  <c r="G275" i="41"/>
  <c r="H274" i="41" s="1"/>
  <c r="G271" i="41"/>
  <c r="H270" i="41" s="1"/>
  <c r="G363" i="41"/>
  <c r="H362" i="41" s="1"/>
  <c r="G359" i="41"/>
  <c r="H358" i="41" s="1"/>
  <c r="G355" i="41"/>
  <c r="H354" i="41" s="1"/>
  <c r="G351" i="41"/>
  <c r="H350" i="41" s="1"/>
  <c r="G347" i="41"/>
  <c r="H346" i="41" s="1"/>
  <c r="G343" i="41"/>
  <c r="H342" i="41" s="1"/>
  <c r="G338" i="41"/>
  <c r="H337" i="41" s="1"/>
  <c r="G334" i="41"/>
  <c r="H333" i="41" s="1"/>
  <c r="G330" i="41"/>
  <c r="H329" i="41" s="1"/>
  <c r="G326" i="41"/>
  <c r="H325" i="41" s="1"/>
  <c r="G322" i="41"/>
  <c r="H321" i="41" s="1"/>
  <c r="G318" i="41"/>
  <c r="H317" i="41" s="1"/>
  <c r="G314" i="41"/>
  <c r="H313" i="41" s="1"/>
  <c r="G310" i="41"/>
  <c r="H309" i="41" s="1"/>
  <c r="G306" i="41"/>
  <c r="H305" i="41" s="1"/>
  <c r="G302" i="41"/>
  <c r="H301" i="41" s="1"/>
  <c r="G298" i="41"/>
  <c r="H297" i="41" s="1"/>
  <c r="G294" i="41"/>
  <c r="H293" i="41" s="1"/>
  <c r="G290" i="41"/>
  <c r="H289" i="41" s="1"/>
  <c r="G286" i="41"/>
  <c r="H285" i="41" s="1"/>
  <c r="G282" i="41"/>
  <c r="H281" i="41" s="1"/>
  <c r="G278" i="41"/>
  <c r="H277" i="41" s="1"/>
  <c r="G274" i="41"/>
  <c r="H273" i="41" s="1"/>
  <c r="G270" i="41"/>
  <c r="H269" i="41" s="1"/>
  <c r="G268" i="41"/>
  <c r="H267" i="41" s="1"/>
  <c r="G364" i="41"/>
  <c r="H363" i="41" s="1"/>
  <c r="G360" i="41"/>
  <c r="H359" i="41" s="1"/>
  <c r="G356" i="41"/>
  <c r="H355" i="41" s="1"/>
  <c r="G352" i="41"/>
  <c r="H351" i="41" s="1"/>
  <c r="G348" i="41"/>
  <c r="H347" i="41" s="1"/>
  <c r="G344" i="41"/>
  <c r="H343" i="41" s="1"/>
  <c r="G337" i="41"/>
  <c r="H336" i="41" s="1"/>
  <c r="G333" i="41"/>
  <c r="H332" i="41" s="1"/>
  <c r="G329" i="41"/>
  <c r="H328" i="41" s="1"/>
  <c r="G325" i="41"/>
  <c r="H324" i="41" s="1"/>
  <c r="G321" i="41"/>
  <c r="H320" i="41" s="1"/>
  <c r="G317" i="41"/>
  <c r="H316" i="41" s="1"/>
  <c r="G313" i="41"/>
  <c r="H312" i="41" s="1"/>
  <c r="G309" i="41"/>
  <c r="H308" i="41" s="1"/>
  <c r="G305" i="41"/>
  <c r="H304" i="41" s="1"/>
  <c r="G301" i="41"/>
  <c r="H300" i="41" s="1"/>
  <c r="G297" i="41"/>
  <c r="H296" i="41" s="1"/>
  <c r="G293" i="41"/>
  <c r="H292" i="41" s="1"/>
  <c r="G289" i="41"/>
  <c r="H288" i="41" s="1"/>
  <c r="G285" i="41"/>
  <c r="H284" i="41" s="1"/>
  <c r="G281" i="41"/>
  <c r="H280" i="41" s="1"/>
  <c r="G277" i="41"/>
  <c r="H276" i="41" s="1"/>
  <c r="G273" i="41"/>
  <c r="H272" i="41" s="1"/>
  <c r="G269" i="41"/>
  <c r="H268" i="41" s="1"/>
  <c r="G365" i="41"/>
  <c r="H364" i="41" s="1"/>
  <c r="G361" i="41"/>
  <c r="H360" i="41" s="1"/>
  <c r="G357" i="41"/>
  <c r="H356" i="41" s="1"/>
  <c r="G353" i="41"/>
  <c r="H352" i="41" s="1"/>
  <c r="G349" i="41"/>
  <c r="H348" i="41" s="1"/>
  <c r="G345" i="41"/>
  <c r="H344" i="41" s="1"/>
  <c r="G341" i="41"/>
  <c r="H340" i="41" s="1"/>
  <c r="G340" i="41"/>
  <c r="H339" i="41" s="1"/>
  <c r="G336" i="41"/>
  <c r="H335" i="41" s="1"/>
  <c r="G332" i="41"/>
  <c r="H331" i="41" s="1"/>
  <c r="G328" i="41"/>
  <c r="H327" i="41" s="1"/>
  <c r="G324" i="41"/>
  <c r="H323" i="41" s="1"/>
  <c r="G320" i="41"/>
  <c r="H319" i="41" s="1"/>
  <c r="G316" i="41"/>
  <c r="H315" i="41" s="1"/>
  <c r="G312" i="41"/>
  <c r="H311" i="41" s="1"/>
  <c r="G308" i="41"/>
  <c r="H307" i="41" s="1"/>
  <c r="G304" i="41"/>
  <c r="H303" i="41" s="1"/>
  <c r="G300" i="41"/>
  <c r="H299" i="41" s="1"/>
  <c r="G296" i="41"/>
  <c r="H295" i="41" s="1"/>
  <c r="G292" i="41"/>
  <c r="H291" i="41" s="1"/>
  <c r="G288" i="41"/>
  <c r="H287" i="41" s="1"/>
  <c r="G284" i="41"/>
  <c r="H283" i="41" s="1"/>
  <c r="G280" i="41"/>
  <c r="H279" i="41" s="1"/>
  <c r="G276" i="41"/>
  <c r="H275" i="41" s="1"/>
  <c r="G272" i="41"/>
  <c r="H271" i="41" s="1"/>
  <c r="G116" i="41"/>
  <c r="H115" i="41" s="1"/>
  <c r="G112" i="41"/>
  <c r="H111" i="41" s="1"/>
  <c r="I79" i="41"/>
  <c r="I80" i="41" s="1"/>
  <c r="I81" i="41" s="1"/>
  <c r="I82" i="41" s="1"/>
  <c r="I83" i="41" s="1"/>
  <c r="I84" i="41" s="1"/>
  <c r="I85" i="41" s="1"/>
  <c r="I86" i="41" s="1"/>
  <c r="I87" i="41" s="1"/>
  <c r="I88" i="41" s="1"/>
  <c r="I89" i="41" s="1"/>
  <c r="I90" i="41" s="1"/>
  <c r="I91" i="41" s="1"/>
  <c r="I92" i="41" s="1"/>
  <c r="I93" i="41" s="1"/>
  <c r="I94" i="41" s="1"/>
  <c r="I95" i="41" s="1"/>
  <c r="I96" i="41" s="1"/>
  <c r="I97" i="41" s="1"/>
  <c r="I98" i="41" s="1"/>
  <c r="I99" i="41" s="1"/>
  <c r="I100" i="41" s="1"/>
  <c r="I101" i="41" s="1"/>
  <c r="I102" i="41" s="1"/>
  <c r="I103" i="41" s="1"/>
  <c r="I104" i="41" s="1"/>
  <c r="I105" i="41" s="1"/>
  <c r="I106" i="41" s="1"/>
  <c r="I107" i="41" s="1"/>
  <c r="I108" i="41" s="1"/>
  <c r="I109" i="41" s="1"/>
  <c r="I110" i="41" s="1"/>
  <c r="I111" i="41" s="1"/>
  <c r="I112" i="41" s="1"/>
  <c r="I113" i="41" s="1"/>
  <c r="I114" i="41" s="1"/>
  <c r="I115" i="41" s="1"/>
  <c r="I116" i="41" s="1"/>
  <c r="I117" i="41" s="1"/>
  <c r="I118" i="41" s="1"/>
  <c r="I119" i="41" s="1"/>
  <c r="I120" i="41" s="1"/>
  <c r="I121" i="41" s="1"/>
  <c r="I122" i="41" s="1"/>
  <c r="I123" i="41" s="1"/>
  <c r="I124" i="41" s="1"/>
  <c r="I125" i="41" s="1"/>
  <c r="I126" i="41" s="1"/>
  <c r="I127" i="41" s="1"/>
  <c r="I128" i="41" s="1"/>
  <c r="I129" i="41" s="1"/>
  <c r="I130" i="41" s="1"/>
  <c r="I131" i="41" s="1"/>
  <c r="I132" i="41" s="1"/>
  <c r="I133" i="41" s="1"/>
  <c r="I134" i="41" s="1"/>
  <c r="I135" i="41" s="1"/>
  <c r="I136" i="41" s="1"/>
  <c r="I137" i="41" s="1"/>
  <c r="I138" i="41" s="1"/>
  <c r="I139" i="41" s="1"/>
  <c r="I140" i="41" s="1"/>
  <c r="I141" i="41" s="1"/>
  <c r="I142" i="41" s="1"/>
  <c r="I143" i="41" s="1"/>
  <c r="I144" i="41" s="1"/>
  <c r="I145" i="41" s="1"/>
  <c r="I146" i="41" s="1"/>
  <c r="I147" i="41" s="1"/>
  <c r="I148" i="41" s="1"/>
  <c r="I149" i="41" s="1"/>
  <c r="I150" i="41" s="1"/>
  <c r="I151" i="41" s="1"/>
  <c r="I152" i="41" s="1"/>
  <c r="I153" i="41" s="1"/>
  <c r="G151" i="41"/>
  <c r="H150" i="41" s="1"/>
  <c r="G147" i="41"/>
  <c r="H146" i="41" s="1"/>
  <c r="G143" i="41"/>
  <c r="H142" i="41" s="1"/>
  <c r="G139" i="41"/>
  <c r="H138" i="41" s="1"/>
  <c r="G135" i="41"/>
  <c r="H134" i="41" s="1"/>
  <c r="G131" i="41"/>
  <c r="H130" i="41" s="1"/>
  <c r="G127" i="41"/>
  <c r="H126" i="41" s="1"/>
  <c r="G123" i="41"/>
  <c r="H122" i="41" s="1"/>
  <c r="G119" i="41"/>
  <c r="H118" i="41" s="1"/>
  <c r="G115" i="41"/>
  <c r="H114" i="41" s="1"/>
  <c r="G111" i="41"/>
  <c r="H110" i="41" s="1"/>
  <c r="G108" i="41"/>
  <c r="H107" i="41" s="1"/>
  <c r="G106" i="41"/>
  <c r="H105" i="41" s="1"/>
  <c r="G102" i="41"/>
  <c r="H101" i="41" s="1"/>
  <c r="G98" i="41"/>
  <c r="H97" i="41" s="1"/>
  <c r="G94" i="41"/>
  <c r="H93" i="41" s="1"/>
  <c r="G90" i="41"/>
  <c r="H89" i="41" s="1"/>
  <c r="G86" i="41"/>
  <c r="H85" i="41" s="1"/>
  <c r="G107" i="41"/>
  <c r="H106" i="41" s="1"/>
  <c r="G103" i="41"/>
  <c r="H102" i="41" s="1"/>
  <c r="G99" i="41"/>
  <c r="H98" i="41" s="1"/>
  <c r="G95" i="41"/>
  <c r="H94" i="41" s="1"/>
  <c r="G91" i="41"/>
  <c r="H90" i="41" s="1"/>
  <c r="G87" i="41"/>
  <c r="H86" i="41" s="1"/>
  <c r="G83" i="41"/>
  <c r="H82" i="41" s="1"/>
  <c r="G79" i="41"/>
  <c r="H78" i="41" s="1"/>
  <c r="G75" i="41"/>
  <c r="H74" i="41" s="1"/>
  <c r="G71" i="41"/>
  <c r="H70" i="41" s="1"/>
  <c r="G67" i="41"/>
  <c r="H66" i="41" s="1"/>
  <c r="G63" i="41"/>
  <c r="H62" i="41" s="1"/>
  <c r="G59" i="41"/>
  <c r="H58" i="41" s="1"/>
  <c r="G55" i="41"/>
  <c r="H54" i="41" s="1"/>
  <c r="G51" i="41"/>
  <c r="H50" i="41" s="1"/>
  <c r="G47" i="41"/>
  <c r="H46" i="41" s="1"/>
  <c r="G43" i="41"/>
  <c r="H42" i="41" s="1"/>
  <c r="G35" i="41"/>
  <c r="H34" i="41" s="1"/>
  <c r="G27" i="41"/>
  <c r="H26" i="41" s="1"/>
  <c r="G23" i="41"/>
  <c r="H22" i="41" s="1"/>
  <c r="G19" i="41"/>
  <c r="H18" i="41" s="1"/>
  <c r="G15" i="41"/>
  <c r="H14" i="41" s="1"/>
  <c r="G11" i="41"/>
  <c r="H10" i="41" s="1"/>
  <c r="G7" i="41"/>
  <c r="H6" i="41" s="1"/>
  <c r="G4" i="41"/>
  <c r="G39" i="41"/>
  <c r="H38" i="41" s="1"/>
  <c r="G31" i="41"/>
  <c r="H30" i="41" s="1"/>
  <c r="G26" i="41"/>
  <c r="H25" i="41" s="1"/>
  <c r="G22" i="41"/>
  <c r="H21" i="41" s="1"/>
  <c r="G18" i="41"/>
  <c r="H17" i="41" s="1"/>
  <c r="G14" i="41"/>
  <c r="H13" i="41" s="1"/>
  <c r="G10" i="41"/>
  <c r="H9" i="41" s="1"/>
  <c r="G6" i="41"/>
  <c r="H5" i="41" s="1"/>
  <c r="C4" i="41"/>
  <c r="G32" i="41"/>
  <c r="H31" i="41" s="1"/>
  <c r="G33" i="41"/>
  <c r="H32" i="41" s="1"/>
  <c r="G40" i="41"/>
  <c r="H39" i="41" s="1"/>
  <c r="G44" i="41"/>
  <c r="H43" i="41" s="1"/>
  <c r="G48" i="41"/>
  <c r="H47" i="41" s="1"/>
  <c r="G52" i="41"/>
  <c r="H51" i="41" s="1"/>
  <c r="G56" i="41"/>
  <c r="H55" i="41" s="1"/>
  <c r="G60" i="41"/>
  <c r="H59" i="41" s="1"/>
  <c r="G64" i="41"/>
  <c r="H63" i="41" s="1"/>
  <c r="G68" i="41"/>
  <c r="H67" i="41" s="1"/>
  <c r="G72" i="41"/>
  <c r="H71" i="41" s="1"/>
  <c r="G76" i="41"/>
  <c r="H75" i="41" s="1"/>
  <c r="G80" i="41"/>
  <c r="H79" i="41" s="1"/>
  <c r="G84" i="41"/>
  <c r="H83" i="41" s="1"/>
  <c r="G88" i="41"/>
  <c r="H87" i="41" s="1"/>
  <c r="G92" i="41"/>
  <c r="H91" i="41" s="1"/>
  <c r="G96" i="41"/>
  <c r="H95" i="41" s="1"/>
  <c r="G100" i="41"/>
  <c r="H99" i="41" s="1"/>
  <c r="G104" i="41"/>
  <c r="H103" i="41" s="1"/>
  <c r="D6" i="41"/>
  <c r="C5" i="41"/>
  <c r="G8" i="41"/>
  <c r="H7" i="41" s="1"/>
  <c r="G12" i="41"/>
  <c r="H11" i="41" s="1"/>
  <c r="G16" i="41"/>
  <c r="H15" i="41" s="1"/>
  <c r="G20" i="41"/>
  <c r="H19" i="41" s="1"/>
  <c r="G24" i="41"/>
  <c r="H23" i="41" s="1"/>
  <c r="G28" i="41"/>
  <c r="H27" i="41" s="1"/>
  <c r="G30" i="41"/>
  <c r="H29" i="41" s="1"/>
  <c r="G38" i="41"/>
  <c r="H37" i="41" s="1"/>
  <c r="G41" i="41"/>
  <c r="H40" i="41" s="1"/>
  <c r="G45" i="41"/>
  <c r="H44" i="41" s="1"/>
  <c r="G49" i="41"/>
  <c r="H48" i="41" s="1"/>
  <c r="G53" i="41"/>
  <c r="H52" i="41" s="1"/>
  <c r="G57" i="41"/>
  <c r="H56" i="41" s="1"/>
  <c r="G61" i="41"/>
  <c r="H60" i="41" s="1"/>
  <c r="G65" i="41"/>
  <c r="H64" i="41" s="1"/>
  <c r="G69" i="41"/>
  <c r="H68" i="41" s="1"/>
  <c r="G73" i="41"/>
  <c r="H72" i="41" s="1"/>
  <c r="G77" i="41"/>
  <c r="H76" i="41" s="1"/>
  <c r="G81" i="41"/>
  <c r="H80" i="41" s="1"/>
  <c r="G85" i="41"/>
  <c r="H84" i="41" s="1"/>
  <c r="G89" i="41"/>
  <c r="H88" i="41" s="1"/>
  <c r="G93" i="41"/>
  <c r="H92" i="41" s="1"/>
  <c r="G97" i="41"/>
  <c r="H96" i="41" s="1"/>
  <c r="G101" i="41"/>
  <c r="H100" i="41" s="1"/>
  <c r="G105" i="41"/>
  <c r="H104" i="41" s="1"/>
  <c r="G29" i="41"/>
  <c r="H28" i="41" s="1"/>
  <c r="G36" i="41"/>
  <c r="H35" i="41" s="1"/>
  <c r="G37" i="41"/>
  <c r="H36" i="41" s="1"/>
  <c r="G42" i="41"/>
  <c r="H41" i="41" s="1"/>
  <c r="G46" i="41"/>
  <c r="H45" i="41" s="1"/>
  <c r="G50" i="41"/>
  <c r="H49" i="41" s="1"/>
  <c r="G54" i="41"/>
  <c r="H53" i="41" s="1"/>
  <c r="G58" i="41"/>
  <c r="H57" i="41" s="1"/>
  <c r="G62" i="41"/>
  <c r="H61" i="41" s="1"/>
  <c r="G66" i="41"/>
  <c r="H65" i="41" s="1"/>
  <c r="G70" i="41"/>
  <c r="H69" i="41" s="1"/>
  <c r="G74" i="41"/>
  <c r="H73" i="41" s="1"/>
  <c r="G78" i="41"/>
  <c r="H77" i="41" s="1"/>
  <c r="G82" i="41"/>
  <c r="H81" i="41" s="1"/>
  <c r="G110" i="41"/>
  <c r="H109" i="41" s="1"/>
  <c r="G114" i="41"/>
  <c r="H113" i="41" s="1"/>
  <c r="G118" i="41"/>
  <c r="H117" i="41" s="1"/>
  <c r="G122" i="41"/>
  <c r="H121" i="41" s="1"/>
  <c r="G126" i="41"/>
  <c r="H125" i="41" s="1"/>
  <c r="G130" i="41"/>
  <c r="H129" i="41" s="1"/>
  <c r="G134" i="41"/>
  <c r="H133" i="41" s="1"/>
  <c r="G138" i="41"/>
  <c r="H137" i="41" s="1"/>
  <c r="G142" i="41"/>
  <c r="H141" i="41" s="1"/>
  <c r="G146" i="41"/>
  <c r="H145" i="41" s="1"/>
  <c r="G150" i="41"/>
  <c r="H149" i="41" s="1"/>
  <c r="G5" i="41"/>
  <c r="H4" i="41" s="1"/>
  <c r="G9" i="41"/>
  <c r="H8" i="41" s="1"/>
  <c r="G13" i="41"/>
  <c r="H12" i="41" s="1"/>
  <c r="G17" i="41"/>
  <c r="H16" i="41" s="1"/>
  <c r="G21" i="41"/>
  <c r="H20" i="41" s="1"/>
  <c r="G25" i="41"/>
  <c r="H24" i="41" s="1"/>
  <c r="G34" i="41"/>
  <c r="H33" i="41" s="1"/>
  <c r="G120" i="41"/>
  <c r="H119" i="41" s="1"/>
  <c r="G124" i="41"/>
  <c r="H123" i="41" s="1"/>
  <c r="G128" i="41"/>
  <c r="H127" i="41" s="1"/>
  <c r="G132" i="41"/>
  <c r="H131" i="41" s="1"/>
  <c r="G136" i="41"/>
  <c r="H135" i="41" s="1"/>
  <c r="G140" i="41"/>
  <c r="H139" i="41" s="1"/>
  <c r="G144" i="41"/>
  <c r="H143" i="41" s="1"/>
  <c r="G148" i="41"/>
  <c r="H147" i="41" s="1"/>
  <c r="G152" i="41"/>
  <c r="H151" i="41" s="1"/>
  <c r="G157" i="41"/>
  <c r="H156" i="41" s="1"/>
  <c r="G161" i="41"/>
  <c r="H160" i="41" s="1"/>
  <c r="G165" i="41"/>
  <c r="H164" i="41" s="1"/>
  <c r="G169" i="41"/>
  <c r="H168" i="41" s="1"/>
  <c r="G173" i="41"/>
  <c r="H172" i="41" s="1"/>
  <c r="G177" i="41"/>
  <c r="H176" i="41" s="1"/>
  <c r="G181" i="41"/>
  <c r="H180" i="41" s="1"/>
  <c r="G185" i="41"/>
  <c r="H184" i="41" s="1"/>
  <c r="G189" i="41"/>
  <c r="H188" i="41" s="1"/>
  <c r="G193" i="41"/>
  <c r="H192" i="41" s="1"/>
  <c r="G197" i="41"/>
  <c r="H196" i="41" s="1"/>
  <c r="G201" i="41"/>
  <c r="H200" i="41" s="1"/>
  <c r="G205" i="41"/>
  <c r="H204" i="41" s="1"/>
  <c r="G209" i="41"/>
  <c r="H208" i="41" s="1"/>
  <c r="G213" i="41"/>
  <c r="H212" i="41" s="1"/>
  <c r="G217" i="41"/>
  <c r="H216" i="41" s="1"/>
  <c r="G221" i="41"/>
  <c r="H220" i="41" s="1"/>
  <c r="G225" i="41"/>
  <c r="H224" i="41" s="1"/>
  <c r="G229" i="41"/>
  <c r="H228" i="41" s="1"/>
  <c r="G233" i="41"/>
  <c r="H232" i="41" s="1"/>
  <c r="G237" i="41"/>
  <c r="H236" i="41" s="1"/>
  <c r="G241" i="41"/>
  <c r="H240" i="41" s="1"/>
  <c r="G245" i="41"/>
  <c r="H244" i="41" s="1"/>
  <c r="G249" i="41"/>
  <c r="H248" i="41" s="1"/>
  <c r="G253" i="41"/>
  <c r="H252" i="41" s="1"/>
  <c r="G257" i="41"/>
  <c r="H256" i="41" s="1"/>
  <c r="G261" i="41"/>
  <c r="H260" i="41" s="1"/>
  <c r="G265" i="41"/>
  <c r="H264" i="41" s="1"/>
  <c r="G154" i="41"/>
  <c r="H153" i="41" s="1"/>
  <c r="G158" i="41"/>
  <c r="H157" i="41" s="1"/>
  <c r="G162" i="41"/>
  <c r="H161" i="41" s="1"/>
  <c r="G166" i="41"/>
  <c r="H165" i="41" s="1"/>
  <c r="G170" i="41"/>
  <c r="H169" i="41" s="1"/>
  <c r="G174" i="41"/>
  <c r="H173" i="41" s="1"/>
  <c r="G178" i="41"/>
  <c r="H177" i="41" s="1"/>
  <c r="G182" i="41"/>
  <c r="H181" i="41" s="1"/>
  <c r="G186" i="41"/>
  <c r="H185" i="41" s="1"/>
  <c r="G190" i="41"/>
  <c r="H189" i="41" s="1"/>
  <c r="G194" i="41"/>
  <c r="H193" i="41" s="1"/>
  <c r="G198" i="41"/>
  <c r="H197" i="41" s="1"/>
  <c r="G202" i="41"/>
  <c r="H201" i="41" s="1"/>
  <c r="G206" i="41"/>
  <c r="H205" i="41" s="1"/>
  <c r="G210" i="41"/>
  <c r="H209" i="41" s="1"/>
  <c r="G214" i="41"/>
  <c r="H213" i="41" s="1"/>
  <c r="G218" i="41"/>
  <c r="H217" i="41" s="1"/>
  <c r="G222" i="41"/>
  <c r="H221" i="41" s="1"/>
  <c r="G226" i="41"/>
  <c r="H225" i="41" s="1"/>
  <c r="G230" i="41"/>
  <c r="H229" i="41" s="1"/>
  <c r="G234" i="41"/>
  <c r="H233" i="41" s="1"/>
  <c r="G238" i="41"/>
  <c r="H237" i="41" s="1"/>
  <c r="G242" i="41"/>
  <c r="H241" i="41" s="1"/>
  <c r="G246" i="41"/>
  <c r="H245" i="41" s="1"/>
  <c r="G250" i="41"/>
  <c r="H249" i="41" s="1"/>
  <c r="G254" i="41"/>
  <c r="H253" i="41" s="1"/>
  <c r="G258" i="41"/>
  <c r="H257" i="41" s="1"/>
  <c r="G262" i="41"/>
  <c r="H261" i="41" s="1"/>
  <c r="G266" i="41"/>
  <c r="H265" i="41" s="1"/>
  <c r="G109" i="41"/>
  <c r="H108" i="41" s="1"/>
  <c r="G113" i="41"/>
  <c r="H112" i="41" s="1"/>
  <c r="G117" i="41"/>
  <c r="H116" i="41" s="1"/>
  <c r="G121" i="41"/>
  <c r="H120" i="41" s="1"/>
  <c r="G125" i="41"/>
  <c r="H124" i="41" s="1"/>
  <c r="G129" i="41"/>
  <c r="H128" i="41" s="1"/>
  <c r="G133" i="41"/>
  <c r="H132" i="41" s="1"/>
  <c r="G137" i="41"/>
  <c r="H136" i="41" s="1"/>
  <c r="G141" i="41"/>
  <c r="H140" i="41" s="1"/>
  <c r="G145" i="41"/>
  <c r="H144" i="41" s="1"/>
  <c r="G149" i="41"/>
  <c r="H148" i="41" s="1"/>
  <c r="G153" i="41"/>
  <c r="H152" i="41" s="1"/>
  <c r="G155" i="41"/>
  <c r="H154" i="41" s="1"/>
  <c r="G159" i="41"/>
  <c r="H158" i="41" s="1"/>
  <c r="G163" i="41"/>
  <c r="H162" i="41" s="1"/>
  <c r="G167" i="41"/>
  <c r="H166" i="41" s="1"/>
  <c r="G171" i="41"/>
  <c r="H170" i="41" s="1"/>
  <c r="G175" i="41"/>
  <c r="H174" i="41" s="1"/>
  <c r="G179" i="41"/>
  <c r="H178" i="41" s="1"/>
  <c r="G183" i="41"/>
  <c r="H182" i="41" s="1"/>
  <c r="G187" i="41"/>
  <c r="H186" i="41" s="1"/>
  <c r="G191" i="41"/>
  <c r="H190" i="41" s="1"/>
  <c r="G195" i="41"/>
  <c r="H194" i="41" s="1"/>
  <c r="G199" i="41"/>
  <c r="H198" i="41" s="1"/>
  <c r="G203" i="41"/>
  <c r="H202" i="41" s="1"/>
  <c r="G207" i="41"/>
  <c r="H206" i="41" s="1"/>
  <c r="G211" i="41"/>
  <c r="H210" i="41" s="1"/>
  <c r="G215" i="41"/>
  <c r="H214" i="41" s="1"/>
  <c r="G219" i="41"/>
  <c r="H218" i="41" s="1"/>
  <c r="G223" i="41"/>
  <c r="H222" i="41" s="1"/>
  <c r="G227" i="41"/>
  <c r="H226" i="41" s="1"/>
  <c r="G231" i="41"/>
  <c r="H230" i="41" s="1"/>
  <c r="G235" i="41"/>
  <c r="H234" i="41" s="1"/>
  <c r="G239" i="41"/>
  <c r="H238" i="41" s="1"/>
  <c r="G243" i="41"/>
  <c r="H242" i="41" s="1"/>
  <c r="G247" i="41"/>
  <c r="H246" i="41" s="1"/>
  <c r="G251" i="41"/>
  <c r="H250" i="41" s="1"/>
  <c r="G255" i="41"/>
  <c r="H254" i="41" s="1"/>
  <c r="G259" i="41"/>
  <c r="H258" i="41" s="1"/>
  <c r="G263" i="41"/>
  <c r="H262" i="41" s="1"/>
  <c r="G267" i="41"/>
  <c r="H266" i="41" s="1"/>
  <c r="G156" i="41"/>
  <c r="H155" i="41" s="1"/>
  <c r="G160" i="41"/>
  <c r="H159" i="41" s="1"/>
  <c r="G164" i="41"/>
  <c r="H163" i="41" s="1"/>
  <c r="G168" i="41"/>
  <c r="H167" i="41" s="1"/>
  <c r="G172" i="41"/>
  <c r="H171" i="41" s="1"/>
  <c r="G176" i="41"/>
  <c r="H175" i="41" s="1"/>
  <c r="G180" i="41"/>
  <c r="H179" i="41" s="1"/>
  <c r="G184" i="41"/>
  <c r="H183" i="41" s="1"/>
  <c r="G188" i="41"/>
  <c r="H187" i="41" s="1"/>
  <c r="G192" i="41"/>
  <c r="H191" i="41" s="1"/>
  <c r="G196" i="41"/>
  <c r="H195" i="41" s="1"/>
  <c r="G200" i="41"/>
  <c r="H199" i="41" s="1"/>
  <c r="G204" i="41"/>
  <c r="H203" i="41" s="1"/>
  <c r="G208" i="41"/>
  <c r="H207" i="41" s="1"/>
  <c r="G212" i="41"/>
  <c r="H211" i="41" s="1"/>
  <c r="G216" i="41"/>
  <c r="H215" i="41" s="1"/>
  <c r="G220" i="41"/>
  <c r="H219" i="41" s="1"/>
  <c r="G224" i="41"/>
  <c r="H223" i="41" s="1"/>
  <c r="G228" i="41"/>
  <c r="H227" i="41" s="1"/>
  <c r="G232" i="41"/>
  <c r="H231" i="41" s="1"/>
  <c r="G236" i="41"/>
  <c r="H235" i="41" s="1"/>
  <c r="G240" i="41"/>
  <c r="H239" i="41" s="1"/>
  <c r="G244" i="41"/>
  <c r="H243" i="41" s="1"/>
  <c r="G248" i="41"/>
  <c r="H247" i="41" s="1"/>
  <c r="G252" i="41"/>
  <c r="H251" i="41" s="1"/>
  <c r="G256" i="41"/>
  <c r="H255" i="41" s="1"/>
  <c r="G260" i="41"/>
  <c r="H259" i="41" s="1"/>
  <c r="G264" i="41"/>
  <c r="H263" i="41" s="1"/>
  <c r="G402" i="41"/>
  <c r="H401" i="41" s="1"/>
  <c r="G406" i="41"/>
  <c r="H405" i="41" s="1"/>
  <c r="G410" i="41"/>
  <c r="H409" i="41" s="1"/>
  <c r="G414" i="41"/>
  <c r="H413" i="41" s="1"/>
  <c r="G418" i="41"/>
  <c r="H417" i="41" s="1"/>
  <c r="G422" i="41"/>
  <c r="H421" i="41" s="1"/>
  <c r="G426" i="41"/>
  <c r="H425" i="41" s="1"/>
  <c r="G400" i="41"/>
  <c r="H399" i="41" s="1"/>
  <c r="G404" i="41"/>
  <c r="H403" i="41" s="1"/>
  <c r="G408" i="41"/>
  <c r="H407" i="41" s="1"/>
  <c r="G412" i="41"/>
  <c r="H411" i="41" s="1"/>
  <c r="G416" i="41"/>
  <c r="H415" i="41" s="1"/>
  <c r="G420" i="41"/>
  <c r="H419" i="41" s="1"/>
  <c r="G424" i="41"/>
  <c r="H423" i="41" s="1"/>
  <c r="G429" i="41"/>
  <c r="H428" i="41" s="1"/>
  <c r="G430" i="41"/>
  <c r="H429" i="41" s="1"/>
  <c r="G437" i="41"/>
  <c r="H436" i="41" s="1"/>
  <c r="G438" i="41"/>
  <c r="H437" i="41" s="1"/>
  <c r="G443" i="41"/>
  <c r="H442" i="41" s="1"/>
  <c r="G451" i="41"/>
  <c r="H450" i="41" s="1"/>
  <c r="G459" i="41"/>
  <c r="H458" i="41" s="1"/>
  <c r="G467" i="41"/>
  <c r="H466" i="41" s="1"/>
  <c r="G431" i="41"/>
  <c r="H430" i="41" s="1"/>
  <c r="G432" i="41"/>
  <c r="H431" i="41" s="1"/>
  <c r="G439" i="41"/>
  <c r="H438" i="41" s="1"/>
  <c r="G441" i="41"/>
  <c r="H440" i="41" s="1"/>
  <c r="G449" i="41"/>
  <c r="H448" i="41" s="1"/>
  <c r="G457" i="41"/>
  <c r="H456" i="41" s="1"/>
  <c r="G465" i="41"/>
  <c r="H464" i="41" s="1"/>
  <c r="G473" i="41"/>
  <c r="H472" i="41" s="1"/>
  <c r="G433" i="41"/>
  <c r="H432" i="41" s="1"/>
  <c r="G434" i="41"/>
  <c r="H433" i="41" s="1"/>
  <c r="G447" i="41"/>
  <c r="H446" i="41" s="1"/>
  <c r="G455" i="41"/>
  <c r="H454" i="41" s="1"/>
  <c r="G463" i="41"/>
  <c r="H462" i="41" s="1"/>
  <c r="G471" i="41"/>
  <c r="H470" i="41" s="1"/>
  <c r="G475" i="41"/>
  <c r="H474" i="41" s="1"/>
  <c r="G477" i="41"/>
  <c r="H476" i="41" s="1"/>
  <c r="G479" i="41"/>
  <c r="H478" i="41" s="1"/>
  <c r="G481" i="41"/>
  <c r="H480" i="41" s="1"/>
  <c r="G483" i="41"/>
  <c r="H482" i="41" s="1"/>
  <c r="G485" i="41"/>
  <c r="H484" i="41" s="1"/>
  <c r="G487" i="41"/>
  <c r="H486" i="41" s="1"/>
  <c r="G489" i="41"/>
  <c r="H488" i="41" s="1"/>
  <c r="G491" i="41"/>
  <c r="H490" i="41" s="1"/>
  <c r="G493" i="41"/>
  <c r="H492" i="41" s="1"/>
  <c r="G495" i="41"/>
  <c r="H494" i="41" s="1"/>
  <c r="G497" i="41"/>
  <c r="H496" i="41" s="1"/>
  <c r="G499" i="41"/>
  <c r="H498" i="41" s="1"/>
  <c r="G428" i="41"/>
  <c r="H427" i="41" s="1"/>
  <c r="G435" i="41"/>
  <c r="H434" i="41" s="1"/>
  <c r="G436" i="41"/>
  <c r="H435" i="41" s="1"/>
  <c r="G445" i="41"/>
  <c r="H444" i="41" s="1"/>
  <c r="G453" i="41"/>
  <c r="H452" i="41" s="1"/>
  <c r="G461" i="41"/>
  <c r="H460" i="41" s="1"/>
  <c r="G469" i="41"/>
  <c r="H468" i="41" s="1"/>
  <c r="G440" i="41"/>
  <c r="H439" i="41" s="1"/>
  <c r="G442" i="41"/>
  <c r="H441" i="41" s="1"/>
  <c r="G444" i="41"/>
  <c r="H443" i="41" s="1"/>
  <c r="G446" i="41"/>
  <c r="H445" i="41" s="1"/>
  <c r="G448" i="41"/>
  <c r="H447" i="41" s="1"/>
  <c r="G450" i="41"/>
  <c r="H449" i="41" s="1"/>
  <c r="G452" i="41"/>
  <c r="H451" i="41" s="1"/>
  <c r="G454" i="41"/>
  <c r="H453" i="41" s="1"/>
  <c r="G456" i="41"/>
  <c r="H455" i="41" s="1"/>
  <c r="G458" i="41"/>
  <c r="H457" i="41" s="1"/>
  <c r="G460" i="41"/>
  <c r="H459" i="41" s="1"/>
  <c r="G462" i="41"/>
  <c r="H461" i="41" s="1"/>
  <c r="G464" i="41"/>
  <c r="H463" i="41" s="1"/>
  <c r="G466" i="41"/>
  <c r="H465" i="41" s="1"/>
  <c r="G468" i="41"/>
  <c r="H467" i="41" s="1"/>
  <c r="G470" i="41"/>
  <c r="H469" i="41" s="1"/>
  <c r="G472" i="41"/>
  <c r="H471" i="41" s="1"/>
  <c r="G474" i="41"/>
  <c r="H473" i="41" s="1"/>
  <c r="G476" i="41"/>
  <c r="H475" i="41" s="1"/>
  <c r="G478" i="41"/>
  <c r="H477" i="41" s="1"/>
  <c r="G480" i="41"/>
  <c r="H479" i="41" s="1"/>
  <c r="G482" i="41"/>
  <c r="H481" i="41" s="1"/>
  <c r="G484" i="41"/>
  <c r="H483" i="41" s="1"/>
  <c r="G486" i="41"/>
  <c r="H485" i="41" s="1"/>
  <c r="G488" i="41"/>
  <c r="H487" i="41" s="1"/>
  <c r="G490" i="41"/>
  <c r="H489" i="41" s="1"/>
  <c r="G492" i="41"/>
  <c r="H491" i="41" s="1"/>
  <c r="G494" i="41"/>
  <c r="H493" i="41" s="1"/>
  <c r="G496" i="41"/>
  <c r="H495" i="41" s="1"/>
  <c r="G498" i="41"/>
  <c r="H497" i="41" s="1"/>
  <c r="G500" i="41"/>
  <c r="H499" i="41" s="1"/>
  <c r="G502" i="41"/>
  <c r="H501" i="41" s="1"/>
  <c r="G504" i="41"/>
  <c r="H503" i="41" s="1"/>
  <c r="G506" i="41"/>
  <c r="H505" i="41" s="1"/>
  <c r="G508" i="41"/>
  <c r="H507" i="41" s="1"/>
  <c r="G510" i="41"/>
  <c r="H509" i="41" s="1"/>
  <c r="G512" i="41"/>
  <c r="H511" i="41" s="1"/>
  <c r="G514" i="41"/>
  <c r="H513" i="41" s="1"/>
  <c r="G516" i="41"/>
  <c r="H515" i="41" s="1"/>
  <c r="G518" i="41"/>
  <c r="H517" i="41" s="1"/>
  <c r="G520" i="41"/>
  <c r="H519" i="41" s="1"/>
  <c r="G522" i="41"/>
  <c r="H521" i="41" s="1"/>
  <c r="G524" i="41"/>
  <c r="H523" i="41" s="1"/>
  <c r="G526" i="41"/>
  <c r="H525" i="41" s="1"/>
  <c r="G528" i="41"/>
  <c r="H527" i="41" s="1"/>
  <c r="G530" i="41"/>
  <c r="H529" i="41" s="1"/>
  <c r="G532" i="41"/>
  <c r="H531" i="41" s="1"/>
  <c r="G534" i="41"/>
  <c r="H533" i="41" s="1"/>
  <c r="G536" i="41"/>
  <c r="H535" i="41" s="1"/>
  <c r="G538" i="41"/>
  <c r="H537" i="41" s="1"/>
  <c r="G540" i="41"/>
  <c r="H539" i="41" s="1"/>
  <c r="G542" i="41"/>
  <c r="H541" i="41" s="1"/>
  <c r="G544" i="41"/>
  <c r="H543" i="41" s="1"/>
  <c r="G548" i="41"/>
  <c r="H547" i="41" s="1"/>
  <c r="G555" i="41"/>
  <c r="H554" i="41" s="1"/>
  <c r="G559" i="41"/>
  <c r="H558" i="41" s="1"/>
  <c r="G563" i="41"/>
  <c r="H562" i="41" s="1"/>
  <c r="G567" i="41"/>
  <c r="H566" i="41" s="1"/>
  <c r="G571" i="41"/>
  <c r="H570" i="41" s="1"/>
  <c r="G575" i="41"/>
  <c r="H574" i="41" s="1"/>
  <c r="G579" i="41"/>
  <c r="H578" i="41" s="1"/>
  <c r="G583" i="41"/>
  <c r="H582" i="41" s="1"/>
  <c r="G587" i="41"/>
  <c r="H586" i="41" s="1"/>
  <c r="G591" i="41"/>
  <c r="H590" i="41" s="1"/>
  <c r="G593" i="41"/>
  <c r="H592" i="41" s="1"/>
  <c r="G597" i="41"/>
  <c r="H596" i="41" s="1"/>
  <c r="G601" i="41"/>
  <c r="H600" i="41" s="1"/>
  <c r="G605" i="41"/>
  <c r="H604" i="41" s="1"/>
  <c r="G609" i="41"/>
  <c r="H608" i="41" s="1"/>
  <c r="G613" i="41"/>
  <c r="H612" i="41" s="1"/>
  <c r="G617" i="41"/>
  <c r="H616" i="41" s="1"/>
  <c r="G621" i="41"/>
  <c r="H620" i="41" s="1"/>
  <c r="G625" i="41"/>
  <c r="H624" i="41" s="1"/>
  <c r="G629" i="41"/>
  <c r="H628" i="41" s="1"/>
  <c r="G633" i="41"/>
  <c r="H632" i="41" s="1"/>
  <c r="G637" i="41"/>
  <c r="H636" i="41" s="1"/>
  <c r="G641" i="41"/>
  <c r="H640" i="41" s="1"/>
  <c r="G645" i="41"/>
  <c r="H644" i="41" s="1"/>
  <c r="G649" i="41"/>
  <c r="H648" i="41" s="1"/>
  <c r="G653" i="41"/>
  <c r="H652" i="41" s="1"/>
  <c r="G657" i="41"/>
  <c r="H656" i="41" s="1"/>
  <c r="G661" i="41"/>
  <c r="H660" i="41" s="1"/>
  <c r="G665" i="41"/>
  <c r="H664" i="41" s="1"/>
  <c r="G669" i="41"/>
  <c r="H668" i="41" s="1"/>
  <c r="G673" i="41"/>
  <c r="H672" i="41" s="1"/>
  <c r="G677" i="41"/>
  <c r="H676" i="41" s="1"/>
  <c r="G681" i="41"/>
  <c r="H680" i="41" s="1"/>
  <c r="G685" i="41"/>
  <c r="H684" i="41" s="1"/>
  <c r="G689" i="41"/>
  <c r="H688" i="41" s="1"/>
  <c r="G545" i="41"/>
  <c r="H544" i="41" s="1"/>
  <c r="G549" i="41"/>
  <c r="H548" i="41" s="1"/>
  <c r="G554" i="41"/>
  <c r="H553" i="41" s="1"/>
  <c r="G558" i="41"/>
  <c r="H557" i="41" s="1"/>
  <c r="G562" i="41"/>
  <c r="H561" i="41" s="1"/>
  <c r="G566" i="41"/>
  <c r="H565" i="41" s="1"/>
  <c r="G570" i="41"/>
  <c r="H569" i="41" s="1"/>
  <c r="G574" i="41"/>
  <c r="H573" i="41" s="1"/>
  <c r="G578" i="41"/>
  <c r="H577" i="41" s="1"/>
  <c r="G582" i="41"/>
  <c r="H581" i="41" s="1"/>
  <c r="G586" i="41"/>
  <c r="H585" i="41" s="1"/>
  <c r="G590" i="41"/>
  <c r="H589" i="41" s="1"/>
  <c r="G594" i="41"/>
  <c r="H593" i="41" s="1"/>
  <c r="G598" i="41"/>
  <c r="H597" i="41" s="1"/>
  <c r="G602" i="41"/>
  <c r="H601" i="41" s="1"/>
  <c r="G606" i="41"/>
  <c r="H605" i="41" s="1"/>
  <c r="G610" i="41"/>
  <c r="H609" i="41" s="1"/>
  <c r="G614" i="41"/>
  <c r="H613" i="41" s="1"/>
  <c r="G618" i="41"/>
  <c r="H617" i="41" s="1"/>
  <c r="G622" i="41"/>
  <c r="H621" i="41" s="1"/>
  <c r="G626" i="41"/>
  <c r="H625" i="41" s="1"/>
  <c r="G630" i="41"/>
  <c r="H629" i="41" s="1"/>
  <c r="G634" i="41"/>
  <c r="H633" i="41" s="1"/>
  <c r="G638" i="41"/>
  <c r="H637" i="41" s="1"/>
  <c r="G642" i="41"/>
  <c r="H641" i="41" s="1"/>
  <c r="G646" i="41"/>
  <c r="H645" i="41" s="1"/>
  <c r="G650" i="41"/>
  <c r="H649" i="41" s="1"/>
  <c r="G654" i="41"/>
  <c r="H653" i="41" s="1"/>
  <c r="G658" i="41"/>
  <c r="H657" i="41" s="1"/>
  <c r="G662" i="41"/>
  <c r="H661" i="41" s="1"/>
  <c r="G666" i="41"/>
  <c r="H665" i="41" s="1"/>
  <c r="G670" i="41"/>
  <c r="H669" i="41" s="1"/>
  <c r="G674" i="41"/>
  <c r="H673" i="41" s="1"/>
  <c r="G678" i="41"/>
  <c r="H677" i="41" s="1"/>
  <c r="G682" i="41"/>
  <c r="H681" i="41" s="1"/>
  <c r="G686" i="41"/>
  <c r="H685" i="41" s="1"/>
  <c r="G690" i="41"/>
  <c r="H689" i="41" s="1"/>
  <c r="G501" i="41"/>
  <c r="H500" i="41" s="1"/>
  <c r="G503" i="41"/>
  <c r="H502" i="41" s="1"/>
  <c r="G505" i="41"/>
  <c r="H504" i="41" s="1"/>
  <c r="G507" i="41"/>
  <c r="H506" i="41" s="1"/>
  <c r="G509" i="41"/>
  <c r="H508" i="41" s="1"/>
  <c r="G511" i="41"/>
  <c r="H510" i="41" s="1"/>
  <c r="G513" i="41"/>
  <c r="H512" i="41" s="1"/>
  <c r="G515" i="41"/>
  <c r="H514" i="41" s="1"/>
  <c r="G517" i="41"/>
  <c r="H516" i="41" s="1"/>
  <c r="G519" i="41"/>
  <c r="H518" i="41" s="1"/>
  <c r="G521" i="41"/>
  <c r="H520" i="41" s="1"/>
  <c r="G523" i="41"/>
  <c r="H522" i="41" s="1"/>
  <c r="G525" i="41"/>
  <c r="H524" i="41" s="1"/>
  <c r="G527" i="41"/>
  <c r="H526" i="41" s="1"/>
  <c r="G529" i="41"/>
  <c r="H528" i="41" s="1"/>
  <c r="G531" i="41"/>
  <c r="H530" i="41" s="1"/>
  <c r="G533" i="41"/>
  <c r="H532" i="41" s="1"/>
  <c r="G535" i="41"/>
  <c r="H534" i="41" s="1"/>
  <c r="G537" i="41"/>
  <c r="H536" i="41" s="1"/>
  <c r="G539" i="41"/>
  <c r="H538" i="41" s="1"/>
  <c r="G541" i="41"/>
  <c r="H540" i="41" s="1"/>
  <c r="G543" i="41"/>
  <c r="H542" i="41" s="1"/>
  <c r="G546" i="41"/>
  <c r="H545" i="41" s="1"/>
  <c r="G550" i="41"/>
  <c r="H549" i="41" s="1"/>
  <c r="G553" i="41"/>
  <c r="H552" i="41" s="1"/>
  <c r="G557" i="41"/>
  <c r="H556" i="41" s="1"/>
  <c r="G561" i="41"/>
  <c r="H560" i="41" s="1"/>
  <c r="G565" i="41"/>
  <c r="H564" i="41" s="1"/>
  <c r="G569" i="41"/>
  <c r="H568" i="41" s="1"/>
  <c r="G573" i="41"/>
  <c r="H572" i="41" s="1"/>
  <c r="G577" i="41"/>
  <c r="H576" i="41" s="1"/>
  <c r="G581" i="41"/>
  <c r="H580" i="41" s="1"/>
  <c r="G585" i="41"/>
  <c r="H584" i="41" s="1"/>
  <c r="G589" i="41"/>
  <c r="H588" i="41" s="1"/>
  <c r="G595" i="41"/>
  <c r="H594" i="41" s="1"/>
  <c r="G599" i="41"/>
  <c r="H598" i="41" s="1"/>
  <c r="G603" i="41"/>
  <c r="H602" i="41" s="1"/>
  <c r="G607" i="41"/>
  <c r="H606" i="41" s="1"/>
  <c r="G611" i="41"/>
  <c r="H610" i="41" s="1"/>
  <c r="G615" i="41"/>
  <c r="H614" i="41" s="1"/>
  <c r="G619" i="41"/>
  <c r="H618" i="41" s="1"/>
  <c r="G623" i="41"/>
  <c r="H622" i="41" s="1"/>
  <c r="G627" i="41"/>
  <c r="H626" i="41" s="1"/>
  <c r="G631" i="41"/>
  <c r="H630" i="41" s="1"/>
  <c r="G635" i="41"/>
  <c r="H634" i="41" s="1"/>
  <c r="G639" i="41"/>
  <c r="H638" i="41" s="1"/>
  <c r="G643" i="41"/>
  <c r="H642" i="41" s="1"/>
  <c r="G647" i="41"/>
  <c r="H646" i="41" s="1"/>
  <c r="G651" i="41"/>
  <c r="H650" i="41" s="1"/>
  <c r="G655" i="41"/>
  <c r="H654" i="41" s="1"/>
  <c r="G659" i="41"/>
  <c r="H658" i="41" s="1"/>
  <c r="G663" i="41"/>
  <c r="H662" i="41" s="1"/>
  <c r="G667" i="41"/>
  <c r="H666" i="41" s="1"/>
  <c r="G671" i="41"/>
  <c r="H670" i="41" s="1"/>
  <c r="G675" i="41"/>
  <c r="H674" i="41" s="1"/>
  <c r="G679" i="41"/>
  <c r="H678" i="41" s="1"/>
  <c r="G683" i="41"/>
  <c r="H682" i="41" s="1"/>
  <c r="G687" i="41"/>
  <c r="H686" i="41" s="1"/>
  <c r="G691" i="41"/>
  <c r="H690" i="41" s="1"/>
  <c r="G547" i="41"/>
  <c r="H546" i="41" s="1"/>
  <c r="G551" i="41"/>
  <c r="H550" i="41" s="1"/>
  <c r="G552" i="41"/>
  <c r="H551" i="41" s="1"/>
  <c r="G556" i="41"/>
  <c r="H555" i="41" s="1"/>
  <c r="G560" i="41"/>
  <c r="H559" i="41" s="1"/>
  <c r="G564" i="41"/>
  <c r="H563" i="41" s="1"/>
  <c r="G568" i="41"/>
  <c r="H567" i="41" s="1"/>
  <c r="G572" i="41"/>
  <c r="H571" i="41" s="1"/>
  <c r="G576" i="41"/>
  <c r="H575" i="41" s="1"/>
  <c r="G580" i="41"/>
  <c r="H579" i="41" s="1"/>
  <c r="G584" i="41"/>
  <c r="H583" i="41" s="1"/>
  <c r="G588" i="41"/>
  <c r="H587" i="41" s="1"/>
  <c r="G592" i="41"/>
  <c r="H591" i="41" s="1"/>
  <c r="G596" i="41"/>
  <c r="H595" i="41" s="1"/>
  <c r="G600" i="41"/>
  <c r="H599" i="41" s="1"/>
  <c r="G604" i="41"/>
  <c r="H603" i="41" s="1"/>
  <c r="G608" i="41"/>
  <c r="H607" i="41" s="1"/>
  <c r="G612" i="41"/>
  <c r="H611" i="41" s="1"/>
  <c r="G616" i="41"/>
  <c r="H615" i="41" s="1"/>
  <c r="G620" i="41"/>
  <c r="H619" i="41" s="1"/>
  <c r="G624" i="41"/>
  <c r="H623" i="41" s="1"/>
  <c r="G628" i="41"/>
  <c r="H627" i="41" s="1"/>
  <c r="G632" i="41"/>
  <c r="H631" i="41" s="1"/>
  <c r="G636" i="41"/>
  <c r="H635" i="41" s="1"/>
  <c r="G640" i="41"/>
  <c r="H639" i="41" s="1"/>
  <c r="G644" i="41"/>
  <c r="H643" i="41" s="1"/>
  <c r="G648" i="41"/>
  <c r="H647" i="41" s="1"/>
  <c r="G652" i="41"/>
  <c r="H651" i="41" s="1"/>
  <c r="G656" i="41"/>
  <c r="H655" i="41" s="1"/>
  <c r="G660" i="41"/>
  <c r="H659" i="41" s="1"/>
  <c r="G664" i="41"/>
  <c r="H663" i="41" s="1"/>
  <c r="G668" i="41"/>
  <c r="H667" i="41" s="1"/>
  <c r="G672" i="41"/>
  <c r="H671" i="41" s="1"/>
  <c r="G676" i="41"/>
  <c r="H675" i="41" s="1"/>
  <c r="G680" i="41"/>
  <c r="H679" i="41" s="1"/>
  <c r="G684" i="41"/>
  <c r="H683" i="41" s="1"/>
  <c r="G688" i="41"/>
  <c r="H687" i="41" s="1"/>
  <c r="G750" i="41"/>
  <c r="H749" i="41" s="1"/>
  <c r="G754" i="41"/>
  <c r="H753" i="41" s="1"/>
  <c r="G758" i="41"/>
  <c r="H757" i="41" s="1"/>
  <c r="G762" i="41"/>
  <c r="H761" i="41" s="1"/>
  <c r="G766" i="41"/>
  <c r="H765" i="41" s="1"/>
  <c r="G770" i="41"/>
  <c r="H769" i="41" s="1"/>
  <c r="G749" i="41"/>
  <c r="H748" i="41" s="1"/>
  <c r="G753" i="41"/>
  <c r="H752" i="41" s="1"/>
  <c r="G757" i="41"/>
  <c r="H756" i="41" s="1"/>
  <c r="G761" i="41"/>
  <c r="H760" i="41" s="1"/>
  <c r="G765" i="41"/>
  <c r="H764" i="41" s="1"/>
  <c r="G769" i="41"/>
  <c r="H768" i="41" s="1"/>
  <c r="G748" i="41"/>
  <c r="H747" i="41" s="1"/>
  <c r="G752" i="41"/>
  <c r="H751" i="41" s="1"/>
  <c r="G756" i="41"/>
  <c r="H755" i="41" s="1"/>
  <c r="G760" i="41"/>
  <c r="H759" i="41" s="1"/>
  <c r="G764" i="41"/>
  <c r="H763" i="41" s="1"/>
  <c r="G768" i="41"/>
  <c r="H767" i="41" s="1"/>
  <c r="G771" i="41"/>
  <c r="H770" i="41" s="1"/>
  <c r="G773" i="41"/>
  <c r="H772" i="41" s="1"/>
  <c r="G775" i="41"/>
  <c r="H774" i="41" s="1"/>
  <c r="G777" i="41"/>
  <c r="H776" i="41" s="1"/>
  <c r="G779" i="41"/>
  <c r="H778" i="41" s="1"/>
  <c r="G781" i="41"/>
  <c r="H780" i="41" s="1"/>
  <c r="G783" i="41"/>
  <c r="H782" i="41" s="1"/>
  <c r="G785" i="41"/>
  <c r="H784" i="41" s="1"/>
  <c r="G787" i="41"/>
  <c r="H786" i="41" s="1"/>
  <c r="G789" i="41"/>
  <c r="H788" i="41" s="1"/>
  <c r="G791" i="41"/>
  <c r="H790" i="41" s="1"/>
  <c r="G793" i="41"/>
  <c r="H792" i="41" s="1"/>
  <c r="G795" i="41"/>
  <c r="H794" i="41" s="1"/>
  <c r="G797" i="41"/>
  <c r="H796" i="41" s="1"/>
  <c r="G799" i="41"/>
  <c r="H798" i="41" s="1"/>
  <c r="G801" i="41"/>
  <c r="H800" i="41" s="1"/>
  <c r="G803" i="41"/>
  <c r="H802" i="41" s="1"/>
  <c r="G805" i="41"/>
  <c r="H804" i="41" s="1"/>
  <c r="G807" i="41"/>
  <c r="H806" i="41" s="1"/>
  <c r="G751" i="41"/>
  <c r="H750" i="41" s="1"/>
  <c r="G755" i="41"/>
  <c r="H754" i="41" s="1"/>
  <c r="G759" i="41"/>
  <c r="H758" i="41" s="1"/>
  <c r="G763" i="41"/>
  <c r="H762" i="41" s="1"/>
  <c r="G767" i="41"/>
  <c r="H766" i="41" s="1"/>
  <c r="G843" i="41"/>
  <c r="H842" i="41" s="1"/>
  <c r="G809" i="41"/>
  <c r="H808" i="41" s="1"/>
  <c r="G811" i="41"/>
  <c r="H810" i="41" s="1"/>
  <c r="G813" i="41"/>
  <c r="H812" i="41" s="1"/>
  <c r="G815" i="41"/>
  <c r="H814" i="41" s="1"/>
  <c r="G817" i="41"/>
  <c r="H816" i="41" s="1"/>
  <c r="G819" i="41"/>
  <c r="H818" i="41" s="1"/>
  <c r="G821" i="41"/>
  <c r="H820" i="41" s="1"/>
  <c r="G823" i="41"/>
  <c r="H822" i="41" s="1"/>
  <c r="G825" i="41"/>
  <c r="H824" i="41" s="1"/>
  <c r="G827" i="41"/>
  <c r="H826" i="41" s="1"/>
  <c r="G829" i="41"/>
  <c r="H828" i="41" s="1"/>
  <c r="G831" i="41"/>
  <c r="H830" i="41" s="1"/>
  <c r="G833" i="41"/>
  <c r="H832" i="41" s="1"/>
  <c r="G835" i="41"/>
  <c r="H834" i="41" s="1"/>
  <c r="G837" i="41"/>
  <c r="H836" i="41" s="1"/>
  <c r="G839" i="41"/>
  <c r="H838" i="41" s="1"/>
  <c r="G841" i="41"/>
  <c r="H840" i="41" s="1"/>
  <c r="G842" i="41"/>
  <c r="H841" i="41" s="1"/>
  <c r="G846" i="41"/>
  <c r="H845" i="41" s="1"/>
  <c r="G848" i="41"/>
  <c r="H847" i="41" s="1"/>
  <c r="G850" i="41"/>
  <c r="H849" i="41" s="1"/>
  <c r="G852" i="41"/>
  <c r="H851" i="41" s="1"/>
  <c r="G854" i="41"/>
  <c r="H853" i="41" s="1"/>
  <c r="G856" i="41"/>
  <c r="H855" i="41" s="1"/>
  <c r="G858" i="41"/>
  <c r="H857" i="41" s="1"/>
  <c r="G860" i="41"/>
  <c r="H859" i="41" s="1"/>
  <c r="G862" i="41"/>
  <c r="H861" i="41" s="1"/>
  <c r="G864" i="41"/>
  <c r="H863" i="41" s="1"/>
  <c r="G866" i="41"/>
  <c r="H865" i="41" s="1"/>
  <c r="G868" i="41"/>
  <c r="H867" i="41" s="1"/>
  <c r="G870" i="41"/>
  <c r="H869" i="41" s="1"/>
  <c r="G872" i="41"/>
  <c r="H871" i="41" s="1"/>
  <c r="G874" i="41"/>
  <c r="H873" i="41" s="1"/>
  <c r="G876" i="41"/>
  <c r="H875" i="41" s="1"/>
  <c r="G878" i="41"/>
  <c r="H877" i="41" s="1"/>
  <c r="G880" i="41"/>
  <c r="H879" i="41" s="1"/>
  <c r="G882" i="41"/>
  <c r="H881" i="41" s="1"/>
  <c r="G884" i="41"/>
  <c r="H883" i="41" s="1"/>
  <c r="G886" i="41"/>
  <c r="H885" i="41" s="1"/>
  <c r="G888" i="41"/>
  <c r="H887" i="41" s="1"/>
  <c r="G890" i="41"/>
  <c r="H889" i="41" s="1"/>
  <c r="G845" i="41"/>
  <c r="H844" i="41" s="1"/>
  <c r="G772" i="41"/>
  <c r="H771" i="41" s="1"/>
  <c r="G774" i="41"/>
  <c r="H773" i="41" s="1"/>
  <c r="G776" i="41"/>
  <c r="H775" i="41" s="1"/>
  <c r="G778" i="41"/>
  <c r="H777" i="41" s="1"/>
  <c r="G780" i="41"/>
  <c r="H779" i="41" s="1"/>
  <c r="G782" i="41"/>
  <c r="H781" i="41" s="1"/>
  <c r="G784" i="41"/>
  <c r="H783" i="41" s="1"/>
  <c r="G786" i="41"/>
  <c r="H785" i="41" s="1"/>
  <c r="G788" i="41"/>
  <c r="H787" i="41" s="1"/>
  <c r="G790" i="41"/>
  <c r="H789" i="41" s="1"/>
  <c r="G792" i="41"/>
  <c r="H791" i="41" s="1"/>
  <c r="G794" i="41"/>
  <c r="H793" i="41" s="1"/>
  <c r="G796" i="41"/>
  <c r="H795" i="41" s="1"/>
  <c r="G798" i="41"/>
  <c r="H797" i="41" s="1"/>
  <c r="G800" i="41"/>
  <c r="H799" i="41" s="1"/>
  <c r="G802" i="41"/>
  <c r="H801" i="41" s="1"/>
  <c r="G804" i="41"/>
  <c r="H803" i="41" s="1"/>
  <c r="G806" i="41"/>
  <c r="H805" i="41" s="1"/>
  <c r="G808" i="41"/>
  <c r="H807" i="41" s="1"/>
  <c r="G810" i="41"/>
  <c r="H809" i="41" s="1"/>
  <c r="G812" i="41"/>
  <c r="H811" i="41" s="1"/>
  <c r="G814" i="41"/>
  <c r="H813" i="41" s="1"/>
  <c r="G816" i="41"/>
  <c r="H815" i="41" s="1"/>
  <c r="G818" i="41"/>
  <c r="H817" i="41" s="1"/>
  <c r="G820" i="41"/>
  <c r="H819" i="41" s="1"/>
  <c r="G822" i="41"/>
  <c r="H821" i="41" s="1"/>
  <c r="G824" i="41"/>
  <c r="H823" i="41" s="1"/>
  <c r="G826" i="41"/>
  <c r="H825" i="41" s="1"/>
  <c r="G828" i="41"/>
  <c r="H827" i="41" s="1"/>
  <c r="G830" i="41"/>
  <c r="H829" i="41" s="1"/>
  <c r="G832" i="41"/>
  <c r="H831" i="41" s="1"/>
  <c r="G834" i="41"/>
  <c r="H833" i="41" s="1"/>
  <c r="G836" i="41"/>
  <c r="H835" i="41" s="1"/>
  <c r="G838" i="41"/>
  <c r="H837" i="41" s="1"/>
  <c r="G840" i="41"/>
  <c r="H839" i="41" s="1"/>
  <c r="G844" i="41"/>
  <c r="H843" i="41" s="1"/>
  <c r="G847" i="41"/>
  <c r="H846" i="41" s="1"/>
  <c r="G849" i="41"/>
  <c r="H848" i="41" s="1"/>
  <c r="G851" i="41"/>
  <c r="H850" i="41" s="1"/>
  <c r="G853" i="41"/>
  <c r="H852" i="41" s="1"/>
  <c r="G855" i="41"/>
  <c r="H854" i="41" s="1"/>
  <c r="G857" i="41"/>
  <c r="H856" i="41" s="1"/>
  <c r="G859" i="41"/>
  <c r="H858" i="41" s="1"/>
  <c r="G861" i="41"/>
  <c r="H860" i="41" s="1"/>
  <c r="G863" i="41"/>
  <c r="H862" i="41" s="1"/>
  <c r="G865" i="41"/>
  <c r="H864" i="41" s="1"/>
  <c r="G867" i="41"/>
  <c r="H866" i="41" s="1"/>
  <c r="G869" i="41"/>
  <c r="H868" i="41" s="1"/>
  <c r="G871" i="41"/>
  <c r="H870" i="41" s="1"/>
  <c r="G873" i="41"/>
  <c r="H872" i="41" s="1"/>
  <c r="G875" i="41"/>
  <c r="H874" i="41" s="1"/>
  <c r="G877" i="41"/>
  <c r="H876" i="41" s="1"/>
  <c r="G879" i="41"/>
  <c r="H878" i="41" s="1"/>
  <c r="G881" i="41"/>
  <c r="H880" i="41" s="1"/>
  <c r="G883" i="41"/>
  <c r="H882" i="41" s="1"/>
  <c r="G885" i="41"/>
  <c r="H884" i="41" s="1"/>
  <c r="G887" i="41"/>
  <c r="H886" i="41" s="1"/>
  <c r="G889" i="41"/>
  <c r="H888" i="41" s="1"/>
  <c r="G891" i="41"/>
  <c r="H890" i="41" s="1"/>
  <c r="N36" i="91"/>
  <c r="O30" i="91"/>
  <c r="O36" i="91" s="1"/>
  <c r="L30" i="91"/>
  <c r="M36" i="91"/>
  <c r="DU57" i="3"/>
  <c r="DU56" i="3"/>
  <c r="DL48" i="3"/>
  <c r="BE67" i="3"/>
  <c r="EB37" i="3"/>
  <c r="EG37" i="3"/>
  <c r="ET19" i="3"/>
  <c r="EU19" i="3" s="1"/>
  <c r="DS56" i="3"/>
  <c r="EC57" i="3"/>
  <c r="EC56" i="3"/>
  <c r="ET12" i="3"/>
  <c r="EU12" i="3" s="1"/>
  <c r="DX37" i="3"/>
  <c r="DY57" i="3"/>
  <c r="DY56" i="3"/>
  <c r="BU68" i="3"/>
  <c r="BU67" i="3"/>
  <c r="Z81" i="3"/>
  <c r="AJ81" i="3"/>
  <c r="AT81" i="3"/>
  <c r="BH107" i="3"/>
  <c r="EF123" i="3"/>
  <c r="EK124" i="3" s="1"/>
  <c r="EG15" i="3"/>
  <c r="EC16" i="3"/>
  <c r="T204" i="3"/>
  <c r="T211" i="3"/>
  <c r="X225" i="3"/>
  <c r="X204" i="3"/>
  <c r="X211" i="3"/>
  <c r="AB225" i="3"/>
  <c r="AB204" i="3"/>
  <c r="AB211" i="3"/>
  <c r="AF225" i="3"/>
  <c r="AF204" i="3"/>
  <c r="AF211" i="3"/>
  <c r="AJ23" i="3"/>
  <c r="AH25" i="3" s="1"/>
  <c r="AN225" i="3"/>
  <c r="AN204" i="3"/>
  <c r="AN211" i="3"/>
  <c r="AR225" i="3"/>
  <c r="AR204" i="3"/>
  <c r="AR211" i="3"/>
  <c r="AR171" i="3"/>
  <c r="AV225" i="3"/>
  <c r="AV204" i="3"/>
  <c r="AV211" i="3"/>
  <c r="AV171" i="3"/>
  <c r="AZ396" i="3"/>
  <c r="AZ395" i="3"/>
  <c r="AZ391" i="3"/>
  <c r="AZ390" i="3"/>
  <c r="AZ389" i="3"/>
  <c r="AZ394" i="3"/>
  <c r="AZ393" i="3"/>
  <c r="AZ392" i="3"/>
  <c r="AZ388" i="3"/>
  <c r="AZ387" i="3"/>
  <c r="AZ225" i="3"/>
  <c r="AZ204" i="3"/>
  <c r="AZ211" i="3"/>
  <c r="AZ171" i="3"/>
  <c r="BD23" i="3"/>
  <c r="BD395" i="3" s="1"/>
  <c r="BH23" i="3"/>
  <c r="BH392" i="3" s="1"/>
  <c r="BL23" i="3"/>
  <c r="BP396" i="3"/>
  <c r="BP395" i="3"/>
  <c r="BP391" i="3"/>
  <c r="BP390" i="3"/>
  <c r="BP389" i="3"/>
  <c r="BP393" i="3"/>
  <c r="BP392" i="3"/>
  <c r="BP388" i="3"/>
  <c r="BP387" i="3"/>
  <c r="BP394" i="3"/>
  <c r="BP225" i="3"/>
  <c r="BP204" i="3"/>
  <c r="BP211" i="3"/>
  <c r="BP202" i="3"/>
  <c r="BP171" i="3"/>
  <c r="BT391" i="3"/>
  <c r="BT390" i="3"/>
  <c r="BT389" i="3"/>
  <c r="BT395" i="3"/>
  <c r="BT388" i="3"/>
  <c r="BT387" i="3"/>
  <c r="BT393" i="3"/>
  <c r="BT392" i="3"/>
  <c r="BT396" i="3"/>
  <c r="BT394" i="3"/>
  <c r="BT225" i="3"/>
  <c r="BT204" i="3"/>
  <c r="BT202" i="3"/>
  <c r="BT211" i="3"/>
  <c r="BT171" i="3"/>
  <c r="BX23" i="3"/>
  <c r="BX389" i="3" s="1"/>
  <c r="CB395" i="3"/>
  <c r="CB391" i="3"/>
  <c r="CB390" i="3"/>
  <c r="CB389" i="3"/>
  <c r="CB396" i="3"/>
  <c r="CB388" i="3"/>
  <c r="CB387" i="3"/>
  <c r="CB394" i="3"/>
  <c r="CB392" i="3"/>
  <c r="CB393" i="3"/>
  <c r="CB225" i="3"/>
  <c r="CB204" i="3"/>
  <c r="CB202" i="3"/>
  <c r="CB211" i="3"/>
  <c r="CB171" i="3"/>
  <c r="CF396" i="3"/>
  <c r="CF395" i="3"/>
  <c r="CF391" i="3"/>
  <c r="CF390" i="3"/>
  <c r="CF389" i="3"/>
  <c r="CF394" i="3"/>
  <c r="CF393" i="3"/>
  <c r="CF392" i="3"/>
  <c r="CF388" i="3"/>
  <c r="CF387" i="3"/>
  <c r="CF225" i="3"/>
  <c r="CF204" i="3"/>
  <c r="CF211" i="3"/>
  <c r="CF202" i="3"/>
  <c r="CF171" i="3"/>
  <c r="CJ391" i="3"/>
  <c r="CJ390" i="3"/>
  <c r="CJ389" i="3"/>
  <c r="CJ395" i="3"/>
  <c r="CJ388" i="3"/>
  <c r="CJ387" i="3"/>
  <c r="CJ394" i="3"/>
  <c r="CJ396" i="3"/>
  <c r="CJ393" i="3"/>
  <c r="CJ392" i="3"/>
  <c r="CJ225" i="3"/>
  <c r="CJ204" i="3"/>
  <c r="CJ211" i="3"/>
  <c r="CJ171" i="3"/>
  <c r="CN396" i="3"/>
  <c r="CN391" i="3"/>
  <c r="CN390" i="3"/>
  <c r="CN389" i="3"/>
  <c r="CN394" i="3"/>
  <c r="CN393" i="3"/>
  <c r="CN392" i="3"/>
  <c r="CN388" i="3"/>
  <c r="CN387" i="3"/>
  <c r="CN395" i="3"/>
  <c r="CN225" i="3"/>
  <c r="CN204" i="3"/>
  <c r="CN211" i="3"/>
  <c r="CN171" i="3"/>
  <c r="CR23" i="3"/>
  <c r="CR393" i="3" s="1"/>
  <c r="CV396" i="3"/>
  <c r="CV395" i="3"/>
  <c r="CV391" i="3"/>
  <c r="CV390" i="3"/>
  <c r="CV389" i="3"/>
  <c r="CV394" i="3"/>
  <c r="CV393" i="3"/>
  <c r="CV392" i="3"/>
  <c r="CV388" i="3"/>
  <c r="CV387" i="3"/>
  <c r="CV225" i="3"/>
  <c r="CV204" i="3"/>
  <c r="CV211" i="3"/>
  <c r="CV171" i="3"/>
  <c r="CZ391" i="3"/>
  <c r="CZ390" i="3"/>
  <c r="CZ389" i="3"/>
  <c r="CZ395" i="3"/>
  <c r="CZ388" i="3"/>
  <c r="CZ387" i="3"/>
  <c r="CZ396" i="3"/>
  <c r="CZ393" i="3"/>
  <c r="CZ392" i="3"/>
  <c r="CZ394" i="3"/>
  <c r="CZ225" i="3"/>
  <c r="CZ204" i="3"/>
  <c r="CZ211" i="3"/>
  <c r="CZ171" i="3"/>
  <c r="DD396" i="3"/>
  <c r="DD391" i="3"/>
  <c r="DD390" i="3"/>
  <c r="DD389" i="3"/>
  <c r="DD388" i="3"/>
  <c r="DD395" i="3"/>
  <c r="DD394" i="3"/>
  <c r="DD393" i="3"/>
  <c r="DD392" i="3"/>
  <c r="DD387" i="3"/>
  <c r="DD225" i="3"/>
  <c r="DD204" i="3"/>
  <c r="DD211" i="3"/>
  <c r="DD171" i="3"/>
  <c r="DH395" i="3"/>
  <c r="DH391" i="3"/>
  <c r="DH390" i="3"/>
  <c r="DH389" i="3"/>
  <c r="DH388" i="3"/>
  <c r="DH396" i="3"/>
  <c r="DH387" i="3"/>
  <c r="DH394" i="3"/>
  <c r="DH392" i="3"/>
  <c r="DH393" i="3"/>
  <c r="DH225" i="3"/>
  <c r="DH204" i="3"/>
  <c r="DH211" i="3"/>
  <c r="DH171" i="3"/>
  <c r="DL23" i="3"/>
  <c r="DL122" i="3" s="1"/>
  <c r="DP391" i="3"/>
  <c r="DP390" i="3"/>
  <c r="DP389" i="3"/>
  <c r="DP388" i="3"/>
  <c r="DP395" i="3"/>
  <c r="DP387" i="3"/>
  <c r="DP394" i="3"/>
  <c r="DP396" i="3"/>
  <c r="DP393" i="3"/>
  <c r="DP392" i="3"/>
  <c r="DP225" i="3"/>
  <c r="DP204" i="3"/>
  <c r="DP211" i="3"/>
  <c r="DP171" i="3"/>
  <c r="DT23" i="3"/>
  <c r="X24" i="3"/>
  <c r="AC24" i="3"/>
  <c r="AH24" i="3"/>
  <c r="AM24" i="3"/>
  <c r="AR24" i="3"/>
  <c r="AW24" i="3"/>
  <c r="BB24" i="3"/>
  <c r="BQ24" i="3"/>
  <c r="BV24" i="3"/>
  <c r="CA24" i="3"/>
  <c r="CF24" i="3"/>
  <c r="CK24" i="3"/>
  <c r="CP24" i="3"/>
  <c r="CU24" i="3"/>
  <c r="CZ24" i="3"/>
  <c r="DE24" i="3"/>
  <c r="DJ24" i="3"/>
  <c r="W26" i="3"/>
  <c r="AA26" i="3"/>
  <c r="AI26" i="3"/>
  <c r="AM26" i="3"/>
  <c r="AQ26" i="3"/>
  <c r="BS30" i="3"/>
  <c r="CM30" i="3"/>
  <c r="DG30" i="3"/>
  <c r="EE30" i="3"/>
  <c r="EA31" i="3"/>
  <c r="EA32" i="3"/>
  <c r="BK35" i="3"/>
  <c r="BS36" i="3"/>
  <c r="CM36" i="3"/>
  <c r="DG36" i="3"/>
  <c r="AO32" i="3"/>
  <c r="AD40" i="3"/>
  <c r="AH40" i="3"/>
  <c r="AX40" i="3"/>
  <c r="BB40" i="3"/>
  <c r="BV40" i="3"/>
  <c r="CP40" i="3"/>
  <c r="DF40" i="3"/>
  <c r="DJ40" i="3"/>
  <c r="BO42" i="3"/>
  <c r="BW42" i="3"/>
  <c r="CA42" i="3"/>
  <c r="CE42" i="3"/>
  <c r="CI42" i="3"/>
  <c r="CQ42" i="3"/>
  <c r="CU42" i="3"/>
  <c r="CY42" i="3"/>
  <c r="DC42" i="3"/>
  <c r="DK42" i="3"/>
  <c r="DS42" i="3"/>
  <c r="EG46" i="3"/>
  <c r="DS46" i="3"/>
  <c r="DX56" i="3"/>
  <c r="DX46" i="3"/>
  <c r="EC46" i="3"/>
  <c r="FP47" i="3"/>
  <c r="FP49" i="3"/>
  <c r="FP51" i="3"/>
  <c r="DL46" i="3"/>
  <c r="DL50" i="3"/>
  <c r="DQ45" i="3"/>
  <c r="DV48" i="3"/>
  <c r="DV52" i="3"/>
  <c r="FP53" i="3"/>
  <c r="CR54" i="3"/>
  <c r="CB56" i="3"/>
  <c r="CF56" i="3"/>
  <c r="CJ57" i="3"/>
  <c r="CN56" i="3"/>
  <c r="CW55" i="3"/>
  <c r="DN57" i="3"/>
  <c r="DR55" i="3"/>
  <c r="DW55" i="3"/>
  <c r="DX57" i="3" s="1"/>
  <c r="EH55" i="3"/>
  <c r="BY56" i="3"/>
  <c r="CD56" i="3"/>
  <c r="CO56" i="3"/>
  <c r="CT56" i="3"/>
  <c r="CY56" i="3"/>
  <c r="DO56" i="3"/>
  <c r="CF57" i="3"/>
  <c r="CL57" i="3"/>
  <c r="CZ57" i="3"/>
  <c r="DF57" i="3"/>
  <c r="DT57" i="3"/>
  <c r="DO61" i="3"/>
  <c r="DS61" i="3"/>
  <c r="DW61" i="3"/>
  <c r="EA60" i="3"/>
  <c r="EE61" i="3"/>
  <c r="AZ61" i="3"/>
  <c r="BE61" i="3"/>
  <c r="BJ61" i="3"/>
  <c r="BP61" i="3"/>
  <c r="BU61" i="3"/>
  <c r="BZ61" i="3"/>
  <c r="CF61" i="3"/>
  <c r="CK61" i="3"/>
  <c r="CP61" i="3"/>
  <c r="CV61" i="3"/>
  <c r="DA61" i="3"/>
  <c r="DF61" i="3"/>
  <c r="EB61" i="3"/>
  <c r="EG61" i="3"/>
  <c r="AU66" i="3"/>
  <c r="AZ67" i="3" s="1"/>
  <c r="BA66" i="3"/>
  <c r="BF66" i="3"/>
  <c r="BK66" i="3"/>
  <c r="BL68" i="3" s="1"/>
  <c r="BQ66" i="3"/>
  <c r="BV66" i="3"/>
  <c r="CA66" i="3"/>
  <c r="CF67" i="3" s="1"/>
  <c r="CP66" i="3"/>
  <c r="CX66" i="3"/>
  <c r="DF66" i="3"/>
  <c r="DA68" i="3"/>
  <c r="DU68" i="3"/>
  <c r="BN75" i="3"/>
  <c r="BI80" i="3"/>
  <c r="BI75" i="3"/>
  <c r="BS80" i="3"/>
  <c r="CH75" i="3"/>
  <c r="CC80" i="3"/>
  <c r="CC75" i="3"/>
  <c r="CM80" i="3"/>
  <c r="DB75" i="3"/>
  <c r="CW80" i="3"/>
  <c r="CW75" i="3"/>
  <c r="DG80" i="3"/>
  <c r="DV75" i="3"/>
  <c r="DQ80" i="3"/>
  <c r="DQ75" i="3"/>
  <c r="EA80" i="3"/>
  <c r="BS75" i="3"/>
  <c r="FQ80" i="3"/>
  <c r="AU126" i="3"/>
  <c r="BC126" i="3"/>
  <c r="BG126" i="3"/>
  <c r="BQ126" i="3"/>
  <c r="BU109" i="3"/>
  <c r="CL126" i="3"/>
  <c r="DK126" i="3"/>
  <c r="DU108" i="3"/>
  <c r="EE126" i="3"/>
  <c r="U123" i="3"/>
  <c r="AO123" i="3"/>
  <c r="AY80" i="3"/>
  <c r="AY81" i="3" s="1"/>
  <c r="BD80" i="3"/>
  <c r="DQ12" i="3"/>
  <c r="DQ23" i="3" s="1"/>
  <c r="DQ122" i="3" s="1"/>
  <c r="EH15" i="3"/>
  <c r="Q211" i="3"/>
  <c r="Q204" i="3"/>
  <c r="U23" i="3"/>
  <c r="S25" i="3" s="1"/>
  <c r="Y211" i="3"/>
  <c r="Y225" i="3"/>
  <c r="Y204" i="3"/>
  <c r="AC211" i="3"/>
  <c r="AC225" i="3"/>
  <c r="AC204" i="3"/>
  <c r="AG211" i="3"/>
  <c r="AG225" i="3"/>
  <c r="AG204" i="3"/>
  <c r="AK211" i="3"/>
  <c r="AK225" i="3"/>
  <c r="AK204" i="3"/>
  <c r="AK129" i="3"/>
  <c r="AO23" i="3"/>
  <c r="AO227" i="3" s="1"/>
  <c r="AS211" i="3"/>
  <c r="AS225" i="3"/>
  <c r="AS171" i="3"/>
  <c r="AS204" i="3"/>
  <c r="AW211" i="3"/>
  <c r="AW225" i="3"/>
  <c r="AW204" i="3"/>
  <c r="AW171" i="3"/>
  <c r="BA396" i="3"/>
  <c r="BA392" i="3"/>
  <c r="BA391" i="3"/>
  <c r="BA389" i="3"/>
  <c r="BA394" i="3"/>
  <c r="BA393" i="3"/>
  <c r="BA387" i="3"/>
  <c r="BA395" i="3"/>
  <c r="BA388" i="3"/>
  <c r="BA390" i="3"/>
  <c r="BA211" i="3"/>
  <c r="BA225" i="3"/>
  <c r="BA202" i="3"/>
  <c r="BA204" i="3"/>
  <c r="BA171" i="3"/>
  <c r="BE23" i="3"/>
  <c r="BE392" i="3" s="1"/>
  <c r="BM23" i="3"/>
  <c r="BR40" i="3" s="1"/>
  <c r="BQ396" i="3"/>
  <c r="BQ395" i="3"/>
  <c r="BQ392" i="3"/>
  <c r="BQ394" i="3"/>
  <c r="BQ391" i="3"/>
  <c r="BQ389" i="3"/>
  <c r="BQ390" i="3"/>
  <c r="BQ387" i="3"/>
  <c r="BQ388" i="3"/>
  <c r="BQ393" i="3"/>
  <c r="BQ211" i="3"/>
  <c r="BQ225" i="3"/>
  <c r="BQ202" i="3"/>
  <c r="BQ204" i="3"/>
  <c r="BQ171" i="3"/>
  <c r="BU395" i="3"/>
  <c r="BU392" i="3"/>
  <c r="BU396" i="3"/>
  <c r="BU394" i="3"/>
  <c r="BU393" i="3"/>
  <c r="BU389" i="3"/>
  <c r="BU388" i="3"/>
  <c r="BU391" i="3"/>
  <c r="BU390" i="3"/>
  <c r="BU387" i="3"/>
  <c r="BU211" i="3"/>
  <c r="BU225" i="3"/>
  <c r="BU202" i="3"/>
  <c r="BU204" i="3"/>
  <c r="BU171" i="3"/>
  <c r="BY396" i="3"/>
  <c r="BY392" i="3"/>
  <c r="BY391" i="3"/>
  <c r="BY395" i="3"/>
  <c r="BY394" i="3"/>
  <c r="BY390" i="3"/>
  <c r="BY388" i="3"/>
  <c r="BY393" i="3"/>
  <c r="BY387" i="3"/>
  <c r="BY389" i="3"/>
  <c r="BY211" i="3"/>
  <c r="BY225" i="3"/>
  <c r="BY202" i="3"/>
  <c r="BY204" i="3"/>
  <c r="BY171" i="3"/>
  <c r="CG23" i="3"/>
  <c r="CG227" i="3" s="1"/>
  <c r="CK395" i="3"/>
  <c r="CK392" i="3"/>
  <c r="CK396" i="3"/>
  <c r="CK394" i="3"/>
  <c r="CK393" i="3"/>
  <c r="CK390" i="3"/>
  <c r="CK388" i="3"/>
  <c r="CK391" i="3"/>
  <c r="CK389" i="3"/>
  <c r="CK387" i="3"/>
  <c r="CK211" i="3"/>
  <c r="CK225" i="3"/>
  <c r="CK204" i="3"/>
  <c r="CK171" i="3"/>
  <c r="CO396" i="3"/>
  <c r="CO392" i="3"/>
  <c r="CO395" i="3"/>
  <c r="CO391" i="3"/>
  <c r="CO394" i="3"/>
  <c r="CO390" i="3"/>
  <c r="CO393" i="3"/>
  <c r="CO389" i="3"/>
  <c r="CO388" i="3"/>
  <c r="CO387" i="3"/>
  <c r="CO211" i="3"/>
  <c r="CO225" i="3"/>
  <c r="CO204" i="3"/>
  <c r="CO171" i="3"/>
  <c r="CS392" i="3"/>
  <c r="CS395" i="3"/>
  <c r="CS394" i="3"/>
  <c r="CS393" i="3"/>
  <c r="CS396" i="3"/>
  <c r="CS391" i="3"/>
  <c r="CS387" i="3"/>
  <c r="CS390" i="3"/>
  <c r="CS389" i="3"/>
  <c r="CS388" i="3"/>
  <c r="CS211" i="3"/>
  <c r="CS225" i="3"/>
  <c r="CS204" i="3"/>
  <c r="CS171" i="3"/>
  <c r="DA395" i="3"/>
  <c r="DA392" i="3"/>
  <c r="DA396" i="3"/>
  <c r="DA394" i="3"/>
  <c r="DA393" i="3"/>
  <c r="DA388" i="3"/>
  <c r="DA391" i="3"/>
  <c r="DA389" i="3"/>
  <c r="DA390" i="3"/>
  <c r="DA387" i="3"/>
  <c r="DA211" i="3"/>
  <c r="DA225" i="3"/>
  <c r="DA204" i="3"/>
  <c r="DA171" i="3"/>
  <c r="DE396" i="3"/>
  <c r="DE392" i="3"/>
  <c r="DE391" i="3"/>
  <c r="DE395" i="3"/>
  <c r="DE394" i="3"/>
  <c r="DE390" i="3"/>
  <c r="DE388" i="3"/>
  <c r="DE389" i="3"/>
  <c r="DE393" i="3"/>
  <c r="DE387" i="3"/>
  <c r="DE211" i="3"/>
  <c r="DE225" i="3"/>
  <c r="DE204" i="3"/>
  <c r="DE171" i="3"/>
  <c r="DI392" i="3"/>
  <c r="DI394" i="3"/>
  <c r="DI393" i="3"/>
  <c r="DI396" i="3"/>
  <c r="DI387" i="3"/>
  <c r="DI395" i="3"/>
  <c r="DI390" i="3"/>
  <c r="DI388" i="3"/>
  <c r="DI391" i="3"/>
  <c r="DI389" i="3"/>
  <c r="DI211" i="3"/>
  <c r="DI225" i="3"/>
  <c r="DI204" i="3"/>
  <c r="DI171" i="3"/>
  <c r="DM396" i="3"/>
  <c r="DM395" i="3"/>
  <c r="DM392" i="3"/>
  <c r="DM390" i="3"/>
  <c r="DM394" i="3"/>
  <c r="DM391" i="3"/>
  <c r="DM389" i="3"/>
  <c r="DM393" i="3"/>
  <c r="DM388" i="3"/>
  <c r="DM387" i="3"/>
  <c r="DM211" i="3"/>
  <c r="DM225" i="3"/>
  <c r="DM204" i="3"/>
  <c r="DM171" i="3"/>
  <c r="DU396" i="3"/>
  <c r="DU392" i="3"/>
  <c r="DU395" i="3"/>
  <c r="DU391" i="3"/>
  <c r="DU394" i="3"/>
  <c r="DU390" i="3"/>
  <c r="DU388" i="3"/>
  <c r="DU393" i="3"/>
  <c r="DU389" i="3"/>
  <c r="DU387" i="3"/>
  <c r="DU211" i="3"/>
  <c r="DU225" i="3"/>
  <c r="DU204" i="3"/>
  <c r="DU171" i="3"/>
  <c r="FP22" i="3"/>
  <c r="T24" i="3"/>
  <c r="Y24" i="3"/>
  <c r="AD24" i="3"/>
  <c r="AS24" i="3"/>
  <c r="AX24" i="3"/>
  <c r="BR24" i="3"/>
  <c r="CL24" i="3"/>
  <c r="DA24" i="3"/>
  <c r="DF24" i="3"/>
  <c r="T26" i="3"/>
  <c r="T27" i="3" s="1"/>
  <c r="X26" i="3"/>
  <c r="AB26" i="3"/>
  <c r="AF26" i="3"/>
  <c r="AN26" i="3"/>
  <c r="AR26" i="3"/>
  <c r="AV26" i="3"/>
  <c r="AZ26" i="3"/>
  <c r="BP26" i="3"/>
  <c r="BP27" i="3" s="1"/>
  <c r="BT26" i="3"/>
  <c r="CB26" i="3"/>
  <c r="CF26" i="3"/>
  <c r="CJ26" i="3"/>
  <c r="CN26" i="3"/>
  <c r="CV26" i="3"/>
  <c r="CZ26" i="3"/>
  <c r="CZ27" i="3" s="1"/>
  <c r="DD26" i="3"/>
  <c r="DH26" i="3"/>
  <c r="DP26" i="3"/>
  <c r="BD30" i="3"/>
  <c r="BX30" i="3"/>
  <c r="CR30" i="3"/>
  <c r="DL30" i="3"/>
  <c r="EB30" i="3"/>
  <c r="BD31" i="3"/>
  <c r="BX31" i="3"/>
  <c r="CR31" i="3"/>
  <c r="DL31" i="3"/>
  <c r="BD32" i="3"/>
  <c r="BX32" i="3"/>
  <c r="CR32" i="3"/>
  <c r="DL32" i="3"/>
  <c r="EF33" i="3"/>
  <c r="EF34" i="3"/>
  <c r="BH35" i="3"/>
  <c r="BL35" i="3"/>
  <c r="EF35" i="3"/>
  <c r="BD36" i="3"/>
  <c r="BX36" i="3"/>
  <c r="CR36" i="3"/>
  <c r="DL36" i="3"/>
  <c r="BD38" i="3"/>
  <c r="BX38" i="3"/>
  <c r="CR38" i="3"/>
  <c r="DL38" i="3"/>
  <c r="DX38" i="3"/>
  <c r="Z32" i="3"/>
  <c r="AT32" i="3"/>
  <c r="BP42" i="3"/>
  <c r="BT42" i="3"/>
  <c r="CB42" i="3"/>
  <c r="CF42" i="3"/>
  <c r="CJ42" i="3"/>
  <c r="CN42" i="3"/>
  <c r="CV42" i="3"/>
  <c r="CZ42" i="3"/>
  <c r="DD42" i="3"/>
  <c r="DH42" i="3"/>
  <c r="DP42" i="3"/>
  <c r="DT46" i="3"/>
  <c r="DY46" i="3"/>
  <c r="ED46" i="3"/>
  <c r="DB186" i="3"/>
  <c r="DB54" i="3"/>
  <c r="DV45" i="3"/>
  <c r="CC55" i="3"/>
  <c r="DB55" i="3"/>
  <c r="ED55" i="3"/>
  <c r="BZ56" i="3"/>
  <c r="CK56" i="3"/>
  <c r="CP56" i="3"/>
  <c r="CU56" i="3"/>
  <c r="DF56" i="3"/>
  <c r="DK56" i="3"/>
  <c r="CN57" i="3"/>
  <c r="CU57" i="3"/>
  <c r="DG60" i="3"/>
  <c r="DX66" i="3"/>
  <c r="EB66" i="3"/>
  <c r="EG66" i="3"/>
  <c r="BF61" i="3"/>
  <c r="BL61" i="3"/>
  <c r="BV61" i="3"/>
  <c r="CB61" i="3"/>
  <c r="CL61" i="3"/>
  <c r="DH61" i="3"/>
  <c r="DM61" i="3"/>
  <c r="AW66" i="3"/>
  <c r="AW68" i="3" s="1"/>
  <c r="BB66" i="3"/>
  <c r="BG66" i="3"/>
  <c r="BL67" i="3" s="1"/>
  <c r="BM66" i="3"/>
  <c r="BR66" i="3"/>
  <c r="BW66" i="3"/>
  <c r="CB67" i="3" s="1"/>
  <c r="CI66" i="3"/>
  <c r="CJ68" i="3" s="1"/>
  <c r="CQ66" i="3"/>
  <c r="CY66" i="3"/>
  <c r="CZ68" i="3" s="1"/>
  <c r="DO66" i="3"/>
  <c r="DW66" i="3"/>
  <c r="EE66" i="3"/>
  <c r="DM67" i="3"/>
  <c r="FP71" i="3"/>
  <c r="FQ71" i="3"/>
  <c r="BM126" i="3"/>
  <c r="BV126" i="3"/>
  <c r="CE126" i="3"/>
  <c r="CI126" i="3"/>
  <c r="CQ126" i="3"/>
  <c r="CQ142" i="3" s="1"/>
  <c r="BB14" i="41" s="1"/>
  <c r="CU126" i="3"/>
  <c r="CY126" i="3"/>
  <c r="DM126" i="3"/>
  <c r="DR126" i="3"/>
  <c r="DR155" i="3" s="1"/>
  <c r="DW126" i="3"/>
  <c r="DW155" i="3" s="1"/>
  <c r="Z123" i="3"/>
  <c r="AT123" i="3"/>
  <c r="BD123" i="3"/>
  <c r="CC123" i="3"/>
  <c r="CW123" i="3"/>
  <c r="DQ123" i="3"/>
  <c r="FP5" i="3"/>
  <c r="FP9" i="3"/>
  <c r="FP11" i="3"/>
  <c r="EF8" i="3"/>
  <c r="EF63" i="3" s="1"/>
  <c r="CR123" i="3"/>
  <c r="DL123" i="3"/>
  <c r="DT107" i="3"/>
  <c r="DU109" i="3" s="1"/>
  <c r="R211" i="3"/>
  <c r="R204" i="3"/>
  <c r="V211" i="3"/>
  <c r="V204" i="3"/>
  <c r="Z23" i="3"/>
  <c r="X25" i="3" s="1"/>
  <c r="AD211" i="3"/>
  <c r="AD204" i="3"/>
  <c r="AH211" i="3"/>
  <c r="AH204" i="3"/>
  <c r="AL211" i="3"/>
  <c r="AL204" i="3"/>
  <c r="AP211" i="3"/>
  <c r="AP204" i="3"/>
  <c r="AP171" i="3"/>
  <c r="AT23" i="3"/>
  <c r="AT227" i="3" s="1"/>
  <c r="AX211" i="3"/>
  <c r="AX171" i="3"/>
  <c r="AX204" i="3"/>
  <c r="BB393" i="3"/>
  <c r="BB396" i="3"/>
  <c r="BB395" i="3"/>
  <c r="BB394" i="3"/>
  <c r="BB392" i="3"/>
  <c r="BB391" i="3"/>
  <c r="BB387" i="3"/>
  <c r="BB390" i="3"/>
  <c r="BB389" i="3"/>
  <c r="BB388" i="3"/>
  <c r="BB211" i="3"/>
  <c r="BB202" i="3"/>
  <c r="BB171" i="3"/>
  <c r="BB204" i="3"/>
  <c r="BF23" i="3"/>
  <c r="BF392" i="3" s="1"/>
  <c r="BJ23" i="3"/>
  <c r="BJ392" i="3" s="1"/>
  <c r="BR396" i="3"/>
  <c r="BR395" i="3"/>
  <c r="BR394" i="3"/>
  <c r="BR393" i="3"/>
  <c r="BR390" i="3"/>
  <c r="BR387" i="3"/>
  <c r="BR391" i="3"/>
  <c r="BR392" i="3"/>
  <c r="BR389" i="3"/>
  <c r="BR388" i="3"/>
  <c r="BR211" i="3"/>
  <c r="BR202" i="3"/>
  <c r="BR171" i="3"/>
  <c r="BR204" i="3"/>
  <c r="BV396" i="3"/>
  <c r="BV395" i="3"/>
  <c r="BV394" i="3"/>
  <c r="BV393" i="3"/>
  <c r="BV392" i="3"/>
  <c r="BV391" i="3"/>
  <c r="BV389" i="3"/>
  <c r="BV387" i="3"/>
  <c r="BV388" i="3"/>
  <c r="BV390" i="3"/>
  <c r="BV211" i="3"/>
  <c r="BV202" i="3"/>
  <c r="BV171" i="3"/>
  <c r="BV204" i="3"/>
  <c r="BZ396" i="3"/>
  <c r="BZ395" i="3"/>
  <c r="BZ394" i="3"/>
  <c r="BZ393" i="3"/>
  <c r="BZ390" i="3"/>
  <c r="BZ388" i="3"/>
  <c r="BZ389" i="3"/>
  <c r="BZ392" i="3"/>
  <c r="BZ391" i="3"/>
  <c r="BZ387" i="3"/>
  <c r="BZ211" i="3"/>
  <c r="BZ202" i="3"/>
  <c r="BZ171" i="3"/>
  <c r="BZ204" i="3"/>
  <c r="CD396" i="3"/>
  <c r="CD395" i="3"/>
  <c r="CD394" i="3"/>
  <c r="CD393" i="3"/>
  <c r="CD392" i="3"/>
  <c r="CD391" i="3"/>
  <c r="CD390" i="3"/>
  <c r="CD388" i="3"/>
  <c r="CD389" i="3"/>
  <c r="CD387" i="3"/>
  <c r="CD211" i="3"/>
  <c r="CD202" i="3"/>
  <c r="CD171" i="3"/>
  <c r="CD204" i="3"/>
  <c r="CH23" i="3"/>
  <c r="CH389" i="3" s="1"/>
  <c r="CL396" i="3"/>
  <c r="CL395" i="3"/>
  <c r="CL394" i="3"/>
  <c r="CL393" i="3"/>
  <c r="CL390" i="3"/>
  <c r="CL392" i="3"/>
  <c r="CL391" i="3"/>
  <c r="CL389" i="3"/>
  <c r="CL387" i="3"/>
  <c r="CL388" i="3"/>
  <c r="CL211" i="3"/>
  <c r="CL171" i="3"/>
  <c r="CL204" i="3"/>
  <c r="CP396" i="3"/>
  <c r="CP395" i="3"/>
  <c r="CP394" i="3"/>
  <c r="CP393" i="3"/>
  <c r="CP389" i="3"/>
  <c r="CP388" i="3"/>
  <c r="CP392" i="3"/>
  <c r="CP391" i="3"/>
  <c r="CP390" i="3"/>
  <c r="CP387" i="3"/>
  <c r="CP211" i="3"/>
  <c r="CP171" i="3"/>
  <c r="CP204" i="3"/>
  <c r="CT396" i="3"/>
  <c r="CT395" i="3"/>
  <c r="CT394" i="3"/>
  <c r="CT393" i="3"/>
  <c r="CT392" i="3"/>
  <c r="CT391" i="3"/>
  <c r="CT390" i="3"/>
  <c r="CT388" i="3"/>
  <c r="CT387" i="3"/>
  <c r="CT389" i="3"/>
  <c r="CT211" i="3"/>
  <c r="CT171" i="3"/>
  <c r="CT204" i="3"/>
  <c r="CX396" i="3"/>
  <c r="CX395" i="3"/>
  <c r="CX394" i="3"/>
  <c r="CX393" i="3"/>
  <c r="CX389" i="3"/>
  <c r="CX387" i="3"/>
  <c r="CX390" i="3"/>
  <c r="CX391" i="3"/>
  <c r="CX388" i="3"/>
  <c r="CX392" i="3"/>
  <c r="CX211" i="3"/>
  <c r="CX171" i="3"/>
  <c r="CX204" i="3"/>
  <c r="DB23" i="3"/>
  <c r="DB393" i="3" s="1"/>
  <c r="DF396" i="3"/>
  <c r="DF395" i="3"/>
  <c r="DF394" i="3"/>
  <c r="DF393" i="3"/>
  <c r="DF390" i="3"/>
  <c r="DF388" i="3"/>
  <c r="DF392" i="3"/>
  <c r="DF391" i="3"/>
  <c r="DF389" i="3"/>
  <c r="DF387" i="3"/>
  <c r="DF211" i="3"/>
  <c r="DF171" i="3"/>
  <c r="DF204" i="3"/>
  <c r="DJ396" i="3"/>
  <c r="DJ395" i="3"/>
  <c r="DJ394" i="3"/>
  <c r="DJ393" i="3"/>
  <c r="DJ392" i="3"/>
  <c r="DJ391" i="3"/>
  <c r="DJ390" i="3"/>
  <c r="DJ388" i="3"/>
  <c r="DJ389" i="3"/>
  <c r="DJ387" i="3"/>
  <c r="DJ211" i="3"/>
  <c r="DJ171" i="3"/>
  <c r="DJ204" i="3"/>
  <c r="DN396" i="3"/>
  <c r="DN395" i="3"/>
  <c r="DN394" i="3"/>
  <c r="DN393" i="3"/>
  <c r="DN392" i="3"/>
  <c r="DN391" i="3"/>
  <c r="DN388" i="3"/>
  <c r="DN387" i="3"/>
  <c r="DN390" i="3"/>
  <c r="DN389" i="3"/>
  <c r="DN211" i="3"/>
  <c r="DN171" i="3"/>
  <c r="DN204" i="3"/>
  <c r="DR396" i="3"/>
  <c r="DR395" i="3"/>
  <c r="DR394" i="3"/>
  <c r="DR393" i="3"/>
  <c r="DR390" i="3"/>
  <c r="DR392" i="3"/>
  <c r="DR391" i="3"/>
  <c r="DR389" i="3"/>
  <c r="DR387" i="3"/>
  <c r="DR388" i="3"/>
  <c r="DR211" i="3"/>
  <c r="DR171" i="3"/>
  <c r="V24" i="3"/>
  <c r="V25" i="3"/>
  <c r="AA24" i="3"/>
  <c r="AF24" i="3"/>
  <c r="AK24" i="3"/>
  <c r="AP24" i="3"/>
  <c r="AU24" i="3"/>
  <c r="AZ24" i="3"/>
  <c r="BT24" i="3"/>
  <c r="BY24" i="3"/>
  <c r="CD24" i="3"/>
  <c r="CN24" i="3"/>
  <c r="CS24" i="3"/>
  <c r="CX24" i="3"/>
  <c r="DC24" i="3"/>
  <c r="DH24" i="3"/>
  <c r="DM24" i="3"/>
  <c r="DR24" i="3"/>
  <c r="Q26" i="3"/>
  <c r="Y26" i="3"/>
  <c r="AC26" i="3"/>
  <c r="AG26" i="3"/>
  <c r="AK26" i="3"/>
  <c r="AS26" i="3"/>
  <c r="AW26" i="3"/>
  <c r="BA26" i="3"/>
  <c r="BQ26" i="3"/>
  <c r="BU26" i="3"/>
  <c r="BY26" i="3"/>
  <c r="CK26" i="3"/>
  <c r="CO26" i="3"/>
  <c r="CS26" i="3"/>
  <c r="CS27" i="3" s="1"/>
  <c r="DA26" i="3"/>
  <c r="DE26" i="3"/>
  <c r="DI26" i="3"/>
  <c r="DM26" i="3"/>
  <c r="DM27" i="3" s="1"/>
  <c r="DU26" i="3"/>
  <c r="BI30" i="3"/>
  <c r="CC30" i="3"/>
  <c r="CW30" i="3"/>
  <c r="DQ30" i="3"/>
  <c r="EC30" i="3"/>
  <c r="BI31" i="3"/>
  <c r="CC31" i="3"/>
  <c r="CW31" i="3"/>
  <c r="DQ31" i="3"/>
  <c r="BI32" i="3"/>
  <c r="CC32" i="3"/>
  <c r="CW32" i="3"/>
  <c r="DQ32" i="3"/>
  <c r="BI33" i="3"/>
  <c r="CC33" i="3"/>
  <c r="CW33" i="3"/>
  <c r="BI34" i="3"/>
  <c r="CC34" i="3"/>
  <c r="CG34" i="3"/>
  <c r="CW34" i="3"/>
  <c r="BE35" i="3"/>
  <c r="BM35" i="3"/>
  <c r="DQ35" i="3"/>
  <c r="BI36" i="3"/>
  <c r="CC36" i="3"/>
  <c r="CW36" i="3"/>
  <c r="BI37" i="3"/>
  <c r="CC37" i="3"/>
  <c r="CW37" i="3"/>
  <c r="DQ37" i="3"/>
  <c r="DY37" i="3"/>
  <c r="BI38" i="3"/>
  <c r="CC38" i="3"/>
  <c r="CW38" i="3"/>
  <c r="DQ38" i="3"/>
  <c r="EC38" i="3"/>
  <c r="AE32" i="3"/>
  <c r="AY32" i="3"/>
  <c r="X40" i="3"/>
  <c r="AB40" i="3"/>
  <c r="AF40" i="3"/>
  <c r="AN40" i="3"/>
  <c r="AR40" i="3"/>
  <c r="AV40" i="3"/>
  <c r="AZ40" i="3"/>
  <c r="BT40" i="3"/>
  <c r="CB40" i="3"/>
  <c r="CF40" i="3"/>
  <c r="CJ40" i="3"/>
  <c r="CN40" i="3"/>
  <c r="CV40" i="3"/>
  <c r="CZ40" i="3"/>
  <c r="DD40" i="3"/>
  <c r="DH40" i="3"/>
  <c r="DP40" i="3"/>
  <c r="BQ42" i="3"/>
  <c r="BU42" i="3"/>
  <c r="BY42" i="3"/>
  <c r="CK42" i="3"/>
  <c r="CO42" i="3"/>
  <c r="CS42" i="3"/>
  <c r="DA42" i="3"/>
  <c r="DE42" i="3"/>
  <c r="DI42" i="3"/>
  <c r="DM42" i="3"/>
  <c r="DU42" i="3"/>
  <c r="DU46" i="3"/>
  <c r="DZ46" i="3"/>
  <c r="EE46" i="3"/>
  <c r="DG55" i="3"/>
  <c r="DP56" i="3"/>
  <c r="DZ55" i="3"/>
  <c r="EB57" i="3" s="1"/>
  <c r="CL56" i="3"/>
  <c r="BV57" i="3"/>
  <c r="DC57" i="3"/>
  <c r="BD66" i="3"/>
  <c r="DQ60" i="3"/>
  <c r="DY66" i="3"/>
  <c r="EC66" i="3"/>
  <c r="DY61" i="3"/>
  <c r="ED61" i="3"/>
  <c r="CT68" i="3"/>
  <c r="CT67" i="3"/>
  <c r="DJ67" i="3"/>
  <c r="DJ68" i="3"/>
  <c r="DZ66" i="3"/>
  <c r="EH66" i="3"/>
  <c r="CL68" i="3"/>
  <c r="BX80" i="3"/>
  <c r="CR80" i="3"/>
  <c r="DL80" i="3"/>
  <c r="EF80" i="3"/>
  <c r="EK81" i="3" s="1"/>
  <c r="AW126" i="3"/>
  <c r="BA126" i="3"/>
  <c r="BE126" i="3"/>
  <c r="BO126" i="3"/>
  <c r="CA126" i="3"/>
  <c r="DI108" i="3"/>
  <c r="DI109" i="3"/>
  <c r="EC126" i="3"/>
  <c r="EC155" i="3" s="1"/>
  <c r="EH126" i="3"/>
  <c r="AE123" i="3"/>
  <c r="X129" i="3"/>
  <c r="DO7" i="3"/>
  <c r="DT7" i="3"/>
  <c r="DT104" i="3" s="1"/>
  <c r="EI7" i="3"/>
  <c r="EI104" i="3" s="1"/>
  <c r="BL107" i="3"/>
  <c r="EA8" i="3"/>
  <c r="EA63" i="3" s="1"/>
  <c r="FU10" i="3"/>
  <c r="FU11" i="3" s="1"/>
  <c r="AY7" i="3"/>
  <c r="AY29" i="3" s="1"/>
  <c r="BD7" i="3"/>
  <c r="BI11" i="3"/>
  <c r="BN11" i="3"/>
  <c r="BN7" i="3" s="1"/>
  <c r="BS7" i="3"/>
  <c r="BX7" i="3"/>
  <c r="CC7" i="3"/>
  <c r="CH7" i="3"/>
  <c r="CM7" i="3"/>
  <c r="CR7" i="3"/>
  <c r="CW7" i="3"/>
  <c r="DB7" i="3"/>
  <c r="DG7" i="3"/>
  <c r="DL7" i="3"/>
  <c r="DL104" i="3" s="1"/>
  <c r="DL106" i="3" s="1"/>
  <c r="DV12" i="3"/>
  <c r="DV7" i="3" s="1"/>
  <c r="DV104" i="3" s="1"/>
  <c r="DX15" i="3"/>
  <c r="S204" i="3"/>
  <c r="S211" i="3"/>
  <c r="W211" i="3"/>
  <c r="W204" i="3"/>
  <c r="AA204" i="3"/>
  <c r="AA211" i="3"/>
  <c r="AA129" i="3"/>
  <c r="AE23" i="3"/>
  <c r="AE227" i="3" s="1"/>
  <c r="AI204" i="3"/>
  <c r="AI211" i="3"/>
  <c r="AM211" i="3"/>
  <c r="AM204" i="3"/>
  <c r="AQ204" i="3"/>
  <c r="AQ211" i="3"/>
  <c r="AQ171" i="3"/>
  <c r="AQ129" i="3"/>
  <c r="AU211" i="3"/>
  <c r="AU204" i="3"/>
  <c r="AU171" i="3"/>
  <c r="AY23" i="3"/>
  <c r="AX25" i="3" s="1"/>
  <c r="BC396" i="3"/>
  <c r="BC395" i="3"/>
  <c r="BC394" i="3"/>
  <c r="BC393" i="3"/>
  <c r="BC392" i="3"/>
  <c r="BC391" i="3"/>
  <c r="BC390" i="3"/>
  <c r="BC388" i="3"/>
  <c r="BC387" i="3"/>
  <c r="BC389" i="3"/>
  <c r="BC211" i="3"/>
  <c r="BC204" i="3"/>
  <c r="BC202" i="3"/>
  <c r="BC171" i="3"/>
  <c r="BG23" i="3"/>
  <c r="BG392" i="3" s="1"/>
  <c r="BK23" i="3"/>
  <c r="BK227" i="3" s="1"/>
  <c r="BO396" i="3"/>
  <c r="BO394" i="3"/>
  <c r="BO395" i="3"/>
  <c r="BO388" i="3"/>
  <c r="BO393" i="3"/>
  <c r="BO392" i="3"/>
  <c r="BO391" i="3"/>
  <c r="BO389" i="3"/>
  <c r="BO387" i="3"/>
  <c r="BO390" i="3"/>
  <c r="BO204" i="3"/>
  <c r="BO211" i="3"/>
  <c r="BO202" i="3"/>
  <c r="BO171" i="3"/>
  <c r="BS23" i="3"/>
  <c r="BS390" i="3" s="1"/>
  <c r="BW396" i="3"/>
  <c r="BW395" i="3"/>
  <c r="BW394" i="3"/>
  <c r="BW393" i="3"/>
  <c r="BW392" i="3"/>
  <c r="BW391" i="3"/>
  <c r="BW387" i="3"/>
  <c r="BW390" i="3"/>
  <c r="BW389" i="3"/>
  <c r="BW388" i="3"/>
  <c r="BW204" i="3"/>
  <c r="BW211" i="3"/>
  <c r="BW202" i="3"/>
  <c r="BW171" i="3"/>
  <c r="CA396" i="3"/>
  <c r="CA395" i="3"/>
  <c r="CA394" i="3"/>
  <c r="CA390" i="3"/>
  <c r="CA393" i="3"/>
  <c r="CA392" i="3"/>
  <c r="CA391" i="3"/>
  <c r="CA389" i="3"/>
  <c r="CA387" i="3"/>
  <c r="CA388" i="3"/>
  <c r="CA211" i="3"/>
  <c r="CA204" i="3"/>
  <c r="CA202" i="3"/>
  <c r="CA171" i="3"/>
  <c r="CE396" i="3"/>
  <c r="CE394" i="3"/>
  <c r="CE395" i="3"/>
  <c r="CE388" i="3"/>
  <c r="CE393" i="3"/>
  <c r="CE392" i="3"/>
  <c r="CE391" i="3"/>
  <c r="CE387" i="3"/>
  <c r="CE390" i="3"/>
  <c r="CE389" i="3"/>
  <c r="CE204" i="3"/>
  <c r="CE211" i="3"/>
  <c r="CE202" i="3"/>
  <c r="CE171" i="3"/>
  <c r="CI396" i="3"/>
  <c r="CI394" i="3"/>
  <c r="CI395" i="3"/>
  <c r="CI393" i="3"/>
  <c r="CI392" i="3"/>
  <c r="CI391" i="3"/>
  <c r="CI390" i="3"/>
  <c r="CI389" i="3"/>
  <c r="CI388" i="3"/>
  <c r="CI387" i="3"/>
  <c r="CI211" i="3"/>
  <c r="CI204" i="3"/>
  <c r="CI171" i="3"/>
  <c r="CM23" i="3"/>
  <c r="CM392" i="3" s="1"/>
  <c r="CQ396" i="3"/>
  <c r="CQ395" i="3"/>
  <c r="CQ394" i="3"/>
  <c r="CQ390" i="3"/>
  <c r="CQ393" i="3"/>
  <c r="CQ392" i="3"/>
  <c r="CQ391" i="3"/>
  <c r="CQ389" i="3"/>
  <c r="CQ387" i="3"/>
  <c r="CQ388" i="3"/>
  <c r="CQ211" i="3"/>
  <c r="CQ204" i="3"/>
  <c r="CQ171" i="3"/>
  <c r="CU396" i="3"/>
  <c r="CU394" i="3"/>
  <c r="CU395" i="3"/>
  <c r="CU390" i="3"/>
  <c r="CU388" i="3"/>
  <c r="CU389" i="3"/>
  <c r="CU393" i="3"/>
  <c r="CU392" i="3"/>
  <c r="CU391" i="3"/>
  <c r="CU387" i="3"/>
  <c r="CU204" i="3"/>
  <c r="CU211" i="3"/>
  <c r="CU171" i="3"/>
  <c r="CY396" i="3"/>
  <c r="CY394" i="3"/>
  <c r="CY393" i="3"/>
  <c r="CY392" i="3"/>
  <c r="CY391" i="3"/>
  <c r="CY390" i="3"/>
  <c r="CY388" i="3"/>
  <c r="CY389" i="3"/>
  <c r="CY387" i="3"/>
  <c r="CY395" i="3"/>
  <c r="CY211" i="3"/>
  <c r="CY204" i="3"/>
  <c r="CY171" i="3"/>
  <c r="DC396" i="3"/>
  <c r="DC395" i="3"/>
  <c r="DC394" i="3"/>
  <c r="DC393" i="3"/>
  <c r="DC392" i="3"/>
  <c r="DC391" i="3"/>
  <c r="DC387" i="3"/>
  <c r="DC390" i="3"/>
  <c r="DC389" i="3"/>
  <c r="DC388" i="3"/>
  <c r="DC204" i="3"/>
  <c r="DC211" i="3"/>
  <c r="DC171" i="3"/>
  <c r="DG23" i="3"/>
  <c r="DF25" i="3" s="1"/>
  <c r="DK396" i="3"/>
  <c r="DK394" i="3"/>
  <c r="DK395" i="3"/>
  <c r="DK389" i="3"/>
  <c r="DK393" i="3"/>
  <c r="DK392" i="3"/>
  <c r="DK391" i="3"/>
  <c r="DK390" i="3"/>
  <c r="DK388" i="3"/>
  <c r="DK387" i="3"/>
  <c r="DK204" i="3"/>
  <c r="DK211" i="3"/>
  <c r="DK171" i="3"/>
  <c r="DO23" i="3"/>
  <c r="DS396" i="3"/>
  <c r="DS395" i="3"/>
  <c r="DS394" i="3"/>
  <c r="DS389" i="3"/>
  <c r="DS387" i="3"/>
  <c r="DS388" i="3"/>
  <c r="DS390" i="3"/>
  <c r="DS392" i="3"/>
  <c r="DS393" i="3"/>
  <c r="DS391" i="3"/>
  <c r="DS211" i="3"/>
  <c r="DS171" i="3"/>
  <c r="R24" i="3"/>
  <c r="W24" i="3"/>
  <c r="AB24" i="3"/>
  <c r="AG24" i="3"/>
  <c r="AL24" i="3"/>
  <c r="AQ24" i="3"/>
  <c r="AV24" i="3"/>
  <c r="BA24" i="3"/>
  <c r="BP24" i="3"/>
  <c r="BU24" i="3"/>
  <c r="BZ24" i="3"/>
  <c r="CE24" i="3"/>
  <c r="CJ24" i="3"/>
  <c r="CO24" i="3"/>
  <c r="CT24" i="3"/>
  <c r="CY24" i="3"/>
  <c r="DD24" i="3"/>
  <c r="DI24" i="3"/>
  <c r="DN24" i="3"/>
  <c r="DS24" i="3"/>
  <c r="R26" i="3"/>
  <c r="V26" i="3"/>
  <c r="AD26" i="3"/>
  <c r="AH26" i="3"/>
  <c r="AL26" i="3"/>
  <c r="AP26" i="3"/>
  <c r="AX26" i="3"/>
  <c r="BB26" i="3"/>
  <c r="BR26" i="3"/>
  <c r="BV26" i="3"/>
  <c r="BZ26" i="3"/>
  <c r="CD26" i="3"/>
  <c r="CL26" i="3"/>
  <c r="CP26" i="3"/>
  <c r="CT26" i="3"/>
  <c r="CX26" i="3"/>
  <c r="DF26" i="3"/>
  <c r="DJ26" i="3"/>
  <c r="DN26" i="3"/>
  <c r="DR26" i="3"/>
  <c r="BN30" i="3"/>
  <c r="CH30" i="3"/>
  <c r="DB30" i="3"/>
  <c r="DV30" i="3"/>
  <c r="DZ30" i="3"/>
  <c r="ED30" i="3"/>
  <c r="EH30" i="3"/>
  <c r="BN31" i="3"/>
  <c r="CH31" i="3"/>
  <c r="DB31" i="3"/>
  <c r="DV31" i="3"/>
  <c r="BN32" i="3"/>
  <c r="CH32" i="3"/>
  <c r="DB32" i="3"/>
  <c r="DV32" i="3"/>
  <c r="BN33" i="3"/>
  <c r="CH33" i="3"/>
  <c r="DB33" i="3"/>
  <c r="DV33" i="3"/>
  <c r="BN34" i="3"/>
  <c r="CH34" i="3"/>
  <c r="CL34" i="3"/>
  <c r="DB34" i="3"/>
  <c r="DV34" i="3"/>
  <c r="BF35" i="3"/>
  <c r="BJ35" i="3"/>
  <c r="BR35" i="3"/>
  <c r="CH35" i="3"/>
  <c r="DB35" i="3"/>
  <c r="DV35" i="3"/>
  <c r="BN36" i="3"/>
  <c r="CH36" i="3"/>
  <c r="DB36" i="3"/>
  <c r="BN37" i="3"/>
  <c r="CH37" i="3"/>
  <c r="DB37" i="3"/>
  <c r="DV37" i="3"/>
  <c r="BN38" i="3"/>
  <c r="CH38" i="3"/>
  <c r="DB38" i="3"/>
  <c r="DV38" i="3"/>
  <c r="EH38" i="3"/>
  <c r="AJ32" i="3"/>
  <c r="BN39" i="3"/>
  <c r="CH39" i="3"/>
  <c r="DB39" i="3"/>
  <c r="DV39" i="3"/>
  <c r="Y40" i="3"/>
  <c r="AC40" i="3"/>
  <c r="AG40" i="3"/>
  <c r="AK40" i="3"/>
  <c r="AS40" i="3"/>
  <c r="AW40" i="3"/>
  <c r="BA40" i="3"/>
  <c r="BU40" i="3"/>
  <c r="BY40" i="3"/>
  <c r="CK40" i="3"/>
  <c r="CO40" i="3"/>
  <c r="CS40" i="3"/>
  <c r="DA40" i="3"/>
  <c r="DE40" i="3"/>
  <c r="DI40" i="3"/>
  <c r="DM40" i="3"/>
  <c r="DU40" i="3"/>
  <c r="BR42" i="3"/>
  <c r="BV42" i="3"/>
  <c r="BZ42" i="3"/>
  <c r="CD42" i="3"/>
  <c r="CL42" i="3"/>
  <c r="CP42" i="3"/>
  <c r="CT42" i="3"/>
  <c r="CX42" i="3"/>
  <c r="DF42" i="3"/>
  <c r="DJ42" i="3"/>
  <c r="DN42" i="3"/>
  <c r="DR42" i="3"/>
  <c r="EB46" i="3"/>
  <c r="CE57" i="3"/>
  <c r="CV56" i="3"/>
  <c r="CZ56" i="3"/>
  <c r="DD57" i="3"/>
  <c r="DH56" i="3"/>
  <c r="CX56" i="3"/>
  <c r="CG66" i="3"/>
  <c r="CK68" i="3"/>
  <c r="CO68" i="3"/>
  <c r="DE68" i="3"/>
  <c r="DI68" i="3"/>
  <c r="DV60" i="3"/>
  <c r="EI61" i="3"/>
  <c r="BD61" i="3"/>
  <c r="BT61" i="3"/>
  <c r="BY61" i="3"/>
  <c r="CO61" i="3"/>
  <c r="CT61" i="3"/>
  <c r="DE61" i="3"/>
  <c r="DJ61" i="3"/>
  <c r="DU61" i="3"/>
  <c r="DZ61" i="3"/>
  <c r="BJ66" i="3"/>
  <c r="BO66" i="3"/>
  <c r="BZ66" i="3"/>
  <c r="CE66" i="3"/>
  <c r="CU66" i="3"/>
  <c r="CV68" i="3" s="1"/>
  <c r="DC66" i="3"/>
  <c r="DK66" i="3"/>
  <c r="EI66" i="3"/>
  <c r="CK67" i="3"/>
  <c r="DI67" i="3"/>
  <c r="CD68" i="3"/>
  <c r="FP74" i="3"/>
  <c r="FQ74" i="3"/>
  <c r="FQ91" i="3"/>
  <c r="FP91" i="3"/>
  <c r="FQ97" i="3"/>
  <c r="FP97" i="3"/>
  <c r="BK126" i="3"/>
  <c r="CG126" i="3"/>
  <c r="CK109" i="3"/>
  <c r="CK108" i="3"/>
  <c r="CO108" i="3"/>
  <c r="CO109" i="3"/>
  <c r="CS108" i="3"/>
  <c r="DA109" i="3"/>
  <c r="DA108" i="3"/>
  <c r="DE109" i="3"/>
  <c r="DE108" i="3"/>
  <c r="DO126" i="3"/>
  <c r="EI107" i="3"/>
  <c r="AJ123" i="3"/>
  <c r="BI123" i="3"/>
  <c r="BX123" i="3"/>
  <c r="Y129" i="3"/>
  <c r="AI129" i="3"/>
  <c r="AN129" i="3"/>
  <c r="Y81" i="3"/>
  <c r="AG81" i="3"/>
  <c r="AK81" i="3"/>
  <c r="AS81" i="3"/>
  <c r="BA81" i="3"/>
  <c r="BE81" i="3"/>
  <c r="BM81" i="3"/>
  <c r="BU81" i="3"/>
  <c r="BY81" i="3"/>
  <c r="CG81" i="3"/>
  <c r="CS81" i="3"/>
  <c r="DA81" i="3"/>
  <c r="DM81" i="3"/>
  <c r="DU81" i="3"/>
  <c r="EG81" i="3"/>
  <c r="V82" i="3"/>
  <c r="AA82" i="3"/>
  <c r="AF82" i="3"/>
  <c r="AP82" i="3"/>
  <c r="AU82" i="3"/>
  <c r="AZ82" i="3"/>
  <c r="BJ82" i="3"/>
  <c r="BO82" i="3"/>
  <c r="BT82" i="3"/>
  <c r="CD82" i="3"/>
  <c r="CI82" i="3"/>
  <c r="CN82" i="3"/>
  <c r="CX82" i="3"/>
  <c r="DC82" i="3"/>
  <c r="DH82" i="3"/>
  <c r="DR82" i="3"/>
  <c r="DW82" i="3"/>
  <c r="EB82" i="3"/>
  <c r="BK84" i="3"/>
  <c r="BO84" i="3"/>
  <c r="BW84" i="3"/>
  <c r="CI84" i="3"/>
  <c r="CQ84" i="3"/>
  <c r="DC84" i="3"/>
  <c r="DW84" i="3"/>
  <c r="EB84" i="3"/>
  <c r="BJ90" i="3"/>
  <c r="BV92" i="3"/>
  <c r="CP92" i="3"/>
  <c r="DJ92" i="3"/>
  <c r="ED92" i="3"/>
  <c r="BS91" i="3"/>
  <c r="EC98" i="3"/>
  <c r="BS97" i="3"/>
  <c r="CC94" i="3"/>
  <c r="CM94" i="3"/>
  <c r="CW94" i="3"/>
  <c r="DG94" i="3"/>
  <c r="DQ94" i="3"/>
  <c r="EA94" i="3"/>
  <c r="FP99" i="3"/>
  <c r="CH100" i="3"/>
  <c r="DB100" i="3"/>
  <c r="DV100" i="3"/>
  <c r="BT126" i="3"/>
  <c r="CB126" i="3"/>
  <c r="CF126" i="3"/>
  <c r="CJ126" i="3"/>
  <c r="CN126" i="3"/>
  <c r="CV126" i="3"/>
  <c r="CZ126" i="3"/>
  <c r="DD126" i="3"/>
  <c r="DH126" i="3"/>
  <c r="DL101" i="3"/>
  <c r="DP126" i="3"/>
  <c r="DT126" i="3"/>
  <c r="DT155" i="3" s="1"/>
  <c r="DX126" i="3"/>
  <c r="DX155" i="3" s="1"/>
  <c r="EB126" i="3"/>
  <c r="EB155" i="3" s="1"/>
  <c r="EF101" i="3"/>
  <c r="AU102" i="3"/>
  <c r="BC102" i="3"/>
  <c r="BG102" i="3"/>
  <c r="BK102" i="3"/>
  <c r="BW102" i="3"/>
  <c r="CA102" i="3"/>
  <c r="CE102" i="3"/>
  <c r="CI102" i="3"/>
  <c r="CQ102" i="3"/>
  <c r="CU102" i="3"/>
  <c r="CY102" i="3"/>
  <c r="DC102" i="3"/>
  <c r="DK102" i="3"/>
  <c r="DO102" i="3"/>
  <c r="DS102" i="3"/>
  <c r="DW102" i="3"/>
  <c r="EE102" i="3"/>
  <c r="EI102" i="3"/>
  <c r="AX107" i="3"/>
  <c r="BB107" i="3"/>
  <c r="BF107" i="3"/>
  <c r="BR107" i="3"/>
  <c r="BW108" i="3" s="1"/>
  <c r="BV107" i="3"/>
  <c r="BW109" i="3" s="1"/>
  <c r="BZ107" i="3"/>
  <c r="CD107" i="3"/>
  <c r="CL107" i="3"/>
  <c r="CN109" i="3" s="1"/>
  <c r="CP107" i="3"/>
  <c r="CT107" i="3"/>
  <c r="CX107" i="3"/>
  <c r="DF107" i="3"/>
  <c r="DJ107" i="3"/>
  <c r="DN107" i="3"/>
  <c r="DR107" i="3"/>
  <c r="X108" i="3"/>
  <c r="AB108" i="3"/>
  <c r="AF108" i="3"/>
  <c r="AJ108" i="3"/>
  <c r="AN108" i="3"/>
  <c r="AR108" i="3"/>
  <c r="CB108" i="3"/>
  <c r="W109" i="3"/>
  <c r="AB109" i="3"/>
  <c r="AQ109" i="3"/>
  <c r="AT118" i="3"/>
  <c r="BN118" i="3"/>
  <c r="CH118" i="3"/>
  <c r="DB118" i="3"/>
  <c r="DV118" i="3"/>
  <c r="BN123" i="3"/>
  <c r="CH123" i="3"/>
  <c r="DB123" i="3"/>
  <c r="DV123" i="3"/>
  <c r="AH124" i="3"/>
  <c r="AL124" i="3"/>
  <c r="AP124" i="3"/>
  <c r="BB124" i="3"/>
  <c r="BF124" i="3"/>
  <c r="BJ124" i="3"/>
  <c r="BV124" i="3"/>
  <c r="BZ124" i="3"/>
  <c r="CD124" i="3"/>
  <c r="CP124" i="3"/>
  <c r="CT124" i="3"/>
  <c r="CX124" i="3"/>
  <c r="DJ124" i="3"/>
  <c r="DN124" i="3"/>
  <c r="DR124" i="3"/>
  <c r="ED124" i="3"/>
  <c r="EH124" i="3"/>
  <c r="AB125" i="3"/>
  <c r="AG125" i="3"/>
  <c r="AQ125" i="3"/>
  <c r="AV125" i="3"/>
  <c r="BA125" i="3"/>
  <c r="BK125" i="3"/>
  <c r="BP125" i="3"/>
  <c r="BU125" i="3"/>
  <c r="CE125" i="3"/>
  <c r="CJ125" i="3"/>
  <c r="CO125" i="3"/>
  <c r="CY125" i="3"/>
  <c r="DD125" i="3"/>
  <c r="DI125" i="3"/>
  <c r="DS125" i="3"/>
  <c r="DX125" i="3"/>
  <c r="EC125" i="3"/>
  <c r="R155" i="3"/>
  <c r="R156" i="3"/>
  <c r="R238" i="3" s="1"/>
  <c r="R251" i="3" s="1"/>
  <c r="V156" i="3"/>
  <c r="V128" i="3" s="1"/>
  <c r="V129" i="3"/>
  <c r="V155" i="3"/>
  <c r="Z126" i="3"/>
  <c r="AD156" i="3"/>
  <c r="AD128" i="3" s="1"/>
  <c r="AD129" i="3"/>
  <c r="AD155" i="3"/>
  <c r="AH156" i="3"/>
  <c r="AH128" i="3" s="1"/>
  <c r="AH129" i="3"/>
  <c r="AH155" i="3"/>
  <c r="AL156" i="3"/>
  <c r="AL128" i="3" s="1"/>
  <c r="AL129" i="3"/>
  <c r="AL155" i="3"/>
  <c r="AP156" i="3"/>
  <c r="AP128" i="3" s="1"/>
  <c r="AP129" i="3"/>
  <c r="AP155" i="3"/>
  <c r="AT126" i="3"/>
  <c r="AX126" i="3"/>
  <c r="BB126" i="3"/>
  <c r="BF126" i="3"/>
  <c r="BR126" i="3"/>
  <c r="X127" i="3"/>
  <c r="AN127" i="3"/>
  <c r="AC129" i="3"/>
  <c r="AS129" i="3"/>
  <c r="BW126" i="3"/>
  <c r="CS126" i="3"/>
  <c r="CX126" i="3"/>
  <c r="DC126" i="3"/>
  <c r="DI126" i="3"/>
  <c r="DN126" i="3"/>
  <c r="DS126" i="3"/>
  <c r="DS155" i="3" s="1"/>
  <c r="DY126" i="3"/>
  <c r="DY155" i="3" s="1"/>
  <c r="ED126" i="3"/>
  <c r="EI126" i="3"/>
  <c r="R129" i="3"/>
  <c r="DZ167" i="3"/>
  <c r="DZ174" i="3"/>
  <c r="DZ168" i="3"/>
  <c r="BN80" i="3"/>
  <c r="CH80" i="3"/>
  <c r="DB80" i="3"/>
  <c r="DV80" i="3"/>
  <c r="AD81" i="3"/>
  <c r="AL81" i="3"/>
  <c r="AX81" i="3"/>
  <c r="BF81" i="3"/>
  <c r="BR81" i="3"/>
  <c r="BZ81" i="3"/>
  <c r="CL81" i="3"/>
  <c r="CT81" i="3"/>
  <c r="DF81" i="3"/>
  <c r="DN81" i="3"/>
  <c r="DZ81" i="3"/>
  <c r="EH81" i="3"/>
  <c r="W82" i="3"/>
  <c r="AB82" i="3"/>
  <c r="AQ82" i="3"/>
  <c r="AV82" i="3"/>
  <c r="BK82" i="3"/>
  <c r="BP82" i="3"/>
  <c r="CE82" i="3"/>
  <c r="CJ82" i="3"/>
  <c r="CY82" i="3"/>
  <c r="DD82" i="3"/>
  <c r="DS82" i="3"/>
  <c r="DX82" i="3"/>
  <c r="EH82" i="3"/>
  <c r="BT84" i="3"/>
  <c r="CN84" i="3"/>
  <c r="DH84" i="3"/>
  <c r="EH84" i="3"/>
  <c r="BR92" i="3"/>
  <c r="CL92" i="3"/>
  <c r="DF92" i="3"/>
  <c r="DZ92" i="3"/>
  <c r="EE92" i="3"/>
  <c r="EH92" i="3"/>
  <c r="EI98" i="3"/>
  <c r="BX97" i="3"/>
  <c r="CH97" i="3"/>
  <c r="CR97" i="3"/>
  <c r="DB97" i="3"/>
  <c r="DL97" i="3"/>
  <c r="DQ101" i="3"/>
  <c r="AV102" i="3"/>
  <c r="AZ102" i="3"/>
  <c r="BH102" i="3"/>
  <c r="BL102" i="3"/>
  <c r="BP102" i="3"/>
  <c r="BT102" i="3"/>
  <c r="CB102" i="3"/>
  <c r="CF102" i="3"/>
  <c r="CJ102" i="3"/>
  <c r="CN102" i="3"/>
  <c r="AU107" i="3"/>
  <c r="BC107" i="3"/>
  <c r="BG107" i="3"/>
  <c r="BK107" i="3"/>
  <c r="BO107" i="3"/>
  <c r="BT108" i="3" s="1"/>
  <c r="CA107" i="3"/>
  <c r="CB109" i="3" s="1"/>
  <c r="CE107" i="3"/>
  <c r="CI107" i="3"/>
  <c r="CQ107" i="3"/>
  <c r="CU107" i="3"/>
  <c r="CV109" i="3" s="1"/>
  <c r="CY107" i="3"/>
  <c r="DC107" i="3"/>
  <c r="DK107" i="3"/>
  <c r="DO107" i="3"/>
  <c r="Y108" i="3"/>
  <c r="AC108" i="3"/>
  <c r="AK108" i="3"/>
  <c r="AS108" i="3"/>
  <c r="X109" i="3"/>
  <c r="AM109" i="3"/>
  <c r="AR109" i="3"/>
  <c r="AY118" i="3"/>
  <c r="BS118" i="3"/>
  <c r="CM118" i="3"/>
  <c r="DG118" i="3"/>
  <c r="EA118" i="3"/>
  <c r="AY123" i="3"/>
  <c r="BS123" i="3"/>
  <c r="CM123" i="3"/>
  <c r="DG123" i="3"/>
  <c r="EA123" i="3"/>
  <c r="AA124" i="3"/>
  <c r="AM124" i="3"/>
  <c r="AU124" i="3"/>
  <c r="BG124" i="3"/>
  <c r="BO124" i="3"/>
  <c r="CA124" i="3"/>
  <c r="CI124" i="3"/>
  <c r="CU124" i="3"/>
  <c r="DC124" i="3"/>
  <c r="DO124" i="3"/>
  <c r="DW124" i="3"/>
  <c r="EI124" i="3"/>
  <c r="X125" i="3"/>
  <c r="AC125" i="3"/>
  <c r="AR125" i="3"/>
  <c r="AW125" i="3"/>
  <c r="BL125" i="3"/>
  <c r="BQ125" i="3"/>
  <c r="CF125" i="3"/>
  <c r="CK125" i="3"/>
  <c r="CZ125" i="3"/>
  <c r="DE125" i="3"/>
  <c r="DT125" i="3"/>
  <c r="DY125" i="3"/>
  <c r="ED125" i="3"/>
  <c r="EI125" i="3"/>
  <c r="S129" i="3"/>
  <c r="S156" i="3"/>
  <c r="S238" i="3" s="1"/>
  <c r="S155" i="3"/>
  <c r="W155" i="3"/>
  <c r="W156" i="3"/>
  <c r="AA155" i="3"/>
  <c r="AA156" i="3"/>
  <c r="AA128" i="3" s="1"/>
  <c r="AE126" i="3"/>
  <c r="AI155" i="3"/>
  <c r="AI156" i="3"/>
  <c r="AI128" i="3" s="1"/>
  <c r="AM155" i="3"/>
  <c r="AM156" i="3"/>
  <c r="AM128" i="3" s="1"/>
  <c r="AQ155" i="3"/>
  <c r="AQ156" i="3"/>
  <c r="Y127" i="3"/>
  <c r="CD126" i="3"/>
  <c r="CO126" i="3"/>
  <c r="CT126" i="3"/>
  <c r="DE126" i="3"/>
  <c r="DJ126" i="3"/>
  <c r="DU126" i="3"/>
  <c r="DZ126" i="3"/>
  <c r="CY174" i="3"/>
  <c r="DW168" i="3"/>
  <c r="W81" i="3"/>
  <c r="AI81" i="3"/>
  <c r="AM81" i="3"/>
  <c r="AQ81" i="3"/>
  <c r="BC81" i="3"/>
  <c r="BG81" i="3"/>
  <c r="BK81" i="3"/>
  <c r="BW81" i="3"/>
  <c r="CA81" i="3"/>
  <c r="CE81" i="3"/>
  <c r="CQ81" i="3"/>
  <c r="CU81" i="3"/>
  <c r="CY81" i="3"/>
  <c r="DK81" i="3"/>
  <c r="DO81" i="3"/>
  <c r="DS81" i="3"/>
  <c r="EE81" i="3"/>
  <c r="EI81" i="3"/>
  <c r="EI82" i="3"/>
  <c r="CD92" i="3"/>
  <c r="CX92" i="3"/>
  <c r="DR92" i="3"/>
  <c r="BX94" i="3"/>
  <c r="DV101" i="3"/>
  <c r="BD118" i="3"/>
  <c r="AF124" i="3"/>
  <c r="AN124" i="3"/>
  <c r="AR124" i="3"/>
  <c r="AZ124" i="3"/>
  <c r="BH124" i="3"/>
  <c r="BL124" i="3"/>
  <c r="BT124" i="3"/>
  <c r="CB124" i="3"/>
  <c r="CF124" i="3"/>
  <c r="CN124" i="3"/>
  <c r="CV124" i="3"/>
  <c r="CZ124" i="3"/>
  <c r="DH124" i="3"/>
  <c r="DP124" i="3"/>
  <c r="DT124" i="3"/>
  <c r="EB124" i="3"/>
  <c r="T156" i="3"/>
  <c r="T238" i="3" s="1"/>
  <c r="T155" i="3"/>
  <c r="T129" i="3"/>
  <c r="X156" i="3"/>
  <c r="X128" i="3" s="1"/>
  <c r="X155" i="3"/>
  <c r="AB156" i="3"/>
  <c r="AB128" i="3" s="1"/>
  <c r="AB155" i="3"/>
  <c r="AF156" i="3"/>
  <c r="AF128" i="3" s="1"/>
  <c r="AF155" i="3"/>
  <c r="AJ126" i="3"/>
  <c r="AN156" i="3"/>
  <c r="AN128" i="3" s="1"/>
  <c r="AN155" i="3"/>
  <c r="AR156" i="3"/>
  <c r="AR128" i="3" s="1"/>
  <c r="AR155" i="3"/>
  <c r="AF129" i="3"/>
  <c r="BU126" i="3"/>
  <c r="BZ126" i="3"/>
  <c r="CK126" i="3"/>
  <c r="CP126" i="3"/>
  <c r="DA126" i="3"/>
  <c r="DF126" i="3"/>
  <c r="EG126" i="3"/>
  <c r="FQ137" i="3"/>
  <c r="DP174" i="3"/>
  <c r="DP168" i="3"/>
  <c r="DU167" i="3"/>
  <c r="DU174" i="3"/>
  <c r="DU168" i="3"/>
  <c r="CZ168" i="3"/>
  <c r="CZ174" i="3"/>
  <c r="DE175" i="3" s="1"/>
  <c r="DI175" i="3"/>
  <c r="ED175" i="3"/>
  <c r="CJ56" i="3"/>
  <c r="DD56" i="3"/>
  <c r="DL60" i="3"/>
  <c r="EF60" i="3"/>
  <c r="BX75" i="3"/>
  <c r="CR75" i="3"/>
  <c r="DL75" i="3"/>
  <c r="EF75" i="3"/>
  <c r="AN81" i="3"/>
  <c r="BH81" i="3"/>
  <c r="CB81" i="3"/>
  <c r="CV81" i="3"/>
  <c r="DP81" i="3"/>
  <c r="DW98" i="3"/>
  <c r="EG98" i="3"/>
  <c r="EA101" i="3"/>
  <c r="AX102" i="3"/>
  <c r="BB102" i="3"/>
  <c r="BF102" i="3"/>
  <c r="BR102" i="3"/>
  <c r="BV102" i="3"/>
  <c r="BZ102" i="3"/>
  <c r="CL102" i="3"/>
  <c r="CP102" i="3"/>
  <c r="CT102" i="3"/>
  <c r="CX102" i="3"/>
  <c r="DF102" i="3"/>
  <c r="DJ102" i="3"/>
  <c r="DN102" i="3"/>
  <c r="DR102" i="3"/>
  <c r="DZ102" i="3"/>
  <c r="ED102" i="3"/>
  <c r="EH102" i="3"/>
  <c r="AW107" i="3"/>
  <c r="BA107" i="3"/>
  <c r="BE107" i="3"/>
  <c r="BM107" i="3"/>
  <c r="BQ107" i="3"/>
  <c r="CG107" i="3"/>
  <c r="DM107" i="3"/>
  <c r="AA108" i="3"/>
  <c r="AO118" i="3"/>
  <c r="BI118" i="3"/>
  <c r="CC118" i="3"/>
  <c r="CW118" i="3"/>
  <c r="DQ118" i="3"/>
  <c r="AK124" i="3"/>
  <c r="BE124" i="3"/>
  <c r="BY124" i="3"/>
  <c r="CS124" i="3"/>
  <c r="DM124" i="3"/>
  <c r="EG124" i="3"/>
  <c r="Q156" i="3"/>
  <c r="Q238" i="3" s="1"/>
  <c r="Q155" i="3"/>
  <c r="Q129" i="3"/>
  <c r="U126" i="3"/>
  <c r="Y156" i="3"/>
  <c r="Y128" i="3" s="1"/>
  <c r="Y155" i="3"/>
  <c r="AC156" i="3"/>
  <c r="AC128" i="3" s="1"/>
  <c r="AC155" i="3"/>
  <c r="AG156" i="3"/>
  <c r="AG128" i="3" s="1"/>
  <c r="AG155" i="3"/>
  <c r="AK156" i="3"/>
  <c r="AK128" i="3" s="1"/>
  <c r="AK155" i="3"/>
  <c r="AO126" i="3"/>
  <c r="AS156" i="3"/>
  <c r="AS155" i="3"/>
  <c r="W127" i="3"/>
  <c r="AA127" i="3"/>
  <c r="AI127" i="3"/>
  <c r="AM127" i="3"/>
  <c r="AQ127" i="3"/>
  <c r="W129" i="3"/>
  <c r="AB129" i="3"/>
  <c r="AG129" i="3"/>
  <c r="AM129" i="3"/>
  <c r="AR129" i="3"/>
  <c r="EC168" i="3"/>
  <c r="EC174" i="3"/>
  <c r="ED176" i="3" s="1"/>
  <c r="DJ174" i="3"/>
  <c r="DJ168" i="3"/>
  <c r="DJ167" i="3"/>
  <c r="CW137" i="3"/>
  <c r="DQ137" i="3"/>
  <c r="DB140" i="3"/>
  <c r="DV140" i="3"/>
  <c r="EF137" i="3"/>
  <c r="EF153" i="3"/>
  <c r="EK154" i="3" s="1"/>
  <c r="FP153" i="3"/>
  <c r="BI154" i="3"/>
  <c r="CC154" i="3"/>
  <c r="CW154" i="3"/>
  <c r="DQ154" i="3"/>
  <c r="DY154" i="3"/>
  <c r="EC154" i="3"/>
  <c r="BS160" i="3"/>
  <c r="CM160" i="3"/>
  <c r="DG160" i="3"/>
  <c r="DI162" i="3"/>
  <c r="DV160" i="3"/>
  <c r="EF160" i="3"/>
  <c r="BJ162" i="3"/>
  <c r="BP162" i="3"/>
  <c r="BV162" i="3"/>
  <c r="CD162" i="3"/>
  <c r="CJ162" i="3"/>
  <c r="CP162" i="3"/>
  <c r="CX162" i="3"/>
  <c r="DD162" i="3"/>
  <c r="DO162" i="3"/>
  <c r="DT162" i="3"/>
  <c r="DW162" i="3"/>
  <c r="EE162" i="3"/>
  <c r="DQ165" i="3"/>
  <c r="DR165" i="3"/>
  <c r="DX165" i="3"/>
  <c r="DX166" i="3" s="1"/>
  <c r="DY168" i="3" s="1"/>
  <c r="DD167" i="3"/>
  <c r="DA168" i="3"/>
  <c r="DG190" i="3"/>
  <c r="DB137" i="3"/>
  <c r="EB138" i="3"/>
  <c r="CM140" i="3"/>
  <c r="DG140" i="3"/>
  <c r="EA140" i="3"/>
  <c r="DV153" i="3"/>
  <c r="EA153" i="3"/>
  <c r="DR154" i="3"/>
  <c r="ED154" i="3"/>
  <c r="FP169" i="3"/>
  <c r="FQ169" i="3"/>
  <c r="FP177" i="3"/>
  <c r="FQ189" i="3"/>
  <c r="FP189" i="3"/>
  <c r="FQ191" i="3"/>
  <c r="FP191" i="3"/>
  <c r="FP207" i="3"/>
  <c r="FQ207" i="3"/>
  <c r="BX160" i="3"/>
  <c r="CR160" i="3"/>
  <c r="DJ162" i="3"/>
  <c r="BE162" i="3"/>
  <c r="BK162" i="3"/>
  <c r="BQ162" i="3"/>
  <c r="BY162" i="3"/>
  <c r="CE162" i="3"/>
  <c r="CK162" i="3"/>
  <c r="CS162" i="3"/>
  <c r="CY162" i="3"/>
  <c r="DE162" i="3"/>
  <c r="DU162" i="3"/>
  <c r="DX162" i="3"/>
  <c r="EF163" i="3"/>
  <c r="DS174" i="3"/>
  <c r="DE167" i="3"/>
  <c r="DE168" i="3"/>
  <c r="DM167" i="3"/>
  <c r="BI170" i="3"/>
  <c r="CC170" i="3"/>
  <c r="CW170" i="3"/>
  <c r="DQ170" i="3"/>
  <c r="EG174" i="3"/>
  <c r="EL175" i="3" s="1"/>
  <c r="FN175" i="3" s="1"/>
  <c r="CM186" i="3"/>
  <c r="DX138" i="3"/>
  <c r="CR140" i="3"/>
  <c r="DL140" i="3"/>
  <c r="BS154" i="3"/>
  <c r="CM154" i="3"/>
  <c r="DW154" i="3"/>
  <c r="EG154" i="3"/>
  <c r="BI160" i="3"/>
  <c r="CC160" i="3"/>
  <c r="CW160" i="3"/>
  <c r="BF162" i="3"/>
  <c r="BL162" i="3"/>
  <c r="BZ162" i="3"/>
  <c r="CF162" i="3"/>
  <c r="CT162" i="3"/>
  <c r="CZ162" i="3"/>
  <c r="DM162" i="3"/>
  <c r="DQ163" i="3"/>
  <c r="DG166" i="3"/>
  <c r="DC174" i="3"/>
  <c r="DG165" i="3"/>
  <c r="DK165" i="3"/>
  <c r="DK166" i="3" s="1"/>
  <c r="DP167" i="3" s="1"/>
  <c r="DO174" i="3"/>
  <c r="DO168" i="3"/>
  <c r="DT174" i="3"/>
  <c r="DT168" i="3"/>
  <c r="EB174" i="3"/>
  <c r="DF174" i="3"/>
  <c r="DF167" i="3"/>
  <c r="DN174" i="3"/>
  <c r="DN168" i="3"/>
  <c r="DN167" i="3"/>
  <c r="ED168" i="3"/>
  <c r="ED167" i="3"/>
  <c r="DH167" i="3"/>
  <c r="DF168" i="3"/>
  <c r="DE176" i="3"/>
  <c r="BX180" i="3"/>
  <c r="CC178" i="3"/>
  <c r="BX178" i="3"/>
  <c r="CR180" i="3"/>
  <c r="CR190" i="3" s="1"/>
  <c r="CW178" i="3"/>
  <c r="CR178" i="3"/>
  <c r="BX186" i="3"/>
  <c r="CR186" i="3"/>
  <c r="DL186" i="3"/>
  <c r="CR137" i="3"/>
  <c r="EI138" i="3"/>
  <c r="CW140" i="3"/>
  <c r="DQ140" i="3"/>
  <c r="FQ180" i="3"/>
  <c r="FQ184" i="3"/>
  <c r="FP184" i="3"/>
  <c r="FQ214" i="3"/>
  <c r="FP214" i="3"/>
  <c r="BN160" i="3"/>
  <c r="CH160" i="3"/>
  <c r="DB160" i="3"/>
  <c r="DH162" i="3"/>
  <c r="DQ160" i="3"/>
  <c r="EA160" i="3"/>
  <c r="BG162" i="3"/>
  <c r="BO162" i="3"/>
  <c r="BU162" i="3"/>
  <c r="CA162" i="3"/>
  <c r="CI162" i="3"/>
  <c r="CO162" i="3"/>
  <c r="CU162" i="3"/>
  <c r="DC162" i="3"/>
  <c r="DN162" i="3"/>
  <c r="DR162" i="3"/>
  <c r="ED162" i="3"/>
  <c r="DD168" i="3"/>
  <c r="DW174" i="3"/>
  <c r="DI168" i="3"/>
  <c r="DI167" i="3"/>
  <c r="DQ166" i="3"/>
  <c r="DY167" i="3"/>
  <c r="DS167" i="3"/>
  <c r="EG167" i="3"/>
  <c r="DH168" i="3"/>
  <c r="EB168" i="3"/>
  <c r="DH174" i="3"/>
  <c r="DI176" i="3" s="1"/>
  <c r="EF186" i="3"/>
  <c r="EK187" i="3" s="1"/>
  <c r="DQ190" i="3"/>
  <c r="BD180" i="3"/>
  <c r="DT178" i="3"/>
  <c r="DT179" i="3"/>
  <c r="DT180" i="3"/>
  <c r="DT190" i="3" s="1"/>
  <c r="DY178" i="3"/>
  <c r="DV177" i="3"/>
  <c r="CC186" i="3"/>
  <c r="CW186" i="3"/>
  <c r="DQ186" i="3"/>
  <c r="CB187" i="3"/>
  <c r="CN187" i="3"/>
  <c r="CV187" i="3"/>
  <c r="DH187" i="3"/>
  <c r="DP187" i="3"/>
  <c r="EF185" i="3"/>
  <c r="EB187" i="3"/>
  <c r="CD188" i="3"/>
  <c r="CI188" i="3"/>
  <c r="CX188" i="3"/>
  <c r="DC188" i="3"/>
  <c r="DW188" i="3"/>
  <c r="DV189" i="3"/>
  <c r="DL192" i="3"/>
  <c r="DX192" i="3"/>
  <c r="DE193" i="3"/>
  <c r="DJ193" i="3"/>
  <c r="DO193" i="3"/>
  <c r="DT194" i="3"/>
  <c r="DY193" i="3"/>
  <c r="EC198" i="3"/>
  <c r="BF209" i="3"/>
  <c r="BZ209" i="3"/>
  <c r="CT209" i="3"/>
  <c r="DN209" i="3"/>
  <c r="BN208" i="3"/>
  <c r="CH208" i="3"/>
  <c r="DB208" i="3"/>
  <c r="DV208" i="3"/>
  <c r="BG209" i="3"/>
  <c r="BT209" i="3"/>
  <c r="CA209" i="3"/>
  <c r="CN209" i="3"/>
  <c r="CU209" i="3"/>
  <c r="DH209" i="3"/>
  <c r="DO209" i="3"/>
  <c r="EB209" i="3"/>
  <c r="BX223" i="3"/>
  <c r="BX161" i="3" s="1"/>
  <c r="CR223" i="3"/>
  <c r="CR179" i="3" s="1"/>
  <c r="DL223" i="3"/>
  <c r="DL218" i="3" s="1"/>
  <c r="CH215" i="3"/>
  <c r="DV215" i="3"/>
  <c r="DT218" i="3"/>
  <c r="CF227" i="3"/>
  <c r="CZ227" i="3"/>
  <c r="BS180" i="3"/>
  <c r="CM180" i="3"/>
  <c r="BD185" i="3"/>
  <c r="BX185" i="3"/>
  <c r="CM185" i="3"/>
  <c r="BY187" i="3"/>
  <c r="DS188" i="3"/>
  <c r="EH188" i="3"/>
  <c r="BZ188" i="3"/>
  <c r="CE188" i="3"/>
  <c r="CJ188" i="3"/>
  <c r="CT188" i="3"/>
  <c r="CY188" i="3"/>
  <c r="DD188" i="3"/>
  <c r="DN188" i="3"/>
  <c r="DX188" i="3"/>
  <c r="DT187" i="3"/>
  <c r="DQ192" i="3"/>
  <c r="DF193" i="3"/>
  <c r="DP193" i="3"/>
  <c r="DZ193" i="3"/>
  <c r="DR198" i="3"/>
  <c r="EH198" i="3"/>
  <c r="DR204" i="3"/>
  <c r="BK209" i="3"/>
  <c r="CE209" i="3"/>
  <c r="CY209" i="3"/>
  <c r="DS209" i="3"/>
  <c r="BS208" i="3"/>
  <c r="CM208" i="3"/>
  <c r="DG208" i="3"/>
  <c r="EA208" i="3"/>
  <c r="BO209" i="3"/>
  <c r="BV209" i="3"/>
  <c r="CI209" i="3"/>
  <c r="CP209" i="3"/>
  <c r="DC209" i="3"/>
  <c r="DJ209" i="3"/>
  <c r="DW209" i="3"/>
  <c r="ED209" i="3"/>
  <c r="M11" i="91"/>
  <c r="M22" i="91" s="1"/>
  <c r="EO216" i="3"/>
  <c r="EA215" i="3"/>
  <c r="T225" i="3"/>
  <c r="X227" i="3"/>
  <c r="AB227" i="3"/>
  <c r="AF227" i="3"/>
  <c r="AN227" i="3"/>
  <c r="AR227" i="3"/>
  <c r="AV227" i="3"/>
  <c r="AZ227" i="3"/>
  <c r="CB227" i="3"/>
  <c r="CV227" i="3"/>
  <c r="DP227" i="3"/>
  <c r="DY349" i="3"/>
  <c r="CR185" i="3"/>
  <c r="CL187" i="3"/>
  <c r="CP187" i="3"/>
  <c r="DF187" i="3"/>
  <c r="DJ187" i="3"/>
  <c r="DZ187" i="3"/>
  <c r="ED187" i="3"/>
  <c r="EI188" i="3"/>
  <c r="CA188" i="3"/>
  <c r="CF188" i="3"/>
  <c r="CU188" i="3"/>
  <c r="CZ188" i="3"/>
  <c r="DO188" i="3"/>
  <c r="DT188" i="3"/>
  <c r="DR240" i="3"/>
  <c r="DW241" i="3" s="1"/>
  <c r="DR225" i="3"/>
  <c r="DR224" i="3"/>
  <c r="DR227" i="3"/>
  <c r="DR218" i="3"/>
  <c r="DR210" i="3"/>
  <c r="DV191" i="3"/>
  <c r="EA192" i="3" s="1"/>
  <c r="DR192" i="3"/>
  <c r="DC193" i="3"/>
  <c r="DM193" i="3"/>
  <c r="DR194" i="3"/>
  <c r="DW193" i="3"/>
  <c r="CY198" i="3"/>
  <c r="DB198" i="3" s="1"/>
  <c r="DS198" i="3"/>
  <c r="DW198" i="3"/>
  <c r="DS204" i="3"/>
  <c r="BX208" i="3"/>
  <c r="CR208" i="3"/>
  <c r="DL208" i="3"/>
  <c r="EF208" i="3"/>
  <c r="BJ209" i="3"/>
  <c r="BQ209" i="3"/>
  <c r="CD209" i="3"/>
  <c r="CK209" i="3"/>
  <c r="CX209" i="3"/>
  <c r="DE209" i="3"/>
  <c r="DR209" i="3"/>
  <c r="DY209" i="3"/>
  <c r="BN220" i="3"/>
  <c r="BM216" i="3"/>
  <c r="BN219" i="3"/>
  <c r="BN223" i="3"/>
  <c r="BN161" i="3" s="1"/>
  <c r="BJ216" i="3"/>
  <c r="CH220" i="3"/>
  <c r="CG216" i="3"/>
  <c r="CH219" i="3"/>
  <c r="CH223" i="3"/>
  <c r="CH218" i="3" s="1"/>
  <c r="CD216" i="3"/>
  <c r="DB220" i="3"/>
  <c r="DA216" i="3"/>
  <c r="DB219" i="3"/>
  <c r="DB223" i="3"/>
  <c r="DB161" i="3" s="1"/>
  <c r="CX216" i="3"/>
  <c r="DV304" i="3"/>
  <c r="DV306" i="3" s="1"/>
  <c r="DV310" i="3" s="1"/>
  <c r="J14" i="91" s="1"/>
  <c r="DV220" i="3"/>
  <c r="DU216" i="3"/>
  <c r="DV219" i="3"/>
  <c r="DR216" i="3"/>
  <c r="BN215" i="3"/>
  <c r="DB215" i="3"/>
  <c r="BL216" i="3"/>
  <c r="CF216" i="3"/>
  <c r="CZ216" i="3"/>
  <c r="DT216" i="3"/>
  <c r="BT227" i="3"/>
  <c r="CN227" i="3"/>
  <c r="DH227" i="3"/>
  <c r="DY224" i="3"/>
  <c r="DT240" i="3"/>
  <c r="DY241" i="3" s="1"/>
  <c r="DT224" i="3"/>
  <c r="CQ187" i="3"/>
  <c r="DK187" i="3"/>
  <c r="EE187" i="3"/>
  <c r="DS240" i="3"/>
  <c r="DS224" i="3"/>
  <c r="DS227" i="3"/>
  <c r="DS225" i="3"/>
  <c r="EC210" i="3"/>
  <c r="EC240" i="3"/>
  <c r="EC224" i="3"/>
  <c r="DG192" i="3"/>
  <c r="DS192" i="3"/>
  <c r="DW192" i="3"/>
  <c r="DS194" i="3"/>
  <c r="EC194" i="3"/>
  <c r="EF197" i="3"/>
  <c r="DX198" i="3"/>
  <c r="CC208" i="3"/>
  <c r="CW208" i="3"/>
  <c r="DQ208" i="3"/>
  <c r="BL209" i="3"/>
  <c r="BR209" i="3"/>
  <c r="CF209" i="3"/>
  <c r="CL209" i="3"/>
  <c r="CZ209" i="3"/>
  <c r="DF209" i="3"/>
  <c r="DT209" i="3"/>
  <c r="DZ209" i="3"/>
  <c r="BR216" i="3"/>
  <c r="BS223" i="3"/>
  <c r="BS218" i="3" s="1"/>
  <c r="BS220" i="3"/>
  <c r="BS219" i="3"/>
  <c r="BO216" i="3"/>
  <c r="CL216" i="3"/>
  <c r="CM223" i="3"/>
  <c r="CM179" i="3" s="1"/>
  <c r="CM220" i="3"/>
  <c r="CM219" i="3"/>
  <c r="CI216" i="3"/>
  <c r="DF216" i="3"/>
  <c r="DG223" i="3"/>
  <c r="DG218" i="3" s="1"/>
  <c r="DG220" i="3"/>
  <c r="DG219" i="3"/>
  <c r="DC216" i="3"/>
  <c r="EA304" i="3"/>
  <c r="DZ216" i="3"/>
  <c r="EA223" i="3"/>
  <c r="EA210" i="3" s="1"/>
  <c r="EA220" i="3"/>
  <c r="EA219" i="3"/>
  <c r="DW216" i="3"/>
  <c r="BS215" i="3"/>
  <c r="DG215" i="3"/>
  <c r="BQ216" i="3"/>
  <c r="CK216" i="3"/>
  <c r="DE216" i="3"/>
  <c r="DS218" i="3"/>
  <c r="DY216" i="3"/>
  <c r="BP227" i="3"/>
  <c r="CJ227" i="3"/>
  <c r="DD227" i="3"/>
  <c r="BI215" i="3"/>
  <c r="CC215" i="3"/>
  <c r="CW215" i="3"/>
  <c r="DQ215" i="3"/>
  <c r="AU218" i="3"/>
  <c r="BE216" i="3"/>
  <c r="BJ218" i="3"/>
  <c r="BO218" i="3"/>
  <c r="BT216" i="3"/>
  <c r="BY216" i="3"/>
  <c r="CD218" i="3"/>
  <c r="CI218" i="3"/>
  <c r="CN216" i="3"/>
  <c r="CS216" i="3"/>
  <c r="CX218" i="3"/>
  <c r="DC218" i="3"/>
  <c r="DH216" i="3"/>
  <c r="DM216" i="3"/>
  <c r="DW218" i="3"/>
  <c r="EB216" i="3"/>
  <c r="AY218" i="3"/>
  <c r="BI220" i="3"/>
  <c r="BX219" i="3"/>
  <c r="CC220" i="3"/>
  <c r="CR219" i="3"/>
  <c r="CW220" i="3"/>
  <c r="DL219" i="3"/>
  <c r="DQ220" i="3"/>
  <c r="EF219" i="3"/>
  <c r="BI223" i="3"/>
  <c r="BI210" i="3" s="1"/>
  <c r="CC223" i="3"/>
  <c r="CC179" i="3" s="1"/>
  <c r="CW223" i="3"/>
  <c r="DQ223" i="3"/>
  <c r="DQ161" i="3" s="1"/>
  <c r="X224" i="3"/>
  <c r="AB224" i="3"/>
  <c r="AF224" i="3"/>
  <c r="AJ224" i="3"/>
  <c r="AN224" i="3"/>
  <c r="AR224" i="3"/>
  <c r="AV224" i="3"/>
  <c r="AZ224" i="3"/>
  <c r="BD224" i="3"/>
  <c r="BH224" i="3"/>
  <c r="BL224" i="3"/>
  <c r="BP224" i="3"/>
  <c r="BT224" i="3"/>
  <c r="CB224" i="3"/>
  <c r="CF224" i="3"/>
  <c r="CJ224" i="3"/>
  <c r="CN224" i="3"/>
  <c r="CV224" i="3"/>
  <c r="CZ224" i="3"/>
  <c r="DD224" i="3"/>
  <c r="DH224" i="3"/>
  <c r="DP224" i="3"/>
  <c r="DX224" i="3"/>
  <c r="EB224" i="3"/>
  <c r="W225" i="3"/>
  <c r="AA225" i="3"/>
  <c r="AI225" i="3"/>
  <c r="AM225" i="3"/>
  <c r="AQ225" i="3"/>
  <c r="AU225" i="3"/>
  <c r="BC225" i="3"/>
  <c r="BO225" i="3"/>
  <c r="BW225" i="3"/>
  <c r="CA225" i="3"/>
  <c r="CE225" i="3"/>
  <c r="CI225" i="3"/>
  <c r="CQ225" i="3"/>
  <c r="CU225" i="3"/>
  <c r="CY225" i="3"/>
  <c r="DC225" i="3"/>
  <c r="DK225" i="3"/>
  <c r="Y227" i="3"/>
  <c r="AC227" i="3"/>
  <c r="AG227" i="3"/>
  <c r="AK227" i="3"/>
  <c r="AS227" i="3"/>
  <c r="AW227" i="3"/>
  <c r="BA227" i="3"/>
  <c r="BQ227" i="3"/>
  <c r="BU227" i="3"/>
  <c r="BY227" i="3"/>
  <c r="CK227" i="3"/>
  <c r="CO227" i="3"/>
  <c r="CS227" i="3"/>
  <c r="DA227" i="3"/>
  <c r="DE227" i="3"/>
  <c r="DI227" i="3"/>
  <c r="DM227" i="3"/>
  <c r="DU227" i="3"/>
  <c r="Q225" i="3"/>
  <c r="S227" i="3"/>
  <c r="T240" i="3"/>
  <c r="AB240" i="3"/>
  <c r="AJ240" i="3"/>
  <c r="AR240" i="3"/>
  <c r="AZ240" i="3"/>
  <c r="BH240" i="3"/>
  <c r="BP240" i="3"/>
  <c r="CF240" i="3"/>
  <c r="CN240" i="3"/>
  <c r="CV240" i="3"/>
  <c r="DD240" i="3"/>
  <c r="DI241" i="3" s="1"/>
  <c r="EB240" i="3"/>
  <c r="BR241" i="3"/>
  <c r="BZ241" i="3"/>
  <c r="CL241" i="3"/>
  <c r="CT241" i="3"/>
  <c r="DF241" i="3"/>
  <c r="DN241" i="3"/>
  <c r="V227" i="3"/>
  <c r="AD227" i="3"/>
  <c r="AH227" i="3"/>
  <c r="AL227" i="3"/>
  <c r="AP227" i="3"/>
  <c r="AX227" i="3"/>
  <c r="BB227" i="3"/>
  <c r="BR227" i="3"/>
  <c r="BV227" i="3"/>
  <c r="BZ227" i="3"/>
  <c r="CD227" i="3"/>
  <c r="CL227" i="3"/>
  <c r="CP227" i="3"/>
  <c r="CT227" i="3"/>
  <c r="CX227" i="3"/>
  <c r="DF227" i="3"/>
  <c r="DJ227" i="3"/>
  <c r="DN227" i="3"/>
  <c r="R225" i="3"/>
  <c r="T227" i="3"/>
  <c r="U240" i="3"/>
  <c r="Z241" i="3" s="1"/>
  <c r="BK241" i="3"/>
  <c r="BW241" i="3"/>
  <c r="CE241" i="3"/>
  <c r="CQ241" i="3"/>
  <c r="CY241" i="3"/>
  <c r="DK241" i="3"/>
  <c r="V224" i="3"/>
  <c r="Z224" i="3"/>
  <c r="AD224" i="3"/>
  <c r="AH224" i="3"/>
  <c r="AL224" i="3"/>
  <c r="AP224" i="3"/>
  <c r="AT224" i="3"/>
  <c r="AX224" i="3"/>
  <c r="BB224" i="3"/>
  <c r="BF224" i="3"/>
  <c r="BJ224" i="3"/>
  <c r="BR224" i="3"/>
  <c r="BV224" i="3"/>
  <c r="BZ224" i="3"/>
  <c r="CD224" i="3"/>
  <c r="CL224" i="3"/>
  <c r="CP224" i="3"/>
  <c r="CT224" i="3"/>
  <c r="CX224" i="3"/>
  <c r="DF224" i="3"/>
  <c r="DJ224" i="3"/>
  <c r="DN224" i="3"/>
  <c r="DZ224" i="3"/>
  <c r="ED224" i="3"/>
  <c r="EH224" i="3"/>
  <c r="W227" i="3"/>
  <c r="AA227" i="3"/>
  <c r="AI227" i="3"/>
  <c r="AM227" i="3"/>
  <c r="AQ227" i="3"/>
  <c r="AU227" i="3"/>
  <c r="BC227" i="3"/>
  <c r="BO227" i="3"/>
  <c r="BW227" i="3"/>
  <c r="CA227" i="3"/>
  <c r="CE227" i="3"/>
  <c r="CI227" i="3"/>
  <c r="CQ227" i="3"/>
  <c r="CU227" i="3"/>
  <c r="CY227" i="3"/>
  <c r="DC227" i="3"/>
  <c r="DK227" i="3"/>
  <c r="S225" i="3"/>
  <c r="Q227" i="3"/>
  <c r="X240" i="3"/>
  <c r="AF240" i="3"/>
  <c r="AN240" i="3"/>
  <c r="AV240" i="3"/>
  <c r="BD240" i="3"/>
  <c r="BD349" i="3" s="1"/>
  <c r="BL240" i="3"/>
  <c r="BT240" i="3"/>
  <c r="CB240" i="3"/>
  <c r="CJ240" i="3"/>
  <c r="CO241" i="3" s="1"/>
  <c r="CZ240" i="3"/>
  <c r="DH240" i="3"/>
  <c r="DP240" i="3"/>
  <c r="DX240" i="3"/>
  <c r="DX349" i="3" s="1"/>
  <c r="BX215" i="3"/>
  <c r="CR215" i="3"/>
  <c r="DL215" i="3"/>
  <c r="EF215" i="3"/>
  <c r="AX218" i="3"/>
  <c r="BC218" i="3"/>
  <c r="BH216" i="3"/>
  <c r="BR218" i="3"/>
  <c r="BW216" i="3"/>
  <c r="BW218" i="3"/>
  <c r="CB216" i="3"/>
  <c r="CL218" i="3"/>
  <c r="CQ216" i="3"/>
  <c r="CQ218" i="3"/>
  <c r="CV216" i="3"/>
  <c r="DF218" i="3"/>
  <c r="DK216" i="3"/>
  <c r="DK218" i="3"/>
  <c r="DP216" i="3"/>
  <c r="DZ218" i="3"/>
  <c r="EE216" i="3"/>
  <c r="DQ219" i="3"/>
  <c r="W224" i="3"/>
  <c r="AA224" i="3"/>
  <c r="AE224" i="3"/>
  <c r="AI224" i="3"/>
  <c r="AM224" i="3"/>
  <c r="AQ224" i="3"/>
  <c r="AU224" i="3"/>
  <c r="AY224" i="3"/>
  <c r="BC224" i="3"/>
  <c r="BG224" i="3"/>
  <c r="BK224" i="3"/>
  <c r="BO224" i="3"/>
  <c r="BW224" i="3"/>
  <c r="CA224" i="3"/>
  <c r="CE224" i="3"/>
  <c r="CI224" i="3"/>
  <c r="CQ224" i="3"/>
  <c r="CU224" i="3"/>
  <c r="CY224" i="3"/>
  <c r="DC224" i="3"/>
  <c r="DK224" i="3"/>
  <c r="DO224" i="3"/>
  <c r="DW224" i="3"/>
  <c r="EE224" i="3"/>
  <c r="EI224" i="3"/>
  <c r="V225" i="3"/>
  <c r="AD225" i="3"/>
  <c r="AH225" i="3"/>
  <c r="AL225" i="3"/>
  <c r="AP225" i="3"/>
  <c r="AX225" i="3"/>
  <c r="BB225" i="3"/>
  <c r="BR225" i="3"/>
  <c r="BV225" i="3"/>
  <c r="BZ225" i="3"/>
  <c r="CD225" i="3"/>
  <c r="CL225" i="3"/>
  <c r="CP225" i="3"/>
  <c r="CT225" i="3"/>
  <c r="CX225" i="3"/>
  <c r="DF225" i="3"/>
  <c r="DJ225" i="3"/>
  <c r="DN225" i="3"/>
  <c r="R227" i="3"/>
  <c r="FQ256" i="3"/>
  <c r="FQ257" i="3"/>
  <c r="FP257" i="3"/>
  <c r="BS260" i="3"/>
  <c r="CM260" i="3"/>
  <c r="BN257" i="3"/>
  <c r="BN256" i="3" s="1"/>
  <c r="BK256" i="3"/>
  <c r="DV266" i="3"/>
  <c r="DV265" i="3" s="1"/>
  <c r="FP272" i="3"/>
  <c r="DG267" i="3"/>
  <c r="BI308" i="3"/>
  <c r="CC308" i="3"/>
  <c r="CW308" i="3"/>
  <c r="DQ308" i="3"/>
  <c r="EA266" i="3"/>
  <c r="EA265" i="3" s="1"/>
  <c r="FQ278" i="3"/>
  <c r="FP278" i="3"/>
  <c r="CC279" i="3"/>
  <c r="CW279" i="3"/>
  <c r="DQ279" i="3"/>
  <c r="CH279" i="3"/>
  <c r="CR285" i="3"/>
  <c r="CQ287" i="3"/>
  <c r="CR287" i="3" s="1"/>
  <c r="AE287" i="3"/>
  <c r="AJ287" i="3"/>
  <c r="BD287" i="3"/>
  <c r="BJ287" i="3"/>
  <c r="BX287" i="3"/>
  <c r="CC287" i="3"/>
  <c r="CM279" i="3"/>
  <c r="DH402" i="3"/>
  <c r="DI403" i="3"/>
  <c r="AT287" i="3"/>
  <c r="DG287" i="3"/>
  <c r="DQ287" i="3"/>
  <c r="EA287" i="3"/>
  <c r="EA272" i="3"/>
  <c r="EF279" i="3"/>
  <c r="Z287" i="3"/>
  <c r="BX291" i="3"/>
  <c r="CR291" i="3"/>
  <c r="DL291" i="3"/>
  <c r="EF291" i="3"/>
  <c r="ED313" i="3"/>
  <c r="EE313" i="3" s="1"/>
  <c r="DU318" i="3"/>
  <c r="DB327" i="3"/>
  <c r="DL327" i="3"/>
  <c r="DU328" i="3"/>
  <c r="CW291" i="3"/>
  <c r="DQ291" i="3"/>
  <c r="EH308" i="3"/>
  <c r="CR327" i="3"/>
  <c r="AT349" i="3"/>
  <c r="BX285" i="3"/>
  <c r="DY307" i="3"/>
  <c r="DY308" i="3" s="1"/>
  <c r="DX308" i="3"/>
  <c r="DT307" i="3"/>
  <c r="DY311" i="3"/>
  <c r="DT313" i="3"/>
  <c r="DZ313" i="3"/>
  <c r="EC316" i="3"/>
  <c r="EC317" i="3" s="1"/>
  <c r="EH315" i="3"/>
  <c r="DZ318" i="3"/>
  <c r="ED320" i="3"/>
  <c r="EE321" i="3"/>
  <c r="EC323" i="3"/>
  <c r="DX326" i="3"/>
  <c r="DZ328" i="3"/>
  <c r="ED340" i="3"/>
  <c r="DL365" i="3"/>
  <c r="DL367" i="3" s="1"/>
  <c r="DX353" i="3"/>
  <c r="ED353" i="3"/>
  <c r="EE350" i="3"/>
  <c r="EA397" i="3"/>
  <c r="EA361" i="3"/>
  <c r="DZ360" i="3"/>
  <c r="DG378" i="3"/>
  <c r="EH323" i="3"/>
  <c r="EH327" i="3" s="1"/>
  <c r="EC326" i="3"/>
  <c r="DS316" i="3"/>
  <c r="DT316" i="3" s="1"/>
  <c r="DU316" i="3" s="1"/>
  <c r="DR317" i="3"/>
  <c r="ED318" i="3"/>
  <c r="EE318" i="3" s="1"/>
  <c r="DY320" i="3"/>
  <c r="DZ320" i="3" s="1"/>
  <c r="EI320" i="3"/>
  <c r="EJ320" i="3" s="1"/>
  <c r="EJ399" i="3" s="1"/>
  <c r="DT324" i="3"/>
  <c r="DT326" i="3" s="1"/>
  <c r="DY324" i="3"/>
  <c r="DY326" i="3" s="1"/>
  <c r="ED324" i="3"/>
  <c r="ED326" i="3" s="1"/>
  <c r="ED328" i="3"/>
  <c r="DW348" i="3"/>
  <c r="DW349" i="3" s="1"/>
  <c r="EC348" i="3"/>
  <c r="DG365" i="3"/>
  <c r="DG348" i="3"/>
  <c r="ED311" i="3"/>
  <c r="EE311" i="3" s="1"/>
  <c r="DX316" i="3"/>
  <c r="DY316" i="3" s="1"/>
  <c r="DY317" i="3" s="1"/>
  <c r="DX323" i="3"/>
  <c r="EC340" i="3"/>
  <c r="DW344" i="3"/>
  <c r="DZ344" i="3"/>
  <c r="EH348" i="3"/>
  <c r="DV361" i="3"/>
  <c r="BD378" i="3"/>
  <c r="BX378" i="3"/>
  <c r="CR378" i="3"/>
  <c r="AT367" i="3"/>
  <c r="BD367" i="3"/>
  <c r="BN367" i="3"/>
  <c r="BX367" i="3"/>
  <c r="CH367" i="3"/>
  <c r="CR367" i="3"/>
  <c r="DB367" i="3"/>
  <c r="CM378" i="3"/>
  <c r="DB378" i="3"/>
  <c r="EF361" i="3"/>
  <c r="BI367" i="3"/>
  <c r="DL378" i="3"/>
  <c r="EF378" i="3"/>
  <c r="FH82" i="3" l="1"/>
  <c r="FH125" i="3"/>
  <c r="FJ50" i="3"/>
  <c r="FH52" i="3"/>
  <c r="FH188" i="3"/>
  <c r="FH50" i="3"/>
  <c r="FI52" i="3"/>
  <c r="DO29" i="3"/>
  <c r="DO104" i="3"/>
  <c r="EF121" i="3"/>
  <c r="EK121" i="3"/>
  <c r="EI106" i="3"/>
  <c r="EN105" i="3"/>
  <c r="DU24" i="3"/>
  <c r="DT122" i="3"/>
  <c r="DT79" i="3"/>
  <c r="DT65" i="3"/>
  <c r="EI65" i="3"/>
  <c r="EI122" i="3"/>
  <c r="EI79" i="3"/>
  <c r="ET121" i="3"/>
  <c r="DO227" i="3"/>
  <c r="DP229" i="3" s="1"/>
  <c r="DO79" i="3"/>
  <c r="DO122" i="3"/>
  <c r="DO65" i="3"/>
  <c r="DT106" i="3"/>
  <c r="DT105" i="3"/>
  <c r="EF78" i="3"/>
  <c r="EK78" i="3"/>
  <c r="DL395" i="3"/>
  <c r="DL79" i="3"/>
  <c r="DQ392" i="3"/>
  <c r="DQ79" i="3"/>
  <c r="EF64" i="3"/>
  <c r="EA64" i="3"/>
  <c r="EU8" i="3"/>
  <c r="EU63" i="3" s="1"/>
  <c r="ET63" i="3"/>
  <c r="EP30" i="3"/>
  <c r="EK63" i="3"/>
  <c r="DQ65" i="3"/>
  <c r="DL65" i="3"/>
  <c r="DQ90" i="3"/>
  <c r="DZ241" i="3"/>
  <c r="CM187" i="3"/>
  <c r="DZ307" i="3"/>
  <c r="DZ308" i="3" s="1"/>
  <c r="EU365" i="3"/>
  <c r="E32" i="91" s="1"/>
  <c r="DV98" i="3"/>
  <c r="EG266" i="3"/>
  <c r="EG265" i="3" s="1"/>
  <c r="EH167" i="3"/>
  <c r="EL56" i="3"/>
  <c r="FN56" i="3" s="1"/>
  <c r="CR90" i="3"/>
  <c r="EJ316" i="3"/>
  <c r="EJ317" i="3" s="1"/>
  <c r="EA90" i="3"/>
  <c r="EA91" i="3" s="1"/>
  <c r="EF92" i="3" s="1"/>
  <c r="DL187" i="3"/>
  <c r="DU349" i="3"/>
  <c r="DL266" i="3"/>
  <c r="DL265" i="3" s="1"/>
  <c r="FK188" i="3"/>
  <c r="CC84" i="3"/>
  <c r="CY168" i="3"/>
  <c r="FI82" i="3"/>
  <c r="FI125" i="3"/>
  <c r="FJ82" i="3"/>
  <c r="DW266" i="3"/>
  <c r="DW265" i="3" s="1"/>
  <c r="FK82" i="3"/>
  <c r="FK125" i="3"/>
  <c r="FI188" i="3"/>
  <c r="FJ188" i="3"/>
  <c r="DV190" i="3"/>
  <c r="FJ125" i="3"/>
  <c r="EN216" i="3"/>
  <c r="EN127" i="3"/>
  <c r="EI166" i="3"/>
  <c r="EK166" i="3" s="1"/>
  <c r="EP167" i="3" s="1"/>
  <c r="FQ82" i="3"/>
  <c r="EJ68" i="3"/>
  <c r="EN67" i="3"/>
  <c r="FQ67" i="3" s="1"/>
  <c r="EI349" i="3"/>
  <c r="EN241" i="3"/>
  <c r="EU35" i="3"/>
  <c r="ET10" i="3"/>
  <c r="EU10" i="3" s="1"/>
  <c r="ET9" i="3"/>
  <c r="EU9" i="3" s="1"/>
  <c r="EZ9" i="3" s="1"/>
  <c r="FE9" i="3" s="1"/>
  <c r="EI56" i="3"/>
  <c r="EJ57" i="3"/>
  <c r="BY102" i="3"/>
  <c r="BY126" i="3"/>
  <c r="BY155" i="3" s="1"/>
  <c r="CD102" i="3"/>
  <c r="EU32" i="3"/>
  <c r="EU33" i="3"/>
  <c r="EU170" i="3"/>
  <c r="BY109" i="3"/>
  <c r="EI395" i="3"/>
  <c r="EN40" i="3"/>
  <c r="EJ109" i="3"/>
  <c r="EN108" i="3"/>
  <c r="FQ108" i="3" s="1"/>
  <c r="EN29" i="3"/>
  <c r="EH317" i="3"/>
  <c r="EB349" i="3"/>
  <c r="EB193" i="3"/>
  <c r="CY176" i="3"/>
  <c r="CH98" i="3"/>
  <c r="DQ92" i="3"/>
  <c r="DG187" i="3"/>
  <c r="BD81" i="3"/>
  <c r="DP266" i="3"/>
  <c r="DP265" i="3" s="1"/>
  <c r="BO241" i="3"/>
  <c r="CL29" i="3"/>
  <c r="EA187" i="3"/>
  <c r="BD102" i="3"/>
  <c r="DT315" i="3"/>
  <c r="CP241" i="3"/>
  <c r="DV90" i="3"/>
  <c r="DV91" i="3" s="1"/>
  <c r="DV84" i="3" s="1"/>
  <c r="CW92" i="3"/>
  <c r="DF260" i="3"/>
  <c r="EF306" i="3"/>
  <c r="EE306" i="3" s="1"/>
  <c r="EF198" i="3"/>
  <c r="CA241" i="3"/>
  <c r="EH241" i="3"/>
  <c r="EF165" i="3"/>
  <c r="L4" i="42"/>
  <c r="M4" i="42" s="1"/>
  <c r="N4" i="42" s="1"/>
  <c r="O4" i="42" s="1"/>
  <c r="P4" i="42" s="1"/>
  <c r="Q4" i="42" s="1"/>
  <c r="R4" i="42" s="1"/>
  <c r="S4" i="42" s="1"/>
  <c r="T4" i="42" s="1"/>
  <c r="U4" i="42" s="1"/>
  <c r="V4" i="42" s="1"/>
  <c r="W4" i="42" s="1"/>
  <c r="X4" i="42" s="1"/>
  <c r="Y4" i="42" s="1"/>
  <c r="Z4" i="42" s="1"/>
  <c r="AA4" i="42" s="1"/>
  <c r="AB4" i="42" s="1"/>
  <c r="AC4" i="42" s="1"/>
  <c r="AD4" i="42" s="1"/>
  <c r="AE4" i="42" s="1"/>
  <c r="AF4" i="42" s="1"/>
  <c r="AG4" i="42" s="1"/>
  <c r="AH4" i="42" s="1"/>
  <c r="AI4" i="42" s="1"/>
  <c r="AJ4" i="42" s="1"/>
  <c r="AK4" i="42" s="1"/>
  <c r="AL4" i="42" s="1"/>
  <c r="AM4" i="42" s="1"/>
  <c r="AN4" i="42" s="1"/>
  <c r="AO4" i="42" s="1"/>
  <c r="AP4" i="42" s="1"/>
  <c r="AQ4" i="42" s="1"/>
  <c r="AR4" i="42" s="1"/>
  <c r="AS4" i="42" s="1"/>
  <c r="AT4" i="42" s="1"/>
  <c r="AU4" i="42" s="1"/>
  <c r="AV4" i="42" s="1"/>
  <c r="AW4" i="42" s="1"/>
  <c r="AX4" i="42" s="1"/>
  <c r="AY4" i="42" s="1"/>
  <c r="AZ4" i="42" s="1"/>
  <c r="BA4" i="42" s="1"/>
  <c r="BB4" i="42" s="1"/>
  <c r="BC4" i="42" s="1"/>
  <c r="BD4" i="42" s="1"/>
  <c r="BE4" i="42" s="1"/>
  <c r="BF4" i="42" s="1"/>
  <c r="BG4" i="42" s="1"/>
  <c r="BH4" i="42" s="1"/>
  <c r="BI4" i="42" s="1"/>
  <c r="BJ4" i="42" s="1"/>
  <c r="BK4" i="42" s="1"/>
  <c r="BL4" i="42" s="1"/>
  <c r="BM4" i="42" s="1"/>
  <c r="BN4" i="42" s="1"/>
  <c r="BO4" i="42" s="1"/>
  <c r="BP4" i="42" s="1"/>
  <c r="BQ4" i="42" s="1"/>
  <c r="BR4" i="42" s="1"/>
  <c r="BS4" i="42" s="1"/>
  <c r="BT4" i="42" s="1"/>
  <c r="BU4" i="42" s="1"/>
  <c r="BV4" i="42" s="1"/>
  <c r="BW4" i="42" s="1"/>
  <c r="BX4" i="42" s="1"/>
  <c r="BY4" i="42" s="1"/>
  <c r="BZ4" i="42" s="1"/>
  <c r="CA4" i="42" s="1"/>
  <c r="EK66" i="3"/>
  <c r="EP67" i="3" s="1"/>
  <c r="EH174" i="3"/>
  <c r="EH175" i="3" s="1"/>
  <c r="CH61" i="3"/>
  <c r="EH349" i="3"/>
  <c r="CM124" i="3"/>
  <c r="CW56" i="3"/>
  <c r="J21" i="42"/>
  <c r="J31" i="42" s="1"/>
  <c r="EK90" i="3"/>
  <c r="EK91" i="3" s="1"/>
  <c r="BX84" i="3"/>
  <c r="J22" i="42"/>
  <c r="J32" i="42" s="1"/>
  <c r="EG57" i="3"/>
  <c r="CM61" i="3"/>
  <c r="DX327" i="3"/>
  <c r="DB98" i="3"/>
  <c r="DT323" i="3"/>
  <c r="DT327" i="3" s="1"/>
  <c r="EI317" i="3"/>
  <c r="DA176" i="3"/>
  <c r="BX394" i="3"/>
  <c r="AE124" i="3"/>
  <c r="DX13" i="3"/>
  <c r="DX12" i="3" s="1"/>
  <c r="DX7" i="3" s="1"/>
  <c r="AY107" i="3"/>
  <c r="AY108" i="3" s="1"/>
  <c r="CC66" i="3"/>
  <c r="CH67" i="3" s="1"/>
  <c r="Q242" i="3"/>
  <c r="Q243" i="3" s="1"/>
  <c r="EM127" i="3"/>
  <c r="EM67" i="3"/>
  <c r="EI57" i="3"/>
  <c r="FP55" i="3"/>
  <c r="EM56" i="3"/>
  <c r="EM241" i="3"/>
  <c r="EM167" i="3"/>
  <c r="EL216" i="3"/>
  <c r="FN216" i="3" s="1"/>
  <c r="EM216" i="3"/>
  <c r="EA46" i="3"/>
  <c r="BH155" i="3"/>
  <c r="BJ241" i="3"/>
  <c r="DO241" i="3"/>
  <c r="CD241" i="3"/>
  <c r="EE241" i="3"/>
  <c r="DZ349" i="3"/>
  <c r="EG349" i="3"/>
  <c r="EL241" i="3"/>
  <c r="FN241" i="3" s="1"/>
  <c r="BX98" i="3"/>
  <c r="EL67" i="3"/>
  <c r="FN67" i="3" s="1"/>
  <c r="FQ102" i="3"/>
  <c r="EA124" i="3"/>
  <c r="ED37" i="3"/>
  <c r="DL98" i="3"/>
  <c r="DG90" i="3"/>
  <c r="EK61" i="3"/>
  <c r="EL127" i="3"/>
  <c r="FN127" i="3" s="1"/>
  <c r="BH127" i="3"/>
  <c r="AY124" i="3"/>
  <c r="ED67" i="3"/>
  <c r="DB90" i="3"/>
  <c r="DW13" i="3"/>
  <c r="DW12" i="3" s="1"/>
  <c r="DW23" i="3" s="1"/>
  <c r="BJ126" i="3"/>
  <c r="BO127" i="3" s="1"/>
  <c r="BJ107" i="3"/>
  <c r="BJ109" i="3" s="1"/>
  <c r="BD107" i="3"/>
  <c r="BO102" i="3"/>
  <c r="CR102" i="3"/>
  <c r="BS61" i="3"/>
  <c r="AV155" i="3"/>
  <c r="CM66" i="3"/>
  <c r="CM67" i="3" s="1"/>
  <c r="DS67" i="3"/>
  <c r="BO29" i="3"/>
  <c r="BL29" i="3"/>
  <c r="DJ241" i="3"/>
  <c r="BX102" i="3"/>
  <c r="EA98" i="3"/>
  <c r="CR61" i="3"/>
  <c r="EC349" i="3"/>
  <c r="EJ323" i="3"/>
  <c r="EJ327" i="3" s="1"/>
  <c r="DU320" i="3"/>
  <c r="DU323" i="3" s="1"/>
  <c r="EC327" i="3"/>
  <c r="EE307" i="3"/>
  <c r="EE308" i="3" s="1"/>
  <c r="ED349" i="3"/>
  <c r="EF223" i="3"/>
  <c r="EK224" i="3" s="1"/>
  <c r="DU241" i="3"/>
  <c r="BA241" i="3"/>
  <c r="V241" i="3"/>
  <c r="EC193" i="3"/>
  <c r="CR210" i="3"/>
  <c r="EE193" i="3"/>
  <c r="ED193" i="3"/>
  <c r="EF192" i="3"/>
  <c r="EF166" i="3"/>
  <c r="EF174" i="3" s="1"/>
  <c r="EE167" i="3"/>
  <c r="S251" i="3"/>
  <c r="S245" i="3" s="1"/>
  <c r="DV81" i="3"/>
  <c r="CH81" i="3"/>
  <c r="CW90" i="3"/>
  <c r="DN68" i="3"/>
  <c r="CX241" i="3"/>
  <c r="BV241" i="3"/>
  <c r="EF98" i="3"/>
  <c r="BP29" i="3"/>
  <c r="DG102" i="3"/>
  <c r="BS102" i="3"/>
  <c r="DL90" i="3"/>
  <c r="A5" i="41"/>
  <c r="B5" i="41" s="1"/>
  <c r="CM56" i="3"/>
  <c r="CR56" i="3"/>
  <c r="EF46" i="3"/>
  <c r="CC56" i="3"/>
  <c r="CW61" i="3"/>
  <c r="AV156" i="3"/>
  <c r="AV238" i="3" s="1"/>
  <c r="AV242" i="3" s="1"/>
  <c r="BX61" i="3"/>
  <c r="DZ353" i="3"/>
  <c r="CC102" i="3"/>
  <c r="EK98" i="3"/>
  <c r="DG56" i="3"/>
  <c r="DL56" i="3"/>
  <c r="CC61" i="3"/>
  <c r="CR218" i="3"/>
  <c r="CS241" i="3"/>
  <c r="AM130" i="3"/>
  <c r="BS124" i="3"/>
  <c r="BN81" i="3"/>
  <c r="AJ124" i="3"/>
  <c r="BD67" i="3"/>
  <c r="BH129" i="3"/>
  <c r="CW387" i="3"/>
  <c r="BL127" i="3"/>
  <c r="EB13" i="3"/>
  <c r="EB12" i="3" s="1"/>
  <c r="EB23" i="3" s="1"/>
  <c r="BS66" i="3"/>
  <c r="BS67" i="3" s="1"/>
  <c r="DG266" i="3"/>
  <c r="DG265" i="3" s="1"/>
  <c r="BX218" i="3"/>
  <c r="EE168" i="3"/>
  <c r="DB124" i="3"/>
  <c r="AV68" i="3"/>
  <c r="L5" i="42"/>
  <c r="P5" i="42" s="1"/>
  <c r="BX66" i="3"/>
  <c r="EI241" i="3"/>
  <c r="Q251" i="3"/>
  <c r="Q270" i="3" s="1"/>
  <c r="DB92" i="3"/>
  <c r="AT124" i="3"/>
  <c r="BN124" i="3"/>
  <c r="DE241" i="3"/>
  <c r="EK198" i="3"/>
  <c r="BX107" i="3"/>
  <c r="BX108" i="3" s="1"/>
  <c r="DL81" i="3"/>
  <c r="DM226" i="3"/>
  <c r="EJ315" i="3"/>
  <c r="BI107" i="3"/>
  <c r="BI102" i="3"/>
  <c r="CR107" i="3"/>
  <c r="CW108" i="3" s="1"/>
  <c r="DG92" i="3"/>
  <c r="CB27" i="3"/>
  <c r="BN90" i="3"/>
  <c r="EK165" i="3"/>
  <c r="DB81" i="3"/>
  <c r="DT349" i="3"/>
  <c r="AY241" i="3"/>
  <c r="R242" i="3"/>
  <c r="R243" i="3" s="1"/>
  <c r="DD175" i="3"/>
  <c r="BI124" i="3"/>
  <c r="CR81" i="3"/>
  <c r="BY67" i="3"/>
  <c r="AS226" i="3"/>
  <c r="CH92" i="3"/>
  <c r="EA165" i="3"/>
  <c r="DV124" i="3"/>
  <c r="BP155" i="3"/>
  <c r="BX81" i="3"/>
  <c r="CR92" i="3"/>
  <c r="CV27" i="3"/>
  <c r="AV27" i="3"/>
  <c r="CM90" i="3"/>
  <c r="CM92" i="3"/>
  <c r="BN61" i="3"/>
  <c r="P377" i="3"/>
  <c r="P380" i="3" s="1"/>
  <c r="EP2" i="3"/>
  <c r="EJ307" i="3"/>
  <c r="EJ308" i="3" s="1"/>
  <c r="EK30" i="3"/>
  <c r="EK102" i="3"/>
  <c r="EI323" i="3"/>
  <c r="EI327" i="3" s="1"/>
  <c r="EI399" i="3"/>
  <c r="AC241" i="3"/>
  <c r="BN218" i="3"/>
  <c r="S242" i="3"/>
  <c r="DC167" i="3"/>
  <c r="S128" i="3"/>
  <c r="EB56" i="3"/>
  <c r="CH90" i="3"/>
  <c r="CC92" i="3"/>
  <c r="DS193" i="3"/>
  <c r="DR193" i="3"/>
  <c r="DB166" i="3"/>
  <c r="DB174" i="3" s="1"/>
  <c r="EK126" i="3"/>
  <c r="EP127" i="3" s="1"/>
  <c r="CH124" i="3"/>
  <c r="DL92" i="3"/>
  <c r="EJ24" i="3"/>
  <c r="EI387" i="3"/>
  <c r="EI393" i="3"/>
  <c r="EI390" i="3"/>
  <c r="EI388" i="3"/>
  <c r="EI392" i="3"/>
  <c r="EI391" i="3"/>
  <c r="EI396" i="3"/>
  <c r="EI389" i="3"/>
  <c r="EI394" i="3"/>
  <c r="T242" i="3"/>
  <c r="T243" i="3" s="1"/>
  <c r="DV138" i="3"/>
  <c r="DG124" i="3"/>
  <c r="CR98" i="3"/>
  <c r="BS92" i="3"/>
  <c r="DB56" i="3"/>
  <c r="M5" i="42"/>
  <c r="Q5" i="42" s="1"/>
  <c r="EI315" i="3"/>
  <c r="A6" i="41"/>
  <c r="B6" i="41" s="1"/>
  <c r="EZ11" i="3"/>
  <c r="FE11" i="3" s="1"/>
  <c r="N11" i="91"/>
  <c r="FQ61" i="3"/>
  <c r="T25" i="3"/>
  <c r="DF27" i="3"/>
  <c r="BW203" i="3"/>
  <c r="EF19" i="3"/>
  <c r="EK38" i="3" s="1"/>
  <c r="AL226" i="3"/>
  <c r="BF225" i="3"/>
  <c r="BF226" i="3" s="1"/>
  <c r="BF227" i="3"/>
  <c r="BK228" i="3" s="1"/>
  <c r="DG204" i="3"/>
  <c r="AB25" i="3"/>
  <c r="BY27" i="3"/>
  <c r="EG13" i="3"/>
  <c r="EG12" i="3" s="1"/>
  <c r="DL211" i="3"/>
  <c r="DL391" i="3"/>
  <c r="CW393" i="3"/>
  <c r="AC226" i="3"/>
  <c r="CT25" i="3"/>
  <c r="EA16" i="3"/>
  <c r="EA37" i="3" s="1"/>
  <c r="EE37" i="3"/>
  <c r="FQ37" i="3"/>
  <c r="FQ98" i="3"/>
  <c r="CC107" i="3"/>
  <c r="CH108" i="3" s="1"/>
  <c r="DB107" i="3"/>
  <c r="DB108" i="3" s="1"/>
  <c r="CM102" i="3"/>
  <c r="BN107" i="3"/>
  <c r="BS108" i="3" s="1"/>
  <c r="AV127" i="3"/>
  <c r="AZ127" i="3"/>
  <c r="CH102" i="3"/>
  <c r="BN102" i="3"/>
  <c r="BP129" i="3"/>
  <c r="DB102" i="3"/>
  <c r="BH128" i="3"/>
  <c r="BH103" i="3"/>
  <c r="BP127" i="3"/>
  <c r="BI66" i="3"/>
  <c r="BN67" i="3" s="1"/>
  <c r="AZ129" i="3"/>
  <c r="AZ155" i="3"/>
  <c r="BH67" i="3"/>
  <c r="DS68" i="3"/>
  <c r="DB61" i="3"/>
  <c r="BE68" i="3"/>
  <c r="AZ128" i="3"/>
  <c r="DR67" i="3"/>
  <c r="BL155" i="3"/>
  <c r="BL129" i="3"/>
  <c r="BL156" i="3"/>
  <c r="BL103" i="3" s="1"/>
  <c r="BP103" i="3"/>
  <c r="CW66" i="3"/>
  <c r="CW67" i="3" s="1"/>
  <c r="FQ125" i="3"/>
  <c r="AC27" i="3"/>
  <c r="AK226" i="3"/>
  <c r="BE227" i="3"/>
  <c r="BE229" i="3" s="1"/>
  <c r="DB211" i="3"/>
  <c r="AL25" i="3"/>
  <c r="S213" i="3"/>
  <c r="BU25" i="3"/>
  <c r="CT27" i="3"/>
  <c r="BG227" i="3"/>
  <c r="BH227" i="3"/>
  <c r="AD130" i="3"/>
  <c r="AN130" i="3"/>
  <c r="AX226" i="3"/>
  <c r="BD227" i="3"/>
  <c r="CL27" i="3"/>
  <c r="DA226" i="3"/>
  <c r="EC7" i="3"/>
  <c r="EC104" i="3" s="1"/>
  <c r="DQ211" i="3"/>
  <c r="AH27" i="3"/>
  <c r="DM25" i="3"/>
  <c r="DQ387" i="3"/>
  <c r="U225" i="3"/>
  <c r="DQ204" i="3"/>
  <c r="AC130" i="3"/>
  <c r="R25" i="3"/>
  <c r="DQ388" i="3"/>
  <c r="R206" i="3"/>
  <c r="BK225" i="3"/>
  <c r="AV25" i="3"/>
  <c r="W25" i="3"/>
  <c r="CS25" i="3"/>
  <c r="CW26" i="3"/>
  <c r="DQ396" i="3"/>
  <c r="U227" i="3"/>
  <c r="DN25" i="3"/>
  <c r="Q25" i="3"/>
  <c r="FQ46" i="3"/>
  <c r="FQ92" i="3"/>
  <c r="AB27" i="3"/>
  <c r="BJ227" i="3"/>
  <c r="BK229" i="3" s="1"/>
  <c r="AP27" i="3"/>
  <c r="CJ25" i="3"/>
  <c r="AK25" i="3"/>
  <c r="R213" i="3"/>
  <c r="X27" i="3"/>
  <c r="BU203" i="3"/>
  <c r="BV25" i="3"/>
  <c r="CM211" i="3"/>
  <c r="BP25" i="3"/>
  <c r="BX390" i="3"/>
  <c r="BG225" i="3"/>
  <c r="BG226" i="3" s="1"/>
  <c r="BQ40" i="3"/>
  <c r="AL27" i="3"/>
  <c r="AQ173" i="3"/>
  <c r="DQ391" i="3"/>
  <c r="AW27" i="3"/>
  <c r="BX396" i="3"/>
  <c r="CC388" i="3"/>
  <c r="DD27" i="3"/>
  <c r="BX387" i="3"/>
  <c r="BL392" i="3"/>
  <c r="DR226" i="3"/>
  <c r="BX391" i="3"/>
  <c r="CD226" i="3"/>
  <c r="BS211" i="3"/>
  <c r="BX211" i="3"/>
  <c r="BZ25" i="3"/>
  <c r="DL392" i="3"/>
  <c r="BX388" i="3"/>
  <c r="BB25" i="3"/>
  <c r="FQ38" i="3"/>
  <c r="CA203" i="3"/>
  <c r="AS130" i="3"/>
  <c r="CE203" i="3"/>
  <c r="BX392" i="3"/>
  <c r="CK27" i="3"/>
  <c r="AG27" i="3"/>
  <c r="DQ390" i="3"/>
  <c r="BD388" i="3"/>
  <c r="BD387" i="3"/>
  <c r="BU27" i="3"/>
  <c r="R229" i="3"/>
  <c r="AP226" i="3"/>
  <c r="BQ27" i="3"/>
  <c r="CK226" i="3"/>
  <c r="CC387" i="3"/>
  <c r="DN226" i="3"/>
  <c r="BZ226" i="3"/>
  <c r="W130" i="3"/>
  <c r="CO25" i="3"/>
  <c r="CH392" i="3"/>
  <c r="BD392" i="3"/>
  <c r="BA27" i="3"/>
  <c r="BD391" i="3"/>
  <c r="AG226" i="3"/>
  <c r="DZ7" i="3"/>
  <c r="CU25" i="3"/>
  <c r="DI226" i="3"/>
  <c r="DF226" i="3"/>
  <c r="AD226" i="3"/>
  <c r="AY225" i="3"/>
  <c r="S206" i="3"/>
  <c r="AT228" i="3"/>
  <c r="CW388" i="3"/>
  <c r="CR390" i="3"/>
  <c r="CW389" i="3"/>
  <c r="EE38" i="3"/>
  <c r="CA25" i="3"/>
  <c r="Y27" i="3"/>
  <c r="CR396" i="3"/>
  <c r="BJ225" i="3"/>
  <c r="BO226" i="3" s="1"/>
  <c r="V226" i="3"/>
  <c r="BM227" i="3"/>
  <c r="BR228" i="3" s="1"/>
  <c r="BA25" i="3"/>
  <c r="BD394" i="3"/>
  <c r="DB392" i="3"/>
  <c r="CO27" i="3"/>
  <c r="BD396" i="3"/>
  <c r="CS226" i="3"/>
  <c r="CW395" i="3"/>
  <c r="CB25" i="3"/>
  <c r="CD203" i="3"/>
  <c r="CT226" i="3"/>
  <c r="AY227" i="3"/>
  <c r="AY228" i="3" s="1"/>
  <c r="CY25" i="3"/>
  <c r="CW396" i="3"/>
  <c r="CC391" i="3"/>
  <c r="DU226" i="3"/>
  <c r="AW226" i="3"/>
  <c r="CC395" i="3"/>
  <c r="BD390" i="3"/>
  <c r="AJ227" i="3"/>
  <c r="AJ228" i="3" s="1"/>
  <c r="DR27" i="3"/>
  <c r="CD27" i="3"/>
  <c r="DI25" i="3"/>
  <c r="AQ25" i="3"/>
  <c r="CC396" i="3"/>
  <c r="DI27" i="3"/>
  <c r="DL388" i="3"/>
  <c r="CC393" i="3"/>
  <c r="CC26" i="3"/>
  <c r="DJ226" i="3"/>
  <c r="BV226" i="3"/>
  <c r="AF130" i="3"/>
  <c r="DN27" i="3"/>
  <c r="BZ27" i="3"/>
  <c r="AD27" i="3"/>
  <c r="DE27" i="3"/>
  <c r="AP25" i="3"/>
  <c r="DZ23" i="3"/>
  <c r="BV203" i="3"/>
  <c r="CW391" i="3"/>
  <c r="BY203" i="3"/>
  <c r="BU226" i="3"/>
  <c r="BA226" i="3"/>
  <c r="CC389" i="3"/>
  <c r="CV25" i="3"/>
  <c r="CC42" i="3"/>
  <c r="CC148" i="3" s="1"/>
  <c r="AH226" i="3"/>
  <c r="DL204" i="3"/>
  <c r="V27" i="3"/>
  <c r="CC392" i="3"/>
  <c r="DE226" i="3"/>
  <c r="BY226" i="3"/>
  <c r="DL390" i="3"/>
  <c r="CC171" i="3"/>
  <c r="CX226" i="3"/>
  <c r="DT225" i="3"/>
  <c r="BL227" i="3"/>
  <c r="CR211" i="3"/>
  <c r="CW211" i="3"/>
  <c r="DZ107" i="3"/>
  <c r="BR27" i="3"/>
  <c r="R27" i="3"/>
  <c r="DL394" i="3"/>
  <c r="CW392" i="3"/>
  <c r="BZ203" i="3"/>
  <c r="DT393" i="3"/>
  <c r="CR391" i="3"/>
  <c r="AR27" i="3"/>
  <c r="DL387" i="3"/>
  <c r="DJ25" i="3"/>
  <c r="CW394" i="3"/>
  <c r="CW42" i="3"/>
  <c r="CW148" i="3" s="1"/>
  <c r="CC204" i="3"/>
  <c r="AT225" i="3"/>
  <c r="AE225" i="3"/>
  <c r="Z225" i="3"/>
  <c r="Z227" i="3"/>
  <c r="DO225" i="3"/>
  <c r="DO226" i="3" s="1"/>
  <c r="DG211" i="3"/>
  <c r="DT227" i="3"/>
  <c r="DU229" i="3" s="1"/>
  <c r="CH211" i="3"/>
  <c r="AP130" i="3"/>
  <c r="CX27" i="3"/>
  <c r="CE25" i="3"/>
  <c r="AG25" i="3"/>
  <c r="AK27" i="3"/>
  <c r="BY25" i="3"/>
  <c r="CJ27" i="3"/>
  <c r="AN27" i="3"/>
  <c r="CO226" i="3"/>
  <c r="CC394" i="3"/>
  <c r="CW171" i="3"/>
  <c r="CC202" i="3"/>
  <c r="DD25" i="3"/>
  <c r="AS173" i="3"/>
  <c r="CR387" i="3"/>
  <c r="CP226" i="3"/>
  <c r="BB226" i="3"/>
  <c r="CC211" i="3"/>
  <c r="AZ109" i="3"/>
  <c r="AX27" i="3"/>
  <c r="CR394" i="3"/>
  <c r="CR392" i="3"/>
  <c r="DL396" i="3"/>
  <c r="CR388" i="3"/>
  <c r="CF27" i="3"/>
  <c r="CW390" i="3"/>
  <c r="EE7" i="3"/>
  <c r="EE104" i="3" s="1"/>
  <c r="EE36" i="3"/>
  <c r="EE107" i="3"/>
  <c r="EJ36" i="3"/>
  <c r="EE23" i="3"/>
  <c r="ED38" i="3"/>
  <c r="FQ124" i="3"/>
  <c r="T229" i="3"/>
  <c r="EF187" i="3"/>
  <c r="CR29" i="3"/>
  <c r="EF81" i="3"/>
  <c r="EJ67" i="3"/>
  <c r="EJ241" i="3"/>
  <c r="DQ187" i="3"/>
  <c r="CC187" i="3"/>
  <c r="DL166" i="3"/>
  <c r="DQ167" i="3" s="1"/>
  <c r="CR187" i="3"/>
  <c r="EJ127" i="3"/>
  <c r="EF55" i="3"/>
  <c r="EK56" i="3" s="1"/>
  <c r="DY7" i="3"/>
  <c r="ED7" i="3"/>
  <c r="EE174" i="3"/>
  <c r="EG176" i="3" s="1"/>
  <c r="EJ167" i="3"/>
  <c r="CW102" i="3"/>
  <c r="EJ56" i="3"/>
  <c r="EI225" i="3"/>
  <c r="EH13" i="3"/>
  <c r="EH12" i="3" s="1"/>
  <c r="EG38" i="3"/>
  <c r="EB38" i="3"/>
  <c r="EA19" i="3"/>
  <c r="DY36" i="3"/>
  <c r="DY107" i="3"/>
  <c r="DY108" i="3" s="1"/>
  <c r="DY23" i="3"/>
  <c r="EI26" i="3"/>
  <c r="ED36" i="3"/>
  <c r="EI171" i="3"/>
  <c r="EI227" i="3"/>
  <c r="EC107" i="3"/>
  <c r="EI42" i="3"/>
  <c r="ED23" i="3"/>
  <c r="EI211" i="3"/>
  <c r="EI204" i="3"/>
  <c r="CH29" i="3"/>
  <c r="EI36" i="3"/>
  <c r="DB29" i="3"/>
  <c r="ED107" i="3"/>
  <c r="DL29" i="3"/>
  <c r="DS317" i="3"/>
  <c r="EE324" i="3"/>
  <c r="EE326" i="3" s="1"/>
  <c r="CU226" i="3"/>
  <c r="CA226" i="3"/>
  <c r="AQ226" i="3"/>
  <c r="AA226" i="3"/>
  <c r="BS210" i="3"/>
  <c r="DB218" i="3"/>
  <c r="BS179" i="3"/>
  <c r="DV198" i="3"/>
  <c r="BX210" i="3"/>
  <c r="BX179" i="3"/>
  <c r="DM175" i="3"/>
  <c r="R128" i="3"/>
  <c r="BX29" i="3"/>
  <c r="BD29" i="3"/>
  <c r="BD126" i="3"/>
  <c r="BD156" i="3" s="1"/>
  <c r="BX395" i="3"/>
  <c r="BD389" i="3"/>
  <c r="EH37" i="3"/>
  <c r="I22" i="91"/>
  <c r="DX317" i="3"/>
  <c r="W226" i="3"/>
  <c r="EA218" i="3"/>
  <c r="BN210" i="3"/>
  <c r="CW187" i="3"/>
  <c r="DL165" i="3"/>
  <c r="DM168" i="3"/>
  <c r="AR130" i="3"/>
  <c r="CM395" i="3"/>
  <c r="DQ124" i="3"/>
  <c r="J22" i="91"/>
  <c r="A345" i="42"/>
  <c r="L30" i="42"/>
  <c r="A419" i="42"/>
  <c r="A363" i="42"/>
  <c r="A350" i="42"/>
  <c r="A334" i="42"/>
  <c r="A347" i="42"/>
  <c r="A352" i="42"/>
  <c r="A336" i="42"/>
  <c r="I31" i="42"/>
  <c r="D18" i="42"/>
  <c r="A30" i="42"/>
  <c r="L9" i="42"/>
  <c r="K10" i="42"/>
  <c r="D21" i="42"/>
  <c r="A33" i="42"/>
  <c r="A434" i="42"/>
  <c r="A430" i="42"/>
  <c r="A428" i="42"/>
  <c r="A426" i="42"/>
  <c r="A424" i="42"/>
  <c r="A422" i="42"/>
  <c r="A420" i="42"/>
  <c r="A349" i="42"/>
  <c r="A333" i="42"/>
  <c r="A354" i="42"/>
  <c r="A338" i="42"/>
  <c r="A351" i="42"/>
  <c r="A335" i="42"/>
  <c r="A364" i="42"/>
  <c r="A360" i="42"/>
  <c r="A356" i="42"/>
  <c r="A340" i="42"/>
  <c r="L27" i="42"/>
  <c r="L26" i="42"/>
  <c r="M25" i="42"/>
  <c r="D28" i="42"/>
  <c r="A40" i="42"/>
  <c r="L20" i="42"/>
  <c r="K22" i="42"/>
  <c r="K32" i="42" s="1"/>
  <c r="K21" i="42"/>
  <c r="D29" i="42"/>
  <c r="A41" i="42"/>
  <c r="D23" i="42"/>
  <c r="A35" i="42"/>
  <c r="D12" i="42"/>
  <c r="A24" i="42"/>
  <c r="A353" i="42"/>
  <c r="A337" i="42"/>
  <c r="A365" i="42"/>
  <c r="A361" i="42"/>
  <c r="A357" i="42"/>
  <c r="A342" i="42"/>
  <c r="A355" i="42"/>
  <c r="A339" i="42"/>
  <c r="A344" i="42"/>
  <c r="D22" i="42"/>
  <c r="A34" i="42"/>
  <c r="D27" i="42"/>
  <c r="A39" i="42"/>
  <c r="D14" i="42"/>
  <c r="A26" i="42"/>
  <c r="O5" i="42"/>
  <c r="A435" i="42"/>
  <c r="A433" i="42"/>
  <c r="A431" i="42"/>
  <c r="A429" i="42"/>
  <c r="A427" i="42"/>
  <c r="A477" i="42"/>
  <c r="A529" i="42" s="1"/>
  <c r="A581" i="42" s="1"/>
  <c r="A475" i="42"/>
  <c r="A527" i="42" s="1"/>
  <c r="A579" i="42" s="1"/>
  <c r="A421" i="42"/>
  <c r="A418" i="42"/>
  <c r="A341" i="42"/>
  <c r="A332" i="42"/>
  <c r="A359" i="42"/>
  <c r="A346" i="42"/>
  <c r="A343" i="42"/>
  <c r="C229" i="42"/>
  <c r="B228" i="42"/>
  <c r="D228" i="42" s="1"/>
  <c r="A362" i="42"/>
  <c r="A358" i="42"/>
  <c r="A348" i="42"/>
  <c r="D20" i="42"/>
  <c r="A32" i="42"/>
  <c r="K15" i="42"/>
  <c r="L14" i="42"/>
  <c r="D19" i="42"/>
  <c r="A31" i="42"/>
  <c r="N5" i="42"/>
  <c r="D25" i="42"/>
  <c r="A37" i="42"/>
  <c r="G892" i="41"/>
  <c r="H891" i="41" s="1"/>
  <c r="C6" i="41"/>
  <c r="D7" i="41"/>
  <c r="A7" i="41"/>
  <c r="B7" i="41" s="1"/>
  <c r="E8" i="41"/>
  <c r="L36" i="91"/>
  <c r="K30" i="91"/>
  <c r="K36" i="91" s="1"/>
  <c r="N4" i="91"/>
  <c r="EE315" i="3"/>
  <c r="DL331" i="3"/>
  <c r="DL332" i="3" s="1"/>
  <c r="DG336" i="3"/>
  <c r="DG368" i="3" s="1"/>
  <c r="DZ399" i="3"/>
  <c r="DZ323" i="3"/>
  <c r="DY399" i="3"/>
  <c r="DY323" i="3"/>
  <c r="DY327" i="3" s="1"/>
  <c r="DU313" i="3"/>
  <c r="DU315" i="3" s="1"/>
  <c r="DT308" i="3"/>
  <c r="DU307" i="3"/>
  <c r="DU308" i="3" s="1"/>
  <c r="DZ324" i="3"/>
  <c r="DZ326" i="3" s="1"/>
  <c r="DT317" i="3"/>
  <c r="DH241" i="3"/>
  <c r="BT241" i="3"/>
  <c r="AN241" i="3"/>
  <c r="CU229" i="3"/>
  <c r="CU228" i="3"/>
  <c r="CA229" i="3"/>
  <c r="CA228" i="3"/>
  <c r="AQ228" i="3"/>
  <c r="AQ229" i="3"/>
  <c r="AA228" i="3"/>
  <c r="AA229" i="3"/>
  <c r="DJ229" i="3"/>
  <c r="DJ228" i="3"/>
  <c r="CP229" i="3"/>
  <c r="CP228" i="3"/>
  <c r="BV229" i="3"/>
  <c r="BV228" i="3"/>
  <c r="BB229" i="3"/>
  <c r="BB228" i="3"/>
  <c r="AL229" i="3"/>
  <c r="AL228" i="3"/>
  <c r="V228" i="3"/>
  <c r="V229" i="3"/>
  <c r="CV241" i="3"/>
  <c r="BH241" i="3"/>
  <c r="AB241" i="3"/>
  <c r="DU228" i="3"/>
  <c r="DA228" i="3"/>
  <c r="DA229" i="3"/>
  <c r="CG228" i="3"/>
  <c r="CG229" i="3"/>
  <c r="AS228" i="3"/>
  <c r="AS229" i="3"/>
  <c r="AC229" i="3"/>
  <c r="AC228" i="3"/>
  <c r="CY226" i="3"/>
  <c r="CE226" i="3"/>
  <c r="AU226" i="3"/>
  <c r="CW225" i="3"/>
  <c r="CW218" i="3"/>
  <c r="CW240" i="3"/>
  <c r="CW224" i="3"/>
  <c r="CW227" i="3"/>
  <c r="CW194" i="3"/>
  <c r="DG240" i="3"/>
  <c r="DG349" i="3" s="1"/>
  <c r="DG224" i="3"/>
  <c r="DG227" i="3"/>
  <c r="DG225" i="3"/>
  <c r="DG179" i="3"/>
  <c r="DG161" i="3"/>
  <c r="BS240" i="3"/>
  <c r="BS224" i="3"/>
  <c r="BS227" i="3"/>
  <c r="BS225" i="3"/>
  <c r="BS201" i="3"/>
  <c r="BS194" i="3"/>
  <c r="BS161" i="3"/>
  <c r="DG210" i="3"/>
  <c r="DM241" i="3"/>
  <c r="BY241" i="3"/>
  <c r="DV223" i="3"/>
  <c r="DV194" i="3" s="1"/>
  <c r="DS206" i="3"/>
  <c r="DS205" i="3"/>
  <c r="DV192" i="3"/>
  <c r="DU193" i="3"/>
  <c r="DT193" i="3"/>
  <c r="DA241" i="3"/>
  <c r="AV229" i="3"/>
  <c r="AV228" i="3"/>
  <c r="AF229" i="3"/>
  <c r="AF228" i="3"/>
  <c r="DB210" i="3"/>
  <c r="DR206" i="3"/>
  <c r="DR205" i="3"/>
  <c r="DG194" i="3"/>
  <c r="DQ210" i="3"/>
  <c r="DW176" i="3"/>
  <c r="DK174" i="3"/>
  <c r="DP175" i="3" s="1"/>
  <c r="DK167" i="3"/>
  <c r="DK168" i="3"/>
  <c r="EG175" i="3"/>
  <c r="DS175" i="3"/>
  <c r="DV154" i="3"/>
  <c r="EF154" i="3"/>
  <c r="CW138" i="3"/>
  <c r="EC176" i="3"/>
  <c r="AG130" i="3"/>
  <c r="AK238" i="3"/>
  <c r="AK157" i="3"/>
  <c r="AK103" i="3"/>
  <c r="AK119" i="3"/>
  <c r="AK76" i="3"/>
  <c r="AC238" i="3"/>
  <c r="AC157" i="3"/>
  <c r="Q128" i="3"/>
  <c r="BQ109" i="3"/>
  <c r="BQ108" i="3"/>
  <c r="AW109" i="3"/>
  <c r="AW108" i="3"/>
  <c r="DL66" i="3"/>
  <c r="DL61" i="3"/>
  <c r="CZ176" i="3"/>
  <c r="EG127" i="3"/>
  <c r="EG142" i="3"/>
  <c r="EG155" i="3"/>
  <c r="EG156" i="3"/>
  <c r="CK127" i="3"/>
  <c r="CK156" i="3"/>
  <c r="CK128" i="3" s="1"/>
  <c r="CK155" i="3"/>
  <c r="CK142" i="3"/>
  <c r="AV14" i="41" s="1"/>
  <c r="CK129" i="3"/>
  <c r="AN238" i="3"/>
  <c r="AN242" i="3" s="1"/>
  <c r="AN157" i="3"/>
  <c r="AN76" i="3"/>
  <c r="AN103" i="3"/>
  <c r="AN119" i="3"/>
  <c r="DU127" i="3"/>
  <c r="DU156" i="3"/>
  <c r="DU128" i="3" s="1"/>
  <c r="DU155" i="3"/>
  <c r="DU142" i="3"/>
  <c r="CF14" i="41" s="1"/>
  <c r="DU129" i="3"/>
  <c r="CO127" i="3"/>
  <c r="CO156" i="3"/>
  <c r="CO128" i="3" s="1"/>
  <c r="CO155" i="3"/>
  <c r="CO142" i="3"/>
  <c r="AZ14" i="41" s="1"/>
  <c r="CO129" i="3"/>
  <c r="AA238" i="3"/>
  <c r="AA157" i="3"/>
  <c r="DK108" i="3"/>
  <c r="DK109" i="3"/>
  <c r="CQ108" i="3"/>
  <c r="CQ109" i="3"/>
  <c r="BO109" i="3"/>
  <c r="AU109" i="3"/>
  <c r="AU108" i="3"/>
  <c r="DZ176" i="3"/>
  <c r="DZ175" i="3"/>
  <c r="EI155" i="3"/>
  <c r="EI129" i="3"/>
  <c r="EI156" i="3"/>
  <c r="EI142" i="3"/>
  <c r="EI127" i="3"/>
  <c r="DN156" i="3"/>
  <c r="DN128" i="3" s="1"/>
  <c r="DN155" i="3"/>
  <c r="DN142" i="3"/>
  <c r="BY14" i="41" s="1"/>
  <c r="DN129" i="3"/>
  <c r="DN127" i="3"/>
  <c r="CS127" i="3"/>
  <c r="CS156" i="3"/>
  <c r="CS128" i="3" s="1"/>
  <c r="CS155" i="3"/>
  <c r="CS142" i="3"/>
  <c r="BD14" i="41" s="1"/>
  <c r="CW126" i="3"/>
  <c r="CS129" i="3"/>
  <c r="AT156" i="3"/>
  <c r="AT128" i="3" s="1"/>
  <c r="AT129" i="3"/>
  <c r="AT155" i="3"/>
  <c r="AT127" i="3"/>
  <c r="AH130" i="3"/>
  <c r="AD238" i="3"/>
  <c r="AD157" i="3"/>
  <c r="V238" i="3"/>
  <c r="V157" i="3"/>
  <c r="DP108" i="3"/>
  <c r="CV108" i="3"/>
  <c r="DJ108" i="3"/>
  <c r="DJ109" i="3"/>
  <c r="CT108" i="3"/>
  <c r="CT109" i="3"/>
  <c r="CD109" i="3"/>
  <c r="CD108" i="3"/>
  <c r="EF126" i="3"/>
  <c r="EF155" i="3" s="1"/>
  <c r="EB142" i="3"/>
  <c r="CM14" i="41" s="1"/>
  <c r="EB156" i="3"/>
  <c r="EB127" i="3"/>
  <c r="DL107" i="3"/>
  <c r="DL108" i="3" s="1"/>
  <c r="DL102" i="3"/>
  <c r="CV156" i="3"/>
  <c r="CV128" i="3" s="1"/>
  <c r="CV155" i="3"/>
  <c r="CV142" i="3"/>
  <c r="BG14" i="41" s="1"/>
  <c r="CV129" i="3"/>
  <c r="CV127" i="3"/>
  <c r="CB156" i="3"/>
  <c r="CB128" i="3" s="1"/>
  <c r="CB155" i="3"/>
  <c r="CB142" i="3"/>
  <c r="CB129" i="3"/>
  <c r="CG136" i="3" s="1"/>
  <c r="CB127" i="3"/>
  <c r="AI130" i="3"/>
  <c r="FP60" i="3"/>
  <c r="FQ60" i="3"/>
  <c r="DK67" i="3"/>
  <c r="DP67" i="3"/>
  <c r="DK68" i="3"/>
  <c r="CE68" i="3"/>
  <c r="CE67" i="3"/>
  <c r="DV66" i="3"/>
  <c r="DV61" i="3"/>
  <c r="CG67" i="3"/>
  <c r="CG68" i="3"/>
  <c r="DR148" i="3"/>
  <c r="DR44" i="3"/>
  <c r="DR43" i="3"/>
  <c r="CX148" i="3"/>
  <c r="CX44" i="3"/>
  <c r="CX43" i="3"/>
  <c r="CD148" i="3"/>
  <c r="CD44" i="3"/>
  <c r="CD43" i="3"/>
  <c r="DK27" i="3"/>
  <c r="DJ27" i="3"/>
  <c r="CQ27" i="3"/>
  <c r="CP27" i="3"/>
  <c r="BW27" i="3"/>
  <c r="BV27" i="3"/>
  <c r="DS172" i="3"/>
  <c r="DS173" i="3"/>
  <c r="DO396" i="3"/>
  <c r="DO394" i="3"/>
  <c r="DO395" i="3"/>
  <c r="DO392" i="3"/>
  <c r="DO391" i="3"/>
  <c r="DO390" i="3"/>
  <c r="DO388" i="3"/>
  <c r="DO387" i="3"/>
  <c r="DO389" i="3"/>
  <c r="DO211" i="3"/>
  <c r="DP213" i="3" s="1"/>
  <c r="DO204" i="3"/>
  <c r="DP206" i="3" s="1"/>
  <c r="DO171" i="3"/>
  <c r="DP173" i="3" s="1"/>
  <c r="DO40" i="3"/>
  <c r="DP24" i="3"/>
  <c r="DO42" i="3"/>
  <c r="DP44" i="3" s="1"/>
  <c r="DO26" i="3"/>
  <c r="DO27" i="3" s="1"/>
  <c r="DO25" i="3"/>
  <c r="DO24" i="3"/>
  <c r="DK206" i="3"/>
  <c r="DK205" i="3"/>
  <c r="CY206" i="3"/>
  <c r="CY205" i="3"/>
  <c r="CQ206" i="3"/>
  <c r="CQ205" i="3"/>
  <c r="CM204" i="3"/>
  <c r="CM171" i="3"/>
  <c r="CI25" i="3"/>
  <c r="CM40" i="3"/>
  <c r="CM42" i="3"/>
  <c r="CM26" i="3"/>
  <c r="CI212" i="3"/>
  <c r="CE172" i="3"/>
  <c r="CE173" i="3"/>
  <c r="CA206" i="3"/>
  <c r="CA205" i="3"/>
  <c r="BW172" i="3"/>
  <c r="BW173" i="3"/>
  <c r="AU212" i="3"/>
  <c r="AU213" i="3"/>
  <c r="AQ206" i="3"/>
  <c r="AQ205" i="3"/>
  <c r="AI206" i="3"/>
  <c r="AI205" i="3"/>
  <c r="AA205" i="3"/>
  <c r="AA206" i="3"/>
  <c r="BS395" i="3"/>
  <c r="BN35" i="3"/>
  <c r="EA30" i="3"/>
  <c r="X130" i="3"/>
  <c r="EH142" i="3"/>
  <c r="EH155" i="3"/>
  <c r="EH156" i="3"/>
  <c r="EH127" i="3"/>
  <c r="CA155" i="3"/>
  <c r="CA142" i="3"/>
  <c r="CA129" i="3"/>
  <c r="CA156" i="3"/>
  <c r="CA128" i="3" s="1"/>
  <c r="CA127" i="3"/>
  <c r="BO155" i="3"/>
  <c r="BO156" i="3"/>
  <c r="BO128" i="3" s="1"/>
  <c r="BS126" i="3"/>
  <c r="BO129" i="3"/>
  <c r="AW156" i="3"/>
  <c r="AW155" i="3"/>
  <c r="AW129" i="3"/>
  <c r="AW130" i="3" s="1"/>
  <c r="AW127" i="3"/>
  <c r="CZ67" i="3"/>
  <c r="CL67" i="3"/>
  <c r="DQ66" i="3"/>
  <c r="DQ61" i="3"/>
  <c r="DI148" i="3"/>
  <c r="DI44" i="3"/>
  <c r="DI43" i="3"/>
  <c r="CO148" i="3"/>
  <c r="CO44" i="3"/>
  <c r="CO43" i="3"/>
  <c r="BQ148" i="3"/>
  <c r="BQ44" i="3"/>
  <c r="CD25" i="3"/>
  <c r="DR173" i="3"/>
  <c r="DR172" i="3"/>
  <c r="DJ173" i="3"/>
  <c r="DJ172" i="3"/>
  <c r="CX206" i="3"/>
  <c r="CX205" i="3"/>
  <c r="CT213" i="3"/>
  <c r="CT212" i="3"/>
  <c r="CP206" i="3"/>
  <c r="CP205" i="3"/>
  <c r="CL213" i="3"/>
  <c r="CD213" i="3"/>
  <c r="CD212" i="3"/>
  <c r="BZ173" i="3"/>
  <c r="BZ172" i="3"/>
  <c r="BV213" i="3"/>
  <c r="BV212" i="3"/>
  <c r="BR173" i="3"/>
  <c r="BB206" i="3"/>
  <c r="BB205" i="3"/>
  <c r="AX213" i="3"/>
  <c r="AX212" i="3"/>
  <c r="AP213" i="3"/>
  <c r="AP212" i="3"/>
  <c r="AH213" i="3"/>
  <c r="AH212" i="3"/>
  <c r="V206" i="3"/>
  <c r="V205" i="3"/>
  <c r="DB395" i="3"/>
  <c r="BS394" i="3"/>
  <c r="DL124" i="3"/>
  <c r="DB391" i="3"/>
  <c r="CM388" i="3"/>
  <c r="BS388" i="3"/>
  <c r="AY388" i="3"/>
  <c r="CW124" i="3"/>
  <c r="DM127" i="3"/>
  <c r="DM156" i="3"/>
  <c r="DM128" i="3" s="1"/>
  <c r="DM155" i="3"/>
  <c r="DM142" i="3"/>
  <c r="BX14" i="41" s="1"/>
  <c r="DM129" i="3"/>
  <c r="DQ126" i="3"/>
  <c r="CY155" i="3"/>
  <c r="CY129" i="3"/>
  <c r="CY142" i="3"/>
  <c r="BJ14" i="41" s="1"/>
  <c r="CY156" i="3"/>
  <c r="CY128" i="3" s="1"/>
  <c r="CY127" i="3"/>
  <c r="CI155" i="3"/>
  <c r="CI142" i="3"/>
  <c r="AT14" i="41" s="1"/>
  <c r="CI129" i="3"/>
  <c r="CI156" i="3"/>
  <c r="CI128" i="3" s="1"/>
  <c r="CI127" i="3"/>
  <c r="CM126" i="3"/>
  <c r="AZ238" i="3"/>
  <c r="AZ242" i="3" s="1"/>
  <c r="AZ76" i="3"/>
  <c r="AZ119" i="3"/>
  <c r="AZ62" i="3"/>
  <c r="DO68" i="3"/>
  <c r="DO67" i="3"/>
  <c r="DP68" i="3"/>
  <c r="BG68" i="3"/>
  <c r="BG67" i="3"/>
  <c r="EG67" i="3"/>
  <c r="EG68" i="3"/>
  <c r="DB187" i="3"/>
  <c r="CZ148" i="3"/>
  <c r="CZ43" i="3"/>
  <c r="CZ44" i="3"/>
  <c r="CF148" i="3"/>
  <c r="CF43" i="3"/>
  <c r="CF44" i="3"/>
  <c r="AZ27" i="3"/>
  <c r="AF27" i="3"/>
  <c r="DA25" i="3"/>
  <c r="Y25" i="3"/>
  <c r="DU172" i="3"/>
  <c r="DM173" i="3"/>
  <c r="DM172" i="3"/>
  <c r="DI205" i="3"/>
  <c r="DI206" i="3"/>
  <c r="DA213" i="3"/>
  <c r="DA212" i="3"/>
  <c r="CS173" i="3"/>
  <c r="CS172" i="3"/>
  <c r="CO205" i="3"/>
  <c r="CO206" i="3"/>
  <c r="CG396" i="3"/>
  <c r="CG395" i="3"/>
  <c r="CG392" i="3"/>
  <c r="CG390" i="3"/>
  <c r="CG394" i="3"/>
  <c r="CG389" i="3"/>
  <c r="CG393" i="3"/>
  <c r="CG387" i="3"/>
  <c r="CG388" i="3"/>
  <c r="CG211" i="3"/>
  <c r="CL212" i="3" s="1"/>
  <c r="CG225" i="3"/>
  <c r="CG226" i="3" s="1"/>
  <c r="CG202" i="3"/>
  <c r="CG203" i="3" s="1"/>
  <c r="CG204" i="3"/>
  <c r="CL205" i="3" s="1"/>
  <c r="CG171" i="3"/>
  <c r="CL172" i="3" s="1"/>
  <c r="CG40" i="3"/>
  <c r="CG42" i="3"/>
  <c r="CL43" i="3" s="1"/>
  <c r="CG26" i="3"/>
  <c r="CI24" i="3"/>
  <c r="CG25" i="3"/>
  <c r="CG24" i="3"/>
  <c r="BU173" i="3"/>
  <c r="BU172" i="3"/>
  <c r="BU213" i="3"/>
  <c r="BU212" i="3"/>
  <c r="BQ206" i="3"/>
  <c r="BA173" i="3"/>
  <c r="BA172" i="3"/>
  <c r="BA212" i="3"/>
  <c r="BA213" i="3"/>
  <c r="AW205" i="3"/>
  <c r="AW206" i="3"/>
  <c r="AK130" i="3"/>
  <c r="AG205" i="3"/>
  <c r="AG206" i="3"/>
  <c r="Y213" i="3"/>
  <c r="Y212" i="3"/>
  <c r="DG396" i="3"/>
  <c r="DB390" i="3"/>
  <c r="CH390" i="3"/>
  <c r="AY390" i="3"/>
  <c r="BQ156" i="3"/>
  <c r="BQ128" i="3" s="1"/>
  <c r="BQ155" i="3"/>
  <c r="BQ129" i="3"/>
  <c r="BQ127" i="3"/>
  <c r="EA81" i="3"/>
  <c r="DG81" i="3"/>
  <c r="CP67" i="3"/>
  <c r="CP68" i="3"/>
  <c r="BK68" i="3"/>
  <c r="BK67" i="3"/>
  <c r="DR57" i="3"/>
  <c r="FH57" i="3" s="1"/>
  <c r="DR56" i="3"/>
  <c r="DQ55" i="3"/>
  <c r="DQ56" i="3" s="1"/>
  <c r="DQ42" i="3"/>
  <c r="DQ46" i="3"/>
  <c r="DS148" i="3"/>
  <c r="DS43" i="3"/>
  <c r="DS44" i="3"/>
  <c r="CY148" i="3"/>
  <c r="CY43" i="3"/>
  <c r="CY44" i="3"/>
  <c r="CE148" i="3"/>
  <c r="CE43" i="3"/>
  <c r="CE44" i="3"/>
  <c r="AM27" i="3"/>
  <c r="CZ25" i="3"/>
  <c r="DP212" i="3"/>
  <c r="DH213" i="3"/>
  <c r="DH212" i="3"/>
  <c r="DD205" i="3"/>
  <c r="DD206" i="3"/>
  <c r="CZ172" i="3"/>
  <c r="CZ173" i="3"/>
  <c r="CZ226" i="3"/>
  <c r="CV172" i="3"/>
  <c r="CV173" i="3"/>
  <c r="CN173" i="3"/>
  <c r="CN172" i="3"/>
  <c r="CJ212" i="3"/>
  <c r="CJ213" i="3"/>
  <c r="CF212" i="3"/>
  <c r="CF213" i="3"/>
  <c r="CB206" i="3"/>
  <c r="CB205" i="3"/>
  <c r="BX204" i="3"/>
  <c r="BX202" i="3"/>
  <c r="BX171" i="3"/>
  <c r="BX40" i="3"/>
  <c r="BT25" i="3"/>
  <c r="BX42" i="3"/>
  <c r="BX26" i="3"/>
  <c r="BW25" i="3"/>
  <c r="BT205" i="3"/>
  <c r="BT206" i="3"/>
  <c r="BP173" i="3"/>
  <c r="BH395" i="3"/>
  <c r="BH391" i="3"/>
  <c r="BH390" i="3"/>
  <c r="BH389" i="3"/>
  <c r="BH394" i="3"/>
  <c r="BH393" i="3"/>
  <c r="BH388" i="3"/>
  <c r="BH387" i="3"/>
  <c r="BH396" i="3"/>
  <c r="BH225" i="3"/>
  <c r="BH226" i="3" s="1"/>
  <c r="BH204" i="3"/>
  <c r="BH211" i="3"/>
  <c r="BH202" i="3"/>
  <c r="BH203" i="3" s="1"/>
  <c r="BH171" i="3"/>
  <c r="BH40" i="3"/>
  <c r="BH26" i="3"/>
  <c r="BH24" i="3"/>
  <c r="AZ205" i="3"/>
  <c r="AZ206" i="3"/>
  <c r="AV173" i="3"/>
  <c r="AV172" i="3"/>
  <c r="AR173" i="3"/>
  <c r="AN213" i="3"/>
  <c r="AN212" i="3"/>
  <c r="AF213" i="3"/>
  <c r="AF212" i="3"/>
  <c r="AB205" i="3"/>
  <c r="AB206" i="3"/>
  <c r="X226" i="3"/>
  <c r="DB396" i="3"/>
  <c r="FQ16" i="3"/>
  <c r="FP16" i="3"/>
  <c r="DG389" i="3"/>
  <c r="CM389" i="3"/>
  <c r="BS389" i="3"/>
  <c r="AY389" i="3"/>
  <c r="BM392" i="3"/>
  <c r="AX68" i="3"/>
  <c r="BS35" i="3"/>
  <c r="DS57" i="3"/>
  <c r="BQ25" i="3"/>
  <c r="DE25" i="3"/>
  <c r="FQ19" i="3"/>
  <c r="FP19" i="3"/>
  <c r="EE57" i="3"/>
  <c r="BO40" i="3"/>
  <c r="DU324" i="3"/>
  <c r="DU326" i="3" s="1"/>
  <c r="DZ316" i="3"/>
  <c r="DZ317" i="3" s="1"/>
  <c r="CZ241" i="3"/>
  <c r="BL241" i="3"/>
  <c r="AF241" i="3"/>
  <c r="DK228" i="3"/>
  <c r="DK229" i="3"/>
  <c r="CQ228" i="3"/>
  <c r="CQ229" i="3"/>
  <c r="BW228" i="3"/>
  <c r="BW229" i="3"/>
  <c r="BC228" i="3"/>
  <c r="BC229" i="3"/>
  <c r="AM229" i="3"/>
  <c r="AM228" i="3"/>
  <c r="W228" i="3"/>
  <c r="W229" i="3"/>
  <c r="DF228" i="3"/>
  <c r="DF229" i="3"/>
  <c r="CL228" i="3"/>
  <c r="CL229" i="3"/>
  <c r="BR229" i="3"/>
  <c r="AX228" i="3"/>
  <c r="AX229" i="3"/>
  <c r="AH229" i="3"/>
  <c r="AH228" i="3"/>
  <c r="CN241" i="3"/>
  <c r="AZ241" i="3"/>
  <c r="DM229" i="3"/>
  <c r="DM228" i="3"/>
  <c r="CS229" i="3"/>
  <c r="CS228" i="3"/>
  <c r="BY229" i="3"/>
  <c r="BY228" i="3"/>
  <c r="Y228" i="3"/>
  <c r="Y229" i="3"/>
  <c r="CC240" i="3"/>
  <c r="CC225" i="3"/>
  <c r="CC218" i="3"/>
  <c r="CC224" i="3"/>
  <c r="CC227" i="3"/>
  <c r="CC194" i="3"/>
  <c r="CC201" i="3"/>
  <c r="BP229" i="3"/>
  <c r="BP228" i="3"/>
  <c r="EA240" i="3"/>
  <c r="EA179" i="3"/>
  <c r="EA161" i="3"/>
  <c r="DS349" i="3"/>
  <c r="DS241" i="3"/>
  <c r="AS241" i="3"/>
  <c r="AK241" i="3"/>
  <c r="CH240" i="3"/>
  <c r="CH225" i="3"/>
  <c r="CH224" i="3"/>
  <c r="CH227" i="3"/>
  <c r="CH201" i="3"/>
  <c r="CH179" i="3"/>
  <c r="CH194" i="3"/>
  <c r="CB229" i="3"/>
  <c r="CB228" i="3"/>
  <c r="AR229" i="3"/>
  <c r="AR228" i="3"/>
  <c r="AB229" i="3"/>
  <c r="AB228" i="3"/>
  <c r="EA194" i="3"/>
  <c r="CF229" i="3"/>
  <c r="CF228" i="3"/>
  <c r="DL227" i="3"/>
  <c r="DL225" i="3"/>
  <c r="DL240" i="3"/>
  <c r="DL224" i="3"/>
  <c r="DL179" i="3"/>
  <c r="DL194" i="3"/>
  <c r="DL210" i="3"/>
  <c r="DF176" i="3"/>
  <c r="DF175" i="3"/>
  <c r="DT175" i="3"/>
  <c r="DT176" i="3"/>
  <c r="DL161" i="3"/>
  <c r="DX168" i="3"/>
  <c r="DX174" i="3"/>
  <c r="EC175" i="3" s="1"/>
  <c r="DX167" i="3"/>
  <c r="CW161" i="3"/>
  <c r="EF138" i="3"/>
  <c r="EC167" i="3"/>
  <c r="AB130" i="3"/>
  <c r="AS238" i="3"/>
  <c r="AS157" i="3"/>
  <c r="AS128" i="3"/>
  <c r="AS103" i="3"/>
  <c r="AS119" i="3"/>
  <c r="AS76" i="3"/>
  <c r="BM109" i="3"/>
  <c r="BM108" i="3"/>
  <c r="DF156" i="3"/>
  <c r="DF128" i="3" s="1"/>
  <c r="DF155" i="3"/>
  <c r="DF142" i="3"/>
  <c r="BQ14" i="41" s="1"/>
  <c r="DF127" i="3"/>
  <c r="DF129" i="3"/>
  <c r="BZ156" i="3"/>
  <c r="BZ128" i="3" s="1"/>
  <c r="BZ155" i="3"/>
  <c r="BZ142" i="3"/>
  <c r="BZ127" i="3"/>
  <c r="BZ129" i="3"/>
  <c r="AR238" i="3"/>
  <c r="AR242" i="3" s="1"/>
  <c r="AR157" i="3"/>
  <c r="AR76" i="3"/>
  <c r="AR103" i="3"/>
  <c r="AR119" i="3"/>
  <c r="AJ156" i="3"/>
  <c r="AJ128" i="3" s="1"/>
  <c r="AJ155" i="3"/>
  <c r="AJ129" i="3"/>
  <c r="AJ127" i="3"/>
  <c r="AB238" i="3"/>
  <c r="AB242" i="3" s="1"/>
  <c r="AB157" i="3"/>
  <c r="DJ156" i="3"/>
  <c r="DJ128" i="3" s="1"/>
  <c r="DJ155" i="3"/>
  <c r="DJ142" i="3"/>
  <c r="BU14" i="41" s="1"/>
  <c r="DJ129" i="3"/>
  <c r="DO136" i="3" s="1"/>
  <c r="DJ127" i="3"/>
  <c r="CD156" i="3"/>
  <c r="CD128" i="3" s="1"/>
  <c r="CD155" i="3"/>
  <c r="CD142" i="3"/>
  <c r="AO14" i="41" s="1"/>
  <c r="CD129" i="3"/>
  <c r="CH126" i="3"/>
  <c r="AQ238" i="3"/>
  <c r="AQ157" i="3"/>
  <c r="AQ119" i="3"/>
  <c r="AQ103" i="3"/>
  <c r="AQ76" i="3"/>
  <c r="AI238" i="3"/>
  <c r="AI157" i="3"/>
  <c r="DC109" i="3"/>
  <c r="DC108" i="3"/>
  <c r="CI109" i="3"/>
  <c r="CI108" i="3"/>
  <c r="BK108" i="3"/>
  <c r="DQ107" i="3"/>
  <c r="DQ102" i="3"/>
  <c r="ED156" i="3"/>
  <c r="ED128" i="3" s="1"/>
  <c r="ED155" i="3"/>
  <c r="ED142" i="3"/>
  <c r="CO14" i="41" s="1"/>
  <c r="ED127" i="3"/>
  <c r="DI127" i="3"/>
  <c r="DI156" i="3"/>
  <c r="DI128" i="3" s="1"/>
  <c r="DI155" i="3"/>
  <c r="DI142" i="3"/>
  <c r="BT14" i="41" s="1"/>
  <c r="DI129" i="3"/>
  <c r="BW155" i="3"/>
  <c r="BW129" i="3"/>
  <c r="BW142" i="3"/>
  <c r="BW156" i="3"/>
  <c r="BW128" i="3" s="1"/>
  <c r="BW127" i="3"/>
  <c r="BF156" i="3"/>
  <c r="BF128" i="3" s="1"/>
  <c r="BF129" i="3"/>
  <c r="BF155" i="3"/>
  <c r="BF127" i="3"/>
  <c r="AL130" i="3"/>
  <c r="AH238" i="3"/>
  <c r="AH157" i="3"/>
  <c r="Z156" i="3"/>
  <c r="Z128" i="3" s="1"/>
  <c r="Z129" i="3"/>
  <c r="Z155" i="3"/>
  <c r="Z127" i="3"/>
  <c r="R270" i="3"/>
  <c r="R253" i="3"/>
  <c r="R245" i="3"/>
  <c r="DH108" i="3"/>
  <c r="CN108" i="3"/>
  <c r="DF109" i="3"/>
  <c r="DF108" i="3"/>
  <c r="CP108" i="3"/>
  <c r="CP109" i="3"/>
  <c r="BZ108" i="3"/>
  <c r="BZ109" i="3"/>
  <c r="BF108" i="3"/>
  <c r="BF109" i="3"/>
  <c r="DX142" i="3"/>
  <c r="CI14" i="41" s="1"/>
  <c r="DX156" i="3"/>
  <c r="DX128" i="3" s="1"/>
  <c r="DX127" i="3"/>
  <c r="DH142" i="3"/>
  <c r="BS14" i="41" s="1"/>
  <c r="DL126" i="3"/>
  <c r="DH156" i="3"/>
  <c r="DH128" i="3" s="1"/>
  <c r="DH155" i="3"/>
  <c r="DH129" i="3"/>
  <c r="DH127" i="3"/>
  <c r="CR126" i="3"/>
  <c r="CN156" i="3"/>
  <c r="CN128" i="3" s="1"/>
  <c r="CN155" i="3"/>
  <c r="CN142" i="3"/>
  <c r="AY14" i="41" s="1"/>
  <c r="CN129" i="3"/>
  <c r="CN127" i="3"/>
  <c r="BX126" i="3"/>
  <c r="BT142" i="3"/>
  <c r="BT156" i="3"/>
  <c r="BT128" i="3" s="1"/>
  <c r="BT155" i="3"/>
  <c r="BT129" i="3"/>
  <c r="BT127" i="3"/>
  <c r="Y130" i="3"/>
  <c r="BX124" i="3"/>
  <c r="BT109" i="3"/>
  <c r="DO155" i="3"/>
  <c r="DO142" i="3"/>
  <c r="BZ14" i="41" s="1"/>
  <c r="DO129" i="3"/>
  <c r="DT136" i="3" s="1"/>
  <c r="DO156" i="3"/>
  <c r="DO128" i="3" s="1"/>
  <c r="DO127" i="3"/>
  <c r="CS109" i="3"/>
  <c r="BK155" i="3"/>
  <c r="BK156" i="3"/>
  <c r="BK128" i="3" s="1"/>
  <c r="BK127" i="3"/>
  <c r="BK129" i="3"/>
  <c r="EI68" i="3"/>
  <c r="EI67" i="3"/>
  <c r="DC67" i="3"/>
  <c r="DC68" i="3"/>
  <c r="BZ68" i="3"/>
  <c r="BZ67" i="3"/>
  <c r="DN148" i="3"/>
  <c r="DN43" i="3"/>
  <c r="DN44" i="3"/>
  <c r="CT148" i="3"/>
  <c r="CT43" i="3"/>
  <c r="CT44" i="3"/>
  <c r="BZ148" i="3"/>
  <c r="BZ43" i="3"/>
  <c r="BZ44" i="3"/>
  <c r="DS212" i="3"/>
  <c r="DS213" i="3"/>
  <c r="DC173" i="3"/>
  <c r="DC172" i="3"/>
  <c r="CY212" i="3"/>
  <c r="CY213" i="3"/>
  <c r="CU172" i="3"/>
  <c r="CU173" i="3"/>
  <c r="CQ213" i="3"/>
  <c r="CQ212" i="3"/>
  <c r="CA212" i="3"/>
  <c r="CA213" i="3"/>
  <c r="BK396" i="3"/>
  <c r="BK395" i="3"/>
  <c r="BK394" i="3"/>
  <c r="BK393" i="3"/>
  <c r="BK391" i="3"/>
  <c r="BK389" i="3"/>
  <c r="BK390" i="3"/>
  <c r="BK387" i="3"/>
  <c r="BK388" i="3"/>
  <c r="BK211" i="3"/>
  <c r="BP212" i="3" s="1"/>
  <c r="BK204" i="3"/>
  <c r="BP205" i="3" s="1"/>
  <c r="BK202" i="3"/>
  <c r="BP203" i="3" s="1"/>
  <c r="BK171" i="3"/>
  <c r="BP172" i="3" s="1"/>
  <c r="BK24" i="3"/>
  <c r="BK40" i="3"/>
  <c r="BK42" i="3"/>
  <c r="BP43" i="3" s="1"/>
  <c r="BK26" i="3"/>
  <c r="BC206" i="3"/>
  <c r="BC205" i="3"/>
  <c r="AY204" i="3"/>
  <c r="AY211" i="3"/>
  <c r="AY171" i="3"/>
  <c r="AU25" i="3"/>
  <c r="AY40" i="3"/>
  <c r="AY26" i="3"/>
  <c r="AQ130" i="3"/>
  <c r="AM206" i="3"/>
  <c r="AM205" i="3"/>
  <c r="AE211" i="3"/>
  <c r="AE204" i="3"/>
  <c r="AA25" i="3"/>
  <c r="AE40" i="3"/>
  <c r="AE26" i="3"/>
  <c r="W206" i="3"/>
  <c r="W205" i="3"/>
  <c r="AY395" i="3"/>
  <c r="DV36" i="3"/>
  <c r="DT29" i="3"/>
  <c r="DD109" i="3"/>
  <c r="EC142" i="3"/>
  <c r="CN14" i="41" s="1"/>
  <c r="EC127" i="3"/>
  <c r="EC156" i="3"/>
  <c r="EC128" i="3" s="1"/>
  <c r="CJ67" i="3"/>
  <c r="EH68" i="3"/>
  <c r="EH67" i="3"/>
  <c r="DD68" i="3"/>
  <c r="CF68" i="3"/>
  <c r="DE148" i="3"/>
  <c r="DE44" i="3"/>
  <c r="DE43" i="3"/>
  <c r="CK148" i="3"/>
  <c r="CK44" i="3"/>
  <c r="CK43" i="3"/>
  <c r="DC27" i="3"/>
  <c r="DA27" i="3"/>
  <c r="DR213" i="3"/>
  <c r="DR212" i="3"/>
  <c r="DN206" i="3"/>
  <c r="DN205" i="3"/>
  <c r="DJ213" i="3"/>
  <c r="DJ212" i="3"/>
  <c r="DF206" i="3"/>
  <c r="DF205" i="3"/>
  <c r="CX173" i="3"/>
  <c r="CX172" i="3"/>
  <c r="CP172" i="3"/>
  <c r="CP173" i="3"/>
  <c r="CD206" i="3"/>
  <c r="CD205" i="3"/>
  <c r="BV206" i="3"/>
  <c r="BV205" i="3"/>
  <c r="BN23" i="3"/>
  <c r="BN392" i="3" s="1"/>
  <c r="BB172" i="3"/>
  <c r="BB173" i="3"/>
  <c r="AT211" i="3"/>
  <c r="AT204" i="3"/>
  <c r="AT171" i="3"/>
  <c r="AT26" i="3"/>
  <c r="AT40" i="3"/>
  <c r="AL206" i="3"/>
  <c r="AL205" i="3"/>
  <c r="AD206" i="3"/>
  <c r="AD205" i="3"/>
  <c r="V213" i="3"/>
  <c r="V212" i="3"/>
  <c r="CH395" i="3"/>
  <c r="AY394" i="3"/>
  <c r="DB388" i="3"/>
  <c r="CR124" i="3"/>
  <c r="CH391" i="3"/>
  <c r="EF30" i="3"/>
  <c r="BK392" i="3"/>
  <c r="CC124" i="3"/>
  <c r="CU155" i="3"/>
  <c r="CU142" i="3"/>
  <c r="BF14" i="41" s="1"/>
  <c r="CU129" i="3"/>
  <c r="CU156" i="3"/>
  <c r="CU128" i="3" s="1"/>
  <c r="CU127" i="3"/>
  <c r="CE155" i="3"/>
  <c r="CE142" i="3"/>
  <c r="AP14" i="41" s="1"/>
  <c r="CE129" i="3"/>
  <c r="CE156" i="3"/>
  <c r="CE127" i="3"/>
  <c r="BM156" i="3"/>
  <c r="BM128" i="3" s="1"/>
  <c r="BM155" i="3"/>
  <c r="BM129" i="3"/>
  <c r="BM127" i="3"/>
  <c r="BH238" i="3"/>
  <c r="BH76" i="3"/>
  <c r="BH119" i="3"/>
  <c r="BH62" i="3"/>
  <c r="CM98" i="3"/>
  <c r="CY68" i="3"/>
  <c r="CY67" i="3"/>
  <c r="BW67" i="3"/>
  <c r="BW68" i="3"/>
  <c r="BB67" i="3"/>
  <c r="BB68" i="3"/>
  <c r="EB68" i="3"/>
  <c r="EB67" i="3"/>
  <c r="DV187" i="3"/>
  <c r="CH187" i="3"/>
  <c r="DP148" i="3"/>
  <c r="DP43" i="3"/>
  <c r="CV148" i="3"/>
  <c r="CV43" i="3"/>
  <c r="CV44" i="3"/>
  <c r="CB148" i="3"/>
  <c r="CB43" i="3"/>
  <c r="CB44" i="3"/>
  <c r="AS25" i="3"/>
  <c r="DU205" i="3"/>
  <c r="DM205" i="3"/>
  <c r="DM206" i="3"/>
  <c r="DE213" i="3"/>
  <c r="DE212" i="3"/>
  <c r="DA172" i="3"/>
  <c r="DA173" i="3"/>
  <c r="CS205" i="3"/>
  <c r="CS206" i="3"/>
  <c r="CK213" i="3"/>
  <c r="CK212" i="3"/>
  <c r="BY173" i="3"/>
  <c r="BY172" i="3"/>
  <c r="BY213" i="3"/>
  <c r="BY212" i="3"/>
  <c r="BU205" i="3"/>
  <c r="BU206" i="3"/>
  <c r="BA205" i="3"/>
  <c r="BA206" i="3"/>
  <c r="AK205" i="3"/>
  <c r="AK206" i="3"/>
  <c r="AC213" i="3"/>
  <c r="AC212" i="3"/>
  <c r="U211" i="3"/>
  <c r="U204" i="3"/>
  <c r="U26" i="3"/>
  <c r="CM396" i="3"/>
  <c r="DB394" i="3"/>
  <c r="DQ393" i="3"/>
  <c r="DQ36" i="3"/>
  <c r="CM390" i="3"/>
  <c r="AO124" i="3"/>
  <c r="CL156" i="3"/>
  <c r="CL128" i="3" s="1"/>
  <c r="CL155" i="3"/>
  <c r="CL142" i="3"/>
  <c r="AW14" i="41" s="1"/>
  <c r="CL127" i="3"/>
  <c r="CL129" i="3"/>
  <c r="AU155" i="3"/>
  <c r="AU156" i="3"/>
  <c r="AZ157" i="3" s="1"/>
  <c r="AU127" i="3"/>
  <c r="AU129" i="3"/>
  <c r="AU130" i="3" s="1"/>
  <c r="AY126" i="3"/>
  <c r="BS84" i="3"/>
  <c r="BI81" i="3"/>
  <c r="DT67" i="3"/>
  <c r="CA68" i="3"/>
  <c r="CA67" i="3"/>
  <c r="BF68" i="3"/>
  <c r="BF67" i="3"/>
  <c r="EA61" i="3"/>
  <c r="EA66" i="3"/>
  <c r="DK148" i="3"/>
  <c r="DK44" i="3"/>
  <c r="DK43" i="3"/>
  <c r="CU148" i="3"/>
  <c r="CU43" i="3"/>
  <c r="CU44" i="3"/>
  <c r="CA148" i="3"/>
  <c r="CA43" i="3"/>
  <c r="CA44" i="3"/>
  <c r="AI27" i="3"/>
  <c r="DT396" i="3"/>
  <c r="DT391" i="3"/>
  <c r="DT390" i="3"/>
  <c r="DT389" i="3"/>
  <c r="DT388" i="3"/>
  <c r="DT394" i="3"/>
  <c r="DT392" i="3"/>
  <c r="DT387" i="3"/>
  <c r="DT395" i="3"/>
  <c r="DT204" i="3"/>
  <c r="DT211" i="3"/>
  <c r="DU213" i="3" s="1"/>
  <c r="DT171" i="3"/>
  <c r="DT40" i="3"/>
  <c r="DT42" i="3"/>
  <c r="DU44" i="3" s="1"/>
  <c r="DT26" i="3"/>
  <c r="DT27" i="3" s="1"/>
  <c r="DT24" i="3"/>
  <c r="DP205" i="3"/>
  <c r="DL171" i="3"/>
  <c r="DL40" i="3"/>
  <c r="DL54" i="3" s="1"/>
  <c r="DH25" i="3"/>
  <c r="DL42" i="3"/>
  <c r="DL26" i="3"/>
  <c r="DK25" i="3"/>
  <c r="DH205" i="3"/>
  <c r="DH206" i="3"/>
  <c r="DD226" i="3"/>
  <c r="CV213" i="3"/>
  <c r="CV212" i="3"/>
  <c r="CN213" i="3"/>
  <c r="CN212" i="3"/>
  <c r="CJ205" i="3"/>
  <c r="CJ206" i="3"/>
  <c r="CF206" i="3"/>
  <c r="CF205" i="3"/>
  <c r="CB172" i="3"/>
  <c r="CB173" i="3"/>
  <c r="CB226" i="3"/>
  <c r="BT173" i="3"/>
  <c r="BT172" i="3"/>
  <c r="BT226" i="3"/>
  <c r="BD225" i="3"/>
  <c r="BD204" i="3"/>
  <c r="BD202" i="3"/>
  <c r="BD211" i="3"/>
  <c r="BD171" i="3"/>
  <c r="BD40" i="3"/>
  <c r="AZ25" i="3"/>
  <c r="BD26" i="3"/>
  <c r="BC25" i="3"/>
  <c r="AZ226" i="3"/>
  <c r="AV212" i="3"/>
  <c r="AV213" i="3"/>
  <c r="AR212" i="3"/>
  <c r="AR213" i="3"/>
  <c r="AN206" i="3"/>
  <c r="AN205" i="3"/>
  <c r="AF205" i="3"/>
  <c r="AF206" i="3"/>
  <c r="AB226" i="3"/>
  <c r="T213" i="3"/>
  <c r="CH396" i="3"/>
  <c r="CR395" i="3"/>
  <c r="EC37" i="3"/>
  <c r="EC23" i="3"/>
  <c r="DL393" i="3"/>
  <c r="CH393" i="3"/>
  <c r="BX393" i="3"/>
  <c r="BD393" i="3"/>
  <c r="BH109" i="3"/>
  <c r="BH108" i="3"/>
  <c r="AD25" i="3"/>
  <c r="CB68" i="3"/>
  <c r="AW25" i="3"/>
  <c r="BY68" i="3"/>
  <c r="CK25" i="3"/>
  <c r="DD67" i="3"/>
  <c r="DS27" i="3"/>
  <c r="ED315" i="3"/>
  <c r="EE353" i="3"/>
  <c r="EE348" i="3"/>
  <c r="EE349" i="3" s="1"/>
  <c r="ED399" i="3"/>
  <c r="ED323" i="3"/>
  <c r="ED327" i="3" s="1"/>
  <c r="EE320" i="3"/>
  <c r="DY315" i="3"/>
  <c r="DZ311" i="3"/>
  <c r="EE328" i="3"/>
  <c r="BN287" i="3"/>
  <c r="DX241" i="3"/>
  <c r="CJ241" i="3"/>
  <c r="BD241" i="3"/>
  <c r="X241" i="3"/>
  <c r="DC228" i="3"/>
  <c r="DC229" i="3"/>
  <c r="CI228" i="3"/>
  <c r="CI229" i="3"/>
  <c r="AI228" i="3"/>
  <c r="AI229" i="3"/>
  <c r="CX228" i="3"/>
  <c r="CX229" i="3"/>
  <c r="CD228" i="3"/>
  <c r="CD229" i="3"/>
  <c r="AD228" i="3"/>
  <c r="AD229" i="3"/>
  <c r="EB241" i="3"/>
  <c r="CF241" i="3"/>
  <c r="AR241" i="3"/>
  <c r="S229" i="3"/>
  <c r="DI229" i="3"/>
  <c r="DI228" i="3"/>
  <c r="CO229" i="3"/>
  <c r="CO228" i="3"/>
  <c r="BU229" i="3"/>
  <c r="BU228" i="3"/>
  <c r="BA229" i="3"/>
  <c r="BA228" i="3"/>
  <c r="AK229" i="3"/>
  <c r="AK228" i="3"/>
  <c r="DK226" i="3"/>
  <c r="CQ226" i="3"/>
  <c r="BW226" i="3"/>
  <c r="BC226" i="3"/>
  <c r="AM226" i="3"/>
  <c r="BI240" i="3"/>
  <c r="BI224" i="3"/>
  <c r="BI194" i="3"/>
  <c r="BI218" i="3"/>
  <c r="BI201" i="3"/>
  <c r="BI179" i="3"/>
  <c r="DD229" i="3"/>
  <c r="DD228" i="3"/>
  <c r="CJ229" i="3"/>
  <c r="CJ228" i="3"/>
  <c r="CM240" i="3"/>
  <c r="CM224" i="3"/>
  <c r="CM227" i="3"/>
  <c r="CM225" i="3"/>
  <c r="CM194" i="3"/>
  <c r="CM161" i="3"/>
  <c r="DS226" i="3"/>
  <c r="DH229" i="3"/>
  <c r="DH228" i="3"/>
  <c r="CN229" i="3"/>
  <c r="CN228" i="3"/>
  <c r="BT229" i="3"/>
  <c r="BT228" i="3"/>
  <c r="EA198" i="3"/>
  <c r="DR349" i="3"/>
  <c r="DR241" i="3"/>
  <c r="CV229" i="3"/>
  <c r="CV228" i="3"/>
  <c r="AN229" i="3"/>
  <c r="AN228" i="3"/>
  <c r="X229" i="3"/>
  <c r="X228" i="3"/>
  <c r="CZ229" i="3"/>
  <c r="CZ228" i="3"/>
  <c r="BQ241" i="3"/>
  <c r="CR227" i="3"/>
  <c r="CR240" i="3"/>
  <c r="CR225" i="3"/>
  <c r="CR224" i="3"/>
  <c r="CR194" i="3"/>
  <c r="CC210" i="3"/>
  <c r="EA178" i="3"/>
  <c r="DV178" i="3"/>
  <c r="DQ174" i="3"/>
  <c r="FP138" i="3"/>
  <c r="FQ138" i="3"/>
  <c r="DC175" i="3"/>
  <c r="DC176" i="3"/>
  <c r="DV165" i="3"/>
  <c r="DR166" i="3"/>
  <c r="CC161" i="3"/>
  <c r="DJ176" i="3"/>
  <c r="DJ175" i="3"/>
  <c r="AO156" i="3"/>
  <c r="AO155" i="3"/>
  <c r="AO129" i="3"/>
  <c r="AO127" i="3"/>
  <c r="AG238" i="3"/>
  <c r="AG157" i="3"/>
  <c r="Y238" i="3"/>
  <c r="Y157" i="3"/>
  <c r="DM109" i="3"/>
  <c r="DM108" i="3"/>
  <c r="BE109" i="3"/>
  <c r="BE108" i="3"/>
  <c r="EA102" i="3"/>
  <c r="DD176" i="3"/>
  <c r="DA127" i="3"/>
  <c r="DA156" i="3"/>
  <c r="DA128" i="3" s="1"/>
  <c r="DA155" i="3"/>
  <c r="DA142" i="3"/>
  <c r="BL14" i="41" s="1"/>
  <c r="DA129" i="3"/>
  <c r="BU142" i="3"/>
  <c r="BU127" i="3"/>
  <c r="BU156" i="3"/>
  <c r="BU128" i="3" s="1"/>
  <c r="BU155" i="3"/>
  <c r="BU129" i="3"/>
  <c r="T251" i="3"/>
  <c r="DV102" i="3"/>
  <c r="DV107" i="3"/>
  <c r="FV129" i="3"/>
  <c r="FU127" i="3" s="1"/>
  <c r="DE127" i="3"/>
  <c r="DE156" i="3"/>
  <c r="DE128" i="3" s="1"/>
  <c r="DE155" i="3"/>
  <c r="DE142" i="3"/>
  <c r="BP14" i="41" s="1"/>
  <c r="DE129" i="3"/>
  <c r="W238" i="3"/>
  <c r="W157" i="3"/>
  <c r="CY108" i="3"/>
  <c r="CY109" i="3"/>
  <c r="CE108" i="3"/>
  <c r="CE109" i="3"/>
  <c r="BG108" i="3"/>
  <c r="BG109" i="3"/>
  <c r="DY142" i="3"/>
  <c r="CJ14" i="41" s="1"/>
  <c r="DY127" i="3"/>
  <c r="DY156" i="3"/>
  <c r="DY128" i="3" s="1"/>
  <c r="DC155" i="3"/>
  <c r="DC129" i="3"/>
  <c r="DC142" i="3"/>
  <c r="BN14" i="41" s="1"/>
  <c r="DC156" i="3"/>
  <c r="DC128" i="3" s="1"/>
  <c r="DG126" i="3"/>
  <c r="DC127" i="3"/>
  <c r="BB156" i="3"/>
  <c r="BB128" i="3" s="1"/>
  <c r="BB129" i="3"/>
  <c r="BB155" i="3"/>
  <c r="BB127" i="3"/>
  <c r="AL238" i="3"/>
  <c r="AL157" i="3"/>
  <c r="AL103" i="3"/>
  <c r="AL119" i="3"/>
  <c r="AL76" i="3"/>
  <c r="DD108" i="3"/>
  <c r="CJ108" i="3"/>
  <c r="BP108" i="3"/>
  <c r="DR109" i="3"/>
  <c r="DR108" i="3"/>
  <c r="CL109" i="3"/>
  <c r="CL108" i="3"/>
  <c r="BV108" i="3"/>
  <c r="BV109" i="3"/>
  <c r="BB108" i="3"/>
  <c r="BB109" i="3"/>
  <c r="DT142" i="3"/>
  <c r="CE14" i="41" s="1"/>
  <c r="DT156" i="3"/>
  <c r="DT128" i="3" s="1"/>
  <c r="DT129" i="3"/>
  <c r="DT127" i="3"/>
  <c r="DD142" i="3"/>
  <c r="BO14" i="41" s="1"/>
  <c r="DD156" i="3"/>
  <c r="DD128" i="3" s="1"/>
  <c r="DD155" i="3"/>
  <c r="DD129" i="3"/>
  <c r="DD127" i="3"/>
  <c r="CJ156" i="3"/>
  <c r="CJ128" i="3" s="1"/>
  <c r="CJ155" i="3"/>
  <c r="CJ142" i="3"/>
  <c r="AU14" i="41" s="1"/>
  <c r="CJ129" i="3"/>
  <c r="CJ127" i="3"/>
  <c r="CG127" i="3"/>
  <c r="CG156" i="3"/>
  <c r="CG128" i="3" s="1"/>
  <c r="CG155" i="3"/>
  <c r="CG142" i="3"/>
  <c r="AR14" i="41" s="1"/>
  <c r="CG129" i="3"/>
  <c r="CU68" i="3"/>
  <c r="CU67" i="3"/>
  <c r="BO67" i="3"/>
  <c r="BO68" i="3"/>
  <c r="DJ148" i="3"/>
  <c r="DJ44" i="3"/>
  <c r="DJ43" i="3"/>
  <c r="CP148" i="3"/>
  <c r="CP44" i="3"/>
  <c r="CP43" i="3"/>
  <c r="BV148" i="3"/>
  <c r="BV44" i="3"/>
  <c r="BV43" i="3"/>
  <c r="BC27" i="3"/>
  <c r="BB27" i="3"/>
  <c r="DK172" i="3"/>
  <c r="DK173" i="3"/>
  <c r="DC212" i="3"/>
  <c r="DC213" i="3"/>
  <c r="CU212" i="3"/>
  <c r="CU213" i="3"/>
  <c r="CI172" i="3"/>
  <c r="CE212" i="3"/>
  <c r="CE213" i="3"/>
  <c r="CA172" i="3"/>
  <c r="CA173" i="3"/>
  <c r="BW213" i="3"/>
  <c r="BW212" i="3"/>
  <c r="BS204" i="3"/>
  <c r="BS202" i="3"/>
  <c r="BS171" i="3"/>
  <c r="BO25" i="3"/>
  <c r="BS42" i="3"/>
  <c r="BS26" i="3"/>
  <c r="BG396" i="3"/>
  <c r="BG395" i="3"/>
  <c r="BG394" i="3"/>
  <c r="BG389" i="3"/>
  <c r="BG387" i="3"/>
  <c r="BG391" i="3"/>
  <c r="BG388" i="3"/>
  <c r="BG390" i="3"/>
  <c r="BG393" i="3"/>
  <c r="BG204" i="3"/>
  <c r="BG211" i="3"/>
  <c r="BG202" i="3"/>
  <c r="BG203" i="3" s="1"/>
  <c r="BG171" i="3"/>
  <c r="BG40" i="3"/>
  <c r="BG26" i="3"/>
  <c r="BG24" i="3"/>
  <c r="BC213" i="3"/>
  <c r="BC212" i="3"/>
  <c r="AU173" i="3"/>
  <c r="AU172" i="3"/>
  <c r="AM212" i="3"/>
  <c r="AM213" i="3"/>
  <c r="AA130" i="3"/>
  <c r="W212" i="3"/>
  <c r="W213" i="3"/>
  <c r="DG395" i="3"/>
  <c r="DG392" i="3"/>
  <c r="BS392" i="3"/>
  <c r="BI35" i="3"/>
  <c r="AY392" i="3"/>
  <c r="CJ109" i="3"/>
  <c r="DS109" i="3"/>
  <c r="BE156" i="3"/>
  <c r="BE128" i="3" s="1"/>
  <c r="BE155" i="3"/>
  <c r="BI126" i="3"/>
  <c r="BE129" i="3"/>
  <c r="BE127" i="3"/>
  <c r="DZ67" i="3"/>
  <c r="DZ68" i="3"/>
  <c r="EC68" i="3"/>
  <c r="EC67" i="3"/>
  <c r="DZ57" i="3"/>
  <c r="DZ56" i="3"/>
  <c r="DU148" i="3"/>
  <c r="DU43" i="3"/>
  <c r="DA148" i="3"/>
  <c r="DA44" i="3"/>
  <c r="DA43" i="3"/>
  <c r="BY148" i="3"/>
  <c r="BY44" i="3"/>
  <c r="BY43" i="3"/>
  <c r="AU27" i="3"/>
  <c r="AS27" i="3"/>
  <c r="DV23" i="3"/>
  <c r="DN173" i="3"/>
  <c r="DN172" i="3"/>
  <c r="DF172" i="3"/>
  <c r="DF173" i="3"/>
  <c r="DB171" i="3"/>
  <c r="DB204" i="3"/>
  <c r="DB205" i="3" s="1"/>
  <c r="DB42" i="3"/>
  <c r="DB26" i="3"/>
  <c r="DB40" i="3"/>
  <c r="CX213" i="3"/>
  <c r="CX212" i="3"/>
  <c r="CT206" i="3"/>
  <c r="CT205" i="3"/>
  <c r="CP212" i="3"/>
  <c r="CP213" i="3"/>
  <c r="CL206" i="3"/>
  <c r="CD173" i="3"/>
  <c r="CD172" i="3"/>
  <c r="BZ212" i="3"/>
  <c r="BZ213" i="3"/>
  <c r="BV173" i="3"/>
  <c r="BV172" i="3"/>
  <c r="BR213" i="3"/>
  <c r="BJ396" i="3"/>
  <c r="BJ393" i="3"/>
  <c r="BJ395" i="3"/>
  <c r="BJ394" i="3"/>
  <c r="BJ388" i="3"/>
  <c r="BJ391" i="3"/>
  <c r="BJ390" i="3"/>
  <c r="BJ387" i="3"/>
  <c r="BJ389" i="3"/>
  <c r="BJ211" i="3"/>
  <c r="BJ202" i="3"/>
  <c r="BO203" i="3" s="1"/>
  <c r="BJ171" i="3"/>
  <c r="BO172" i="3" s="1"/>
  <c r="BJ204" i="3"/>
  <c r="BO205" i="3" s="1"/>
  <c r="BJ42" i="3"/>
  <c r="BJ148" i="3" s="1"/>
  <c r="BJ26" i="3"/>
  <c r="BJ24" i="3"/>
  <c r="BJ40" i="3"/>
  <c r="AX206" i="3"/>
  <c r="AX205" i="3"/>
  <c r="AL212" i="3"/>
  <c r="AL213" i="3"/>
  <c r="AD213" i="3"/>
  <c r="AD212" i="3"/>
  <c r="DG394" i="3"/>
  <c r="DG391" i="3"/>
  <c r="CH388" i="3"/>
  <c r="CZ109" i="3"/>
  <c r="DW142" i="3"/>
  <c r="CH14" i="41" s="1"/>
  <c r="DW156" i="3"/>
  <c r="DW127" i="3"/>
  <c r="EA126" i="3"/>
  <c r="EA155" i="3" s="1"/>
  <c r="CQ155" i="3"/>
  <c r="CQ129" i="3"/>
  <c r="CQ156" i="3"/>
  <c r="CQ128" i="3" s="1"/>
  <c r="CQ127" i="3"/>
  <c r="EE67" i="3"/>
  <c r="EE68" i="3"/>
  <c r="CQ67" i="3"/>
  <c r="CQ68" i="3"/>
  <c r="BR67" i="3"/>
  <c r="BR68" i="3"/>
  <c r="DX68" i="3"/>
  <c r="DX67" i="3"/>
  <c r="ED56" i="3"/>
  <c r="ED57" i="3"/>
  <c r="DV55" i="3"/>
  <c r="DV46" i="3"/>
  <c r="DH148" i="3"/>
  <c r="DH44" i="3"/>
  <c r="DH43" i="3"/>
  <c r="CN148" i="3"/>
  <c r="CN44" i="3"/>
  <c r="CN43" i="3"/>
  <c r="BT148" i="3"/>
  <c r="BT44" i="3"/>
  <c r="BT43" i="3"/>
  <c r="DH27" i="3"/>
  <c r="CN27" i="3"/>
  <c r="BT27" i="3"/>
  <c r="DQ171" i="3"/>
  <c r="DQ40" i="3"/>
  <c r="DQ54" i="3" s="1"/>
  <c r="DQ26" i="3"/>
  <c r="DP25" i="3"/>
  <c r="DI213" i="3"/>
  <c r="DI212" i="3"/>
  <c r="DE173" i="3"/>
  <c r="DE172" i="3"/>
  <c r="DA206" i="3"/>
  <c r="DA205" i="3"/>
  <c r="CO212" i="3"/>
  <c r="CO213" i="3"/>
  <c r="CK173" i="3"/>
  <c r="CK172" i="3"/>
  <c r="BY205" i="3"/>
  <c r="BY206" i="3"/>
  <c r="BM396" i="3"/>
  <c r="BM395" i="3"/>
  <c r="BM394" i="3"/>
  <c r="BM393" i="3"/>
  <c r="BM391" i="3"/>
  <c r="BM387" i="3"/>
  <c r="BM389" i="3"/>
  <c r="BM390" i="3"/>
  <c r="BM388" i="3"/>
  <c r="BM211" i="3"/>
  <c r="BR212" i="3" s="1"/>
  <c r="BM225" i="3"/>
  <c r="BM202" i="3"/>
  <c r="BM204" i="3"/>
  <c r="BR205" i="3" s="1"/>
  <c r="BM171" i="3"/>
  <c r="BO173" i="3" s="1"/>
  <c r="BM40" i="3"/>
  <c r="BM42" i="3"/>
  <c r="BR43" i="3" s="1"/>
  <c r="BM26" i="3"/>
  <c r="BO24" i="3"/>
  <c r="BM24" i="3"/>
  <c r="AW213" i="3"/>
  <c r="AW212" i="3"/>
  <c r="AS213" i="3"/>
  <c r="AS212" i="3"/>
  <c r="AG213" i="3"/>
  <c r="AG212" i="3"/>
  <c r="Y206" i="3"/>
  <c r="Y205" i="3"/>
  <c r="BS396" i="3"/>
  <c r="DQ395" i="3"/>
  <c r="CH394" i="3"/>
  <c r="DQ389" i="3"/>
  <c r="DG390" i="3"/>
  <c r="DB387" i="3"/>
  <c r="CH387" i="3"/>
  <c r="BS90" i="3"/>
  <c r="AY387" i="3"/>
  <c r="AV109" i="3"/>
  <c r="BG155" i="3"/>
  <c r="BG156" i="3"/>
  <c r="BG128" i="3" s="1"/>
  <c r="BG127" i="3"/>
  <c r="BG129" i="3"/>
  <c r="CC98" i="3"/>
  <c r="CC81" i="3"/>
  <c r="BS81" i="3"/>
  <c r="CV67" i="3"/>
  <c r="DF67" i="3"/>
  <c r="DF68" i="3"/>
  <c r="BV67" i="3"/>
  <c r="BV68" i="3"/>
  <c r="BA68" i="3"/>
  <c r="BA67" i="3"/>
  <c r="EH57" i="3"/>
  <c r="EH56" i="3"/>
  <c r="DG42" i="3"/>
  <c r="CQ148" i="3"/>
  <c r="CQ44" i="3"/>
  <c r="CQ43" i="3"/>
  <c r="BW148" i="3"/>
  <c r="BW44" i="3"/>
  <c r="BW43" i="3"/>
  <c r="AA27" i="3"/>
  <c r="CF25" i="3"/>
  <c r="DP172" i="3"/>
  <c r="DP226" i="3"/>
  <c r="DH173" i="3"/>
  <c r="DH172" i="3"/>
  <c r="DH226" i="3"/>
  <c r="DD173" i="3"/>
  <c r="DD172" i="3"/>
  <c r="CZ212" i="3"/>
  <c r="CZ213" i="3"/>
  <c r="CV206" i="3"/>
  <c r="CV205" i="3"/>
  <c r="CR204" i="3"/>
  <c r="CR171" i="3"/>
  <c r="CR40" i="3"/>
  <c r="CN25" i="3"/>
  <c r="CR42" i="3"/>
  <c r="CR26" i="3"/>
  <c r="CQ25" i="3"/>
  <c r="CN205" i="3"/>
  <c r="CN206" i="3"/>
  <c r="CJ173" i="3"/>
  <c r="CJ172" i="3"/>
  <c r="CJ226" i="3"/>
  <c r="CF172" i="3"/>
  <c r="CF173" i="3"/>
  <c r="CF226" i="3"/>
  <c r="CB213" i="3"/>
  <c r="CB212" i="3"/>
  <c r="BT213" i="3"/>
  <c r="BT212" i="3"/>
  <c r="BP213" i="3"/>
  <c r="AZ173" i="3"/>
  <c r="AZ172" i="3"/>
  <c r="AV205" i="3"/>
  <c r="AV206" i="3"/>
  <c r="AR206" i="3"/>
  <c r="AR205" i="3"/>
  <c r="AN226" i="3"/>
  <c r="AF226" i="3"/>
  <c r="X212" i="3"/>
  <c r="X213" i="3"/>
  <c r="T206" i="3"/>
  <c r="DL389" i="3"/>
  <c r="DB389" i="3"/>
  <c r="CR389" i="3"/>
  <c r="EF124" i="3"/>
  <c r="DM68" i="3"/>
  <c r="BT68" i="3"/>
  <c r="AC25" i="3"/>
  <c r="EF16" i="3"/>
  <c r="EK37" i="3" s="1"/>
  <c r="BI23" i="3"/>
  <c r="BI392" i="3" s="1"/>
  <c r="CH56" i="3"/>
  <c r="FQ55" i="3"/>
  <c r="CY27" i="3"/>
  <c r="BC68" i="3"/>
  <c r="CU27" i="3"/>
  <c r="FQ23" i="3"/>
  <c r="CC40" i="3"/>
  <c r="DG367" i="3"/>
  <c r="ED316" i="3"/>
  <c r="EE316" i="3" s="1"/>
  <c r="EE317" i="3" s="1"/>
  <c r="EA308" i="3"/>
  <c r="DI402" i="3"/>
  <c r="DJ403" i="3"/>
  <c r="DP241" i="3"/>
  <c r="CB241" i="3"/>
  <c r="AV241" i="3"/>
  <c r="CY228" i="3"/>
  <c r="CY229" i="3"/>
  <c r="CE228" i="3"/>
  <c r="CE229" i="3"/>
  <c r="AU228" i="3"/>
  <c r="AU229" i="3"/>
  <c r="DN229" i="3"/>
  <c r="DN228" i="3"/>
  <c r="CT229" i="3"/>
  <c r="CT228" i="3"/>
  <c r="BZ229" i="3"/>
  <c r="BZ228" i="3"/>
  <c r="AP228" i="3"/>
  <c r="AP229" i="3"/>
  <c r="DD241" i="3"/>
  <c r="BP241" i="3"/>
  <c r="AJ241" i="3"/>
  <c r="DE229" i="3"/>
  <c r="DE228" i="3"/>
  <c r="CK229" i="3"/>
  <c r="CK228" i="3"/>
  <c r="BQ229" i="3"/>
  <c r="AW229" i="3"/>
  <c r="AW228" i="3"/>
  <c r="AG229" i="3"/>
  <c r="AG228" i="3"/>
  <c r="DC226" i="3"/>
  <c r="CI226" i="3"/>
  <c r="AI226" i="3"/>
  <c r="DQ240" i="3"/>
  <c r="DQ225" i="3"/>
  <c r="DQ218" i="3"/>
  <c r="DQ224" i="3"/>
  <c r="DQ227" i="3"/>
  <c r="DQ179" i="3"/>
  <c r="BU241" i="3"/>
  <c r="EA306" i="3"/>
  <c r="DZ304" i="3"/>
  <c r="CM218" i="3"/>
  <c r="EC241" i="3"/>
  <c r="DS228" i="3"/>
  <c r="DS229" i="3"/>
  <c r="DT241" i="3"/>
  <c r="EG241" i="3"/>
  <c r="BE241" i="3"/>
  <c r="AW241" i="3"/>
  <c r="AO241" i="3"/>
  <c r="AG241" i="3"/>
  <c r="Y241" i="3"/>
  <c r="DB240" i="3"/>
  <c r="DB225" i="3"/>
  <c r="DB224" i="3"/>
  <c r="DB227" i="3"/>
  <c r="DB179" i="3"/>
  <c r="DB194" i="3"/>
  <c r="BN240" i="3"/>
  <c r="BN224" i="3"/>
  <c r="BN201" i="3"/>
  <c r="BN179" i="3"/>
  <c r="BN194" i="3"/>
  <c r="DR228" i="3"/>
  <c r="DR229" i="3"/>
  <c r="DP228" i="3"/>
  <c r="CG241" i="3"/>
  <c r="BM241" i="3"/>
  <c r="AZ229" i="3"/>
  <c r="AZ228" i="3"/>
  <c r="CM210" i="3"/>
  <c r="CH210" i="3"/>
  <c r="DQ194" i="3"/>
  <c r="CK241" i="3"/>
  <c r="BX227" i="3"/>
  <c r="BX225" i="3"/>
  <c r="BX240" i="3"/>
  <c r="BX224" i="3"/>
  <c r="BX194" i="3"/>
  <c r="BX201" i="3"/>
  <c r="CW210" i="3"/>
  <c r="CW179" i="3"/>
  <c r="DH175" i="3"/>
  <c r="DH176" i="3"/>
  <c r="EA166" i="3"/>
  <c r="CR161" i="3"/>
  <c r="CR138" i="3"/>
  <c r="DN176" i="3"/>
  <c r="DN175" i="3"/>
  <c r="EB176" i="3"/>
  <c r="EB175" i="3"/>
  <c r="DO176" i="3"/>
  <c r="DO175" i="3"/>
  <c r="DG174" i="3"/>
  <c r="CH161" i="3"/>
  <c r="EA154" i="3"/>
  <c r="DB138" i="3"/>
  <c r="BI161" i="3"/>
  <c r="DQ138" i="3"/>
  <c r="EA138" i="3"/>
  <c r="U156" i="3"/>
  <c r="U238" i="3" s="1"/>
  <c r="U251" i="3" s="1"/>
  <c r="U155" i="3"/>
  <c r="U129" i="3"/>
  <c r="CG109" i="3"/>
  <c r="CG108" i="3"/>
  <c r="BA108" i="3"/>
  <c r="BA109" i="3"/>
  <c r="EF66" i="3"/>
  <c r="EF61" i="3"/>
  <c r="DU176" i="3"/>
  <c r="DU175" i="3"/>
  <c r="DP176" i="3"/>
  <c r="CP156" i="3"/>
  <c r="CP155" i="3"/>
  <c r="CP142" i="3"/>
  <c r="BA14" i="41" s="1"/>
  <c r="CP127" i="3"/>
  <c r="CP129" i="3"/>
  <c r="AF238" i="3"/>
  <c r="AF157" i="3"/>
  <c r="X238" i="3"/>
  <c r="X157" i="3"/>
  <c r="T128" i="3"/>
  <c r="DY175" i="3"/>
  <c r="DZ156" i="3"/>
  <c r="DZ128" i="3" s="1"/>
  <c r="DZ155" i="3"/>
  <c r="DZ142" i="3"/>
  <c r="CK14" i="41" s="1"/>
  <c r="DZ127" i="3"/>
  <c r="CT156" i="3"/>
  <c r="CT128" i="3" s="1"/>
  <c r="CT155" i="3"/>
  <c r="CT142" i="3"/>
  <c r="BE14" i="41" s="1"/>
  <c r="CT129" i="3"/>
  <c r="CT127" i="3"/>
  <c r="AQ128" i="3"/>
  <c r="W128" i="3"/>
  <c r="AM238" i="3"/>
  <c r="AM157" i="3"/>
  <c r="AM119" i="3"/>
  <c r="AM103" i="3"/>
  <c r="AM76" i="3"/>
  <c r="AE155" i="3"/>
  <c r="AE156" i="3"/>
  <c r="AE128" i="3" s="1"/>
  <c r="AE127" i="3"/>
  <c r="AE129" i="3"/>
  <c r="DO108" i="3"/>
  <c r="DO109" i="3"/>
  <c r="CU108" i="3"/>
  <c r="CU109" i="3"/>
  <c r="CA108" i="3"/>
  <c r="CA109" i="3"/>
  <c r="BC108" i="3"/>
  <c r="BC109" i="3"/>
  <c r="DS129" i="3"/>
  <c r="DS142" i="3"/>
  <c r="CD14" i="41" s="1"/>
  <c r="DS156" i="3"/>
  <c r="DS128" i="3" s="1"/>
  <c r="DS127" i="3"/>
  <c r="CX156" i="3"/>
  <c r="CX128" i="3" s="1"/>
  <c r="CX155" i="3"/>
  <c r="CX142" i="3"/>
  <c r="BI14" i="41" s="1"/>
  <c r="DB126" i="3"/>
  <c r="DB135" i="3" s="1"/>
  <c r="CX129" i="3"/>
  <c r="CX127" i="3"/>
  <c r="BR156" i="3"/>
  <c r="BR128" i="3" s="1"/>
  <c r="BR129" i="3"/>
  <c r="BR155" i="3"/>
  <c r="BR127" i="3"/>
  <c r="AX156" i="3"/>
  <c r="AX128" i="3" s="1"/>
  <c r="AX129" i="3"/>
  <c r="AX130" i="3" s="1"/>
  <c r="AX155" i="3"/>
  <c r="AX127" i="3"/>
  <c r="AP238" i="3"/>
  <c r="AP157" i="3"/>
  <c r="AP103" i="3"/>
  <c r="AP119" i="3"/>
  <c r="AP76" i="3"/>
  <c r="V130" i="3"/>
  <c r="CZ108" i="3"/>
  <c r="CF108" i="3"/>
  <c r="AZ108" i="3"/>
  <c r="DN108" i="3"/>
  <c r="DN109" i="3"/>
  <c r="CX109" i="3"/>
  <c r="CX108" i="3"/>
  <c r="BR109" i="3"/>
  <c r="BR108" i="3"/>
  <c r="AX109" i="3"/>
  <c r="AX108" i="3"/>
  <c r="EF102" i="3"/>
  <c r="DP156" i="3"/>
  <c r="DP128" i="3" s="1"/>
  <c r="DP155" i="3"/>
  <c r="DP142" i="3"/>
  <c r="CA14" i="41" s="1"/>
  <c r="DP129" i="3"/>
  <c r="DP127" i="3"/>
  <c r="CZ142" i="3"/>
  <c r="BK14" i="41" s="1"/>
  <c r="CZ156" i="3"/>
  <c r="CZ128" i="3" s="1"/>
  <c r="CZ155" i="3"/>
  <c r="CZ129" i="3"/>
  <c r="CZ127" i="3"/>
  <c r="CF156" i="3"/>
  <c r="CF128" i="3" s="1"/>
  <c r="CF155" i="3"/>
  <c r="CF142" i="3"/>
  <c r="AQ14" i="41" s="1"/>
  <c r="CF129" i="3"/>
  <c r="CF127" i="3"/>
  <c r="DH109" i="3"/>
  <c r="BP238" i="3"/>
  <c r="BP242" i="3" s="1"/>
  <c r="BP76" i="3"/>
  <c r="BP119" i="3"/>
  <c r="BP62" i="3"/>
  <c r="DG98" i="3"/>
  <c r="BJ67" i="3"/>
  <c r="BJ68" i="3"/>
  <c r="DF148" i="3"/>
  <c r="DF44" i="3"/>
  <c r="DF43" i="3"/>
  <c r="CL148" i="3"/>
  <c r="CL44" i="3"/>
  <c r="BR148" i="3"/>
  <c r="BR44" i="3"/>
  <c r="DK213" i="3"/>
  <c r="DK212" i="3"/>
  <c r="DG171" i="3"/>
  <c r="DC25" i="3"/>
  <c r="DG40" i="3"/>
  <c r="DG54" i="3" s="1"/>
  <c r="DG26" i="3"/>
  <c r="DC205" i="3"/>
  <c r="DC206" i="3"/>
  <c r="CY172" i="3"/>
  <c r="CY173" i="3"/>
  <c r="CU206" i="3"/>
  <c r="CU205" i="3"/>
  <c r="CQ172" i="3"/>
  <c r="CQ173" i="3"/>
  <c r="CI205" i="3"/>
  <c r="CE206" i="3"/>
  <c r="CE205" i="3"/>
  <c r="BW206" i="3"/>
  <c r="BW205" i="3"/>
  <c r="BC172" i="3"/>
  <c r="BC173" i="3"/>
  <c r="AU205" i="3"/>
  <c r="AU206" i="3"/>
  <c r="AQ212" i="3"/>
  <c r="AQ213" i="3"/>
  <c r="AI213" i="3"/>
  <c r="AI212" i="3"/>
  <c r="AA212" i="3"/>
  <c r="AA213" i="3"/>
  <c r="DG29" i="3"/>
  <c r="CW29" i="3"/>
  <c r="CM29" i="3"/>
  <c r="CC29" i="3"/>
  <c r="BS29" i="3"/>
  <c r="BI7" i="3"/>
  <c r="BI29" i="3" s="1"/>
  <c r="BL109" i="3"/>
  <c r="BL108" i="3"/>
  <c r="BP109" i="3"/>
  <c r="DS108" i="3"/>
  <c r="BA156" i="3"/>
  <c r="BA128" i="3" s="1"/>
  <c r="BA155" i="3"/>
  <c r="BA129" i="3"/>
  <c r="BA130" i="3" s="1"/>
  <c r="BA127" i="3"/>
  <c r="CW98" i="3"/>
  <c r="DH67" i="3"/>
  <c r="BT67" i="3"/>
  <c r="DY68" i="3"/>
  <c r="DY67" i="3"/>
  <c r="BP68" i="3"/>
  <c r="DM148" i="3"/>
  <c r="DM44" i="3"/>
  <c r="DM43" i="3"/>
  <c r="CS148" i="3"/>
  <c r="CS44" i="3"/>
  <c r="CS43" i="3"/>
  <c r="BU148" i="3"/>
  <c r="BU44" i="3"/>
  <c r="BU43" i="3"/>
  <c r="BP40" i="3"/>
  <c r="CX25" i="3"/>
  <c r="DN212" i="3"/>
  <c r="DN213" i="3"/>
  <c r="DJ206" i="3"/>
  <c r="DJ205" i="3"/>
  <c r="DF213" i="3"/>
  <c r="DF212" i="3"/>
  <c r="CT173" i="3"/>
  <c r="CT172" i="3"/>
  <c r="CL173" i="3"/>
  <c r="CH202" i="3"/>
  <c r="CH171" i="3"/>
  <c r="CH204" i="3"/>
  <c r="CH42" i="3"/>
  <c r="CH26" i="3"/>
  <c r="CH40" i="3"/>
  <c r="BZ206" i="3"/>
  <c r="BZ205" i="3"/>
  <c r="BR206" i="3"/>
  <c r="BF396" i="3"/>
  <c r="BF393" i="3"/>
  <c r="BF395" i="3"/>
  <c r="BF391" i="3"/>
  <c r="BF389" i="3"/>
  <c r="BF387" i="3"/>
  <c r="BF390" i="3"/>
  <c r="BF388" i="3"/>
  <c r="BF394" i="3"/>
  <c r="BF211" i="3"/>
  <c r="BF202" i="3"/>
  <c r="BF203" i="3" s="1"/>
  <c r="BF171" i="3"/>
  <c r="BF204" i="3"/>
  <c r="BF26" i="3"/>
  <c r="BF24" i="3"/>
  <c r="BF40" i="3"/>
  <c r="BB212" i="3"/>
  <c r="BB213" i="3"/>
  <c r="AX173" i="3"/>
  <c r="AX172" i="3"/>
  <c r="AP206" i="3"/>
  <c r="AP205" i="3"/>
  <c r="AH206" i="3"/>
  <c r="AH205" i="3"/>
  <c r="Z211" i="3"/>
  <c r="Z204" i="3"/>
  <c r="Z26" i="3"/>
  <c r="Z40" i="3"/>
  <c r="CM394" i="3"/>
  <c r="DT109" i="3"/>
  <c r="DT108" i="3"/>
  <c r="DG388" i="3"/>
  <c r="CM391" i="3"/>
  <c r="BS391" i="3"/>
  <c r="AY391" i="3"/>
  <c r="BD124" i="3"/>
  <c r="CF109" i="3"/>
  <c r="DR156" i="3"/>
  <c r="DR142" i="3"/>
  <c r="CC14" i="41" s="1"/>
  <c r="DR127" i="3"/>
  <c r="DR129" i="3"/>
  <c r="DV126" i="3"/>
  <c r="DV155" i="3" s="1"/>
  <c r="CM108" i="3"/>
  <c r="BV156" i="3"/>
  <c r="BV155" i="3"/>
  <c r="BV142" i="3"/>
  <c r="BV127" i="3"/>
  <c r="BV129" i="3"/>
  <c r="AV130" i="3"/>
  <c r="CS68" i="3"/>
  <c r="DW67" i="3"/>
  <c r="DW68" i="3"/>
  <c r="CI67" i="3"/>
  <c r="CI68" i="3"/>
  <c r="BM67" i="3"/>
  <c r="BM68" i="3"/>
  <c r="DG61" i="3"/>
  <c r="DG66" i="3"/>
  <c r="DG67" i="3" s="1"/>
  <c r="DD148" i="3"/>
  <c r="DD43" i="3"/>
  <c r="DD44" i="3"/>
  <c r="CJ148" i="3"/>
  <c r="CJ43" i="3"/>
  <c r="CJ44" i="3"/>
  <c r="BP148" i="3"/>
  <c r="BP44" i="3"/>
  <c r="DU212" i="3"/>
  <c r="DM213" i="3"/>
  <c r="DM212" i="3"/>
  <c r="DI173" i="3"/>
  <c r="DI172" i="3"/>
  <c r="DE205" i="3"/>
  <c r="DE206" i="3"/>
  <c r="CS213" i="3"/>
  <c r="CS212" i="3"/>
  <c r="CO173" i="3"/>
  <c r="CO172" i="3"/>
  <c r="CK205" i="3"/>
  <c r="CK206" i="3"/>
  <c r="BQ173" i="3"/>
  <c r="BQ213" i="3"/>
  <c r="BE396" i="3"/>
  <c r="BE395" i="3"/>
  <c r="BE394" i="3"/>
  <c r="BE393" i="3"/>
  <c r="BE390" i="3"/>
  <c r="BE388" i="3"/>
  <c r="BE389" i="3"/>
  <c r="BE391" i="3"/>
  <c r="BE387" i="3"/>
  <c r="BE211" i="3"/>
  <c r="BE225" i="3"/>
  <c r="BE226" i="3" s="1"/>
  <c r="BE202" i="3"/>
  <c r="BE204" i="3"/>
  <c r="BE171" i="3"/>
  <c r="BE40" i="3"/>
  <c r="BE26" i="3"/>
  <c r="BE27" i="3" s="1"/>
  <c r="BE24" i="3"/>
  <c r="AW173" i="3"/>
  <c r="AW172" i="3"/>
  <c r="AS206" i="3"/>
  <c r="AS205" i="3"/>
  <c r="AO211" i="3"/>
  <c r="AO225" i="3"/>
  <c r="AO204" i="3"/>
  <c r="AO40" i="3"/>
  <c r="AO26" i="3"/>
  <c r="AN25" i="3"/>
  <c r="AM25" i="3"/>
  <c r="AK213" i="3"/>
  <c r="AK212" i="3"/>
  <c r="AC205" i="3"/>
  <c r="AC206" i="3"/>
  <c r="Y226" i="3"/>
  <c r="AY396" i="3"/>
  <c r="DO393" i="3"/>
  <c r="DG387" i="3"/>
  <c r="CM387" i="3"/>
  <c r="BS387" i="3"/>
  <c r="DP109" i="3"/>
  <c r="EE156" i="3"/>
  <c r="EE128" i="3" s="1"/>
  <c r="EE155" i="3"/>
  <c r="EE142" i="3"/>
  <c r="EE127" i="3"/>
  <c r="DK155" i="3"/>
  <c r="DK129" i="3"/>
  <c r="DK142" i="3"/>
  <c r="BV14" i="41" s="1"/>
  <c r="DK156" i="3"/>
  <c r="DK127" i="3"/>
  <c r="BC155" i="3"/>
  <c r="BC156" i="3"/>
  <c r="BC128" i="3" s="1"/>
  <c r="BC129" i="3"/>
  <c r="BC127" i="3"/>
  <c r="DQ98" i="3"/>
  <c r="BX92" i="3"/>
  <c r="DQ81" i="3"/>
  <c r="CW81" i="3"/>
  <c r="CM81" i="3"/>
  <c r="CN67" i="3"/>
  <c r="CX67" i="3"/>
  <c r="CX68" i="3"/>
  <c r="BQ68" i="3"/>
  <c r="BQ67" i="3"/>
  <c r="DW57" i="3"/>
  <c r="DW56" i="3"/>
  <c r="DC148" i="3"/>
  <c r="DC44" i="3"/>
  <c r="DC43" i="3"/>
  <c r="CI148" i="3"/>
  <c r="CI43" i="3"/>
  <c r="BO148" i="3"/>
  <c r="CL40" i="3"/>
  <c r="AQ27" i="3"/>
  <c r="W27" i="3"/>
  <c r="CP25" i="3"/>
  <c r="AR25" i="3"/>
  <c r="DD212" i="3"/>
  <c r="DD213" i="3"/>
  <c r="CZ206" i="3"/>
  <c r="CZ205" i="3"/>
  <c r="CV226" i="3"/>
  <c r="CN226" i="3"/>
  <c r="CF203" i="3"/>
  <c r="CB203" i="3"/>
  <c r="BT203" i="3"/>
  <c r="BP206" i="3"/>
  <c r="BL396" i="3"/>
  <c r="BL395" i="3"/>
  <c r="BL391" i="3"/>
  <c r="BL390" i="3"/>
  <c r="BL389" i="3"/>
  <c r="BL388" i="3"/>
  <c r="BL387" i="3"/>
  <c r="BL394" i="3"/>
  <c r="BL393" i="3"/>
  <c r="BL225" i="3"/>
  <c r="BL204" i="3"/>
  <c r="BL202" i="3"/>
  <c r="BL211" i="3"/>
  <c r="BL171" i="3"/>
  <c r="BQ172" i="3" s="1"/>
  <c r="BL40" i="3"/>
  <c r="BL42" i="3"/>
  <c r="BL26" i="3"/>
  <c r="BL24" i="3"/>
  <c r="AZ213" i="3"/>
  <c r="AZ212" i="3"/>
  <c r="AV226" i="3"/>
  <c r="AR226" i="3"/>
  <c r="AJ225" i="3"/>
  <c r="AJ204" i="3"/>
  <c r="AJ211" i="3"/>
  <c r="AJ40" i="3"/>
  <c r="AF25" i="3"/>
  <c r="AJ26" i="3"/>
  <c r="AI25" i="3"/>
  <c r="AB212" i="3"/>
  <c r="AB213" i="3"/>
  <c r="X206" i="3"/>
  <c r="X205" i="3"/>
  <c r="DQ394" i="3"/>
  <c r="DG393" i="3"/>
  <c r="CM393" i="3"/>
  <c r="BS393" i="3"/>
  <c r="AY393" i="3"/>
  <c r="CG391" i="3"/>
  <c r="DH68" i="3"/>
  <c r="BH68" i="3"/>
  <c r="BR25" i="3"/>
  <c r="DQ7" i="3"/>
  <c r="BP67" i="3"/>
  <c r="CL25" i="3"/>
  <c r="S27" i="3"/>
  <c r="ED68" i="3"/>
  <c r="CE27" i="3"/>
  <c r="EE56" i="3"/>
  <c r="CA27" i="3"/>
  <c r="CW40" i="3"/>
  <c r="DO228" i="3" l="1"/>
  <c r="DO229" i="3"/>
  <c r="FH68" i="3"/>
  <c r="ED389" i="3"/>
  <c r="ED79" i="3"/>
  <c r="ED65" i="3"/>
  <c r="ED122" i="3"/>
  <c r="DY29" i="3"/>
  <c r="DY104" i="3"/>
  <c r="EJ40" i="3"/>
  <c r="EE65" i="3"/>
  <c r="EE79" i="3"/>
  <c r="EE122" i="3"/>
  <c r="EE106" i="3"/>
  <c r="EJ105" i="3"/>
  <c r="DZ29" i="3"/>
  <c r="DZ104" i="3"/>
  <c r="EE105" i="3" s="1"/>
  <c r="EB227" i="3"/>
  <c r="EB122" i="3"/>
  <c r="EB65" i="3"/>
  <c r="EB79" i="3"/>
  <c r="DZ389" i="3"/>
  <c r="DZ79" i="3"/>
  <c r="DZ122" i="3"/>
  <c r="DZ65" i="3"/>
  <c r="DW122" i="3"/>
  <c r="DW65" i="3"/>
  <c r="DW79" i="3"/>
  <c r="DX29" i="3"/>
  <c r="DX104" i="3"/>
  <c r="DO106" i="3"/>
  <c r="DO105" i="3"/>
  <c r="DV79" i="3"/>
  <c r="DV122" i="3"/>
  <c r="EC129" i="3"/>
  <c r="EC122" i="3"/>
  <c r="EC65" i="3"/>
  <c r="EC79" i="3"/>
  <c r="DY395" i="3"/>
  <c r="DY79" i="3"/>
  <c r="DY122" i="3"/>
  <c r="DY65" i="3"/>
  <c r="EI29" i="3"/>
  <c r="ED104" i="3"/>
  <c r="EC106" i="3"/>
  <c r="EC105" i="3"/>
  <c r="DV106" i="3"/>
  <c r="DQ29" i="3"/>
  <c r="DQ104" i="3"/>
  <c r="DV105" i="3" s="1"/>
  <c r="EU64" i="3"/>
  <c r="DV204" i="3"/>
  <c r="DV65" i="3"/>
  <c r="ET64" i="3"/>
  <c r="EK64" i="3"/>
  <c r="EP64" i="3"/>
  <c r="EI167" i="3"/>
  <c r="EI174" i="3"/>
  <c r="EN175" i="3" s="1"/>
  <c r="EI168" i="3"/>
  <c r="FJ168" i="3" s="1"/>
  <c r="ER52" i="3"/>
  <c r="ER51" i="3" s="1"/>
  <c r="FI57" i="3"/>
  <c r="FJ68" i="3"/>
  <c r="FE50" i="3"/>
  <c r="ET50" i="3"/>
  <c r="FK68" i="3"/>
  <c r="ER50" i="3"/>
  <c r="ER49" i="3" s="1"/>
  <c r="FI68" i="3"/>
  <c r="ES50" i="3"/>
  <c r="ES49" i="3" s="1"/>
  <c r="FJ57" i="3"/>
  <c r="FK57" i="3"/>
  <c r="EF310" i="3"/>
  <c r="L14" i="91" s="1"/>
  <c r="CD127" i="3"/>
  <c r="EK92" i="3"/>
  <c r="EP92" i="3"/>
  <c r="BY156" i="3"/>
  <c r="BY128" i="3" s="1"/>
  <c r="EU34" i="3"/>
  <c r="EU31" i="3"/>
  <c r="ET55" i="3"/>
  <c r="ET57" i="3" s="1"/>
  <c r="EU2" i="3"/>
  <c r="EZ2" i="3" s="1"/>
  <c r="FE2" i="3" s="1"/>
  <c r="ET52" i="3"/>
  <c r="FQ68" i="3"/>
  <c r="CT14" i="41"/>
  <c r="EJ168" i="3"/>
  <c r="EN167" i="3"/>
  <c r="ES52" i="3"/>
  <c r="ES51" i="3" s="1"/>
  <c r="ET16" i="3"/>
  <c r="EN157" i="3"/>
  <c r="ET186" i="3"/>
  <c r="ET188" i="3" s="1"/>
  <c r="ET80" i="3"/>
  <c r="BY127" i="3"/>
  <c r="CC126" i="3"/>
  <c r="CC142" i="3" s="1"/>
  <c r="BY142" i="3"/>
  <c r="BY129" i="3"/>
  <c r="BY131" i="3" s="1"/>
  <c r="EU38" i="3"/>
  <c r="ER278" i="3"/>
  <c r="EU30" i="3"/>
  <c r="EN226" i="3"/>
  <c r="EJ213" i="3"/>
  <c r="EN212" i="3"/>
  <c r="EN136" i="3"/>
  <c r="EN130" i="3"/>
  <c r="EJ206" i="3"/>
  <c r="EN205" i="3"/>
  <c r="EJ44" i="3"/>
  <c r="EN43" i="3"/>
  <c r="EJ229" i="3"/>
  <c r="EN228" i="3"/>
  <c r="EJ27" i="3"/>
  <c r="EJ173" i="3"/>
  <c r="EN172" i="3"/>
  <c r="DU399" i="3"/>
  <c r="BD108" i="3"/>
  <c r="S253" i="3"/>
  <c r="DV92" i="3"/>
  <c r="EA92" i="3"/>
  <c r="EM175" i="3"/>
  <c r="EH176" i="3"/>
  <c r="DG175" i="3"/>
  <c r="EF167" i="3"/>
  <c r="DX107" i="3"/>
  <c r="EC108" i="3" s="1"/>
  <c r="DU317" i="3"/>
  <c r="DX23" i="3"/>
  <c r="DX36" i="3"/>
  <c r="EC36" i="3"/>
  <c r="S270" i="3"/>
  <c r="S271" i="3" s="1"/>
  <c r="BJ155" i="3"/>
  <c r="BK109" i="3"/>
  <c r="BJ108" i="3"/>
  <c r="BO108" i="3"/>
  <c r="EA12" i="3"/>
  <c r="EA107" i="3" s="1"/>
  <c r="EA108" i="3" s="1"/>
  <c r="DW7" i="3"/>
  <c r="DW107" i="3"/>
  <c r="DW109" i="3" s="1"/>
  <c r="DW36" i="3"/>
  <c r="AV62" i="3"/>
  <c r="CC67" i="3"/>
  <c r="FX129" i="3"/>
  <c r="FW127" i="3" s="1"/>
  <c r="DU327" i="3"/>
  <c r="EH128" i="3"/>
  <c r="EM157" i="3"/>
  <c r="CS14" i="41"/>
  <c r="EH107" i="3"/>
  <c r="EM36" i="3"/>
  <c r="CR67" i="3"/>
  <c r="BN126" i="3"/>
  <c r="BN155" i="3" s="1"/>
  <c r="FE52" i="3"/>
  <c r="EF224" i="3"/>
  <c r="EA224" i="3"/>
  <c r="DW389" i="3"/>
  <c r="DW395" i="3"/>
  <c r="BJ127" i="3"/>
  <c r="BJ129" i="3"/>
  <c r="BJ146" i="3" s="1"/>
  <c r="BO151" i="3" s="1"/>
  <c r="BO150" i="3" s="1"/>
  <c r="BJ156" i="3"/>
  <c r="BJ128" i="3" s="1"/>
  <c r="CR14" i="41"/>
  <c r="EL157" i="3"/>
  <c r="FN157" i="3" s="1"/>
  <c r="BI108" i="3"/>
  <c r="CR108" i="3"/>
  <c r="AV119" i="3"/>
  <c r="AV76" i="3"/>
  <c r="AV157" i="3"/>
  <c r="AE130" i="3"/>
  <c r="Z226" i="3"/>
  <c r="EB36" i="3"/>
  <c r="EF12" i="3"/>
  <c r="EF23" i="3" s="1"/>
  <c r="DW26" i="3"/>
  <c r="DW27" i="3" s="1"/>
  <c r="DW211" i="3"/>
  <c r="DW212" i="3" s="1"/>
  <c r="DW387" i="3"/>
  <c r="DW171" i="3"/>
  <c r="DW173" i="3" s="1"/>
  <c r="DW227" i="3"/>
  <c r="FP12" i="3"/>
  <c r="EL36" i="3"/>
  <c r="FN36" i="3" s="1"/>
  <c r="T244" i="3"/>
  <c r="EF210" i="3"/>
  <c r="EF218" i="3"/>
  <c r="DL167" i="3"/>
  <c r="EF194" i="3"/>
  <c r="EF179" i="3"/>
  <c r="EF240" i="3"/>
  <c r="EK241" i="3" s="1"/>
  <c r="DZ327" i="3"/>
  <c r="EF161" i="3"/>
  <c r="CC203" i="3"/>
  <c r="CC108" i="3"/>
  <c r="BX67" i="3"/>
  <c r="BI67" i="3"/>
  <c r="AV128" i="3"/>
  <c r="AV103" i="3"/>
  <c r="Q245" i="3"/>
  <c r="S244" i="3"/>
  <c r="Q253" i="3"/>
  <c r="AJ226" i="3"/>
  <c r="EF67" i="3"/>
  <c r="CR205" i="3"/>
  <c r="EB107" i="3"/>
  <c r="EB7" i="3"/>
  <c r="EB104" i="3" s="1"/>
  <c r="DG167" i="3"/>
  <c r="BN108" i="3"/>
  <c r="DW204" i="3"/>
  <c r="DW205" i="3" s="1"/>
  <c r="DW396" i="3"/>
  <c r="S243" i="3"/>
  <c r="DW225" i="3"/>
  <c r="DW226" i="3" s="1"/>
  <c r="R244" i="3"/>
  <c r="DV179" i="3"/>
  <c r="EK67" i="3"/>
  <c r="BX228" i="3"/>
  <c r="DW388" i="3"/>
  <c r="DB212" i="3"/>
  <c r="BK226" i="3"/>
  <c r="EK167" i="3"/>
  <c r="EK174" i="3"/>
  <c r="DB67" i="3"/>
  <c r="DW42" i="3"/>
  <c r="DW148" i="3" s="1"/>
  <c r="DW390" i="3"/>
  <c r="DL174" i="3"/>
  <c r="DQ175" i="3" s="1"/>
  <c r="DW394" i="3"/>
  <c r="EK127" i="3"/>
  <c r="EK156" i="3"/>
  <c r="EK142" i="3"/>
  <c r="CV14" i="41" s="1"/>
  <c r="EK155" i="3"/>
  <c r="BF228" i="3"/>
  <c r="DW393" i="3"/>
  <c r="DW129" i="3"/>
  <c r="EB136" i="3" s="1"/>
  <c r="DW40" i="3"/>
  <c r="DW391" i="3"/>
  <c r="EI176" i="3"/>
  <c r="BF229" i="3"/>
  <c r="DW24" i="3"/>
  <c r="DW392" i="3"/>
  <c r="DG212" i="3"/>
  <c r="DQ212" i="3"/>
  <c r="BH229" i="3"/>
  <c r="BP226" i="3"/>
  <c r="EF38" i="3"/>
  <c r="Z228" i="3"/>
  <c r="BJ228" i="3"/>
  <c r="BG229" i="3"/>
  <c r="DG108" i="3"/>
  <c r="DB226" i="3"/>
  <c r="BE228" i="3"/>
  <c r="BH228" i="3"/>
  <c r="BM203" i="3"/>
  <c r="DV205" i="3"/>
  <c r="EG23" i="3"/>
  <c r="EG107" i="3"/>
  <c r="BM25" i="3"/>
  <c r="BM228" i="3"/>
  <c r="EG7" i="3"/>
  <c r="EG104" i="3" s="1"/>
  <c r="BO229" i="3"/>
  <c r="BG228" i="3"/>
  <c r="EG36" i="3"/>
  <c r="BD205" i="3"/>
  <c r="BE130" i="3"/>
  <c r="BJ229" i="3"/>
  <c r="CL226" i="3"/>
  <c r="BL228" i="3"/>
  <c r="BX212" i="3"/>
  <c r="EE26" i="3"/>
  <c r="DZ204" i="3"/>
  <c r="DZ396" i="3"/>
  <c r="BB130" i="3"/>
  <c r="AU128" i="3"/>
  <c r="BD129" i="3"/>
  <c r="BD127" i="3"/>
  <c r="DQ67" i="3"/>
  <c r="BD155" i="3"/>
  <c r="BP157" i="3"/>
  <c r="BL62" i="3"/>
  <c r="BL119" i="3"/>
  <c r="BL76" i="3"/>
  <c r="EA67" i="3"/>
  <c r="BL238" i="3"/>
  <c r="BL242" i="3" s="1"/>
  <c r="BL128" i="3"/>
  <c r="DG172" i="3"/>
  <c r="DQ205" i="3"/>
  <c r="BJ25" i="3"/>
  <c r="BO43" i="3"/>
  <c r="CH172" i="3"/>
  <c r="DZ395" i="3"/>
  <c r="DZ211" i="3"/>
  <c r="DZ212" i="3" s="1"/>
  <c r="DZ393" i="3"/>
  <c r="BX226" i="3"/>
  <c r="BQ228" i="3"/>
  <c r="DZ387" i="3"/>
  <c r="CC43" i="3"/>
  <c r="BO44" i="3"/>
  <c r="DZ394" i="3"/>
  <c r="AE226" i="3"/>
  <c r="EE108" i="3"/>
  <c r="BO228" i="3"/>
  <c r="DP27" i="3"/>
  <c r="AY226" i="3"/>
  <c r="ED29" i="3"/>
  <c r="CM226" i="3"/>
  <c r="DZ171" i="3"/>
  <c r="DZ172" i="3" s="1"/>
  <c r="CM212" i="3"/>
  <c r="CR212" i="3"/>
  <c r="FQ127" i="3"/>
  <c r="EE391" i="3"/>
  <c r="CH205" i="3"/>
  <c r="BD226" i="3"/>
  <c r="DZ225" i="3"/>
  <c r="DZ226" i="3" s="1"/>
  <c r="DT226" i="3"/>
  <c r="BC130" i="3"/>
  <c r="BN225" i="3"/>
  <c r="BS226" i="3" s="1"/>
  <c r="CC205" i="3"/>
  <c r="BS40" i="3"/>
  <c r="DZ108" i="3"/>
  <c r="BL25" i="3"/>
  <c r="BL226" i="3"/>
  <c r="CH212" i="3"/>
  <c r="CI206" i="3"/>
  <c r="BN227" i="3"/>
  <c r="BS228" i="3" s="1"/>
  <c r="BG130" i="3"/>
  <c r="EE40" i="3"/>
  <c r="EE393" i="3"/>
  <c r="CI173" i="3"/>
  <c r="EE204" i="3"/>
  <c r="EJ205" i="3" s="1"/>
  <c r="EE396" i="3"/>
  <c r="ED109" i="3"/>
  <c r="AO228" i="3"/>
  <c r="EE42" i="3"/>
  <c r="EE171" i="3"/>
  <c r="EJ172" i="3" s="1"/>
  <c r="CW212" i="3"/>
  <c r="EJ108" i="3"/>
  <c r="DQ172" i="3"/>
  <c r="BE25" i="3"/>
  <c r="EE394" i="3"/>
  <c r="CR172" i="3"/>
  <c r="BD228" i="3"/>
  <c r="BD172" i="3"/>
  <c r="DQ108" i="3"/>
  <c r="DL228" i="3"/>
  <c r="EE387" i="3"/>
  <c r="EE392" i="3"/>
  <c r="DL226" i="3"/>
  <c r="AJ212" i="3"/>
  <c r="AT226" i="3"/>
  <c r="EE395" i="3"/>
  <c r="BD212" i="3"/>
  <c r="EE388" i="3"/>
  <c r="EE129" i="3"/>
  <c r="EE211" i="3"/>
  <c r="EE389" i="3"/>
  <c r="AJ205" i="3"/>
  <c r="CM228" i="3"/>
  <c r="EE390" i="3"/>
  <c r="BL229" i="3"/>
  <c r="CC172" i="3"/>
  <c r="EJ29" i="3"/>
  <c r="DV108" i="3"/>
  <c r="DT228" i="3"/>
  <c r="CW43" i="3"/>
  <c r="DT229" i="3"/>
  <c r="EB171" i="3"/>
  <c r="CH203" i="3"/>
  <c r="CC212" i="3"/>
  <c r="DY391" i="3"/>
  <c r="DZ388" i="3"/>
  <c r="EB211" i="3"/>
  <c r="ED388" i="3"/>
  <c r="EB389" i="3"/>
  <c r="DZ227" i="3"/>
  <c r="DZ228" i="3" s="1"/>
  <c r="DY136" i="3"/>
  <c r="DL205" i="3"/>
  <c r="AO130" i="3"/>
  <c r="EE29" i="3"/>
  <c r="DQ226" i="3"/>
  <c r="BJ27" i="3"/>
  <c r="DZ40" i="3"/>
  <c r="DZ390" i="3"/>
  <c r="EB392" i="3"/>
  <c r="ED390" i="3"/>
  <c r="DL212" i="3"/>
  <c r="Z205" i="3"/>
  <c r="DY40" i="3"/>
  <c r="Z212" i="3"/>
  <c r="BL203" i="3"/>
  <c r="CI44" i="3"/>
  <c r="DY387" i="3"/>
  <c r="EH36" i="3"/>
  <c r="BL27" i="3"/>
  <c r="DZ129" i="3"/>
  <c r="DZ130" i="3" s="1"/>
  <c r="DB228" i="3"/>
  <c r="BM226" i="3"/>
  <c r="CR228" i="3"/>
  <c r="DZ26" i="3"/>
  <c r="DZ391" i="3"/>
  <c r="EB396" i="3"/>
  <c r="BM229" i="3"/>
  <c r="DQ228" i="3"/>
  <c r="DZ42" i="3"/>
  <c r="DZ148" i="3" s="1"/>
  <c r="DB172" i="3"/>
  <c r="DZ136" i="3"/>
  <c r="DZ392" i="3"/>
  <c r="EE24" i="3"/>
  <c r="AE228" i="3"/>
  <c r="EK12" i="3"/>
  <c r="EP36" i="3" s="1"/>
  <c r="EB395" i="3"/>
  <c r="EA38" i="3"/>
  <c r="EB394" i="3"/>
  <c r="EB225" i="3"/>
  <c r="EE227" i="3"/>
  <c r="EE225" i="3"/>
  <c r="EH23" i="3"/>
  <c r="EB26" i="3"/>
  <c r="EB387" i="3"/>
  <c r="EB204" i="3"/>
  <c r="EB129" i="3"/>
  <c r="EB131" i="3" s="1"/>
  <c r="EB42" i="3"/>
  <c r="EB388" i="3"/>
  <c r="EB24" i="3"/>
  <c r="EB390" i="3"/>
  <c r="EB393" i="3"/>
  <c r="EB40" i="3"/>
  <c r="EB391" i="3"/>
  <c r="EH7" i="3"/>
  <c r="EH104" i="3" s="1"/>
  <c r="EJ157" i="3"/>
  <c r="CP14" i="41"/>
  <c r="BF25" i="3"/>
  <c r="DV42" i="3"/>
  <c r="DV148" i="3" s="1"/>
  <c r="CR226" i="3"/>
  <c r="CH228" i="3"/>
  <c r="EJ175" i="3"/>
  <c r="EE176" i="3"/>
  <c r="EE175" i="3"/>
  <c r="EF56" i="3"/>
  <c r="EI40" i="3"/>
  <c r="ED394" i="3"/>
  <c r="DY42" i="3"/>
  <c r="DY148" i="3" s="1"/>
  <c r="DY390" i="3"/>
  <c r="ED211" i="3"/>
  <c r="DY394" i="3"/>
  <c r="DY225" i="3"/>
  <c r="DY226" i="3" s="1"/>
  <c r="EI148" i="3"/>
  <c r="ED42" i="3"/>
  <c r="EI43" i="3" s="1"/>
  <c r="ED26" i="3"/>
  <c r="ED392" i="3"/>
  <c r="DY171" i="3"/>
  <c r="DY392" i="3"/>
  <c r="DY129" i="3"/>
  <c r="ED136" i="3" s="1"/>
  <c r="ED391" i="3"/>
  <c r="DY389" i="3"/>
  <c r="DY204" i="3"/>
  <c r="DY205" i="3" s="1"/>
  <c r="ED393" i="3"/>
  <c r="ED40" i="3"/>
  <c r="ED387" i="3"/>
  <c r="DY211" i="3"/>
  <c r="DY212" i="3" s="1"/>
  <c r="ED395" i="3"/>
  <c r="DZ24" i="3"/>
  <c r="ED171" i="3"/>
  <c r="EI172" i="3" s="1"/>
  <c r="ED396" i="3"/>
  <c r="ED227" i="3"/>
  <c r="DY393" i="3"/>
  <c r="DY396" i="3"/>
  <c r="DY26" i="3"/>
  <c r="DY388" i="3"/>
  <c r="DZ109" i="3"/>
  <c r="ED129" i="3"/>
  <c r="EI136" i="3" s="1"/>
  <c r="ED204" i="3"/>
  <c r="EI205" i="3" s="1"/>
  <c r="ED225" i="3"/>
  <c r="EI226" i="3" s="1"/>
  <c r="DY227" i="3"/>
  <c r="EE109" i="3"/>
  <c r="ED108" i="3"/>
  <c r="EI108" i="3"/>
  <c r="U128" i="3"/>
  <c r="AY205" i="3"/>
  <c r="AO205" i="3"/>
  <c r="BH130" i="3"/>
  <c r="BF27" i="3"/>
  <c r="FP90" i="3"/>
  <c r="FQ90" i="3"/>
  <c r="A410" i="42"/>
  <c r="C230" i="42"/>
  <c r="B229" i="42"/>
  <c r="D229" i="42" s="1"/>
  <c r="A398" i="42"/>
  <c r="A384" i="42"/>
  <c r="A470" i="42"/>
  <c r="A522" i="42" s="1"/>
  <c r="A574" i="42" s="1"/>
  <c r="A487" i="42"/>
  <c r="A539" i="42" s="1"/>
  <c r="A591" i="42" s="1"/>
  <c r="A396" i="42"/>
  <c r="A407" i="42"/>
  <c r="A409" i="42"/>
  <c r="A417" i="42"/>
  <c r="A405" i="42"/>
  <c r="N25" i="42"/>
  <c r="M27" i="42"/>
  <c r="M26" i="42"/>
  <c r="A392" i="42"/>
  <c r="A412" i="42"/>
  <c r="A387" i="42"/>
  <c r="A390" i="42"/>
  <c r="A385" i="42"/>
  <c r="A472" i="42"/>
  <c r="A524" i="42" s="1"/>
  <c r="A576" i="42" s="1"/>
  <c r="A476" i="42"/>
  <c r="A528" i="42" s="1"/>
  <c r="A580" i="42" s="1"/>
  <c r="A388" i="42"/>
  <c r="A399" i="42"/>
  <c r="A402" i="42"/>
  <c r="A471" i="42"/>
  <c r="A523" i="42" s="1"/>
  <c r="A575" i="42" s="1"/>
  <c r="R5" i="42"/>
  <c r="M14" i="42"/>
  <c r="L15" i="42"/>
  <c r="D32" i="42"/>
  <c r="A44" i="42"/>
  <c r="A485" i="42"/>
  <c r="A537" i="42" s="1"/>
  <c r="A589" i="42" s="1"/>
  <c r="S5" i="42"/>
  <c r="D39" i="42"/>
  <c r="A51" i="42"/>
  <c r="D34" i="42"/>
  <c r="A46" i="42"/>
  <c r="D24" i="42"/>
  <c r="A36" i="42"/>
  <c r="D41" i="42"/>
  <c r="A53" i="42"/>
  <c r="L22" i="42"/>
  <c r="M20" i="42"/>
  <c r="L21" i="42"/>
  <c r="A486" i="42"/>
  <c r="A538" i="42" s="1"/>
  <c r="A590" i="42" s="1"/>
  <c r="L10" i="42"/>
  <c r="M9" i="42"/>
  <c r="M30" i="42"/>
  <c r="L32" i="42"/>
  <c r="L31" i="42"/>
  <c r="A397" i="42"/>
  <c r="A400" i="42"/>
  <c r="A414" i="42"/>
  <c r="A395" i="42"/>
  <c r="A411" i="42"/>
  <c r="A393" i="42"/>
  <c r="A473" i="42"/>
  <c r="A525" i="42" s="1"/>
  <c r="A577" i="42" s="1"/>
  <c r="A481" i="42"/>
  <c r="A533" i="42" s="1"/>
  <c r="A585" i="42" s="1"/>
  <c r="A391" i="42"/>
  <c r="A394" i="42"/>
  <c r="A413" i="42"/>
  <c r="A389" i="42"/>
  <c r="D40" i="42"/>
  <c r="A52" i="42"/>
  <c r="A408" i="42"/>
  <c r="A416" i="42"/>
  <c r="A403" i="42"/>
  <c r="A406" i="42"/>
  <c r="A401" i="42"/>
  <c r="A474" i="42"/>
  <c r="A526" i="42" s="1"/>
  <c r="A578" i="42" s="1"/>
  <c r="A478" i="42"/>
  <c r="A530" i="42" s="1"/>
  <c r="A582" i="42" s="1"/>
  <c r="A482" i="42"/>
  <c r="A534" i="42" s="1"/>
  <c r="A586" i="42" s="1"/>
  <c r="D33" i="42"/>
  <c r="A45" i="42"/>
  <c r="A404" i="42"/>
  <c r="A386" i="42"/>
  <c r="A415" i="42"/>
  <c r="D37" i="42"/>
  <c r="A49" i="42"/>
  <c r="D31" i="42"/>
  <c r="A43" i="42"/>
  <c r="U5" i="42"/>
  <c r="A479" i="42"/>
  <c r="A531" i="42" s="1"/>
  <c r="A583" i="42" s="1"/>
  <c r="A483" i="42"/>
  <c r="A535" i="42" s="1"/>
  <c r="A587" i="42" s="1"/>
  <c r="D26" i="42"/>
  <c r="A38" i="42"/>
  <c r="T5" i="42"/>
  <c r="D35" i="42"/>
  <c r="A47" i="42"/>
  <c r="A480" i="42"/>
  <c r="A532" i="42" s="1"/>
  <c r="A584" i="42" s="1"/>
  <c r="D30" i="42"/>
  <c r="A42" i="42"/>
  <c r="K31" i="42"/>
  <c r="E9" i="41"/>
  <c r="A8" i="41"/>
  <c r="B8" i="41" s="1"/>
  <c r="D8" i="41"/>
  <c r="C7" i="41"/>
  <c r="G893" i="41"/>
  <c r="H892" i="41" s="1"/>
  <c r="O4" i="91"/>
  <c r="EC131" i="3"/>
  <c r="FQ26" i="3"/>
  <c r="BL148" i="3"/>
  <c r="BL146" i="3" s="1"/>
  <c r="BQ151" i="3" s="1"/>
  <c r="BQ150" i="3" s="1"/>
  <c r="BL44" i="3"/>
  <c r="DC149" i="3"/>
  <c r="BC238" i="3"/>
  <c r="BH239" i="3" s="1"/>
  <c r="BC157" i="3"/>
  <c r="BC119" i="3"/>
  <c r="BC76" i="3"/>
  <c r="BC103" i="3"/>
  <c r="BC62" i="3"/>
  <c r="DK238" i="3"/>
  <c r="DK157" i="3"/>
  <c r="DK119" i="3"/>
  <c r="DK76" i="3"/>
  <c r="DK62" i="3"/>
  <c r="DK103" i="3"/>
  <c r="AO212" i="3"/>
  <c r="BV238" i="3"/>
  <c r="BV157" i="3"/>
  <c r="BV119" i="3"/>
  <c r="BV76" i="3"/>
  <c r="BV62" i="3"/>
  <c r="BV103" i="3"/>
  <c r="DR146" i="3"/>
  <c r="DR131" i="3"/>
  <c r="DR130" i="3"/>
  <c r="DR238" i="3"/>
  <c r="DR157" i="3"/>
  <c r="DR119" i="3"/>
  <c r="DR76" i="3"/>
  <c r="DR103" i="3"/>
  <c r="DR62" i="3"/>
  <c r="BF173" i="3"/>
  <c r="BF172" i="3"/>
  <c r="BU149" i="3"/>
  <c r="DF149" i="3"/>
  <c r="CF238" i="3"/>
  <c r="CF157" i="3"/>
  <c r="CF76" i="3"/>
  <c r="CF119" i="3"/>
  <c r="CF62" i="3"/>
  <c r="CF103" i="3"/>
  <c r="DP238" i="3"/>
  <c r="DP157" i="3"/>
  <c r="DP76" i="3"/>
  <c r="DP119" i="3"/>
  <c r="DP62" i="3"/>
  <c r="DP103" i="3"/>
  <c r="AP251" i="3"/>
  <c r="AP239" i="3"/>
  <c r="AP242" i="3"/>
  <c r="CX146" i="3"/>
  <c r="DC151" i="3" s="1"/>
  <c r="DC150" i="3" s="1"/>
  <c r="CX131" i="3"/>
  <c r="CX130" i="3"/>
  <c r="DC136" i="3"/>
  <c r="X251" i="3"/>
  <c r="X239" i="3"/>
  <c r="CP238" i="3"/>
  <c r="CP157" i="3"/>
  <c r="CP119" i="3"/>
  <c r="CP76" i="3"/>
  <c r="CP62" i="3"/>
  <c r="CP103" i="3"/>
  <c r="BN349" i="3"/>
  <c r="BN241" i="3"/>
  <c r="EP365" i="3"/>
  <c r="BG238" i="3"/>
  <c r="BG157" i="3"/>
  <c r="BG119" i="3"/>
  <c r="BG62" i="3"/>
  <c r="BG76" i="3"/>
  <c r="BG103" i="3"/>
  <c r="DH149" i="3"/>
  <c r="DW238" i="3"/>
  <c r="DW157" i="3"/>
  <c r="DW119" i="3"/>
  <c r="DW76" i="3"/>
  <c r="DW103" i="3"/>
  <c r="DW62" i="3"/>
  <c r="BJ213" i="3"/>
  <c r="BJ212" i="3"/>
  <c r="DB148" i="3"/>
  <c r="DB43" i="3"/>
  <c r="BY149" i="3"/>
  <c r="BE238" i="3"/>
  <c r="BE157" i="3"/>
  <c r="BI156" i="3"/>
  <c r="BI128" i="3" s="1"/>
  <c r="BE103" i="3"/>
  <c r="BE119" i="3"/>
  <c r="BE76" i="3"/>
  <c r="BE62" i="3"/>
  <c r="BG27" i="3"/>
  <c r="BG212" i="3"/>
  <c r="BG213" i="3"/>
  <c r="DJ149" i="3"/>
  <c r="CJ238" i="3"/>
  <c r="CJ157" i="3"/>
  <c r="CJ76" i="3"/>
  <c r="CJ119" i="3"/>
  <c r="CJ62" i="3"/>
  <c r="CJ103" i="3"/>
  <c r="BB238" i="3"/>
  <c r="BB157" i="3"/>
  <c r="BB119" i="3"/>
  <c r="BB76" i="3"/>
  <c r="BB103" i="3"/>
  <c r="BB62" i="3"/>
  <c r="DC238" i="3"/>
  <c r="DC157" i="3"/>
  <c r="DC119" i="3"/>
  <c r="DC76" i="3"/>
  <c r="DC62" i="3"/>
  <c r="DC103" i="3"/>
  <c r="DE131" i="3"/>
  <c r="DE146" i="3"/>
  <c r="DE130" i="3"/>
  <c r="DJ136" i="3"/>
  <c r="AG251" i="3"/>
  <c r="AG239" i="3"/>
  <c r="AG242" i="3"/>
  <c r="BI227" i="3"/>
  <c r="BI228" i="3" s="1"/>
  <c r="CW205" i="3"/>
  <c r="DL148" i="3"/>
  <c r="DL43" i="3"/>
  <c r="DT173" i="3"/>
  <c r="DT172" i="3"/>
  <c r="CA149" i="3"/>
  <c r="CL146" i="3"/>
  <c r="CQ151" i="3" s="1"/>
  <c r="CQ150" i="3" s="1"/>
  <c r="CQ145" i="3" s="1"/>
  <c r="CL131" i="3"/>
  <c r="CL130" i="3"/>
  <c r="CQ136" i="3"/>
  <c r="CB149" i="3"/>
  <c r="BH251" i="3"/>
  <c r="CE238" i="3"/>
  <c r="CE157" i="3"/>
  <c r="CE119" i="3"/>
  <c r="CE76" i="3"/>
  <c r="CE62" i="3"/>
  <c r="CE103" i="3"/>
  <c r="AE205" i="3"/>
  <c r="AY172" i="3"/>
  <c r="BK206" i="3"/>
  <c r="BK205" i="3"/>
  <c r="BO212" i="3"/>
  <c r="BZ149" i="3"/>
  <c r="BP146" i="3"/>
  <c r="BU151" i="3" s="1"/>
  <c r="BU150" i="3" s="1"/>
  <c r="DL156" i="3"/>
  <c r="DL128" i="3" s="1"/>
  <c r="DL129" i="3"/>
  <c r="DL127" i="3"/>
  <c r="DL142" i="3"/>
  <c r="BW14" i="41" s="1"/>
  <c r="DL155" i="3"/>
  <c r="AH251" i="3"/>
  <c r="AH239" i="3"/>
  <c r="AH242" i="3"/>
  <c r="AQ251" i="3"/>
  <c r="AQ239" i="3"/>
  <c r="AQ242" i="3"/>
  <c r="AV243" i="3" s="1"/>
  <c r="AJ238" i="3"/>
  <c r="AJ157" i="3"/>
  <c r="DF146" i="3"/>
  <c r="DK151" i="3" s="1"/>
  <c r="DK150" i="3" s="1"/>
  <c r="DK145" i="3" s="1"/>
  <c r="DF131" i="3"/>
  <c r="DF130" i="3"/>
  <c r="DK136" i="3"/>
  <c r="AS251" i="3"/>
  <c r="AS239" i="3"/>
  <c r="AS242" i="3"/>
  <c r="DL241" i="3"/>
  <c r="DL349" i="3"/>
  <c r="BH27" i="3"/>
  <c r="BH213" i="3"/>
  <c r="BH212" i="3"/>
  <c r="BX205" i="3"/>
  <c r="CE149" i="3"/>
  <c r="DQ148" i="3"/>
  <c r="DQ43" i="3"/>
  <c r="CG148" i="3"/>
  <c r="CG146" i="3" s="1"/>
  <c r="CL151" i="3" s="1"/>
  <c r="CL150" i="3" s="1"/>
  <c r="CL145" i="3" s="1"/>
  <c r="CG44" i="3"/>
  <c r="CG43" i="3"/>
  <c r="CG206" i="3"/>
  <c r="CG205" i="3"/>
  <c r="DM238" i="3"/>
  <c r="DM157" i="3"/>
  <c r="DM103" i="3"/>
  <c r="DM119" i="3"/>
  <c r="DM76" i="3"/>
  <c r="DM62" i="3"/>
  <c r="CO149" i="3"/>
  <c r="BS129" i="3"/>
  <c r="BS155" i="3"/>
  <c r="CA146" i="3"/>
  <c r="CF151" i="3" s="1"/>
  <c r="CF150" i="3" s="1"/>
  <c r="CF145" i="3" s="1"/>
  <c r="CA131" i="3"/>
  <c r="CA130" i="3"/>
  <c r="CA133" i="3" s="1"/>
  <c r="CF136" i="3"/>
  <c r="CX149" i="3"/>
  <c r="CV130" i="3"/>
  <c r="CV146" i="3"/>
  <c r="DA151" i="3" s="1"/>
  <c r="DA150" i="3" s="1"/>
  <c r="DA145" i="3" s="1"/>
  <c r="CV131" i="3"/>
  <c r="DA136" i="3"/>
  <c r="EF156" i="3"/>
  <c r="EF128" i="3" s="1"/>
  <c r="EF127" i="3"/>
  <c r="EF142" i="3"/>
  <c r="CQ14" i="41" s="1"/>
  <c r="CW127" i="3"/>
  <c r="CW129" i="3"/>
  <c r="CW142" i="3"/>
  <c r="BH14" i="41" s="1"/>
  <c r="CW155" i="3"/>
  <c r="CS238" i="3"/>
  <c r="CS157" i="3"/>
  <c r="CW156" i="3"/>
  <c r="CS103" i="3"/>
  <c r="CS119" i="3"/>
  <c r="CS76" i="3"/>
  <c r="CS62" i="3"/>
  <c r="EI238" i="3"/>
  <c r="EI157" i="3"/>
  <c r="EI119" i="3"/>
  <c r="EI76" i="3"/>
  <c r="EI62" i="3"/>
  <c r="EI103" i="3"/>
  <c r="AA251" i="3"/>
  <c r="AA239" i="3"/>
  <c r="AA242" i="3"/>
  <c r="DU131" i="3"/>
  <c r="DU146" i="3"/>
  <c r="DU130" i="3"/>
  <c r="EG238" i="3"/>
  <c r="EG157" i="3"/>
  <c r="EG103" i="3"/>
  <c r="EG119" i="3"/>
  <c r="EG76" i="3"/>
  <c r="EG62" i="3"/>
  <c r="DL67" i="3"/>
  <c r="AK251" i="3"/>
  <c r="AK239" i="3"/>
  <c r="AK242" i="3"/>
  <c r="DV240" i="3"/>
  <c r="EA241" i="3" s="1"/>
  <c r="DV225" i="3"/>
  <c r="DV226" i="3" s="1"/>
  <c r="DV224" i="3"/>
  <c r="DV227" i="3"/>
  <c r="DV228" i="3" s="1"/>
  <c r="DV161" i="3"/>
  <c r="DV218" i="3"/>
  <c r="DV210" i="3"/>
  <c r="DG241" i="3"/>
  <c r="CW241" i="3"/>
  <c r="CW349" i="3"/>
  <c r="BH242" i="3"/>
  <c r="EZ50" i="3"/>
  <c r="BD238" i="3"/>
  <c r="BD76" i="3"/>
  <c r="BD62" i="3"/>
  <c r="BD103" i="3"/>
  <c r="BD119" i="3"/>
  <c r="BL206" i="3"/>
  <c r="BL205" i="3"/>
  <c r="CI149" i="3"/>
  <c r="EE238" i="3"/>
  <c r="EE157" i="3"/>
  <c r="EE119" i="3"/>
  <c r="EE76" i="3"/>
  <c r="EE62" i="3"/>
  <c r="EE103" i="3"/>
  <c r="EZ10" i="3"/>
  <c r="FE10" i="3" s="1"/>
  <c r="BE173" i="3"/>
  <c r="BE172" i="3"/>
  <c r="BE213" i="3"/>
  <c r="BE212" i="3"/>
  <c r="BP251" i="3"/>
  <c r="CF146" i="3"/>
  <c r="CF130" i="3"/>
  <c r="CF131" i="3"/>
  <c r="CK136" i="3"/>
  <c r="CZ238" i="3"/>
  <c r="CZ157" i="3"/>
  <c r="CZ76" i="3"/>
  <c r="CZ119" i="3"/>
  <c r="CZ62" i="3"/>
  <c r="CZ103" i="3"/>
  <c r="DP130" i="3"/>
  <c r="DP146" i="3"/>
  <c r="DU151" i="3" s="1"/>
  <c r="DU150" i="3" s="1"/>
  <c r="DU145" i="3" s="1"/>
  <c r="DP131" i="3"/>
  <c r="DU136" i="3"/>
  <c r="AX238" i="3"/>
  <c r="AX157" i="3"/>
  <c r="AX119" i="3"/>
  <c r="AX76" i="3"/>
  <c r="AX62" i="3"/>
  <c r="AX103" i="3"/>
  <c r="BR146" i="3"/>
  <c r="BW151" i="3" s="1"/>
  <c r="BW150" i="3" s="1"/>
  <c r="BR130" i="3"/>
  <c r="DB155" i="3"/>
  <c r="DB127" i="3"/>
  <c r="DB129" i="3"/>
  <c r="DB142" i="3"/>
  <c r="BM14" i="41" s="1"/>
  <c r="DS238" i="3"/>
  <c r="DS157" i="3"/>
  <c r="DS119" i="3"/>
  <c r="DS76" i="3"/>
  <c r="DS62" i="3"/>
  <c r="DS103" i="3"/>
  <c r="AM251" i="3"/>
  <c r="AM239" i="3"/>
  <c r="AM242" i="3"/>
  <c r="AN244" i="3" s="1"/>
  <c r="CT146" i="3"/>
  <c r="CY151" i="3" s="1"/>
  <c r="CY150" i="3" s="1"/>
  <c r="CY145" i="3" s="1"/>
  <c r="CT131" i="3"/>
  <c r="CT130" i="3"/>
  <c r="CY136" i="3"/>
  <c r="CT238" i="3"/>
  <c r="CT157" i="3"/>
  <c r="CT119" i="3"/>
  <c r="CT76" i="3"/>
  <c r="CT103" i="3"/>
  <c r="CT62" i="3"/>
  <c r="BX241" i="3"/>
  <c r="BX349" i="3"/>
  <c r="DZ306" i="3"/>
  <c r="EA310" i="3"/>
  <c r="K14" i="91" s="1"/>
  <c r="DK403" i="3"/>
  <c r="DL403" i="3" s="1"/>
  <c r="DL402" i="3" s="1"/>
  <c r="DJ402" i="3"/>
  <c r="CR148" i="3"/>
  <c r="CW149" i="3" s="1"/>
  <c r="CR43" i="3"/>
  <c r="CQ149" i="3"/>
  <c r="EZ5" i="3"/>
  <c r="EZ77" i="3" s="1"/>
  <c r="BM172" i="3"/>
  <c r="BM173" i="3"/>
  <c r="BM213" i="3"/>
  <c r="BM212" i="3"/>
  <c r="CN149" i="3"/>
  <c r="EA156" i="3"/>
  <c r="EA128" i="3" s="1"/>
  <c r="EA127" i="3"/>
  <c r="EA142" i="3"/>
  <c r="CL14" i="41" s="1"/>
  <c r="BJ206" i="3"/>
  <c r="BJ205" i="3"/>
  <c r="BI127" i="3"/>
  <c r="BI129" i="3"/>
  <c r="BI155" i="3"/>
  <c r="BG206" i="3"/>
  <c r="BG205" i="3"/>
  <c r="CP149" i="3"/>
  <c r="CG238" i="3"/>
  <c r="CG157" i="3"/>
  <c r="CG103" i="3"/>
  <c r="CG119" i="3"/>
  <c r="CG76" i="3"/>
  <c r="CG62" i="3"/>
  <c r="CJ146" i="3"/>
  <c r="CJ130" i="3"/>
  <c r="CJ131" i="3"/>
  <c r="CO136" i="3"/>
  <c r="DD238" i="3"/>
  <c r="DD157" i="3"/>
  <c r="DD76" i="3"/>
  <c r="DD119" i="3"/>
  <c r="DD62" i="3"/>
  <c r="DD103" i="3"/>
  <c r="DT130" i="3"/>
  <c r="DT133" i="3" s="1"/>
  <c r="DT131" i="3"/>
  <c r="DA131" i="3"/>
  <c r="DA146" i="3"/>
  <c r="DA130" i="3"/>
  <c r="DF136" i="3"/>
  <c r="DA238" i="3"/>
  <c r="DA157" i="3"/>
  <c r="DA103" i="3"/>
  <c r="DA119" i="3"/>
  <c r="DA76" i="3"/>
  <c r="DA62" i="3"/>
  <c r="AO238" i="3"/>
  <c r="AO157" i="3"/>
  <c r="AO103" i="3"/>
  <c r="AO76" i="3"/>
  <c r="AO119" i="3"/>
  <c r="X242" i="3"/>
  <c r="FQ204" i="3"/>
  <c r="EC394" i="3"/>
  <c r="DT148" i="3"/>
  <c r="DT43" i="3"/>
  <c r="DT44" i="3"/>
  <c r="DT212" i="3"/>
  <c r="DT213" i="3"/>
  <c r="CL238" i="3"/>
  <c r="CL157" i="3"/>
  <c r="CL119" i="3"/>
  <c r="CL76" i="3"/>
  <c r="CL103" i="3"/>
  <c r="CL62" i="3"/>
  <c r="BQ203" i="3"/>
  <c r="BM238" i="3"/>
  <c r="BM157" i="3"/>
  <c r="BM103" i="3"/>
  <c r="BM119" i="3"/>
  <c r="BM76" i="3"/>
  <c r="BM62" i="3"/>
  <c r="CE146" i="3"/>
  <c r="CJ151" i="3" s="1"/>
  <c r="CJ150" i="3" s="1"/>
  <c r="CJ145" i="3" s="1"/>
  <c r="CE131" i="3"/>
  <c r="CE130" i="3"/>
  <c r="CJ136" i="3"/>
  <c r="AT205" i="3"/>
  <c r="BN202" i="3"/>
  <c r="BS203" i="3" s="1"/>
  <c r="BN171" i="3"/>
  <c r="BN204" i="3"/>
  <c r="BS205" i="3" s="1"/>
  <c r="BN42" i="3"/>
  <c r="BN148" i="3" s="1"/>
  <c r="BN26" i="3"/>
  <c r="BN40" i="3"/>
  <c r="BN394" i="3"/>
  <c r="BN211" i="3"/>
  <c r="BN389" i="3"/>
  <c r="BN396" i="3"/>
  <c r="BN387" i="3"/>
  <c r="BN388" i="3"/>
  <c r="BN395" i="3"/>
  <c r="BN393" i="3"/>
  <c r="BN391" i="3"/>
  <c r="BN390" i="3"/>
  <c r="DE149" i="3"/>
  <c r="DV393" i="3"/>
  <c r="AE212" i="3"/>
  <c r="AY212" i="3"/>
  <c r="BK27" i="3"/>
  <c r="BK25" i="3"/>
  <c r="BK212" i="3"/>
  <c r="BK213" i="3"/>
  <c r="BK238" i="3"/>
  <c r="BP239" i="3" s="1"/>
  <c r="BK157" i="3"/>
  <c r="BK119" i="3"/>
  <c r="BK76" i="3"/>
  <c r="BK62" i="3"/>
  <c r="BK103" i="3"/>
  <c r="DO238" i="3"/>
  <c r="DO157" i="3"/>
  <c r="DO119" i="3"/>
  <c r="DO76" i="3"/>
  <c r="DO62" i="3"/>
  <c r="DO103" i="3"/>
  <c r="BT238" i="3"/>
  <c r="BT157" i="3"/>
  <c r="BX156" i="3"/>
  <c r="BX128" i="3" s="1"/>
  <c r="BT76" i="3"/>
  <c r="BT119" i="3"/>
  <c r="BT62" i="3"/>
  <c r="BT103" i="3"/>
  <c r="CN238" i="3"/>
  <c r="CN157" i="3"/>
  <c r="CR156" i="3"/>
  <c r="CR128" i="3" s="1"/>
  <c r="CN76" i="3"/>
  <c r="CN119" i="3"/>
  <c r="CN62" i="3"/>
  <c r="CN103" i="3"/>
  <c r="DH146" i="3"/>
  <c r="DM151" i="3" s="1"/>
  <c r="DH130" i="3"/>
  <c r="DH131" i="3"/>
  <c r="DM136" i="3"/>
  <c r="DX238" i="3"/>
  <c r="DX157" i="3"/>
  <c r="DX76" i="3"/>
  <c r="DX119" i="3"/>
  <c r="DX62" i="3"/>
  <c r="DX103" i="3"/>
  <c r="R273" i="3"/>
  <c r="R271" i="3"/>
  <c r="Z130" i="3"/>
  <c r="BF130" i="3"/>
  <c r="BW238" i="3"/>
  <c r="BW157" i="3"/>
  <c r="BW119" i="3"/>
  <c r="BW62" i="3"/>
  <c r="BW76" i="3"/>
  <c r="BW103" i="3"/>
  <c r="DI238" i="3"/>
  <c r="DI157" i="3"/>
  <c r="DI103" i="3"/>
  <c r="DI119" i="3"/>
  <c r="DI76" i="3"/>
  <c r="DI62" i="3"/>
  <c r="ED238" i="3"/>
  <c r="ED157" i="3"/>
  <c r="ED119" i="3"/>
  <c r="ED76" i="3"/>
  <c r="ED103" i="3"/>
  <c r="ED62" i="3"/>
  <c r="CH155" i="3"/>
  <c r="CH142" i="3"/>
  <c r="AS14" i="41" s="1"/>
  <c r="CH129" i="3"/>
  <c r="DJ146" i="3"/>
  <c r="DJ131" i="3"/>
  <c r="DJ130" i="3"/>
  <c r="DJ238" i="3"/>
  <c r="DJ157" i="3"/>
  <c r="DJ119" i="3"/>
  <c r="DJ76" i="3"/>
  <c r="DJ103" i="3"/>
  <c r="DJ62" i="3"/>
  <c r="AJ130" i="3"/>
  <c r="AR251" i="3"/>
  <c r="AR239" i="3"/>
  <c r="DF238" i="3"/>
  <c r="DF157" i="3"/>
  <c r="DF119" i="3"/>
  <c r="DF76" i="3"/>
  <c r="DF62" i="3"/>
  <c r="DF103" i="3"/>
  <c r="CH226" i="3"/>
  <c r="U242" i="3"/>
  <c r="U243" i="3" s="1"/>
  <c r="BR226" i="3"/>
  <c r="CW172" i="3"/>
  <c r="BH206" i="3"/>
  <c r="BH205" i="3"/>
  <c r="BL157" i="3"/>
  <c r="BQ146" i="3"/>
  <c r="BV151" i="3" s="1"/>
  <c r="BV150" i="3" s="1"/>
  <c r="BQ130" i="3"/>
  <c r="AZ251" i="3"/>
  <c r="CI238" i="3"/>
  <c r="CI157" i="3"/>
  <c r="CM156" i="3"/>
  <c r="CM128" i="3" s="1"/>
  <c r="CI119" i="3"/>
  <c r="CI76" i="3"/>
  <c r="CI103" i="3"/>
  <c r="CI62" i="3"/>
  <c r="CY146" i="3"/>
  <c r="CY131" i="3"/>
  <c r="CY130" i="3"/>
  <c r="DD136" i="3"/>
  <c r="DM131" i="3"/>
  <c r="DM146" i="3"/>
  <c r="DR151" i="3" s="1"/>
  <c r="DM130" i="3"/>
  <c r="DR136" i="3"/>
  <c r="EH238" i="3"/>
  <c r="EH157" i="3"/>
  <c r="EH119" i="3"/>
  <c r="EH76" i="3"/>
  <c r="EH62" i="3"/>
  <c r="EH103" i="3"/>
  <c r="DO148" i="3"/>
  <c r="DO146" i="3" s="1"/>
  <c r="DO43" i="3"/>
  <c r="DO44" i="3"/>
  <c r="DO172" i="3"/>
  <c r="DO173" i="3"/>
  <c r="CD149" i="3"/>
  <c r="CB238" i="3"/>
  <c r="CB157" i="3"/>
  <c r="CB76" i="3"/>
  <c r="CB119" i="3"/>
  <c r="CB62" i="3"/>
  <c r="CB103" i="3"/>
  <c r="AD251" i="3"/>
  <c r="AD239" i="3"/>
  <c r="AD242" i="3"/>
  <c r="CW135" i="3"/>
  <c r="EI128" i="3"/>
  <c r="EI131" i="3"/>
  <c r="CO238" i="3"/>
  <c r="CO157" i="3"/>
  <c r="CO103" i="3"/>
  <c r="CO119" i="3"/>
  <c r="CO76" i="3"/>
  <c r="CO62" i="3"/>
  <c r="EG128" i="3"/>
  <c r="DK175" i="3"/>
  <c r="DK176" i="3"/>
  <c r="DM176" i="3"/>
  <c r="EZ169" i="3"/>
  <c r="FE169" i="3" s="1"/>
  <c r="DG226" i="3"/>
  <c r="BD128" i="3"/>
  <c r="DG340" i="3"/>
  <c r="BL172" i="3"/>
  <c r="BL173" i="3"/>
  <c r="BO149" i="3"/>
  <c r="DK146" i="3"/>
  <c r="DP151" i="3" s="1"/>
  <c r="DP150" i="3" s="1"/>
  <c r="DP145" i="3" s="1"/>
  <c r="DK131" i="3"/>
  <c r="DK130" i="3"/>
  <c r="DP136" i="3"/>
  <c r="BE205" i="3"/>
  <c r="BE206" i="3"/>
  <c r="DD149" i="3"/>
  <c r="BF213" i="3"/>
  <c r="BF212" i="3"/>
  <c r="CH148" i="3"/>
  <c r="CH43" i="3"/>
  <c r="DM149" i="3"/>
  <c r="BR238" i="3"/>
  <c r="BR157" i="3"/>
  <c r="BR119" i="3"/>
  <c r="BR76" i="3"/>
  <c r="BR62" i="3"/>
  <c r="BR103" i="3"/>
  <c r="CX238" i="3"/>
  <c r="DB156" i="3"/>
  <c r="CX157" i="3"/>
  <c r="CX119" i="3"/>
  <c r="CX76" i="3"/>
  <c r="CX62" i="3"/>
  <c r="CX103" i="3"/>
  <c r="AF251" i="3"/>
  <c r="AF239" i="3"/>
  <c r="DB349" i="3"/>
  <c r="DB241" i="3"/>
  <c r="DQ241" i="3"/>
  <c r="DQ349" i="3"/>
  <c r="FQ171" i="3"/>
  <c r="BI202" i="3"/>
  <c r="BI203" i="3" s="1"/>
  <c r="BI204" i="3"/>
  <c r="BI205" i="3" s="1"/>
  <c r="BI171" i="3"/>
  <c r="BI172" i="3" s="1"/>
  <c r="BI40" i="3"/>
  <c r="BI26" i="3"/>
  <c r="BI393" i="3"/>
  <c r="BI390" i="3"/>
  <c r="BI391" i="3"/>
  <c r="BI394" i="3"/>
  <c r="BI211" i="3"/>
  <c r="BI212" i="3" s="1"/>
  <c r="BI395" i="3"/>
  <c r="BI389" i="3"/>
  <c r="BI387" i="3"/>
  <c r="BI388" i="3"/>
  <c r="BI396" i="3"/>
  <c r="BW149" i="3"/>
  <c r="DG148" i="3"/>
  <c r="DG43" i="3"/>
  <c r="BL130" i="3"/>
  <c r="BO27" i="3"/>
  <c r="BM27" i="3"/>
  <c r="BM206" i="3"/>
  <c r="BM205" i="3"/>
  <c r="BT149" i="3"/>
  <c r="CQ238" i="3"/>
  <c r="CQ157" i="3"/>
  <c r="CQ119" i="3"/>
  <c r="CQ76" i="3"/>
  <c r="CQ62" i="3"/>
  <c r="CQ103" i="3"/>
  <c r="BJ173" i="3"/>
  <c r="BJ172" i="3"/>
  <c r="DU149" i="3"/>
  <c r="DV29" i="3"/>
  <c r="BG172" i="3"/>
  <c r="BG173" i="3"/>
  <c r="BS148" i="3"/>
  <c r="BV149" i="3"/>
  <c r="CG131" i="3"/>
  <c r="CG130" i="3"/>
  <c r="CG133" i="3" s="1"/>
  <c r="CL136" i="3"/>
  <c r="DT238" i="3"/>
  <c r="DT157" i="3"/>
  <c r="DT76" i="3"/>
  <c r="DT119" i="3"/>
  <c r="DT62" i="3"/>
  <c r="DT103" i="3"/>
  <c r="DC146" i="3"/>
  <c r="DC131" i="3"/>
  <c r="DC130" i="3"/>
  <c r="DH136" i="3"/>
  <c r="DY238" i="3"/>
  <c r="DY157" i="3"/>
  <c r="DY103" i="3"/>
  <c r="DY119" i="3"/>
  <c r="DY76" i="3"/>
  <c r="DY62" i="3"/>
  <c r="T253" i="3"/>
  <c r="T270" i="3"/>
  <c r="T245" i="3"/>
  <c r="BU238" i="3"/>
  <c r="BU157" i="3"/>
  <c r="BU103" i="3"/>
  <c r="BU119" i="3"/>
  <c r="BU76" i="3"/>
  <c r="BU62" i="3"/>
  <c r="Y251" i="3"/>
  <c r="Y239" i="3"/>
  <c r="Y242" i="3"/>
  <c r="BI241" i="3"/>
  <c r="BI349" i="3"/>
  <c r="BJ226" i="3"/>
  <c r="EE399" i="3"/>
  <c r="EE323" i="3"/>
  <c r="EE327" i="3" s="1"/>
  <c r="ED317" i="3"/>
  <c r="FQ42" i="3"/>
  <c r="DT206" i="3"/>
  <c r="DT205" i="3"/>
  <c r="DK149" i="3"/>
  <c r="AU238" i="3"/>
  <c r="AU157" i="3"/>
  <c r="AU119" i="3"/>
  <c r="AU76" i="3"/>
  <c r="AU103" i="3"/>
  <c r="AU62" i="3"/>
  <c r="DP149" i="3"/>
  <c r="AV251" i="3"/>
  <c r="AV239" i="3"/>
  <c r="CU238" i="3"/>
  <c r="CU157" i="3"/>
  <c r="CU119" i="3"/>
  <c r="CU76" i="3"/>
  <c r="CU62" i="3"/>
  <c r="CU103" i="3"/>
  <c r="AT212" i="3"/>
  <c r="BR203" i="3"/>
  <c r="CK149" i="3"/>
  <c r="EC238" i="3"/>
  <c r="EC157" i="3"/>
  <c r="EC103" i="3"/>
  <c r="EC119" i="3"/>
  <c r="EC76" i="3"/>
  <c r="EC62" i="3"/>
  <c r="FQ7" i="3"/>
  <c r="BK148" i="3"/>
  <c r="BP149" i="3" s="1"/>
  <c r="BK44" i="3"/>
  <c r="BK172" i="3"/>
  <c r="BK173" i="3"/>
  <c r="DN149" i="3"/>
  <c r="DO131" i="3"/>
  <c r="DO130" i="3"/>
  <c r="DO133" i="3" s="1"/>
  <c r="CN146" i="3"/>
  <c r="CS151" i="3" s="1"/>
  <c r="CS150" i="3" s="1"/>
  <c r="CN130" i="3"/>
  <c r="CN131" i="3"/>
  <c r="CS136" i="3"/>
  <c r="CR129" i="3"/>
  <c r="CR127" i="3"/>
  <c r="CR155" i="3"/>
  <c r="CR142" i="3"/>
  <c r="BC14" i="41" s="1"/>
  <c r="Z238" i="3"/>
  <c r="Z157" i="3"/>
  <c r="BF238" i="3"/>
  <c r="BF157" i="3"/>
  <c r="BF119" i="3"/>
  <c r="BF76" i="3"/>
  <c r="BF103" i="3"/>
  <c r="BF62" i="3"/>
  <c r="DI131" i="3"/>
  <c r="DI146" i="3"/>
  <c r="DI130" i="3"/>
  <c r="DN136" i="3"/>
  <c r="BZ146" i="3"/>
  <c r="CE151" i="3" s="1"/>
  <c r="CE150" i="3" s="1"/>
  <c r="CE145" i="3" s="1"/>
  <c r="BZ131" i="3"/>
  <c r="BZ130" i="3"/>
  <c r="BZ133" i="3" s="1"/>
  <c r="CE136" i="3"/>
  <c r="CH241" i="3"/>
  <c r="CH349" i="3"/>
  <c r="EA349" i="3"/>
  <c r="CC226" i="3"/>
  <c r="AF242" i="3"/>
  <c r="FQ211" i="3"/>
  <c r="BH172" i="3"/>
  <c r="BH173" i="3"/>
  <c r="BX172" i="3"/>
  <c r="DS149" i="3"/>
  <c r="CG173" i="3"/>
  <c r="CG172" i="3"/>
  <c r="CZ149" i="3"/>
  <c r="CM129" i="3"/>
  <c r="CM127" i="3"/>
  <c r="CM142" i="3"/>
  <c r="AX14" i="41" s="1"/>
  <c r="CM155" i="3"/>
  <c r="CI146" i="3"/>
  <c r="CN151" i="3" s="1"/>
  <c r="CN150" i="3" s="1"/>
  <c r="CI131" i="3"/>
  <c r="CI130" i="3"/>
  <c r="CN136" i="3"/>
  <c r="AW238" i="3"/>
  <c r="AW157" i="3"/>
  <c r="AW103" i="3"/>
  <c r="AW119" i="3"/>
  <c r="AW76" i="3"/>
  <c r="AW62" i="3"/>
  <c r="CM148" i="3"/>
  <c r="CM43" i="3"/>
  <c r="CM172" i="3"/>
  <c r="DO206" i="3"/>
  <c r="DO205" i="3"/>
  <c r="CB146" i="3"/>
  <c r="CB130" i="3"/>
  <c r="CB133" i="3" s="1"/>
  <c r="CB131" i="3"/>
  <c r="EB238" i="3"/>
  <c r="EB157" i="3"/>
  <c r="EB76" i="3"/>
  <c r="EB119" i="3"/>
  <c r="EB62" i="3"/>
  <c r="EB103" i="3"/>
  <c r="AT130" i="3"/>
  <c r="CO131" i="3"/>
  <c r="CO146" i="3"/>
  <c r="CT151" i="3" s="1"/>
  <c r="CT150" i="3" s="1"/>
  <c r="CT145" i="3" s="1"/>
  <c r="CO130" i="3"/>
  <c r="CT136" i="3"/>
  <c r="AN251" i="3"/>
  <c r="AN239" i="3"/>
  <c r="BS241" i="3"/>
  <c r="BS349" i="3"/>
  <c r="DG228" i="3"/>
  <c r="CW228" i="3"/>
  <c r="CW226" i="3"/>
  <c r="EC29" i="3"/>
  <c r="DL336" i="3"/>
  <c r="DQ331" i="3"/>
  <c r="DQ332" i="3" s="1"/>
  <c r="EZ6" i="3"/>
  <c r="BL212" i="3"/>
  <c r="BL213" i="3"/>
  <c r="DK128" i="3"/>
  <c r="AO226" i="3"/>
  <c r="BQ212" i="3"/>
  <c r="CJ149" i="3"/>
  <c r="BV146" i="3"/>
  <c r="BV131" i="3"/>
  <c r="BV130" i="3"/>
  <c r="BV133" i="3" s="1"/>
  <c r="BV134" i="3" s="1"/>
  <c r="BV128" i="3"/>
  <c r="DV156" i="3"/>
  <c r="DV128" i="3" s="1"/>
  <c r="DV127" i="3"/>
  <c r="DV129" i="3"/>
  <c r="DV142" i="3"/>
  <c r="CG14" i="41" s="1"/>
  <c r="DR128" i="3"/>
  <c r="BF206" i="3"/>
  <c r="BF205" i="3"/>
  <c r="CS149" i="3"/>
  <c r="BA238" i="3"/>
  <c r="BA157" i="3"/>
  <c r="BA103" i="3"/>
  <c r="BA119" i="3"/>
  <c r="BA76" i="3"/>
  <c r="BA62" i="3"/>
  <c r="CZ146" i="3"/>
  <c r="CZ130" i="3"/>
  <c r="CZ131" i="3"/>
  <c r="DE136" i="3"/>
  <c r="DS146" i="3"/>
  <c r="DS131" i="3"/>
  <c r="DS130" i="3"/>
  <c r="AE238" i="3"/>
  <c r="AE157" i="3"/>
  <c r="DZ238" i="3"/>
  <c r="DZ157" i="3"/>
  <c r="DZ119" i="3"/>
  <c r="DZ76" i="3"/>
  <c r="DZ62" i="3"/>
  <c r="DZ103" i="3"/>
  <c r="CP146" i="3"/>
  <c r="CU151" i="3" s="1"/>
  <c r="CU150" i="3" s="1"/>
  <c r="CU145" i="3" s="1"/>
  <c r="CP131" i="3"/>
  <c r="CP130" i="3"/>
  <c r="CU136" i="3"/>
  <c r="CP128" i="3"/>
  <c r="Q273" i="3"/>
  <c r="Q271" i="3"/>
  <c r="U270" i="3"/>
  <c r="U245" i="3"/>
  <c r="EA174" i="3"/>
  <c r="EZ347" i="3"/>
  <c r="FE347" i="3" s="1"/>
  <c r="EF37" i="3"/>
  <c r="BM148" i="3"/>
  <c r="BR149" i="3" s="1"/>
  <c r="BM44" i="3"/>
  <c r="BQ226" i="3"/>
  <c r="DV56" i="3"/>
  <c r="EA56" i="3"/>
  <c r="CQ146" i="3"/>
  <c r="CQ131" i="3"/>
  <c r="CQ130" i="3"/>
  <c r="CV136" i="3"/>
  <c r="DW128" i="3"/>
  <c r="BJ203" i="3"/>
  <c r="DV171" i="3"/>
  <c r="DV172" i="3" s="1"/>
  <c r="DV26" i="3"/>
  <c r="DV40" i="3"/>
  <c r="DV54" i="3" s="1"/>
  <c r="DV389" i="3"/>
  <c r="DV396" i="3"/>
  <c r="DV391" i="3"/>
  <c r="DV395" i="3"/>
  <c r="DS25" i="3"/>
  <c r="DV390" i="3"/>
  <c r="DV211" i="3"/>
  <c r="DV212" i="3" s="1"/>
  <c r="DU25" i="3"/>
  <c r="DR25" i="3"/>
  <c r="DV392" i="3"/>
  <c r="DV387" i="3"/>
  <c r="DV394" i="3"/>
  <c r="DV388" i="3"/>
  <c r="DA149" i="3"/>
  <c r="BG25" i="3"/>
  <c r="BO206" i="3"/>
  <c r="DW136" i="3"/>
  <c r="FQ107" i="3"/>
  <c r="DD146" i="3"/>
  <c r="DI151" i="3" s="1"/>
  <c r="DI150" i="3" s="1"/>
  <c r="DI145" i="3" s="1"/>
  <c r="DD130" i="3"/>
  <c r="DD131" i="3"/>
  <c r="DI136" i="3"/>
  <c r="AL251" i="3"/>
  <c r="AL239" i="3"/>
  <c r="AL242" i="3"/>
  <c r="DG129" i="3"/>
  <c r="DG156" i="3"/>
  <c r="DG128" i="3" s="1"/>
  <c r="DG127" i="3"/>
  <c r="DG155" i="3"/>
  <c r="DG142" i="3"/>
  <c r="BR14" i="41" s="1"/>
  <c r="W251" i="3"/>
  <c r="W239" i="3"/>
  <c r="W242" i="3"/>
  <c r="DE238" i="3"/>
  <c r="DE157" i="3"/>
  <c r="DE103" i="3"/>
  <c r="DE119" i="3"/>
  <c r="DE76" i="3"/>
  <c r="DE62" i="3"/>
  <c r="BU131" i="3"/>
  <c r="BU146" i="3"/>
  <c r="BU130" i="3"/>
  <c r="BU133" i="3" s="1"/>
  <c r="BU134" i="3" s="1"/>
  <c r="AO128" i="3"/>
  <c r="DR167" i="3"/>
  <c r="DR168" i="3"/>
  <c r="DV166" i="3"/>
  <c r="EA167" i="3" s="1"/>
  <c r="DR174" i="3"/>
  <c r="DS168" i="3"/>
  <c r="FI168" i="3" s="1"/>
  <c r="DW167" i="3"/>
  <c r="CR241" i="3"/>
  <c r="CR349" i="3"/>
  <c r="CM241" i="3"/>
  <c r="CM349" i="3"/>
  <c r="BI225" i="3"/>
  <c r="BI226" i="3" s="1"/>
  <c r="DZ315" i="3"/>
  <c r="EC396" i="3"/>
  <c r="EC392" i="3"/>
  <c r="EC391" i="3"/>
  <c r="EC390" i="3"/>
  <c r="EC388" i="3"/>
  <c r="EC387" i="3"/>
  <c r="EC211" i="3"/>
  <c r="EC171" i="3"/>
  <c r="EC24" i="3"/>
  <c r="EC42" i="3"/>
  <c r="EC26" i="3"/>
  <c r="EC204" i="3"/>
  <c r="EC393" i="3"/>
  <c r="EC227" i="3"/>
  <c r="EC395" i="3"/>
  <c r="EC389" i="3"/>
  <c r="EC225" i="3"/>
  <c r="DL172" i="3"/>
  <c r="DT25" i="3"/>
  <c r="CU149" i="3"/>
  <c r="AY155" i="3"/>
  <c r="AY156" i="3"/>
  <c r="AY127" i="3"/>
  <c r="AY129" i="3"/>
  <c r="AY130" i="3" s="1"/>
  <c r="DU206" i="3"/>
  <c r="CV149" i="3"/>
  <c r="AZ130" i="3"/>
  <c r="BH157" i="3"/>
  <c r="BM130" i="3"/>
  <c r="CE128" i="3"/>
  <c r="CU146" i="3"/>
  <c r="CU131" i="3"/>
  <c r="CU130" i="3"/>
  <c r="CZ136" i="3"/>
  <c r="DU27" i="3"/>
  <c r="BN29" i="3"/>
  <c r="BK203" i="3"/>
  <c r="BO213" i="3"/>
  <c r="CT149" i="3"/>
  <c r="FQ66" i="3"/>
  <c r="FP66" i="3"/>
  <c r="BK130" i="3"/>
  <c r="BP130" i="3"/>
  <c r="BT146" i="3"/>
  <c r="BY151" i="3" s="1"/>
  <c r="BY150" i="3" s="1"/>
  <c r="BT130" i="3"/>
  <c r="BT133" i="3" s="1"/>
  <c r="BT134" i="3" s="1"/>
  <c r="BT131" i="3"/>
  <c r="BX142" i="3"/>
  <c r="BX129" i="3"/>
  <c r="BX127" i="3"/>
  <c r="BX155" i="3"/>
  <c r="DH238" i="3"/>
  <c r="DH157" i="3"/>
  <c r="DH76" i="3"/>
  <c r="DH119" i="3"/>
  <c r="DH62" i="3"/>
  <c r="DH103" i="3"/>
  <c r="BW146" i="3"/>
  <c r="BW131" i="3"/>
  <c r="BW130" i="3"/>
  <c r="BW133" i="3" s="1"/>
  <c r="BW134" i="3" s="1"/>
  <c r="AI251" i="3"/>
  <c r="AI239" i="3"/>
  <c r="AI242" i="3"/>
  <c r="AN243" i="3" s="1"/>
  <c r="CD146" i="3"/>
  <c r="CD131" i="3"/>
  <c r="CI136" i="3"/>
  <c r="CD238" i="3"/>
  <c r="CH156" i="3"/>
  <c r="CD119" i="3"/>
  <c r="CD76" i="3"/>
  <c r="CD62" i="3"/>
  <c r="CD103" i="3"/>
  <c r="AB251" i="3"/>
  <c r="AB239" i="3"/>
  <c r="BZ238" i="3"/>
  <c r="BZ157" i="3"/>
  <c r="BZ119" i="3"/>
  <c r="BZ76" i="3"/>
  <c r="BZ103" i="3"/>
  <c r="BZ62" i="3"/>
  <c r="DX175" i="3"/>
  <c r="DX176" i="3"/>
  <c r="DY176" i="3"/>
  <c r="DG205" i="3"/>
  <c r="CC228" i="3"/>
  <c r="CC241" i="3"/>
  <c r="CC349" i="3"/>
  <c r="BH25" i="3"/>
  <c r="BX148" i="3"/>
  <c r="CC149" i="3" s="1"/>
  <c r="BX43" i="3"/>
  <c r="BX203" i="3"/>
  <c r="CY149" i="3"/>
  <c r="BQ238" i="3"/>
  <c r="BQ157" i="3"/>
  <c r="BQ103" i="3"/>
  <c r="BQ119" i="3"/>
  <c r="BQ76" i="3"/>
  <c r="BQ62" i="3"/>
  <c r="BQ205" i="3"/>
  <c r="CI27" i="3"/>
  <c r="CG27" i="3"/>
  <c r="CG213" i="3"/>
  <c r="CG212" i="3"/>
  <c r="DU173" i="3"/>
  <c r="CF149" i="3"/>
  <c r="CY238" i="3"/>
  <c r="CY157" i="3"/>
  <c r="CY119" i="3"/>
  <c r="CY76" i="3"/>
  <c r="CY103" i="3"/>
  <c r="CY62" i="3"/>
  <c r="DQ127" i="3"/>
  <c r="DQ156" i="3"/>
  <c r="DQ128" i="3" s="1"/>
  <c r="DQ129" i="3"/>
  <c r="DQ142" i="3"/>
  <c r="CB14" i="41" s="1"/>
  <c r="DQ155" i="3"/>
  <c r="BR172" i="3"/>
  <c r="ED24" i="3"/>
  <c r="BQ43" i="3"/>
  <c r="DI149" i="3"/>
  <c r="AW128" i="3"/>
  <c r="BO146" i="3"/>
  <c r="BO238" i="3"/>
  <c r="BS156" i="3"/>
  <c r="BO119" i="3"/>
  <c r="BO76" i="3"/>
  <c r="BO62" i="3"/>
  <c r="BO103" i="3"/>
  <c r="CA238" i="3"/>
  <c r="CA157" i="3"/>
  <c r="CA119" i="3"/>
  <c r="CA76" i="3"/>
  <c r="CA103" i="3"/>
  <c r="CA62" i="3"/>
  <c r="CI213" i="3"/>
  <c r="CM205" i="3"/>
  <c r="DO212" i="3"/>
  <c r="DO213" i="3"/>
  <c r="DR149" i="3"/>
  <c r="DV67" i="3"/>
  <c r="CV238" i="3"/>
  <c r="CV157" i="3"/>
  <c r="CV76" i="3"/>
  <c r="CV119" i="3"/>
  <c r="CV62" i="3"/>
  <c r="CV103" i="3"/>
  <c r="EB128" i="3"/>
  <c r="V251" i="3"/>
  <c r="V239" i="3"/>
  <c r="V242" i="3"/>
  <c r="AT238" i="3"/>
  <c r="AT157" i="3"/>
  <c r="AT103" i="3"/>
  <c r="AT119" i="3"/>
  <c r="AT76" i="3"/>
  <c r="CS131" i="3"/>
  <c r="CS146" i="3"/>
  <c r="CS130" i="3"/>
  <c r="CX136" i="3"/>
  <c r="DN146" i="3"/>
  <c r="DN131" i="3"/>
  <c r="DN130" i="3"/>
  <c r="DS136" i="3"/>
  <c r="DN238" i="3"/>
  <c r="DN157" i="3"/>
  <c r="DN119" i="3"/>
  <c r="DN76" i="3"/>
  <c r="DN62" i="3"/>
  <c r="DN103" i="3"/>
  <c r="FQ126" i="3"/>
  <c r="FP126" i="3"/>
  <c r="DU238" i="3"/>
  <c r="DU157" i="3"/>
  <c r="DU103" i="3"/>
  <c r="DU119" i="3"/>
  <c r="DU76" i="3"/>
  <c r="DU62" i="3"/>
  <c r="CK131" i="3"/>
  <c r="CK146" i="3"/>
  <c r="CK130" i="3"/>
  <c r="CP136" i="3"/>
  <c r="CK238" i="3"/>
  <c r="CK157" i="3"/>
  <c r="CK103" i="3"/>
  <c r="CK119" i="3"/>
  <c r="CK76" i="3"/>
  <c r="CK62" i="3"/>
  <c r="AC251" i="3"/>
  <c r="AC239" i="3"/>
  <c r="AC242" i="3"/>
  <c r="ET291" i="3"/>
  <c r="EZ52" i="3"/>
  <c r="EB228" i="3" l="1"/>
  <c r="EF79" i="3"/>
  <c r="EF122" i="3"/>
  <c r="FE6" i="3"/>
  <c r="FE120" i="3" s="1"/>
  <c r="EZ120" i="3"/>
  <c r="EZ121" i="3" s="1"/>
  <c r="DX106" i="3"/>
  <c r="DX105" i="3"/>
  <c r="EH106" i="3"/>
  <c r="EH105" i="3"/>
  <c r="EM105" i="3"/>
  <c r="EH79" i="3"/>
  <c r="EH65" i="3"/>
  <c r="EH122" i="3"/>
  <c r="DW29" i="3"/>
  <c r="DW104" i="3"/>
  <c r="ED106" i="3"/>
  <c r="ED105" i="3"/>
  <c r="EI105" i="3"/>
  <c r="DY106" i="3"/>
  <c r="DY105" i="3"/>
  <c r="DZ105" i="3"/>
  <c r="DZ106" i="3"/>
  <c r="EG106" i="3"/>
  <c r="EG105" i="3"/>
  <c r="EL105" i="3"/>
  <c r="EG122" i="3"/>
  <c r="EG79" i="3"/>
  <c r="EG65" i="3"/>
  <c r="EB106" i="3"/>
  <c r="DX387" i="3"/>
  <c r="DX79" i="3"/>
  <c r="DX122" i="3"/>
  <c r="DX65" i="3"/>
  <c r="DQ106" i="3"/>
  <c r="DQ105" i="3"/>
  <c r="EZ78" i="3"/>
  <c r="EF394" i="3"/>
  <c r="EF65" i="3"/>
  <c r="EI175" i="3"/>
  <c r="CD157" i="3"/>
  <c r="EJ176" i="3"/>
  <c r="FK109" i="3"/>
  <c r="FJ176" i="3"/>
  <c r="EF349" i="3"/>
  <c r="EA23" i="3"/>
  <c r="DL175" i="3"/>
  <c r="BY157" i="3"/>
  <c r="FK24" i="3"/>
  <c r="BY238" i="3"/>
  <c r="BY251" i="3" s="1"/>
  <c r="BY130" i="3"/>
  <c r="BY133" i="3" s="1"/>
  <c r="CH127" i="3"/>
  <c r="BY76" i="3"/>
  <c r="CC127" i="3"/>
  <c r="EK128" i="3"/>
  <c r="EP157" i="3"/>
  <c r="CD130" i="3"/>
  <c r="BY146" i="3"/>
  <c r="CD151" i="3" s="1"/>
  <c r="CD150" i="3" s="1"/>
  <c r="CD145" i="3" s="1"/>
  <c r="BY119" i="3"/>
  <c r="CD136" i="3"/>
  <c r="BY103" i="3"/>
  <c r="FK168" i="3"/>
  <c r="EK175" i="3"/>
  <c r="EP175" i="3"/>
  <c r="BY62" i="3"/>
  <c r="EF241" i="3"/>
  <c r="CC156" i="3"/>
  <c r="CH157" i="3" s="1"/>
  <c r="EU16" i="3"/>
  <c r="EZ16" i="3" s="1"/>
  <c r="FE16" i="3" s="1"/>
  <c r="ET7" i="3"/>
  <c r="ET23" i="3"/>
  <c r="EN239" i="3"/>
  <c r="FQ76" i="3"/>
  <c r="EU266" i="3"/>
  <c r="FH169" i="3"/>
  <c r="ET74" i="3"/>
  <c r="ET82" i="3"/>
  <c r="ET66" i="3"/>
  <c r="CC155" i="3"/>
  <c r="CC129" i="3"/>
  <c r="CC131" i="3" s="1"/>
  <c r="EU154" i="3"/>
  <c r="ES278" i="3"/>
  <c r="ER287" i="3"/>
  <c r="ET107" i="3"/>
  <c r="EI146" i="3"/>
  <c r="EN149" i="3"/>
  <c r="EJ132" i="3"/>
  <c r="EC40" i="3"/>
  <c r="EN133" i="3"/>
  <c r="DX42" i="3"/>
  <c r="EC43" i="3" s="1"/>
  <c r="DX136" i="3"/>
  <c r="DX24" i="3"/>
  <c r="DX388" i="3"/>
  <c r="DX391" i="3"/>
  <c r="DY24" i="3"/>
  <c r="DX227" i="3"/>
  <c r="EC228" i="3" s="1"/>
  <c r="DX40" i="3"/>
  <c r="DX211" i="3"/>
  <c r="EC212" i="3" s="1"/>
  <c r="DX390" i="3"/>
  <c r="DX396" i="3"/>
  <c r="S273" i="3"/>
  <c r="S286" i="3" s="1"/>
  <c r="DY109" i="3"/>
  <c r="DX108" i="3"/>
  <c r="BO157" i="3"/>
  <c r="DX389" i="3"/>
  <c r="DX171" i="3"/>
  <c r="EC172" i="3" s="1"/>
  <c r="DX392" i="3"/>
  <c r="DX394" i="3"/>
  <c r="DX204" i="3"/>
  <c r="DX205" i="3" s="1"/>
  <c r="BJ103" i="3"/>
  <c r="DX395" i="3"/>
  <c r="DX225" i="3"/>
  <c r="DX226" i="3" s="1"/>
  <c r="DW108" i="3"/>
  <c r="DX393" i="3"/>
  <c r="BJ62" i="3"/>
  <c r="DX129" i="3"/>
  <c r="EC130" i="3" s="1"/>
  <c r="DX26" i="3"/>
  <c r="DY27" i="3" s="1"/>
  <c r="EH108" i="3"/>
  <c r="EB29" i="3"/>
  <c r="FQ36" i="3"/>
  <c r="EA36" i="3"/>
  <c r="EA7" i="3"/>
  <c r="EB108" i="3"/>
  <c r="DX109" i="3"/>
  <c r="BN129" i="3"/>
  <c r="BS130" i="3" s="1"/>
  <c r="BO130" i="3"/>
  <c r="BJ130" i="3"/>
  <c r="BN127" i="3"/>
  <c r="BS127" i="3"/>
  <c r="EM239" i="3"/>
  <c r="EM40" i="3"/>
  <c r="FP23" i="3"/>
  <c r="EH29" i="3"/>
  <c r="EM29" i="3"/>
  <c r="EI109" i="3"/>
  <c r="EM108" i="3"/>
  <c r="U253" i="3"/>
  <c r="FE5" i="3"/>
  <c r="FE77" i="3" s="1"/>
  <c r="BJ157" i="3"/>
  <c r="BN156" i="3"/>
  <c r="BN128" i="3" s="1"/>
  <c r="BJ76" i="3"/>
  <c r="BJ238" i="3"/>
  <c r="BJ242" i="3" s="1"/>
  <c r="BJ119" i="3"/>
  <c r="EL239" i="3"/>
  <c r="FN239" i="3" s="1"/>
  <c r="EF107" i="3"/>
  <c r="EF108" i="3" s="1"/>
  <c r="EF7" i="3"/>
  <c r="EF104" i="3" s="1"/>
  <c r="DW213" i="3"/>
  <c r="FH213" i="3" s="1"/>
  <c r="EF36" i="3"/>
  <c r="DW172" i="3"/>
  <c r="DW228" i="3"/>
  <c r="DW229" i="3"/>
  <c r="DW130" i="3"/>
  <c r="DW133" i="3" s="1"/>
  <c r="DW131" i="3"/>
  <c r="DW132" i="3" s="1"/>
  <c r="EH109" i="3"/>
  <c r="FP107" i="3"/>
  <c r="EL108" i="3"/>
  <c r="FN108" i="3" s="1"/>
  <c r="EG29" i="3"/>
  <c r="FP7" i="3"/>
  <c r="EL29" i="3"/>
  <c r="FN29" i="3" s="1"/>
  <c r="EL40" i="3"/>
  <c r="FN40" i="3" s="1"/>
  <c r="DW44" i="3"/>
  <c r="DW206" i="3"/>
  <c r="EB109" i="3"/>
  <c r="FH109" i="3" s="1"/>
  <c r="EB205" i="3"/>
  <c r="AR243" i="3"/>
  <c r="EC109" i="3"/>
  <c r="BI130" i="3"/>
  <c r="DW43" i="3"/>
  <c r="EK157" i="3"/>
  <c r="EK238" i="3"/>
  <c r="EK76" i="3"/>
  <c r="EK119" i="3"/>
  <c r="EK62" i="3"/>
  <c r="EK103" i="3"/>
  <c r="BL239" i="3"/>
  <c r="BL251" i="3"/>
  <c r="BL383" i="3" s="1"/>
  <c r="EB226" i="3"/>
  <c r="ED148" i="3"/>
  <c r="EI149" i="3" s="1"/>
  <c r="DZ206" i="3"/>
  <c r="EB44" i="3"/>
  <c r="EG129" i="3"/>
  <c r="EE205" i="3"/>
  <c r="EH393" i="3"/>
  <c r="EK23" i="3"/>
  <c r="EK107" i="3"/>
  <c r="EP108" i="3" s="1"/>
  <c r="EK7" i="3"/>
  <c r="EK36" i="3"/>
  <c r="EG24" i="3"/>
  <c r="FH24" i="3" s="1"/>
  <c r="EE27" i="3"/>
  <c r="EG26" i="3"/>
  <c r="EG390" i="3"/>
  <c r="EG388" i="3"/>
  <c r="EG393" i="3"/>
  <c r="EG40" i="3"/>
  <c r="EG396" i="3"/>
  <c r="EE213" i="3"/>
  <c r="EG389" i="3"/>
  <c r="EG171" i="3"/>
  <c r="EG392" i="3"/>
  <c r="EG395" i="3"/>
  <c r="EG225" i="3"/>
  <c r="EB27" i="3"/>
  <c r="EB173" i="3"/>
  <c r="EG42" i="3"/>
  <c r="EG391" i="3"/>
  <c r="EG227" i="3"/>
  <c r="EG211" i="3"/>
  <c r="EG213" i="3" s="1"/>
  <c r="DZ205" i="3"/>
  <c r="EG204" i="3"/>
  <c r="EG394" i="3"/>
  <c r="EG387" i="3"/>
  <c r="EG108" i="3"/>
  <c r="EE148" i="3"/>
  <c r="EG109" i="3"/>
  <c r="DY130" i="3"/>
  <c r="DY133" i="3" s="1"/>
  <c r="EB148" i="3"/>
  <c r="EB146" i="3" s="1"/>
  <c r="DY213" i="3"/>
  <c r="EJ43" i="3"/>
  <c r="EH392" i="3"/>
  <c r="EE43" i="3"/>
  <c r="EB213" i="3"/>
  <c r="EB43" i="3"/>
  <c r="DD132" i="3"/>
  <c r="CS133" i="3"/>
  <c r="BZ132" i="3"/>
  <c r="BU147" i="3"/>
  <c r="EH394" i="3"/>
  <c r="EB172" i="3"/>
  <c r="EH40" i="3"/>
  <c r="CU133" i="3"/>
  <c r="CU134" i="3" s="1"/>
  <c r="EE44" i="3"/>
  <c r="DZ213" i="3"/>
  <c r="EB130" i="3"/>
  <c r="EB133" i="3" s="1"/>
  <c r="EE229" i="3"/>
  <c r="DZ173" i="3"/>
  <c r="BN228" i="3"/>
  <c r="DA147" i="3"/>
  <c r="EH225" i="3"/>
  <c r="DC147" i="3"/>
  <c r="EE172" i="3"/>
  <c r="DN132" i="3"/>
  <c r="CS147" i="3"/>
  <c r="CO132" i="3"/>
  <c r="DV43" i="3"/>
  <c r="DZ43" i="3"/>
  <c r="FQ157" i="3"/>
  <c r="EH388" i="3"/>
  <c r="DA133" i="3"/>
  <c r="DA134" i="3" s="1"/>
  <c r="CF147" i="3"/>
  <c r="DZ27" i="3"/>
  <c r="DD133" i="3"/>
  <c r="DM133" i="3"/>
  <c r="BQ147" i="3"/>
  <c r="DF132" i="3"/>
  <c r="CK133" i="3"/>
  <c r="EH129" i="3"/>
  <c r="CZ132" i="3"/>
  <c r="CU147" i="3"/>
  <c r="DI132" i="3"/>
  <c r="DZ133" i="3"/>
  <c r="CQ147" i="3"/>
  <c r="DC133" i="3"/>
  <c r="CL149" i="3"/>
  <c r="EB206" i="3"/>
  <c r="EE130" i="3"/>
  <c r="EB212" i="3"/>
  <c r="EE212" i="3"/>
  <c r="EE131" i="3"/>
  <c r="EE136" i="3"/>
  <c r="DS132" i="3"/>
  <c r="BW132" i="3"/>
  <c r="DZ131" i="3"/>
  <c r="EB132" i="3" s="1"/>
  <c r="DV149" i="3"/>
  <c r="CY133" i="3"/>
  <c r="CY134" i="3" s="1"/>
  <c r="EJ130" i="3"/>
  <c r="EJ212" i="3"/>
  <c r="BO147" i="3"/>
  <c r="CD132" i="3"/>
  <c r="CO133" i="3"/>
  <c r="DO147" i="3"/>
  <c r="EJ136" i="3"/>
  <c r="DZ146" i="3"/>
  <c r="CK147" i="3"/>
  <c r="EH227" i="3"/>
  <c r="EH136" i="3"/>
  <c r="EH26" i="3"/>
  <c r="EH396" i="3"/>
  <c r="CN132" i="3"/>
  <c r="DY131" i="3"/>
  <c r="EH390" i="3"/>
  <c r="DM147" i="3"/>
  <c r="BK146" i="3"/>
  <c r="BP151" i="3" s="1"/>
  <c r="BP150" i="3" s="1"/>
  <c r="EC27" i="3"/>
  <c r="EH395" i="3"/>
  <c r="EH171" i="3"/>
  <c r="EH391" i="3"/>
  <c r="DK132" i="3"/>
  <c r="EB229" i="3"/>
  <c r="EH24" i="3"/>
  <c r="EH42" i="3"/>
  <c r="EH204" i="3"/>
  <c r="BS43" i="3"/>
  <c r="DK147" i="3"/>
  <c r="EI24" i="3"/>
  <c r="EH211" i="3"/>
  <c r="CQ132" i="3"/>
  <c r="BV147" i="3"/>
  <c r="EH389" i="3"/>
  <c r="EH387" i="3"/>
  <c r="CG132" i="3"/>
  <c r="EE173" i="3"/>
  <c r="BQ149" i="3"/>
  <c r="CY147" i="3"/>
  <c r="ED228" i="3"/>
  <c r="EE228" i="3"/>
  <c r="EJ228" i="3"/>
  <c r="EU36" i="3"/>
  <c r="ED205" i="3"/>
  <c r="EG136" i="3"/>
  <c r="EI228" i="3"/>
  <c r="ED131" i="3"/>
  <c r="ED132" i="3" s="1"/>
  <c r="EJ226" i="3"/>
  <c r="EE226" i="3"/>
  <c r="CZ133" i="3"/>
  <c r="DI147" i="3"/>
  <c r="ED212" i="3"/>
  <c r="EJ239" i="3"/>
  <c r="DY172" i="3"/>
  <c r="EI130" i="3"/>
  <c r="ED130" i="3"/>
  <c r="ED133" i="3" s="1"/>
  <c r="EI212" i="3"/>
  <c r="ED43" i="3"/>
  <c r="EE206" i="3"/>
  <c r="ED226" i="3"/>
  <c r="ED173" i="3"/>
  <c r="DY43" i="3"/>
  <c r="ED172" i="3"/>
  <c r="DZ44" i="3"/>
  <c r="ED213" i="3"/>
  <c r="DZ229" i="3"/>
  <c r="DY228" i="3"/>
  <c r="EC25" i="3"/>
  <c r="CN147" i="3"/>
  <c r="CK132" i="3"/>
  <c r="DN133" i="3"/>
  <c r="DN147" i="3"/>
  <c r="CS132" i="3"/>
  <c r="BW147" i="3"/>
  <c r="CU132" i="3"/>
  <c r="BM146" i="3"/>
  <c r="BR151" i="3" s="1"/>
  <c r="BR150" i="3" s="1"/>
  <c r="AR244" i="3"/>
  <c r="DD147" i="3"/>
  <c r="CQ133" i="3"/>
  <c r="CQ134" i="3" s="1"/>
  <c r="CO147" i="3"/>
  <c r="CB132" i="3"/>
  <c r="CB147" i="3"/>
  <c r="ED27" i="3"/>
  <c r="CI132" i="3"/>
  <c r="CK151" i="3"/>
  <c r="CK150" i="3" s="1"/>
  <c r="CK145" i="3" s="1"/>
  <c r="DC132" i="3"/>
  <c r="DD151" i="3"/>
  <c r="DD150" i="3" s="1"/>
  <c r="DD145" i="3" s="1"/>
  <c r="DK133" i="3"/>
  <c r="DK134" i="3" s="1"/>
  <c r="CY132" i="3"/>
  <c r="DJ133" i="3"/>
  <c r="DJ147" i="3"/>
  <c r="DH132" i="3"/>
  <c r="CF133" i="3"/>
  <c r="CF134" i="3" s="1"/>
  <c r="DU147" i="3"/>
  <c r="DQ149" i="3"/>
  <c r="X5" i="42"/>
  <c r="D52" i="42"/>
  <c r="A64" i="42"/>
  <c r="A465" i="42"/>
  <c r="A517" i="42" s="1"/>
  <c r="A569" i="42" s="1"/>
  <c r="A445" i="42"/>
  <c r="A447" i="42"/>
  <c r="A499" i="42" s="1"/>
  <c r="A551" i="42" s="1"/>
  <c r="A603" i="42" s="1"/>
  <c r="M22" i="42"/>
  <c r="N20" i="42"/>
  <c r="M21" i="42"/>
  <c r="D36" i="42"/>
  <c r="A48" i="42"/>
  <c r="D51" i="42"/>
  <c r="A63" i="42"/>
  <c r="A454" i="42"/>
  <c r="A506" i="42" s="1"/>
  <c r="A558" i="42" s="1"/>
  <c r="A440" i="42"/>
  <c r="A442" i="42"/>
  <c r="A464" i="42"/>
  <c r="A516" i="42" s="1"/>
  <c r="A568" i="42" s="1"/>
  <c r="A450" i="42"/>
  <c r="A502" i="42" s="1"/>
  <c r="A554" i="42" s="1"/>
  <c r="A606" i="42" s="1"/>
  <c r="A462" i="42"/>
  <c r="A514" i="42" s="1"/>
  <c r="A566" i="42" s="1"/>
  <c r="D42" i="42"/>
  <c r="A54" i="42"/>
  <c r="Y5" i="42"/>
  <c r="D49" i="42"/>
  <c r="A61" i="42"/>
  <c r="A467" i="42"/>
  <c r="A519" i="42" s="1"/>
  <c r="A571" i="42" s="1"/>
  <c r="A456" i="42"/>
  <c r="A508" i="42" s="1"/>
  <c r="A560" i="42" s="1"/>
  <c r="A458" i="42"/>
  <c r="A510" i="42" s="1"/>
  <c r="A562" i="42" s="1"/>
  <c r="A468" i="42"/>
  <c r="A520" i="42" s="1"/>
  <c r="A572" i="42" s="1"/>
  <c r="A443" i="42"/>
  <c r="A463" i="42"/>
  <c r="A515" i="42" s="1"/>
  <c r="A567" i="42" s="1"/>
  <c r="M32" i="42"/>
  <c r="M31" i="42"/>
  <c r="N30" i="42"/>
  <c r="N27" i="42"/>
  <c r="N26" i="42"/>
  <c r="O25" i="42"/>
  <c r="A469" i="42"/>
  <c r="A521" i="42" s="1"/>
  <c r="A573" i="42" s="1"/>
  <c r="A459" i="42"/>
  <c r="A511" i="42" s="1"/>
  <c r="A563" i="42" s="1"/>
  <c r="D47" i="42"/>
  <c r="A59" i="42"/>
  <c r="D38" i="42"/>
  <c r="A50" i="42"/>
  <c r="D45" i="42"/>
  <c r="A57" i="42"/>
  <c r="A466" i="42"/>
  <c r="A518" i="42" s="1"/>
  <c r="A570" i="42" s="1"/>
  <c r="A449" i="42"/>
  <c r="A501" i="42" s="1"/>
  <c r="A553" i="42" s="1"/>
  <c r="A605" i="42" s="1"/>
  <c r="N9" i="42"/>
  <c r="M10" i="42"/>
  <c r="D53" i="42"/>
  <c r="A65" i="42"/>
  <c r="D46" i="42"/>
  <c r="A58" i="42"/>
  <c r="W5" i="42"/>
  <c r="D44" i="42"/>
  <c r="A56" i="42"/>
  <c r="N14" i="42"/>
  <c r="M15" i="42"/>
  <c r="A451" i="42"/>
  <c r="A503" i="42" s="1"/>
  <c r="A555" i="42" s="1"/>
  <c r="A607" i="42" s="1"/>
  <c r="A437" i="42"/>
  <c r="A439" i="42"/>
  <c r="A444" i="42"/>
  <c r="A436" i="42"/>
  <c r="C231" i="42"/>
  <c r="B230" i="42"/>
  <c r="D230" i="42" s="1"/>
  <c r="D43" i="42"/>
  <c r="A55" i="42"/>
  <c r="A438" i="42"/>
  <c r="A453" i="42"/>
  <c r="A505" i="42" s="1"/>
  <c r="A557" i="42" s="1"/>
  <c r="A455" i="42"/>
  <c r="A507" i="42" s="1"/>
  <c r="A559" i="42" s="1"/>
  <c r="A460" i="42"/>
  <c r="A512" i="42" s="1"/>
  <c r="A564" i="42" s="1"/>
  <c r="A441" i="42"/>
  <c r="A446" i="42"/>
  <c r="A498" i="42" s="1"/>
  <c r="A550" i="42" s="1"/>
  <c r="A602" i="42" s="1"/>
  <c r="A452" i="42"/>
  <c r="A504" i="42" s="1"/>
  <c r="A556" i="42" s="1"/>
  <c r="V5" i="42"/>
  <c r="A457" i="42"/>
  <c r="A509" i="42" s="1"/>
  <c r="A561" i="42" s="1"/>
  <c r="A461" i="42"/>
  <c r="A513" i="42" s="1"/>
  <c r="A565" i="42" s="1"/>
  <c r="A448" i="42"/>
  <c r="A500" i="42" s="1"/>
  <c r="A552" i="42" s="1"/>
  <c r="A604" i="42" s="1"/>
  <c r="E10" i="41"/>
  <c r="A9" i="41"/>
  <c r="B9" i="41" s="1"/>
  <c r="G894" i="41"/>
  <c r="H893" i="41" s="1"/>
  <c r="D9" i="41"/>
  <c r="C8" i="41"/>
  <c r="P4" i="91"/>
  <c r="BY145" i="3"/>
  <c r="CN145" i="3"/>
  <c r="DC145" i="3"/>
  <c r="AT369" i="3"/>
  <c r="AT339" i="3"/>
  <c r="AT341" i="3"/>
  <c r="AT314" i="3"/>
  <c r="AT337" i="3"/>
  <c r="AT251" i="3"/>
  <c r="AT239" i="3"/>
  <c r="AT242" i="3"/>
  <c r="BS238" i="3"/>
  <c r="BS76" i="3"/>
  <c r="BS103" i="3"/>
  <c r="BS62" i="3"/>
  <c r="BS119" i="3"/>
  <c r="DQ146" i="3"/>
  <c r="DQ131" i="3"/>
  <c r="DQ130" i="3"/>
  <c r="CY251" i="3"/>
  <c r="CY239" i="3"/>
  <c r="CY242" i="3"/>
  <c r="BZ251" i="3"/>
  <c r="BZ239" i="3"/>
  <c r="BZ242" i="3"/>
  <c r="CH238" i="3"/>
  <c r="CH76" i="3"/>
  <c r="CH119" i="3"/>
  <c r="CH62" i="3"/>
  <c r="CH103" i="3"/>
  <c r="AI270" i="3"/>
  <c r="AI252" i="3"/>
  <c r="AI253" i="3"/>
  <c r="AI245" i="3"/>
  <c r="AY238" i="3"/>
  <c r="BD239" i="3" s="1"/>
  <c r="AY157" i="3"/>
  <c r="AY76" i="3"/>
  <c r="AY119" i="3"/>
  <c r="AY62" i="3"/>
  <c r="AY103" i="3"/>
  <c r="EC206" i="3"/>
  <c r="W243" i="3"/>
  <c r="W244" i="3"/>
  <c r="DG146" i="3"/>
  <c r="DG131" i="3"/>
  <c r="DG130" i="3"/>
  <c r="DL136" i="3"/>
  <c r="DY149" i="3"/>
  <c r="EF396" i="3"/>
  <c r="EF171" i="3"/>
  <c r="EF42" i="3"/>
  <c r="EF26" i="3"/>
  <c r="EF388" i="3"/>
  <c r="EF392" i="3"/>
  <c r="EF387" i="3"/>
  <c r="EF204" i="3"/>
  <c r="EF391" i="3"/>
  <c r="EF390" i="3"/>
  <c r="EF211" i="3"/>
  <c r="EF225" i="3"/>
  <c r="EE25" i="3"/>
  <c r="EF395" i="3"/>
  <c r="EF393" i="3"/>
  <c r="ED25" i="3"/>
  <c r="EB25" i="3"/>
  <c r="EF389" i="3"/>
  <c r="EF227" i="3"/>
  <c r="CP147" i="3"/>
  <c r="DS133" i="3"/>
  <c r="DQ336" i="3"/>
  <c r="DV331" i="3"/>
  <c r="DV332" i="3" s="1"/>
  <c r="CM146" i="3"/>
  <c r="CR151" i="3" s="1"/>
  <c r="CM131" i="3"/>
  <c r="CM130" i="3"/>
  <c r="CR136" i="3"/>
  <c r="AF244" i="3"/>
  <c r="AF243" i="3"/>
  <c r="CR146" i="3"/>
  <c r="CR130" i="3"/>
  <c r="CR131" i="3"/>
  <c r="CW136" i="3"/>
  <c r="AV253" i="3"/>
  <c r="AV270" i="3"/>
  <c r="AV252" i="3"/>
  <c r="AV245" i="3"/>
  <c r="AU251" i="3"/>
  <c r="AZ245" i="3" s="1"/>
  <c r="AU239" i="3"/>
  <c r="AU242" i="3"/>
  <c r="BY132" i="3"/>
  <c r="DT339" i="3"/>
  <c r="DT337" i="3"/>
  <c r="DT251" i="3"/>
  <c r="DT239" i="3"/>
  <c r="DT341" i="3"/>
  <c r="DT242" i="3"/>
  <c r="DT314" i="3"/>
  <c r="BT151" i="3"/>
  <c r="BT150" i="3" s="1"/>
  <c r="BX150" i="3" s="1"/>
  <c r="BR251" i="3"/>
  <c r="BR239" i="3"/>
  <c r="BR242" i="3"/>
  <c r="CH149" i="3"/>
  <c r="EZ19" i="3"/>
  <c r="FE19" i="3" s="1"/>
  <c r="AD243" i="3"/>
  <c r="AD244" i="3"/>
  <c r="CM238" i="3"/>
  <c r="CM157" i="3"/>
  <c r="CM62" i="3"/>
  <c r="CM103" i="3"/>
  <c r="CM76" i="3"/>
  <c r="CM119" i="3"/>
  <c r="AZ383" i="3"/>
  <c r="AZ253" i="3"/>
  <c r="AZ270" i="3"/>
  <c r="AR253" i="3"/>
  <c r="AR270" i="3"/>
  <c r="AR252" i="3"/>
  <c r="CH146" i="3"/>
  <c r="CM151" i="3" s="1"/>
  <c r="CH131" i="3"/>
  <c r="CM136" i="3"/>
  <c r="ED337" i="3"/>
  <c r="ED339" i="3"/>
  <c r="ED251" i="3"/>
  <c r="ED239" i="3"/>
  <c r="ED242" i="3"/>
  <c r="ED341" i="3"/>
  <c r="ED314" i="3"/>
  <c r="DI251" i="3"/>
  <c r="DI239" i="3"/>
  <c r="DI242" i="3"/>
  <c r="DX337" i="3"/>
  <c r="DX339" i="3"/>
  <c r="DX314" i="3"/>
  <c r="DX251" i="3"/>
  <c r="DX239" i="3"/>
  <c r="DX341" i="3"/>
  <c r="DX242" i="3"/>
  <c r="DH147" i="3"/>
  <c r="BX238" i="3"/>
  <c r="BX157" i="3"/>
  <c r="BX62" i="3"/>
  <c r="BX103" i="3"/>
  <c r="BX119" i="3"/>
  <c r="BX76" i="3"/>
  <c r="DO251" i="3"/>
  <c r="DO239" i="3"/>
  <c r="DO242" i="3"/>
  <c r="BN205" i="3"/>
  <c r="DA251" i="3"/>
  <c r="DA239" i="3"/>
  <c r="DA242" i="3"/>
  <c r="DA132" i="3"/>
  <c r="DT132" i="3"/>
  <c r="DD251" i="3"/>
  <c r="DD239" i="3"/>
  <c r="DD242" i="3"/>
  <c r="CJ147" i="3"/>
  <c r="CP151" i="3"/>
  <c r="CP150" i="3" s="1"/>
  <c r="CP145" i="3" s="1"/>
  <c r="CR149" i="3"/>
  <c r="CT251" i="3"/>
  <c r="CT239" i="3"/>
  <c r="CT242" i="3"/>
  <c r="CT147" i="3"/>
  <c r="DP132" i="3"/>
  <c r="CZ251" i="3"/>
  <c r="CZ239" i="3"/>
  <c r="CZ242" i="3"/>
  <c r="BD157" i="3"/>
  <c r="AK270" i="3"/>
  <c r="AK253" i="3"/>
  <c r="AK245" i="3"/>
  <c r="AK252" i="3"/>
  <c r="EG341" i="3"/>
  <c r="EG314" i="3"/>
  <c r="EG337" i="3"/>
  <c r="EG339" i="3"/>
  <c r="EG251" i="3"/>
  <c r="EG239" i="3"/>
  <c r="EG242" i="3"/>
  <c r="AA244" i="3"/>
  <c r="AA243" i="3"/>
  <c r="CS251" i="3"/>
  <c r="CS239" i="3"/>
  <c r="CS242" i="3"/>
  <c r="CW146" i="3"/>
  <c r="DB151" i="3" s="1"/>
  <c r="CW131" i="3"/>
  <c r="CW130" i="3"/>
  <c r="DB136" i="3"/>
  <c r="EF238" i="3"/>
  <c r="L7" i="91" s="1"/>
  <c r="EF157" i="3"/>
  <c r="EF76" i="3"/>
  <c r="EF119" i="3"/>
  <c r="EF62" i="3"/>
  <c r="EF103" i="3"/>
  <c r="CV133" i="3"/>
  <c r="CA147" i="3"/>
  <c r="BS146" i="3"/>
  <c r="BX151" i="3" s="1"/>
  <c r="AS270" i="3"/>
  <c r="AS253" i="3"/>
  <c r="AS252" i="3"/>
  <c r="AS245" i="3"/>
  <c r="DF147" i="3"/>
  <c r="AH244" i="3"/>
  <c r="AH243" i="3"/>
  <c r="DL130" i="3"/>
  <c r="DL146" i="3"/>
  <c r="DL131" i="3"/>
  <c r="DQ136" i="3"/>
  <c r="BZ151" i="3"/>
  <c r="BZ150" i="3" s="1"/>
  <c r="BZ145" i="3" s="1"/>
  <c r="BZ134" i="3" s="1"/>
  <c r="CB151" i="3"/>
  <c r="CB150" i="3" s="1"/>
  <c r="CB145" i="3" s="1"/>
  <c r="CB134" i="3" s="1"/>
  <c r="CL132" i="3"/>
  <c r="AG243" i="3"/>
  <c r="AG244" i="3"/>
  <c r="DE147" i="3"/>
  <c r="DC251" i="3"/>
  <c r="DC239" i="3"/>
  <c r="DC242" i="3"/>
  <c r="CJ251" i="3"/>
  <c r="CJ239" i="3"/>
  <c r="CJ242" i="3"/>
  <c r="BG251" i="3"/>
  <c r="BG239" i="3"/>
  <c r="BG242" i="3"/>
  <c r="BH244" i="3" s="1"/>
  <c r="CP251" i="3"/>
  <c r="CP239" i="3"/>
  <c r="CP242" i="3"/>
  <c r="CX133" i="3"/>
  <c r="DP251" i="3"/>
  <c r="DP239" i="3"/>
  <c r="DP242" i="3"/>
  <c r="DF151" i="3"/>
  <c r="DF150" i="3" s="1"/>
  <c r="DF145" i="3" s="1"/>
  <c r="DR132" i="3"/>
  <c r="DX212" i="3"/>
  <c r="AC244" i="3"/>
  <c r="AC243" i="3"/>
  <c r="CK251" i="3"/>
  <c r="CK239" i="3"/>
  <c r="CK242" i="3"/>
  <c r="V243" i="3"/>
  <c r="V244" i="3"/>
  <c r="DR150" i="3"/>
  <c r="DQ238" i="3"/>
  <c r="I7" i="91" s="1"/>
  <c r="DQ157" i="3"/>
  <c r="DQ119" i="3"/>
  <c r="DQ76" i="3"/>
  <c r="DQ103" i="3"/>
  <c r="DQ62" i="3"/>
  <c r="CD251" i="3"/>
  <c r="CD242" i="3"/>
  <c r="EC229" i="3"/>
  <c r="ED229" i="3"/>
  <c r="BU132" i="3"/>
  <c r="AL243" i="3"/>
  <c r="AL244" i="3"/>
  <c r="DW151" i="3"/>
  <c r="DW149" i="3"/>
  <c r="BN226" i="3"/>
  <c r="U273" i="3"/>
  <c r="U275" i="3" s="1"/>
  <c r="U288" i="3" s="1"/>
  <c r="U271" i="3"/>
  <c r="CS145" i="3"/>
  <c r="BV132" i="3"/>
  <c r="DK336" i="3"/>
  <c r="DK262" i="3" s="1"/>
  <c r="DL340" i="3"/>
  <c r="DL368" i="3"/>
  <c r="BD130" i="3"/>
  <c r="CI133" i="3"/>
  <c r="DS151" i="3"/>
  <c r="DS150" i="3" s="1"/>
  <c r="DS145" i="3" s="1"/>
  <c r="DI133" i="3"/>
  <c r="DI134" i="3" s="1"/>
  <c r="BF251" i="3"/>
  <c r="BF239" i="3"/>
  <c r="BF242" i="3"/>
  <c r="EC337" i="3"/>
  <c r="EC339" i="3"/>
  <c r="EC251" i="3"/>
  <c r="EC239" i="3"/>
  <c r="EC314" i="3"/>
  <c r="EC341" i="3"/>
  <c r="EC242" i="3"/>
  <c r="Y244" i="3"/>
  <c r="Y243" i="3"/>
  <c r="BU251" i="3"/>
  <c r="BU239" i="3"/>
  <c r="BU242" i="3"/>
  <c r="CQ251" i="3"/>
  <c r="CQ239" i="3"/>
  <c r="CQ242" i="3"/>
  <c r="DB238" i="3"/>
  <c r="F7" i="91" s="1"/>
  <c r="DB157" i="3"/>
  <c r="DB76" i="3"/>
  <c r="DB62" i="3"/>
  <c r="DB119" i="3"/>
  <c r="DB103" i="3"/>
  <c r="CO251" i="3"/>
  <c r="CO239" i="3"/>
  <c r="CO242" i="3"/>
  <c r="DO151" i="3"/>
  <c r="DO150" i="3" s="1"/>
  <c r="DO145" i="3" s="1"/>
  <c r="DO134" i="3" s="1"/>
  <c r="DO149" i="3"/>
  <c r="DJ132" i="3"/>
  <c r="CR238" i="3"/>
  <c r="CR157" i="3"/>
  <c r="CR62" i="3"/>
  <c r="CR103" i="3"/>
  <c r="CR119" i="3"/>
  <c r="CR76" i="3"/>
  <c r="BN172" i="3"/>
  <c r="CE133" i="3"/>
  <c r="CE134" i="3" s="1"/>
  <c r="BM251" i="3"/>
  <c r="BM239" i="3"/>
  <c r="BM242" i="3"/>
  <c r="CL251" i="3"/>
  <c r="CL239" i="3"/>
  <c r="CL242" i="3"/>
  <c r="DK402" i="3"/>
  <c r="DM403" i="3"/>
  <c r="AM244" i="3"/>
  <c r="AM243" i="3"/>
  <c r="DS337" i="3"/>
  <c r="DS341" i="3"/>
  <c r="DS339" i="3"/>
  <c r="DS251" i="3"/>
  <c r="DS239" i="3"/>
  <c r="DS314" i="3"/>
  <c r="DS242" i="3"/>
  <c r="DP147" i="3"/>
  <c r="EE339" i="3"/>
  <c r="EE251" i="3"/>
  <c r="EE239" i="3"/>
  <c r="EE242" i="3"/>
  <c r="EE314" i="3"/>
  <c r="BD369" i="3"/>
  <c r="BD375" i="3" s="1"/>
  <c r="BD337" i="3"/>
  <c r="BD314" i="3"/>
  <c r="BD339" i="3"/>
  <c r="BD251" i="3"/>
  <c r="BD341" i="3"/>
  <c r="BD242" i="3"/>
  <c r="DV241" i="3"/>
  <c r="DV349" i="3"/>
  <c r="DU133" i="3"/>
  <c r="DU134" i="3" s="1"/>
  <c r="EI339" i="3"/>
  <c r="EI341" i="3"/>
  <c r="EI337" i="3"/>
  <c r="EI251" i="3"/>
  <c r="EI239" i="3"/>
  <c r="EI314" i="3"/>
  <c r="EI242" i="3"/>
  <c r="CO151" i="3"/>
  <c r="CO150" i="3" s="1"/>
  <c r="CO145" i="3" s="1"/>
  <c r="CG149" i="3"/>
  <c r="CG151" i="3"/>
  <c r="CG150" i="3" s="1"/>
  <c r="CG145" i="3" s="1"/>
  <c r="CG134" i="3" s="1"/>
  <c r="AQ270" i="3"/>
  <c r="AQ252" i="3"/>
  <c r="AQ245" i="3"/>
  <c r="AQ253" i="3"/>
  <c r="DL238" i="3"/>
  <c r="H7" i="91" s="1"/>
  <c r="DL157" i="3"/>
  <c r="DL119" i="3"/>
  <c r="DL76" i="3"/>
  <c r="DL62" i="3"/>
  <c r="DL103" i="3"/>
  <c r="CE251" i="3"/>
  <c r="CE239" i="3"/>
  <c r="CE242" i="3"/>
  <c r="CL147" i="3"/>
  <c r="DE132" i="3"/>
  <c r="BI238" i="3"/>
  <c r="BI157" i="3"/>
  <c r="BI119" i="3"/>
  <c r="BI103" i="3"/>
  <c r="BI62" i="3"/>
  <c r="BI76" i="3"/>
  <c r="DH151" i="3"/>
  <c r="DZ151" i="3"/>
  <c r="DZ150" i="3" s="1"/>
  <c r="DZ145" i="3" s="1"/>
  <c r="DZ149" i="3"/>
  <c r="CX132" i="3"/>
  <c r="AP270" i="3"/>
  <c r="AP252" i="3"/>
  <c r="AP245" i="3"/>
  <c r="AP253" i="3"/>
  <c r="DR147" i="3"/>
  <c r="DK251" i="3"/>
  <c r="DK239" i="3"/>
  <c r="DK242" i="3"/>
  <c r="CV251" i="3"/>
  <c r="CV239" i="3"/>
  <c r="CV242" i="3"/>
  <c r="BO251" i="3"/>
  <c r="BO242" i="3"/>
  <c r="BQ251" i="3"/>
  <c r="BQ239" i="3"/>
  <c r="BQ242" i="3"/>
  <c r="AB253" i="3"/>
  <c r="AB270" i="3"/>
  <c r="AB252" i="3"/>
  <c r="AB245" i="3"/>
  <c r="AI244" i="3"/>
  <c r="AI243" i="3"/>
  <c r="EC148" i="3"/>
  <c r="EC44" i="3"/>
  <c r="EC173" i="3"/>
  <c r="EZ356" i="3"/>
  <c r="FE356" i="3" s="1"/>
  <c r="DR175" i="3"/>
  <c r="DR176" i="3"/>
  <c r="DW175" i="3"/>
  <c r="DS176" i="3"/>
  <c r="FI176" i="3" s="1"/>
  <c r="W270" i="3"/>
  <c r="W252" i="3"/>
  <c r="W245" i="3"/>
  <c r="W253" i="3"/>
  <c r="DV136" i="3"/>
  <c r="CP133" i="3"/>
  <c r="DZ251" i="3"/>
  <c r="DZ239" i="3"/>
  <c r="DZ242" i="3"/>
  <c r="DZ339" i="3"/>
  <c r="DZ314" i="3"/>
  <c r="DS147" i="3"/>
  <c r="DV238" i="3"/>
  <c r="J7" i="91" s="1"/>
  <c r="DV157" i="3"/>
  <c r="DV76" i="3"/>
  <c r="DV119" i="3"/>
  <c r="DV103" i="3"/>
  <c r="DV62" i="3"/>
  <c r="AN270" i="3"/>
  <c r="AN253" i="3"/>
  <c r="AN252" i="3"/>
  <c r="AN245" i="3"/>
  <c r="CM149" i="3"/>
  <c r="AW251" i="3"/>
  <c r="AW239" i="3"/>
  <c r="AW242" i="3"/>
  <c r="CZ151" i="3"/>
  <c r="CZ150" i="3" s="1"/>
  <c r="CZ145" i="3" s="1"/>
  <c r="DO132" i="3"/>
  <c r="CU251" i="3"/>
  <c r="CU239" i="3"/>
  <c r="CU242" i="3"/>
  <c r="DY339" i="3"/>
  <c r="DY341" i="3"/>
  <c r="DY337" i="3"/>
  <c r="DY251" i="3"/>
  <c r="DY239" i="3"/>
  <c r="DY242" i="3"/>
  <c r="DY314" i="3"/>
  <c r="CX251" i="3"/>
  <c r="CX239" i="3"/>
  <c r="CX242" i="3"/>
  <c r="DM150" i="3"/>
  <c r="FQ129" i="3"/>
  <c r="AD270" i="3"/>
  <c r="AD252" i="3"/>
  <c r="AD245" i="3"/>
  <c r="AD253" i="3"/>
  <c r="EH339" i="3"/>
  <c r="EH337" i="3"/>
  <c r="EH314" i="3"/>
  <c r="EH341" i="3"/>
  <c r="EH251" i="3"/>
  <c r="EH239" i="3"/>
  <c r="EH242" i="3"/>
  <c r="CI251" i="3"/>
  <c r="CI239" i="3"/>
  <c r="CI242" i="3"/>
  <c r="DF251" i="3"/>
  <c r="DF239" i="3"/>
  <c r="DF242" i="3"/>
  <c r="BW251" i="3"/>
  <c r="BW239" i="3"/>
  <c r="BW242" i="3"/>
  <c r="R286" i="3"/>
  <c r="R275" i="3"/>
  <c r="BT251" i="3"/>
  <c r="BT239" i="3"/>
  <c r="BT242" i="3"/>
  <c r="BK251" i="3"/>
  <c r="BP252" i="3" s="1"/>
  <c r="BK239" i="3"/>
  <c r="BK242" i="3"/>
  <c r="BN203" i="3"/>
  <c r="CE132" i="3"/>
  <c r="DT151" i="3"/>
  <c r="DT150" i="3" s="1"/>
  <c r="DT145" i="3" s="1"/>
  <c r="DT134" i="3" s="1"/>
  <c r="DT149" i="3"/>
  <c r="AO251" i="3"/>
  <c r="AO239" i="3"/>
  <c r="AO242" i="3"/>
  <c r="DY146" i="3"/>
  <c r="DT146" i="3"/>
  <c r="DT147" i="3" s="1"/>
  <c r="CJ132" i="3"/>
  <c r="CG251" i="3"/>
  <c r="CG239" i="3"/>
  <c r="CG242" i="3"/>
  <c r="CT133" i="3"/>
  <c r="CT134" i="3" s="1"/>
  <c r="DB128" i="3"/>
  <c r="AX251" i="3"/>
  <c r="AX239" i="3"/>
  <c r="AX242" i="3"/>
  <c r="DP133" i="3"/>
  <c r="DP134" i="3" s="1"/>
  <c r="CF132" i="3"/>
  <c r="BP383" i="3"/>
  <c r="BP253" i="3"/>
  <c r="BP270" i="3"/>
  <c r="AK244" i="3"/>
  <c r="AK243" i="3"/>
  <c r="AA270" i="3"/>
  <c r="AA252" i="3"/>
  <c r="AA253" i="3"/>
  <c r="AA245" i="3"/>
  <c r="CW238" i="3"/>
  <c r="CW157" i="3"/>
  <c r="CW103" i="3"/>
  <c r="CW62" i="3"/>
  <c r="CW76" i="3"/>
  <c r="CW119" i="3"/>
  <c r="CV132" i="3"/>
  <c r="CX151" i="3"/>
  <c r="CX150" i="3" s="1"/>
  <c r="BS128" i="3"/>
  <c r="AS244" i="3"/>
  <c r="AS243" i="3"/>
  <c r="DF133" i="3"/>
  <c r="AJ251" i="3"/>
  <c r="AJ239" i="3"/>
  <c r="AJ242" i="3"/>
  <c r="AH270" i="3"/>
  <c r="AH253" i="3"/>
  <c r="AH252" i="3"/>
  <c r="AH245" i="3"/>
  <c r="AG270" i="3"/>
  <c r="AG253" i="3"/>
  <c r="AG252" i="3"/>
  <c r="AG245" i="3"/>
  <c r="BB251" i="3"/>
  <c r="BB239" i="3"/>
  <c r="BB242" i="3"/>
  <c r="X270" i="3"/>
  <c r="X253" i="3"/>
  <c r="X252" i="3"/>
  <c r="X245" i="3"/>
  <c r="CX147" i="3"/>
  <c r="CF251" i="3"/>
  <c r="CF239" i="3"/>
  <c r="CF242" i="3"/>
  <c r="DR339" i="3"/>
  <c r="DR314" i="3"/>
  <c r="DR337" i="3"/>
  <c r="DR251" i="3"/>
  <c r="DR239" i="3"/>
  <c r="DR341" i="3"/>
  <c r="DR242" i="3"/>
  <c r="AB244" i="3"/>
  <c r="EC132" i="3"/>
  <c r="AC270" i="3"/>
  <c r="AC253" i="3"/>
  <c r="AC252" i="3"/>
  <c r="AC245" i="3"/>
  <c r="DU339" i="3"/>
  <c r="DU251" i="3"/>
  <c r="DU239" i="3"/>
  <c r="DU242" i="3"/>
  <c r="DN251" i="3"/>
  <c r="DN239" i="3"/>
  <c r="DN242" i="3"/>
  <c r="V270" i="3"/>
  <c r="V245" i="3"/>
  <c r="V252" i="3"/>
  <c r="V253" i="3"/>
  <c r="CA251" i="3"/>
  <c r="CA239" i="3"/>
  <c r="CA242" i="3"/>
  <c r="BX149" i="3"/>
  <c r="DH251" i="3"/>
  <c r="DH239" i="3"/>
  <c r="DH242" i="3"/>
  <c r="BX146" i="3"/>
  <c r="BX130" i="3"/>
  <c r="BX133" i="3" s="1"/>
  <c r="BX134" i="3" s="1"/>
  <c r="BX131" i="3"/>
  <c r="BT147" i="3"/>
  <c r="CV151" i="3"/>
  <c r="CV150" i="3" s="1"/>
  <c r="CV145" i="3" s="1"/>
  <c r="AY128" i="3"/>
  <c r="EC213" i="3"/>
  <c r="FQ148" i="3"/>
  <c r="DV167" i="3"/>
  <c r="DV174" i="3"/>
  <c r="DV175" i="3" s="1"/>
  <c r="DE251" i="3"/>
  <c r="DE239" i="3"/>
  <c r="DE242" i="3"/>
  <c r="DG238" i="3"/>
  <c r="G7" i="91" s="1"/>
  <c r="DG157" i="3"/>
  <c r="DG76" i="3"/>
  <c r="DG119" i="3"/>
  <c r="DG103" i="3"/>
  <c r="DG62" i="3"/>
  <c r="AL270" i="3"/>
  <c r="AL245" i="3"/>
  <c r="AL252" i="3"/>
  <c r="AL253" i="3"/>
  <c r="Q286" i="3"/>
  <c r="Q275" i="3"/>
  <c r="Q288" i="3" s="1"/>
  <c r="CP132" i="3"/>
  <c r="AE251" i="3"/>
  <c r="AE239" i="3"/>
  <c r="AE242" i="3"/>
  <c r="CZ147" i="3"/>
  <c r="BA251" i="3"/>
  <c r="BA239" i="3"/>
  <c r="BA242" i="3"/>
  <c r="DV146" i="3"/>
  <c r="DV131" i="3"/>
  <c r="DV130" i="3"/>
  <c r="DU314" i="3"/>
  <c r="EB339" i="3"/>
  <c r="EB337" i="3"/>
  <c r="EB314" i="3"/>
  <c r="EB251" i="3"/>
  <c r="EB239" i="3"/>
  <c r="EB341" i="3"/>
  <c r="EB242" i="3"/>
  <c r="CI147" i="3"/>
  <c r="BZ147" i="3"/>
  <c r="Z251" i="3"/>
  <c r="Z239" i="3"/>
  <c r="Z242" i="3"/>
  <c r="Z243" i="3" s="1"/>
  <c r="CN133" i="3"/>
  <c r="DN151" i="3"/>
  <c r="DN150" i="3" s="1"/>
  <c r="DN145" i="3" s="1"/>
  <c r="ED44" i="3"/>
  <c r="EF175" i="3"/>
  <c r="Y270" i="3"/>
  <c r="Y253" i="3"/>
  <c r="Y252" i="3"/>
  <c r="Y245" i="3"/>
  <c r="T273" i="3"/>
  <c r="T271" i="3"/>
  <c r="CG147" i="3"/>
  <c r="BS149" i="3"/>
  <c r="DW146" i="3"/>
  <c r="DW147" i="3" s="1"/>
  <c r="DG149" i="3"/>
  <c r="AF253" i="3"/>
  <c r="AF270" i="3"/>
  <c r="AF252" i="3"/>
  <c r="AF245" i="3"/>
  <c r="CB251" i="3"/>
  <c r="CB239" i="3"/>
  <c r="CB242" i="3"/>
  <c r="ED206" i="3"/>
  <c r="DM132" i="3"/>
  <c r="AZ239" i="3"/>
  <c r="DJ251" i="3"/>
  <c r="DJ239" i="3"/>
  <c r="DJ242" i="3"/>
  <c r="CH128" i="3"/>
  <c r="DH133" i="3"/>
  <c r="CN251" i="3"/>
  <c r="CN239" i="3"/>
  <c r="CN242" i="3"/>
  <c r="DE151" i="3"/>
  <c r="DE150" i="3" s="1"/>
  <c r="DE145" i="3" s="1"/>
  <c r="BN212" i="3"/>
  <c r="BS212" i="3"/>
  <c r="CE147" i="3"/>
  <c r="X244" i="3"/>
  <c r="X243" i="3"/>
  <c r="CJ133" i="3"/>
  <c r="CJ134" i="3" s="1"/>
  <c r="BS172" i="3"/>
  <c r="EA238" i="3"/>
  <c r="K7" i="91" s="1"/>
  <c r="EA157" i="3"/>
  <c r="EA76" i="3"/>
  <c r="EA119" i="3"/>
  <c r="EA62" i="3"/>
  <c r="EA103" i="3"/>
  <c r="CT132" i="3"/>
  <c r="AM270" i="3"/>
  <c r="AM253" i="3"/>
  <c r="AM252" i="3"/>
  <c r="AM245" i="3"/>
  <c r="DB146" i="3"/>
  <c r="DB131" i="3"/>
  <c r="DB130" i="3"/>
  <c r="DG136" i="3"/>
  <c r="CI151" i="3"/>
  <c r="CI150" i="3" s="1"/>
  <c r="DU132" i="3"/>
  <c r="FQ156" i="3"/>
  <c r="FP156" i="3"/>
  <c r="CW128" i="3"/>
  <c r="EF129" i="3"/>
  <c r="CV147" i="3"/>
  <c r="CA132" i="3"/>
  <c r="DM251" i="3"/>
  <c r="DM239" i="3"/>
  <c r="DM242" i="3"/>
  <c r="AQ243" i="3"/>
  <c r="AQ244" i="3"/>
  <c r="BH383" i="3"/>
  <c r="BH253" i="3"/>
  <c r="BH270" i="3"/>
  <c r="CL133" i="3"/>
  <c r="CL134" i="3" s="1"/>
  <c r="CA151" i="3"/>
  <c r="CA150" i="3" s="1"/>
  <c r="CA145" i="3" s="1"/>
  <c r="CA134" i="3" s="1"/>
  <c r="DL149" i="3"/>
  <c r="DE133" i="3"/>
  <c r="DJ151" i="3"/>
  <c r="DJ150" i="3" s="1"/>
  <c r="DJ145" i="3" s="1"/>
  <c r="BE251" i="3"/>
  <c r="BE239" i="3"/>
  <c r="BE242" i="3"/>
  <c r="DB149" i="3"/>
  <c r="DW339" i="3"/>
  <c r="DW337" i="3"/>
  <c r="DW314" i="3"/>
  <c r="DW251" i="3"/>
  <c r="DW239" i="3"/>
  <c r="DW242" i="3"/>
  <c r="DW341" i="3"/>
  <c r="EZ351" i="3"/>
  <c r="AP243" i="3"/>
  <c r="AP244" i="3"/>
  <c r="EZ8" i="3"/>
  <c r="DR133" i="3"/>
  <c r="BV251" i="3"/>
  <c r="BV239" i="3"/>
  <c r="BV242" i="3"/>
  <c r="BC251" i="3"/>
  <c r="BH245" i="3" s="1"/>
  <c r="BC239" i="3"/>
  <c r="BC242" i="3"/>
  <c r="DX43" i="3"/>
  <c r="AB243" i="3"/>
  <c r="FE121" i="3" l="1"/>
  <c r="EK79" i="3"/>
  <c r="EK122" i="3"/>
  <c r="EA79" i="3"/>
  <c r="EA122" i="3"/>
  <c r="DW106" i="3"/>
  <c r="DW105" i="3"/>
  <c r="ET79" i="3"/>
  <c r="ET122" i="3"/>
  <c r="EB105" i="3"/>
  <c r="EP29" i="3"/>
  <c r="EK104" i="3"/>
  <c r="EP105" i="3" s="1"/>
  <c r="EF106" i="3"/>
  <c r="EA29" i="3"/>
  <c r="FH48" i="3" s="1"/>
  <c r="EA104" i="3"/>
  <c r="EF105" i="3" s="1"/>
  <c r="ET29" i="3"/>
  <c r="ET104" i="3"/>
  <c r="FE78" i="3"/>
  <c r="FE8" i="3"/>
  <c r="FE63" i="3" s="1"/>
  <c r="EZ63" i="3"/>
  <c r="EP40" i="3"/>
  <c r="EP54" i="3" s="1"/>
  <c r="EK65" i="3"/>
  <c r="DX25" i="3"/>
  <c r="EA65" i="3"/>
  <c r="ET40" i="3"/>
  <c r="ET65" i="3"/>
  <c r="EA204" i="3"/>
  <c r="EA205" i="3" s="1"/>
  <c r="EA394" i="3"/>
  <c r="EA42" i="3"/>
  <c r="EA43" i="3" s="1"/>
  <c r="FK176" i="3"/>
  <c r="EA396" i="3"/>
  <c r="BN130" i="3"/>
  <c r="EA387" i="3"/>
  <c r="CD133" i="3"/>
  <c r="CD134" i="3" s="1"/>
  <c r="EA395" i="3"/>
  <c r="EA393" i="3"/>
  <c r="EA129" i="3"/>
  <c r="EF136" i="3" s="1"/>
  <c r="EA389" i="3"/>
  <c r="EA225" i="3"/>
  <c r="EA226" i="3" s="1"/>
  <c r="EA392" i="3"/>
  <c r="DW25" i="3"/>
  <c r="EA388" i="3"/>
  <c r="EA171" i="3"/>
  <c r="EA172" i="3" s="1"/>
  <c r="EF40" i="3"/>
  <c r="EF54" i="3" s="1"/>
  <c r="FK213" i="3"/>
  <c r="DX228" i="3"/>
  <c r="EA227" i="3"/>
  <c r="EA228" i="3" s="1"/>
  <c r="EA391" i="3"/>
  <c r="EA26" i="3"/>
  <c r="DY25" i="3"/>
  <c r="EA390" i="3"/>
  <c r="EA40" i="3"/>
  <c r="BO239" i="3"/>
  <c r="FK27" i="3"/>
  <c r="DZ25" i="3"/>
  <c r="EA211" i="3"/>
  <c r="EA212" i="3" s="1"/>
  <c r="EA136" i="3"/>
  <c r="BY147" i="3"/>
  <c r="DY44" i="3"/>
  <c r="DX44" i="3"/>
  <c r="BY242" i="3"/>
  <c r="BY244" i="3" s="1"/>
  <c r="CD239" i="3"/>
  <c r="DX213" i="3"/>
  <c r="FK206" i="3"/>
  <c r="BY239" i="3"/>
  <c r="DX148" i="3"/>
  <c r="DX149" i="3" s="1"/>
  <c r="CC62" i="3"/>
  <c r="CC119" i="3"/>
  <c r="CC157" i="3"/>
  <c r="S275" i="3"/>
  <c r="S288" i="3" s="1"/>
  <c r="FK44" i="3"/>
  <c r="BY134" i="3"/>
  <c r="EP239" i="3"/>
  <c r="FK229" i="3"/>
  <c r="CC128" i="3"/>
  <c r="CC103" i="3"/>
  <c r="CC238" i="3"/>
  <c r="CC341" i="3" s="1"/>
  <c r="CC130" i="3"/>
  <c r="CC133" i="3" s="1"/>
  <c r="CD147" i="3"/>
  <c r="FJ109" i="3"/>
  <c r="CH130" i="3"/>
  <c r="CH133" i="3" s="1"/>
  <c r="CC146" i="3"/>
  <c r="CH147" i="3" s="1"/>
  <c r="CC76" i="3"/>
  <c r="DX172" i="3"/>
  <c r="FK173" i="3"/>
  <c r="FI109" i="3"/>
  <c r="ET24" i="3"/>
  <c r="FK169" i="3" s="1"/>
  <c r="ET171" i="3"/>
  <c r="ET173" i="3" s="1"/>
  <c r="ET26" i="3"/>
  <c r="ET27" i="3" s="1"/>
  <c r="EU23" i="3"/>
  <c r="EQ25" i="3" s="1"/>
  <c r="FM25" i="3" s="1"/>
  <c r="EU37" i="3"/>
  <c r="EU7" i="3"/>
  <c r="EU104" i="3" s="1"/>
  <c r="EJ244" i="3"/>
  <c r="EN243" i="3"/>
  <c r="EI383" i="3"/>
  <c r="EN252" i="3"/>
  <c r="EN249" i="3"/>
  <c r="EN245" i="3"/>
  <c r="ET211" i="3"/>
  <c r="ET75" i="3"/>
  <c r="EU74" i="3"/>
  <c r="EU80" i="3" s="1"/>
  <c r="ET60" i="3"/>
  <c r="ET68" i="3"/>
  <c r="EU264" i="3"/>
  <c r="BN146" i="3"/>
  <c r="BS151" i="3" s="1"/>
  <c r="ES287" i="3"/>
  <c r="ET278" i="3"/>
  <c r="EV278" i="3" s="1"/>
  <c r="ER258" i="3"/>
  <c r="ET49" i="3"/>
  <c r="EU49" i="3" s="1"/>
  <c r="EZ49" i="3" s="1"/>
  <c r="FE49" i="3" s="1"/>
  <c r="ET51" i="3"/>
  <c r="EU51" i="3" s="1"/>
  <c r="EU291" i="3"/>
  <c r="ET101" i="3"/>
  <c r="ET109" i="3"/>
  <c r="DY229" i="3"/>
  <c r="EN151" i="3"/>
  <c r="EN147" i="3"/>
  <c r="DX229" i="3"/>
  <c r="DX206" i="3"/>
  <c r="EC205" i="3"/>
  <c r="EC226" i="3"/>
  <c r="EI133" i="3"/>
  <c r="FQ24" i="3"/>
  <c r="DY206" i="3"/>
  <c r="FQ109" i="3"/>
  <c r="DY173" i="3"/>
  <c r="EF29" i="3"/>
  <c r="DX131" i="3"/>
  <c r="DY132" i="3" s="1"/>
  <c r="EC136" i="3"/>
  <c r="EC133" i="3" s="1"/>
  <c r="DX173" i="3"/>
  <c r="DX130" i="3"/>
  <c r="DX133" i="3" s="1"/>
  <c r="DX27" i="3"/>
  <c r="FQ40" i="3"/>
  <c r="EK29" i="3"/>
  <c r="BJ239" i="3"/>
  <c r="BJ251" i="3"/>
  <c r="BJ270" i="3" s="1"/>
  <c r="FJ24" i="3"/>
  <c r="FI24" i="3"/>
  <c r="EZ267" i="3"/>
  <c r="EZ266" i="3" s="1"/>
  <c r="FE351" i="3"/>
  <c r="EM243" i="3"/>
  <c r="EM245" i="3"/>
  <c r="EM249" i="3"/>
  <c r="EM252" i="3"/>
  <c r="EM212" i="3"/>
  <c r="FP211" i="3"/>
  <c r="EM172" i="3"/>
  <c r="FP171" i="3"/>
  <c r="EM228" i="3"/>
  <c r="FQ29" i="3"/>
  <c r="EH205" i="3"/>
  <c r="EM205" i="3"/>
  <c r="EH131" i="3"/>
  <c r="EM136" i="3"/>
  <c r="EM130" i="3"/>
  <c r="EH148" i="3"/>
  <c r="EH149" i="3" s="1"/>
  <c r="EM43" i="3"/>
  <c r="EH226" i="3"/>
  <c r="EM226" i="3"/>
  <c r="BP245" i="3"/>
  <c r="BS157" i="3"/>
  <c r="BN103" i="3"/>
  <c r="BN76" i="3"/>
  <c r="BN238" i="3"/>
  <c r="BN341" i="3" s="1"/>
  <c r="BL252" i="3"/>
  <c r="EL243" i="3"/>
  <c r="FN243" i="3" s="1"/>
  <c r="BN157" i="3"/>
  <c r="BN62" i="3"/>
  <c r="EK108" i="3"/>
  <c r="EL252" i="3"/>
  <c r="FN252" i="3" s="1"/>
  <c r="EL249" i="3"/>
  <c r="FN249" i="3" s="1"/>
  <c r="EL245" i="3"/>
  <c r="FN245" i="3" s="1"/>
  <c r="BN119" i="3"/>
  <c r="EG206" i="3"/>
  <c r="FH206" i="3" s="1"/>
  <c r="FP204" i="3"/>
  <c r="EL205" i="3"/>
  <c r="FN205" i="3" s="1"/>
  <c r="EG212" i="3"/>
  <c r="EL212" i="3"/>
  <c r="FN212" i="3" s="1"/>
  <c r="EG226" i="3"/>
  <c r="EL226" i="3"/>
  <c r="FN226" i="3" s="1"/>
  <c r="EG229" i="3"/>
  <c r="EL228" i="3"/>
  <c r="FN228" i="3" s="1"/>
  <c r="EH229" i="3"/>
  <c r="EG44" i="3"/>
  <c r="FH44" i="3" s="1"/>
  <c r="FP42" i="3"/>
  <c r="EL43" i="3"/>
  <c r="FN43" i="3" s="1"/>
  <c r="EL172" i="3"/>
  <c r="FN172" i="3" s="1"/>
  <c r="EG27" i="3"/>
  <c r="FH27" i="3" s="1"/>
  <c r="FP26" i="3"/>
  <c r="EG130" i="3"/>
  <c r="FP129" i="3"/>
  <c r="EL136" i="3"/>
  <c r="FN136" i="3" s="1"/>
  <c r="EL130" i="3"/>
  <c r="FN130" i="3" s="1"/>
  <c r="EB149" i="3"/>
  <c r="BL270" i="3"/>
  <c r="BL384" i="3" s="1"/>
  <c r="EA175" i="3"/>
  <c r="EH173" i="3"/>
  <c r="BL253" i="3"/>
  <c r="ED146" i="3"/>
  <c r="EI151" i="3" s="1"/>
  <c r="EK369" i="3"/>
  <c r="EK339" i="3"/>
  <c r="EK314" i="3"/>
  <c r="EK239" i="3"/>
  <c r="EK242" i="3"/>
  <c r="EP243" i="3" s="1"/>
  <c r="EK251" i="3"/>
  <c r="ED149" i="3"/>
  <c r="ED151" i="3"/>
  <c r="ED150" i="3" s="1"/>
  <c r="EK394" i="3"/>
  <c r="EK389" i="3"/>
  <c r="EK204" i="3"/>
  <c r="EJ25" i="3"/>
  <c r="EK388" i="3"/>
  <c r="EI25" i="3"/>
  <c r="EK171" i="3"/>
  <c r="EK391" i="3"/>
  <c r="EK387" i="3"/>
  <c r="EK211" i="3"/>
  <c r="EK40" i="3"/>
  <c r="EK26" i="3"/>
  <c r="EK396" i="3"/>
  <c r="EK395" i="3"/>
  <c r="EK42" i="3"/>
  <c r="EP43" i="3" s="1"/>
  <c r="EK136" i="3"/>
  <c r="EK392" i="3"/>
  <c r="EK129" i="3"/>
  <c r="EK390" i="3"/>
  <c r="EK227" i="3"/>
  <c r="EK225" i="3"/>
  <c r="EA54" i="3"/>
  <c r="EG43" i="3"/>
  <c r="EG148" i="3"/>
  <c r="EH27" i="3"/>
  <c r="EH25" i="3"/>
  <c r="EE149" i="3"/>
  <c r="EK393" i="3"/>
  <c r="EG25" i="3"/>
  <c r="EG172" i="3"/>
  <c r="EG173" i="3"/>
  <c r="FH173" i="3" s="1"/>
  <c r="EG131" i="3"/>
  <c r="E462" i="42"/>
  <c r="E463" i="42" s="1"/>
  <c r="E464" i="42" s="1"/>
  <c r="E465" i="42" s="1"/>
  <c r="E466" i="42" s="1"/>
  <c r="E467" i="42" s="1"/>
  <c r="E468" i="42" s="1"/>
  <c r="E469" i="42" s="1"/>
  <c r="E470" i="42" s="1"/>
  <c r="EO25" i="3"/>
  <c r="EG205" i="3"/>
  <c r="EE146" i="3"/>
  <c r="EJ151" i="3" s="1"/>
  <c r="EG228" i="3"/>
  <c r="EE151" i="3"/>
  <c r="EE150" i="3" s="1"/>
  <c r="EJ149" i="3"/>
  <c r="CS134" i="3"/>
  <c r="EI44" i="3"/>
  <c r="BP147" i="3"/>
  <c r="EJ133" i="3"/>
  <c r="EH43" i="3"/>
  <c r="EH44" i="3"/>
  <c r="CK134" i="3"/>
  <c r="BL245" i="3"/>
  <c r="BS150" i="3"/>
  <c r="EH130" i="3"/>
  <c r="EE133" i="3"/>
  <c r="DZ147" i="3"/>
  <c r="DJ134" i="3"/>
  <c r="DC134" i="3"/>
  <c r="DF134" i="3"/>
  <c r="FQ239" i="3"/>
  <c r="DL147" i="3"/>
  <c r="DZ134" i="3"/>
  <c r="EH206" i="3"/>
  <c r="EI229" i="3"/>
  <c r="DD134" i="3"/>
  <c r="CZ134" i="3"/>
  <c r="EH212" i="3"/>
  <c r="EH228" i="3"/>
  <c r="EH213" i="3"/>
  <c r="CO134" i="3"/>
  <c r="DZ132" i="3"/>
  <c r="EH172" i="3"/>
  <c r="EI213" i="3"/>
  <c r="FJ213" i="3" s="1"/>
  <c r="CR133" i="3"/>
  <c r="BR147" i="3"/>
  <c r="EI206" i="3"/>
  <c r="CH150" i="3"/>
  <c r="CH145" i="3" s="1"/>
  <c r="CW147" i="3"/>
  <c r="CN134" i="3"/>
  <c r="EI27" i="3"/>
  <c r="FJ27" i="3" s="1"/>
  <c r="CP134" i="3"/>
  <c r="EI173" i="3"/>
  <c r="DN134" i="3"/>
  <c r="DB133" i="3"/>
  <c r="EE132" i="3"/>
  <c r="EJ243" i="3"/>
  <c r="EJ245" i="3"/>
  <c r="EJ249" i="3"/>
  <c r="EJ252" i="3"/>
  <c r="CW133" i="3"/>
  <c r="AZ252" i="3"/>
  <c r="K8" i="91"/>
  <c r="K21" i="91"/>
  <c r="K20" i="91"/>
  <c r="J8" i="91"/>
  <c r="J21" i="91"/>
  <c r="J20" i="91"/>
  <c r="H8" i="91"/>
  <c r="H21" i="91"/>
  <c r="H20" i="91"/>
  <c r="DL341" i="3"/>
  <c r="L8" i="91"/>
  <c r="L21" i="91"/>
  <c r="L20" i="91"/>
  <c r="DB147" i="3"/>
  <c r="DV147" i="3"/>
  <c r="G8" i="91"/>
  <c r="G20" i="91"/>
  <c r="G21" i="91"/>
  <c r="Z253" i="3"/>
  <c r="F8" i="91"/>
  <c r="F20" i="91"/>
  <c r="F21" i="91"/>
  <c r="DL337" i="3"/>
  <c r="I8" i="91"/>
  <c r="I21" i="91"/>
  <c r="I20" i="91"/>
  <c r="DL133" i="3"/>
  <c r="A490" i="42"/>
  <c r="A542" i="42" s="1"/>
  <c r="A594" i="42" s="1"/>
  <c r="AA5" i="42"/>
  <c r="D65" i="42"/>
  <c r="A77" i="42"/>
  <c r="D59" i="42"/>
  <c r="A71" i="42"/>
  <c r="O27" i="42"/>
  <c r="O26" i="42"/>
  <c r="P25" i="42"/>
  <c r="AC5" i="42"/>
  <c r="A494" i="42"/>
  <c r="A546" i="42" s="1"/>
  <c r="A598" i="42" s="1"/>
  <c r="O20" i="42"/>
  <c r="N22" i="42"/>
  <c r="N21" i="42"/>
  <c r="D64" i="42"/>
  <c r="A76" i="42"/>
  <c r="Z5" i="42"/>
  <c r="D55" i="42"/>
  <c r="A67" i="42"/>
  <c r="N15" i="42"/>
  <c r="O14" i="42"/>
  <c r="N10" i="42"/>
  <c r="O9" i="42"/>
  <c r="N32" i="42"/>
  <c r="N31" i="42"/>
  <c r="O30" i="42"/>
  <c r="D48" i="42"/>
  <c r="A60" i="42"/>
  <c r="A497" i="42"/>
  <c r="A549" i="42" s="1"/>
  <c r="A601" i="42" s="1"/>
  <c r="C232" i="42"/>
  <c r="B231" i="42"/>
  <c r="D231" i="42" s="1"/>
  <c r="A496" i="42"/>
  <c r="A548" i="42" s="1"/>
  <c r="A600" i="42" s="1"/>
  <c r="A489" i="42"/>
  <c r="A541" i="42" s="1"/>
  <c r="A593" i="42" s="1"/>
  <c r="D56" i="42"/>
  <c r="A68" i="42"/>
  <c r="D58" i="42"/>
  <c r="A70" i="42"/>
  <c r="D50" i="42"/>
  <c r="A62" i="42"/>
  <c r="D61" i="42"/>
  <c r="A73" i="42"/>
  <c r="D54" i="42"/>
  <c r="A66" i="42"/>
  <c r="A493" i="42"/>
  <c r="A545" i="42" s="1"/>
  <c r="A597" i="42" s="1"/>
  <c r="A488" i="42"/>
  <c r="A540" i="42" s="1"/>
  <c r="A592" i="42" s="1"/>
  <c r="A491" i="42"/>
  <c r="A543" i="42" s="1"/>
  <c r="A595" i="42" s="1"/>
  <c r="D57" i="42"/>
  <c r="A69" i="42"/>
  <c r="A495" i="42"/>
  <c r="A547" i="42" s="1"/>
  <c r="A599" i="42" s="1"/>
  <c r="A492" i="42"/>
  <c r="A544" i="42" s="1"/>
  <c r="A596" i="42" s="1"/>
  <c r="D63" i="42"/>
  <c r="A75" i="42"/>
  <c r="AB5" i="42"/>
  <c r="D10" i="41"/>
  <c r="C9" i="41"/>
  <c r="E11" i="41"/>
  <c r="A10" i="41"/>
  <c r="B10" i="41" s="1"/>
  <c r="G895" i="41"/>
  <c r="H894" i="41" s="1"/>
  <c r="Q4" i="91"/>
  <c r="P23" i="91"/>
  <c r="BC244" i="3"/>
  <c r="BC243" i="3"/>
  <c r="BV244" i="3"/>
  <c r="BV243" i="3"/>
  <c r="CN244" i="3"/>
  <c r="CN243" i="3"/>
  <c r="CB243" i="3"/>
  <c r="CB244" i="3"/>
  <c r="FQ131" i="3"/>
  <c r="DG151" i="3"/>
  <c r="EB244" i="3"/>
  <c r="EB243" i="3"/>
  <c r="BA244" i="3"/>
  <c r="BA243" i="3"/>
  <c r="BC383" i="3"/>
  <c r="BC270" i="3"/>
  <c r="BC253" i="3"/>
  <c r="BH254" i="3" s="1"/>
  <c r="BC245" i="3"/>
  <c r="BC252" i="3"/>
  <c r="BV383" i="3"/>
  <c r="BV270" i="3"/>
  <c r="BV252" i="3"/>
  <c r="BV245" i="3"/>
  <c r="BV253" i="3"/>
  <c r="DW244" i="3"/>
  <c r="DW243" i="3"/>
  <c r="BE244" i="3"/>
  <c r="BE243" i="3"/>
  <c r="BH252" i="3"/>
  <c r="CM150" i="3"/>
  <c r="CM145" i="3" s="1"/>
  <c r="CI145" i="3"/>
  <c r="CI134" i="3" s="1"/>
  <c r="BY383" i="3"/>
  <c r="BY270" i="3"/>
  <c r="BY253" i="3"/>
  <c r="BY252" i="3"/>
  <c r="CC251" i="3"/>
  <c r="BY245" i="3"/>
  <c r="DJ244" i="3"/>
  <c r="DJ243" i="3"/>
  <c r="AJ253" i="3"/>
  <c r="DV133" i="3"/>
  <c r="AL273" i="3"/>
  <c r="AL271" i="3"/>
  <c r="DH244" i="3"/>
  <c r="DH243" i="3"/>
  <c r="CA383" i="3"/>
  <c r="CA270" i="3"/>
  <c r="CA253" i="3"/>
  <c r="CA252" i="3"/>
  <c r="CA245" i="3"/>
  <c r="DN383" i="3"/>
  <c r="DN270" i="3"/>
  <c r="DN252" i="3"/>
  <c r="DN249" i="3"/>
  <c r="DN253" i="3"/>
  <c r="DN245" i="3"/>
  <c r="DN246" i="3"/>
  <c r="AC273" i="3"/>
  <c r="AC271" i="3"/>
  <c r="DR243" i="3"/>
  <c r="DR244" i="3"/>
  <c r="AH273" i="3"/>
  <c r="AH271" i="3"/>
  <c r="AX243" i="3"/>
  <c r="AX244" i="3"/>
  <c r="AZ244" i="3"/>
  <c r="CG383" i="3"/>
  <c r="CG252" i="3"/>
  <c r="CG270" i="3"/>
  <c r="CG253" i="3"/>
  <c r="CG245" i="3"/>
  <c r="BK243" i="3"/>
  <c r="BK244" i="3"/>
  <c r="BL244" i="3"/>
  <c r="BP243" i="3"/>
  <c r="BW244" i="3"/>
  <c r="BW243" i="3"/>
  <c r="CI244" i="3"/>
  <c r="CI243" i="3"/>
  <c r="DY244" i="3"/>
  <c r="DY243" i="3"/>
  <c r="DZ383" i="3"/>
  <c r="DZ270" i="3"/>
  <c r="DZ252" i="3"/>
  <c r="DZ246" i="3"/>
  <c r="DZ245" i="3"/>
  <c r="DZ253" i="3"/>
  <c r="DZ249" i="3"/>
  <c r="BO244" i="3"/>
  <c r="BO243" i="3"/>
  <c r="BP244" i="3"/>
  <c r="DK244" i="3"/>
  <c r="DK243" i="3"/>
  <c r="AP273" i="3"/>
  <c r="AP271" i="3"/>
  <c r="DH150" i="3"/>
  <c r="DL151" i="3"/>
  <c r="AQ254" i="3"/>
  <c r="DS244" i="3"/>
  <c r="DS243" i="3"/>
  <c r="CL383" i="3"/>
  <c r="CL270" i="3"/>
  <c r="CL252" i="3"/>
  <c r="CL249" i="3"/>
  <c r="CL246" i="3"/>
  <c r="CL245" i="3"/>
  <c r="CL253" i="3"/>
  <c r="CO383" i="3"/>
  <c r="CO252" i="3"/>
  <c r="CO270" i="3"/>
  <c r="CO253" i="3"/>
  <c r="CO249" i="3"/>
  <c r="CO245" i="3"/>
  <c r="CO246" i="3"/>
  <c r="EC244" i="3"/>
  <c r="EC243" i="3"/>
  <c r="EC383" i="3"/>
  <c r="EC252" i="3"/>
  <c r="EC270" i="3"/>
  <c r="EC253" i="3"/>
  <c r="EC249" i="3"/>
  <c r="EC245" i="3"/>
  <c r="EC246" i="3"/>
  <c r="BF243" i="3"/>
  <c r="BF244" i="3"/>
  <c r="DL262" i="3"/>
  <c r="DK261" i="3"/>
  <c r="EZ365" i="3"/>
  <c r="DV150" i="3"/>
  <c r="DV145" i="3" s="1"/>
  <c r="DR145" i="3"/>
  <c r="DR134" i="3" s="1"/>
  <c r="BG383" i="3"/>
  <c r="BG270" i="3"/>
  <c r="BG252" i="3"/>
  <c r="BG245" i="3"/>
  <c r="BG253" i="3"/>
  <c r="DC244" i="3"/>
  <c r="DC243" i="3"/>
  <c r="AS254" i="3"/>
  <c r="CS244" i="3"/>
  <c r="CS243" i="3"/>
  <c r="DX383" i="3"/>
  <c r="DX253" i="3"/>
  <c r="DX270" i="3"/>
  <c r="DX252" i="3"/>
  <c r="DX249" i="3"/>
  <c r="DX246" i="3"/>
  <c r="DX245" i="3"/>
  <c r="DI244" i="3"/>
  <c r="DI243" i="3"/>
  <c r="ED383" i="3"/>
  <c r="ED270" i="3"/>
  <c r="ED252" i="3"/>
  <c r="ED249" i="3"/>
  <c r="ED253" i="3"/>
  <c r="ED245" i="3"/>
  <c r="ED246" i="3"/>
  <c r="BR383" i="3"/>
  <c r="BR270" i="3"/>
  <c r="BR252" i="3"/>
  <c r="BR253" i="3"/>
  <c r="BR245" i="3"/>
  <c r="DT383" i="3"/>
  <c r="DT253" i="3"/>
  <c r="DT270" i="3"/>
  <c r="DT252" i="3"/>
  <c r="DT246" i="3"/>
  <c r="DT249" i="3"/>
  <c r="DT245" i="3"/>
  <c r="AU244" i="3"/>
  <c r="AU243" i="3"/>
  <c r="AZ243" i="3"/>
  <c r="AV244" i="3"/>
  <c r="CR147" i="3"/>
  <c r="CW151" i="3"/>
  <c r="CM133" i="3"/>
  <c r="DQ368" i="3"/>
  <c r="DQ337" i="3"/>
  <c r="DQ340" i="3"/>
  <c r="DQ341" i="3" s="1"/>
  <c r="DP336" i="3"/>
  <c r="DP262" i="3" s="1"/>
  <c r="DP261" i="3" s="1"/>
  <c r="DP260" i="3" s="1"/>
  <c r="DQ262" i="3"/>
  <c r="DS134" i="3"/>
  <c r="EF148" i="3"/>
  <c r="EF146" i="3" s="1"/>
  <c r="BZ243" i="3"/>
  <c r="DQ147" i="3"/>
  <c r="CC150" i="3"/>
  <c r="CC145" i="3" s="1"/>
  <c r="DE134" i="3"/>
  <c r="DM244" i="3"/>
  <c r="DM243" i="3"/>
  <c r="CN383" i="3"/>
  <c r="CN270" i="3"/>
  <c r="CN253" i="3"/>
  <c r="CN246" i="3"/>
  <c r="CN252" i="3"/>
  <c r="CR251" i="3"/>
  <c r="CN249" i="3"/>
  <c r="CN245" i="3"/>
  <c r="CB383" i="3"/>
  <c r="CB253" i="3"/>
  <c r="CB270" i="3"/>
  <c r="CB252" i="3"/>
  <c r="CB245" i="3"/>
  <c r="Z270" i="3"/>
  <c r="Z245" i="3"/>
  <c r="Z252" i="3"/>
  <c r="BA383" i="3"/>
  <c r="BA270" i="3"/>
  <c r="BA253" i="3"/>
  <c r="BA254" i="3" s="1"/>
  <c r="BA252" i="3"/>
  <c r="BA245" i="3"/>
  <c r="AE270" i="3"/>
  <c r="AE252" i="3"/>
  <c r="AE245" i="3"/>
  <c r="DE383" i="3"/>
  <c r="DE270" i="3"/>
  <c r="DE252" i="3"/>
  <c r="DE253" i="3"/>
  <c r="DE249" i="3"/>
  <c r="DE245" i="3"/>
  <c r="DE246" i="3"/>
  <c r="V273" i="3"/>
  <c r="V271" i="3"/>
  <c r="DU244" i="3"/>
  <c r="DU243" i="3"/>
  <c r="CF383" i="3"/>
  <c r="CF253" i="3"/>
  <c r="CF270" i="3"/>
  <c r="CF245" i="3"/>
  <c r="CF252" i="3"/>
  <c r="BB244" i="3"/>
  <c r="BB243" i="3"/>
  <c r="AJ243" i="3"/>
  <c r="CW369" i="3"/>
  <c r="CW375" i="3" s="1"/>
  <c r="CW339" i="3"/>
  <c r="CW314" i="3"/>
  <c r="CW337" i="3"/>
  <c r="CW239" i="3"/>
  <c r="CW341" i="3"/>
  <c r="CW242" i="3"/>
  <c r="AA273" i="3"/>
  <c r="AA271" i="3"/>
  <c r="AO243" i="3"/>
  <c r="BT383" i="3"/>
  <c r="BT270" i="3"/>
  <c r="BT253" i="3"/>
  <c r="BT245" i="3"/>
  <c r="BT252" i="3"/>
  <c r="BX251" i="3"/>
  <c r="DF383" i="3"/>
  <c r="DF270" i="3"/>
  <c r="DF252" i="3"/>
  <c r="DF253" i="3"/>
  <c r="DF245" i="3"/>
  <c r="DF249" i="3"/>
  <c r="DF246" i="3"/>
  <c r="EH383" i="3"/>
  <c r="EH270" i="3"/>
  <c r="EH252" i="3"/>
  <c r="EH249" i="3"/>
  <c r="EH245" i="3"/>
  <c r="EH253" i="3"/>
  <c r="EH246" i="3"/>
  <c r="DQ151" i="3"/>
  <c r="CX383" i="3"/>
  <c r="CX270" i="3"/>
  <c r="CX252" i="3"/>
  <c r="CX249" i="3"/>
  <c r="CX253" i="3"/>
  <c r="CX245" i="3"/>
  <c r="CX246" i="3"/>
  <c r="DB251" i="3"/>
  <c r="F10" i="91" s="1"/>
  <c r="F19" i="91" s="1"/>
  <c r="CU383" i="3"/>
  <c r="CU270" i="3"/>
  <c r="CU245" i="3"/>
  <c r="CU246" i="3"/>
  <c r="CU253" i="3"/>
  <c r="CU249" i="3"/>
  <c r="CU252" i="3"/>
  <c r="AW244" i="3"/>
  <c r="AW243" i="3"/>
  <c r="AN273" i="3"/>
  <c r="AN271" i="3"/>
  <c r="DV369" i="3"/>
  <c r="DV375" i="3" s="1"/>
  <c r="DV314" i="3"/>
  <c r="DV339" i="3"/>
  <c r="DV251" i="3"/>
  <c r="J10" i="91" s="1"/>
  <c r="DV239" i="3"/>
  <c r="BQ244" i="3"/>
  <c r="BQ243" i="3"/>
  <c r="CV383" i="3"/>
  <c r="CV253" i="3"/>
  <c r="CV270" i="3"/>
  <c r="CV246" i="3"/>
  <c r="CV249" i="3"/>
  <c r="CV252" i="3"/>
  <c r="CV245" i="3"/>
  <c r="AT253" i="3"/>
  <c r="AP254" i="3"/>
  <c r="CE243" i="3"/>
  <c r="CE244" i="3"/>
  <c r="DL369" i="3"/>
  <c r="DL375" i="3" s="1"/>
  <c r="DL339" i="3"/>
  <c r="DL314" i="3"/>
  <c r="DL251" i="3"/>
  <c r="H10" i="91" s="1"/>
  <c r="DL239" i="3"/>
  <c r="DL242" i="3"/>
  <c r="DV242" i="3"/>
  <c r="EE244" i="3"/>
  <c r="EE243" i="3"/>
  <c r="DM402" i="3"/>
  <c r="DN403" i="3"/>
  <c r="BM244" i="3"/>
  <c r="BM243" i="3"/>
  <c r="FQ146" i="3"/>
  <c r="CQ383" i="3"/>
  <c r="CQ270" i="3"/>
  <c r="CQ253" i="3"/>
  <c r="CQ245" i="3"/>
  <c r="CQ252" i="3"/>
  <c r="CQ249" i="3"/>
  <c r="CQ246" i="3"/>
  <c r="BU383" i="3"/>
  <c r="BU270" i="3"/>
  <c r="BU253" i="3"/>
  <c r="BU254" i="3" s="1"/>
  <c r="BU252" i="3"/>
  <c r="BU245" i="3"/>
  <c r="CD383" i="3"/>
  <c r="CD270" i="3"/>
  <c r="CD252" i="3"/>
  <c r="CH251" i="3"/>
  <c r="CD245" i="3"/>
  <c r="CD253" i="3"/>
  <c r="DV151" i="3"/>
  <c r="CK383" i="3"/>
  <c r="CK270" i="3"/>
  <c r="CK252" i="3"/>
  <c r="CK253" i="3"/>
  <c r="CK249" i="3"/>
  <c r="CK246" i="3"/>
  <c r="CK245" i="3"/>
  <c r="DP383" i="3"/>
  <c r="DP253" i="3"/>
  <c r="DP270" i="3"/>
  <c r="DP252" i="3"/>
  <c r="DP246" i="3"/>
  <c r="DP249" i="3"/>
  <c r="DP245" i="3"/>
  <c r="CP383" i="3"/>
  <c r="CP270" i="3"/>
  <c r="CP252" i="3"/>
  <c r="CP253" i="3"/>
  <c r="CP245" i="3"/>
  <c r="CP249" i="3"/>
  <c r="CP246" i="3"/>
  <c r="CJ243" i="3"/>
  <c r="CJ244" i="3"/>
  <c r="AS273" i="3"/>
  <c r="AS271" i="3"/>
  <c r="CV134" i="3"/>
  <c r="EG244" i="3"/>
  <c r="EG243" i="3"/>
  <c r="BH243" i="3"/>
  <c r="CZ383" i="3"/>
  <c r="CZ253" i="3"/>
  <c r="CZ270" i="3"/>
  <c r="CZ252" i="3"/>
  <c r="CZ246" i="3"/>
  <c r="CZ249" i="3"/>
  <c r="CZ245" i="3"/>
  <c r="CT243" i="3"/>
  <c r="CT244" i="3"/>
  <c r="DD243" i="3"/>
  <c r="DD244" i="3"/>
  <c r="DA383" i="3"/>
  <c r="DA252" i="3"/>
  <c r="DA270" i="3"/>
  <c r="DA253" i="3"/>
  <c r="DA249" i="3"/>
  <c r="DA245" i="3"/>
  <c r="DA246" i="3"/>
  <c r="DO383" i="3"/>
  <c r="DO270" i="3"/>
  <c r="DO246" i="3"/>
  <c r="DO253" i="3"/>
  <c r="DO245" i="3"/>
  <c r="DO252" i="3"/>
  <c r="DO249" i="3"/>
  <c r="DX244" i="3"/>
  <c r="DX243" i="3"/>
  <c r="ED244" i="3"/>
  <c r="ED243" i="3"/>
  <c r="AR273" i="3"/>
  <c r="AR271" i="3"/>
  <c r="AZ384" i="3"/>
  <c r="AZ273" i="3"/>
  <c r="AZ271" i="3"/>
  <c r="CM369" i="3"/>
  <c r="CM375" i="3" s="1"/>
  <c r="CM337" i="3"/>
  <c r="CM339" i="3"/>
  <c r="CM314" i="3"/>
  <c r="CM239" i="3"/>
  <c r="CM341" i="3"/>
  <c r="CM242" i="3"/>
  <c r="DT244" i="3"/>
  <c r="DT243" i="3"/>
  <c r="AV271" i="3"/>
  <c r="AV273" i="3"/>
  <c r="DG133" i="3"/>
  <c r="AY369" i="3"/>
  <c r="AY375" i="3" s="1"/>
  <c r="AY337" i="3"/>
  <c r="AY339" i="3"/>
  <c r="AY314" i="3"/>
  <c r="AY251" i="3"/>
  <c r="BD252" i="3" s="1"/>
  <c r="AY239" i="3"/>
  <c r="AY341" i="3"/>
  <c r="AY242" i="3"/>
  <c r="AY243" i="3" s="1"/>
  <c r="AI273" i="3"/>
  <c r="AI271" i="3"/>
  <c r="CY383" i="3"/>
  <c r="CY270" i="3"/>
  <c r="CY253" i="3"/>
  <c r="CY245" i="3"/>
  <c r="CY252" i="3"/>
  <c r="CY246" i="3"/>
  <c r="CY249" i="3"/>
  <c r="AT370" i="3"/>
  <c r="AT270" i="3"/>
  <c r="AT252" i="3"/>
  <c r="AT245" i="3"/>
  <c r="EZ153" i="3"/>
  <c r="FE153" i="3" s="1"/>
  <c r="EB147" i="3"/>
  <c r="DW383" i="3"/>
  <c r="DW270" i="3"/>
  <c r="DW246" i="3"/>
  <c r="DW253" i="3"/>
  <c r="DW245" i="3"/>
  <c r="DW252" i="3"/>
  <c r="DW249" i="3"/>
  <c r="BE383" i="3"/>
  <c r="BE270" i="3"/>
  <c r="BE253" i="3"/>
  <c r="BE252" i="3"/>
  <c r="BI251" i="3"/>
  <c r="BE245" i="3"/>
  <c r="BH384" i="3"/>
  <c r="BH273" i="3"/>
  <c r="BH271" i="3"/>
  <c r="EF131" i="3"/>
  <c r="AM271" i="3"/>
  <c r="AM273" i="3"/>
  <c r="DJ383" i="3"/>
  <c r="DJ270" i="3"/>
  <c r="DJ252" i="3"/>
  <c r="DJ245" i="3"/>
  <c r="DJ246" i="3"/>
  <c r="DJ253" i="3"/>
  <c r="DJ249" i="3"/>
  <c r="T275" i="3"/>
  <c r="T286" i="3"/>
  <c r="U286" i="3" s="1"/>
  <c r="Y273" i="3"/>
  <c r="Y271" i="3"/>
  <c r="EB383" i="3"/>
  <c r="EB253" i="3"/>
  <c r="EB270" i="3"/>
  <c r="EB246" i="3"/>
  <c r="EB249" i="3"/>
  <c r="EB252" i="3"/>
  <c r="EB245" i="3"/>
  <c r="DG369" i="3"/>
  <c r="DG375" i="3" s="1"/>
  <c r="DG339" i="3"/>
  <c r="DG314" i="3"/>
  <c r="DG251" i="3"/>
  <c r="G10" i="91" s="1"/>
  <c r="DG239" i="3"/>
  <c r="DG337" i="3"/>
  <c r="DG242" i="3"/>
  <c r="DH383" i="3"/>
  <c r="DH270" i="3"/>
  <c r="DH253" i="3"/>
  <c r="DH252" i="3"/>
  <c r="DH249" i="3"/>
  <c r="DH246" i="3"/>
  <c r="DH245" i="3"/>
  <c r="CA244" i="3"/>
  <c r="CA243" i="3"/>
  <c r="DN243" i="3"/>
  <c r="DN244" i="3"/>
  <c r="CX145" i="3"/>
  <c r="CX134" i="3" s="1"/>
  <c r="DB150" i="3"/>
  <c r="DB145" i="3" s="1"/>
  <c r="AX270" i="3"/>
  <c r="AX252" i="3"/>
  <c r="AX245" i="3"/>
  <c r="AX253" i="3"/>
  <c r="AX254" i="3" s="1"/>
  <c r="CG244" i="3"/>
  <c r="CG243" i="3"/>
  <c r="BK383" i="3"/>
  <c r="BK270" i="3"/>
  <c r="BK253" i="3"/>
  <c r="BK252" i="3"/>
  <c r="BK245" i="3"/>
  <c r="R277" i="3"/>
  <c r="R288" i="3"/>
  <c r="BW383" i="3"/>
  <c r="BW270" i="3"/>
  <c r="BW252" i="3"/>
  <c r="BW245" i="3"/>
  <c r="BW253" i="3"/>
  <c r="CI383" i="3"/>
  <c r="CI270" i="3"/>
  <c r="CM251" i="3"/>
  <c r="CI253" i="3"/>
  <c r="CI246" i="3"/>
  <c r="CI250" i="3" s="1"/>
  <c r="CI252" i="3"/>
  <c r="CI245" i="3"/>
  <c r="CI249" i="3"/>
  <c r="DQ150" i="3"/>
  <c r="DQ145" i="3" s="1"/>
  <c r="DM145" i="3"/>
  <c r="DM134" i="3" s="1"/>
  <c r="DY383" i="3"/>
  <c r="DY252" i="3"/>
  <c r="DY270" i="3"/>
  <c r="DY253" i="3"/>
  <c r="DY249" i="3"/>
  <c r="DY246" i="3"/>
  <c r="DY245" i="3"/>
  <c r="DZ243" i="3"/>
  <c r="DZ244" i="3"/>
  <c r="EC146" i="3"/>
  <c r="BO383" i="3"/>
  <c r="BO270" i="3"/>
  <c r="BS251" i="3"/>
  <c r="BO253" i="3"/>
  <c r="DK383" i="3"/>
  <c r="DK270" i="3"/>
  <c r="DK245" i="3"/>
  <c r="DK246" i="3"/>
  <c r="DK253" i="3"/>
  <c r="DK249" i="3"/>
  <c r="DK252" i="3"/>
  <c r="BI369" i="3"/>
  <c r="BI375" i="3" s="1"/>
  <c r="BI339" i="3"/>
  <c r="BI337" i="3"/>
  <c r="BI314" i="3"/>
  <c r="BI239" i="3"/>
  <c r="BI341" i="3"/>
  <c r="BI242" i="3"/>
  <c r="BI243" i="3" s="1"/>
  <c r="FQ238" i="3"/>
  <c r="FP238" i="3"/>
  <c r="BD383" i="3"/>
  <c r="BD370" i="3"/>
  <c r="BD270" i="3"/>
  <c r="CL243" i="3"/>
  <c r="CL244" i="3"/>
  <c r="CO244" i="3"/>
  <c r="CO243" i="3"/>
  <c r="DB369" i="3"/>
  <c r="DB375" i="3" s="1"/>
  <c r="DB341" i="3"/>
  <c r="DB339" i="3"/>
  <c r="DB337" i="3"/>
  <c r="DB314" i="3"/>
  <c r="DB239" i="3"/>
  <c r="DB242" i="3"/>
  <c r="BF383" i="3"/>
  <c r="BF270" i="3"/>
  <c r="BF252" i="3"/>
  <c r="BF245" i="3"/>
  <c r="BF253" i="3"/>
  <c r="DW150" i="3"/>
  <c r="BG244" i="3"/>
  <c r="BG243" i="3"/>
  <c r="BL243" i="3"/>
  <c r="DC383" i="3"/>
  <c r="DC270" i="3"/>
  <c r="DC249" i="3"/>
  <c r="DC245" i="3"/>
  <c r="DC246" i="3"/>
  <c r="DC253" i="3"/>
  <c r="DC252" i="3"/>
  <c r="CS383" i="3"/>
  <c r="CS270" i="3"/>
  <c r="CS252" i="3"/>
  <c r="CS253" i="3"/>
  <c r="CS249" i="3"/>
  <c r="CS245" i="3"/>
  <c r="CW251" i="3"/>
  <c r="CS246" i="3"/>
  <c r="AO253" i="3"/>
  <c r="DI383" i="3"/>
  <c r="DI252" i="3"/>
  <c r="DI270" i="3"/>
  <c r="DI253" i="3"/>
  <c r="DI249" i="3"/>
  <c r="DI245" i="3"/>
  <c r="DI246" i="3"/>
  <c r="AR254" i="3"/>
  <c r="BR243" i="3"/>
  <c r="BR244" i="3"/>
  <c r="AU270" i="3"/>
  <c r="AU253" i="3"/>
  <c r="AZ254" i="3" s="1"/>
  <c r="AU252" i="3"/>
  <c r="AU245" i="3"/>
  <c r="AV254" i="3"/>
  <c r="CM147" i="3"/>
  <c r="DY151" i="3"/>
  <c r="DY150" i="3" s="1"/>
  <c r="DY145" i="3" s="1"/>
  <c r="DY134" i="3" s="1"/>
  <c r="BZ383" i="3"/>
  <c r="BZ270" i="3"/>
  <c r="BZ252" i="3"/>
  <c r="BZ253" i="3"/>
  <c r="BZ245" i="3"/>
  <c r="DQ133" i="3"/>
  <c r="BS369" i="3"/>
  <c r="BS375" i="3" s="1"/>
  <c r="BS337" i="3"/>
  <c r="BS339" i="3"/>
  <c r="BS314" i="3"/>
  <c r="BS341" i="3"/>
  <c r="BS242" i="3"/>
  <c r="DG150" i="3"/>
  <c r="DG145" i="3" s="1"/>
  <c r="DM383" i="3"/>
  <c r="DM270" i="3"/>
  <c r="DM252" i="3"/>
  <c r="DM253" i="3"/>
  <c r="DM249" i="3"/>
  <c r="DM245" i="3"/>
  <c r="DM246" i="3"/>
  <c r="EA369" i="3"/>
  <c r="EA375" i="3" s="1"/>
  <c r="EA339" i="3"/>
  <c r="EA314" i="3"/>
  <c r="EA251" i="3"/>
  <c r="K10" i="91" s="1"/>
  <c r="EA239" i="3"/>
  <c r="EA242" i="3"/>
  <c r="BJ243" i="3"/>
  <c r="BJ244" i="3"/>
  <c r="AF271" i="3"/>
  <c r="AF273" i="3"/>
  <c r="AE243" i="3"/>
  <c r="DE244" i="3"/>
  <c r="DE243" i="3"/>
  <c r="BX147" i="3"/>
  <c r="CC151" i="3"/>
  <c r="DU383" i="3"/>
  <c r="DU252" i="3"/>
  <c r="DU270" i="3"/>
  <c r="DU253" i="3"/>
  <c r="DU249" i="3"/>
  <c r="DU246" i="3"/>
  <c r="DU245" i="3"/>
  <c r="DR383" i="3"/>
  <c r="DR270" i="3"/>
  <c r="DR252" i="3"/>
  <c r="DR249" i="3"/>
  <c r="DR245" i="3"/>
  <c r="DR253" i="3"/>
  <c r="DR246" i="3"/>
  <c r="CF244" i="3"/>
  <c r="CF243" i="3"/>
  <c r="X273" i="3"/>
  <c r="X271" i="3"/>
  <c r="BB383" i="3"/>
  <c r="BB270" i="3"/>
  <c r="BB252" i="3"/>
  <c r="BB253" i="3"/>
  <c r="BB245" i="3"/>
  <c r="AG273" i="3"/>
  <c r="AG271" i="3"/>
  <c r="AJ270" i="3"/>
  <c r="AJ252" i="3"/>
  <c r="AJ245" i="3"/>
  <c r="AE253" i="3"/>
  <c r="BP384" i="3"/>
  <c r="BP273" i="3"/>
  <c r="BP271" i="3"/>
  <c r="BP285" i="3" s="1"/>
  <c r="DY147" i="3"/>
  <c r="AO270" i="3"/>
  <c r="AO252" i="3"/>
  <c r="AO245" i="3"/>
  <c r="BT244" i="3"/>
  <c r="BT243" i="3"/>
  <c r="DF243" i="3"/>
  <c r="DF244" i="3"/>
  <c r="EH243" i="3"/>
  <c r="EH244" i="3"/>
  <c r="AD273" i="3"/>
  <c r="AD271" i="3"/>
  <c r="DG341" i="3"/>
  <c r="CX243" i="3"/>
  <c r="CX244" i="3"/>
  <c r="CU244" i="3"/>
  <c r="CU243" i="3"/>
  <c r="AW270" i="3"/>
  <c r="AW253" i="3"/>
  <c r="AW254" i="3" s="1"/>
  <c r="AW252" i="3"/>
  <c r="AW245" i="3"/>
  <c r="W271" i="3"/>
  <c r="W273" i="3"/>
  <c r="AB273" i="3"/>
  <c r="AB271" i="3"/>
  <c r="BQ383" i="3"/>
  <c r="BQ270" i="3"/>
  <c r="BQ253" i="3"/>
  <c r="BQ252" i="3"/>
  <c r="BQ245" i="3"/>
  <c r="CV243" i="3"/>
  <c r="CV244" i="3"/>
  <c r="CE383" i="3"/>
  <c r="CE270" i="3"/>
  <c r="CE245" i="3"/>
  <c r="CE253" i="3"/>
  <c r="CE252" i="3"/>
  <c r="AQ273" i="3"/>
  <c r="AQ271" i="3"/>
  <c r="EI244" i="3"/>
  <c r="EI243" i="3"/>
  <c r="EI270" i="3"/>
  <c r="EI246" i="3"/>
  <c r="EI249" i="3"/>
  <c r="EI245" i="3"/>
  <c r="EI253" i="3"/>
  <c r="EI252" i="3"/>
  <c r="EE383" i="3"/>
  <c r="EE270" i="3"/>
  <c r="EE246" i="3"/>
  <c r="EE253" i="3"/>
  <c r="EE245" i="3"/>
  <c r="EE252" i="3"/>
  <c r="EE249" i="3"/>
  <c r="DS383" i="3"/>
  <c r="DS270" i="3"/>
  <c r="DS246" i="3"/>
  <c r="DS249" i="3"/>
  <c r="DS245" i="3"/>
  <c r="DS253" i="3"/>
  <c r="DS252" i="3"/>
  <c r="BM383" i="3"/>
  <c r="BM270" i="3"/>
  <c r="BM253" i="3"/>
  <c r="BM254" i="3" s="1"/>
  <c r="BM252" i="3"/>
  <c r="BM245" i="3"/>
  <c r="CR369" i="3"/>
  <c r="CR375" i="3" s="1"/>
  <c r="CR337" i="3"/>
  <c r="CR339" i="3"/>
  <c r="CR314" i="3"/>
  <c r="CR239" i="3"/>
  <c r="CR341" i="3"/>
  <c r="CR242" i="3"/>
  <c r="CQ244" i="3"/>
  <c r="CQ243" i="3"/>
  <c r="BU244" i="3"/>
  <c r="BU243" i="3"/>
  <c r="EB151" i="3"/>
  <c r="CW150" i="3"/>
  <c r="CW145" i="3" s="1"/>
  <c r="CD244" i="3"/>
  <c r="DQ369" i="3"/>
  <c r="DQ375" i="3" s="1"/>
  <c r="DQ339" i="3"/>
  <c r="DQ314" i="3"/>
  <c r="DQ251" i="3"/>
  <c r="I10" i="91" s="1"/>
  <c r="DQ239" i="3"/>
  <c r="DQ242" i="3"/>
  <c r="CK244" i="3"/>
  <c r="CK243" i="3"/>
  <c r="DP243" i="3"/>
  <c r="DP244" i="3"/>
  <c r="CP244" i="3"/>
  <c r="CP243" i="3"/>
  <c r="CJ383" i="3"/>
  <c r="CJ253" i="3"/>
  <c r="CJ270" i="3"/>
  <c r="CJ252" i="3"/>
  <c r="CJ245" i="3"/>
  <c r="CJ249" i="3"/>
  <c r="CJ246" i="3"/>
  <c r="EF369" i="3"/>
  <c r="EF375" i="3" s="1"/>
  <c r="EF339" i="3"/>
  <c r="EF314" i="3"/>
  <c r="EF251" i="3"/>
  <c r="L10" i="91" s="1"/>
  <c r="EF239" i="3"/>
  <c r="EF242" i="3"/>
  <c r="EG383" i="3"/>
  <c r="EG270" i="3"/>
  <c r="EG252" i="3"/>
  <c r="EG253" i="3"/>
  <c r="EG249" i="3"/>
  <c r="EG246" i="3"/>
  <c r="EG245" i="3"/>
  <c r="AK273" i="3"/>
  <c r="AK271" i="3"/>
  <c r="CZ244" i="3"/>
  <c r="CZ243" i="3"/>
  <c r="CT383" i="3"/>
  <c r="CT270" i="3"/>
  <c r="CT252" i="3"/>
  <c r="CT245" i="3"/>
  <c r="CT246" i="3"/>
  <c r="CT253" i="3"/>
  <c r="CT249" i="3"/>
  <c r="DD383" i="3"/>
  <c r="DD253" i="3"/>
  <c r="DD270" i="3"/>
  <c r="DD246" i="3"/>
  <c r="DD252" i="3"/>
  <c r="DD249" i="3"/>
  <c r="DD245" i="3"/>
  <c r="DA244" i="3"/>
  <c r="DA243" i="3"/>
  <c r="DO244" i="3"/>
  <c r="DO243" i="3"/>
  <c r="BX369" i="3"/>
  <c r="BX375" i="3" s="1"/>
  <c r="BX339" i="3"/>
  <c r="BX314" i="3"/>
  <c r="BX337" i="3"/>
  <c r="BX239" i="3"/>
  <c r="BX341" i="3"/>
  <c r="BX242" i="3"/>
  <c r="DV336" i="3"/>
  <c r="EA331" i="3"/>
  <c r="EA332" i="3" s="1"/>
  <c r="DG147" i="3"/>
  <c r="CH369" i="3"/>
  <c r="CH375" i="3" s="1"/>
  <c r="CH339" i="3"/>
  <c r="CH337" i="3"/>
  <c r="CH341" i="3"/>
  <c r="CH314" i="3"/>
  <c r="CH242" i="3"/>
  <c r="CY243" i="3"/>
  <c r="CY244" i="3"/>
  <c r="AT243" i="3"/>
  <c r="CR150" i="3"/>
  <c r="CR145" i="3" s="1"/>
  <c r="FI48" i="3" l="1"/>
  <c r="FJ48" i="3"/>
  <c r="FJ196" i="3"/>
  <c r="FI196" i="3"/>
  <c r="EU79" i="3"/>
  <c r="EU122" i="3"/>
  <c r="EU106" i="3"/>
  <c r="EU105" i="3"/>
  <c r="ET106" i="3"/>
  <c r="ET105" i="3"/>
  <c r="EA105" i="3"/>
  <c r="EA106" i="3"/>
  <c r="EK106" i="3"/>
  <c r="EK105" i="3"/>
  <c r="EF205" i="3"/>
  <c r="EU394" i="3"/>
  <c r="EU65" i="3"/>
  <c r="EZ64" i="3"/>
  <c r="FE64" i="3"/>
  <c r="EA148" i="3"/>
  <c r="EA149" i="3" s="1"/>
  <c r="EF43" i="3"/>
  <c r="EW278" i="3"/>
  <c r="EX278" i="3" s="1"/>
  <c r="EY278" i="3" s="1"/>
  <c r="EA130" i="3"/>
  <c r="EA133" i="3" s="1"/>
  <c r="EA131" i="3"/>
  <c r="FI44" i="3"/>
  <c r="EF172" i="3"/>
  <c r="FJ44" i="3"/>
  <c r="EF212" i="3"/>
  <c r="EF226" i="3"/>
  <c r="EF130" i="3"/>
  <c r="EF133" i="3" s="1"/>
  <c r="CH151" i="3"/>
  <c r="EF228" i="3"/>
  <c r="BZ244" i="3"/>
  <c r="CD243" i="3"/>
  <c r="BY243" i="3"/>
  <c r="CH134" i="3"/>
  <c r="DX151" i="3"/>
  <c r="DX150" i="3" s="1"/>
  <c r="DX145" i="3" s="1"/>
  <c r="DX134" i="3" s="1"/>
  <c r="FI213" i="3"/>
  <c r="CC134" i="3"/>
  <c r="CC239" i="3"/>
  <c r="CC314" i="3"/>
  <c r="CC337" i="3"/>
  <c r="FK132" i="3"/>
  <c r="DX146" i="3"/>
  <c r="DX147" i="3" s="1"/>
  <c r="CH239" i="3"/>
  <c r="EC149" i="3"/>
  <c r="FI173" i="3"/>
  <c r="FJ229" i="3"/>
  <c r="S277" i="3"/>
  <c r="CC147" i="3"/>
  <c r="EP130" i="3"/>
  <c r="EP136" i="3"/>
  <c r="CC339" i="3"/>
  <c r="FK244" i="3"/>
  <c r="EK226" i="3"/>
  <c r="EP226" i="3"/>
  <c r="FJ173" i="3"/>
  <c r="FI229" i="3"/>
  <c r="FJ244" i="3"/>
  <c r="CC369" i="3"/>
  <c r="CC375" i="3" s="1"/>
  <c r="EP252" i="3"/>
  <c r="EP245" i="3"/>
  <c r="EP249" i="3"/>
  <c r="FI206" i="3"/>
  <c r="BS147" i="3"/>
  <c r="CC242" i="3"/>
  <c r="CC243" i="3" s="1"/>
  <c r="FI244" i="3"/>
  <c r="EK228" i="3"/>
  <c r="EP228" i="3"/>
  <c r="EK212" i="3"/>
  <c r="EP212" i="3"/>
  <c r="EK172" i="3"/>
  <c r="EP172" i="3"/>
  <c r="EK205" i="3"/>
  <c r="EP205" i="3"/>
  <c r="FI27" i="3"/>
  <c r="FJ206" i="3"/>
  <c r="ET172" i="3"/>
  <c r="EU40" i="3"/>
  <c r="EU54" i="3" s="1"/>
  <c r="EU389" i="3"/>
  <c r="ES25" i="3"/>
  <c r="EU171" i="3"/>
  <c r="EU388" i="3"/>
  <c r="EU396" i="3"/>
  <c r="EU387" i="3"/>
  <c r="EU395" i="3"/>
  <c r="EU393" i="3"/>
  <c r="EU392" i="3"/>
  <c r="EU390" i="3"/>
  <c r="EU26" i="3"/>
  <c r="EU391" i="3"/>
  <c r="ER25" i="3"/>
  <c r="ET25" i="3"/>
  <c r="EI384" i="3"/>
  <c r="EJ248" i="3"/>
  <c r="EN247" i="3"/>
  <c r="EN254" i="3"/>
  <c r="ET213" i="3"/>
  <c r="ET207" i="3"/>
  <c r="EU207" i="3" s="1"/>
  <c r="EQ209" i="3" s="1"/>
  <c r="FM209" i="3" s="1"/>
  <c r="EU75" i="3"/>
  <c r="ET61" i="3"/>
  <c r="EU60" i="3"/>
  <c r="BO252" i="3"/>
  <c r="CK254" i="3"/>
  <c r="EU52" i="3"/>
  <c r="BN251" i="3"/>
  <c r="BS252" i="3" s="1"/>
  <c r="BJ253" i="3"/>
  <c r="BN253" i="3" s="1"/>
  <c r="ER257" i="3"/>
  <c r="ER256" i="3" s="1"/>
  <c r="ES258" i="3"/>
  <c r="ET287" i="3"/>
  <c r="EU287" i="3" s="1"/>
  <c r="EU278" i="3"/>
  <c r="E35" i="91" s="1"/>
  <c r="EZ51" i="3"/>
  <c r="FE51" i="3" s="1"/>
  <c r="EU50" i="3"/>
  <c r="EU81" i="3"/>
  <c r="ET102" i="3"/>
  <c r="EU101" i="3"/>
  <c r="DX132" i="3"/>
  <c r="EN150" i="3"/>
  <c r="FQ44" i="3"/>
  <c r="EK54" i="3"/>
  <c r="FQ173" i="3"/>
  <c r="FQ27" i="3"/>
  <c r="EU29" i="3"/>
  <c r="EU28" i="3"/>
  <c r="EM25" i="3"/>
  <c r="EN25" i="3"/>
  <c r="FQ172" i="3"/>
  <c r="BJ383" i="3"/>
  <c r="BJ245" i="3"/>
  <c r="BJ252" i="3"/>
  <c r="BO245" i="3"/>
  <c r="EI132" i="3"/>
  <c r="FJ132" i="3" s="1"/>
  <c r="FP136" i="3"/>
  <c r="EH146" i="3"/>
  <c r="FQ43" i="3"/>
  <c r="FE267" i="3"/>
  <c r="FE266" i="3" s="1"/>
  <c r="FE264" i="3" s="1"/>
  <c r="FE365" i="3"/>
  <c r="EM247" i="3"/>
  <c r="EM254" i="3"/>
  <c r="EH133" i="3"/>
  <c r="EM149" i="3"/>
  <c r="FP148" i="3"/>
  <c r="EM133" i="3"/>
  <c r="BS239" i="3"/>
  <c r="BN369" i="3"/>
  <c r="BN375" i="3" s="1"/>
  <c r="BN242" i="3"/>
  <c r="BS243" i="3" s="1"/>
  <c r="BN314" i="3"/>
  <c r="EL247" i="3"/>
  <c r="FN247" i="3" s="1"/>
  <c r="BN339" i="3"/>
  <c r="ED147" i="3"/>
  <c r="BN337" i="3"/>
  <c r="EF243" i="3"/>
  <c r="BN239" i="3"/>
  <c r="EJ147" i="3"/>
  <c r="EL254" i="3"/>
  <c r="FN254" i="3" s="1"/>
  <c r="BL271" i="3"/>
  <c r="CE254" i="3"/>
  <c r="DU254" i="3"/>
  <c r="BL273" i="3"/>
  <c r="BL275" i="3" s="1"/>
  <c r="EE147" i="3"/>
  <c r="EG133" i="3"/>
  <c r="EH132" i="3"/>
  <c r="FP131" i="3"/>
  <c r="EG149" i="3"/>
  <c r="EL149" i="3"/>
  <c r="FN149" i="3" s="1"/>
  <c r="EL133" i="3"/>
  <c r="FN133" i="3" s="1"/>
  <c r="FQ136" i="3"/>
  <c r="EL25" i="3"/>
  <c r="FN25" i="3" s="1"/>
  <c r="EI147" i="3"/>
  <c r="DS254" i="3"/>
  <c r="BQ254" i="3"/>
  <c r="BL254" i="3"/>
  <c r="BD253" i="3"/>
  <c r="BD373" i="3" s="1"/>
  <c r="BD379" i="3" s="1"/>
  <c r="EK243" i="3"/>
  <c r="DY254" i="3"/>
  <c r="EK253" i="3"/>
  <c r="EK270" i="3"/>
  <c r="EK252" i="3"/>
  <c r="EK249" i="3"/>
  <c r="EK370" i="3"/>
  <c r="EK383" i="3"/>
  <c r="EK246" i="3"/>
  <c r="EP247" i="3" s="1"/>
  <c r="EK245" i="3"/>
  <c r="EG132" i="3"/>
  <c r="FH132" i="3" s="1"/>
  <c r="EG151" i="3"/>
  <c r="EK43" i="3"/>
  <c r="EK148" i="3"/>
  <c r="EG146" i="3"/>
  <c r="EK131" i="3"/>
  <c r="EK130" i="3"/>
  <c r="EK133" i="3" s="1"/>
  <c r="E471" i="42"/>
  <c r="E472" i="42" s="1"/>
  <c r="E473" i="42" s="1"/>
  <c r="E474" i="42" s="1"/>
  <c r="E475" i="42" s="1"/>
  <c r="E476" i="42" s="1"/>
  <c r="E477" i="42" s="1"/>
  <c r="E478" i="42" s="1"/>
  <c r="E479" i="42" s="1"/>
  <c r="E480" i="42" s="1"/>
  <c r="E481" i="42" s="1"/>
  <c r="E482" i="42" s="1"/>
  <c r="E483" i="42" s="1"/>
  <c r="EP395" i="3"/>
  <c r="EP387" i="3"/>
  <c r="EP396" i="3"/>
  <c r="EP394" i="3"/>
  <c r="EP391" i="3"/>
  <c r="EP388" i="3"/>
  <c r="EP392" i="3"/>
  <c r="EP389" i="3"/>
  <c r="EP390" i="3"/>
  <c r="EP393" i="3"/>
  <c r="BX243" i="3"/>
  <c r="CZ254" i="3"/>
  <c r="CQ254" i="3"/>
  <c r="BF254" i="3"/>
  <c r="BW254" i="3"/>
  <c r="DA254" i="3"/>
  <c r="DD254" i="3"/>
  <c r="CU254" i="3"/>
  <c r="CA254" i="3"/>
  <c r="CJ254" i="3"/>
  <c r="DQ243" i="3"/>
  <c r="BD245" i="3"/>
  <c r="EZ12" i="3"/>
  <c r="CR134" i="3"/>
  <c r="CW134" i="3"/>
  <c r="DQ134" i="3"/>
  <c r="DB134" i="3"/>
  <c r="EE254" i="3"/>
  <c r="EJ254" i="3"/>
  <c r="DG243" i="3"/>
  <c r="DF254" i="3"/>
  <c r="EJ247" i="3"/>
  <c r="EJ150" i="3"/>
  <c r="EE145" i="3"/>
  <c r="L13" i="91"/>
  <c r="L19" i="91"/>
  <c r="L12" i="91"/>
  <c r="J19" i="91"/>
  <c r="J13" i="91"/>
  <c r="J12" i="91"/>
  <c r="CT254" i="3"/>
  <c r="I19" i="91"/>
  <c r="I13" i="91"/>
  <c r="I12" i="91"/>
  <c r="CR243" i="3"/>
  <c r="BD243" i="3"/>
  <c r="EA243" i="3"/>
  <c r="K13" i="91"/>
  <c r="K12" i="91"/>
  <c r="K19" i="91"/>
  <c r="BZ254" i="3"/>
  <c r="DB243" i="3"/>
  <c r="DK254" i="3"/>
  <c r="G13" i="91"/>
  <c r="G12" i="91"/>
  <c r="G19" i="91"/>
  <c r="DJ254" i="3"/>
  <c r="H13" i="91"/>
  <c r="H19" i="91"/>
  <c r="H12" i="91"/>
  <c r="F13" i="91"/>
  <c r="F12" i="91"/>
  <c r="EC254" i="3"/>
  <c r="CL254" i="3"/>
  <c r="D70" i="42"/>
  <c r="A82" i="42"/>
  <c r="P9" i="42"/>
  <c r="O10" i="42"/>
  <c r="AG5" i="42"/>
  <c r="Q25" i="42"/>
  <c r="P27" i="42"/>
  <c r="P26" i="42"/>
  <c r="D71" i="42"/>
  <c r="A83" i="42"/>
  <c r="AE5" i="42"/>
  <c r="AF5" i="42"/>
  <c r="D75" i="42"/>
  <c r="A87" i="42"/>
  <c r="D66" i="42"/>
  <c r="A78" i="42"/>
  <c r="C233" i="42"/>
  <c r="B232" i="42"/>
  <c r="D232" i="42" s="1"/>
  <c r="D60" i="42"/>
  <c r="A72" i="42"/>
  <c r="D67" i="42"/>
  <c r="A79" i="42"/>
  <c r="D76" i="42"/>
  <c r="A88" i="42"/>
  <c r="P20" i="42"/>
  <c r="O22" i="42"/>
  <c r="O21" i="42"/>
  <c r="D62" i="42"/>
  <c r="A74" i="42"/>
  <c r="D68" i="42"/>
  <c r="A80" i="42"/>
  <c r="O15" i="42"/>
  <c r="P14" i="42"/>
  <c r="D77" i="42"/>
  <c r="A89" i="42"/>
  <c r="D69" i="42"/>
  <c r="A81" i="42"/>
  <c r="D73" i="42"/>
  <c r="A85" i="42"/>
  <c r="O32" i="42"/>
  <c r="P30" i="42"/>
  <c r="O31" i="42"/>
  <c r="AD5" i="42"/>
  <c r="A11" i="41"/>
  <c r="B11" i="41" s="1"/>
  <c r="E12" i="41"/>
  <c r="G896" i="41"/>
  <c r="H895" i="41" s="1"/>
  <c r="C10" i="41"/>
  <c r="D11" i="41"/>
  <c r="Q23" i="91"/>
  <c r="R4" i="91"/>
  <c r="CT247" i="3"/>
  <c r="CT250" i="3"/>
  <c r="CT248" i="3"/>
  <c r="AK286" i="3"/>
  <c r="AK275" i="3"/>
  <c r="AK274" i="3"/>
  <c r="EG254" i="3"/>
  <c r="DQ383" i="3"/>
  <c r="DQ370" i="3"/>
  <c r="DQ270" i="3"/>
  <c r="DQ252" i="3"/>
  <c r="DQ249" i="3"/>
  <c r="DQ246" i="3"/>
  <c r="DQ245" i="3"/>
  <c r="DS384" i="3"/>
  <c r="DS273" i="3"/>
  <c r="DS271" i="3"/>
  <c r="EI254" i="3"/>
  <c r="EI273" i="3"/>
  <c r="EI271" i="3"/>
  <c r="AB286" i="3"/>
  <c r="AB275" i="3"/>
  <c r="AB274" i="3"/>
  <c r="BP385" i="3"/>
  <c r="BP286" i="3"/>
  <c r="BP275" i="3"/>
  <c r="DU384" i="3"/>
  <c r="DU273" i="3"/>
  <c r="DU271" i="3"/>
  <c r="AF286" i="3"/>
  <c r="AF275" i="3"/>
  <c r="AF274" i="3"/>
  <c r="BZ384" i="3"/>
  <c r="BZ273" i="3"/>
  <c r="BZ271" i="3"/>
  <c r="AU254" i="3"/>
  <c r="AY253" i="3"/>
  <c r="DI254" i="3"/>
  <c r="CS250" i="3"/>
  <c r="CS248" i="3"/>
  <c r="CS247" i="3"/>
  <c r="CW253" i="3"/>
  <c r="CS254" i="3"/>
  <c r="DW145" i="3"/>
  <c r="DW134" i="3" s="1"/>
  <c r="BD371" i="3"/>
  <c r="BD384" i="3"/>
  <c r="BD273" i="3"/>
  <c r="BD271" i="3"/>
  <c r="BD381" i="3" s="1"/>
  <c r="BS383" i="3"/>
  <c r="BS370" i="3"/>
  <c r="BS270" i="3"/>
  <c r="DY250" i="3"/>
  <c r="DY248" i="3"/>
  <c r="DY247" i="3"/>
  <c r="CI254" i="3"/>
  <c r="CM253" i="3"/>
  <c r="DH247" i="3"/>
  <c r="DH250" i="3"/>
  <c r="DH248" i="3"/>
  <c r="DH384" i="3"/>
  <c r="DH273" i="3"/>
  <c r="DH271" i="3"/>
  <c r="EB247" i="3"/>
  <c r="EB250" i="3"/>
  <c r="EB248" i="3"/>
  <c r="T277" i="3"/>
  <c r="T288" i="3"/>
  <c r="BE384" i="3"/>
  <c r="BE273" i="3"/>
  <c r="BE271" i="3"/>
  <c r="CY254" i="3"/>
  <c r="AI275" i="3"/>
  <c r="AI286" i="3"/>
  <c r="AI274" i="3"/>
  <c r="AY383" i="3"/>
  <c r="AY370" i="3"/>
  <c r="AY270" i="3"/>
  <c r="AY245" i="3"/>
  <c r="AY252" i="3"/>
  <c r="DO384" i="3"/>
  <c r="DO273" i="3"/>
  <c r="DO271" i="3"/>
  <c r="CP254" i="3"/>
  <c r="DP384" i="3"/>
  <c r="DP273" i="3"/>
  <c r="DP271" i="3"/>
  <c r="CK250" i="3"/>
  <c r="CK248" i="3"/>
  <c r="CK384" i="3"/>
  <c r="CK271" i="3"/>
  <c r="CK273" i="3"/>
  <c r="CQ250" i="3"/>
  <c r="CQ248" i="3"/>
  <c r="CQ247" i="3"/>
  <c r="DV243" i="3"/>
  <c r="CV384" i="3"/>
  <c r="CV273" i="3"/>
  <c r="CV271" i="3"/>
  <c r="DV383" i="3"/>
  <c r="DV370" i="3"/>
  <c r="DV270" i="3"/>
  <c r="DV252" i="3"/>
  <c r="DV246" i="3"/>
  <c r="DV245" i="3"/>
  <c r="DV249" i="3"/>
  <c r="CX248" i="3"/>
  <c r="CX247" i="3"/>
  <c r="CX250" i="3"/>
  <c r="EH250" i="3"/>
  <c r="EH247" i="3"/>
  <c r="EH248" i="3"/>
  <c r="DF384" i="3"/>
  <c r="DF273" i="3"/>
  <c r="DF271" i="3"/>
  <c r="CW243" i="3"/>
  <c r="CF384" i="3"/>
  <c r="CF273" i="3"/>
  <c r="CF271" i="3"/>
  <c r="V275" i="3"/>
  <c r="V274" i="3"/>
  <c r="V286" i="3"/>
  <c r="DE254" i="3"/>
  <c r="CB254" i="3"/>
  <c r="CR383" i="3"/>
  <c r="CR370" i="3"/>
  <c r="CR270" i="3"/>
  <c r="CR252" i="3"/>
  <c r="CR249" i="3"/>
  <c r="CR246" i="3"/>
  <c r="CR245" i="3"/>
  <c r="CN384" i="3"/>
  <c r="CN271" i="3"/>
  <c r="CN273" i="3"/>
  <c r="DR261" i="3"/>
  <c r="DR260" i="3" s="1"/>
  <c r="DT384" i="3"/>
  <c r="DT273" i="3"/>
  <c r="DT271" i="3"/>
  <c r="BR254" i="3"/>
  <c r="ED254" i="3"/>
  <c r="ED384" i="3"/>
  <c r="ED273" i="3"/>
  <c r="ED271" i="3"/>
  <c r="DX384" i="3"/>
  <c r="DX273" i="3"/>
  <c r="DX271" i="3"/>
  <c r="DK260" i="3"/>
  <c r="DL261" i="3"/>
  <c r="DL260" i="3" s="1"/>
  <c r="EC250" i="3"/>
  <c r="EC248" i="3"/>
  <c r="EC247" i="3"/>
  <c r="EC384" i="3"/>
  <c r="EC273" i="3"/>
  <c r="EC271" i="3"/>
  <c r="CO254" i="3"/>
  <c r="CL384" i="3"/>
  <c r="CL273" i="3"/>
  <c r="CL271" i="3"/>
  <c r="DZ248" i="3"/>
  <c r="DZ247" i="3"/>
  <c r="DZ250" i="3"/>
  <c r="AH274" i="3"/>
  <c r="AH286" i="3"/>
  <c r="AH275" i="3"/>
  <c r="AC286" i="3"/>
  <c r="AC275" i="3"/>
  <c r="AC274" i="3"/>
  <c r="AL275" i="3"/>
  <c r="AL274" i="3"/>
  <c r="AL286" i="3"/>
  <c r="CC383" i="3"/>
  <c r="CC370" i="3"/>
  <c r="CC270" i="3"/>
  <c r="CC252" i="3"/>
  <c r="CC245" i="3"/>
  <c r="EI150" i="3"/>
  <c r="BV254" i="3"/>
  <c r="BC384" i="3"/>
  <c r="BC271" i="3"/>
  <c r="BC273" i="3"/>
  <c r="BH274" i="3" s="1"/>
  <c r="ED145" i="3"/>
  <c r="EA336" i="3"/>
  <c r="EF331" i="3"/>
  <c r="EF332" i="3" s="1"/>
  <c r="EK331" i="3" s="1"/>
  <c r="EK332" i="3" s="1"/>
  <c r="EB150" i="3"/>
  <c r="BM384" i="3"/>
  <c r="BM273" i="3"/>
  <c r="BM271" i="3"/>
  <c r="AQ275" i="3"/>
  <c r="AQ286" i="3"/>
  <c r="AQ274" i="3"/>
  <c r="CE384" i="3"/>
  <c r="CE273" i="3"/>
  <c r="CE271" i="3"/>
  <c r="CE285" i="3" s="1"/>
  <c r="BQ384" i="3"/>
  <c r="BQ273" i="3"/>
  <c r="BQ271" i="3"/>
  <c r="W275" i="3"/>
  <c r="W286" i="3"/>
  <c r="W274" i="3"/>
  <c r="AO273" i="3"/>
  <c r="AO271" i="3"/>
  <c r="AJ273" i="3"/>
  <c r="AJ271" i="3"/>
  <c r="BB254" i="3"/>
  <c r="DR250" i="3"/>
  <c r="DR248" i="3"/>
  <c r="DR247" i="3"/>
  <c r="DU250" i="3"/>
  <c r="DU247" i="3"/>
  <c r="DU248" i="3"/>
  <c r="DQ253" i="3"/>
  <c r="DM254" i="3"/>
  <c r="AU271" i="3"/>
  <c r="AU273" i="3"/>
  <c r="AZ274" i="3" s="1"/>
  <c r="DI250" i="3"/>
  <c r="DI247" i="3"/>
  <c r="DI248" i="3"/>
  <c r="DI384" i="3"/>
  <c r="DI273" i="3"/>
  <c r="DI271" i="3"/>
  <c r="CW383" i="3"/>
  <c r="CW370" i="3"/>
  <c r="CW270" i="3"/>
  <c r="CW252" i="3"/>
  <c r="CW249" i="3"/>
  <c r="CW245" i="3"/>
  <c r="CW246" i="3"/>
  <c r="BF384" i="3"/>
  <c r="BF273" i="3"/>
  <c r="BF271" i="3"/>
  <c r="DK384" i="3"/>
  <c r="DK273" i="3"/>
  <c r="DK271" i="3"/>
  <c r="BO384" i="3"/>
  <c r="BO273" i="3"/>
  <c r="BO271" i="3"/>
  <c r="CM383" i="3"/>
  <c r="CM370" i="3"/>
  <c r="CM270" i="3"/>
  <c r="CM249" i="3"/>
  <c r="CM246" i="3"/>
  <c r="CM250" i="3" s="1"/>
  <c r="CM245" i="3"/>
  <c r="CM252" i="3"/>
  <c r="BK254" i="3"/>
  <c r="AX273" i="3"/>
  <c r="AX271" i="3"/>
  <c r="DG383" i="3"/>
  <c r="DG370" i="3"/>
  <c r="DG270" i="3"/>
  <c r="DG245" i="3"/>
  <c r="DG252" i="3"/>
  <c r="DG249" i="3"/>
  <c r="DG246" i="3"/>
  <c r="EB384" i="3"/>
  <c r="EB273" i="3"/>
  <c r="EB271" i="3"/>
  <c r="BI383" i="3"/>
  <c r="BI370" i="3"/>
  <c r="BI270" i="3"/>
  <c r="BI252" i="3"/>
  <c r="BI245" i="3"/>
  <c r="DW254" i="3"/>
  <c r="EA253" i="3"/>
  <c r="CY248" i="3"/>
  <c r="CY247" i="3"/>
  <c r="CY250" i="3"/>
  <c r="CY384" i="3"/>
  <c r="CY273" i="3"/>
  <c r="CY271" i="3"/>
  <c r="DG134" i="3"/>
  <c r="AV286" i="3"/>
  <c r="AV275" i="3"/>
  <c r="AV274" i="3"/>
  <c r="AR286" i="3"/>
  <c r="AR275" i="3"/>
  <c r="AR274" i="3"/>
  <c r="CZ384" i="3"/>
  <c r="CZ273" i="3"/>
  <c r="CZ271" i="3"/>
  <c r="CP248" i="3"/>
  <c r="CP250" i="3"/>
  <c r="CP247" i="3"/>
  <c r="DP254" i="3"/>
  <c r="CH383" i="3"/>
  <c r="CH370" i="3"/>
  <c r="CH270" i="3"/>
  <c r="CH252" i="3"/>
  <c r="CH245" i="3"/>
  <c r="CQ384" i="3"/>
  <c r="CQ273" i="3"/>
  <c r="CQ271" i="3"/>
  <c r="DL243" i="3"/>
  <c r="CV254" i="3"/>
  <c r="AN286" i="3"/>
  <c r="AN275" i="3"/>
  <c r="AN274" i="3"/>
  <c r="CU384" i="3"/>
  <c r="CU273" i="3"/>
  <c r="CU271" i="3"/>
  <c r="CX384" i="3"/>
  <c r="CX273" i="3"/>
  <c r="CX271" i="3"/>
  <c r="EH254" i="3"/>
  <c r="EH384" i="3"/>
  <c r="EH273" i="3"/>
  <c r="EH271" i="3"/>
  <c r="BX253" i="3"/>
  <c r="BT254" i="3"/>
  <c r="CF254" i="3"/>
  <c r="DE250" i="3"/>
  <c r="DE248" i="3"/>
  <c r="DE247" i="3"/>
  <c r="CM134" i="3"/>
  <c r="DT254" i="3"/>
  <c r="DX247" i="3"/>
  <c r="DX248" i="3"/>
  <c r="DX250" i="3"/>
  <c r="DX254" i="3"/>
  <c r="DM261" i="3"/>
  <c r="DM260" i="3" s="1"/>
  <c r="DQ261" i="3"/>
  <c r="DQ260" i="3" s="1"/>
  <c r="CO250" i="3"/>
  <c r="CO247" i="3"/>
  <c r="CO248" i="3"/>
  <c r="CO384" i="3"/>
  <c r="CO273" i="3"/>
  <c r="CO271" i="3"/>
  <c r="CL250" i="3"/>
  <c r="CL248" i="3"/>
  <c r="AP274" i="3"/>
  <c r="AP286" i="3"/>
  <c r="AP275" i="3"/>
  <c r="BP254" i="3"/>
  <c r="DN247" i="3"/>
  <c r="DN250" i="3"/>
  <c r="DN248" i="3"/>
  <c r="DV134" i="3"/>
  <c r="ET191" i="3"/>
  <c r="DV368" i="3"/>
  <c r="DU336" i="3"/>
  <c r="DV337" i="3"/>
  <c r="DV340" i="3"/>
  <c r="DV262" i="3"/>
  <c r="DV261" i="3" s="1"/>
  <c r="DV260" i="3" s="1"/>
  <c r="DD247" i="3"/>
  <c r="DD248" i="3"/>
  <c r="DD250" i="3"/>
  <c r="EG250" i="3"/>
  <c r="EG248" i="3"/>
  <c r="EG247" i="3"/>
  <c r="EG384" i="3"/>
  <c r="EG273" i="3"/>
  <c r="EG271" i="3"/>
  <c r="EF383" i="3"/>
  <c r="EF370" i="3"/>
  <c r="EF270" i="3"/>
  <c r="EF252" i="3"/>
  <c r="EF246" i="3"/>
  <c r="EF249" i="3"/>
  <c r="EF245" i="3"/>
  <c r="EE247" i="3"/>
  <c r="EE248" i="3"/>
  <c r="EE250" i="3"/>
  <c r="AW273" i="3"/>
  <c r="AW271" i="3"/>
  <c r="X286" i="3"/>
  <c r="X275" i="3"/>
  <c r="X274" i="3"/>
  <c r="DV253" i="3"/>
  <c r="DR254" i="3"/>
  <c r="DR384" i="3"/>
  <c r="DR273" i="3"/>
  <c r="DR271" i="3"/>
  <c r="EA383" i="3"/>
  <c r="EA370" i="3"/>
  <c r="EA270" i="3"/>
  <c r="EA246" i="3"/>
  <c r="EA245" i="3"/>
  <c r="EA249" i="3"/>
  <c r="EA252" i="3"/>
  <c r="DM250" i="3"/>
  <c r="DM248" i="3"/>
  <c r="DM247" i="3"/>
  <c r="CS384" i="3"/>
  <c r="CS271" i="3"/>
  <c r="CS273" i="3"/>
  <c r="DC254" i="3"/>
  <c r="DG253" i="3"/>
  <c r="DC384" i="3"/>
  <c r="DC273" i="3"/>
  <c r="DC271" i="3"/>
  <c r="BS253" i="3"/>
  <c r="CI384" i="3"/>
  <c r="CI273" i="3"/>
  <c r="CI271" i="3"/>
  <c r="BK384" i="3"/>
  <c r="BK273" i="3"/>
  <c r="BP274" i="3" s="1"/>
  <c r="BK271" i="3"/>
  <c r="EF253" i="3"/>
  <c r="EB254" i="3"/>
  <c r="Y286" i="3"/>
  <c r="Y275" i="3"/>
  <c r="Y274" i="3"/>
  <c r="DJ384" i="3"/>
  <c r="DJ273" i="3"/>
  <c r="DJ271" i="3"/>
  <c r="BH385" i="3"/>
  <c r="BH286" i="3"/>
  <c r="BH275" i="3"/>
  <c r="DW250" i="3"/>
  <c r="DW248" i="3"/>
  <c r="DW247" i="3"/>
  <c r="AT371" i="3"/>
  <c r="AT273" i="3"/>
  <c r="AT271" i="3"/>
  <c r="CM243" i="3"/>
  <c r="AZ385" i="3"/>
  <c r="AZ286" i="3"/>
  <c r="AZ275" i="3"/>
  <c r="DO254" i="3"/>
  <c r="DA250" i="3"/>
  <c r="DA248" i="3"/>
  <c r="DA247" i="3"/>
  <c r="DA384" i="3"/>
  <c r="DA273" i="3"/>
  <c r="DA271" i="3"/>
  <c r="AS286" i="3"/>
  <c r="AS275" i="3"/>
  <c r="AS274" i="3"/>
  <c r="CP384" i="3"/>
  <c r="CP273" i="3"/>
  <c r="CP271" i="3"/>
  <c r="DP247" i="3"/>
  <c r="DP250" i="3"/>
  <c r="DP248" i="3"/>
  <c r="BU384" i="3"/>
  <c r="BU271" i="3"/>
  <c r="BU273" i="3"/>
  <c r="DO403" i="3"/>
  <c r="DN402" i="3"/>
  <c r="AT373" i="3"/>
  <c r="AT254" i="3"/>
  <c r="CX254" i="3"/>
  <c r="DB253" i="3"/>
  <c r="BX383" i="3"/>
  <c r="BX370" i="3"/>
  <c r="BX270" i="3"/>
  <c r="BX245" i="3"/>
  <c r="BX252" i="3"/>
  <c r="BT384" i="3"/>
  <c r="BT271" i="3"/>
  <c r="BT282" i="3" s="1"/>
  <c r="BT273" i="3"/>
  <c r="DE384" i="3"/>
  <c r="DE273" i="3"/>
  <c r="DE271" i="3"/>
  <c r="Z273" i="3"/>
  <c r="Z271" i="3"/>
  <c r="CN247" i="3"/>
  <c r="CN250" i="3"/>
  <c r="CN248" i="3"/>
  <c r="DT248" i="3"/>
  <c r="DT247" i="3"/>
  <c r="DT250" i="3"/>
  <c r="BR384" i="3"/>
  <c r="BR273" i="3"/>
  <c r="BR271" i="3"/>
  <c r="ED248" i="3"/>
  <c r="ED247" i="3"/>
  <c r="ED250" i="3"/>
  <c r="BG384" i="3"/>
  <c r="BG273" i="3"/>
  <c r="BG271" i="3"/>
  <c r="DZ254" i="3"/>
  <c r="DZ384" i="3"/>
  <c r="DZ273" i="3"/>
  <c r="DZ271" i="3"/>
  <c r="CG254" i="3"/>
  <c r="DN384" i="3"/>
  <c r="DN273" i="3"/>
  <c r="DN271" i="3"/>
  <c r="CC253" i="3"/>
  <c r="BY254" i="3"/>
  <c r="DD384" i="3"/>
  <c r="DD273" i="3"/>
  <c r="DD271" i="3"/>
  <c r="CT384" i="3"/>
  <c r="CT273" i="3"/>
  <c r="CT271" i="3"/>
  <c r="CJ250" i="3"/>
  <c r="CJ248" i="3"/>
  <c r="CJ384" i="3"/>
  <c r="CJ271" i="3"/>
  <c r="CJ273" i="3"/>
  <c r="DS248" i="3"/>
  <c r="DS247" i="3"/>
  <c r="DS250" i="3"/>
  <c r="EE384" i="3"/>
  <c r="EE273" i="3"/>
  <c r="EE271" i="3"/>
  <c r="EI248" i="3"/>
  <c r="EI247" i="3"/>
  <c r="EI250" i="3"/>
  <c r="AD274" i="3"/>
  <c r="AD275" i="3"/>
  <c r="AD286" i="3"/>
  <c r="BS285" i="3"/>
  <c r="BP287" i="3"/>
  <c r="AG286" i="3"/>
  <c r="AG275" i="3"/>
  <c r="AG274" i="3"/>
  <c r="BB384" i="3"/>
  <c r="BB273" i="3"/>
  <c r="BB271" i="3"/>
  <c r="DM384" i="3"/>
  <c r="DM273" i="3"/>
  <c r="DM271" i="3"/>
  <c r="DC247" i="3"/>
  <c r="DC248" i="3"/>
  <c r="DC250" i="3"/>
  <c r="DK250" i="3"/>
  <c r="DK248" i="3"/>
  <c r="DK247" i="3"/>
  <c r="DY384" i="3"/>
  <c r="DY273" i="3"/>
  <c r="DY271" i="3"/>
  <c r="BW384" i="3"/>
  <c r="BW273" i="3"/>
  <c r="BW271" i="3"/>
  <c r="DL253" i="3"/>
  <c r="DH254" i="3"/>
  <c r="DJ248" i="3"/>
  <c r="DJ247" i="3"/>
  <c r="DJ250" i="3"/>
  <c r="AM275" i="3"/>
  <c r="AM286" i="3"/>
  <c r="AM274" i="3"/>
  <c r="BI253" i="3"/>
  <c r="BE254" i="3"/>
  <c r="DW384" i="3"/>
  <c r="DW273" i="3"/>
  <c r="DW271" i="3"/>
  <c r="DO248" i="3"/>
  <c r="DO247" i="3"/>
  <c r="DO250" i="3"/>
  <c r="CZ248" i="3"/>
  <c r="CZ247" i="3"/>
  <c r="CZ250" i="3"/>
  <c r="CH253" i="3"/>
  <c r="CD254" i="3"/>
  <c r="CD384" i="3"/>
  <c r="CD273" i="3"/>
  <c r="CD271" i="3"/>
  <c r="DL383" i="3"/>
  <c r="DL370" i="3"/>
  <c r="DL270" i="3"/>
  <c r="DL246" i="3"/>
  <c r="DL249" i="3"/>
  <c r="DL252" i="3"/>
  <c r="DL245" i="3"/>
  <c r="CV247" i="3"/>
  <c r="CV250" i="3"/>
  <c r="CV248" i="3"/>
  <c r="CU248" i="3"/>
  <c r="CU250" i="3"/>
  <c r="CU247" i="3"/>
  <c r="DB383" i="3"/>
  <c r="DB370" i="3"/>
  <c r="DB270" i="3"/>
  <c r="DB252" i="3"/>
  <c r="DB249" i="3"/>
  <c r="DB245" i="3"/>
  <c r="DB246" i="3"/>
  <c r="DF248" i="3"/>
  <c r="DF250" i="3"/>
  <c r="DF247" i="3"/>
  <c r="AA275" i="3"/>
  <c r="AA286" i="3"/>
  <c r="AA274" i="3"/>
  <c r="AE271" i="3"/>
  <c r="AE273" i="3"/>
  <c r="BA384" i="3"/>
  <c r="BA273" i="3"/>
  <c r="BA271" i="3"/>
  <c r="BJ384" i="3"/>
  <c r="BJ273" i="3"/>
  <c r="BJ271" i="3"/>
  <c r="CB384" i="3"/>
  <c r="CB271" i="3"/>
  <c r="CB273" i="3"/>
  <c r="CR253" i="3"/>
  <c r="CN254" i="3"/>
  <c r="EH151" i="3"/>
  <c r="BG254" i="3"/>
  <c r="DL150" i="3"/>
  <c r="DL145" i="3" s="1"/>
  <c r="DL134" i="3" s="1"/>
  <c r="DH145" i="3"/>
  <c r="DH134" i="3" s="1"/>
  <c r="CG384" i="3"/>
  <c r="CG273" i="3"/>
  <c r="CG271" i="3"/>
  <c r="DN254" i="3"/>
  <c r="CA384" i="3"/>
  <c r="CA273" i="3"/>
  <c r="CA271" i="3"/>
  <c r="BY384" i="3"/>
  <c r="BY271" i="3"/>
  <c r="BY273" i="3"/>
  <c r="BV384" i="3"/>
  <c r="BV273" i="3"/>
  <c r="BV271" i="3"/>
  <c r="BC254" i="3"/>
  <c r="EK336" i="3" l="1"/>
  <c r="EP331" i="3"/>
  <c r="EF149" i="3"/>
  <c r="EA146" i="3"/>
  <c r="EA147" i="3" s="1"/>
  <c r="EZ278" i="3"/>
  <c r="EZ279" i="3" s="1"/>
  <c r="BO254" i="3"/>
  <c r="BN245" i="3"/>
  <c r="BN252" i="3"/>
  <c r="EA150" i="3"/>
  <c r="EA145" i="3" s="1"/>
  <c r="EA134" i="3" s="1"/>
  <c r="EA151" i="3"/>
  <c r="BS245" i="3"/>
  <c r="BN270" i="3"/>
  <c r="BN273" i="3" s="1"/>
  <c r="BN370" i="3"/>
  <c r="BN383" i="3"/>
  <c r="EC151" i="3"/>
  <c r="EC150" i="3" s="1"/>
  <c r="EC145" i="3" s="1"/>
  <c r="EC134" i="3" s="1"/>
  <c r="CH243" i="3"/>
  <c r="EC147" i="3"/>
  <c r="FI248" i="3"/>
  <c r="EK149" i="3"/>
  <c r="EP149" i="3"/>
  <c r="EK373" i="3"/>
  <c r="EP254" i="3"/>
  <c r="FK248" i="3"/>
  <c r="BJ254" i="3"/>
  <c r="FJ248" i="3"/>
  <c r="FI132" i="3"/>
  <c r="EP133" i="3"/>
  <c r="EI385" i="3"/>
  <c r="EN274" i="3"/>
  <c r="ET209" i="3"/>
  <c r="ES209" i="3"/>
  <c r="ER209" i="3"/>
  <c r="EU211" i="3"/>
  <c r="ET208" i="3"/>
  <c r="EU66" i="3"/>
  <c r="EU67" i="3" s="1"/>
  <c r="EU61" i="3"/>
  <c r="ET192" i="3"/>
  <c r="ET204" i="3"/>
  <c r="EU191" i="3"/>
  <c r="EZ264" i="3"/>
  <c r="ES48" i="3"/>
  <c r="ES47" i="3" s="1"/>
  <c r="ES45" i="3" s="1"/>
  <c r="ES53" i="3" s="1"/>
  <c r="FQ25" i="3"/>
  <c r="EU279" i="3"/>
  <c r="EU320" i="3"/>
  <c r="EU399" i="3" s="1"/>
  <c r="ER90" i="3"/>
  <c r="ET48" i="3"/>
  <c r="ER48" i="3"/>
  <c r="ER47" i="3" s="1"/>
  <c r="ER45" i="3" s="1"/>
  <c r="ER42" i="3" s="1"/>
  <c r="ES257" i="3"/>
  <c r="ET258" i="3"/>
  <c r="ET257" i="3" s="1"/>
  <c r="ET256" i="3" s="1"/>
  <c r="EU107" i="3"/>
  <c r="EU102" i="3"/>
  <c r="EN145" i="3"/>
  <c r="FQ132" i="3"/>
  <c r="EU172" i="3"/>
  <c r="BN243" i="3"/>
  <c r="EM151" i="3"/>
  <c r="EM150" i="3" s="1"/>
  <c r="EH147" i="3"/>
  <c r="EM147" i="3"/>
  <c r="BL286" i="3"/>
  <c r="BL385" i="3"/>
  <c r="EH150" i="3"/>
  <c r="EM274" i="3"/>
  <c r="AE286" i="3"/>
  <c r="EG150" i="3"/>
  <c r="EZ7" i="3"/>
  <c r="FE12" i="3"/>
  <c r="EL274" i="3"/>
  <c r="FN274" i="3" s="1"/>
  <c r="BL274" i="3"/>
  <c r="EG147" i="3"/>
  <c r="FP146" i="3"/>
  <c r="EL151" i="3"/>
  <c r="FN151" i="3" s="1"/>
  <c r="EL147" i="3"/>
  <c r="FN147" i="3" s="1"/>
  <c r="BD254" i="3"/>
  <c r="EK254" i="3"/>
  <c r="EK371" i="3"/>
  <c r="EK273" i="3"/>
  <c r="EP274" i="3" s="1"/>
  <c r="EK384" i="3"/>
  <c r="EK271" i="3"/>
  <c r="EK250" i="3"/>
  <c r="EK247" i="3"/>
  <c r="EK337" i="3"/>
  <c r="EJ336" i="3"/>
  <c r="EK340" i="3"/>
  <c r="EK146" i="3"/>
  <c r="L16" i="91"/>
  <c r="L17" i="91" s="1"/>
  <c r="E484" i="42"/>
  <c r="E485" i="42" s="1"/>
  <c r="E486" i="42" s="1"/>
  <c r="E487" i="42" s="1"/>
  <c r="E488" i="42" s="1"/>
  <c r="E489" i="42" s="1"/>
  <c r="E490" i="42" s="1"/>
  <c r="E491" i="42" s="1"/>
  <c r="E492" i="42" s="1"/>
  <c r="E493" i="42" s="1"/>
  <c r="E494" i="42" s="1"/>
  <c r="E495" i="42" s="1"/>
  <c r="E496" i="42" s="1"/>
  <c r="EO209" i="3"/>
  <c r="H16" i="91"/>
  <c r="H17" i="91" s="1"/>
  <c r="EZ23" i="3"/>
  <c r="EZ122" i="3" s="1"/>
  <c r="EF147" i="3"/>
  <c r="EJ274" i="3"/>
  <c r="F16" i="91"/>
  <c r="F17" i="91" s="1"/>
  <c r="G16" i="91"/>
  <c r="G17" i="91" s="1"/>
  <c r="K16" i="91"/>
  <c r="K17" i="91" s="1"/>
  <c r="J16" i="91"/>
  <c r="J17" i="91" s="1"/>
  <c r="EE134" i="3"/>
  <c r="EJ145" i="3"/>
  <c r="EK151" i="3"/>
  <c r="I16" i="91"/>
  <c r="I17" i="91" s="1"/>
  <c r="AH5" i="42"/>
  <c r="D81" i="42"/>
  <c r="A93" i="42"/>
  <c r="D89" i="42"/>
  <c r="A101" i="42"/>
  <c r="D72" i="42"/>
  <c r="A84" i="42"/>
  <c r="D87" i="42"/>
  <c r="A99" i="42"/>
  <c r="AI5" i="42"/>
  <c r="D74" i="42"/>
  <c r="A86" i="42"/>
  <c r="D79" i="42"/>
  <c r="A91" i="42"/>
  <c r="D78" i="42"/>
  <c r="A90" i="42"/>
  <c r="D82" i="42"/>
  <c r="A94" i="42"/>
  <c r="D85" i="42"/>
  <c r="A97" i="42"/>
  <c r="Q14" i="42"/>
  <c r="P15" i="42"/>
  <c r="P22" i="42"/>
  <c r="Q20" i="42"/>
  <c r="P21" i="42"/>
  <c r="AJ5" i="42"/>
  <c r="D83" i="42"/>
  <c r="A95" i="42"/>
  <c r="R25" i="42"/>
  <c r="Q27" i="42"/>
  <c r="Q26" i="42"/>
  <c r="R26" i="42" s="1"/>
  <c r="S26" i="42" s="1"/>
  <c r="T26" i="42" s="1"/>
  <c r="U26" i="42" s="1"/>
  <c r="V26" i="42" s="1"/>
  <c r="W26" i="42" s="1"/>
  <c r="P10" i="42"/>
  <c r="Q9" i="42"/>
  <c r="Q30" i="42"/>
  <c r="P31" i="42"/>
  <c r="P32" i="42"/>
  <c r="D80" i="42"/>
  <c r="A92" i="42"/>
  <c r="D88" i="42"/>
  <c r="A100" i="42"/>
  <c r="C234" i="42"/>
  <c r="B233" i="42"/>
  <c r="D233" i="42" s="1"/>
  <c r="AK5" i="42"/>
  <c r="G897" i="41"/>
  <c r="H896" i="41" s="1"/>
  <c r="E13" i="41"/>
  <c r="A12" i="41"/>
  <c r="B12" i="41" s="1"/>
  <c r="D12" i="41"/>
  <c r="C11" i="41"/>
  <c r="S4" i="91"/>
  <c r="R23" i="91"/>
  <c r="BV385" i="3"/>
  <c r="BV286" i="3"/>
  <c r="BV275" i="3"/>
  <c r="BV274" i="3"/>
  <c r="CB385" i="3"/>
  <c r="CB286" i="3"/>
  <c r="CB275" i="3"/>
  <c r="CB274" i="3"/>
  <c r="BJ385" i="3"/>
  <c r="BJ275" i="3"/>
  <c r="BJ274" i="3"/>
  <c r="BJ286" i="3"/>
  <c r="BI373" i="3"/>
  <c r="BI379" i="3" s="1"/>
  <c r="BI254" i="3"/>
  <c r="AM276" i="3"/>
  <c r="AM277" i="3"/>
  <c r="AM288" i="3"/>
  <c r="BB385" i="3"/>
  <c r="BB286" i="3"/>
  <c r="BB275" i="3"/>
  <c r="BB274" i="3"/>
  <c r="AD277" i="3"/>
  <c r="AD276" i="3"/>
  <c r="AD288" i="3"/>
  <c r="DN385" i="3"/>
  <c r="DN275" i="3"/>
  <c r="DN274" i="3"/>
  <c r="DN286" i="3"/>
  <c r="BX371" i="3"/>
  <c r="BX384" i="3"/>
  <c r="BX273" i="3"/>
  <c r="BX271" i="3"/>
  <c r="BX381" i="3" s="1"/>
  <c r="DP403" i="3"/>
  <c r="DQ403" i="3" s="1"/>
  <c r="DQ402" i="3" s="1"/>
  <c r="DO402" i="3"/>
  <c r="DA385" i="3"/>
  <c r="DA286" i="3"/>
  <c r="DA275" i="3"/>
  <c r="DA274" i="3"/>
  <c r="BH288" i="3"/>
  <c r="Y276" i="3"/>
  <c r="Y277" i="3"/>
  <c r="Y288" i="3"/>
  <c r="Y289" i="3" s="1"/>
  <c r="CI385" i="3"/>
  <c r="CI286" i="3"/>
  <c r="CI275" i="3"/>
  <c r="CI274" i="3"/>
  <c r="BS373" i="3"/>
  <c r="BS379" i="3" s="1"/>
  <c r="BS254" i="3"/>
  <c r="EA250" i="3"/>
  <c r="EA247" i="3"/>
  <c r="DV373" i="3"/>
  <c r="DV379" i="3" s="1"/>
  <c r="DV254" i="3"/>
  <c r="DU340" i="3"/>
  <c r="DU341" i="3" s="1"/>
  <c r="DV341" i="3"/>
  <c r="EO193" i="3"/>
  <c r="AP277" i="3"/>
  <c r="AP276" i="3"/>
  <c r="AP288" i="3"/>
  <c r="BN373" i="3"/>
  <c r="BN379" i="3" s="1"/>
  <c r="BN254" i="3"/>
  <c r="BX373" i="3"/>
  <c r="BX379" i="3" s="1"/>
  <c r="BX254" i="3"/>
  <c r="AN288" i="3"/>
  <c r="AN277" i="3"/>
  <c r="AN276" i="3"/>
  <c r="AR277" i="3"/>
  <c r="AR276" i="3"/>
  <c r="AR288" i="3"/>
  <c r="AX274" i="3"/>
  <c r="AX286" i="3"/>
  <c r="AX275" i="3"/>
  <c r="AZ277" i="3" s="1"/>
  <c r="W276" i="3"/>
  <c r="W277" i="3"/>
  <c r="W288" i="3"/>
  <c r="W289" i="3" s="1"/>
  <c r="CH285" i="3"/>
  <c r="CE287" i="3"/>
  <c r="EA368" i="3"/>
  <c r="DZ336" i="3"/>
  <c r="EA340" i="3"/>
  <c r="EA337" i="3"/>
  <c r="EA262" i="3"/>
  <c r="EA261" i="3" s="1"/>
  <c r="EA260" i="3" s="1"/>
  <c r="AL277" i="3"/>
  <c r="AL276" i="3"/>
  <c r="AL288" i="3"/>
  <c r="AH276" i="3"/>
  <c r="AH277" i="3"/>
  <c r="AH288" i="3"/>
  <c r="CR371" i="3"/>
  <c r="CR384" i="3"/>
  <c r="CR273" i="3"/>
  <c r="CR271" i="3"/>
  <c r="CR381" i="3" s="1"/>
  <c r="V277" i="3"/>
  <c r="V276" i="3"/>
  <c r="V288" i="3"/>
  <c r="V289" i="3" s="1"/>
  <c r="DV371" i="3"/>
  <c r="DV384" i="3"/>
  <c r="DV273" i="3"/>
  <c r="DV271" i="3"/>
  <c r="DV381" i="3" s="1"/>
  <c r="CV385" i="3"/>
  <c r="CV286" i="3"/>
  <c r="CV275" i="3"/>
  <c r="CV274" i="3"/>
  <c r="CK385" i="3"/>
  <c r="CK286" i="3"/>
  <c r="CK275" i="3"/>
  <c r="CK274" i="3"/>
  <c r="BZ385" i="3"/>
  <c r="BZ286" i="3"/>
  <c r="BZ275" i="3"/>
  <c r="BZ274" i="3"/>
  <c r="AJ286" i="3"/>
  <c r="DQ250" i="3"/>
  <c r="DQ247" i="3"/>
  <c r="AE275" i="3"/>
  <c r="AE274" i="3"/>
  <c r="AA277" i="3"/>
  <c r="AA276" i="3"/>
  <c r="AA288" i="3"/>
  <c r="DB250" i="3"/>
  <c r="DB247" i="3"/>
  <c r="DB371" i="3"/>
  <c r="DB384" i="3"/>
  <c r="DB273" i="3"/>
  <c r="DB271" i="3"/>
  <c r="DB381" i="3" s="1"/>
  <c r="DL247" i="3"/>
  <c r="DL250" i="3"/>
  <c r="CH373" i="3"/>
  <c r="CH379" i="3" s="1"/>
  <c r="CH254" i="3"/>
  <c r="DW385" i="3"/>
  <c r="DW286" i="3"/>
  <c r="DW275" i="3"/>
  <c r="DW274" i="3"/>
  <c r="DL373" i="3"/>
  <c r="DL379" i="3" s="1"/>
  <c r="DL254" i="3"/>
  <c r="DM385" i="3"/>
  <c r="DM286" i="3"/>
  <c r="DM275" i="3"/>
  <c r="DM274" i="3"/>
  <c r="BP288" i="3"/>
  <c r="BS287" i="3"/>
  <c r="CJ385" i="3"/>
  <c r="CJ286" i="3"/>
  <c r="CJ275" i="3"/>
  <c r="CJ274" i="3"/>
  <c r="CC373" i="3"/>
  <c r="CC379" i="3" s="1"/>
  <c r="CC254" i="3"/>
  <c r="BL288" i="3"/>
  <c r="DE385" i="3"/>
  <c r="DE286" i="3"/>
  <c r="DE275" i="3"/>
  <c r="DE274" i="3"/>
  <c r="BU385" i="3"/>
  <c r="BU286" i="3"/>
  <c r="BU275" i="3"/>
  <c r="BU274" i="3"/>
  <c r="AS276" i="3"/>
  <c r="AS288" i="3"/>
  <c r="AS277" i="3"/>
  <c r="AT372" i="3"/>
  <c r="AT274" i="3"/>
  <c r="AT275" i="3"/>
  <c r="DJ385" i="3"/>
  <c r="DJ286" i="3"/>
  <c r="DJ275" i="3"/>
  <c r="DJ274" i="3"/>
  <c r="BK385" i="3"/>
  <c r="BK286" i="3"/>
  <c r="BK275" i="3"/>
  <c r="BP276" i="3" s="1"/>
  <c r="BK274" i="3"/>
  <c r="DG373" i="3"/>
  <c r="DG379" i="3" s="1"/>
  <c r="DG254" i="3"/>
  <c r="EA384" i="3"/>
  <c r="EA371" i="3"/>
  <c r="EA273" i="3"/>
  <c r="EA271" i="3"/>
  <c r="EA381" i="3" s="1"/>
  <c r="DR385" i="3"/>
  <c r="DR275" i="3"/>
  <c r="DR274" i="3"/>
  <c r="DR286" i="3"/>
  <c r="AW286" i="3"/>
  <c r="AW275" i="3"/>
  <c r="AW274" i="3"/>
  <c r="EF247" i="3"/>
  <c r="EF250" i="3"/>
  <c r="AT286" i="3"/>
  <c r="CU385" i="3"/>
  <c r="CU286" i="3"/>
  <c r="CU275" i="3"/>
  <c r="CU274" i="3"/>
  <c r="CQ385" i="3"/>
  <c r="CQ286" i="3"/>
  <c r="CQ275" i="3"/>
  <c r="CQ274" i="3"/>
  <c r="CH371" i="3"/>
  <c r="CH384" i="3"/>
  <c r="CH273" i="3"/>
  <c r="CH271" i="3"/>
  <c r="CH381" i="3" s="1"/>
  <c r="CZ385" i="3"/>
  <c r="CZ286" i="3"/>
  <c r="CZ275" i="3"/>
  <c r="CZ274" i="3"/>
  <c r="DG250" i="3"/>
  <c r="DG247" i="3"/>
  <c r="DG384" i="3"/>
  <c r="DG371" i="3"/>
  <c r="DG273" i="3"/>
  <c r="DG271" i="3"/>
  <c r="DG381" i="3" s="1"/>
  <c r="AO275" i="3"/>
  <c r="AO274" i="3"/>
  <c r="CE385" i="3"/>
  <c r="CE286" i="3"/>
  <c r="CE275" i="3"/>
  <c r="CE274" i="3"/>
  <c r="AQ277" i="3"/>
  <c r="AQ276" i="3"/>
  <c r="AQ288" i="3"/>
  <c r="BM385" i="3"/>
  <c r="BM286" i="3"/>
  <c r="BM275" i="3"/>
  <c r="BM274" i="3"/>
  <c r="ED134" i="3"/>
  <c r="DT385" i="3"/>
  <c r="DT286" i="3"/>
  <c r="DT303" i="3" s="1"/>
  <c r="DT310" i="3" s="1"/>
  <c r="DT275" i="3"/>
  <c r="DT274" i="3"/>
  <c r="CN385" i="3"/>
  <c r="CN286" i="3"/>
  <c r="CN275" i="3"/>
  <c r="CN274" i="3"/>
  <c r="CR247" i="3"/>
  <c r="CR250" i="3"/>
  <c r="AY384" i="3"/>
  <c r="AY371" i="3"/>
  <c r="AY273" i="3"/>
  <c r="BD274" i="3" s="1"/>
  <c r="AY271" i="3"/>
  <c r="AY381" i="3" s="1"/>
  <c r="BE385" i="3"/>
  <c r="BE275" i="3"/>
  <c r="BE286" i="3"/>
  <c r="BE274" i="3"/>
  <c r="DH385" i="3"/>
  <c r="DH286" i="3"/>
  <c r="DH275" i="3"/>
  <c r="DH274" i="3"/>
  <c r="BS384" i="3"/>
  <c r="BS371" i="3"/>
  <c r="BS273" i="3"/>
  <c r="BS271" i="3"/>
  <c r="BS381" i="3" s="1"/>
  <c r="BD385" i="3"/>
  <c r="BD372" i="3"/>
  <c r="BD376" i="3" s="1"/>
  <c r="BD377" i="3" s="1"/>
  <c r="BD380" i="3" s="1"/>
  <c r="BD275" i="3"/>
  <c r="BD288" i="3" s="1"/>
  <c r="AY373" i="3"/>
  <c r="AY379" i="3" s="1"/>
  <c r="AY254" i="3"/>
  <c r="AB276" i="3"/>
  <c r="AB277" i="3"/>
  <c r="AB288" i="3"/>
  <c r="EI286" i="3"/>
  <c r="EI274" i="3"/>
  <c r="EI275" i="3"/>
  <c r="DS385" i="3"/>
  <c r="DS286" i="3"/>
  <c r="DS303" i="3" s="1"/>
  <c r="DS310" i="3" s="1"/>
  <c r="DS275" i="3"/>
  <c r="DS274" i="3"/>
  <c r="BY385" i="3"/>
  <c r="BY286" i="3"/>
  <c r="BY275" i="3"/>
  <c r="BY274" i="3"/>
  <c r="DL371" i="3"/>
  <c r="DL384" i="3"/>
  <c r="DL273" i="3"/>
  <c r="DL271" i="3"/>
  <c r="DL381" i="3" s="1"/>
  <c r="CD385" i="3"/>
  <c r="CD275" i="3"/>
  <c r="CD274" i="3"/>
  <c r="CD286" i="3"/>
  <c r="DY385" i="3"/>
  <c r="DY286" i="3"/>
  <c r="DY303" i="3" s="1"/>
  <c r="DY310" i="3" s="1"/>
  <c r="DY275" i="3"/>
  <c r="DY274" i="3"/>
  <c r="DD385" i="3"/>
  <c r="DD275" i="3"/>
  <c r="DD274" i="3"/>
  <c r="DD286" i="3"/>
  <c r="BR385" i="3"/>
  <c r="BR286" i="3"/>
  <c r="BR275" i="3"/>
  <c r="BR274" i="3"/>
  <c r="CP385" i="3"/>
  <c r="CP286" i="3"/>
  <c r="CP275" i="3"/>
  <c r="CP274" i="3"/>
  <c r="X277" i="3"/>
  <c r="X288" i="3"/>
  <c r="X289" i="3" s="1"/>
  <c r="X276" i="3"/>
  <c r="DU337" i="3"/>
  <c r="DU262" i="3"/>
  <c r="DU261" i="3" s="1"/>
  <c r="DU260" i="3" s="1"/>
  <c r="CO385" i="3"/>
  <c r="CO286" i="3"/>
  <c r="CO275" i="3"/>
  <c r="CO274" i="3"/>
  <c r="EH385" i="3"/>
  <c r="EH274" i="3"/>
  <c r="EH275" i="3"/>
  <c r="EH286" i="3"/>
  <c r="CX385" i="3"/>
  <c r="CX275" i="3"/>
  <c r="CX274" i="3"/>
  <c r="CX286" i="3"/>
  <c r="AV288" i="3"/>
  <c r="AV276" i="3"/>
  <c r="CY385" i="3"/>
  <c r="CY286" i="3"/>
  <c r="CY275" i="3"/>
  <c r="CY274" i="3"/>
  <c r="CM384" i="3"/>
  <c r="CM371" i="3"/>
  <c r="CM273" i="3"/>
  <c r="CM271" i="3"/>
  <c r="CM381" i="3" s="1"/>
  <c r="DK385" i="3"/>
  <c r="DK286" i="3"/>
  <c r="DK275" i="3"/>
  <c r="DK274" i="3"/>
  <c r="CW250" i="3"/>
  <c r="CW247" i="3"/>
  <c r="CW371" i="3"/>
  <c r="CW384" i="3"/>
  <c r="CW273" i="3"/>
  <c r="CW271" i="3"/>
  <c r="CW381" i="3" s="1"/>
  <c r="DI385" i="3"/>
  <c r="DI286" i="3"/>
  <c r="DI275" i="3"/>
  <c r="DI274" i="3"/>
  <c r="DQ373" i="3"/>
  <c r="DQ379" i="3" s="1"/>
  <c r="DQ254" i="3"/>
  <c r="BQ385" i="3"/>
  <c r="BQ286" i="3"/>
  <c r="BQ275" i="3"/>
  <c r="BQ274" i="3"/>
  <c r="EZ80" i="3"/>
  <c r="AC276" i="3"/>
  <c r="AC277" i="3"/>
  <c r="AC288" i="3"/>
  <c r="Z286" i="3"/>
  <c r="DV250" i="3"/>
  <c r="DV247" i="3"/>
  <c r="DP385" i="3"/>
  <c r="DP286" i="3"/>
  <c r="DP275" i="3"/>
  <c r="DP274" i="3"/>
  <c r="DO385" i="3"/>
  <c r="DO286" i="3"/>
  <c r="DO275" i="3"/>
  <c r="DO274" i="3"/>
  <c r="AI277" i="3"/>
  <c r="AI276" i="3"/>
  <c r="AI288" i="3"/>
  <c r="CM373" i="3"/>
  <c r="CM379" i="3" s="1"/>
  <c r="CM254" i="3"/>
  <c r="DU385" i="3"/>
  <c r="DU286" i="3"/>
  <c r="DU275" i="3"/>
  <c r="DU274" i="3"/>
  <c r="AK277" i="3"/>
  <c r="AK276" i="3"/>
  <c r="AK288" i="3"/>
  <c r="BV282" i="3"/>
  <c r="BX282" i="3" s="1"/>
  <c r="BV283" i="3"/>
  <c r="BX283" i="3" s="1"/>
  <c r="CA385" i="3"/>
  <c r="CA286" i="3"/>
  <c r="CA275" i="3"/>
  <c r="CA274" i="3"/>
  <c r="CG385" i="3"/>
  <c r="CG286" i="3"/>
  <c r="CG275" i="3"/>
  <c r="CG274" i="3"/>
  <c r="CR373" i="3"/>
  <c r="CR379" i="3" s="1"/>
  <c r="CR254" i="3"/>
  <c r="BA385" i="3"/>
  <c r="BA286" i="3"/>
  <c r="BA275" i="3"/>
  <c r="BA274" i="3"/>
  <c r="BW385" i="3"/>
  <c r="BW286" i="3"/>
  <c r="BW275" i="3"/>
  <c r="BW274" i="3"/>
  <c r="AG276" i="3"/>
  <c r="AG277" i="3"/>
  <c r="AG288" i="3"/>
  <c r="EE385" i="3"/>
  <c r="EE286" i="3"/>
  <c r="EE275" i="3"/>
  <c r="EE274" i="3"/>
  <c r="CT385" i="3"/>
  <c r="CT275" i="3"/>
  <c r="CT274" i="3"/>
  <c r="CT286" i="3"/>
  <c r="DZ385" i="3"/>
  <c r="DZ286" i="3"/>
  <c r="DZ275" i="3"/>
  <c r="DZ274" i="3"/>
  <c r="BG385" i="3"/>
  <c r="BG286" i="3"/>
  <c r="BG275" i="3"/>
  <c r="BH277" i="3" s="1"/>
  <c r="BG274" i="3"/>
  <c r="Z274" i="3"/>
  <c r="Z275" i="3"/>
  <c r="BT385" i="3"/>
  <c r="BT286" i="3"/>
  <c r="BT275" i="3"/>
  <c r="BT274" i="3"/>
  <c r="DB373" i="3"/>
  <c r="DB379" i="3" s="1"/>
  <c r="DB254" i="3"/>
  <c r="AZ288" i="3"/>
  <c r="EF373" i="3"/>
  <c r="EF254" i="3"/>
  <c r="DC385" i="3"/>
  <c r="DC286" i="3"/>
  <c r="DC275" i="3"/>
  <c r="DC274" i="3"/>
  <c r="CS385" i="3"/>
  <c r="CS285" i="3"/>
  <c r="CS286" i="3" s="1"/>
  <c r="CS275" i="3"/>
  <c r="CS274" i="3"/>
  <c r="EF371" i="3"/>
  <c r="EF384" i="3"/>
  <c r="EF273" i="3"/>
  <c r="EF271" i="3"/>
  <c r="EF381" i="3" s="1"/>
  <c r="EG385" i="3"/>
  <c r="EG286" i="3"/>
  <c r="EG274" i="3"/>
  <c r="EG275" i="3"/>
  <c r="DW261" i="3"/>
  <c r="DW260" i="3" s="1"/>
  <c r="EA373" i="3"/>
  <c r="EA254" i="3"/>
  <c r="BI384" i="3"/>
  <c r="BI371" i="3"/>
  <c r="BI273" i="3"/>
  <c r="BI271" i="3"/>
  <c r="BI381" i="3" s="1"/>
  <c r="EB385" i="3"/>
  <c r="EB286" i="3"/>
  <c r="EB275" i="3"/>
  <c r="EB274" i="3"/>
  <c r="BO385" i="3"/>
  <c r="BO286" i="3"/>
  <c r="BO275" i="3"/>
  <c r="BP277" i="3" s="1"/>
  <c r="BO274" i="3"/>
  <c r="BF385" i="3"/>
  <c r="BF274" i="3"/>
  <c r="BF275" i="3"/>
  <c r="BF286" i="3"/>
  <c r="AU275" i="3"/>
  <c r="AV277" i="3" s="1"/>
  <c r="AU286" i="3"/>
  <c r="AU274" i="3"/>
  <c r="AJ275" i="3"/>
  <c r="AJ274" i="3"/>
  <c r="EB145" i="3"/>
  <c r="EB134" i="3" s="1"/>
  <c r="EF150" i="3"/>
  <c r="EF145" i="3" s="1"/>
  <c r="EF134" i="3" s="1"/>
  <c r="EF336" i="3"/>
  <c r="BC385" i="3"/>
  <c r="BC286" i="3"/>
  <c r="BC275" i="3"/>
  <c r="BC274" i="3"/>
  <c r="EI145" i="3"/>
  <c r="CC384" i="3"/>
  <c r="CC371" i="3"/>
  <c r="CC273" i="3"/>
  <c r="CC271" i="3"/>
  <c r="CC381" i="3" s="1"/>
  <c r="CL385" i="3"/>
  <c r="CL286" i="3"/>
  <c r="CL275" i="3"/>
  <c r="CL274" i="3"/>
  <c r="EC385" i="3"/>
  <c r="EC286" i="3"/>
  <c r="EC303" i="3" s="1"/>
  <c r="EC310" i="3" s="1"/>
  <c r="EC275" i="3"/>
  <c r="EC274" i="3"/>
  <c r="DX385" i="3"/>
  <c r="DX275" i="3"/>
  <c r="DX274" i="3"/>
  <c r="DX286" i="3"/>
  <c r="DX303" i="3" s="1"/>
  <c r="DX310" i="3" s="1"/>
  <c r="ED385" i="3"/>
  <c r="ED286" i="3"/>
  <c r="ED275" i="3"/>
  <c r="ED274" i="3"/>
  <c r="CF385" i="3"/>
  <c r="CF286" i="3"/>
  <c r="CF275" i="3"/>
  <c r="CF274" i="3"/>
  <c r="DF385" i="3"/>
  <c r="DF286" i="3"/>
  <c r="DF275" i="3"/>
  <c r="DF274" i="3"/>
  <c r="CW373" i="3"/>
  <c r="CW379" i="3" s="1"/>
  <c r="CW254" i="3"/>
  <c r="AF277" i="3"/>
  <c r="AF288" i="3"/>
  <c r="AF276" i="3"/>
  <c r="DQ384" i="3"/>
  <c r="DQ371" i="3"/>
  <c r="DQ273" i="3"/>
  <c r="DQ271" i="3"/>
  <c r="DQ381" i="3" s="1"/>
  <c r="AO286" i="3"/>
  <c r="ET193" i="3" l="1"/>
  <c r="EQ193" i="3"/>
  <c r="FM193" i="3" s="1"/>
  <c r="EZ29" i="3"/>
  <c r="EZ48" i="3" s="1"/>
  <c r="EZ104" i="3"/>
  <c r="EZ65" i="3"/>
  <c r="EZ79" i="3"/>
  <c r="EZ392" i="3"/>
  <c r="BN384" i="3"/>
  <c r="BN371" i="3"/>
  <c r="BN271" i="3"/>
  <c r="BN381" i="3" s="1"/>
  <c r="EF151" i="3"/>
  <c r="AQ289" i="3"/>
  <c r="EP151" i="3"/>
  <c r="EK147" i="3"/>
  <c r="EP147" i="3"/>
  <c r="EU208" i="3"/>
  <c r="EJ277" i="3"/>
  <c r="EN276" i="3"/>
  <c r="EU258" i="3"/>
  <c r="EZ66" i="3"/>
  <c r="FE66" i="3" s="1"/>
  <c r="FE60" i="3" s="1"/>
  <c r="FH60" i="3" s="1"/>
  <c r="ET205" i="3"/>
  <c r="ER193" i="3"/>
  <c r="ES193" i="3"/>
  <c r="EU204" i="3"/>
  <c r="ET206" i="3"/>
  <c r="EY205" i="3"/>
  <c r="EU192" i="3"/>
  <c r="ES42" i="3"/>
  <c r="ES44" i="3" s="1"/>
  <c r="ER46" i="3"/>
  <c r="ES46" i="3"/>
  <c r="ET47" i="3"/>
  <c r="ET45" i="3" s="1"/>
  <c r="ET42" i="3" s="1"/>
  <c r="ER53" i="3"/>
  <c r="ER184" i="3" s="1"/>
  <c r="ER185" i="3" s="1"/>
  <c r="ES90" i="3"/>
  <c r="ER91" i="3"/>
  <c r="ER97" i="3" s="1"/>
  <c r="FE278" i="3"/>
  <c r="FE287" i="3" s="1"/>
  <c r="EZ287" i="3"/>
  <c r="ES256" i="3"/>
  <c r="EU257" i="3"/>
  <c r="EU256" i="3" s="1"/>
  <c r="EU108" i="3"/>
  <c r="EZ108" i="3" s="1"/>
  <c r="FE108" i="3" s="1"/>
  <c r="EN134" i="3"/>
  <c r="ER44" i="3"/>
  <c r="ES54" i="3"/>
  <c r="ES184" i="3"/>
  <c r="ES185" i="3" s="1"/>
  <c r="ER43" i="3"/>
  <c r="ER149" i="3" s="1"/>
  <c r="ER148" i="3"/>
  <c r="ER151" i="3" s="1"/>
  <c r="ER150" i="3" s="1"/>
  <c r="ER145" i="3" s="1"/>
  <c r="ER133" i="3" s="1"/>
  <c r="ER130" i="3" s="1"/>
  <c r="ER129" i="3" s="1"/>
  <c r="EM193" i="3"/>
  <c r="EN193" i="3"/>
  <c r="EM209" i="3"/>
  <c r="EN209" i="3"/>
  <c r="AI289" i="3"/>
  <c r="EH303" i="3"/>
  <c r="EH310" i="3" s="1"/>
  <c r="EM276" i="3"/>
  <c r="EH145" i="3"/>
  <c r="EM145" i="3"/>
  <c r="EG145" i="3"/>
  <c r="EG134" i="3" s="1"/>
  <c r="EK150" i="3"/>
  <c r="EK145" i="3" s="1"/>
  <c r="EK134" i="3" s="1"/>
  <c r="AG289" i="3"/>
  <c r="FE23" i="3"/>
  <c r="FE122" i="3" s="1"/>
  <c r="FE7" i="3"/>
  <c r="EZ74" i="3"/>
  <c r="EZ75" i="3" s="1"/>
  <c r="FE80" i="3"/>
  <c r="FE74" i="3" s="1"/>
  <c r="FH74" i="3" s="1"/>
  <c r="EL276" i="3"/>
  <c r="FN276" i="3" s="1"/>
  <c r="EL150" i="3"/>
  <c r="EL193" i="3"/>
  <c r="FN193" i="3" s="1"/>
  <c r="EL209" i="3"/>
  <c r="FN209" i="3" s="1"/>
  <c r="EK286" i="3"/>
  <c r="AR289" i="3"/>
  <c r="EJ337" i="3"/>
  <c r="EJ262" i="3"/>
  <c r="EJ261" i="3" s="1"/>
  <c r="EJ260" i="3" s="1"/>
  <c r="EK275" i="3"/>
  <c r="EP276" i="3" s="1"/>
  <c r="EK385" i="3"/>
  <c r="EK274" i="3"/>
  <c r="EK372" i="3"/>
  <c r="EK376" i="3" s="1"/>
  <c r="EJ340" i="3"/>
  <c r="EJ341" i="3" s="1"/>
  <c r="EK341" i="3"/>
  <c r="E497" i="42"/>
  <c r="E498" i="42" s="1"/>
  <c r="E499" i="42" s="1"/>
  <c r="E500" i="42" s="1"/>
  <c r="E501" i="42" s="1"/>
  <c r="E502" i="42" s="1"/>
  <c r="E503" i="42" s="1"/>
  <c r="E504" i="42" s="1"/>
  <c r="E505" i="42" s="1"/>
  <c r="E506" i="42" s="1"/>
  <c r="E507" i="42" s="1"/>
  <c r="E508" i="42" s="1"/>
  <c r="E509" i="42" s="1"/>
  <c r="X26" i="42"/>
  <c r="EZ387" i="3"/>
  <c r="EZ388" i="3"/>
  <c r="EZ396" i="3"/>
  <c r="EZ393" i="3"/>
  <c r="EZ394" i="3"/>
  <c r="EZ171" i="3"/>
  <c r="EZ172" i="3" s="1"/>
  <c r="EZ40" i="3"/>
  <c r="EZ196" i="3" s="1"/>
  <c r="BS286" i="3"/>
  <c r="CW286" i="3"/>
  <c r="EZ395" i="3"/>
  <c r="EZ26" i="3"/>
  <c r="EZ391" i="3"/>
  <c r="EZ390" i="3"/>
  <c r="EZ389" i="3"/>
  <c r="EJ276" i="3"/>
  <c r="AC289" i="3"/>
  <c r="EJ134" i="3"/>
  <c r="AF289" i="3"/>
  <c r="AY286" i="3"/>
  <c r="BX286" i="3"/>
  <c r="BD286" i="3"/>
  <c r="AV289" i="3"/>
  <c r="AB289" i="3"/>
  <c r="AS289" i="3"/>
  <c r="R14" i="42"/>
  <c r="Q15" i="42"/>
  <c r="D94" i="42"/>
  <c r="A106" i="42"/>
  <c r="AM5" i="42"/>
  <c r="D84" i="42"/>
  <c r="A96" i="42"/>
  <c r="R27" i="42"/>
  <c r="S25" i="42"/>
  <c r="D90" i="42"/>
  <c r="A102" i="42"/>
  <c r="D91" i="42"/>
  <c r="A103" i="42"/>
  <c r="D101" i="42"/>
  <c r="A113" i="42"/>
  <c r="D113" i="42" s="1"/>
  <c r="AL5" i="42"/>
  <c r="D92" i="42"/>
  <c r="A104" i="42"/>
  <c r="Q32" i="42"/>
  <c r="Q31" i="42"/>
  <c r="R30" i="42"/>
  <c r="C235" i="42"/>
  <c r="B234" i="42"/>
  <c r="D234" i="42" s="1"/>
  <c r="Q22" i="42"/>
  <c r="R20" i="42"/>
  <c r="Q21" i="42"/>
  <c r="D86" i="42"/>
  <c r="A98" i="42"/>
  <c r="D93" i="42"/>
  <c r="A105" i="42"/>
  <c r="D95" i="42"/>
  <c r="A107" i="42"/>
  <c r="AO5" i="42"/>
  <c r="D100" i="42"/>
  <c r="A112" i="42"/>
  <c r="D112" i="42" s="1"/>
  <c r="Q10" i="42"/>
  <c r="R10" i="42" s="1"/>
  <c r="S10" i="42" s="1"/>
  <c r="T10" i="42" s="1"/>
  <c r="U10" i="42" s="1"/>
  <c r="V10" i="42" s="1"/>
  <c r="W10" i="42" s="1"/>
  <c r="X10" i="42" s="1"/>
  <c r="Y10" i="42" s="1"/>
  <c r="R9" i="42"/>
  <c r="AN5" i="42"/>
  <c r="D97" i="42"/>
  <c r="A109" i="42"/>
  <c r="D99" i="42"/>
  <c r="A111" i="42"/>
  <c r="D111" i="42" s="1"/>
  <c r="E14" i="41"/>
  <c r="A13" i="41"/>
  <c r="B13" i="41" s="1"/>
  <c r="G898" i="41"/>
  <c r="H897" i="41" s="1"/>
  <c r="D13" i="41"/>
  <c r="C12" i="41"/>
  <c r="T4" i="91"/>
  <c r="S23" i="91"/>
  <c r="DQ372" i="3"/>
  <c r="DQ376" i="3" s="1"/>
  <c r="DQ377" i="3" s="1"/>
  <c r="DQ380" i="3" s="1"/>
  <c r="DQ385" i="3"/>
  <c r="DQ275" i="3"/>
  <c r="DQ274" i="3"/>
  <c r="DF292" i="3"/>
  <c r="DF277" i="3"/>
  <c r="DF276" i="3"/>
  <c r="DF288" i="3"/>
  <c r="BC277" i="3"/>
  <c r="BC288" i="3"/>
  <c r="BH289" i="3" s="1"/>
  <c r="EG303" i="3"/>
  <c r="DC292" i="3"/>
  <c r="DC277" i="3"/>
  <c r="DC276" i="3"/>
  <c r="DC288" i="3"/>
  <c r="CT292" i="3"/>
  <c r="CT277" i="3"/>
  <c r="CT276" i="3"/>
  <c r="CT288" i="3"/>
  <c r="EE292" i="3"/>
  <c r="EE277" i="3"/>
  <c r="EE276" i="3"/>
  <c r="EE288" i="3"/>
  <c r="DU292" i="3"/>
  <c r="DU276" i="3"/>
  <c r="DU277" i="3"/>
  <c r="DU288" i="3"/>
  <c r="BN385" i="3"/>
  <c r="BN372" i="3"/>
  <c r="BN376" i="3" s="1"/>
  <c r="BN377" i="3" s="1"/>
  <c r="BN380" i="3" s="1"/>
  <c r="BN275" i="3"/>
  <c r="BN274" i="3"/>
  <c r="CH286" i="3"/>
  <c r="EI303" i="3"/>
  <c r="EI310" i="3" s="1"/>
  <c r="CZ292" i="3"/>
  <c r="CZ277" i="3"/>
  <c r="CZ276" i="3"/>
  <c r="CZ288" i="3"/>
  <c r="CH385" i="3"/>
  <c r="CH372" i="3"/>
  <c r="CH376" i="3" s="1"/>
  <c r="CH377" i="3" s="1"/>
  <c r="CH380" i="3" s="1"/>
  <c r="CH275" i="3"/>
  <c r="CH274" i="3"/>
  <c r="CQ292" i="3"/>
  <c r="CQ277" i="3"/>
  <c r="CQ276" i="3"/>
  <c r="CQ288" i="3"/>
  <c r="BK277" i="3"/>
  <c r="BK276" i="3"/>
  <c r="BK288" i="3"/>
  <c r="BP289" i="3" s="1"/>
  <c r="DJ292" i="3"/>
  <c r="DJ276" i="3"/>
  <c r="DJ277" i="3"/>
  <c r="DJ288" i="3"/>
  <c r="DW303" i="3"/>
  <c r="EA286" i="3"/>
  <c r="CR385" i="3"/>
  <c r="CR372" i="3"/>
  <c r="CR376" i="3" s="1"/>
  <c r="CR377" i="3" s="1"/>
  <c r="CR380" i="3" s="1"/>
  <c r="CR275" i="3"/>
  <c r="CR274" i="3"/>
  <c r="AL289" i="3"/>
  <c r="EB261" i="3"/>
  <c r="EB260" i="3" s="1"/>
  <c r="EA379" i="3"/>
  <c r="AD289" i="3"/>
  <c r="BB277" i="3"/>
  <c r="BB288" i="3"/>
  <c r="BN286" i="3"/>
  <c r="CF292" i="3"/>
  <c r="CF277" i="3"/>
  <c r="CF276" i="3"/>
  <c r="CF288" i="3"/>
  <c r="EF368" i="3"/>
  <c r="EF379" i="3" s="1"/>
  <c r="EF340" i="3"/>
  <c r="EE336" i="3"/>
  <c r="EF337" i="3"/>
  <c r="EF262" i="3"/>
  <c r="AJ276" i="3"/>
  <c r="AJ288" i="3"/>
  <c r="EB303" i="3"/>
  <c r="EF286" i="3"/>
  <c r="EI134" i="3"/>
  <c r="CW285" i="3"/>
  <c r="CS287" i="3"/>
  <c r="DG286" i="3"/>
  <c r="BG277" i="3"/>
  <c r="BG288" i="3"/>
  <c r="DZ292" i="3"/>
  <c r="DZ277" i="3"/>
  <c r="DZ276" i="3"/>
  <c r="DZ288" i="3"/>
  <c r="BW277" i="3"/>
  <c r="BW276" i="3"/>
  <c r="BW288" i="3"/>
  <c r="CG292" i="3"/>
  <c r="CG276" i="3"/>
  <c r="CG277" i="3"/>
  <c r="CG288" i="3"/>
  <c r="CA292" i="3"/>
  <c r="CA277" i="3"/>
  <c r="CA276" i="3"/>
  <c r="CA288" i="3"/>
  <c r="DO292" i="3"/>
  <c r="DO277" i="3"/>
  <c r="DO276" i="3"/>
  <c r="DO288" i="3"/>
  <c r="DP292" i="3"/>
  <c r="DP277" i="3"/>
  <c r="DP276" i="3"/>
  <c r="DP288" i="3"/>
  <c r="BQ277" i="3"/>
  <c r="BQ276" i="3"/>
  <c r="BQ288" i="3"/>
  <c r="BQ289" i="3" s="1"/>
  <c r="DK292" i="3"/>
  <c r="DK277" i="3"/>
  <c r="DK276" i="3"/>
  <c r="DK288" i="3"/>
  <c r="CM372" i="3"/>
  <c r="CM376" i="3" s="1"/>
  <c r="CM377" i="3" s="1"/>
  <c r="CM380" i="3" s="1"/>
  <c r="CM385" i="3"/>
  <c r="CM275" i="3"/>
  <c r="CM274" i="3"/>
  <c r="DB286" i="3"/>
  <c r="DL385" i="3"/>
  <c r="DL372" i="3"/>
  <c r="DL376" i="3" s="1"/>
  <c r="DL377" i="3" s="1"/>
  <c r="DL380" i="3" s="1"/>
  <c r="DL275" i="3"/>
  <c r="DL274" i="3"/>
  <c r="BS372" i="3"/>
  <c r="BS376" i="3" s="1"/>
  <c r="BS377" i="3" s="1"/>
  <c r="BS380" i="3" s="1"/>
  <c r="BS385" i="3"/>
  <c r="BS275" i="3"/>
  <c r="BS274" i="3"/>
  <c r="DH292" i="3"/>
  <c r="DH277" i="3"/>
  <c r="DH276" i="3"/>
  <c r="DH288" i="3"/>
  <c r="AY385" i="3"/>
  <c r="AY372" i="3"/>
  <c r="AY376" i="3" s="1"/>
  <c r="AY377" i="3" s="1"/>
  <c r="AY380" i="3" s="1"/>
  <c r="AY275" i="3"/>
  <c r="AY274" i="3"/>
  <c r="CN292" i="3"/>
  <c r="CN277" i="3"/>
  <c r="CN288" i="3"/>
  <c r="CN276" i="3"/>
  <c r="DT292" i="3"/>
  <c r="DT277" i="3"/>
  <c r="DT276" i="3"/>
  <c r="DT288" i="3"/>
  <c r="CU292" i="3"/>
  <c r="CU277" i="3"/>
  <c r="CU276" i="3"/>
  <c r="CU288" i="3"/>
  <c r="DR303" i="3"/>
  <c r="DV286" i="3"/>
  <c r="BU276" i="3"/>
  <c r="BU277" i="3"/>
  <c r="BU288" i="3"/>
  <c r="BU289" i="3" s="1"/>
  <c r="DM292" i="3"/>
  <c r="DM277" i="3"/>
  <c r="DM276" i="3"/>
  <c r="DM288" i="3"/>
  <c r="CK292" i="3"/>
  <c r="CK277" i="3"/>
  <c r="CK276" i="3"/>
  <c r="CK288" i="3"/>
  <c r="CV292" i="3"/>
  <c r="CV277" i="3"/>
  <c r="CV276" i="3"/>
  <c r="CV288" i="3"/>
  <c r="DV385" i="3"/>
  <c r="DV372" i="3"/>
  <c r="DV376" i="3" s="1"/>
  <c r="DV377" i="3" s="1"/>
  <c r="DV380" i="3" s="1"/>
  <c r="DV275" i="3"/>
  <c r="DV274" i="3"/>
  <c r="AH289" i="3"/>
  <c r="CE288" i="3"/>
  <c r="CH287" i="3"/>
  <c r="CI292" i="3"/>
  <c r="CI277" i="3"/>
  <c r="CI288" i="3"/>
  <c r="CI276" i="3"/>
  <c r="DA292" i="3"/>
  <c r="DA276" i="3"/>
  <c r="DA277" i="3"/>
  <c r="DA288" i="3"/>
  <c r="DP402" i="3"/>
  <c r="DR403" i="3"/>
  <c r="DN292" i="3"/>
  <c r="DN277" i="3"/>
  <c r="DN276" i="3"/>
  <c r="DN288" i="3"/>
  <c r="CB292" i="3"/>
  <c r="CB277" i="3"/>
  <c r="CB276" i="3"/>
  <c r="CB288" i="3"/>
  <c r="BV276" i="3"/>
  <c r="BV277" i="3"/>
  <c r="BV288" i="3"/>
  <c r="ED292" i="3"/>
  <c r="ED276" i="3"/>
  <c r="ED277" i="3"/>
  <c r="ED288" i="3"/>
  <c r="EC292" i="3"/>
  <c r="EC276" i="3"/>
  <c r="EC277" i="3"/>
  <c r="EC288" i="3"/>
  <c r="CL292" i="3"/>
  <c r="CL277" i="3"/>
  <c r="CL276" i="3"/>
  <c r="CL288" i="3"/>
  <c r="CC385" i="3"/>
  <c r="CC372" i="3"/>
  <c r="CC376" i="3" s="1"/>
  <c r="CC377" i="3" s="1"/>
  <c r="CC380" i="3" s="1"/>
  <c r="CC275" i="3"/>
  <c r="CC274" i="3"/>
  <c r="BF277" i="3"/>
  <c r="BF288" i="3"/>
  <c r="BO277" i="3"/>
  <c r="BO276" i="3"/>
  <c r="BO288" i="3"/>
  <c r="EG292" i="3"/>
  <c r="EG288" i="3"/>
  <c r="EG276" i="3"/>
  <c r="EG277" i="3"/>
  <c r="Z276" i="3"/>
  <c r="Z288" i="3"/>
  <c r="Z289" i="3" s="1"/>
  <c r="AK289" i="3"/>
  <c r="CY292" i="3"/>
  <c r="CY277" i="3"/>
  <c r="CY276" i="3"/>
  <c r="CY288" i="3"/>
  <c r="EH292" i="3"/>
  <c r="EH277" i="3"/>
  <c r="EH276" i="3"/>
  <c r="EH288" i="3"/>
  <c r="CO292" i="3"/>
  <c r="CO276" i="3"/>
  <c r="CO277" i="3"/>
  <c r="CO288" i="3"/>
  <c r="CP292" i="3"/>
  <c r="CP276" i="3"/>
  <c r="CP277" i="3"/>
  <c r="CP288" i="3"/>
  <c r="BR277" i="3"/>
  <c r="BR276" i="3"/>
  <c r="BR288" i="3"/>
  <c r="DY292" i="3"/>
  <c r="DY277" i="3"/>
  <c r="DY276" i="3"/>
  <c r="DY288" i="3"/>
  <c r="CD292" i="3"/>
  <c r="CD277" i="3"/>
  <c r="CD276" i="3"/>
  <c r="CD288" i="3"/>
  <c r="BY292" i="3"/>
  <c r="BY277" i="3"/>
  <c r="BY276" i="3"/>
  <c r="BY288" i="3"/>
  <c r="DS292" i="3"/>
  <c r="DS277" i="3"/>
  <c r="DS276" i="3"/>
  <c r="DS288" i="3"/>
  <c r="EI292" i="3"/>
  <c r="EI277" i="3"/>
  <c r="EI276" i="3"/>
  <c r="EI288" i="3"/>
  <c r="DL286" i="3"/>
  <c r="BE277" i="3"/>
  <c r="BE288" i="3"/>
  <c r="BE289" i="3" s="1"/>
  <c r="CR286" i="3"/>
  <c r="CE292" i="3"/>
  <c r="CE277" i="3"/>
  <c r="CE276" i="3"/>
  <c r="AO276" i="3"/>
  <c r="AO288" i="3"/>
  <c r="DG385" i="3"/>
  <c r="DG372" i="3"/>
  <c r="DG376" i="3" s="1"/>
  <c r="DG377" i="3" s="1"/>
  <c r="DG380" i="3" s="1"/>
  <c r="DG275" i="3"/>
  <c r="DG274" i="3"/>
  <c r="EA385" i="3"/>
  <c r="EA372" i="3"/>
  <c r="EA376" i="3" s="1"/>
  <c r="EA377" i="3" s="1"/>
  <c r="EA380" i="3" s="1"/>
  <c r="EA275" i="3"/>
  <c r="EA274" i="3"/>
  <c r="DE292" i="3"/>
  <c r="DE277" i="3"/>
  <c r="DE276" i="3"/>
  <c r="DE288" i="3"/>
  <c r="BL276" i="3"/>
  <c r="DQ286" i="3"/>
  <c r="DB385" i="3"/>
  <c r="DB372" i="3"/>
  <c r="DB376" i="3" s="1"/>
  <c r="DB377" i="3" s="1"/>
  <c r="DB380" i="3" s="1"/>
  <c r="DB275" i="3"/>
  <c r="DB274" i="3"/>
  <c r="DZ340" i="3"/>
  <c r="DZ341" i="3" s="1"/>
  <c r="EA341" i="3"/>
  <c r="AX277" i="3"/>
  <c r="AX276" i="3"/>
  <c r="AX288" i="3"/>
  <c r="AX289" i="3" s="1"/>
  <c r="AN289" i="3"/>
  <c r="CM286" i="3"/>
  <c r="BJ277" i="3"/>
  <c r="BJ276" i="3"/>
  <c r="BJ288" i="3"/>
  <c r="ED303" i="3"/>
  <c r="ED310" i="3" s="1"/>
  <c r="DX292" i="3"/>
  <c r="DX277" i="3"/>
  <c r="DX276" i="3"/>
  <c r="DX288" i="3"/>
  <c r="AU277" i="3"/>
  <c r="AU276" i="3"/>
  <c r="AU288" i="3"/>
  <c r="AU289" i="3" s="1"/>
  <c r="EB292" i="3"/>
  <c r="EB277" i="3"/>
  <c r="EB276" i="3"/>
  <c r="EB288" i="3"/>
  <c r="BI385" i="3"/>
  <c r="BI372" i="3"/>
  <c r="BI376" i="3" s="1"/>
  <c r="BI377" i="3" s="1"/>
  <c r="BI380" i="3" s="1"/>
  <c r="BI286" i="3"/>
  <c r="BI275" i="3"/>
  <c r="BI274" i="3"/>
  <c r="EF385" i="3"/>
  <c r="EF372" i="3"/>
  <c r="EF376" i="3" s="1"/>
  <c r="EF377" i="3" s="1"/>
  <c r="EF380" i="3" s="1"/>
  <c r="EF275" i="3"/>
  <c r="EF274" i="3"/>
  <c r="CS292" i="3"/>
  <c r="CS277" i="3"/>
  <c r="CS276" i="3"/>
  <c r="BT277" i="3"/>
  <c r="BT288" i="3"/>
  <c r="BT276" i="3"/>
  <c r="BA277" i="3"/>
  <c r="BA288" i="3"/>
  <c r="BA289" i="3" s="1"/>
  <c r="DI292" i="3"/>
  <c r="DI276" i="3"/>
  <c r="DI277" i="3"/>
  <c r="DI288" i="3"/>
  <c r="CW372" i="3"/>
  <c r="CW376" i="3" s="1"/>
  <c r="CW377" i="3" s="1"/>
  <c r="CW380" i="3" s="1"/>
  <c r="CW385" i="3"/>
  <c r="CW275" i="3"/>
  <c r="CW274" i="3"/>
  <c r="CX292" i="3"/>
  <c r="CX277" i="3"/>
  <c r="CX276" i="3"/>
  <c r="CX288" i="3"/>
  <c r="DD292" i="3"/>
  <c r="DD277" i="3"/>
  <c r="DD276" i="3"/>
  <c r="DD288" i="3"/>
  <c r="CC286" i="3"/>
  <c r="BM276" i="3"/>
  <c r="BM277" i="3"/>
  <c r="BM288" i="3"/>
  <c r="BM289" i="3" s="1"/>
  <c r="AW276" i="3"/>
  <c r="AW288" i="3"/>
  <c r="AW289" i="3" s="1"/>
  <c r="AW277" i="3"/>
  <c r="DR292" i="3"/>
  <c r="DR277" i="3"/>
  <c r="DR276" i="3"/>
  <c r="DR288" i="3"/>
  <c r="AT276" i="3"/>
  <c r="AT288" i="3"/>
  <c r="BL277" i="3"/>
  <c r="CJ292" i="3"/>
  <c r="CJ288" i="3"/>
  <c r="CJ277" i="3"/>
  <c r="CJ276" i="3"/>
  <c r="DW292" i="3"/>
  <c r="DW277" i="3"/>
  <c r="DW276" i="3"/>
  <c r="DW288" i="3"/>
  <c r="AA289" i="3"/>
  <c r="AE276" i="3"/>
  <c r="AE288" i="3"/>
  <c r="BZ292" i="3"/>
  <c r="BZ277" i="3"/>
  <c r="BZ276" i="3"/>
  <c r="BZ288" i="3"/>
  <c r="DZ337" i="3"/>
  <c r="DZ262" i="3"/>
  <c r="DZ261" i="3" s="1"/>
  <c r="DZ260" i="3" s="1"/>
  <c r="AP289" i="3"/>
  <c r="BX372" i="3"/>
  <c r="BX376" i="3" s="1"/>
  <c r="BX377" i="3" s="1"/>
  <c r="BX380" i="3" s="1"/>
  <c r="BX385" i="3"/>
  <c r="BX275" i="3"/>
  <c r="BX274" i="3"/>
  <c r="AM289" i="3"/>
  <c r="EP150" i="3" l="1"/>
  <c r="EP145" i="3" s="1"/>
  <c r="EP134" i="3" s="1"/>
  <c r="FN150" i="3"/>
  <c r="FE29" i="3"/>
  <c r="FE48" i="3" s="1"/>
  <c r="FE104" i="3"/>
  <c r="EZ106" i="3"/>
  <c r="EZ105" i="3"/>
  <c r="FE65" i="3"/>
  <c r="FE79" i="3"/>
  <c r="FE393" i="3"/>
  <c r="FK277" i="3"/>
  <c r="FI277" i="3"/>
  <c r="FJ277" i="3"/>
  <c r="EN289" i="3"/>
  <c r="EZ60" i="3"/>
  <c r="EZ61" i="3" s="1"/>
  <c r="ES148" i="3"/>
  <c r="ES151" i="3" s="1"/>
  <c r="ES150" i="3" s="1"/>
  <c r="ES145" i="3" s="1"/>
  <c r="ES133" i="3" s="1"/>
  <c r="ES130" i="3" s="1"/>
  <c r="ES129" i="3" s="1"/>
  <c r="ES126" i="3" s="1"/>
  <c r="ET43" i="3"/>
  <c r="ET149" i="3" s="1"/>
  <c r="CK289" i="3"/>
  <c r="ES43" i="3"/>
  <c r="ES149" i="3" s="1"/>
  <c r="ET53" i="3"/>
  <c r="ET184" i="3" s="1"/>
  <c r="ET185" i="3" s="1"/>
  <c r="ET44" i="3"/>
  <c r="ET148" i="3"/>
  <c r="EU47" i="3"/>
  <c r="EU48" i="3" s="1"/>
  <c r="ET46" i="3"/>
  <c r="ER54" i="3"/>
  <c r="ET90" i="3"/>
  <c r="ET91" i="3" s="1"/>
  <c r="ET97" i="3" s="1"/>
  <c r="ES91" i="3"/>
  <c r="ES97" i="3" s="1"/>
  <c r="ER92" i="3"/>
  <c r="EU212" i="3"/>
  <c r="ER146" i="3"/>
  <c r="ER147" i="3" s="1"/>
  <c r="ER131" i="3"/>
  <c r="ER126" i="3"/>
  <c r="EU205" i="3"/>
  <c r="AE289" i="3"/>
  <c r="EM289" i="3"/>
  <c r="EH134" i="3"/>
  <c r="EM134" i="3"/>
  <c r="FE75" i="3"/>
  <c r="EL289" i="3"/>
  <c r="FN289" i="3" s="1"/>
  <c r="FE40" i="3"/>
  <c r="FE196" i="3" s="1"/>
  <c r="FE171" i="3"/>
  <c r="FE172" i="3" s="1"/>
  <c r="FE26" i="3"/>
  <c r="FE396" i="3"/>
  <c r="FE392" i="3"/>
  <c r="FE390" i="3"/>
  <c r="FE391" i="3"/>
  <c r="FE388" i="3"/>
  <c r="FE389" i="3"/>
  <c r="FE387" i="3"/>
  <c r="FE395" i="3"/>
  <c r="FE394" i="3"/>
  <c r="EZ107" i="3"/>
  <c r="EL145" i="3"/>
  <c r="FN145" i="3" s="1"/>
  <c r="DE289" i="3"/>
  <c r="CP289" i="3"/>
  <c r="EH289" i="3"/>
  <c r="DA289" i="3"/>
  <c r="AO289" i="3"/>
  <c r="EK276" i="3"/>
  <c r="EK292" i="3"/>
  <c r="EK288" i="3"/>
  <c r="EP289" i="3" s="1"/>
  <c r="EG310" i="3"/>
  <c r="EJ303" i="3"/>
  <c r="EZ211" i="3"/>
  <c r="E510" i="42"/>
  <c r="E511" i="42" s="1"/>
  <c r="E512" i="42" s="1"/>
  <c r="E513" i="42" s="1"/>
  <c r="E514" i="42" s="1"/>
  <c r="E515" i="42" s="1"/>
  <c r="E516" i="42" s="1"/>
  <c r="E517" i="42" s="1"/>
  <c r="E518" i="42" s="1"/>
  <c r="E519" i="42" s="1"/>
  <c r="E520" i="42" s="1"/>
  <c r="E521" i="42" s="1"/>
  <c r="E522" i="42" s="1"/>
  <c r="Y26" i="42"/>
  <c r="EZ139" i="3"/>
  <c r="DY289" i="3"/>
  <c r="BV289" i="3"/>
  <c r="DH289" i="3"/>
  <c r="DZ289" i="3"/>
  <c r="CY289" i="3"/>
  <c r="CH288" i="3"/>
  <c r="DO289" i="3"/>
  <c r="DW289" i="3"/>
  <c r="BZ289" i="3"/>
  <c r="DS289" i="3"/>
  <c r="BG289" i="3"/>
  <c r="DR289" i="3"/>
  <c r="BS276" i="3"/>
  <c r="EJ289" i="3"/>
  <c r="DM289" i="3"/>
  <c r="DP289" i="3"/>
  <c r="CO289" i="3"/>
  <c r="AT289" i="3"/>
  <c r="BS288" i="3"/>
  <c r="BY289" i="3"/>
  <c r="BF289" i="3"/>
  <c r="BL289" i="3"/>
  <c r="DT289" i="3"/>
  <c r="DK289" i="3"/>
  <c r="CA289" i="3"/>
  <c r="CG289" i="3"/>
  <c r="BW289" i="3"/>
  <c r="D107" i="42"/>
  <c r="A119" i="42"/>
  <c r="D119" i="42" s="1"/>
  <c r="D103" i="42"/>
  <c r="A115" i="42"/>
  <c r="D115" i="42" s="1"/>
  <c r="R15" i="42"/>
  <c r="S14" i="42"/>
  <c r="AR5" i="42"/>
  <c r="D105" i="42"/>
  <c r="A117" i="42"/>
  <c r="D117" i="42" s="1"/>
  <c r="AP5" i="42"/>
  <c r="R22" i="42"/>
  <c r="S20" i="42"/>
  <c r="R21" i="42"/>
  <c r="C236" i="42"/>
  <c r="B235" i="42"/>
  <c r="D235" i="42" s="1"/>
  <c r="D96" i="42"/>
  <c r="A108" i="42"/>
  <c r="D109" i="42"/>
  <c r="A121" i="42"/>
  <c r="D121" i="42" s="1"/>
  <c r="S9" i="42"/>
  <c r="D98" i="42"/>
  <c r="A110" i="42"/>
  <c r="D110" i="42" s="1"/>
  <c r="D104" i="42"/>
  <c r="A116" i="42"/>
  <c r="D116" i="42" s="1"/>
  <c r="S27" i="42"/>
  <c r="T25" i="42"/>
  <c r="D106" i="42"/>
  <c r="A118" i="42"/>
  <c r="D118" i="42" s="1"/>
  <c r="AS5" i="42"/>
  <c r="R32" i="42"/>
  <c r="R31" i="42"/>
  <c r="S30" i="42"/>
  <c r="D102" i="42"/>
  <c r="A114" i="42"/>
  <c r="D114" i="42" s="1"/>
  <c r="AQ5" i="42"/>
  <c r="G899" i="41"/>
  <c r="H898" i="41" s="1"/>
  <c r="D14" i="41"/>
  <c r="C13" i="41"/>
  <c r="E15" i="41"/>
  <c r="A14" i="41"/>
  <c r="B14" i="41" s="1"/>
  <c r="U4" i="91"/>
  <c r="T23" i="91"/>
  <c r="EF276" i="3"/>
  <c r="EF288" i="3"/>
  <c r="EF292" i="3"/>
  <c r="DG276" i="3"/>
  <c r="DG292" i="3"/>
  <c r="DG288" i="3"/>
  <c r="EZ191" i="3"/>
  <c r="BX288" i="3"/>
  <c r="BT289" i="3"/>
  <c r="DB292" i="3"/>
  <c r="DB276" i="3"/>
  <c r="DB288" i="3"/>
  <c r="BR289" i="3"/>
  <c r="CL289" i="3"/>
  <c r="EC289" i="3"/>
  <c r="ED289" i="3"/>
  <c r="CB289" i="3"/>
  <c r="DN289" i="3"/>
  <c r="DS403" i="3"/>
  <c r="DR402" i="3"/>
  <c r="CN289" i="3"/>
  <c r="CW287" i="3"/>
  <c r="CW288" i="3" s="1"/>
  <c r="CS288" i="3"/>
  <c r="CS289" i="3" s="1"/>
  <c r="EE303" i="3"/>
  <c r="EE310" i="3" s="1"/>
  <c r="EB310" i="3"/>
  <c r="CF289" i="3"/>
  <c r="DZ303" i="3"/>
  <c r="DZ310" i="3" s="1"/>
  <c r="DW310" i="3"/>
  <c r="DJ289" i="3"/>
  <c r="BK289" i="3"/>
  <c r="CH292" i="3"/>
  <c r="CH276" i="3"/>
  <c r="DU289" i="3"/>
  <c r="EE289" i="3"/>
  <c r="CT289" i="3"/>
  <c r="DC289" i="3"/>
  <c r="DF289" i="3"/>
  <c r="CD289" i="3"/>
  <c r="DD289" i="3"/>
  <c r="DI289" i="3"/>
  <c r="BX276" i="3"/>
  <c r="BX292" i="3"/>
  <c r="CJ289" i="3"/>
  <c r="CW276" i="3"/>
  <c r="CW292" i="3"/>
  <c r="DX289" i="3"/>
  <c r="EI289" i="3"/>
  <c r="EG289" i="3"/>
  <c r="CC276" i="3"/>
  <c r="CC292" i="3"/>
  <c r="CC288" i="3"/>
  <c r="CV289" i="3"/>
  <c r="DL276" i="3"/>
  <c r="DL292" i="3"/>
  <c r="DL288" i="3"/>
  <c r="CM276" i="3"/>
  <c r="CM292" i="3"/>
  <c r="CM288" i="3"/>
  <c r="AJ289" i="3"/>
  <c r="EE337" i="3"/>
  <c r="EE262" i="3"/>
  <c r="EE261" i="3" s="1"/>
  <c r="EE260" i="3" s="1"/>
  <c r="BB289" i="3"/>
  <c r="CR276" i="3"/>
  <c r="CR292" i="3"/>
  <c r="CR288" i="3"/>
  <c r="BN276" i="3"/>
  <c r="BN288" i="3"/>
  <c r="DQ276" i="3"/>
  <c r="DQ292" i="3"/>
  <c r="DQ288" i="3"/>
  <c r="BI288" i="3"/>
  <c r="BI289" i="3" s="1"/>
  <c r="BI276" i="3"/>
  <c r="AZ289" i="3"/>
  <c r="DV292" i="3"/>
  <c r="DV276" i="3"/>
  <c r="DV288" i="3"/>
  <c r="DR310" i="3"/>
  <c r="DU303" i="3"/>
  <c r="DU310" i="3" s="1"/>
  <c r="AY276" i="3"/>
  <c r="AY288" i="3"/>
  <c r="EE340" i="3"/>
  <c r="EE341" i="3" s="1"/>
  <c r="EF341" i="3"/>
  <c r="BC289" i="3"/>
  <c r="EB289" i="3"/>
  <c r="EA276" i="3"/>
  <c r="EA292" i="3"/>
  <c r="EA288" i="3"/>
  <c r="BJ289" i="3"/>
  <c r="BO289" i="3"/>
  <c r="CI289" i="3"/>
  <c r="CE289" i="3"/>
  <c r="CU289" i="3"/>
  <c r="EG261" i="3"/>
  <c r="EG260" i="3" s="1"/>
  <c r="EF261" i="3"/>
  <c r="EF260" i="3" s="1"/>
  <c r="CQ289" i="3"/>
  <c r="CZ289" i="3"/>
  <c r="FE106" i="3" l="1"/>
  <c r="FE105" i="3"/>
  <c r="ES131" i="3"/>
  <c r="ES132" i="3" s="1"/>
  <c r="ES146" i="3"/>
  <c r="ES147" i="3" s="1"/>
  <c r="FE61" i="3"/>
  <c r="EU45" i="3"/>
  <c r="EU46" i="3" s="1"/>
  <c r="ET54" i="3"/>
  <c r="EU53" i="3"/>
  <c r="EZ47" i="3"/>
  <c r="FE47" i="3" s="1"/>
  <c r="FE45" i="3" s="1"/>
  <c r="FE42" i="3" s="1"/>
  <c r="EU90" i="3"/>
  <c r="ER98" i="3"/>
  <c r="ET92" i="3"/>
  <c r="ES92" i="3"/>
  <c r="ER132" i="3"/>
  <c r="ES156" i="3"/>
  <c r="ES128" i="3" s="1"/>
  <c r="ES142" i="3"/>
  <c r="ES155" i="3"/>
  <c r="ES117" i="3"/>
  <c r="ES127" i="3"/>
  <c r="ER117" i="3"/>
  <c r="ER156" i="3"/>
  <c r="ER155" i="3"/>
  <c r="ER142" i="3"/>
  <c r="ER127" i="3"/>
  <c r="EU184" i="3"/>
  <c r="EZ137" i="3"/>
  <c r="FE139" i="3"/>
  <c r="FE191" i="3"/>
  <c r="EZ101" i="3"/>
  <c r="EZ102" i="3" s="1"/>
  <c r="FE107" i="3"/>
  <c r="FE101" i="3" s="1"/>
  <c r="FH101" i="3" s="1"/>
  <c r="EZ207" i="3"/>
  <c r="FE211" i="3"/>
  <c r="FE207" i="3" s="1"/>
  <c r="BS289" i="3"/>
  <c r="EL134" i="3"/>
  <c r="FN134" i="3" s="1"/>
  <c r="DV289" i="3"/>
  <c r="BX289" i="3"/>
  <c r="EK289" i="3"/>
  <c r="E523" i="42"/>
  <c r="E524" i="42" s="1"/>
  <c r="E525" i="42" s="1"/>
  <c r="E526" i="42" s="1"/>
  <c r="E527" i="42" s="1"/>
  <c r="E528" i="42" s="1"/>
  <c r="E529" i="42" s="1"/>
  <c r="E530" i="42" s="1"/>
  <c r="E531" i="42" s="1"/>
  <c r="E532" i="42" s="1"/>
  <c r="E533" i="42" s="1"/>
  <c r="E534" i="42" s="1"/>
  <c r="E535" i="42" s="1"/>
  <c r="EZ140" i="3"/>
  <c r="Z26" i="42"/>
  <c r="EA289" i="3"/>
  <c r="CM289" i="3"/>
  <c r="CR289" i="3"/>
  <c r="DL289" i="3"/>
  <c r="AW5" i="42"/>
  <c r="C237" i="42"/>
  <c r="B236" i="42"/>
  <c r="D236" i="42" s="1"/>
  <c r="AU5" i="42"/>
  <c r="S32" i="42"/>
  <c r="T30" i="42"/>
  <c r="S31" i="42"/>
  <c r="S15" i="42"/>
  <c r="T14" i="42"/>
  <c r="D108" i="42"/>
  <c r="A120" i="42"/>
  <c r="D120" i="42" s="1"/>
  <c r="T27" i="42"/>
  <c r="U25" i="42"/>
  <c r="T9" i="42"/>
  <c r="T20" i="42"/>
  <c r="S22" i="42"/>
  <c r="S21" i="42"/>
  <c r="AT5" i="42"/>
  <c r="AV5" i="42"/>
  <c r="C14" i="41"/>
  <c r="D15" i="41"/>
  <c r="A15" i="41"/>
  <c r="B15" i="41" s="1"/>
  <c r="E16" i="41"/>
  <c r="G900" i="41"/>
  <c r="H899" i="41" s="1"/>
  <c r="U23" i="91"/>
  <c r="V4" i="91"/>
  <c r="DQ289" i="3"/>
  <c r="CC289" i="3"/>
  <c r="DT403" i="3"/>
  <c r="DS402" i="3"/>
  <c r="CX289" i="3"/>
  <c r="EZ204" i="3"/>
  <c r="EZ205" i="3" s="1"/>
  <c r="EZ192" i="3"/>
  <c r="DG289" i="3"/>
  <c r="EF289" i="3"/>
  <c r="BN289" i="3"/>
  <c r="CH289" i="3"/>
  <c r="AY289" i="3"/>
  <c r="BD289" i="3"/>
  <c r="CW289" i="3"/>
  <c r="DB289" i="3"/>
  <c r="EU42" i="3" l="1"/>
  <c r="EU148" i="3" s="1"/>
  <c r="EU149" i="3" s="1"/>
  <c r="EU55" i="3"/>
  <c r="EU56" i="3" s="1"/>
  <c r="EZ45" i="3"/>
  <c r="EZ42" i="3" s="1"/>
  <c r="EZ148" i="3" s="1"/>
  <c r="EU186" i="3"/>
  <c r="EU187" i="3" s="1"/>
  <c r="EU91" i="3"/>
  <c r="EU92" i="3" s="1"/>
  <c r="EZ90" i="3"/>
  <c r="ET98" i="3"/>
  <c r="ER128" i="3"/>
  <c r="ER62" i="3"/>
  <c r="ER238" i="3"/>
  <c r="ER239" i="3" s="1"/>
  <c r="ER103" i="3"/>
  <c r="ER76" i="3"/>
  <c r="ER157" i="3"/>
  <c r="EU185" i="3"/>
  <c r="ES157" i="3"/>
  <c r="ES238" i="3"/>
  <c r="ES239" i="3" s="1"/>
  <c r="ES103" i="3"/>
  <c r="ES76" i="3"/>
  <c r="ES62" i="3"/>
  <c r="ER123" i="3"/>
  <c r="ER118" i="3"/>
  <c r="ER119" i="3"/>
  <c r="FH157" i="3"/>
  <c r="ES123" i="3"/>
  <c r="ES118" i="3"/>
  <c r="ES119" i="3"/>
  <c r="FE192" i="3"/>
  <c r="FE204" i="3"/>
  <c r="FE205" i="3" s="1"/>
  <c r="FE148" i="3"/>
  <c r="FE208" i="3"/>
  <c r="FE102" i="3"/>
  <c r="FE140" i="3"/>
  <c r="FE137" i="3"/>
  <c r="FQ145" i="3"/>
  <c r="FP145" i="3"/>
  <c r="V23" i="91"/>
  <c r="W4" i="91"/>
  <c r="EZ208" i="3"/>
  <c r="E536" i="42"/>
  <c r="E537" i="42" s="1"/>
  <c r="E538" i="42" s="1"/>
  <c r="E539" i="42" s="1"/>
  <c r="E540" i="42" s="1"/>
  <c r="E541" i="42" s="1"/>
  <c r="E542" i="42" s="1"/>
  <c r="E543" i="42" s="1"/>
  <c r="E544" i="42" s="1"/>
  <c r="E545" i="42" s="1"/>
  <c r="E546" i="42" s="1"/>
  <c r="E547" i="42" s="1"/>
  <c r="E548" i="42" s="1"/>
  <c r="U30" i="42"/>
  <c r="T32" i="42"/>
  <c r="T31" i="42"/>
  <c r="BA5" i="42"/>
  <c r="AX5" i="42"/>
  <c r="T22" i="42"/>
  <c r="U20" i="42"/>
  <c r="T21" i="42"/>
  <c r="U9" i="42"/>
  <c r="V9" i="42" s="1"/>
  <c r="W9" i="42" s="1"/>
  <c r="X9" i="42" s="1"/>
  <c r="Y9" i="42" s="1"/>
  <c r="T15" i="42"/>
  <c r="U14" i="42"/>
  <c r="AY5" i="42"/>
  <c r="C238" i="42"/>
  <c r="B237" i="42"/>
  <c r="D237" i="42" s="1"/>
  <c r="AZ5" i="42"/>
  <c r="V25" i="42"/>
  <c r="U27" i="42"/>
  <c r="G901" i="41"/>
  <c r="H900" i="41" s="1"/>
  <c r="D16" i="41"/>
  <c r="C15" i="41"/>
  <c r="E17" i="41"/>
  <c r="A16" i="41"/>
  <c r="B16" i="41" s="1"/>
  <c r="DT402" i="3"/>
  <c r="DU403" i="3"/>
  <c r="EZ55" i="3" l="1"/>
  <c r="EZ53" i="3" s="1"/>
  <c r="EZ54" i="3" s="1"/>
  <c r="FE43" i="3"/>
  <c r="FE149" i="3" s="1"/>
  <c r="EZ46" i="3"/>
  <c r="EU43" i="3"/>
  <c r="EZ43" i="3"/>
  <c r="EZ149" i="3" s="1"/>
  <c r="FE46" i="3"/>
  <c r="EZ91" i="3"/>
  <c r="EZ97" i="3" s="1"/>
  <c r="FE90" i="3"/>
  <c r="FE91" i="3" s="1"/>
  <c r="FE97" i="3" s="1"/>
  <c r="ES98" i="3"/>
  <c r="EU97" i="3"/>
  <c r="EU98" i="3" s="1"/>
  <c r="ER125" i="3"/>
  <c r="ES125" i="3"/>
  <c r="ES124" i="3"/>
  <c r="ER124" i="3"/>
  <c r="X4" i="91"/>
  <c r="W23" i="91"/>
  <c r="E549" i="42"/>
  <c r="E550" i="42" s="1"/>
  <c r="E551" i="42" s="1"/>
  <c r="E552" i="42" s="1"/>
  <c r="E553" i="42" s="1"/>
  <c r="E554" i="42" s="1"/>
  <c r="E555" i="42" s="1"/>
  <c r="E556" i="42" s="1"/>
  <c r="E557" i="42" s="1"/>
  <c r="E558" i="42" s="1"/>
  <c r="E559" i="42" s="1"/>
  <c r="E560" i="42" s="1"/>
  <c r="E561" i="42" s="1"/>
  <c r="E562" i="42" s="1"/>
  <c r="E563" i="42" s="1"/>
  <c r="E564" i="42" s="1"/>
  <c r="E565" i="42" s="1"/>
  <c r="E566" i="42" s="1"/>
  <c r="E567" i="42" s="1"/>
  <c r="E568" i="42" s="1"/>
  <c r="E569" i="42" s="1"/>
  <c r="E570" i="42" s="1"/>
  <c r="E571" i="42" s="1"/>
  <c r="E572" i="42" s="1"/>
  <c r="E573" i="42" s="1"/>
  <c r="E574" i="42" s="1"/>
  <c r="E575" i="42" s="1"/>
  <c r="E576" i="42" s="1"/>
  <c r="E577" i="42" s="1"/>
  <c r="E578" i="42" s="1"/>
  <c r="E579" i="42" s="1"/>
  <c r="E580" i="42" s="1"/>
  <c r="E581" i="42" s="1"/>
  <c r="E582" i="42" s="1"/>
  <c r="E583" i="42" s="1"/>
  <c r="E584" i="42" s="1"/>
  <c r="E585" i="42" s="1"/>
  <c r="E586" i="42" s="1"/>
  <c r="E587" i="42" s="1"/>
  <c r="E588" i="42" s="1"/>
  <c r="E589" i="42" s="1"/>
  <c r="E590" i="42" s="1"/>
  <c r="E591" i="42" s="1"/>
  <c r="E592" i="42" s="1"/>
  <c r="E593" i="42" s="1"/>
  <c r="E594" i="42" s="1"/>
  <c r="E595" i="42" s="1"/>
  <c r="E596" i="42" s="1"/>
  <c r="E597" i="42" s="1"/>
  <c r="E598" i="42" s="1"/>
  <c r="E599" i="42" s="1"/>
  <c r="E600" i="42" s="1"/>
  <c r="E601" i="42" s="1"/>
  <c r="E602" i="42" s="1"/>
  <c r="E603" i="42" s="1"/>
  <c r="E604" i="42" s="1"/>
  <c r="E605" i="42" s="1"/>
  <c r="E606" i="42" s="1"/>
  <c r="E607" i="42" s="1"/>
  <c r="BC5" i="42"/>
  <c r="BD5" i="42"/>
  <c r="C239" i="42"/>
  <c r="B238" i="42"/>
  <c r="D238" i="42" s="1"/>
  <c r="V14" i="42"/>
  <c r="U15" i="42"/>
  <c r="U22" i="42"/>
  <c r="V20" i="42"/>
  <c r="U21" i="42"/>
  <c r="BE5" i="42"/>
  <c r="U31" i="42"/>
  <c r="V30" i="42"/>
  <c r="U32" i="42"/>
  <c r="W25" i="42"/>
  <c r="V27" i="42"/>
  <c r="BB5" i="42"/>
  <c r="G902" i="41"/>
  <c r="H901" i="41" s="1"/>
  <c r="D17" i="41"/>
  <c r="C16" i="41"/>
  <c r="E18" i="41"/>
  <c r="A17" i="41"/>
  <c r="B17" i="41" s="1"/>
  <c r="EZ186" i="3"/>
  <c r="DW403" i="3"/>
  <c r="DU402" i="3"/>
  <c r="DV403" i="3"/>
  <c r="X23" i="91" l="1"/>
  <c r="Y4" i="91"/>
  <c r="Y23" i="91" s="1"/>
  <c r="FE55" i="3"/>
  <c r="FE53" i="3" s="1"/>
  <c r="FE54" i="3" s="1"/>
  <c r="FE92" i="3"/>
  <c r="EZ92" i="3"/>
  <c r="EZ184" i="3"/>
  <c r="EZ185" i="3" s="1"/>
  <c r="FE186" i="3"/>
  <c r="V22" i="42"/>
  <c r="W20" i="42"/>
  <c r="V21" i="42"/>
  <c r="BH5" i="42"/>
  <c r="W27" i="42"/>
  <c r="X25" i="42"/>
  <c r="BI5" i="42"/>
  <c r="V15" i="42"/>
  <c r="W14" i="42"/>
  <c r="BF5" i="42"/>
  <c r="V32" i="42"/>
  <c r="V31" i="42"/>
  <c r="W30" i="42"/>
  <c r="C240" i="42"/>
  <c r="B239" i="42"/>
  <c r="D239" i="42" s="1"/>
  <c r="BG5" i="42"/>
  <c r="E19" i="41"/>
  <c r="A18" i="41"/>
  <c r="B18" i="41" s="1"/>
  <c r="G903" i="41"/>
  <c r="H902" i="41" s="1"/>
  <c r="D18" i="41"/>
  <c r="C17" i="41"/>
  <c r="EA403" i="3"/>
  <c r="DV402" i="3"/>
  <c r="DX403" i="3"/>
  <c r="DW402" i="3"/>
  <c r="FE184" i="3" l="1"/>
  <c r="FE185" i="3" s="1"/>
  <c r="EZ98" i="3"/>
  <c r="C241" i="42"/>
  <c r="B240" i="42"/>
  <c r="D240" i="42" s="1"/>
  <c r="X20" i="42"/>
  <c r="W22" i="42"/>
  <c r="W21" i="42"/>
  <c r="W32" i="42"/>
  <c r="X30" i="42"/>
  <c r="W31" i="42"/>
  <c r="BK5" i="42"/>
  <c r="X27" i="42"/>
  <c r="Y25" i="42"/>
  <c r="BM5" i="42"/>
  <c r="BQ5" i="42" s="1"/>
  <c r="BL5" i="42"/>
  <c r="BP5" i="42" s="1"/>
  <c r="BJ5" i="42"/>
  <c r="W15" i="42"/>
  <c r="X14" i="42"/>
  <c r="G904" i="41"/>
  <c r="H903" i="41" s="1"/>
  <c r="C18" i="41"/>
  <c r="D19" i="41"/>
  <c r="A19" i="41"/>
  <c r="B19" i="41" s="1"/>
  <c r="E20" i="41"/>
  <c r="ET136" i="3"/>
  <c r="M7" i="91"/>
  <c r="EF403" i="3"/>
  <c r="EK403" i="3" s="1"/>
  <c r="EP403" i="3" s="1"/>
  <c r="EA402" i="3"/>
  <c r="DX402" i="3"/>
  <c r="DY403" i="3"/>
  <c r="EP402" i="3" l="1"/>
  <c r="EU403" i="3"/>
  <c r="EU402" i="3" s="1"/>
  <c r="FE98" i="3"/>
  <c r="EK402" i="3"/>
  <c r="BU5" i="42"/>
  <c r="BT5" i="42"/>
  <c r="M8" i="91"/>
  <c r="M21" i="91"/>
  <c r="M20" i="91"/>
  <c r="Z25" i="42"/>
  <c r="Z27" i="42" s="1"/>
  <c r="Y27" i="42"/>
  <c r="BN5" i="42"/>
  <c r="BR5" i="42" s="1"/>
  <c r="Y14" i="42"/>
  <c r="X15" i="42"/>
  <c r="Y30" i="42"/>
  <c r="X32" i="42"/>
  <c r="X31" i="42"/>
  <c r="X22" i="42"/>
  <c r="Y20" i="42"/>
  <c r="X21" i="42"/>
  <c r="BO5" i="42"/>
  <c r="BS5" i="42" s="1"/>
  <c r="C242" i="42"/>
  <c r="B241" i="42"/>
  <c r="D241" i="42" s="1"/>
  <c r="D20" i="41"/>
  <c r="C19" i="41"/>
  <c r="E21" i="41"/>
  <c r="A20" i="41"/>
  <c r="B20" i="41" s="1"/>
  <c r="G905" i="41"/>
  <c r="H904" i="41" s="1"/>
  <c r="DY402" i="3"/>
  <c r="DZ403" i="3"/>
  <c r="EF402" i="3"/>
  <c r="ET151" i="3" l="1"/>
  <c r="BX5" i="42"/>
  <c r="BY5" i="42"/>
  <c r="BW5" i="42"/>
  <c r="BV5" i="42"/>
  <c r="C243" i="42"/>
  <c r="B242" i="42"/>
  <c r="D242" i="42" s="1"/>
  <c r="Y22" i="42"/>
  <c r="Z20" i="42"/>
  <c r="Y21" i="42"/>
  <c r="Y32" i="42"/>
  <c r="Y31" i="42"/>
  <c r="Z30" i="42"/>
  <c r="Z14" i="42"/>
  <c r="Y15" i="42"/>
  <c r="D21" i="41"/>
  <c r="C20" i="41"/>
  <c r="E22" i="41"/>
  <c r="A21" i="41"/>
  <c r="B21" i="41" s="1"/>
  <c r="G906" i="41"/>
  <c r="H905" i="41" s="1"/>
  <c r="EB403" i="3"/>
  <c r="DZ402" i="3"/>
  <c r="ET150" i="3" l="1"/>
  <c r="EU151" i="3"/>
  <c r="CA5" i="42"/>
  <c r="BZ5" i="42"/>
  <c r="Z32" i="42"/>
  <c r="Z31" i="42"/>
  <c r="AA30" i="42"/>
  <c r="Z22" i="42"/>
  <c r="AA20" i="42"/>
  <c r="Z21" i="42"/>
  <c r="C244" i="42"/>
  <c r="B243" i="42"/>
  <c r="D243" i="42" s="1"/>
  <c r="Z15" i="42"/>
  <c r="AA14" i="42"/>
  <c r="E23" i="41"/>
  <c r="A22" i="41"/>
  <c r="B22" i="41" s="1"/>
  <c r="G907" i="41"/>
  <c r="H906" i="41" s="1"/>
  <c r="D22" i="41"/>
  <c r="C21" i="41"/>
  <c r="EB402" i="3"/>
  <c r="EC403" i="3"/>
  <c r="EU136" i="3" l="1"/>
  <c r="ET145" i="3"/>
  <c r="ET133" i="3" s="1"/>
  <c r="ET130" i="3" s="1"/>
  <c r="ET129" i="3" s="1"/>
  <c r="EU150" i="3"/>
  <c r="EU145" i="3" s="1"/>
  <c r="AA22" i="42"/>
  <c r="AB20" i="42"/>
  <c r="AA21" i="42"/>
  <c r="AA15" i="42"/>
  <c r="AB14" i="42"/>
  <c r="C245" i="42"/>
  <c r="B244" i="42"/>
  <c r="D244" i="42" s="1"/>
  <c r="AA31" i="42"/>
  <c r="AA32" i="42"/>
  <c r="AB30" i="42"/>
  <c r="G908" i="41"/>
  <c r="H907" i="41" s="1"/>
  <c r="C22" i="41"/>
  <c r="D23" i="41"/>
  <c r="A23" i="41"/>
  <c r="B23" i="41" s="1"/>
  <c r="E24" i="41"/>
  <c r="EZ403" i="3"/>
  <c r="EC402" i="3"/>
  <c r="ED403" i="3"/>
  <c r="ET146" i="3" l="1"/>
  <c r="ET147" i="3" s="1"/>
  <c r="ET131" i="3"/>
  <c r="ET132" i="3" s="1"/>
  <c r="ET126" i="3"/>
  <c r="EZ402" i="3"/>
  <c r="FE403" i="3"/>
  <c r="FE402" i="3" s="1"/>
  <c r="N7" i="91"/>
  <c r="N8" i="91" s="1"/>
  <c r="AC14" i="42"/>
  <c r="AB15" i="42"/>
  <c r="AB22" i="42"/>
  <c r="AC20" i="42"/>
  <c r="AB21" i="42"/>
  <c r="AC30" i="42"/>
  <c r="AB32" i="42"/>
  <c r="AB31" i="42"/>
  <c r="C246" i="42"/>
  <c r="B245" i="42"/>
  <c r="D245" i="42" s="1"/>
  <c r="G909" i="41"/>
  <c r="H908" i="41" s="1"/>
  <c r="D24" i="41"/>
  <c r="C23" i="41"/>
  <c r="E25" i="41"/>
  <c r="A24" i="41"/>
  <c r="B24" i="41" s="1"/>
  <c r="EP369" i="3"/>
  <c r="EP219" i="3"/>
  <c r="EP339" i="3"/>
  <c r="EE403" i="3"/>
  <c r="ED402" i="3"/>
  <c r="ET127" i="3" l="1"/>
  <c r="ET142" i="3"/>
  <c r="ET155" i="3"/>
  <c r="ET117" i="3"/>
  <c r="ET156" i="3"/>
  <c r="ET128" i="3" s="1"/>
  <c r="EU126" i="3"/>
  <c r="N15" i="91"/>
  <c r="N22" i="91" s="1"/>
  <c r="EP220" i="3"/>
  <c r="N20" i="91"/>
  <c r="AC32" i="42"/>
  <c r="AC31" i="42"/>
  <c r="AD30" i="42"/>
  <c r="C247" i="42"/>
  <c r="B246" i="42"/>
  <c r="D246" i="42" s="1"/>
  <c r="AC22" i="42"/>
  <c r="AD20" i="42"/>
  <c r="AC21" i="42"/>
  <c r="AD14" i="42"/>
  <c r="AC15" i="42"/>
  <c r="E26" i="41"/>
  <c r="A25" i="41"/>
  <c r="B25" i="41" s="1"/>
  <c r="G910" i="41"/>
  <c r="H909" i="41" s="1"/>
  <c r="D25" i="41"/>
  <c r="C24" i="41"/>
  <c r="EE402" i="3"/>
  <c r="EG403" i="3"/>
  <c r="ET123" i="3" l="1"/>
  <c r="ET119" i="3"/>
  <c r="ET118" i="3"/>
  <c r="EU117" i="3"/>
  <c r="EU127" i="3"/>
  <c r="EU142" i="3"/>
  <c r="EU129" i="3"/>
  <c r="EU156" i="3"/>
  <c r="EU128" i="3" s="1"/>
  <c r="EU155" i="3"/>
  <c r="ET238" i="3"/>
  <c r="ET103" i="3"/>
  <c r="ET76" i="3"/>
  <c r="ET157" i="3"/>
  <c r="ET62" i="3"/>
  <c r="N21" i="91"/>
  <c r="AD22" i="42"/>
  <c r="AE20" i="42"/>
  <c r="AD21" i="42"/>
  <c r="C248" i="42"/>
  <c r="B247" i="42"/>
  <c r="D247" i="42" s="1"/>
  <c r="AD32" i="42"/>
  <c r="AD31" i="42"/>
  <c r="AE30" i="42"/>
  <c r="AD15" i="42"/>
  <c r="AE14" i="42"/>
  <c r="E27" i="41"/>
  <c r="A26" i="41"/>
  <c r="B26" i="41" s="1"/>
  <c r="D26" i="41"/>
  <c r="C25" i="41"/>
  <c r="G911" i="41"/>
  <c r="H910" i="41" s="1"/>
  <c r="EG402" i="3"/>
  <c r="EH403" i="3"/>
  <c r="ET239" i="3" l="1"/>
  <c r="EU130" i="3"/>
  <c r="EU133" i="3" s="1"/>
  <c r="EU134" i="3" s="1"/>
  <c r="EU146" i="3"/>
  <c r="EU131" i="3"/>
  <c r="EZ136" i="3"/>
  <c r="EU123" i="3"/>
  <c r="EU124" i="3" s="1"/>
  <c r="EU119" i="3"/>
  <c r="EU118" i="3"/>
  <c r="EU238" i="3"/>
  <c r="EU62" i="3"/>
  <c r="EU76" i="3"/>
  <c r="EU157" i="3"/>
  <c r="EU103" i="3"/>
  <c r="ET124" i="3"/>
  <c r="ET125" i="3"/>
  <c r="EH402" i="3"/>
  <c r="EI403" i="3"/>
  <c r="C249" i="42"/>
  <c r="B248" i="42"/>
  <c r="D248" i="42" s="1"/>
  <c r="AE32" i="42"/>
  <c r="AF30" i="42"/>
  <c r="AE31" i="42"/>
  <c r="AE15" i="42"/>
  <c r="AF14" i="42"/>
  <c r="AF20" i="42"/>
  <c r="AE22" i="42"/>
  <c r="AE21" i="42"/>
  <c r="G912" i="41"/>
  <c r="H911" i="41" s="1"/>
  <c r="A27" i="41"/>
  <c r="B27" i="41" s="1"/>
  <c r="E28" i="41"/>
  <c r="C26" i="41"/>
  <c r="D27" i="41"/>
  <c r="EI402" i="3" l="1"/>
  <c r="EJ403" i="3"/>
  <c r="O7" i="91"/>
  <c r="O8" i="91" s="1"/>
  <c r="EU339" i="3"/>
  <c r="EU369" i="3"/>
  <c r="EU239" i="3"/>
  <c r="EU313" i="3"/>
  <c r="EU147" i="3"/>
  <c r="EZ151" i="3"/>
  <c r="EZ150" i="3" s="1"/>
  <c r="EZ145" i="3" s="1"/>
  <c r="EZ133" i="3" s="1"/>
  <c r="EZ130" i="3" s="1"/>
  <c r="EZ129" i="3" s="1"/>
  <c r="AG30" i="42"/>
  <c r="AF31" i="42"/>
  <c r="AF32" i="42"/>
  <c r="AF22" i="42"/>
  <c r="AG20" i="42"/>
  <c r="AF21" i="42"/>
  <c r="AG14" i="42"/>
  <c r="AF15" i="42"/>
  <c r="C250" i="42"/>
  <c r="B249" i="42"/>
  <c r="D249" i="42" s="1"/>
  <c r="G913" i="41"/>
  <c r="H912" i="41" s="1"/>
  <c r="A28" i="41"/>
  <c r="B28" i="41" s="1"/>
  <c r="E29" i="41"/>
  <c r="D28" i="41"/>
  <c r="C27" i="41"/>
  <c r="EL403" i="3" l="1"/>
  <c r="EJ402" i="3"/>
  <c r="O15" i="91"/>
  <c r="O21" i="91" s="1"/>
  <c r="FE136" i="3"/>
  <c r="EZ146" i="3"/>
  <c r="EZ126" i="3"/>
  <c r="EZ131" i="3"/>
  <c r="EU318" i="3"/>
  <c r="AH14" i="42"/>
  <c r="AG15" i="42"/>
  <c r="C251" i="42"/>
  <c r="B250" i="42"/>
  <c r="D250" i="42" s="1"/>
  <c r="AG22" i="42"/>
  <c r="AH20" i="42"/>
  <c r="AG21" i="42"/>
  <c r="AG32" i="42"/>
  <c r="AG31" i="42"/>
  <c r="AH30" i="42"/>
  <c r="D29" i="41"/>
  <c r="C28" i="41"/>
  <c r="G914" i="41"/>
  <c r="H913" i="41" s="1"/>
  <c r="E30" i="41"/>
  <c r="A29" i="41"/>
  <c r="B29" i="41" s="1"/>
  <c r="EM403" i="3" l="1"/>
  <c r="EL402" i="3"/>
  <c r="FE151" i="3"/>
  <c r="FE150" i="3" s="1"/>
  <c r="FE145" i="3" s="1"/>
  <c r="FE133" i="3" s="1"/>
  <c r="FE130" i="3" s="1"/>
  <c r="FE129" i="3" s="1"/>
  <c r="EZ147" i="3"/>
  <c r="EZ127" i="3"/>
  <c r="EZ155" i="3"/>
  <c r="EZ156" i="3"/>
  <c r="EZ117" i="3"/>
  <c r="EZ142" i="3"/>
  <c r="AH15" i="42"/>
  <c r="AI14" i="42"/>
  <c r="AH32" i="42"/>
  <c r="AH31" i="42"/>
  <c r="AI30" i="42"/>
  <c r="AH22" i="42"/>
  <c r="AI20" i="42"/>
  <c r="AH21" i="42"/>
  <c r="C252" i="42"/>
  <c r="B251" i="42"/>
  <c r="D251" i="42" s="1"/>
  <c r="D30" i="41"/>
  <c r="C29" i="41"/>
  <c r="E31" i="41"/>
  <c r="A30" i="41"/>
  <c r="B30" i="41" s="1"/>
  <c r="G915" i="41"/>
  <c r="H914" i="41" s="1"/>
  <c r="EM402" i="3" l="1"/>
  <c r="EN403" i="3"/>
  <c r="EZ157" i="3"/>
  <c r="EZ76" i="3"/>
  <c r="EZ128" i="3"/>
  <c r="EZ238" i="3"/>
  <c r="EZ62" i="3"/>
  <c r="EZ103" i="3"/>
  <c r="FE131" i="3"/>
  <c r="FE126" i="3"/>
  <c r="FE146" i="3"/>
  <c r="FE147" i="3" s="1"/>
  <c r="EZ123" i="3"/>
  <c r="EZ124" i="3" s="1"/>
  <c r="EZ118" i="3"/>
  <c r="EZ119" i="3"/>
  <c r="AJ20" i="42"/>
  <c r="AI22" i="42"/>
  <c r="AI21" i="42"/>
  <c r="AI15" i="42"/>
  <c r="AJ14" i="42"/>
  <c r="C253" i="42"/>
  <c r="B252" i="42"/>
  <c r="D252" i="42" s="1"/>
  <c r="AI32" i="42"/>
  <c r="AJ30" i="42"/>
  <c r="AI31" i="42"/>
  <c r="D31" i="41"/>
  <c r="C30" i="41"/>
  <c r="A31" i="41"/>
  <c r="B31" i="41" s="1"/>
  <c r="E32" i="41"/>
  <c r="G916" i="41"/>
  <c r="H915" i="41" s="1"/>
  <c r="EO403" i="3" l="1"/>
  <c r="EN402" i="3"/>
  <c r="FE156" i="3"/>
  <c r="FH156" i="3" s="1"/>
  <c r="FE127" i="3"/>
  <c r="FE142" i="3"/>
  <c r="FE117" i="3"/>
  <c r="FH117" i="3" s="1"/>
  <c r="FE155" i="3"/>
  <c r="P7" i="91"/>
  <c r="EZ313" i="3"/>
  <c r="EZ369" i="3"/>
  <c r="EZ239" i="3"/>
  <c r="EZ339" i="3"/>
  <c r="AJ22" i="42"/>
  <c r="AK20" i="42"/>
  <c r="AJ21" i="42"/>
  <c r="C254" i="42"/>
  <c r="B253" i="42"/>
  <c r="D253" i="42" s="1"/>
  <c r="AK30" i="42"/>
  <c r="AJ32" i="42"/>
  <c r="AJ31" i="42"/>
  <c r="AJ15" i="42"/>
  <c r="AK14" i="42"/>
  <c r="D32" i="41"/>
  <c r="C31" i="41"/>
  <c r="A32" i="41"/>
  <c r="B32" i="41" s="1"/>
  <c r="E33" i="41"/>
  <c r="G917" i="41"/>
  <c r="H916" i="41" s="1"/>
  <c r="EO402" i="3" l="1"/>
  <c r="EQ403" i="3"/>
  <c r="P15" i="91"/>
  <c r="P8" i="91"/>
  <c r="FE119" i="3"/>
  <c r="FE123" i="3"/>
  <c r="FE124" i="3" s="1"/>
  <c r="FE118" i="3"/>
  <c r="EZ318" i="3"/>
  <c r="FE128" i="3"/>
  <c r="FE238" i="3"/>
  <c r="FE76" i="3"/>
  <c r="FE103" i="3"/>
  <c r="FE157" i="3"/>
  <c r="FE62" i="3"/>
  <c r="AL14" i="42"/>
  <c r="AK15" i="42"/>
  <c r="C255" i="42"/>
  <c r="B254" i="42"/>
  <c r="D254" i="42" s="1"/>
  <c r="AK31" i="42"/>
  <c r="AL30" i="42"/>
  <c r="AK32" i="42"/>
  <c r="AK22" i="42"/>
  <c r="AL20" i="42"/>
  <c r="AK21" i="42"/>
  <c r="G918" i="41"/>
  <c r="H917" i="41" s="1"/>
  <c r="D33" i="41"/>
  <c r="C32" i="41"/>
  <c r="E34" i="41"/>
  <c r="A33" i="41"/>
  <c r="B33" i="41" s="1"/>
  <c r="EQ402" i="3" l="1"/>
  <c r="ER403" i="3"/>
  <c r="P21" i="91"/>
  <c r="Q7" i="91"/>
  <c r="FE239" i="3"/>
  <c r="FE313" i="3"/>
  <c r="FE369" i="3"/>
  <c r="FE339" i="3"/>
  <c r="AL32" i="42"/>
  <c r="AL31" i="42"/>
  <c r="AM30" i="42"/>
  <c r="C256" i="42"/>
  <c r="B255" i="42"/>
  <c r="D255" i="42" s="1"/>
  <c r="AL15" i="42"/>
  <c r="AM14" i="42"/>
  <c r="AL22" i="42"/>
  <c r="AM20" i="42"/>
  <c r="AL21" i="42"/>
  <c r="E35" i="41"/>
  <c r="A34" i="41"/>
  <c r="B34" i="41" s="1"/>
  <c r="G919" i="41"/>
  <c r="H918" i="41" s="1"/>
  <c r="D34" i="41"/>
  <c r="C33" i="41"/>
  <c r="ER402" i="3" l="1"/>
  <c r="ES403" i="3"/>
  <c r="Q15" i="91"/>
  <c r="Q21" i="91" s="1"/>
  <c r="R21" i="91" s="1"/>
  <c r="S21" i="91" s="1"/>
  <c r="T21" i="91" s="1"/>
  <c r="U21" i="91" s="1"/>
  <c r="FE318" i="3"/>
  <c r="R7" i="91"/>
  <c r="Q8" i="91"/>
  <c r="AM15" i="42"/>
  <c r="AN14" i="42"/>
  <c r="AM32" i="42"/>
  <c r="AN30" i="42"/>
  <c r="AM31" i="42"/>
  <c r="C257" i="42"/>
  <c r="B256" i="42"/>
  <c r="D256" i="42" s="1"/>
  <c r="AN20" i="42"/>
  <c r="AM22" i="42"/>
  <c r="AM21" i="42"/>
  <c r="D35" i="41"/>
  <c r="C34" i="41"/>
  <c r="A35" i="41"/>
  <c r="B35" i="41" s="1"/>
  <c r="E36" i="41"/>
  <c r="G920" i="41"/>
  <c r="H919" i="41" s="1"/>
  <c r="ET403" i="3" l="1"/>
  <c r="ET402" i="3" s="1"/>
  <c r="ES402" i="3"/>
  <c r="S7" i="91"/>
  <c r="C258" i="42"/>
  <c r="B257" i="42"/>
  <c r="D257" i="42" s="1"/>
  <c r="AO14" i="42"/>
  <c r="AN15" i="42"/>
  <c r="AN22" i="42"/>
  <c r="AO20" i="42"/>
  <c r="AN21" i="42"/>
  <c r="AO30" i="42"/>
  <c r="AN32" i="42"/>
  <c r="AN31" i="42"/>
  <c r="G921" i="41"/>
  <c r="H920" i="41" s="1"/>
  <c r="D36" i="41"/>
  <c r="C35" i="41"/>
  <c r="A36" i="41"/>
  <c r="B36" i="41" s="1"/>
  <c r="E37" i="41"/>
  <c r="R15" i="91" l="1"/>
  <c r="T7" i="91"/>
  <c r="S15" i="91"/>
  <c r="AO22" i="42"/>
  <c r="AP20" i="42"/>
  <c r="AO21" i="42"/>
  <c r="AP14" i="42"/>
  <c r="AO15" i="42"/>
  <c r="AO32" i="42"/>
  <c r="AO31" i="42"/>
  <c r="AP30" i="42"/>
  <c r="C259" i="42"/>
  <c r="B258" i="42"/>
  <c r="D258" i="42" s="1"/>
  <c r="D37" i="41"/>
  <c r="C36" i="41"/>
  <c r="G922" i="41"/>
  <c r="H921" i="41" s="1"/>
  <c r="E38" i="41"/>
  <c r="A37" i="41"/>
  <c r="B37" i="41" s="1"/>
  <c r="U7" i="91" l="1"/>
  <c r="T15" i="91"/>
  <c r="AP15" i="42"/>
  <c r="AQ14" i="42"/>
  <c r="C260" i="42"/>
  <c r="B259" i="42"/>
  <c r="D259" i="42" s="1"/>
  <c r="AP32" i="42"/>
  <c r="AP31" i="42"/>
  <c r="AQ30" i="42"/>
  <c r="AP22" i="42"/>
  <c r="AQ20" i="42"/>
  <c r="AP21" i="42"/>
  <c r="D38" i="41"/>
  <c r="C37" i="41"/>
  <c r="E39" i="41"/>
  <c r="A38" i="41"/>
  <c r="B38" i="41" s="1"/>
  <c r="G923" i="41"/>
  <c r="H922" i="41" s="1"/>
  <c r="V7" i="91" l="1"/>
  <c r="U15" i="91"/>
  <c r="AQ31" i="42"/>
  <c r="AQ32" i="42"/>
  <c r="AR30" i="42"/>
  <c r="C261" i="42"/>
  <c r="B260" i="42"/>
  <c r="D260" i="42" s="1"/>
  <c r="AQ22" i="42"/>
  <c r="AR20" i="42"/>
  <c r="AQ21" i="42"/>
  <c r="AQ15" i="42"/>
  <c r="AR14" i="42"/>
  <c r="D39" i="41"/>
  <c r="C38" i="41"/>
  <c r="A39" i="41"/>
  <c r="B39" i="41" s="1"/>
  <c r="E40" i="41"/>
  <c r="G924" i="41"/>
  <c r="H923" i="41" s="1"/>
  <c r="W7" i="91" l="1"/>
  <c r="V15" i="91"/>
  <c r="AS14" i="42"/>
  <c r="AR15" i="42"/>
  <c r="AR22" i="42"/>
  <c r="AS20" i="42"/>
  <c r="AR21" i="42"/>
  <c r="AV21" i="42" s="1"/>
  <c r="AZ21" i="42" s="1"/>
  <c r="BD21" i="42" s="1"/>
  <c r="BH21" i="42" s="1"/>
  <c r="BL21" i="42" s="1"/>
  <c r="BP21" i="42" s="1"/>
  <c r="C262" i="42"/>
  <c r="B261" i="42"/>
  <c r="D261" i="42" s="1"/>
  <c r="AS30" i="42"/>
  <c r="AR32" i="42"/>
  <c r="AR31" i="42"/>
  <c r="G925" i="41"/>
  <c r="H924" i="41" s="1"/>
  <c r="D40" i="41"/>
  <c r="C39" i="41"/>
  <c r="A40" i="41"/>
  <c r="B40" i="41" s="1"/>
  <c r="E41" i="41"/>
  <c r="X7" i="91" l="1"/>
  <c r="W15" i="91"/>
  <c r="BT21" i="42"/>
  <c r="AS32" i="42"/>
  <c r="AS31" i="42"/>
  <c r="AT30" i="42"/>
  <c r="AT14" i="42"/>
  <c r="AS15" i="42"/>
  <c r="AS22" i="42"/>
  <c r="AT20" i="42"/>
  <c r="AS21" i="42"/>
  <c r="AW21" i="42" s="1"/>
  <c r="BA21" i="42" s="1"/>
  <c r="BE21" i="42" s="1"/>
  <c r="BI21" i="42" s="1"/>
  <c r="BM21" i="42" s="1"/>
  <c r="BQ21" i="42" s="1"/>
  <c r="C263" i="42"/>
  <c r="B262" i="42"/>
  <c r="D262" i="42" s="1"/>
  <c r="D41" i="41"/>
  <c r="C40" i="41"/>
  <c r="G926" i="41"/>
  <c r="H925" i="41" s="1"/>
  <c r="A41" i="41"/>
  <c r="B41" i="41" s="1"/>
  <c r="E42" i="41"/>
  <c r="Y7" i="91" l="1"/>
  <c r="X15" i="91"/>
  <c r="BX21" i="42"/>
  <c r="BU21" i="42"/>
  <c r="AT22" i="42"/>
  <c r="AU20" i="42"/>
  <c r="AT21" i="42"/>
  <c r="AX21" i="42" s="1"/>
  <c r="BB21" i="42" s="1"/>
  <c r="BF21" i="42" s="1"/>
  <c r="BJ21" i="42" s="1"/>
  <c r="BN21" i="42" s="1"/>
  <c r="BR21" i="42" s="1"/>
  <c r="AT15" i="42"/>
  <c r="AU14" i="42"/>
  <c r="AT32" i="42"/>
  <c r="AT31" i="42"/>
  <c r="AU30" i="42"/>
  <c r="C264" i="42"/>
  <c r="B263" i="42"/>
  <c r="D263" i="42" s="1"/>
  <c r="D42" i="41"/>
  <c r="C41" i="41"/>
  <c r="G927" i="41"/>
  <c r="H926" i="41" s="1"/>
  <c r="E43" i="41"/>
  <c r="A42" i="41"/>
  <c r="B42" i="41" s="1"/>
  <c r="Y15" i="91" l="1"/>
  <c r="BY21" i="42"/>
  <c r="BV21" i="42"/>
  <c r="AU32" i="42"/>
  <c r="AV30" i="42"/>
  <c r="AU31" i="42"/>
  <c r="C265" i="42"/>
  <c r="B264" i="42"/>
  <c r="D264" i="42" s="1"/>
  <c r="AU15" i="42"/>
  <c r="AV14" i="42"/>
  <c r="AV20" i="42"/>
  <c r="AU22" i="42"/>
  <c r="AU21" i="42"/>
  <c r="AY21" i="42" s="1"/>
  <c r="BC21" i="42" s="1"/>
  <c r="BG21" i="42" s="1"/>
  <c r="BK21" i="42" s="1"/>
  <c r="BO21" i="42" s="1"/>
  <c r="BS21" i="42" s="1"/>
  <c r="A43" i="41"/>
  <c r="B43" i="41" s="1"/>
  <c r="E44" i="41"/>
  <c r="D43" i="41"/>
  <c r="C42" i="41"/>
  <c r="G928" i="41"/>
  <c r="H927" i="41" s="1"/>
  <c r="BZ21" i="42" l="1"/>
  <c r="BW21" i="42"/>
  <c r="AV22" i="42"/>
  <c r="AW20" i="42"/>
  <c r="AW14" i="42"/>
  <c r="AV15" i="42"/>
  <c r="C266" i="42"/>
  <c r="B265" i="42"/>
  <c r="D265" i="42" s="1"/>
  <c r="AW30" i="42"/>
  <c r="AV31" i="42"/>
  <c r="AV32" i="42"/>
  <c r="G929" i="41"/>
  <c r="H928" i="41" s="1"/>
  <c r="D44" i="41"/>
  <c r="C43" i="41"/>
  <c r="A44" i="41"/>
  <c r="B44" i="41" s="1"/>
  <c r="E45" i="41"/>
  <c r="CA21" i="42" l="1"/>
  <c r="AW32" i="42"/>
  <c r="AW31" i="42"/>
  <c r="AX30" i="42"/>
  <c r="AX14" i="42"/>
  <c r="AW15" i="42"/>
  <c r="C267" i="42"/>
  <c r="B266" i="42"/>
  <c r="D266" i="42" s="1"/>
  <c r="AW22" i="42"/>
  <c r="AX20" i="42"/>
  <c r="G930" i="41"/>
  <c r="H929" i="41" s="1"/>
  <c r="D45" i="41"/>
  <c r="C44" i="41"/>
  <c r="A45" i="41"/>
  <c r="B45" i="41" s="1"/>
  <c r="E46" i="41"/>
  <c r="BO297" i="3"/>
  <c r="BO298" i="3" s="1"/>
  <c r="AX15" i="42" l="1"/>
  <c r="AY14" i="42"/>
  <c r="C268" i="42"/>
  <c r="B267" i="42"/>
  <c r="D267" i="42" s="1"/>
  <c r="AX32" i="42"/>
  <c r="AX31" i="42"/>
  <c r="AY30" i="42"/>
  <c r="AX22" i="42"/>
  <c r="AY20" i="42"/>
  <c r="D46" i="41"/>
  <c r="C45" i="41"/>
  <c r="E47" i="41"/>
  <c r="A46" i="41"/>
  <c r="B46" i="41" s="1"/>
  <c r="G931" i="41"/>
  <c r="H930" i="41" s="1"/>
  <c r="BP297" i="3"/>
  <c r="BP298" i="3" s="1"/>
  <c r="BP299" i="3" s="1"/>
  <c r="AY32" i="42" l="1"/>
  <c r="AZ30" i="42"/>
  <c r="AY31" i="42"/>
  <c r="C269" i="42"/>
  <c r="B268" i="42"/>
  <c r="D268" i="42" s="1"/>
  <c r="AY15" i="42"/>
  <c r="AZ14" i="42"/>
  <c r="AZ20" i="42"/>
  <c r="AY22" i="42"/>
  <c r="A47" i="41"/>
  <c r="B47" i="41" s="1"/>
  <c r="E48" i="41"/>
  <c r="G932" i="41"/>
  <c r="H931" i="41" s="1"/>
  <c r="D47" i="41"/>
  <c r="C46" i="41"/>
  <c r="BQ297" i="3"/>
  <c r="BQ298" i="3" s="1"/>
  <c r="BQ299" i="3" s="1"/>
  <c r="AZ15" i="42" l="1"/>
  <c r="BA14" i="42"/>
  <c r="C270" i="42"/>
  <c r="B269" i="42"/>
  <c r="D269" i="42" s="1"/>
  <c r="AZ22" i="42"/>
  <c r="BA20" i="42"/>
  <c r="BA30" i="42"/>
  <c r="AZ32" i="42"/>
  <c r="AZ31" i="42"/>
  <c r="D48" i="41"/>
  <c r="C47" i="41"/>
  <c r="G933" i="41"/>
  <c r="H932" i="41" s="1"/>
  <c r="A48" i="41"/>
  <c r="B48" i="41" s="1"/>
  <c r="E49" i="41"/>
  <c r="BR297" i="3"/>
  <c r="BR298" i="3" s="1"/>
  <c r="BR299" i="3" s="1"/>
  <c r="BA32" i="42" l="1"/>
  <c r="BA31" i="42"/>
  <c r="BB30" i="42"/>
  <c r="C271" i="42"/>
  <c r="B270" i="42"/>
  <c r="D270" i="42" s="1"/>
  <c r="BA22" i="42"/>
  <c r="BB20" i="42"/>
  <c r="BB14" i="42"/>
  <c r="BA15" i="42"/>
  <c r="G934" i="41"/>
  <c r="H933" i="41" s="1"/>
  <c r="A49" i="41"/>
  <c r="B49" i="41" s="1"/>
  <c r="E50" i="41"/>
  <c r="D49" i="41"/>
  <c r="C48" i="41"/>
  <c r="BS297" i="3"/>
  <c r="BS298" i="3" s="1"/>
  <c r="BB15" i="42" l="1"/>
  <c r="BC14" i="42"/>
  <c r="C272" i="42"/>
  <c r="B271" i="42"/>
  <c r="D271" i="42" s="1"/>
  <c r="BB22" i="42"/>
  <c r="BC20" i="42"/>
  <c r="BB32" i="42"/>
  <c r="BB31" i="42"/>
  <c r="BC30" i="42"/>
  <c r="E51" i="41"/>
  <c r="A50" i="41"/>
  <c r="B50" i="41" s="1"/>
  <c r="D50" i="41"/>
  <c r="C49" i="41"/>
  <c r="G935" i="41"/>
  <c r="H934" i="41" s="1"/>
  <c r="C273" i="42" l="1"/>
  <c r="B272" i="42"/>
  <c r="D272" i="42" s="1"/>
  <c r="BD20" i="42"/>
  <c r="BC22" i="42"/>
  <c r="BC15" i="42"/>
  <c r="BD14" i="42"/>
  <c r="BD30" i="42"/>
  <c r="BC32" i="42"/>
  <c r="BC31" i="42"/>
  <c r="A51" i="41"/>
  <c r="B51" i="41" s="1"/>
  <c r="E52" i="41"/>
  <c r="D51" i="41"/>
  <c r="C50" i="41"/>
  <c r="G936" i="41"/>
  <c r="H935" i="41" s="1"/>
  <c r="BX297" i="3"/>
  <c r="BX298" i="3" s="1"/>
  <c r="BX299" i="3" s="1"/>
  <c r="BT297" i="3"/>
  <c r="BT298" i="3" s="1"/>
  <c r="BT299" i="3" s="1"/>
  <c r="BU297" i="3"/>
  <c r="BD32" i="42" l="1"/>
  <c r="BE30" i="42"/>
  <c r="BD31" i="42"/>
  <c r="C274" i="42"/>
  <c r="B273" i="42"/>
  <c r="D273" i="42" s="1"/>
  <c r="BE14" i="42"/>
  <c r="BD15" i="42"/>
  <c r="BD22" i="42"/>
  <c r="BE20" i="42"/>
  <c r="BU298" i="3"/>
  <c r="BU299" i="3" s="1"/>
  <c r="D52" i="41"/>
  <c r="C51" i="41"/>
  <c r="G937" i="41"/>
  <c r="H936" i="41" s="1"/>
  <c r="A52" i="41"/>
  <c r="B52" i="41" s="1"/>
  <c r="E53" i="41"/>
  <c r="BV297" i="3"/>
  <c r="BV298" i="3" s="1"/>
  <c r="BV299" i="3" s="1"/>
  <c r="C275" i="42" l="1"/>
  <c r="B274" i="42"/>
  <c r="D274" i="42" s="1"/>
  <c r="BE22" i="42"/>
  <c r="BF20" i="42"/>
  <c r="BF14" i="42"/>
  <c r="BE15" i="42"/>
  <c r="BJ15" i="42" s="1"/>
  <c r="BO15" i="42" s="1"/>
  <c r="BT15" i="42" s="1"/>
  <c r="BY15" i="42" s="1"/>
  <c r="CD15" i="42" s="1"/>
  <c r="CI15" i="42" s="1"/>
  <c r="CN15" i="42" s="1"/>
  <c r="CS15" i="42" s="1"/>
  <c r="BE31" i="42"/>
  <c r="BF30" i="42"/>
  <c r="BE32" i="42"/>
  <c r="G938" i="41"/>
  <c r="H937" i="41" s="1"/>
  <c r="A53" i="41"/>
  <c r="B53" i="41" s="1"/>
  <c r="E54" i="41"/>
  <c r="D53" i="41"/>
  <c r="C52" i="41"/>
  <c r="BW297" i="3"/>
  <c r="BW298" i="3" s="1"/>
  <c r="BW299" i="3" s="1"/>
  <c r="BF32" i="42" l="1"/>
  <c r="BF31" i="42"/>
  <c r="BG30" i="42"/>
  <c r="BF15" i="42"/>
  <c r="BG14" i="42"/>
  <c r="C276" i="42"/>
  <c r="B275" i="42"/>
  <c r="D275" i="42" s="1"/>
  <c r="BF22" i="42"/>
  <c r="BG20" i="42"/>
  <c r="E55" i="41"/>
  <c r="A54" i="41"/>
  <c r="B54" i="41" s="1"/>
  <c r="G939" i="41"/>
  <c r="H938" i="41" s="1"/>
  <c r="D54" i="41"/>
  <c r="C53" i="41"/>
  <c r="C277" i="42" l="1"/>
  <c r="B276" i="42"/>
  <c r="D276" i="42" s="1"/>
  <c r="BG31" i="42"/>
  <c r="BG32" i="42"/>
  <c r="BH30" i="42"/>
  <c r="BG22" i="42"/>
  <c r="BH20" i="42"/>
  <c r="BG15" i="42"/>
  <c r="BH14" i="42"/>
  <c r="G940" i="41"/>
  <c r="H939" i="41" s="1"/>
  <c r="D55" i="41"/>
  <c r="C54" i="41"/>
  <c r="A55" i="41"/>
  <c r="B55" i="41" s="1"/>
  <c r="E56" i="41"/>
  <c r="BY297" i="3"/>
  <c r="BY298" i="3" s="1"/>
  <c r="BY299" i="3" s="1"/>
  <c r="BI30" i="42" l="1"/>
  <c r="BH32" i="42"/>
  <c r="BH31" i="42"/>
  <c r="C278" i="42"/>
  <c r="B277" i="42"/>
  <c r="D277" i="42" s="1"/>
  <c r="BH22" i="42"/>
  <c r="BI20" i="42"/>
  <c r="BH15" i="42"/>
  <c r="BI14" i="42"/>
  <c r="D56" i="41"/>
  <c r="C55" i="41"/>
  <c r="A56" i="41"/>
  <c r="B56" i="41" s="1"/>
  <c r="E57" i="41"/>
  <c r="G941" i="41"/>
  <c r="H940" i="41" s="1"/>
  <c r="BZ297" i="3"/>
  <c r="BZ298" i="3" s="1"/>
  <c r="BZ299" i="3" s="1"/>
  <c r="BJ14" i="42" l="1"/>
  <c r="BI15" i="42"/>
  <c r="BI32" i="42"/>
  <c r="BI31" i="42"/>
  <c r="BJ30" i="42"/>
  <c r="C279" i="42"/>
  <c r="B278" i="42"/>
  <c r="D278" i="42" s="1"/>
  <c r="BI22" i="42"/>
  <c r="BJ20" i="42"/>
  <c r="A57" i="41"/>
  <c r="B57" i="41" s="1"/>
  <c r="E58" i="41"/>
  <c r="G942" i="41"/>
  <c r="H941" i="41" s="1"/>
  <c r="D57" i="41"/>
  <c r="C56" i="41"/>
  <c r="CA297" i="3"/>
  <c r="CA298" i="3" s="1"/>
  <c r="CA299" i="3" s="1"/>
  <c r="C280" i="42" l="1"/>
  <c r="B279" i="42"/>
  <c r="D279" i="42" s="1"/>
  <c r="BJ22" i="42"/>
  <c r="BK20" i="42"/>
  <c r="BJ32" i="42"/>
  <c r="BJ31" i="42"/>
  <c r="BK30" i="42"/>
  <c r="BK14" i="42"/>
  <c r="D58" i="41"/>
  <c r="C57" i="41"/>
  <c r="G943" i="41"/>
  <c r="H942" i="41" s="1"/>
  <c r="E59" i="41"/>
  <c r="A58" i="41"/>
  <c r="B58" i="41" s="1"/>
  <c r="CB297" i="3"/>
  <c r="CB298" i="3" s="1"/>
  <c r="CB299" i="3" s="1"/>
  <c r="BK15" i="42" l="1"/>
  <c r="BL14" i="42"/>
  <c r="C281" i="42"/>
  <c r="B280" i="42"/>
  <c r="D280" i="42" s="1"/>
  <c r="BL20" i="42"/>
  <c r="BK22" i="42"/>
  <c r="BL30" i="42"/>
  <c r="BK31" i="42"/>
  <c r="BK32" i="42"/>
  <c r="A59" i="41"/>
  <c r="B59" i="41" s="1"/>
  <c r="E60" i="41"/>
  <c r="G944" i="41"/>
  <c r="H943" i="41" s="1"/>
  <c r="D59" i="41"/>
  <c r="C58" i="41"/>
  <c r="CC297" i="3"/>
  <c r="CC298" i="3" s="1"/>
  <c r="CC299" i="3" s="1"/>
  <c r="BM30" i="42" l="1"/>
  <c r="BL31" i="42"/>
  <c r="BL32" i="42"/>
  <c r="C282" i="42"/>
  <c r="B281" i="42"/>
  <c r="D281" i="42" s="1"/>
  <c r="BM14" i="42"/>
  <c r="BL15" i="42"/>
  <c r="BL22" i="42"/>
  <c r="BM20" i="42"/>
  <c r="D60" i="41"/>
  <c r="C59" i="41"/>
  <c r="G945" i="41"/>
  <c r="H944" i="41" s="1"/>
  <c r="A60" i="41"/>
  <c r="B60" i="41" s="1"/>
  <c r="E61" i="41"/>
  <c r="CD297" i="3"/>
  <c r="CD298" i="3" s="1"/>
  <c r="CD299" i="3" s="1"/>
  <c r="C283" i="42" l="1"/>
  <c r="B282" i="42"/>
  <c r="D282" i="42" s="1"/>
  <c r="BM32" i="42"/>
  <c r="BM31" i="42"/>
  <c r="BN30" i="42"/>
  <c r="BN14" i="42"/>
  <c r="BM15" i="42"/>
  <c r="BM22" i="42"/>
  <c r="BN20" i="42"/>
  <c r="D61" i="41"/>
  <c r="C60" i="41"/>
  <c r="G946" i="41"/>
  <c r="H945" i="41" s="1"/>
  <c r="A61" i="41"/>
  <c r="B61" i="41" s="1"/>
  <c r="E62" i="41"/>
  <c r="CE297" i="3"/>
  <c r="CE298" i="3" s="1"/>
  <c r="CE299" i="3" s="1"/>
  <c r="BN32" i="42" l="1"/>
  <c r="BN31" i="42"/>
  <c r="BO30" i="42"/>
  <c r="B283" i="42"/>
  <c r="D283" i="42" s="1"/>
  <c r="C284" i="42"/>
  <c r="BN15" i="42"/>
  <c r="BO14" i="42"/>
  <c r="BN22" i="42"/>
  <c r="BO20" i="42"/>
  <c r="D62" i="41"/>
  <c r="C61" i="41"/>
  <c r="G947" i="41"/>
  <c r="H946" i="41" s="1"/>
  <c r="E63" i="41"/>
  <c r="A62" i="41"/>
  <c r="B62" i="41" s="1"/>
  <c r="CF297" i="3"/>
  <c r="CF298" i="3" s="1"/>
  <c r="CF299" i="3" s="1"/>
  <c r="BO22" i="42" l="1"/>
  <c r="BP20" i="42"/>
  <c r="C285" i="42"/>
  <c r="B284" i="42"/>
  <c r="D284" i="42" s="1"/>
  <c r="BP14" i="42"/>
  <c r="BO32" i="42"/>
  <c r="BP30" i="42"/>
  <c r="BO31" i="42"/>
  <c r="G948" i="41"/>
  <c r="H947" i="41" s="1"/>
  <c r="A63" i="41"/>
  <c r="B63" i="41" s="1"/>
  <c r="E64" i="41"/>
  <c r="D63" i="41"/>
  <c r="C62" i="41"/>
  <c r="CG297" i="3"/>
  <c r="CG298" i="3" s="1"/>
  <c r="CG299" i="3" s="1"/>
  <c r="BQ20" i="42" l="1"/>
  <c r="BP22" i="42"/>
  <c r="C286" i="42"/>
  <c r="B285" i="42"/>
  <c r="D285" i="42" s="1"/>
  <c r="BP15" i="42"/>
  <c r="BQ14" i="42"/>
  <c r="BQ30" i="42"/>
  <c r="BP32" i="42"/>
  <c r="BP31" i="42"/>
  <c r="D64" i="41"/>
  <c r="C63" i="41"/>
  <c r="G949" i="41"/>
  <c r="H948" i="41" s="1"/>
  <c r="A64" i="41"/>
  <c r="B64" i="41" s="1"/>
  <c r="E65" i="41"/>
  <c r="CH297" i="3"/>
  <c r="CH298" i="3" s="1"/>
  <c r="CH299" i="3" s="1"/>
  <c r="BR20" i="42" l="1"/>
  <c r="BQ22" i="42"/>
  <c r="BR14" i="42"/>
  <c r="BQ15" i="42"/>
  <c r="C287" i="42"/>
  <c r="B286" i="42"/>
  <c r="D286" i="42" s="1"/>
  <c r="BQ31" i="42"/>
  <c r="BR30" i="42"/>
  <c r="BQ32" i="42"/>
  <c r="G950" i="41"/>
  <c r="H949" i="41" s="1"/>
  <c r="D65" i="41"/>
  <c r="C64" i="41"/>
  <c r="A65" i="41"/>
  <c r="B65" i="41" s="1"/>
  <c r="E66" i="41"/>
  <c r="CI297" i="3"/>
  <c r="CI298" i="3" s="1"/>
  <c r="CI299" i="3" s="1"/>
  <c r="BS20" i="42" l="1"/>
  <c r="BR22" i="42"/>
  <c r="C288" i="42"/>
  <c r="B287" i="42"/>
  <c r="D287" i="42" s="1"/>
  <c r="BR32" i="42"/>
  <c r="BR31" i="42"/>
  <c r="BS30" i="42"/>
  <c r="BR15" i="42"/>
  <c r="BS14" i="42"/>
  <c r="D66" i="41"/>
  <c r="C65" i="41"/>
  <c r="G951" i="41"/>
  <c r="H950" i="41" s="1"/>
  <c r="E67" i="41"/>
  <c r="A66" i="41"/>
  <c r="B66" i="41" s="1"/>
  <c r="CJ297" i="3"/>
  <c r="CJ298" i="3" s="1"/>
  <c r="CJ299" i="3" s="1"/>
  <c r="BT20" i="42" l="1"/>
  <c r="BS22" i="42"/>
  <c r="BS32" i="42"/>
  <c r="BT30" i="42"/>
  <c r="BS31" i="42"/>
  <c r="C289" i="42"/>
  <c r="B288" i="42"/>
  <c r="D288" i="42" s="1"/>
  <c r="BS15" i="42"/>
  <c r="BT14" i="42"/>
  <c r="D67" i="41"/>
  <c r="C66" i="41"/>
  <c r="G952" i="41"/>
  <c r="H951" i="41" s="1"/>
  <c r="A67" i="41"/>
  <c r="B67" i="41" s="1"/>
  <c r="E68" i="41"/>
  <c r="CK297" i="3"/>
  <c r="CK298" i="3" s="1"/>
  <c r="CK299" i="3" s="1"/>
  <c r="BU20" i="42" l="1"/>
  <c r="BT22" i="42"/>
  <c r="BU14" i="42"/>
  <c r="C290" i="42"/>
  <c r="B289" i="42"/>
  <c r="D289" i="42" s="1"/>
  <c r="BT32" i="42"/>
  <c r="BU30" i="42"/>
  <c r="BT31" i="42"/>
  <c r="G953" i="41"/>
  <c r="H952" i="41" s="1"/>
  <c r="D68" i="41"/>
  <c r="C67" i="41"/>
  <c r="A68" i="41"/>
  <c r="B68" i="41" s="1"/>
  <c r="E69" i="41"/>
  <c r="CL297" i="3"/>
  <c r="CL298" i="3" s="1"/>
  <c r="CL299" i="3" s="1"/>
  <c r="BV20" i="42" l="1"/>
  <c r="BU22" i="42"/>
  <c r="C291" i="42"/>
  <c r="B290" i="42"/>
  <c r="D290" i="42" s="1"/>
  <c r="BU32" i="42"/>
  <c r="BU31" i="42"/>
  <c r="BV30" i="42"/>
  <c r="BV14" i="42"/>
  <c r="BU15" i="42"/>
  <c r="D69" i="41"/>
  <c r="C68" i="41"/>
  <c r="A69" i="41"/>
  <c r="B69" i="41" s="1"/>
  <c r="E70" i="41"/>
  <c r="G954" i="41"/>
  <c r="H953" i="41" s="1"/>
  <c r="CM297" i="3"/>
  <c r="CM298" i="3" s="1"/>
  <c r="CM299" i="3" s="1"/>
  <c r="BW20" i="42" l="1"/>
  <c r="BV22" i="42"/>
  <c r="C292" i="42"/>
  <c r="B291" i="42"/>
  <c r="D291" i="42" s="1"/>
  <c r="BV15" i="42"/>
  <c r="BW14" i="42"/>
  <c r="BV32" i="42"/>
  <c r="BV31" i="42"/>
  <c r="BW30" i="42"/>
  <c r="G955" i="41"/>
  <c r="H954" i="41" s="1"/>
  <c r="D70" i="41"/>
  <c r="C69" i="41"/>
  <c r="E71" i="41"/>
  <c r="A70" i="41"/>
  <c r="B70" i="41" s="1"/>
  <c r="CN297" i="3"/>
  <c r="CN298" i="3" s="1"/>
  <c r="CN299" i="3" s="1"/>
  <c r="BX20" i="42" l="1"/>
  <c r="BW22" i="42"/>
  <c r="BW15" i="42"/>
  <c r="BX14" i="42"/>
  <c r="B292" i="42"/>
  <c r="D292" i="42" s="1"/>
  <c r="C293" i="42"/>
  <c r="BW32" i="42"/>
  <c r="BW31" i="42"/>
  <c r="BX30" i="42"/>
  <c r="A71" i="41"/>
  <c r="B71" i="41" s="1"/>
  <c r="E72" i="41"/>
  <c r="D71" i="41"/>
  <c r="C70" i="41"/>
  <c r="G956" i="41"/>
  <c r="H955" i="41" s="1"/>
  <c r="CO297" i="3"/>
  <c r="CO298" i="3" s="1"/>
  <c r="CO299" i="3" s="1"/>
  <c r="BY20" i="42" l="1"/>
  <c r="BX22" i="42"/>
  <c r="BX15" i="42"/>
  <c r="BY14" i="42"/>
  <c r="B293" i="42"/>
  <c r="D293" i="42" s="1"/>
  <c r="C294" i="42"/>
  <c r="BY30" i="42"/>
  <c r="BX32" i="42"/>
  <c r="BX31" i="42"/>
  <c r="G957" i="41"/>
  <c r="H956" i="41" s="1"/>
  <c r="D72" i="41"/>
  <c r="C71" i="41"/>
  <c r="A72" i="41"/>
  <c r="B72" i="41" s="1"/>
  <c r="E73" i="41"/>
  <c r="CP297" i="3"/>
  <c r="CP298" i="3" s="1"/>
  <c r="CP299" i="3" s="1"/>
  <c r="BZ20" i="42" l="1"/>
  <c r="BY22" i="42"/>
  <c r="B294" i="42"/>
  <c r="D294" i="42" s="1"/>
  <c r="C295" i="42"/>
  <c r="BY32" i="42"/>
  <c r="BY31" i="42"/>
  <c r="BZ30" i="42"/>
  <c r="BZ14" i="42"/>
  <c r="D73" i="41"/>
  <c r="C72" i="41"/>
  <c r="A73" i="41"/>
  <c r="B73" i="41" s="1"/>
  <c r="E74" i="41"/>
  <c r="G958" i="41"/>
  <c r="H957" i="41" s="1"/>
  <c r="CQ297" i="3"/>
  <c r="CQ298" i="3" s="1"/>
  <c r="CQ299" i="3" s="1"/>
  <c r="CA20" i="42" l="1"/>
  <c r="CA22" i="42" s="1"/>
  <c r="BZ22" i="42"/>
  <c r="BZ32" i="42"/>
  <c r="BZ31" i="42"/>
  <c r="CA30" i="42"/>
  <c r="BZ15" i="42"/>
  <c r="CA14" i="42"/>
  <c r="B295" i="42"/>
  <c r="D295" i="42" s="1"/>
  <c r="C296" i="42"/>
  <c r="G959" i="41"/>
  <c r="H958" i="41" s="1"/>
  <c r="F960" i="41"/>
  <c r="D74" i="41"/>
  <c r="C73" i="41"/>
  <c r="E75" i="41"/>
  <c r="A74" i="41"/>
  <c r="B74" i="41" s="1"/>
  <c r="CR297" i="3"/>
  <c r="CR298" i="3" s="1"/>
  <c r="CR299" i="3" s="1"/>
  <c r="B296" i="42" l="1"/>
  <c r="D296" i="42" s="1"/>
  <c r="C297" i="42"/>
  <c r="CB30" i="42"/>
  <c r="CA31" i="42"/>
  <c r="CA32" i="42"/>
  <c r="CA15" i="42"/>
  <c r="CB14" i="42"/>
  <c r="A75" i="41"/>
  <c r="B75" i="41" s="1"/>
  <c r="E76" i="41"/>
  <c r="D75" i="41"/>
  <c r="C74" i="41"/>
  <c r="F961" i="41"/>
  <c r="G960" i="41"/>
  <c r="H959" i="41" s="1"/>
  <c r="CS297" i="3"/>
  <c r="CS298" i="3" s="1"/>
  <c r="CS299" i="3" s="1"/>
  <c r="CC30" i="42" l="1"/>
  <c r="CB31" i="42"/>
  <c r="CB32" i="42"/>
  <c r="CC14" i="42"/>
  <c r="CB15" i="42"/>
  <c r="B297" i="42"/>
  <c r="D297" i="42" s="1"/>
  <c r="C298" i="42"/>
  <c r="G961" i="41"/>
  <c r="H960" i="41" s="1"/>
  <c r="F962" i="41"/>
  <c r="D76" i="41"/>
  <c r="C75" i="41"/>
  <c r="A76" i="41"/>
  <c r="B76" i="41" s="1"/>
  <c r="E77" i="41"/>
  <c r="CT297" i="3"/>
  <c r="CT298" i="3" s="1"/>
  <c r="CT299" i="3" s="1"/>
  <c r="CD14" i="42" l="1"/>
  <c r="CE14" i="42" s="1"/>
  <c r="CC15" i="42"/>
  <c r="CC32" i="42"/>
  <c r="EJ297" i="3" s="1"/>
  <c r="CC31" i="42"/>
  <c r="CD30" i="42"/>
  <c r="CE30" i="42" s="1"/>
  <c r="B298" i="42"/>
  <c r="D298" i="42" s="1"/>
  <c r="C299" i="42"/>
  <c r="D77" i="41"/>
  <c r="C76" i="41"/>
  <c r="A77" i="41"/>
  <c r="B77" i="41" s="1"/>
  <c r="E78" i="41"/>
  <c r="F963" i="41"/>
  <c r="G962" i="41"/>
  <c r="H961" i="41" s="1"/>
  <c r="CU297" i="3"/>
  <c r="CU298" i="3" s="1"/>
  <c r="CU299" i="3" s="1"/>
  <c r="CF30" i="42" l="1"/>
  <c r="CE31" i="42"/>
  <c r="CE32" i="42"/>
  <c r="EL297" i="3" s="1"/>
  <c r="CF14" i="42"/>
  <c r="CE15" i="42"/>
  <c r="EK297" i="3"/>
  <c r="B299" i="42"/>
  <c r="D299" i="42" s="1"/>
  <c r="C300" i="42"/>
  <c r="CD32" i="42"/>
  <c r="CD31" i="42"/>
  <c r="E79" i="41"/>
  <c r="A78" i="41"/>
  <c r="B78" i="41" s="1"/>
  <c r="F964" i="41"/>
  <c r="G963" i="41"/>
  <c r="H962" i="41" s="1"/>
  <c r="D78" i="41"/>
  <c r="C77" i="41"/>
  <c r="CV297" i="3"/>
  <c r="CV298" i="3" s="1"/>
  <c r="CV299" i="3" s="1"/>
  <c r="EL298" i="3" l="1"/>
  <c r="EL299" i="3" s="1"/>
  <c r="CG14" i="42"/>
  <c r="CF15" i="42"/>
  <c r="CG30" i="42"/>
  <c r="CF31" i="42"/>
  <c r="CF32" i="42"/>
  <c r="B300" i="42"/>
  <c r="D300" i="42" s="1"/>
  <c r="C301" i="42"/>
  <c r="D79" i="41"/>
  <c r="C78" i="41"/>
  <c r="A79" i="41"/>
  <c r="B79" i="41" s="1"/>
  <c r="E80" i="41"/>
  <c r="F965" i="41"/>
  <c r="G964" i="41"/>
  <c r="H963" i="41" s="1"/>
  <c r="CW297" i="3"/>
  <c r="CW298" i="3" s="1"/>
  <c r="CW299" i="3" s="1"/>
  <c r="EM297" i="3" l="1"/>
  <c r="EM298" i="3" s="1"/>
  <c r="EM299" i="3" s="1"/>
  <c r="CH30" i="42"/>
  <c r="CG31" i="42"/>
  <c r="CG32" i="42"/>
  <c r="EN297" i="3" s="1"/>
  <c r="CH14" i="42"/>
  <c r="CG15" i="42"/>
  <c r="B301" i="42"/>
  <c r="D301" i="42" s="1"/>
  <c r="C302" i="42"/>
  <c r="F966" i="41"/>
  <c r="G965" i="41"/>
  <c r="H964" i="41" s="1"/>
  <c r="D80" i="41"/>
  <c r="C79" i="41"/>
  <c r="A80" i="41"/>
  <c r="B80" i="41" s="1"/>
  <c r="E81" i="41"/>
  <c r="CX297" i="3"/>
  <c r="CX298" i="3" s="1"/>
  <c r="CX299" i="3" s="1"/>
  <c r="EN298" i="3" l="1"/>
  <c r="EN299" i="3" s="1"/>
  <c r="CI14" i="42"/>
  <c r="CJ14" i="42" s="1"/>
  <c r="CH15" i="42"/>
  <c r="CI30" i="42"/>
  <c r="CH31" i="42"/>
  <c r="CH32" i="42"/>
  <c r="EO297" i="3" s="1"/>
  <c r="B302" i="42"/>
  <c r="D302" i="42" s="1"/>
  <c r="C303" i="42"/>
  <c r="D81" i="41"/>
  <c r="C80" i="41"/>
  <c r="A81" i="41"/>
  <c r="B81" i="41" s="1"/>
  <c r="E82" i="41"/>
  <c r="F967" i="41"/>
  <c r="G966" i="41"/>
  <c r="H965" i="41" s="1"/>
  <c r="CY297" i="3"/>
  <c r="CY298" i="3" s="1"/>
  <c r="CY299" i="3" s="1"/>
  <c r="EO298" i="3" l="1"/>
  <c r="EO299" i="3" s="1"/>
  <c r="EP297" i="3"/>
  <c r="EP298" i="3" s="1"/>
  <c r="EP299" i="3" s="1"/>
  <c r="CJ30" i="42"/>
  <c r="CI31" i="42"/>
  <c r="CI32" i="42"/>
  <c r="CK14" i="42"/>
  <c r="CJ15" i="42"/>
  <c r="B303" i="42"/>
  <c r="D303" i="42" s="1"/>
  <c r="C304" i="42"/>
  <c r="E83" i="41"/>
  <c r="A82" i="41"/>
  <c r="B82" i="41" s="1"/>
  <c r="F968" i="41"/>
  <c r="G967" i="41"/>
  <c r="H966" i="41" s="1"/>
  <c r="D82" i="41"/>
  <c r="C81" i="41"/>
  <c r="CZ297" i="3"/>
  <c r="CZ298" i="3" s="1"/>
  <c r="CZ299" i="3" s="1"/>
  <c r="CL14" i="42" l="1"/>
  <c r="CK15" i="42"/>
  <c r="CK30" i="42"/>
  <c r="CJ31" i="42"/>
  <c r="CJ32" i="42"/>
  <c r="EQ297" i="3" s="1"/>
  <c r="B304" i="42"/>
  <c r="D304" i="42" s="1"/>
  <c r="C305" i="42"/>
  <c r="D83" i="41"/>
  <c r="C82" i="41"/>
  <c r="A83" i="41"/>
  <c r="B83" i="41" s="1"/>
  <c r="E84" i="41"/>
  <c r="F969" i="41"/>
  <c r="G968" i="41"/>
  <c r="H967" i="41" s="1"/>
  <c r="DA297" i="3"/>
  <c r="DA298" i="3" s="1"/>
  <c r="DA299" i="3" s="1"/>
  <c r="EQ298" i="3" l="1"/>
  <c r="EQ299" i="3" s="1"/>
  <c r="CL30" i="42"/>
  <c r="CK31" i="42"/>
  <c r="CK32" i="42"/>
  <c r="ER297" i="3" s="1"/>
  <c r="ER298" i="3" s="1"/>
  <c r="ER299" i="3" s="1"/>
  <c r="CM14" i="42"/>
  <c r="CL15" i="42"/>
  <c r="B305" i="42"/>
  <c r="D305" i="42" s="1"/>
  <c r="C306" i="42"/>
  <c r="F970" i="41"/>
  <c r="G969" i="41"/>
  <c r="H968" i="41" s="1"/>
  <c r="D84" i="41"/>
  <c r="C83" i="41"/>
  <c r="A84" i="41"/>
  <c r="B84" i="41" s="1"/>
  <c r="E85" i="41"/>
  <c r="DB297" i="3"/>
  <c r="DB298" i="3" s="1"/>
  <c r="DB299" i="3" s="1"/>
  <c r="CN14" i="42" l="1"/>
  <c r="CO14" i="42" s="1"/>
  <c r="CM15" i="42"/>
  <c r="CM30" i="42"/>
  <c r="CL31" i="42"/>
  <c r="CL32" i="42"/>
  <c r="B306" i="42"/>
  <c r="D306" i="42" s="1"/>
  <c r="C307" i="42"/>
  <c r="F971" i="41"/>
  <c r="G970" i="41"/>
  <c r="H969" i="41" s="1"/>
  <c r="D85" i="41"/>
  <c r="C84" i="41"/>
  <c r="A85" i="41"/>
  <c r="B85" i="41" s="1"/>
  <c r="E86" i="41"/>
  <c r="DC297" i="3"/>
  <c r="DC298" i="3" s="1"/>
  <c r="DC299" i="3" s="1"/>
  <c r="ES297" i="3" l="1"/>
  <c r="ES294" i="3" s="1"/>
  <c r="CN30" i="42"/>
  <c r="CM31" i="42"/>
  <c r="CM32" i="42"/>
  <c r="CP14" i="42"/>
  <c r="CO15" i="42"/>
  <c r="B307" i="42"/>
  <c r="D307" i="42" s="1"/>
  <c r="C308" i="42"/>
  <c r="D86" i="41"/>
  <c r="C85" i="41"/>
  <c r="E87" i="41"/>
  <c r="A86" i="41"/>
  <c r="B86" i="41" s="1"/>
  <c r="F972" i="41"/>
  <c r="G971" i="41"/>
  <c r="H970" i="41" s="1"/>
  <c r="DD297" i="3"/>
  <c r="DD298" i="3" s="1"/>
  <c r="DD299" i="3" s="1"/>
  <c r="ET297" i="3" l="1"/>
  <c r="ET294" i="3" s="1"/>
  <c r="EU294" i="3" s="1"/>
  <c r="CQ14" i="42"/>
  <c r="CP15" i="42"/>
  <c r="CO30" i="42"/>
  <c r="CN31" i="42"/>
  <c r="CN32" i="42"/>
  <c r="B308" i="42"/>
  <c r="D308" i="42" s="1"/>
  <c r="C309" i="42"/>
  <c r="A87" i="41"/>
  <c r="B87" i="41" s="1"/>
  <c r="E88" i="41"/>
  <c r="F973" i="41"/>
  <c r="G972" i="41"/>
  <c r="H971" i="41" s="1"/>
  <c r="D87" i="41"/>
  <c r="C86" i="41"/>
  <c r="DE297" i="3"/>
  <c r="DE298" i="3" s="1"/>
  <c r="DE299" i="3" s="1"/>
  <c r="EU297" i="3" l="1"/>
  <c r="EV297" i="3" s="1"/>
  <c r="EV294" i="3" s="1"/>
  <c r="EV321" i="3" s="1"/>
  <c r="CP30" i="42"/>
  <c r="CO31" i="42"/>
  <c r="CO32" i="42"/>
  <c r="CR14" i="42"/>
  <c r="CQ15" i="42"/>
  <c r="B309" i="42"/>
  <c r="D309" i="42" s="1"/>
  <c r="C310" i="42"/>
  <c r="F974" i="41"/>
  <c r="G973" i="41"/>
  <c r="H972" i="41" s="1"/>
  <c r="A88" i="41"/>
  <c r="B88" i="41" s="1"/>
  <c r="E89" i="41"/>
  <c r="D88" i="41"/>
  <c r="C87" i="41"/>
  <c r="DF297" i="3"/>
  <c r="DF298" i="3" s="1"/>
  <c r="DF299" i="3" s="1"/>
  <c r="EV295" i="3" l="1"/>
  <c r="EW297" i="3"/>
  <c r="CS14" i="42"/>
  <c r="CR15" i="42"/>
  <c r="CQ30" i="42"/>
  <c r="CP31" i="42"/>
  <c r="CP32" i="42"/>
  <c r="B310" i="42"/>
  <c r="D310" i="42" s="1"/>
  <c r="C311" i="42"/>
  <c r="D89" i="41"/>
  <c r="C88" i="41"/>
  <c r="F975" i="41"/>
  <c r="G974" i="41"/>
  <c r="H973" i="41" s="1"/>
  <c r="A89" i="41"/>
  <c r="B89" i="41" s="1"/>
  <c r="E90" i="41"/>
  <c r="DG297" i="3"/>
  <c r="DG298" i="3" s="1"/>
  <c r="DG299" i="3" s="1"/>
  <c r="EX297" i="3" l="1"/>
  <c r="EX294" i="3" s="1"/>
  <c r="EX321" i="3" s="1"/>
  <c r="EW294" i="3"/>
  <c r="EW321" i="3" s="1"/>
  <c r="CR30" i="42"/>
  <c r="CQ31" i="42"/>
  <c r="CQ32" i="42"/>
  <c r="B311" i="42"/>
  <c r="D311" i="42" s="1"/>
  <c r="C312" i="42"/>
  <c r="D90" i="41"/>
  <c r="C89" i="41"/>
  <c r="F976" i="41"/>
  <c r="G975" i="41"/>
  <c r="H974" i="41" s="1"/>
  <c r="E91" i="41"/>
  <c r="A90" i="41"/>
  <c r="B90" i="41" s="1"/>
  <c r="DH297" i="3"/>
  <c r="DH298" i="3" s="1"/>
  <c r="DH299" i="3" s="1"/>
  <c r="EX295" i="3" l="1"/>
  <c r="EX296" i="3"/>
  <c r="EW295" i="3"/>
  <c r="EY297" i="3"/>
  <c r="CS30" i="42"/>
  <c r="CR31" i="42"/>
  <c r="CR32" i="42"/>
  <c r="B312" i="42"/>
  <c r="D312" i="42" s="1"/>
  <c r="C313" i="42"/>
  <c r="A91" i="41"/>
  <c r="B91" i="41" s="1"/>
  <c r="E92" i="41"/>
  <c r="D91" i="41"/>
  <c r="C90" i="41"/>
  <c r="F977" i="41"/>
  <c r="G976" i="41"/>
  <c r="H975" i="41" s="1"/>
  <c r="DI297" i="3"/>
  <c r="DI298" i="3" s="1"/>
  <c r="DI299" i="3" s="1"/>
  <c r="EY294" i="3" l="1"/>
  <c r="EY296" i="3" s="1"/>
  <c r="EZ297" i="3"/>
  <c r="FE297" i="3" s="1"/>
  <c r="FE294" i="3" s="1"/>
  <c r="CS31" i="42"/>
  <c r="CS32" i="42"/>
  <c r="B313" i="42"/>
  <c r="D313" i="42" s="1"/>
  <c r="C314" i="42"/>
  <c r="F978" i="41"/>
  <c r="G977" i="41"/>
  <c r="H976" i="41" s="1"/>
  <c r="D92" i="41"/>
  <c r="C91" i="41"/>
  <c r="A92" i="41"/>
  <c r="B92" i="41" s="1"/>
  <c r="E93" i="41"/>
  <c r="DJ297" i="3"/>
  <c r="DJ298" i="3" s="1"/>
  <c r="DJ299" i="3" s="1"/>
  <c r="EY295" i="3" l="1"/>
  <c r="EZ294" i="3"/>
  <c r="EZ296" i="3" s="1"/>
  <c r="EY321" i="3"/>
  <c r="EZ321" i="3" s="1"/>
  <c r="B314" i="42"/>
  <c r="D314" i="42" s="1"/>
  <c r="C315" i="42"/>
  <c r="F979" i="41"/>
  <c r="G978" i="41"/>
  <c r="H977" i="41" s="1"/>
  <c r="D93" i="41"/>
  <c r="C92" i="41"/>
  <c r="A93" i="41"/>
  <c r="B93" i="41" s="1"/>
  <c r="E94" i="41"/>
  <c r="DK297" i="3"/>
  <c r="B315" i="42" l="1"/>
  <c r="D315" i="42" s="1"/>
  <c r="C316" i="42"/>
  <c r="F980" i="41"/>
  <c r="G979" i="41"/>
  <c r="H978" i="41" s="1"/>
  <c r="D94" i="41"/>
  <c r="C93" i="41"/>
  <c r="E95" i="41"/>
  <c r="A94" i="41"/>
  <c r="B94" i="41" s="1"/>
  <c r="DK298" i="3"/>
  <c r="DK299" i="3" s="1"/>
  <c r="DL297" i="3"/>
  <c r="DL298" i="3" s="1"/>
  <c r="DL299" i="3" s="1"/>
  <c r="C317" i="42" l="1"/>
  <c r="B316" i="42"/>
  <c r="D316" i="42" s="1"/>
  <c r="A95" i="41"/>
  <c r="B95" i="41" s="1"/>
  <c r="E96" i="41"/>
  <c r="F981" i="41"/>
  <c r="G980" i="41"/>
  <c r="H979" i="41" s="1"/>
  <c r="D95" i="41"/>
  <c r="C94" i="41"/>
  <c r="DM297" i="3"/>
  <c r="DM298" i="3" s="1"/>
  <c r="DM299" i="3" s="1"/>
  <c r="B317" i="42" l="1"/>
  <c r="D317" i="42" s="1"/>
  <c r="C318" i="42"/>
  <c r="D96" i="41"/>
  <c r="C95" i="41"/>
  <c r="F982" i="41"/>
  <c r="G981" i="41"/>
  <c r="H980" i="41" s="1"/>
  <c r="A96" i="41"/>
  <c r="B96" i="41" s="1"/>
  <c r="E97" i="41"/>
  <c r="DN297" i="3"/>
  <c r="DN298" i="3" s="1"/>
  <c r="DN299" i="3" s="1"/>
  <c r="C319" i="42" l="1"/>
  <c r="B318" i="42"/>
  <c r="D318" i="42" s="1"/>
  <c r="D97" i="41"/>
  <c r="C96" i="41"/>
  <c r="F983" i="41"/>
  <c r="G982" i="41"/>
  <c r="H981" i="41" s="1"/>
  <c r="A97" i="41"/>
  <c r="B97" i="41" s="1"/>
  <c r="E98" i="41"/>
  <c r="DO297" i="3"/>
  <c r="DO298" i="3" s="1"/>
  <c r="DO299" i="3" s="1"/>
  <c r="B319" i="42" l="1"/>
  <c r="D319" i="42" s="1"/>
  <c r="C320" i="42"/>
  <c r="D98" i="41"/>
  <c r="C97" i="41"/>
  <c r="F984" i="41"/>
  <c r="G983" i="41"/>
  <c r="H982" i="41" s="1"/>
  <c r="E99" i="41"/>
  <c r="A98" i="41"/>
  <c r="B98" i="41" s="1"/>
  <c r="DP297" i="3"/>
  <c r="C321" i="42" l="1"/>
  <c r="B320" i="42"/>
  <c r="D320" i="42" s="1"/>
  <c r="A99" i="41"/>
  <c r="B99" i="41" s="1"/>
  <c r="E100" i="41"/>
  <c r="D99" i="41"/>
  <c r="C98" i="41"/>
  <c r="F985" i="41"/>
  <c r="G984" i="41"/>
  <c r="H983" i="41" s="1"/>
  <c r="DQ297" i="3"/>
  <c r="DQ298" i="3" s="1"/>
  <c r="DQ299" i="3" s="1"/>
  <c r="DP298" i="3"/>
  <c r="DP299" i="3" s="1"/>
  <c r="C322" i="42" l="1"/>
  <c r="B321" i="42"/>
  <c r="D321" i="42" s="1"/>
  <c r="F986" i="41"/>
  <c r="G985" i="41"/>
  <c r="H984" i="41" s="1"/>
  <c r="D100" i="41"/>
  <c r="C99" i="41"/>
  <c r="A100" i="41"/>
  <c r="B100" i="41" s="1"/>
  <c r="E101" i="41"/>
  <c r="DR297" i="3"/>
  <c r="DR298" i="3" s="1"/>
  <c r="DR299" i="3" s="1"/>
  <c r="B322" i="42" l="1"/>
  <c r="D322" i="42" s="1"/>
  <c r="C323" i="42"/>
  <c r="D101" i="41"/>
  <c r="C100" i="41"/>
  <c r="F987" i="41"/>
  <c r="G986" i="41"/>
  <c r="H985" i="41" s="1"/>
  <c r="A101" i="41"/>
  <c r="B101" i="41" s="1"/>
  <c r="E102" i="41"/>
  <c r="DS297" i="3"/>
  <c r="DS298" i="3" s="1"/>
  <c r="DS299" i="3" s="1"/>
  <c r="C324" i="42" l="1"/>
  <c r="B323" i="42"/>
  <c r="D323" i="42" s="1"/>
  <c r="D102" i="41"/>
  <c r="C101" i="41"/>
  <c r="F988" i="41"/>
  <c r="G987" i="41"/>
  <c r="H986" i="41" s="1"/>
  <c r="E103" i="41"/>
  <c r="A102" i="41"/>
  <c r="B102" i="41" s="1"/>
  <c r="DT297" i="3"/>
  <c r="DT298" i="3" s="1"/>
  <c r="DT299" i="3" s="1"/>
  <c r="C325" i="42" l="1"/>
  <c r="B324" i="42"/>
  <c r="D324" i="42" s="1"/>
  <c r="A103" i="41"/>
  <c r="B103" i="41" s="1"/>
  <c r="E104" i="41"/>
  <c r="D103" i="41"/>
  <c r="C102" i="41"/>
  <c r="F989" i="41"/>
  <c r="G988" i="41"/>
  <c r="H987" i="41" s="1"/>
  <c r="DU297" i="3"/>
  <c r="C326" i="42" l="1"/>
  <c r="B325" i="42"/>
  <c r="D325" i="42" s="1"/>
  <c r="F990" i="41"/>
  <c r="G989" i="41"/>
  <c r="H988" i="41" s="1"/>
  <c r="D104" i="41"/>
  <c r="C103" i="41"/>
  <c r="A104" i="41"/>
  <c r="B104" i="41" s="1"/>
  <c r="E105" i="41"/>
  <c r="DU298" i="3"/>
  <c r="DU299" i="3" s="1"/>
  <c r="DV297" i="3"/>
  <c r="DV298" i="3" s="1"/>
  <c r="DV299" i="3" s="1"/>
  <c r="B326" i="42" l="1"/>
  <c r="D326" i="42" s="1"/>
  <c r="C327" i="42"/>
  <c r="D105" i="41"/>
  <c r="C104" i="41"/>
  <c r="F991" i="41"/>
  <c r="G990" i="41"/>
  <c r="H989" i="41" s="1"/>
  <c r="A105" i="41"/>
  <c r="B105" i="41" s="1"/>
  <c r="E106" i="41"/>
  <c r="DW297" i="3"/>
  <c r="DW298" i="3" s="1"/>
  <c r="DW299" i="3" s="1"/>
  <c r="C328" i="42" l="1"/>
  <c r="B327" i="42"/>
  <c r="D327" i="42" s="1"/>
  <c r="D106" i="41"/>
  <c r="C105" i="41"/>
  <c r="F992" i="41"/>
  <c r="G991" i="41"/>
  <c r="H990" i="41" s="1"/>
  <c r="E107" i="41"/>
  <c r="A106" i="41"/>
  <c r="B106" i="41" s="1"/>
  <c r="DX297" i="3"/>
  <c r="DX298" i="3" s="1"/>
  <c r="DX299" i="3" s="1"/>
  <c r="C329" i="42" l="1"/>
  <c r="B328" i="42"/>
  <c r="D328" i="42" s="1"/>
  <c r="A107" i="41"/>
  <c r="B107" i="41" s="1"/>
  <c r="E108" i="41"/>
  <c r="D107" i="41"/>
  <c r="C106" i="41"/>
  <c r="G992" i="41"/>
  <c r="H991" i="41" s="1"/>
  <c r="F993" i="41"/>
  <c r="DY297" i="3"/>
  <c r="DY298" i="3" s="1"/>
  <c r="DY299" i="3" s="1"/>
  <c r="B329" i="42" l="1"/>
  <c r="D329" i="42" s="1"/>
  <c r="C330" i="42"/>
  <c r="D108" i="41"/>
  <c r="C107" i="41"/>
  <c r="F994" i="41"/>
  <c r="G993" i="41"/>
  <c r="H992" i="41" s="1"/>
  <c r="E109" i="41"/>
  <c r="A108" i="41"/>
  <c r="B108" i="41" s="1"/>
  <c r="DZ297" i="3"/>
  <c r="C331" i="42" l="1"/>
  <c r="B330" i="42"/>
  <c r="D330" i="42" s="1"/>
  <c r="A109" i="41"/>
  <c r="B109" i="41" s="1"/>
  <c r="E110" i="41"/>
  <c r="C108" i="41"/>
  <c r="D109" i="41"/>
  <c r="G994" i="41"/>
  <c r="H993" i="41" s="1"/>
  <c r="F995" i="41"/>
  <c r="DZ298" i="3"/>
  <c r="DZ299" i="3" s="1"/>
  <c r="EA297" i="3"/>
  <c r="EA298" i="3" s="1"/>
  <c r="EA299" i="3" s="1"/>
  <c r="B331" i="42" l="1"/>
  <c r="D331" i="42" s="1"/>
  <c r="C332" i="42"/>
  <c r="D110" i="41"/>
  <c r="C109" i="41"/>
  <c r="F996" i="41"/>
  <c r="G995" i="41"/>
  <c r="H994" i="41" s="1"/>
  <c r="E111" i="41"/>
  <c r="A110" i="41"/>
  <c r="B110" i="41" s="1"/>
  <c r="EB297" i="3"/>
  <c r="EB298" i="3" s="1"/>
  <c r="EB299" i="3" s="1"/>
  <c r="C333" i="42" l="1"/>
  <c r="B332" i="42"/>
  <c r="D332" i="42" s="1"/>
  <c r="A111" i="41"/>
  <c r="B111" i="41" s="1"/>
  <c r="E112" i="41"/>
  <c r="D111" i="41"/>
  <c r="C110" i="41"/>
  <c r="G996" i="41"/>
  <c r="H995" i="41" s="1"/>
  <c r="F997" i="41"/>
  <c r="EC297" i="3"/>
  <c r="EC298" i="3" s="1"/>
  <c r="EC299" i="3" s="1"/>
  <c r="B333" i="42" l="1"/>
  <c r="D333" i="42" s="1"/>
  <c r="C334" i="42"/>
  <c r="C111" i="41"/>
  <c r="D112" i="41"/>
  <c r="F998" i="41"/>
  <c r="G997" i="41"/>
  <c r="H996" i="41" s="1"/>
  <c r="E113" i="41"/>
  <c r="A112" i="41"/>
  <c r="B112" i="41" s="1"/>
  <c r="ED297" i="3"/>
  <c r="ED298" i="3" s="1"/>
  <c r="ED299" i="3" s="1"/>
  <c r="C335" i="42" l="1"/>
  <c r="B334" i="42"/>
  <c r="D334" i="42" s="1"/>
  <c r="E114" i="41"/>
  <c r="A113" i="41"/>
  <c r="B113" i="41" s="1"/>
  <c r="G998" i="41"/>
  <c r="H997" i="41" s="1"/>
  <c r="F999" i="41"/>
  <c r="D113" i="41"/>
  <c r="C112" i="41"/>
  <c r="EE297" i="3"/>
  <c r="B335" i="42" l="1"/>
  <c r="D335" i="42" s="1"/>
  <c r="C336" i="42"/>
  <c r="D114" i="41"/>
  <c r="C113" i="41"/>
  <c r="E115" i="41"/>
  <c r="A114" i="41"/>
  <c r="B114" i="41" s="1"/>
  <c r="F1000" i="41"/>
  <c r="G999" i="41"/>
  <c r="H998" i="41" s="1"/>
  <c r="EE298" i="3"/>
  <c r="EE299" i="3" s="1"/>
  <c r="EF297" i="3"/>
  <c r="EK298" i="3" s="1"/>
  <c r="EK299" i="3" s="1"/>
  <c r="EF298" i="3" l="1"/>
  <c r="EF299" i="3" s="1"/>
  <c r="C337" i="42"/>
  <c r="B336" i="42"/>
  <c r="D336" i="42" s="1"/>
  <c r="G1000" i="41"/>
  <c r="H999" i="41" s="1"/>
  <c r="F1001" i="41"/>
  <c r="C114" i="41"/>
  <c r="D115" i="41"/>
  <c r="A115" i="41"/>
  <c r="B115" i="41" s="1"/>
  <c r="E116" i="41"/>
  <c r="EG297" i="3"/>
  <c r="EG298" i="3" s="1"/>
  <c r="EG299" i="3" s="1"/>
  <c r="C338" i="42" l="1"/>
  <c r="B337" i="42"/>
  <c r="D337" i="42" s="1"/>
  <c r="C115" i="41"/>
  <c r="D116" i="41"/>
  <c r="E117" i="41"/>
  <c r="A116" i="41"/>
  <c r="B116" i="41" s="1"/>
  <c r="F1002" i="41"/>
  <c r="G1001" i="41"/>
  <c r="H1000" i="41" s="1"/>
  <c r="EH297" i="3"/>
  <c r="EH298" i="3" l="1"/>
  <c r="B338" i="42"/>
  <c r="D338" i="42" s="1"/>
  <c r="C339" i="42"/>
  <c r="E118" i="41"/>
  <c r="A117" i="41"/>
  <c r="B117" i="41" s="1"/>
  <c r="G1002" i="41"/>
  <c r="H1001" i="41" s="1"/>
  <c r="F1003" i="41"/>
  <c r="D117" i="41"/>
  <c r="C116" i="41"/>
  <c r="EI297" i="3"/>
  <c r="EJ298" i="3" s="1"/>
  <c r="EJ299" i="3" l="1"/>
  <c r="EH299" i="3"/>
  <c r="C340" i="42"/>
  <c r="B339" i="42"/>
  <c r="D339" i="42" s="1"/>
  <c r="D118" i="41"/>
  <c r="C117" i="41"/>
  <c r="E119" i="41"/>
  <c r="A118" i="41"/>
  <c r="B118" i="41" s="1"/>
  <c r="F1004" i="41"/>
  <c r="G1003" i="41"/>
  <c r="H1002" i="41" s="1"/>
  <c r="EI298" i="3"/>
  <c r="EI299" i="3" s="1"/>
  <c r="C341" i="42" l="1"/>
  <c r="B340" i="42"/>
  <c r="D340" i="42" s="1"/>
  <c r="C118" i="41"/>
  <c r="D119" i="41"/>
  <c r="A119" i="41"/>
  <c r="B119" i="41" s="1"/>
  <c r="E120" i="41"/>
  <c r="G1004" i="41"/>
  <c r="H1003" i="41" s="1"/>
  <c r="F1005" i="41"/>
  <c r="C342" i="42" l="1"/>
  <c r="B341" i="42"/>
  <c r="D341" i="42" s="1"/>
  <c r="E121" i="41"/>
  <c r="A120" i="41"/>
  <c r="B120" i="41" s="1"/>
  <c r="F1006" i="41"/>
  <c r="G1005" i="41"/>
  <c r="H1004" i="41" s="1"/>
  <c r="C119" i="41"/>
  <c r="D120" i="41"/>
  <c r="B342" i="42" l="1"/>
  <c r="D342" i="42" s="1"/>
  <c r="C343" i="42"/>
  <c r="E122" i="41"/>
  <c r="A121" i="41"/>
  <c r="B121" i="41" s="1"/>
  <c r="F1007" i="41"/>
  <c r="G1006" i="41"/>
  <c r="H1005" i="41" s="1"/>
  <c r="D121" i="41"/>
  <c r="C120" i="41"/>
  <c r="C344" i="42" l="1"/>
  <c r="B343" i="42"/>
  <c r="D343" i="42" s="1"/>
  <c r="G1007" i="41"/>
  <c r="H1006" i="41" s="1"/>
  <c r="F1008" i="41"/>
  <c r="D122" i="41"/>
  <c r="C121" i="41"/>
  <c r="E123" i="41"/>
  <c r="A122" i="41"/>
  <c r="B122" i="41" s="1"/>
  <c r="C345" i="42" l="1"/>
  <c r="B344" i="42"/>
  <c r="D344" i="42" s="1"/>
  <c r="A123" i="41"/>
  <c r="B123" i="41" s="1"/>
  <c r="E124" i="41"/>
  <c r="C122" i="41"/>
  <c r="D123" i="41"/>
  <c r="F1009" i="41"/>
  <c r="G1008" i="41"/>
  <c r="H1007" i="41" s="1"/>
  <c r="B345" i="42" l="1"/>
  <c r="D345" i="42" s="1"/>
  <c r="C346" i="42"/>
  <c r="C123" i="41"/>
  <c r="D124" i="41"/>
  <c r="F1010" i="41"/>
  <c r="G1009" i="41"/>
  <c r="H1008" i="41" s="1"/>
  <c r="E125" i="41"/>
  <c r="A124" i="41"/>
  <c r="B124" i="41" s="1"/>
  <c r="C347" i="42" l="1"/>
  <c r="B346" i="42"/>
  <c r="D346" i="42" s="1"/>
  <c r="E126" i="41"/>
  <c r="A125" i="41"/>
  <c r="B125" i="41" s="1"/>
  <c r="F1011" i="41"/>
  <c r="G1010" i="41"/>
  <c r="H1009" i="41" s="1"/>
  <c r="D125" i="41"/>
  <c r="C124" i="41"/>
  <c r="B347" i="42" l="1"/>
  <c r="D347" i="42" s="1"/>
  <c r="C348" i="42"/>
  <c r="D126" i="41"/>
  <c r="C125" i="41"/>
  <c r="E127" i="41"/>
  <c r="A126" i="41"/>
  <c r="B126" i="41" s="1"/>
  <c r="F1012" i="41"/>
  <c r="G1011" i="41"/>
  <c r="H1010" i="41" s="1"/>
  <c r="C349" i="42" l="1"/>
  <c r="B348" i="42"/>
  <c r="D348" i="42" s="1"/>
  <c r="F1013" i="41"/>
  <c r="G1012" i="41"/>
  <c r="H1011" i="41" s="1"/>
  <c r="C126" i="41"/>
  <c r="D127" i="41"/>
  <c r="A127" i="41"/>
  <c r="B127" i="41" s="1"/>
  <c r="E128" i="41"/>
  <c r="B349" i="42" l="1"/>
  <c r="D349" i="42" s="1"/>
  <c r="C350" i="42"/>
  <c r="F1014" i="41"/>
  <c r="G1013" i="41"/>
  <c r="H1012" i="41" s="1"/>
  <c r="C127" i="41"/>
  <c r="D128" i="41"/>
  <c r="E129" i="41"/>
  <c r="A128" i="41"/>
  <c r="B128" i="41" s="1"/>
  <c r="C351" i="42" l="1"/>
  <c r="B350" i="42"/>
  <c r="D350" i="42" s="1"/>
  <c r="E130" i="41"/>
  <c r="A129" i="41"/>
  <c r="B129" i="41" s="1"/>
  <c r="F1015" i="41"/>
  <c r="G1014" i="41"/>
  <c r="H1013" i="41" s="1"/>
  <c r="D129" i="41"/>
  <c r="C128" i="41"/>
  <c r="B351" i="42" l="1"/>
  <c r="D351" i="42" s="1"/>
  <c r="C352" i="42"/>
  <c r="D130" i="41"/>
  <c r="C129" i="41"/>
  <c r="E131" i="41"/>
  <c r="A130" i="41"/>
  <c r="B130" i="41" s="1"/>
  <c r="F1016" i="41"/>
  <c r="G1015" i="41"/>
  <c r="H1014" i="41" s="1"/>
  <c r="C353" i="42" l="1"/>
  <c r="B352" i="42"/>
  <c r="D352" i="42" s="1"/>
  <c r="F1017" i="41"/>
  <c r="G1016" i="41"/>
  <c r="H1015" i="41" s="1"/>
  <c r="C130" i="41"/>
  <c r="D131" i="41"/>
  <c r="A131" i="41"/>
  <c r="B131" i="41" s="1"/>
  <c r="E132" i="41"/>
  <c r="C354" i="42" l="1"/>
  <c r="B353" i="42"/>
  <c r="D353" i="42" s="1"/>
  <c r="F1018" i="41"/>
  <c r="G1017" i="41"/>
  <c r="H1016" i="41" s="1"/>
  <c r="C131" i="41"/>
  <c r="D132" i="41"/>
  <c r="E133" i="41"/>
  <c r="A132" i="41"/>
  <c r="B132" i="41" s="1"/>
  <c r="B354" i="42" l="1"/>
  <c r="D354" i="42" s="1"/>
  <c r="C355" i="42"/>
  <c r="E134" i="41"/>
  <c r="A133" i="41"/>
  <c r="B133" i="41" s="1"/>
  <c r="F1019" i="41"/>
  <c r="G1018" i="41"/>
  <c r="H1017" i="41" s="1"/>
  <c r="D133" i="41"/>
  <c r="C132" i="41"/>
  <c r="C356" i="42" l="1"/>
  <c r="B355" i="42"/>
  <c r="D355" i="42" s="1"/>
  <c r="E135" i="41"/>
  <c r="A134" i="41"/>
  <c r="B134" i="41" s="1"/>
  <c r="D134" i="41"/>
  <c r="C133" i="41"/>
  <c r="F1020" i="41"/>
  <c r="G1019" i="41"/>
  <c r="H1018" i="41" s="1"/>
  <c r="C357" i="42" l="1"/>
  <c r="B356" i="42"/>
  <c r="D356" i="42" s="1"/>
  <c r="F1021" i="41"/>
  <c r="G1020" i="41"/>
  <c r="H1019" i="41" s="1"/>
  <c r="A135" i="41"/>
  <c r="B135" i="41" s="1"/>
  <c r="E136" i="41"/>
  <c r="C134" i="41"/>
  <c r="D135" i="41"/>
  <c r="C358" i="42" l="1"/>
  <c r="B357" i="42"/>
  <c r="D357" i="42" s="1"/>
  <c r="F1022" i="41"/>
  <c r="G1021" i="41"/>
  <c r="H1020" i="41" s="1"/>
  <c r="E137" i="41"/>
  <c r="A136" i="41"/>
  <c r="B136" i="41" s="1"/>
  <c r="C135" i="41"/>
  <c r="D136" i="41"/>
  <c r="B358" i="42" l="1"/>
  <c r="D358" i="42" s="1"/>
  <c r="C359" i="42"/>
  <c r="F1023" i="41"/>
  <c r="G1022" i="41"/>
  <c r="H1021" i="41" s="1"/>
  <c r="E138" i="41"/>
  <c r="A137" i="41"/>
  <c r="B137" i="41" s="1"/>
  <c r="D137" i="41"/>
  <c r="C136" i="41"/>
  <c r="C360" i="42" l="1"/>
  <c r="B359" i="42"/>
  <c r="D359" i="42" s="1"/>
  <c r="D138" i="41"/>
  <c r="C137" i="41"/>
  <c r="F1024" i="41"/>
  <c r="G1023" i="41"/>
  <c r="H1022" i="41" s="1"/>
  <c r="E139" i="41"/>
  <c r="A138" i="41"/>
  <c r="B138" i="41" s="1"/>
  <c r="C361" i="42" l="1"/>
  <c r="B360" i="42"/>
  <c r="D360" i="42" s="1"/>
  <c r="C138" i="41"/>
  <c r="D139" i="41"/>
  <c r="A139" i="41"/>
  <c r="B139" i="41" s="1"/>
  <c r="E140" i="41"/>
  <c r="F1025" i="41"/>
  <c r="G1024" i="41"/>
  <c r="H1023" i="41" s="1"/>
  <c r="B361" i="42" l="1"/>
  <c r="D361" i="42" s="1"/>
  <c r="C362" i="42"/>
  <c r="E141" i="41"/>
  <c r="A140" i="41"/>
  <c r="B140" i="41" s="1"/>
  <c r="G1025" i="41"/>
  <c r="H1024" i="41" s="1"/>
  <c r="F1026" i="41"/>
  <c r="C139" i="41"/>
  <c r="D140" i="41"/>
  <c r="C363" i="42" l="1"/>
  <c r="B362" i="42"/>
  <c r="D362" i="42" s="1"/>
  <c r="E142" i="41"/>
  <c r="A141" i="41"/>
  <c r="B141" i="41" s="1"/>
  <c r="G1026" i="41"/>
  <c r="H1025" i="41" s="1"/>
  <c r="F1027" i="41"/>
  <c r="D141" i="41"/>
  <c r="C140" i="41"/>
  <c r="B363" i="42" l="1"/>
  <c r="D363" i="42" s="1"/>
  <c r="C364" i="42"/>
  <c r="D142" i="41"/>
  <c r="C141" i="41"/>
  <c r="E143" i="41"/>
  <c r="A142" i="41"/>
  <c r="B142" i="41" s="1"/>
  <c r="G1027" i="41"/>
  <c r="H1026" i="41" s="1"/>
  <c r="F1028" i="41"/>
  <c r="C365" i="42" l="1"/>
  <c r="B364" i="42"/>
  <c r="D364" i="42" s="1"/>
  <c r="C142" i="41"/>
  <c r="D143" i="41"/>
  <c r="A143" i="41"/>
  <c r="B143" i="41" s="1"/>
  <c r="E144" i="41"/>
  <c r="G1028" i="41"/>
  <c r="H1027" i="41" s="1"/>
  <c r="F1029" i="41"/>
  <c r="B365" i="42" l="1"/>
  <c r="D365" i="42" s="1"/>
  <c r="C366" i="42"/>
  <c r="E145" i="41"/>
  <c r="A144" i="41"/>
  <c r="B144" i="41" s="1"/>
  <c r="G1029" i="41"/>
  <c r="H1028" i="41" s="1"/>
  <c r="F1030" i="41"/>
  <c r="C143" i="41"/>
  <c r="D144" i="41"/>
  <c r="C367" i="42" l="1"/>
  <c r="B366" i="42"/>
  <c r="D366" i="42" s="1"/>
  <c r="E146" i="41"/>
  <c r="A145" i="41"/>
  <c r="B145" i="41" s="1"/>
  <c r="G1030" i="41"/>
  <c r="H1029" i="41" s="1"/>
  <c r="F1031" i="41"/>
  <c r="D145" i="41"/>
  <c r="C144" i="41"/>
  <c r="B367" i="42" l="1"/>
  <c r="D367" i="42" s="1"/>
  <c r="C368" i="42"/>
  <c r="D146" i="41"/>
  <c r="C145" i="41"/>
  <c r="E147" i="41"/>
  <c r="A146" i="41"/>
  <c r="B146" i="41" s="1"/>
  <c r="G1031" i="41"/>
  <c r="H1030" i="41" s="1"/>
  <c r="F1032" i="41"/>
  <c r="C369" i="42" l="1"/>
  <c r="B368" i="42"/>
  <c r="D368" i="42" s="1"/>
  <c r="C146" i="41"/>
  <c r="D147" i="41"/>
  <c r="A147" i="41"/>
  <c r="B147" i="41" s="1"/>
  <c r="E148" i="41"/>
  <c r="G1032" i="41"/>
  <c r="H1031" i="41" s="1"/>
  <c r="F1033" i="41"/>
  <c r="C370" i="42" l="1"/>
  <c r="B369" i="42"/>
  <c r="D369" i="42" s="1"/>
  <c r="E149" i="41"/>
  <c r="A148" i="41"/>
  <c r="B148" i="41" s="1"/>
  <c r="G1033" i="41"/>
  <c r="H1032" i="41" s="1"/>
  <c r="F1034" i="41"/>
  <c r="C147" i="41"/>
  <c r="D148" i="41"/>
  <c r="C371" i="42" l="1"/>
  <c r="B370" i="42"/>
  <c r="D370" i="42" s="1"/>
  <c r="E150" i="41"/>
  <c r="A149" i="41"/>
  <c r="B149" i="41" s="1"/>
  <c r="G1034" i="41"/>
  <c r="H1033" i="41" s="1"/>
  <c r="F1035" i="41"/>
  <c r="D149" i="41"/>
  <c r="C148" i="41"/>
  <c r="B371" i="42" l="1"/>
  <c r="D371" i="42" s="1"/>
  <c r="C372" i="42"/>
  <c r="D150" i="41"/>
  <c r="C149" i="41"/>
  <c r="E151" i="41"/>
  <c r="A150" i="41"/>
  <c r="B150" i="41" s="1"/>
  <c r="G1035" i="41"/>
  <c r="H1034" i="41" s="1"/>
  <c r="F1036" i="41"/>
  <c r="C373" i="42" l="1"/>
  <c r="B372" i="42"/>
  <c r="D372" i="42" s="1"/>
  <c r="C150" i="41"/>
  <c r="D151" i="41"/>
  <c r="A151" i="41"/>
  <c r="B151" i="41" s="1"/>
  <c r="E152" i="41"/>
  <c r="G1036" i="41"/>
  <c r="H1035" i="41" s="1"/>
  <c r="F1037" i="41"/>
  <c r="C374" i="42" l="1"/>
  <c r="B373" i="42"/>
  <c r="D373" i="42" s="1"/>
  <c r="E153" i="41"/>
  <c r="A152" i="41"/>
  <c r="B152" i="41" s="1"/>
  <c r="F1038" i="41"/>
  <c r="G1037" i="41"/>
  <c r="H1036" i="41" s="1"/>
  <c r="C151" i="41"/>
  <c r="D152" i="41"/>
  <c r="B374" i="42" l="1"/>
  <c r="D374" i="42" s="1"/>
  <c r="C375" i="42"/>
  <c r="D153" i="41"/>
  <c r="C152" i="41"/>
  <c r="E154" i="41"/>
  <c r="A153" i="41"/>
  <c r="B153" i="41" s="1"/>
  <c r="F1039" i="41"/>
  <c r="G1038" i="41"/>
  <c r="H1037" i="41" s="1"/>
  <c r="C376" i="42" l="1"/>
  <c r="B375" i="42"/>
  <c r="D375" i="42" s="1"/>
  <c r="F1040" i="41"/>
  <c r="G1039" i="41"/>
  <c r="H1038" i="41" s="1"/>
  <c r="C153" i="41"/>
  <c r="D154" i="41"/>
  <c r="E155" i="41"/>
  <c r="A154" i="41"/>
  <c r="B154" i="41" s="1"/>
  <c r="C377" i="42" l="1"/>
  <c r="B376" i="42"/>
  <c r="D376" i="42" s="1"/>
  <c r="E156" i="41"/>
  <c r="A155" i="41"/>
  <c r="B155" i="41" s="1"/>
  <c r="F1041" i="41"/>
  <c r="G1040" i="41"/>
  <c r="H1039" i="41" s="1"/>
  <c r="C154" i="41"/>
  <c r="D155" i="41"/>
  <c r="C378" i="42" l="1"/>
  <c r="B377" i="42"/>
  <c r="D377" i="42" s="1"/>
  <c r="C155" i="41"/>
  <c r="D156" i="41"/>
  <c r="E157" i="41"/>
  <c r="A156" i="41"/>
  <c r="B156" i="41" s="1"/>
  <c r="F1042" i="41"/>
  <c r="G1041" i="41"/>
  <c r="H1040" i="41" s="1"/>
  <c r="C379" i="42" l="1"/>
  <c r="B378" i="42"/>
  <c r="D378" i="42" s="1"/>
  <c r="E158" i="41"/>
  <c r="A157" i="41"/>
  <c r="B157" i="41" s="1"/>
  <c r="G1042" i="41"/>
  <c r="H1041" i="41" s="1"/>
  <c r="F1043" i="41"/>
  <c r="C156" i="41"/>
  <c r="D157" i="41"/>
  <c r="B379" i="42" l="1"/>
  <c r="D379" i="42" s="1"/>
  <c r="C380" i="42"/>
  <c r="E159" i="41"/>
  <c r="A158" i="41"/>
  <c r="B158" i="41" s="1"/>
  <c r="G1043" i="41"/>
  <c r="H1042" i="41" s="1"/>
  <c r="F1044" i="41"/>
  <c r="C157" i="41"/>
  <c r="D158" i="41"/>
  <c r="C381" i="42" l="1"/>
  <c r="B380" i="42"/>
  <c r="D380" i="42" s="1"/>
  <c r="E160" i="41"/>
  <c r="A159" i="41"/>
  <c r="B159" i="41" s="1"/>
  <c r="G1044" i="41"/>
  <c r="H1043" i="41" s="1"/>
  <c r="F1045" i="41"/>
  <c r="C158" i="41"/>
  <c r="D159" i="41"/>
  <c r="C382" i="42" l="1"/>
  <c r="B381" i="42"/>
  <c r="D381" i="42" s="1"/>
  <c r="E161" i="41"/>
  <c r="A160" i="41"/>
  <c r="B160" i="41" s="1"/>
  <c r="G1045" i="41"/>
  <c r="H1044" i="41" s="1"/>
  <c r="F1046" i="41"/>
  <c r="C159" i="41"/>
  <c r="D160" i="41"/>
  <c r="B382" i="42" l="1"/>
  <c r="D382" i="42" s="1"/>
  <c r="C383" i="42"/>
  <c r="E162" i="41"/>
  <c r="A161" i="41"/>
  <c r="B161" i="41" s="1"/>
  <c r="G1046" i="41"/>
  <c r="H1045" i="41" s="1"/>
  <c r="F1047" i="41"/>
  <c r="C160" i="41"/>
  <c r="D161" i="41"/>
  <c r="C384" i="42" l="1"/>
  <c r="B383" i="42"/>
  <c r="D383" i="42" s="1"/>
  <c r="E163" i="41"/>
  <c r="A162" i="41"/>
  <c r="B162" i="41" s="1"/>
  <c r="G1047" i="41"/>
  <c r="H1046" i="41" s="1"/>
  <c r="F1048" i="41"/>
  <c r="C161" i="41"/>
  <c r="D162" i="41"/>
  <c r="C385" i="42" l="1"/>
  <c r="B384" i="42"/>
  <c r="D384" i="42" s="1"/>
  <c r="E164" i="41"/>
  <c r="A163" i="41"/>
  <c r="B163" i="41" s="1"/>
  <c r="G1048" i="41"/>
  <c r="H1047" i="41" s="1"/>
  <c r="F1049" i="41"/>
  <c r="C162" i="41"/>
  <c r="D163" i="41"/>
  <c r="G1049" i="41" l="1"/>
  <c r="F1050" i="41"/>
  <c r="C386" i="42"/>
  <c r="B385" i="42"/>
  <c r="D385" i="42" s="1"/>
  <c r="C163" i="41"/>
  <c r="D164" i="41"/>
  <c r="E165" i="41"/>
  <c r="A164" i="41"/>
  <c r="B164" i="41" s="1"/>
  <c r="H1048" i="41" l="1"/>
  <c r="F1051" i="41"/>
  <c r="G1050" i="41"/>
  <c r="H1049" i="41" s="1"/>
  <c r="C387" i="42"/>
  <c r="B386" i="42"/>
  <c r="D386" i="42" s="1"/>
  <c r="E166" i="41"/>
  <c r="A165" i="41"/>
  <c r="B165" i="41" s="1"/>
  <c r="C164" i="41"/>
  <c r="D165" i="41"/>
  <c r="F1052" i="41" l="1"/>
  <c r="G1051" i="41"/>
  <c r="B387" i="42"/>
  <c r="D387" i="42" s="1"/>
  <c r="C388" i="42"/>
  <c r="E167" i="41"/>
  <c r="A166" i="41"/>
  <c r="B166" i="41" s="1"/>
  <c r="C165" i="41"/>
  <c r="D166" i="41"/>
  <c r="H1050" i="41" l="1"/>
  <c r="G1052" i="41"/>
  <c r="H1051" i="41" s="1"/>
  <c r="F1053" i="41"/>
  <c r="C389" i="42"/>
  <c r="B388" i="42"/>
  <c r="D388" i="42" s="1"/>
  <c r="E168" i="41"/>
  <c r="A167" i="41"/>
  <c r="B167" i="41" s="1"/>
  <c r="C166" i="41"/>
  <c r="D167" i="41"/>
  <c r="F1054" i="41" l="1"/>
  <c r="G1053" i="41"/>
  <c r="C390" i="42"/>
  <c r="B389" i="42"/>
  <c r="D389" i="42" s="1"/>
  <c r="E169" i="41"/>
  <c r="A168" i="41"/>
  <c r="B168" i="41" s="1"/>
  <c r="C167" i="41"/>
  <c r="D168" i="41"/>
  <c r="H1052" i="41" l="1"/>
  <c r="F1055" i="41"/>
  <c r="G1054" i="41"/>
  <c r="H1053" i="41" s="1"/>
  <c r="B390" i="42"/>
  <c r="D390" i="42" s="1"/>
  <c r="C391" i="42"/>
  <c r="E170" i="41"/>
  <c r="A169" i="41"/>
  <c r="B169" i="41" s="1"/>
  <c r="C168" i="41"/>
  <c r="D169" i="41"/>
  <c r="G1055" i="41" l="1"/>
  <c r="F1056" i="41"/>
  <c r="C392" i="42"/>
  <c r="B391" i="42"/>
  <c r="D391" i="42" s="1"/>
  <c r="E171" i="41"/>
  <c r="A170" i="41"/>
  <c r="B170" i="41" s="1"/>
  <c r="C169" i="41"/>
  <c r="D170" i="41"/>
  <c r="F1057" i="41" l="1"/>
  <c r="G1056" i="41"/>
  <c r="H1055" i="41" s="1"/>
  <c r="H1054" i="41"/>
  <c r="C393" i="42"/>
  <c r="B392" i="42"/>
  <c r="D392" i="42" s="1"/>
  <c r="E172" i="41"/>
  <c r="A171" i="41"/>
  <c r="B171" i="41" s="1"/>
  <c r="C170" i="41"/>
  <c r="D171" i="41"/>
  <c r="G1057" i="41" l="1"/>
  <c r="F1058" i="41"/>
  <c r="C394" i="42"/>
  <c r="B393" i="42"/>
  <c r="D393" i="42" s="1"/>
  <c r="E173" i="41"/>
  <c r="A172" i="41"/>
  <c r="B172" i="41" s="1"/>
  <c r="C171" i="41"/>
  <c r="D172" i="41"/>
  <c r="G1058" i="41" l="1"/>
  <c r="H1057" i="41" s="1"/>
  <c r="F1059" i="41"/>
  <c r="H1056" i="41"/>
  <c r="C395" i="42"/>
  <c r="B394" i="42"/>
  <c r="D394" i="42" s="1"/>
  <c r="E174" i="41"/>
  <c r="A173" i="41"/>
  <c r="B173" i="41" s="1"/>
  <c r="C172" i="41"/>
  <c r="D173" i="41"/>
  <c r="F1060" i="41" l="1"/>
  <c r="G1059" i="41"/>
  <c r="H1058" i="41" s="1"/>
  <c r="C396" i="42"/>
  <c r="B395" i="42"/>
  <c r="D395" i="42" s="1"/>
  <c r="E175" i="41"/>
  <c r="A174" i="41"/>
  <c r="B174" i="41" s="1"/>
  <c r="C173" i="41"/>
  <c r="D174" i="41"/>
  <c r="G1060" i="41" l="1"/>
  <c r="H1059" i="41" s="1"/>
  <c r="F1061" i="41"/>
  <c r="C397" i="42"/>
  <c r="B396" i="42"/>
  <c r="D396" i="42" s="1"/>
  <c r="E176" i="41"/>
  <c r="A175" i="41"/>
  <c r="B175" i="41" s="1"/>
  <c r="C174" i="41"/>
  <c r="D175" i="41"/>
  <c r="F1062" i="41" l="1"/>
  <c r="G1061" i="41"/>
  <c r="H1060" i="41" s="1"/>
  <c r="B397" i="42"/>
  <c r="D397" i="42" s="1"/>
  <c r="C398" i="42"/>
  <c r="E177" i="41"/>
  <c r="A176" i="41"/>
  <c r="B176" i="41" s="1"/>
  <c r="C175" i="41"/>
  <c r="D176" i="41"/>
  <c r="F1063" i="41" l="1"/>
  <c r="G1062" i="41"/>
  <c r="C399" i="42"/>
  <c r="B398" i="42"/>
  <c r="D398" i="42" s="1"/>
  <c r="E178" i="41"/>
  <c r="A177" i="41"/>
  <c r="B177" i="41" s="1"/>
  <c r="C176" i="41"/>
  <c r="D177" i="41"/>
  <c r="H1061" i="41" l="1"/>
  <c r="G1063" i="41"/>
  <c r="H1062" i="41" s="1"/>
  <c r="F1064" i="41"/>
  <c r="C400" i="42"/>
  <c r="B399" i="42"/>
  <c r="D399" i="42" s="1"/>
  <c r="E179" i="41"/>
  <c r="A178" i="41"/>
  <c r="B178" i="41" s="1"/>
  <c r="C177" i="41"/>
  <c r="D178" i="41"/>
  <c r="F1065" i="41" l="1"/>
  <c r="G1064" i="41"/>
  <c r="C401" i="42"/>
  <c r="B400" i="42"/>
  <c r="D400" i="42" s="1"/>
  <c r="E180" i="41"/>
  <c r="A179" i="41"/>
  <c r="B179" i="41" s="1"/>
  <c r="C178" i="41"/>
  <c r="D179" i="41"/>
  <c r="H1063" i="41" l="1"/>
  <c r="G1065" i="41"/>
  <c r="H1064" i="41" s="1"/>
  <c r="F1066" i="41"/>
  <c r="B401" i="42"/>
  <c r="D401" i="42" s="1"/>
  <c r="C402" i="42"/>
  <c r="E181" i="41"/>
  <c r="A180" i="41"/>
  <c r="B180" i="41" s="1"/>
  <c r="C179" i="41"/>
  <c r="D180" i="41"/>
  <c r="G1066" i="41" l="1"/>
  <c r="F1067" i="41"/>
  <c r="C403" i="42"/>
  <c r="B402" i="42"/>
  <c r="D402" i="42" s="1"/>
  <c r="E182" i="41"/>
  <c r="A181" i="41"/>
  <c r="B181" i="41" s="1"/>
  <c r="C180" i="41"/>
  <c r="D181" i="41"/>
  <c r="F1068" i="41" l="1"/>
  <c r="G1067" i="41"/>
  <c r="H1066" i="41" s="1"/>
  <c r="H1065" i="41"/>
  <c r="C404" i="42"/>
  <c r="B403" i="42"/>
  <c r="D403" i="42" s="1"/>
  <c r="E183" i="41"/>
  <c r="A182" i="41"/>
  <c r="B182" i="41" s="1"/>
  <c r="C181" i="41"/>
  <c r="D182" i="41"/>
  <c r="G1068" i="41" l="1"/>
  <c r="F1069" i="41"/>
  <c r="C405" i="42"/>
  <c r="B404" i="42"/>
  <c r="D404" i="42" s="1"/>
  <c r="E184" i="41"/>
  <c r="A183" i="41"/>
  <c r="B183" i="41" s="1"/>
  <c r="C182" i="41"/>
  <c r="D183" i="41"/>
  <c r="F1070" i="41" l="1"/>
  <c r="G1069" i="41"/>
  <c r="H1068" i="41" s="1"/>
  <c r="H1067" i="41"/>
  <c r="B405" i="42"/>
  <c r="D405" i="42" s="1"/>
  <c r="C406" i="42"/>
  <c r="E185" i="41"/>
  <c r="A184" i="41"/>
  <c r="B184" i="41" s="1"/>
  <c r="C183" i="41"/>
  <c r="D184" i="41"/>
  <c r="F1071" i="41" l="1"/>
  <c r="G1070" i="41"/>
  <c r="B406" i="42"/>
  <c r="D406" i="42" s="1"/>
  <c r="C407" i="42"/>
  <c r="E186" i="41"/>
  <c r="A185" i="41"/>
  <c r="B185" i="41" s="1"/>
  <c r="C184" i="41"/>
  <c r="D185" i="41"/>
  <c r="H1069" i="41" l="1"/>
  <c r="G1071" i="41"/>
  <c r="H1070" i="41" s="1"/>
  <c r="F1072" i="41"/>
  <c r="C408" i="42"/>
  <c r="B407" i="42"/>
  <c r="D407" i="42" s="1"/>
  <c r="E187" i="41"/>
  <c r="A186" i="41"/>
  <c r="B186" i="41" s="1"/>
  <c r="C185" i="41"/>
  <c r="D186" i="41"/>
  <c r="F1073" i="41" l="1"/>
  <c r="G1072" i="41"/>
  <c r="H1071" i="41" s="1"/>
  <c r="C409" i="42"/>
  <c r="B408" i="42"/>
  <c r="D408" i="42" s="1"/>
  <c r="E188" i="41"/>
  <c r="A187" i="41"/>
  <c r="B187" i="41" s="1"/>
  <c r="C186" i="41"/>
  <c r="D187" i="41"/>
  <c r="G1073" i="41" l="1"/>
  <c r="H1072" i="41" s="1"/>
  <c r="F1074" i="41"/>
  <c r="B409" i="42"/>
  <c r="D409" i="42" s="1"/>
  <c r="C410" i="42"/>
  <c r="E189" i="41"/>
  <c r="A188" i="41"/>
  <c r="B188" i="41" s="1"/>
  <c r="C187" i="41"/>
  <c r="D188" i="41"/>
  <c r="G1074" i="41" l="1"/>
  <c r="H1073" i="41" s="1"/>
  <c r="F1075" i="41"/>
  <c r="B410" i="42"/>
  <c r="D410" i="42" s="1"/>
  <c r="C411" i="42"/>
  <c r="E190" i="41"/>
  <c r="A189" i="41"/>
  <c r="B189" i="41" s="1"/>
  <c r="C188" i="41"/>
  <c r="D189" i="41"/>
  <c r="F1076" i="41" l="1"/>
  <c r="G1075" i="41"/>
  <c r="C412" i="42"/>
  <c r="B411" i="42"/>
  <c r="D411" i="42" s="1"/>
  <c r="E191" i="41"/>
  <c r="A190" i="41"/>
  <c r="B190" i="41" s="1"/>
  <c r="C189" i="41"/>
  <c r="D190" i="41"/>
  <c r="H1074" i="41" l="1"/>
  <c r="G1076" i="41"/>
  <c r="H1075" i="41" s="1"/>
  <c r="F1077" i="41"/>
  <c r="C413" i="42"/>
  <c r="B412" i="42"/>
  <c r="D412" i="42" s="1"/>
  <c r="E192" i="41"/>
  <c r="A191" i="41"/>
  <c r="B191" i="41" s="1"/>
  <c r="C190" i="41"/>
  <c r="D191" i="41"/>
  <c r="F1078" i="41" l="1"/>
  <c r="G1077" i="41"/>
  <c r="B413" i="42"/>
  <c r="D413" i="42" s="1"/>
  <c r="C414" i="42"/>
  <c r="E193" i="41"/>
  <c r="A192" i="41"/>
  <c r="B192" i="41" s="1"/>
  <c r="C191" i="41"/>
  <c r="D192" i="41"/>
  <c r="H1076" i="41" l="1"/>
  <c r="F1079" i="41"/>
  <c r="G1078" i="41"/>
  <c r="H1077" i="41" s="1"/>
  <c r="C415" i="42"/>
  <c r="B414" i="42"/>
  <c r="D414" i="42" s="1"/>
  <c r="E194" i="41"/>
  <c r="A193" i="41"/>
  <c r="B193" i="41" s="1"/>
  <c r="C192" i="41"/>
  <c r="D193" i="41"/>
  <c r="G1079" i="41" l="1"/>
  <c r="F1080" i="41"/>
  <c r="C416" i="42"/>
  <c r="B415" i="42"/>
  <c r="D415" i="42" s="1"/>
  <c r="E195" i="41"/>
  <c r="A194" i="41"/>
  <c r="B194" i="41" s="1"/>
  <c r="C193" i="41"/>
  <c r="D194" i="41"/>
  <c r="F1081" i="41" l="1"/>
  <c r="G1080" i="41"/>
  <c r="H1079" i="41" s="1"/>
  <c r="H1078" i="41"/>
  <c r="B416" i="42"/>
  <c r="D416" i="42" s="1"/>
  <c r="C417" i="42"/>
  <c r="C194" i="41"/>
  <c r="D195" i="41"/>
  <c r="E196" i="41"/>
  <c r="A195" i="41"/>
  <c r="B195" i="41" s="1"/>
  <c r="G1081" i="41" l="1"/>
  <c r="F1082" i="41"/>
  <c r="B417" i="42"/>
  <c r="D417" i="42" s="1"/>
  <c r="C418" i="42"/>
  <c r="E197" i="41"/>
  <c r="A196" i="41"/>
  <c r="B196" i="41" s="1"/>
  <c r="C195" i="41"/>
  <c r="D196" i="41"/>
  <c r="G1082" i="41" l="1"/>
  <c r="H1081" i="41" s="1"/>
  <c r="F1083" i="41"/>
  <c r="H1080" i="41"/>
  <c r="B418" i="42"/>
  <c r="D418" i="42" s="1"/>
  <c r="C419" i="42"/>
  <c r="C196" i="41"/>
  <c r="D197" i="41"/>
  <c r="E198" i="41"/>
  <c r="A197" i="41"/>
  <c r="B197" i="41" s="1"/>
  <c r="F1084" i="41" l="1"/>
  <c r="G1083" i="41"/>
  <c r="C420" i="42"/>
  <c r="B419" i="42"/>
  <c r="D419" i="42" s="1"/>
  <c r="E199" i="41"/>
  <c r="A198" i="41"/>
  <c r="B198" i="41" s="1"/>
  <c r="C197" i="41"/>
  <c r="D198" i="41"/>
  <c r="H1082" i="41" l="1"/>
  <c r="G1084" i="41"/>
  <c r="H1083" i="41" s="1"/>
  <c r="F1085" i="41"/>
  <c r="B420" i="42"/>
  <c r="D420" i="42" s="1"/>
  <c r="C421" i="42"/>
  <c r="C198" i="41"/>
  <c r="D199" i="41"/>
  <c r="E200" i="41"/>
  <c r="A199" i="41"/>
  <c r="B199" i="41" s="1"/>
  <c r="F1086" i="41" l="1"/>
  <c r="G1085" i="41"/>
  <c r="H1084" i="41" s="1"/>
  <c r="B421" i="42"/>
  <c r="D421" i="42" s="1"/>
  <c r="C422" i="42"/>
  <c r="E201" i="41"/>
  <c r="A200" i="41"/>
  <c r="B200" i="41" s="1"/>
  <c r="C199" i="41"/>
  <c r="D200" i="41"/>
  <c r="F1087" i="41" l="1"/>
  <c r="G1086" i="41"/>
  <c r="H1085" i="41" s="1"/>
  <c r="B422" i="42"/>
  <c r="D422" i="42" s="1"/>
  <c r="C423" i="42"/>
  <c r="C200" i="41"/>
  <c r="D201" i="41"/>
  <c r="E202" i="41"/>
  <c r="A201" i="41"/>
  <c r="B201" i="41" s="1"/>
  <c r="G1087" i="41" l="1"/>
  <c r="H1086" i="41" s="1"/>
  <c r="F1088" i="41"/>
  <c r="C424" i="42"/>
  <c r="B423" i="42"/>
  <c r="D423" i="42" s="1"/>
  <c r="E203" i="41"/>
  <c r="A202" i="41"/>
  <c r="B202" i="41" s="1"/>
  <c r="C201" i="41"/>
  <c r="D202" i="41"/>
  <c r="F1089" i="41" l="1"/>
  <c r="G1088" i="41"/>
  <c r="C425" i="42"/>
  <c r="B424" i="42"/>
  <c r="D424" i="42" s="1"/>
  <c r="C202" i="41"/>
  <c r="D203" i="41"/>
  <c r="E204" i="41"/>
  <c r="A203" i="41"/>
  <c r="B203" i="41" s="1"/>
  <c r="H1087" i="41" l="1"/>
  <c r="G1089" i="41"/>
  <c r="H1088" i="41" s="1"/>
  <c r="F1090" i="41"/>
  <c r="B425" i="42"/>
  <c r="D425" i="42" s="1"/>
  <c r="C426" i="42"/>
  <c r="E205" i="41"/>
  <c r="A204" i="41"/>
  <c r="B204" i="41" s="1"/>
  <c r="C203" i="41"/>
  <c r="D204" i="41"/>
  <c r="G1090" i="41" l="1"/>
  <c r="F1091" i="41"/>
  <c r="B426" i="42"/>
  <c r="D426" i="42" s="1"/>
  <c r="C427" i="42"/>
  <c r="C204" i="41"/>
  <c r="D205" i="41"/>
  <c r="E206" i="41"/>
  <c r="A205" i="41"/>
  <c r="B205" i="41" s="1"/>
  <c r="F1092" i="41" l="1"/>
  <c r="G1091" i="41"/>
  <c r="H1090" i="41" s="1"/>
  <c r="H1089" i="41"/>
  <c r="C428" i="42"/>
  <c r="B427" i="42"/>
  <c r="D427" i="42" s="1"/>
  <c r="E207" i="41"/>
  <c r="A206" i="41"/>
  <c r="B206" i="41" s="1"/>
  <c r="C205" i="41"/>
  <c r="D206" i="41"/>
  <c r="G1092" i="41" l="1"/>
  <c r="F1093" i="41"/>
  <c r="C429" i="42"/>
  <c r="B428" i="42"/>
  <c r="D428" i="42" s="1"/>
  <c r="C206" i="41"/>
  <c r="D207" i="41"/>
  <c r="E208" i="41"/>
  <c r="A207" i="41"/>
  <c r="B207" i="41" s="1"/>
  <c r="F1094" i="41" l="1"/>
  <c r="G1093" i="41"/>
  <c r="H1092" i="41" s="1"/>
  <c r="H1091" i="41"/>
  <c r="B429" i="42"/>
  <c r="D429" i="42" s="1"/>
  <c r="C430" i="42"/>
  <c r="E209" i="41"/>
  <c r="A208" i="41"/>
  <c r="B208" i="41" s="1"/>
  <c r="C207" i="41"/>
  <c r="D208" i="41"/>
  <c r="F1095" i="41" l="1"/>
  <c r="G1094" i="41"/>
  <c r="B430" i="42"/>
  <c r="D430" i="42" s="1"/>
  <c r="C431" i="42"/>
  <c r="C208" i="41"/>
  <c r="D209" i="41"/>
  <c r="E210" i="41"/>
  <c r="A209" i="41"/>
  <c r="B209" i="41" s="1"/>
  <c r="H1093" i="41" l="1"/>
  <c r="G1095" i="41"/>
  <c r="H1094" i="41" s="1"/>
  <c r="F1096" i="41"/>
  <c r="C432" i="42"/>
  <c r="B431" i="42"/>
  <c r="D431" i="42" s="1"/>
  <c r="E211" i="41"/>
  <c r="A210" i="41"/>
  <c r="B210" i="41" s="1"/>
  <c r="C209" i="41"/>
  <c r="D210" i="41"/>
  <c r="F1097" i="41" l="1"/>
  <c r="G1096" i="41"/>
  <c r="C433" i="42"/>
  <c r="B432" i="42"/>
  <c r="C210" i="41"/>
  <c r="D211" i="41"/>
  <c r="E212" i="41"/>
  <c r="A211" i="41"/>
  <c r="B211" i="41" s="1"/>
  <c r="H1095" i="41" l="1"/>
  <c r="G1097" i="41"/>
  <c r="H1096" i="41" s="1"/>
  <c r="F1098" i="41"/>
  <c r="B433" i="42"/>
  <c r="D433" i="42" s="1"/>
  <c r="C434" i="42"/>
  <c r="E213" i="41"/>
  <c r="A212" i="41"/>
  <c r="B212" i="41" s="1"/>
  <c r="C211" i="41"/>
  <c r="D212" i="41"/>
  <c r="G1098" i="41" l="1"/>
  <c r="H1097" i="41" s="1"/>
  <c r="F1099" i="41"/>
  <c r="C435" i="42"/>
  <c r="B434" i="42"/>
  <c r="D434" i="42" s="1"/>
  <c r="C212" i="41"/>
  <c r="D213" i="41"/>
  <c r="E214" i="41"/>
  <c r="A213" i="41"/>
  <c r="B213" i="41" s="1"/>
  <c r="F1100" i="41" l="1"/>
  <c r="G1099" i="41"/>
  <c r="H1098" i="41" s="1"/>
  <c r="C436" i="42"/>
  <c r="B435" i="42"/>
  <c r="D435" i="42" s="1"/>
  <c r="E215" i="41"/>
  <c r="A214" i="41"/>
  <c r="B214" i="41" s="1"/>
  <c r="C213" i="41"/>
  <c r="D214" i="41"/>
  <c r="G1100" i="41" l="1"/>
  <c r="H1099" i="41" s="1"/>
  <c r="F1101" i="41"/>
  <c r="B436" i="42"/>
  <c r="D436" i="42" s="1"/>
  <c r="C437" i="42"/>
  <c r="C214" i="41"/>
  <c r="D215" i="41"/>
  <c r="E216" i="41"/>
  <c r="A215" i="41"/>
  <c r="B215" i="41" s="1"/>
  <c r="F1102" i="41" l="1"/>
  <c r="G1101" i="41"/>
  <c r="H1100" i="41" s="1"/>
  <c r="B437" i="42"/>
  <c r="D437" i="42" s="1"/>
  <c r="C438" i="42"/>
  <c r="E217" i="41"/>
  <c r="A216" i="41"/>
  <c r="B216" i="41" s="1"/>
  <c r="C215" i="41"/>
  <c r="D216" i="41"/>
  <c r="F1103" i="41" l="1"/>
  <c r="G1102" i="41"/>
  <c r="H1101" i="41" s="1"/>
  <c r="C439" i="42"/>
  <c r="B438" i="42"/>
  <c r="D438" i="42" s="1"/>
  <c r="C216" i="41"/>
  <c r="D217" i="41"/>
  <c r="E218" i="41"/>
  <c r="A217" i="41"/>
  <c r="B217" i="41" s="1"/>
  <c r="G1103" i="41" l="1"/>
  <c r="H1102" i="41" s="1"/>
  <c r="F1104" i="41"/>
  <c r="C440" i="42"/>
  <c r="B439" i="42"/>
  <c r="D439" i="42" s="1"/>
  <c r="E219" i="41"/>
  <c r="A218" i="41"/>
  <c r="B218" i="41" s="1"/>
  <c r="C217" i="41"/>
  <c r="D218" i="41"/>
  <c r="G1104" i="41" l="1"/>
  <c r="B440" i="42"/>
  <c r="D440" i="42" s="1"/>
  <c r="C441" i="42"/>
  <c r="C218" i="41"/>
  <c r="D219" i="41"/>
  <c r="E220" i="41"/>
  <c r="A219" i="41"/>
  <c r="B219" i="41" s="1"/>
  <c r="H1103" i="41" l="1"/>
  <c r="B441" i="42"/>
  <c r="D441" i="42" s="1"/>
  <c r="C442" i="42"/>
  <c r="E221" i="41"/>
  <c r="A220" i="41"/>
  <c r="B220" i="41" s="1"/>
  <c r="C219" i="41"/>
  <c r="D220" i="41"/>
  <c r="C443" i="42" l="1"/>
  <c r="B442" i="42"/>
  <c r="D442" i="42" s="1"/>
  <c r="C220" i="41"/>
  <c r="D221" i="41"/>
  <c r="E222" i="41"/>
  <c r="A221" i="41"/>
  <c r="B221" i="41" s="1"/>
  <c r="C444" i="42" l="1"/>
  <c r="B443" i="42"/>
  <c r="D443" i="42" s="1"/>
  <c r="E223" i="41"/>
  <c r="A222" i="41"/>
  <c r="B222" i="41" s="1"/>
  <c r="C221" i="41"/>
  <c r="D222" i="41"/>
  <c r="C445" i="42" l="1"/>
  <c r="B444" i="42"/>
  <c r="D444" i="42" s="1"/>
  <c r="C222" i="41"/>
  <c r="D223" i="41"/>
  <c r="E224" i="41"/>
  <c r="A223" i="41"/>
  <c r="B223" i="41" s="1"/>
  <c r="B445" i="42" l="1"/>
  <c r="C446" i="42"/>
  <c r="E225" i="41"/>
  <c r="A224" i="41"/>
  <c r="B224" i="41" s="1"/>
  <c r="C223" i="41"/>
  <c r="D224" i="41"/>
  <c r="B446" i="42" l="1"/>
  <c r="D446" i="42" s="1"/>
  <c r="C447" i="42"/>
  <c r="C224" i="41"/>
  <c r="D225" i="41"/>
  <c r="E226" i="41"/>
  <c r="A225" i="41"/>
  <c r="B225" i="41" s="1"/>
  <c r="C448" i="42" l="1"/>
  <c r="B447" i="42"/>
  <c r="D447" i="42" s="1"/>
  <c r="E227" i="41"/>
  <c r="A226" i="41"/>
  <c r="B226" i="41" s="1"/>
  <c r="C225" i="41"/>
  <c r="D226" i="41"/>
  <c r="C449" i="42" l="1"/>
  <c r="B448" i="42"/>
  <c r="D448" i="42" s="1"/>
  <c r="C226" i="41"/>
  <c r="D227" i="41"/>
  <c r="E228" i="41"/>
  <c r="A227" i="41"/>
  <c r="B227" i="41" s="1"/>
  <c r="B449" i="42" l="1"/>
  <c r="D449" i="42" s="1"/>
  <c r="C450" i="42"/>
  <c r="E229" i="41"/>
  <c r="A228" i="41"/>
  <c r="B228" i="41" s="1"/>
  <c r="C227" i="41"/>
  <c r="D228" i="41"/>
  <c r="C451" i="42" l="1"/>
  <c r="B450" i="42"/>
  <c r="D450" i="42" s="1"/>
  <c r="C228" i="41"/>
  <c r="D229" i="41"/>
  <c r="E230" i="41"/>
  <c r="A229" i="41"/>
  <c r="B229" i="41" s="1"/>
  <c r="C452" i="42" l="1"/>
  <c r="B451" i="42"/>
  <c r="D451" i="42" s="1"/>
  <c r="E231" i="41"/>
  <c r="A230" i="41"/>
  <c r="B230" i="41" s="1"/>
  <c r="C229" i="41"/>
  <c r="D230" i="41"/>
  <c r="B452" i="42" l="1"/>
  <c r="D452" i="42" s="1"/>
  <c r="C453" i="42"/>
  <c r="C230" i="41"/>
  <c r="D231" i="41"/>
  <c r="E232" i="41"/>
  <c r="A231" i="41"/>
  <c r="B231" i="41" s="1"/>
  <c r="B453" i="42" l="1"/>
  <c r="D453" i="42" s="1"/>
  <c r="C454" i="42"/>
  <c r="E233" i="41"/>
  <c r="A232" i="41"/>
  <c r="B232" i="41" s="1"/>
  <c r="C231" i="41"/>
  <c r="D232" i="41"/>
  <c r="C455" i="42" l="1"/>
  <c r="B454" i="42"/>
  <c r="D454" i="42" s="1"/>
  <c r="C232" i="41"/>
  <c r="D233" i="41"/>
  <c r="E234" i="41"/>
  <c r="A233" i="41"/>
  <c r="B233" i="41" s="1"/>
  <c r="C456" i="42" l="1"/>
  <c r="B455" i="42"/>
  <c r="D455" i="42" s="1"/>
  <c r="E235" i="41"/>
  <c r="A234" i="41"/>
  <c r="B234" i="41" s="1"/>
  <c r="C233" i="41"/>
  <c r="D234" i="41"/>
  <c r="B456" i="42" l="1"/>
  <c r="D456" i="42" s="1"/>
  <c r="C457" i="42"/>
  <c r="C234" i="41"/>
  <c r="D235" i="41"/>
  <c r="E236" i="41"/>
  <c r="A235" i="41"/>
  <c r="B235" i="41" s="1"/>
  <c r="B457" i="42" l="1"/>
  <c r="D457" i="42" s="1"/>
  <c r="C458" i="42"/>
  <c r="E237" i="41"/>
  <c r="A236" i="41"/>
  <c r="B236" i="41" s="1"/>
  <c r="C235" i="41"/>
  <c r="D236" i="41"/>
  <c r="C459" i="42" l="1"/>
  <c r="B458" i="42"/>
  <c r="C236" i="41"/>
  <c r="D237" i="41"/>
  <c r="E238" i="41"/>
  <c r="A237" i="41"/>
  <c r="B237" i="41" s="1"/>
  <c r="C460" i="42" l="1"/>
  <c r="B459" i="42"/>
  <c r="D459" i="42" s="1"/>
  <c r="E239" i="41"/>
  <c r="A238" i="41"/>
  <c r="B238" i="41" s="1"/>
  <c r="C237" i="41"/>
  <c r="D238" i="41"/>
  <c r="B460" i="42" l="1"/>
  <c r="D460" i="42" s="1"/>
  <c r="C461" i="42"/>
  <c r="C238" i="41"/>
  <c r="D239" i="41"/>
  <c r="E240" i="41"/>
  <c r="A239" i="41"/>
  <c r="B239" i="41" s="1"/>
  <c r="B461" i="42" l="1"/>
  <c r="D461" i="42" s="1"/>
  <c r="C462" i="42"/>
  <c r="E241" i="41"/>
  <c r="A240" i="41"/>
  <c r="B240" i="41" s="1"/>
  <c r="C239" i="41"/>
  <c r="D240" i="41"/>
  <c r="C463" i="42" l="1"/>
  <c r="B462" i="42"/>
  <c r="D462" i="42" s="1"/>
  <c r="C240" i="41"/>
  <c r="D241" i="41"/>
  <c r="E242" i="41"/>
  <c r="A241" i="41"/>
  <c r="B241" i="41" s="1"/>
  <c r="C464" i="42" l="1"/>
  <c r="B463" i="42"/>
  <c r="D463" i="42" s="1"/>
  <c r="E243" i="41"/>
  <c r="A242" i="41"/>
  <c r="B242" i="41" s="1"/>
  <c r="C241" i="41"/>
  <c r="D242" i="41"/>
  <c r="B464" i="42" l="1"/>
  <c r="D464" i="42" s="1"/>
  <c r="C465" i="42"/>
  <c r="C242" i="41"/>
  <c r="D243" i="41"/>
  <c r="E244" i="41"/>
  <c r="A243" i="41"/>
  <c r="B243" i="41" s="1"/>
  <c r="B465" i="42" l="1"/>
  <c r="D465" i="42" s="1"/>
  <c r="C466" i="42"/>
  <c r="E245" i="41"/>
  <c r="A244" i="41"/>
  <c r="B244" i="41" s="1"/>
  <c r="C243" i="41"/>
  <c r="D244" i="41"/>
  <c r="C467" i="42" l="1"/>
  <c r="B466" i="42"/>
  <c r="D466" i="42" s="1"/>
  <c r="C244" i="41"/>
  <c r="D245" i="41"/>
  <c r="E246" i="41"/>
  <c r="A245" i="41"/>
  <c r="B245" i="41" s="1"/>
  <c r="C468" i="42" l="1"/>
  <c r="B467" i="42"/>
  <c r="D467" i="42" s="1"/>
  <c r="E247" i="41"/>
  <c r="A246" i="41"/>
  <c r="B246" i="41" s="1"/>
  <c r="C245" i="41"/>
  <c r="D246" i="41"/>
  <c r="B468" i="42" l="1"/>
  <c r="D468" i="42" s="1"/>
  <c r="C469" i="42"/>
  <c r="C246" i="41"/>
  <c r="D247" i="41"/>
  <c r="E248" i="41"/>
  <c r="A247" i="41"/>
  <c r="B247" i="41" s="1"/>
  <c r="B469" i="42" l="1"/>
  <c r="D469" i="42" s="1"/>
  <c r="C470" i="42"/>
  <c r="E249" i="41"/>
  <c r="A248" i="41"/>
  <c r="B248" i="41" s="1"/>
  <c r="C247" i="41"/>
  <c r="D248" i="41"/>
  <c r="C471" i="42" l="1"/>
  <c r="B470" i="42"/>
  <c r="D470" i="42" s="1"/>
  <c r="C248" i="41"/>
  <c r="D249" i="41"/>
  <c r="E250" i="41"/>
  <c r="A249" i="41"/>
  <c r="B249" i="41" s="1"/>
  <c r="C472" i="42" l="1"/>
  <c r="B471" i="42"/>
  <c r="D471" i="42" s="1"/>
  <c r="E251" i="41"/>
  <c r="A250" i="41"/>
  <c r="B250" i="41" s="1"/>
  <c r="C249" i="41"/>
  <c r="D250" i="41"/>
  <c r="B472" i="42" l="1"/>
  <c r="D472" i="42" s="1"/>
  <c r="C473" i="42"/>
  <c r="C250" i="41"/>
  <c r="D251" i="41"/>
  <c r="E252" i="41"/>
  <c r="A251" i="41"/>
  <c r="B251" i="41" s="1"/>
  <c r="B473" i="42" l="1"/>
  <c r="D473" i="42" s="1"/>
  <c r="C474" i="42"/>
  <c r="E253" i="41"/>
  <c r="A252" i="41"/>
  <c r="B252" i="41" s="1"/>
  <c r="C251" i="41"/>
  <c r="D252" i="41"/>
  <c r="C475" i="42" l="1"/>
  <c r="B474" i="42"/>
  <c r="D474" i="42" s="1"/>
  <c r="C252" i="41"/>
  <c r="D253" i="41"/>
  <c r="E254" i="41"/>
  <c r="A253" i="41"/>
  <c r="B253" i="41" s="1"/>
  <c r="C476" i="42" l="1"/>
  <c r="B475" i="42"/>
  <c r="D475" i="42" s="1"/>
  <c r="E255" i="41"/>
  <c r="A254" i="41"/>
  <c r="B254" i="41" s="1"/>
  <c r="C253" i="41"/>
  <c r="D254" i="41"/>
  <c r="B476" i="42" l="1"/>
  <c r="D476" i="42" s="1"/>
  <c r="C477" i="42"/>
  <c r="C254" i="41"/>
  <c r="D255" i="41"/>
  <c r="E256" i="41"/>
  <c r="A255" i="41"/>
  <c r="B255" i="41" s="1"/>
  <c r="B477" i="42" l="1"/>
  <c r="D477" i="42" s="1"/>
  <c r="C478" i="42"/>
  <c r="E257" i="41"/>
  <c r="A256" i="41"/>
  <c r="B256" i="41" s="1"/>
  <c r="C255" i="41"/>
  <c r="D256" i="41"/>
  <c r="C479" i="42" l="1"/>
  <c r="B478" i="42"/>
  <c r="D478" i="42" s="1"/>
  <c r="C256" i="41"/>
  <c r="D257" i="41"/>
  <c r="E258" i="41"/>
  <c r="A257" i="41"/>
  <c r="B257" i="41" s="1"/>
  <c r="C480" i="42" l="1"/>
  <c r="B479" i="42"/>
  <c r="D479" i="42" s="1"/>
  <c r="E259" i="41"/>
  <c r="A258" i="41"/>
  <c r="B258" i="41" s="1"/>
  <c r="C257" i="41"/>
  <c r="D258" i="41"/>
  <c r="B480" i="42" l="1"/>
  <c r="D480" i="42" s="1"/>
  <c r="C481" i="42"/>
  <c r="C258" i="41"/>
  <c r="D259" i="41"/>
  <c r="E260" i="41"/>
  <c r="A259" i="41"/>
  <c r="B259" i="41" s="1"/>
  <c r="B481" i="42" l="1"/>
  <c r="D481" i="42" s="1"/>
  <c r="C482" i="42"/>
  <c r="E261" i="41"/>
  <c r="A260" i="41"/>
  <c r="B260" i="41" s="1"/>
  <c r="C259" i="41"/>
  <c r="D260" i="41"/>
  <c r="C483" i="42" l="1"/>
  <c r="B482" i="42"/>
  <c r="D482" i="42" s="1"/>
  <c r="C260" i="41"/>
  <c r="D261" i="41"/>
  <c r="E262" i="41"/>
  <c r="A261" i="41"/>
  <c r="B261" i="41" s="1"/>
  <c r="C484" i="42" l="1"/>
  <c r="B483" i="42"/>
  <c r="D483" i="42" s="1"/>
  <c r="E263" i="41"/>
  <c r="A262" i="41"/>
  <c r="B262" i="41" s="1"/>
  <c r="C261" i="41"/>
  <c r="D262" i="41"/>
  <c r="B484" i="42" l="1"/>
  <c r="D484" i="42" s="1"/>
  <c r="C485" i="42"/>
  <c r="E264" i="41"/>
  <c r="A263" i="41"/>
  <c r="B263" i="41" s="1"/>
  <c r="C262" i="41"/>
  <c r="D263" i="41"/>
  <c r="B485" i="42" l="1"/>
  <c r="D485" i="42" s="1"/>
  <c r="C486" i="42"/>
  <c r="E265" i="41"/>
  <c r="A264" i="41"/>
  <c r="B264" i="41" s="1"/>
  <c r="C263" i="41"/>
  <c r="D264" i="41"/>
  <c r="C487" i="42" l="1"/>
  <c r="B486" i="42"/>
  <c r="D486" i="42" s="1"/>
  <c r="E266" i="41"/>
  <c r="A265" i="41"/>
  <c r="B265" i="41" s="1"/>
  <c r="C264" i="41"/>
  <c r="D265" i="41"/>
  <c r="C488" i="42" l="1"/>
  <c r="B487" i="42"/>
  <c r="D487" i="42" s="1"/>
  <c r="E267" i="41"/>
  <c r="A266" i="41"/>
  <c r="B266" i="41" s="1"/>
  <c r="C265" i="41"/>
  <c r="D266" i="41"/>
  <c r="B488" i="42" l="1"/>
  <c r="D488" i="42" s="1"/>
  <c r="C489" i="42"/>
  <c r="A267" i="41"/>
  <c r="B267" i="41" s="1"/>
  <c r="E268" i="41"/>
  <c r="C266" i="41"/>
  <c r="D267" i="41"/>
  <c r="B489" i="42" l="1"/>
  <c r="D489" i="42" s="1"/>
  <c r="C490" i="42"/>
  <c r="D268" i="41"/>
  <c r="C267" i="41"/>
  <c r="E269" i="41"/>
  <c r="A268" i="41"/>
  <c r="B268" i="41" s="1"/>
  <c r="C491" i="42" l="1"/>
  <c r="B490" i="42"/>
  <c r="D490" i="42" s="1"/>
  <c r="D269" i="41"/>
  <c r="C268" i="41"/>
  <c r="E270" i="41"/>
  <c r="A269" i="41"/>
  <c r="B269" i="41" s="1"/>
  <c r="C492" i="42" l="1"/>
  <c r="B491" i="42"/>
  <c r="D491" i="42" s="1"/>
  <c r="C269" i="41"/>
  <c r="D270" i="41"/>
  <c r="E271" i="41"/>
  <c r="A270" i="41"/>
  <c r="B270" i="41" s="1"/>
  <c r="B492" i="42" l="1"/>
  <c r="D492" i="42" s="1"/>
  <c r="C493" i="42"/>
  <c r="E272" i="41"/>
  <c r="A271" i="41"/>
  <c r="B271" i="41" s="1"/>
  <c r="C270" i="41"/>
  <c r="D271" i="41"/>
  <c r="B493" i="42" l="1"/>
  <c r="D493" i="42" s="1"/>
  <c r="C494" i="42"/>
  <c r="E273" i="41"/>
  <c r="A272" i="41"/>
  <c r="B272" i="41" s="1"/>
  <c r="D272" i="41"/>
  <c r="C271" i="41"/>
  <c r="C495" i="42" l="1"/>
  <c r="B494" i="42"/>
  <c r="D494" i="42" s="1"/>
  <c r="E274" i="41"/>
  <c r="A273" i="41"/>
  <c r="B273" i="41" s="1"/>
  <c r="D273" i="41"/>
  <c r="C272" i="41"/>
  <c r="C496" i="42" l="1"/>
  <c r="B495" i="42"/>
  <c r="D495" i="42" s="1"/>
  <c r="E275" i="41"/>
  <c r="A274" i="41"/>
  <c r="B274" i="41" s="1"/>
  <c r="C273" i="41"/>
  <c r="D274" i="41"/>
  <c r="B496" i="42" l="1"/>
  <c r="D496" i="42" s="1"/>
  <c r="C497" i="42"/>
  <c r="E276" i="41"/>
  <c r="A275" i="41"/>
  <c r="B275" i="41" s="1"/>
  <c r="C274" i="41"/>
  <c r="D275" i="41"/>
  <c r="B497" i="42" l="1"/>
  <c r="D497" i="42" s="1"/>
  <c r="C498" i="42"/>
  <c r="E277" i="41"/>
  <c r="A276" i="41"/>
  <c r="B276" i="41" s="1"/>
  <c r="D276" i="41"/>
  <c r="C275" i="41"/>
  <c r="B498" i="42" l="1"/>
  <c r="D498" i="42" s="1"/>
  <c r="C499" i="42"/>
  <c r="E278" i="41"/>
  <c r="A277" i="41"/>
  <c r="B277" i="41" s="1"/>
  <c r="D277" i="41"/>
  <c r="C276" i="41"/>
  <c r="B499" i="42" l="1"/>
  <c r="D499" i="42" s="1"/>
  <c r="C500" i="42"/>
  <c r="E279" i="41"/>
  <c r="A278" i="41"/>
  <c r="B278" i="41" s="1"/>
  <c r="C277" i="41"/>
  <c r="D278" i="41"/>
  <c r="C501" i="42" l="1"/>
  <c r="B500" i="42"/>
  <c r="D500" i="42" s="1"/>
  <c r="E280" i="41"/>
  <c r="A279" i="41"/>
  <c r="B279" i="41" s="1"/>
  <c r="C278" i="41"/>
  <c r="D279" i="41"/>
  <c r="B501" i="42" l="1"/>
  <c r="D501" i="42" s="1"/>
  <c r="C502" i="42"/>
  <c r="EK366" i="3"/>
  <c r="EK367" i="3" s="1"/>
  <c r="EK381" i="3" s="1"/>
  <c r="EK262" i="3"/>
  <c r="EL261" i="3" s="1"/>
  <c r="EL260" i="3" s="1"/>
  <c r="EK368" i="3"/>
  <c r="EK379" i="3" s="1"/>
  <c r="E281" i="41"/>
  <c r="A280" i="41"/>
  <c r="B280" i="41" s="1"/>
  <c r="D280" i="41"/>
  <c r="C279" i="41"/>
  <c r="B502" i="42" l="1"/>
  <c r="D502" i="42" s="1"/>
  <c r="C503" i="42"/>
  <c r="EK261" i="3"/>
  <c r="EK260" i="3" s="1"/>
  <c r="EK397" i="3"/>
  <c r="EK364" i="3"/>
  <c r="E282" i="41"/>
  <c r="A281" i="41"/>
  <c r="B281" i="41" s="1"/>
  <c r="D281" i="41"/>
  <c r="C280" i="41"/>
  <c r="C504" i="42" l="1"/>
  <c r="B503" i="42"/>
  <c r="D503" i="42" s="1"/>
  <c r="EK378" i="3"/>
  <c r="EK375" i="3"/>
  <c r="EK377" i="3" s="1"/>
  <c r="E283" i="41"/>
  <c r="A282" i="41"/>
  <c r="B282" i="41" s="1"/>
  <c r="C281" i="41"/>
  <c r="D282" i="41"/>
  <c r="C505" i="42" l="1"/>
  <c r="B504" i="42"/>
  <c r="D504" i="42" s="1"/>
  <c r="EK380" i="3"/>
  <c r="E284" i="41"/>
  <c r="A283" i="41"/>
  <c r="B283" i="41" s="1"/>
  <c r="C282" i="41"/>
  <c r="D283" i="41"/>
  <c r="C506" i="42" l="1"/>
  <c r="B505" i="42"/>
  <c r="D505" i="42" s="1"/>
  <c r="E285" i="41"/>
  <c r="A284" i="41"/>
  <c r="B284" i="41" s="1"/>
  <c r="D284" i="41"/>
  <c r="C283" i="41"/>
  <c r="B506" i="42" l="1"/>
  <c r="D506" i="42" s="1"/>
  <c r="C507" i="42"/>
  <c r="E286" i="41"/>
  <c r="A285" i="41"/>
  <c r="B285" i="41" s="1"/>
  <c r="D285" i="41"/>
  <c r="C284" i="41"/>
  <c r="B507" i="42" l="1"/>
  <c r="D507" i="42" s="1"/>
  <c r="C508" i="42"/>
  <c r="E287" i="41"/>
  <c r="A286" i="41"/>
  <c r="B286" i="41" s="1"/>
  <c r="C285" i="41"/>
  <c r="D286" i="41"/>
  <c r="C509" i="42" l="1"/>
  <c r="B508" i="42"/>
  <c r="D508" i="42" s="1"/>
  <c r="E288" i="41"/>
  <c r="A287" i="41"/>
  <c r="B287" i="41" s="1"/>
  <c r="C286" i="41"/>
  <c r="D287" i="41"/>
  <c r="B509" i="42" l="1"/>
  <c r="D509" i="42" s="1"/>
  <c r="C510" i="42"/>
  <c r="E289" i="41"/>
  <c r="A288" i="41"/>
  <c r="B288" i="41" s="1"/>
  <c r="D288" i="41"/>
  <c r="C287" i="41"/>
  <c r="C511" i="42" l="1"/>
  <c r="B510" i="42"/>
  <c r="D510" i="42" s="1"/>
  <c r="E290" i="41"/>
  <c r="A289" i="41"/>
  <c r="B289" i="41" s="1"/>
  <c r="D289" i="41"/>
  <c r="C288" i="41"/>
  <c r="C512" i="42" l="1"/>
  <c r="B511" i="42"/>
  <c r="D511" i="42" s="1"/>
  <c r="E291" i="41"/>
  <c r="A290" i="41"/>
  <c r="B290" i="41" s="1"/>
  <c r="C289" i="41"/>
  <c r="D290" i="41"/>
  <c r="C513" i="42" l="1"/>
  <c r="B512" i="42"/>
  <c r="D512" i="42" s="1"/>
  <c r="E292" i="41"/>
  <c r="A291" i="41"/>
  <c r="B291" i="41" s="1"/>
  <c r="C290" i="41"/>
  <c r="D291" i="41"/>
  <c r="C514" i="42" l="1"/>
  <c r="B513" i="42"/>
  <c r="D513" i="42" s="1"/>
  <c r="E293" i="41"/>
  <c r="A292" i="41"/>
  <c r="B292" i="41" s="1"/>
  <c r="D292" i="41"/>
  <c r="C291" i="41"/>
  <c r="B514" i="42" l="1"/>
  <c r="D514" i="42" s="1"/>
  <c r="C515" i="42"/>
  <c r="E294" i="41"/>
  <c r="A293" i="41"/>
  <c r="B293" i="41" s="1"/>
  <c r="D293" i="41"/>
  <c r="C292" i="41"/>
  <c r="C516" i="42" l="1"/>
  <c r="B515" i="42"/>
  <c r="D515" i="42" s="1"/>
  <c r="E295" i="41"/>
  <c r="A294" i="41"/>
  <c r="B294" i="41" s="1"/>
  <c r="C293" i="41"/>
  <c r="D294" i="41"/>
  <c r="C517" i="42" l="1"/>
  <c r="B516" i="42"/>
  <c r="D516" i="42" s="1"/>
  <c r="E296" i="41"/>
  <c r="A295" i="41"/>
  <c r="B295" i="41" s="1"/>
  <c r="C294" i="41"/>
  <c r="D295" i="41"/>
  <c r="B517" i="42" l="1"/>
  <c r="D517" i="42" s="1"/>
  <c r="C518" i="42"/>
  <c r="E297" i="41"/>
  <c r="A296" i="41"/>
  <c r="B296" i="41" s="1"/>
  <c r="D296" i="41"/>
  <c r="C295" i="41"/>
  <c r="C519" i="42" l="1"/>
  <c r="B518" i="42"/>
  <c r="D518" i="42" s="1"/>
  <c r="E298" i="41"/>
  <c r="A297" i="41"/>
  <c r="B297" i="41" s="1"/>
  <c r="D297" i="41"/>
  <c r="C296" i="41"/>
  <c r="C520" i="42" l="1"/>
  <c r="B519" i="42"/>
  <c r="D519" i="42" s="1"/>
  <c r="E299" i="41"/>
  <c r="A298" i="41"/>
  <c r="B298" i="41" s="1"/>
  <c r="C297" i="41"/>
  <c r="D298" i="41"/>
  <c r="C521" i="42" l="1"/>
  <c r="B520" i="42"/>
  <c r="D520" i="42" s="1"/>
  <c r="E300" i="41"/>
  <c r="A299" i="41"/>
  <c r="B299" i="41" s="1"/>
  <c r="C298" i="41"/>
  <c r="D299" i="41"/>
  <c r="C522" i="42" l="1"/>
  <c r="B521" i="42"/>
  <c r="D521" i="42" s="1"/>
  <c r="E301" i="41"/>
  <c r="A300" i="41"/>
  <c r="B300" i="41" s="1"/>
  <c r="D300" i="41"/>
  <c r="C299" i="41"/>
  <c r="B522" i="42" l="1"/>
  <c r="D522" i="42" s="1"/>
  <c r="C523" i="42"/>
  <c r="E302" i="41"/>
  <c r="A301" i="41"/>
  <c r="B301" i="41" s="1"/>
  <c r="D301" i="41"/>
  <c r="C300" i="41"/>
  <c r="C524" i="42" l="1"/>
  <c r="B523" i="42"/>
  <c r="D523" i="42" s="1"/>
  <c r="E303" i="41"/>
  <c r="A302" i="41"/>
  <c r="B302" i="41" s="1"/>
  <c r="C301" i="41"/>
  <c r="D302" i="41"/>
  <c r="B524" i="42" l="1"/>
  <c r="D524" i="42" s="1"/>
  <c r="C525" i="42"/>
  <c r="E304" i="41"/>
  <c r="A303" i="41"/>
  <c r="B303" i="41" s="1"/>
  <c r="C302" i="41"/>
  <c r="D303" i="41"/>
  <c r="B525" i="42" l="1"/>
  <c r="D525" i="42" s="1"/>
  <c r="C526" i="42"/>
  <c r="E305" i="41"/>
  <c r="A304" i="41"/>
  <c r="B304" i="41" s="1"/>
  <c r="D304" i="41"/>
  <c r="C303" i="41"/>
  <c r="C527" i="42" l="1"/>
  <c r="B526" i="42"/>
  <c r="D526" i="42" s="1"/>
  <c r="E306" i="41"/>
  <c r="A305" i="41"/>
  <c r="B305" i="41" s="1"/>
  <c r="D305" i="41"/>
  <c r="C304" i="41"/>
  <c r="C528" i="42" l="1"/>
  <c r="B527" i="42"/>
  <c r="D527" i="42" s="1"/>
  <c r="E307" i="41"/>
  <c r="A306" i="41"/>
  <c r="B306" i="41" s="1"/>
  <c r="C305" i="41"/>
  <c r="D306" i="41"/>
  <c r="B528" i="42" l="1"/>
  <c r="D528" i="42" s="1"/>
  <c r="C529" i="42"/>
  <c r="E308" i="41"/>
  <c r="A307" i="41"/>
  <c r="B307" i="41" s="1"/>
  <c r="C306" i="41"/>
  <c r="D307" i="41"/>
  <c r="B529" i="42" l="1"/>
  <c r="D529" i="42" s="1"/>
  <c r="C530" i="42"/>
  <c r="E309" i="41"/>
  <c r="A308" i="41"/>
  <c r="B308" i="41" s="1"/>
  <c r="D308" i="41"/>
  <c r="C307" i="41"/>
  <c r="B530" i="42" l="1"/>
  <c r="D530" i="42" s="1"/>
  <c r="C531" i="42"/>
  <c r="E310" i="41"/>
  <c r="A309" i="41"/>
  <c r="B309" i="41" s="1"/>
  <c r="D309" i="41"/>
  <c r="C308" i="41"/>
  <c r="B531" i="42" l="1"/>
  <c r="D531" i="42" s="1"/>
  <c r="C532" i="42"/>
  <c r="E311" i="41"/>
  <c r="A310" i="41"/>
  <c r="B310" i="41" s="1"/>
  <c r="C309" i="41"/>
  <c r="D310" i="41"/>
  <c r="C533" i="42" l="1"/>
  <c r="B532" i="42"/>
  <c r="D532" i="42" s="1"/>
  <c r="E312" i="41"/>
  <c r="A311" i="41"/>
  <c r="B311" i="41" s="1"/>
  <c r="C310" i="41"/>
  <c r="D311" i="41"/>
  <c r="B533" i="42" l="1"/>
  <c r="D533" i="42" s="1"/>
  <c r="C534" i="42"/>
  <c r="E313" i="41"/>
  <c r="A312" i="41"/>
  <c r="B312" i="41" s="1"/>
  <c r="D312" i="41"/>
  <c r="C311" i="41"/>
  <c r="C535" i="42" l="1"/>
  <c r="B534" i="42"/>
  <c r="D534" i="42" s="1"/>
  <c r="E314" i="41"/>
  <c r="A313" i="41"/>
  <c r="B313" i="41" s="1"/>
  <c r="D313" i="41"/>
  <c r="C312" i="41"/>
  <c r="C536" i="42" l="1"/>
  <c r="B535" i="42"/>
  <c r="D535" i="42" s="1"/>
  <c r="E315" i="41"/>
  <c r="A314" i="41"/>
  <c r="B314" i="41" s="1"/>
  <c r="C313" i="41"/>
  <c r="D314" i="41"/>
  <c r="B536" i="42" l="1"/>
  <c r="D536" i="42" s="1"/>
  <c r="C537" i="42"/>
  <c r="E316" i="41"/>
  <c r="A315" i="41"/>
  <c r="B315" i="41" s="1"/>
  <c r="C314" i="41"/>
  <c r="D315" i="41"/>
  <c r="C538" i="42" l="1"/>
  <c r="B537" i="42"/>
  <c r="D537" i="42" s="1"/>
  <c r="E317" i="41"/>
  <c r="A316" i="41"/>
  <c r="B316" i="41" s="1"/>
  <c r="D316" i="41"/>
  <c r="C315" i="41"/>
  <c r="B538" i="42" l="1"/>
  <c r="D538" i="42" s="1"/>
  <c r="C539" i="42"/>
  <c r="E318" i="41"/>
  <c r="A317" i="41"/>
  <c r="B317" i="41" s="1"/>
  <c r="D317" i="41"/>
  <c r="C316" i="41"/>
  <c r="C540" i="42" l="1"/>
  <c r="B539" i="42"/>
  <c r="D539" i="42" s="1"/>
  <c r="E319" i="41"/>
  <c r="A318" i="41"/>
  <c r="B318" i="41" s="1"/>
  <c r="C317" i="41"/>
  <c r="D318" i="41"/>
  <c r="C541" i="42" l="1"/>
  <c r="B540" i="42"/>
  <c r="D540" i="42" s="1"/>
  <c r="E320" i="41"/>
  <c r="A319" i="41"/>
  <c r="B319" i="41" s="1"/>
  <c r="C318" i="41"/>
  <c r="D319" i="41"/>
  <c r="B541" i="42" l="1"/>
  <c r="D541" i="42" s="1"/>
  <c r="C542" i="42"/>
  <c r="E321" i="41"/>
  <c r="A320" i="41"/>
  <c r="B320" i="41" s="1"/>
  <c r="D320" i="41"/>
  <c r="C319" i="41"/>
  <c r="C543" i="42" l="1"/>
  <c r="B542" i="42"/>
  <c r="D542" i="42" s="1"/>
  <c r="E322" i="41"/>
  <c r="A321" i="41"/>
  <c r="B321" i="41" s="1"/>
  <c r="D321" i="41"/>
  <c r="C320" i="41"/>
  <c r="C544" i="42" l="1"/>
  <c r="B543" i="42"/>
  <c r="D543" i="42" s="1"/>
  <c r="E323" i="41"/>
  <c r="A322" i="41"/>
  <c r="B322" i="41" s="1"/>
  <c r="C321" i="41"/>
  <c r="D322" i="41"/>
  <c r="B544" i="42" l="1"/>
  <c r="D544" i="42" s="1"/>
  <c r="C545" i="42"/>
  <c r="E324" i="41"/>
  <c r="A323" i="41"/>
  <c r="B323" i="41" s="1"/>
  <c r="C322" i="41"/>
  <c r="D323" i="41"/>
  <c r="C546" i="42" l="1"/>
  <c r="B545" i="42"/>
  <c r="D545" i="42" s="1"/>
  <c r="E325" i="41"/>
  <c r="A324" i="41"/>
  <c r="B324" i="41" s="1"/>
  <c r="D324" i="41"/>
  <c r="C323" i="41"/>
  <c r="B546" i="42" l="1"/>
  <c r="D546" i="42" s="1"/>
  <c r="C547" i="42"/>
  <c r="E326" i="41"/>
  <c r="A325" i="41"/>
  <c r="B325" i="41" s="1"/>
  <c r="D325" i="41"/>
  <c r="C324" i="41"/>
  <c r="C548" i="42" l="1"/>
  <c r="B547" i="42"/>
  <c r="D547" i="42" s="1"/>
  <c r="E327" i="41"/>
  <c r="A326" i="41"/>
  <c r="B326" i="41" s="1"/>
  <c r="C325" i="41"/>
  <c r="D326" i="41"/>
  <c r="C549" i="42" l="1"/>
  <c r="B548" i="42"/>
  <c r="D548" i="42" s="1"/>
  <c r="E328" i="41"/>
  <c r="A327" i="41"/>
  <c r="B327" i="41" s="1"/>
  <c r="C326" i="41"/>
  <c r="D327" i="41"/>
  <c r="B549" i="42" l="1"/>
  <c r="D549" i="42" s="1"/>
  <c r="C550" i="42"/>
  <c r="E329" i="41"/>
  <c r="A328" i="41"/>
  <c r="B328" i="41" s="1"/>
  <c r="D328" i="41"/>
  <c r="C327" i="41"/>
  <c r="C551" i="42" l="1"/>
  <c r="B550" i="42"/>
  <c r="D550" i="42" s="1"/>
  <c r="E330" i="41"/>
  <c r="A329" i="41"/>
  <c r="B329" i="41" s="1"/>
  <c r="D329" i="41"/>
  <c r="C328" i="41"/>
  <c r="C552" i="42" l="1"/>
  <c r="B551" i="42"/>
  <c r="D551" i="42" s="1"/>
  <c r="E331" i="41"/>
  <c r="A330" i="41"/>
  <c r="B330" i="41" s="1"/>
  <c r="C329" i="41"/>
  <c r="D330" i="41"/>
  <c r="B552" i="42" l="1"/>
  <c r="D552" i="42" s="1"/>
  <c r="C553" i="42"/>
  <c r="E332" i="41"/>
  <c r="A331" i="41"/>
  <c r="B331" i="41" s="1"/>
  <c r="C330" i="41"/>
  <c r="D331" i="41"/>
  <c r="B553" i="42" l="1"/>
  <c r="D553" i="42" s="1"/>
  <c r="C554" i="42"/>
  <c r="E333" i="41"/>
  <c r="A332" i="41"/>
  <c r="B332" i="41" s="1"/>
  <c r="D332" i="41"/>
  <c r="C331" i="41"/>
  <c r="B554" i="42" l="1"/>
  <c r="D554" i="42" s="1"/>
  <c r="C555" i="42"/>
  <c r="E334" i="41"/>
  <c r="A333" i="41"/>
  <c r="B333" i="41" s="1"/>
  <c r="D333" i="41"/>
  <c r="C332" i="41"/>
  <c r="B555" i="42" l="1"/>
  <c r="D555" i="42" s="1"/>
  <c r="C556" i="42"/>
  <c r="E335" i="41"/>
  <c r="A334" i="41"/>
  <c r="B334" i="41" s="1"/>
  <c r="C333" i="41"/>
  <c r="D334" i="41"/>
  <c r="C557" i="42" l="1"/>
  <c r="B556" i="42"/>
  <c r="D556" i="42" s="1"/>
  <c r="E336" i="41"/>
  <c r="A335" i="41"/>
  <c r="B335" i="41" s="1"/>
  <c r="C334" i="41"/>
  <c r="D335" i="41"/>
  <c r="B557" i="42" l="1"/>
  <c r="D557" i="42" s="1"/>
  <c r="C558" i="42"/>
  <c r="E337" i="41"/>
  <c r="A336" i="41"/>
  <c r="B336" i="41" s="1"/>
  <c r="D336" i="41"/>
  <c r="C335" i="41"/>
  <c r="C559" i="42" l="1"/>
  <c r="B558" i="42"/>
  <c r="D558" i="42" s="1"/>
  <c r="E338" i="41"/>
  <c r="A337" i="41"/>
  <c r="B337" i="41" s="1"/>
  <c r="D337" i="41"/>
  <c r="C336" i="41"/>
  <c r="B559" i="42" l="1"/>
  <c r="D559" i="42" s="1"/>
  <c r="C560" i="42"/>
  <c r="E339" i="41"/>
  <c r="A338" i="41"/>
  <c r="B338" i="41" s="1"/>
  <c r="C337" i="41"/>
  <c r="D338" i="41"/>
  <c r="B560" i="42" l="1"/>
  <c r="D560" i="42" s="1"/>
  <c r="C561" i="42"/>
  <c r="E340" i="41"/>
  <c r="A339" i="41"/>
  <c r="B339" i="41" s="1"/>
  <c r="C338" i="41"/>
  <c r="D339" i="41"/>
  <c r="C562" i="42" l="1"/>
  <c r="B561" i="42"/>
  <c r="D561" i="42" s="1"/>
  <c r="E341" i="41"/>
  <c r="A340" i="41"/>
  <c r="B340" i="41" s="1"/>
  <c r="D340" i="41"/>
  <c r="C339" i="41"/>
  <c r="C563" i="42" l="1"/>
  <c r="B562" i="42"/>
  <c r="D562" i="42" s="1"/>
  <c r="E342" i="41"/>
  <c r="A341" i="41"/>
  <c r="B341" i="41" s="1"/>
  <c r="D341" i="41"/>
  <c r="C340" i="41"/>
  <c r="B563" i="42" l="1"/>
  <c r="D563" i="42" s="1"/>
  <c r="C564" i="42"/>
  <c r="E343" i="41"/>
  <c r="A342" i="41"/>
  <c r="B342" i="41" s="1"/>
  <c r="D342" i="41"/>
  <c r="C341" i="41"/>
  <c r="C565" i="42" l="1"/>
  <c r="B564" i="42"/>
  <c r="D564" i="42" s="1"/>
  <c r="E344" i="41"/>
  <c r="A343" i="41"/>
  <c r="B343" i="41" s="1"/>
  <c r="D343" i="41"/>
  <c r="C342" i="41"/>
  <c r="C566" i="42" l="1"/>
  <c r="B565" i="42"/>
  <c r="D565" i="42" s="1"/>
  <c r="E345" i="41"/>
  <c r="A344" i="41"/>
  <c r="B344" i="41" s="1"/>
  <c r="D344" i="41"/>
  <c r="C343" i="41"/>
  <c r="C567" i="42" l="1"/>
  <c r="B566" i="42"/>
  <c r="D566" i="42" s="1"/>
  <c r="E346" i="41"/>
  <c r="A345" i="41"/>
  <c r="B345" i="41" s="1"/>
  <c r="D345" i="41"/>
  <c r="C344" i="41"/>
  <c r="B567" i="42" l="1"/>
  <c r="D567" i="42" s="1"/>
  <c r="C568" i="42"/>
  <c r="E347" i="41"/>
  <c r="A346" i="41"/>
  <c r="B346" i="41" s="1"/>
  <c r="D346" i="41"/>
  <c r="C345" i="41"/>
  <c r="B568" i="42" l="1"/>
  <c r="D568" i="42" s="1"/>
  <c r="C569" i="42"/>
  <c r="E348" i="41"/>
  <c r="A347" i="41"/>
  <c r="B347" i="41" s="1"/>
  <c r="D347" i="41"/>
  <c r="C346" i="41"/>
  <c r="C570" i="42" l="1"/>
  <c r="B569" i="42"/>
  <c r="D569" i="42" s="1"/>
  <c r="E349" i="41"/>
  <c r="A348" i="41"/>
  <c r="B348" i="41" s="1"/>
  <c r="D348" i="41"/>
  <c r="C347" i="41"/>
  <c r="B570" i="42" l="1"/>
  <c r="D570" i="42" s="1"/>
  <c r="C571" i="42"/>
  <c r="E350" i="41"/>
  <c r="A349" i="41"/>
  <c r="B349" i="41" s="1"/>
  <c r="D349" i="41"/>
  <c r="C348" i="41"/>
  <c r="B571" i="42" l="1"/>
  <c r="D571" i="42" s="1"/>
  <c r="C572" i="42"/>
  <c r="E351" i="41"/>
  <c r="A350" i="41"/>
  <c r="B350" i="41" s="1"/>
  <c r="D350" i="41"/>
  <c r="C349" i="41"/>
  <c r="C573" i="42" l="1"/>
  <c r="B572" i="42"/>
  <c r="D572" i="42" s="1"/>
  <c r="E352" i="41"/>
  <c r="A351" i="41"/>
  <c r="B351" i="41" s="1"/>
  <c r="D351" i="41"/>
  <c r="C350" i="41"/>
  <c r="C574" i="42" l="1"/>
  <c r="B573" i="42"/>
  <c r="D573" i="42" s="1"/>
  <c r="E353" i="41"/>
  <c r="A352" i="41"/>
  <c r="B352" i="41" s="1"/>
  <c r="D352" i="41"/>
  <c r="C351" i="41"/>
  <c r="C575" i="42" l="1"/>
  <c r="B574" i="42"/>
  <c r="D574" i="42" s="1"/>
  <c r="E354" i="41"/>
  <c r="A353" i="41"/>
  <c r="B353" i="41" s="1"/>
  <c r="D353" i="41"/>
  <c r="C352" i="41"/>
  <c r="B575" i="42" l="1"/>
  <c r="D575" i="42" s="1"/>
  <c r="C576" i="42"/>
  <c r="E355" i="41"/>
  <c r="A354" i="41"/>
  <c r="B354" i="41" s="1"/>
  <c r="D354" i="41"/>
  <c r="C353" i="41"/>
  <c r="B576" i="42" l="1"/>
  <c r="D576" i="42" s="1"/>
  <c r="C577" i="42"/>
  <c r="E356" i="41"/>
  <c r="A355" i="41"/>
  <c r="B355" i="41" s="1"/>
  <c r="D355" i="41"/>
  <c r="C354" i="41"/>
  <c r="C578" i="42" l="1"/>
  <c r="B577" i="42"/>
  <c r="D577" i="42" s="1"/>
  <c r="E357" i="41"/>
  <c r="A356" i="41"/>
  <c r="B356" i="41" s="1"/>
  <c r="D356" i="41"/>
  <c r="C355" i="41"/>
  <c r="B578" i="42" l="1"/>
  <c r="D578" i="42" s="1"/>
  <c r="C579" i="42"/>
  <c r="E358" i="41"/>
  <c r="A357" i="41"/>
  <c r="B357" i="41" s="1"/>
  <c r="D357" i="41"/>
  <c r="C356" i="41"/>
  <c r="B579" i="42" l="1"/>
  <c r="D579" i="42" s="1"/>
  <c r="C580" i="42"/>
  <c r="E359" i="41"/>
  <c r="A358" i="41"/>
  <c r="B358" i="41" s="1"/>
  <c r="D358" i="41"/>
  <c r="C357" i="41"/>
  <c r="C581" i="42" l="1"/>
  <c r="B580" i="42"/>
  <c r="D580" i="42" s="1"/>
  <c r="E360" i="41"/>
  <c r="A359" i="41"/>
  <c r="B359" i="41" s="1"/>
  <c r="D359" i="41"/>
  <c r="C358" i="41"/>
  <c r="C582" i="42" l="1"/>
  <c r="B581" i="42"/>
  <c r="D581" i="42" s="1"/>
  <c r="E361" i="41"/>
  <c r="A360" i="41"/>
  <c r="B360" i="41" s="1"/>
  <c r="D360" i="41"/>
  <c r="C359" i="41"/>
  <c r="C583" i="42" l="1"/>
  <c r="B582" i="42"/>
  <c r="D582" i="42" s="1"/>
  <c r="E362" i="41"/>
  <c r="A361" i="41"/>
  <c r="B361" i="41" s="1"/>
  <c r="D361" i="41"/>
  <c r="C360" i="41"/>
  <c r="C584" i="42" l="1"/>
  <c r="B583" i="42"/>
  <c r="D583" i="42" s="1"/>
  <c r="E363" i="41"/>
  <c r="A362" i="41"/>
  <c r="B362" i="41" s="1"/>
  <c r="D362" i="41"/>
  <c r="C361" i="41"/>
  <c r="B584" i="42" l="1"/>
  <c r="D584" i="42" s="1"/>
  <c r="C585" i="42"/>
  <c r="E364" i="41"/>
  <c r="A363" i="41"/>
  <c r="B363" i="41" s="1"/>
  <c r="D363" i="41"/>
  <c r="C362" i="41"/>
  <c r="B585" i="42" l="1"/>
  <c r="D585" i="42" s="1"/>
  <c r="C586" i="42"/>
  <c r="E365" i="41"/>
  <c r="A364" i="41"/>
  <c r="B364" i="41" s="1"/>
  <c r="D364" i="41"/>
  <c r="C363" i="41"/>
  <c r="B586" i="42" l="1"/>
  <c r="D586" i="42" s="1"/>
  <c r="C587" i="42"/>
  <c r="E366" i="41"/>
  <c r="A365" i="41"/>
  <c r="B365" i="41" s="1"/>
  <c r="D365" i="41"/>
  <c r="C364" i="41"/>
  <c r="B587" i="42" l="1"/>
  <c r="D587" i="42" s="1"/>
  <c r="C588" i="42"/>
  <c r="E367" i="41"/>
  <c r="A366" i="41"/>
  <c r="B366" i="41" s="1"/>
  <c r="D366" i="41"/>
  <c r="C365" i="41"/>
  <c r="B588" i="42" l="1"/>
  <c r="D588" i="42" s="1"/>
  <c r="C589" i="42"/>
  <c r="E368" i="41"/>
  <c r="A367" i="41"/>
  <c r="B367" i="41" s="1"/>
  <c r="D367" i="41"/>
  <c r="C366" i="41"/>
  <c r="C590" i="42" l="1"/>
  <c r="B589" i="42"/>
  <c r="D589" i="42" s="1"/>
  <c r="D368" i="41"/>
  <c r="C367" i="41"/>
  <c r="E369" i="41"/>
  <c r="A368" i="41"/>
  <c r="B368" i="41" s="1"/>
  <c r="C591" i="42" l="1"/>
  <c r="B590" i="42"/>
  <c r="D590" i="42" s="1"/>
  <c r="E370" i="41"/>
  <c r="A369" i="41"/>
  <c r="B369" i="41" s="1"/>
  <c r="D369" i="41"/>
  <c r="C368" i="41"/>
  <c r="C592" i="42" l="1"/>
  <c r="B591" i="42"/>
  <c r="D591" i="42" s="1"/>
  <c r="D370" i="41"/>
  <c r="C369" i="41"/>
  <c r="E371" i="41"/>
  <c r="A370" i="41"/>
  <c r="B370" i="41" s="1"/>
  <c r="B592" i="42" l="1"/>
  <c r="D592" i="42" s="1"/>
  <c r="C593" i="42"/>
  <c r="D371" i="41"/>
  <c r="C370" i="41"/>
  <c r="E372" i="41"/>
  <c r="A371" i="41"/>
  <c r="B371" i="41" s="1"/>
  <c r="B593" i="42" l="1"/>
  <c r="D593" i="42" s="1"/>
  <c r="C594" i="42"/>
  <c r="D372" i="41"/>
  <c r="C371" i="41"/>
  <c r="E373" i="41"/>
  <c r="A372" i="41"/>
  <c r="B372" i="41" s="1"/>
  <c r="C595" i="42" l="1"/>
  <c r="B594" i="42"/>
  <c r="D594" i="42" s="1"/>
  <c r="D373" i="41"/>
  <c r="C372" i="41"/>
  <c r="E374" i="41"/>
  <c r="A373" i="41"/>
  <c r="B373" i="41" s="1"/>
  <c r="B595" i="42" l="1"/>
  <c r="D595" i="42" s="1"/>
  <c r="C596" i="42"/>
  <c r="D374" i="41"/>
  <c r="C373" i="41"/>
  <c r="E375" i="41"/>
  <c r="A374" i="41"/>
  <c r="B374" i="41" s="1"/>
  <c r="B596" i="42" l="1"/>
  <c r="D596" i="42" s="1"/>
  <c r="C597" i="42"/>
  <c r="D375" i="41"/>
  <c r="C374" i="41"/>
  <c r="E376" i="41"/>
  <c r="A375" i="41"/>
  <c r="B375" i="41" s="1"/>
  <c r="C598" i="42" l="1"/>
  <c r="B597" i="42"/>
  <c r="D597" i="42" s="1"/>
  <c r="D376" i="41"/>
  <c r="C375" i="41"/>
  <c r="E377" i="41"/>
  <c r="A376" i="41"/>
  <c r="B376" i="41" s="1"/>
  <c r="C599" i="42" l="1"/>
  <c r="B598" i="42"/>
  <c r="D598" i="42" s="1"/>
  <c r="D377" i="41"/>
  <c r="C376" i="41"/>
  <c r="E378" i="41"/>
  <c r="A377" i="41"/>
  <c r="B377" i="41" s="1"/>
  <c r="C600" i="42" l="1"/>
  <c r="B599" i="42"/>
  <c r="D599" i="42" s="1"/>
  <c r="D378" i="41"/>
  <c r="C377" i="41"/>
  <c r="E379" i="41"/>
  <c r="A378" i="41"/>
  <c r="B378" i="41" s="1"/>
  <c r="B600" i="42" l="1"/>
  <c r="D600" i="42" s="1"/>
  <c r="C601" i="42"/>
  <c r="D379" i="41"/>
  <c r="C378" i="41"/>
  <c r="E380" i="41"/>
  <c r="A379" i="41"/>
  <c r="B379" i="41" s="1"/>
  <c r="C602" i="42" l="1"/>
  <c r="B601" i="42"/>
  <c r="D601" i="42" s="1"/>
  <c r="D380" i="41"/>
  <c r="C379" i="41"/>
  <c r="E381" i="41"/>
  <c r="A380" i="41"/>
  <c r="B380" i="41" s="1"/>
  <c r="C603" i="42" l="1"/>
  <c r="B602" i="42"/>
  <c r="D602" i="42" s="1"/>
  <c r="D381" i="41"/>
  <c r="C380" i="41"/>
  <c r="E382" i="41"/>
  <c r="A381" i="41"/>
  <c r="B381" i="41" s="1"/>
  <c r="B603" i="42" l="1"/>
  <c r="D603" i="42" s="1"/>
  <c r="C604" i="42"/>
  <c r="D382" i="41"/>
  <c r="C381" i="41"/>
  <c r="E383" i="41"/>
  <c r="A382" i="41"/>
  <c r="B382" i="41" s="1"/>
  <c r="C605" i="42" l="1"/>
  <c r="B604" i="42"/>
  <c r="D604" i="42" s="1"/>
  <c r="D383" i="41"/>
  <c r="C382" i="41"/>
  <c r="E384" i="41"/>
  <c r="A383" i="41"/>
  <c r="B383" i="41" s="1"/>
  <c r="C606" i="42" l="1"/>
  <c r="B605" i="42"/>
  <c r="D605" i="42" s="1"/>
  <c r="D384" i="41"/>
  <c r="C383" i="41"/>
  <c r="E385" i="41"/>
  <c r="A384" i="41"/>
  <c r="B384" i="41" s="1"/>
  <c r="C607" i="42" l="1"/>
  <c r="B607" i="42" s="1"/>
  <c r="D607" i="42" s="1"/>
  <c r="B606" i="42"/>
  <c r="D606" i="42" s="1"/>
  <c r="D385" i="41"/>
  <c r="C384" i="41"/>
  <c r="E386" i="41"/>
  <c r="A385" i="41"/>
  <c r="B385" i="41" s="1"/>
  <c r="T6" i="42" l="1"/>
  <c r="BU6" i="42"/>
  <c r="CK16" i="42" s="1"/>
  <c r="AX6" i="42"/>
  <c r="BH16" i="42" s="1"/>
  <c r="DO294" i="3" s="1"/>
  <c r="CA6" i="42"/>
  <c r="CR16" i="42" s="1"/>
  <c r="BN6" i="42"/>
  <c r="CB16" i="42" s="1"/>
  <c r="EI294" i="3" s="1"/>
  <c r="AS6" i="42"/>
  <c r="BB16" i="42" s="1"/>
  <c r="DI294" i="3" s="1"/>
  <c r="BC6" i="42"/>
  <c r="BN16" i="42" s="1"/>
  <c r="DU294" i="3" s="1"/>
  <c r="H6" i="42"/>
  <c r="U6" i="42"/>
  <c r="X16" i="42" s="1"/>
  <c r="CE294" i="3" s="1"/>
  <c r="BW6" i="42"/>
  <c r="CM16" i="42" s="1"/>
  <c r="BR6" i="42"/>
  <c r="CG16" i="42" s="1"/>
  <c r="EN294" i="3" s="1"/>
  <c r="AH6" i="42"/>
  <c r="AN16" i="42" s="1"/>
  <c r="CU294" i="3" s="1"/>
  <c r="AD6" i="42"/>
  <c r="AI16" i="42" s="1"/>
  <c r="CP294" i="3" s="1"/>
  <c r="BA6" i="42"/>
  <c r="BL16" i="42" s="1"/>
  <c r="DS294" i="3" s="1"/>
  <c r="AW6" i="42"/>
  <c r="BG16" i="42" s="1"/>
  <c r="DN294" i="3" s="1"/>
  <c r="BY6" i="42"/>
  <c r="CP16" i="42" s="1"/>
  <c r="BP6" i="42"/>
  <c r="N6" i="42"/>
  <c r="O16" i="42" s="1"/>
  <c r="BV294" i="3" s="1"/>
  <c r="BZ6" i="42"/>
  <c r="CQ16" i="42" s="1"/>
  <c r="BK6" i="42"/>
  <c r="BX16" i="42" s="1"/>
  <c r="EE294" i="3" s="1"/>
  <c r="AV6" i="42"/>
  <c r="BB6" i="42"/>
  <c r="BM16" i="42" s="1"/>
  <c r="DT294" i="3" s="1"/>
  <c r="BF6" i="42"/>
  <c r="BR16" i="42" s="1"/>
  <c r="DY294" i="3" s="1"/>
  <c r="V6" i="42"/>
  <c r="Y16" i="42" s="1"/>
  <c r="CF294" i="3" s="1"/>
  <c r="AT6" i="42"/>
  <c r="BC16" i="42" s="1"/>
  <c r="DJ294" i="3" s="1"/>
  <c r="BJ6" i="42"/>
  <c r="BW16" i="42" s="1"/>
  <c r="ED294" i="3" s="1"/>
  <c r="M6" i="42"/>
  <c r="N16" i="42" s="1"/>
  <c r="BU294" i="3" s="1"/>
  <c r="AU6" i="42"/>
  <c r="BD16" i="42" s="1"/>
  <c r="DK294" i="3" s="1"/>
  <c r="AZ6" i="42"/>
  <c r="AA6" i="42"/>
  <c r="AE16" i="42" s="1"/>
  <c r="CL294" i="3" s="1"/>
  <c r="BO6" i="42"/>
  <c r="CC16" i="42" s="1"/>
  <c r="EJ294" i="3" s="1"/>
  <c r="AN6" i="42"/>
  <c r="BD6" i="42"/>
  <c r="I6" i="42"/>
  <c r="I16" i="42" s="1"/>
  <c r="BP294" i="3" s="1"/>
  <c r="K6" i="42"/>
  <c r="K16" i="42" s="1"/>
  <c r="BR294" i="3" s="1"/>
  <c r="BI6" i="42"/>
  <c r="BV16" i="42" s="1"/>
  <c r="EC294" i="3" s="1"/>
  <c r="BH6" i="42"/>
  <c r="BM6" i="42"/>
  <c r="CA16" i="42" s="1"/>
  <c r="EH294" i="3" s="1"/>
  <c r="Y6" i="42"/>
  <c r="AC16" i="42" s="1"/>
  <c r="CJ294" i="3" s="1"/>
  <c r="Q6" i="42"/>
  <c r="S16" i="42" s="1"/>
  <c r="BZ294" i="3" s="1"/>
  <c r="AR6" i="42"/>
  <c r="L6" i="42"/>
  <c r="AK6" i="42"/>
  <c r="AR16" i="42" s="1"/>
  <c r="CY294" i="3" s="1"/>
  <c r="AB6" i="42"/>
  <c r="BQ6" i="42"/>
  <c r="CF16" i="42" s="1"/>
  <c r="EM294" i="3" s="1"/>
  <c r="R6" i="42"/>
  <c r="T16" i="42" s="1"/>
  <c r="CA294" i="3" s="1"/>
  <c r="AO6" i="42"/>
  <c r="AW16" i="42" s="1"/>
  <c r="DD294" i="3" s="1"/>
  <c r="J6" i="42"/>
  <c r="J16" i="42" s="1"/>
  <c r="BQ294" i="3" s="1"/>
  <c r="BE6" i="42"/>
  <c r="BQ16" i="42" s="1"/>
  <c r="DX294" i="3" s="1"/>
  <c r="P6" i="42"/>
  <c r="AM6" i="42"/>
  <c r="AT16" i="42" s="1"/>
  <c r="DA294" i="3" s="1"/>
  <c r="AQ6" i="42"/>
  <c r="AY16" i="42" s="1"/>
  <c r="DF294" i="3" s="1"/>
  <c r="Z6" i="42"/>
  <c r="AD16" i="42" s="1"/>
  <c r="CK294" i="3" s="1"/>
  <c r="BS6" i="42"/>
  <c r="CH16" i="42" s="1"/>
  <c r="EO294" i="3" s="1"/>
  <c r="AE6" i="42"/>
  <c r="AJ16" i="42" s="1"/>
  <c r="CQ294" i="3" s="1"/>
  <c r="AI6" i="42"/>
  <c r="AO16" i="42" s="1"/>
  <c r="CV294" i="3" s="1"/>
  <c r="AJ6" i="42"/>
  <c r="BX6" i="42"/>
  <c r="BV6" i="42"/>
  <c r="CL16" i="42" s="1"/>
  <c r="BL6" i="42"/>
  <c r="AY6" i="42"/>
  <c r="BI16" i="42" s="1"/>
  <c r="DP294" i="3" s="1"/>
  <c r="AP6" i="42"/>
  <c r="AX16" i="42" s="1"/>
  <c r="DE294" i="3" s="1"/>
  <c r="S6" i="42"/>
  <c r="U16" i="42" s="1"/>
  <c r="CB294" i="3" s="1"/>
  <c r="AF6" i="42"/>
  <c r="AC6" i="42"/>
  <c r="AH16" i="42" s="1"/>
  <c r="CO294" i="3" s="1"/>
  <c r="BG6" i="42"/>
  <c r="BS16" i="42" s="1"/>
  <c r="DZ294" i="3" s="1"/>
  <c r="BT6" i="42"/>
  <c r="AG6" i="42"/>
  <c r="AM16" i="42" s="1"/>
  <c r="CT294" i="3" s="1"/>
  <c r="X6" i="42"/>
  <c r="AL6" i="42"/>
  <c r="AS16" i="42" s="1"/>
  <c r="CZ294" i="3" s="1"/>
  <c r="W6" i="42"/>
  <c r="Z16" i="42" s="1"/>
  <c r="CG294" i="3" s="1"/>
  <c r="O6" i="42"/>
  <c r="P16" i="42" s="1"/>
  <c r="BW294" i="3" s="1"/>
  <c r="D386" i="41"/>
  <c r="C385" i="41"/>
  <c r="E387" i="41"/>
  <c r="A386" i="41"/>
  <c r="B386" i="41" s="1"/>
  <c r="ER294" i="3" l="1"/>
  <c r="EW296" i="3" s="1"/>
  <c r="EO295" i="3"/>
  <c r="EO296" i="3"/>
  <c r="ET321" i="3"/>
  <c r="ET296" i="3"/>
  <c r="ES321" i="3"/>
  <c r="ET295" i="3"/>
  <c r="ES296" i="3"/>
  <c r="EN296" i="3"/>
  <c r="EN295" i="3"/>
  <c r="DN296" i="3"/>
  <c r="BQ295" i="3"/>
  <c r="AL16" i="42"/>
  <c r="CS294" i="3" s="1"/>
  <c r="CT295" i="3" s="1"/>
  <c r="N11" i="42"/>
  <c r="AP16" i="42" s="1"/>
  <c r="CW294" i="3" s="1"/>
  <c r="BZ296" i="3"/>
  <c r="CG295" i="3"/>
  <c r="CG296" i="3"/>
  <c r="DD296" i="3"/>
  <c r="DU295" i="3"/>
  <c r="DU296" i="3"/>
  <c r="CA296" i="3"/>
  <c r="CA295" i="3"/>
  <c r="CL295" i="3"/>
  <c r="CL296" i="3"/>
  <c r="DT296" i="3"/>
  <c r="DT295" i="3"/>
  <c r="DS296" i="3"/>
  <c r="DI296" i="3"/>
  <c r="L11" i="42"/>
  <c r="AF16" i="42" s="1"/>
  <c r="CM294" i="3" s="1"/>
  <c r="AB16" i="42"/>
  <c r="CI294" i="3" s="1"/>
  <c r="CJ295" i="3" s="1"/>
  <c r="DP295" i="3"/>
  <c r="DP296" i="3"/>
  <c r="CK296" i="3"/>
  <c r="CK295" i="3"/>
  <c r="U11" i="42"/>
  <c r="BY16" i="42" s="1"/>
  <c r="BU16" i="42"/>
  <c r="EB294" i="3" s="1"/>
  <c r="EC295" i="3" s="1"/>
  <c r="BK16" i="42"/>
  <c r="DR294" i="3" s="1"/>
  <c r="S11" i="42"/>
  <c r="BO16" i="42" s="1"/>
  <c r="BF16" i="42"/>
  <c r="DM294" i="3" s="1"/>
  <c r="R11" i="42"/>
  <c r="BJ16" i="42" s="1"/>
  <c r="CP295" i="3"/>
  <c r="CP296" i="3"/>
  <c r="EJ295" i="3"/>
  <c r="EI295" i="3"/>
  <c r="EI296" i="3"/>
  <c r="BW296" i="3"/>
  <c r="BW295" i="3"/>
  <c r="AV16" i="42"/>
  <c r="DC294" i="3" s="1"/>
  <c r="DD295" i="3" s="1"/>
  <c r="P11" i="42"/>
  <c r="AZ16" i="42" s="1"/>
  <c r="DG294" i="3" s="1"/>
  <c r="CZ296" i="3"/>
  <c r="CZ295" i="3"/>
  <c r="DF295" i="3"/>
  <c r="DF296" i="3"/>
  <c r="M11" i="42"/>
  <c r="AK16" i="42" s="1"/>
  <c r="CR294" i="3" s="1"/>
  <c r="AG16" i="42"/>
  <c r="CN294" i="3" s="1"/>
  <c r="EC296" i="3"/>
  <c r="DK296" i="3"/>
  <c r="DK295" i="3"/>
  <c r="EJ296" i="3"/>
  <c r="EE295" i="3"/>
  <c r="EE296" i="3"/>
  <c r="CU295" i="3"/>
  <c r="CU296" i="3"/>
  <c r="CF295" i="3"/>
  <c r="CF296" i="3"/>
  <c r="CJ296" i="3"/>
  <c r="DE295" i="3"/>
  <c r="DE296" i="3"/>
  <c r="CJ16" i="42"/>
  <c r="X11" i="42"/>
  <c r="CN16" i="42" s="1"/>
  <c r="CY296" i="3"/>
  <c r="BR295" i="3"/>
  <c r="BU296" i="3"/>
  <c r="DO296" i="3"/>
  <c r="DO295" i="3"/>
  <c r="CV295" i="3"/>
  <c r="CV296" i="3"/>
  <c r="CB295" i="3"/>
  <c r="CB296" i="3"/>
  <c r="DY296" i="3"/>
  <c r="DY295" i="3"/>
  <c r="CT296" i="3"/>
  <c r="DZ295" i="3"/>
  <c r="DZ296" i="3"/>
  <c r="Y11" i="42"/>
  <c r="CS16" i="42" s="1"/>
  <c r="CO16" i="42"/>
  <c r="J11" i="42"/>
  <c r="V16" i="42" s="1"/>
  <c r="CC294" i="3" s="1"/>
  <c r="R16" i="42"/>
  <c r="BY294" i="3" s="1"/>
  <c r="BZ295" i="3" s="1"/>
  <c r="M16" i="42"/>
  <c r="I11" i="42"/>
  <c r="Q16" i="42" s="1"/>
  <c r="ED296" i="3"/>
  <c r="ED295" i="3"/>
  <c r="BV296" i="3"/>
  <c r="BV295" i="3"/>
  <c r="H16" i="42"/>
  <c r="BO294" i="3" s="1"/>
  <c r="BP295" i="3" s="1"/>
  <c r="H11" i="42"/>
  <c r="L16" i="42" s="1"/>
  <c r="BS294" i="3" s="1"/>
  <c r="CQ296" i="3"/>
  <c r="CQ295" i="3"/>
  <c r="EM296" i="3"/>
  <c r="EH296" i="3"/>
  <c r="V11" i="42"/>
  <c r="CD16" i="42" s="1"/>
  <c r="BZ16" i="42"/>
  <c r="EG294" i="3" s="1"/>
  <c r="DA295" i="3"/>
  <c r="DA296" i="3"/>
  <c r="CO296" i="3"/>
  <c r="O11" i="42"/>
  <c r="AU16" i="42" s="1"/>
  <c r="DB294" i="3" s="1"/>
  <c r="AQ16" i="42"/>
  <c r="CX294" i="3" s="1"/>
  <c r="DX296" i="3"/>
  <c r="Q11" i="42"/>
  <c r="BE16" i="42" s="1"/>
  <c r="BA16" i="42"/>
  <c r="DH294" i="3" s="1"/>
  <c r="T11" i="42"/>
  <c r="BT16" i="42" s="1"/>
  <c r="BP16" i="42"/>
  <c r="DW294" i="3" s="1"/>
  <c r="DX295" i="3" s="1"/>
  <c r="DJ296" i="3"/>
  <c r="DJ295" i="3"/>
  <c r="W11" i="42"/>
  <c r="CI16" i="42" s="1"/>
  <c r="CE16" i="42"/>
  <c r="EL294" i="3" s="1"/>
  <c r="EP294" i="3" s="1"/>
  <c r="CE296" i="3"/>
  <c r="W16" i="42"/>
  <c r="CD294" i="3" s="1"/>
  <c r="K11" i="42"/>
  <c r="AA16" i="42" s="1"/>
  <c r="CH294" i="3" s="1"/>
  <c r="D387" i="41"/>
  <c r="C386" i="41"/>
  <c r="E388" i="41"/>
  <c r="A387" i="41"/>
  <c r="B387" i="41" s="1"/>
  <c r="ER321" i="3" l="1"/>
  <c r="ES295" i="3"/>
  <c r="ER296" i="3"/>
  <c r="EQ294" i="3"/>
  <c r="ER295" i="3" s="1"/>
  <c r="EU296" i="3"/>
  <c r="CW296" i="3"/>
  <c r="DB296" i="3"/>
  <c r="DG296" i="3"/>
  <c r="DL294" i="3"/>
  <c r="DL296" i="3" s="1"/>
  <c r="DH296" i="3"/>
  <c r="DH295" i="3"/>
  <c r="EL296" i="3"/>
  <c r="EK294" i="3"/>
  <c r="EP296" i="3" s="1"/>
  <c r="EG295" i="3"/>
  <c r="EG296" i="3"/>
  <c r="EM295" i="3"/>
  <c r="EL295" i="3"/>
  <c r="CR296" i="3"/>
  <c r="CI296" i="3"/>
  <c r="CI295" i="3"/>
  <c r="DS295" i="3"/>
  <c r="DR295" i="3"/>
  <c r="DV294" i="3"/>
  <c r="DR296" i="3"/>
  <c r="CM296" i="3"/>
  <c r="CD296" i="3"/>
  <c r="CD295" i="3"/>
  <c r="BY295" i="3"/>
  <c r="DN295" i="3"/>
  <c r="DM295" i="3"/>
  <c r="DQ294" i="3"/>
  <c r="DM296" i="3"/>
  <c r="CY295" i="3"/>
  <c r="CX296" i="3"/>
  <c r="CX295" i="3"/>
  <c r="EH295" i="3"/>
  <c r="EF294" i="3"/>
  <c r="EB296" i="3"/>
  <c r="EB295" i="3"/>
  <c r="DI295" i="3"/>
  <c r="CE295" i="3"/>
  <c r="BT294" i="3"/>
  <c r="BY296" i="3" s="1"/>
  <c r="BX294" i="3"/>
  <c r="BX296" i="3" s="1"/>
  <c r="DC296" i="3"/>
  <c r="DC295" i="3"/>
  <c r="CO295" i="3"/>
  <c r="CN296" i="3"/>
  <c r="CN295" i="3"/>
  <c r="CH296" i="3"/>
  <c r="DW296" i="3"/>
  <c r="EA294" i="3"/>
  <c r="DW295" i="3"/>
  <c r="CS295" i="3"/>
  <c r="CS296" i="3"/>
  <c r="D388" i="41"/>
  <c r="C387" i="41"/>
  <c r="E389" i="41"/>
  <c r="A388" i="41"/>
  <c r="B388" i="41" s="1"/>
  <c r="EQ295" i="3" l="1"/>
  <c r="EQ296" i="3"/>
  <c r="EQ321" i="3"/>
  <c r="EU321" i="3" s="1"/>
  <c r="EU323" i="3" s="1"/>
  <c r="EU328" i="3" s="1"/>
  <c r="EV296" i="3"/>
  <c r="EA296" i="3"/>
  <c r="DQ296" i="3"/>
  <c r="CC296" i="3"/>
  <c r="BT295" i="3"/>
  <c r="BT296" i="3"/>
  <c r="BU295" i="3"/>
  <c r="DV296" i="3"/>
  <c r="EK296" i="3"/>
  <c r="EF296" i="3"/>
  <c r="D389" i="41"/>
  <c r="C388" i="41"/>
  <c r="E390" i="41"/>
  <c r="A389" i="41"/>
  <c r="B389" i="41" s="1"/>
  <c r="FH321" i="3" l="1"/>
  <c r="D390" i="41"/>
  <c r="C389" i="41"/>
  <c r="E391" i="41"/>
  <c r="A390" i="41"/>
  <c r="B390" i="41" s="1"/>
  <c r="D391" i="41" l="1"/>
  <c r="C390" i="41"/>
  <c r="E392" i="41"/>
  <c r="A391" i="41"/>
  <c r="B391" i="41" s="1"/>
  <c r="D392" i="41" l="1"/>
  <c r="C391" i="41"/>
  <c r="E393" i="41"/>
  <c r="A392" i="41"/>
  <c r="B392" i="41" s="1"/>
  <c r="D393" i="41" l="1"/>
  <c r="C392" i="41"/>
  <c r="E394" i="41"/>
  <c r="A393" i="41"/>
  <c r="B393" i="41" s="1"/>
  <c r="D394" i="41" l="1"/>
  <c r="C393" i="41"/>
  <c r="E395" i="41"/>
  <c r="A394" i="41"/>
  <c r="B394" i="41" s="1"/>
  <c r="D395" i="41" l="1"/>
  <c r="C394" i="41"/>
  <c r="E396" i="41"/>
  <c r="A395" i="41"/>
  <c r="B395" i="41" s="1"/>
  <c r="D396" i="41" l="1"/>
  <c r="C395" i="41"/>
  <c r="E397" i="41"/>
  <c r="A396" i="41"/>
  <c r="B396" i="41" s="1"/>
  <c r="D397" i="41" l="1"/>
  <c r="C396" i="41"/>
  <c r="E398" i="41"/>
  <c r="A397" i="41"/>
  <c r="B397" i="41" s="1"/>
  <c r="D398" i="41" l="1"/>
  <c r="C397" i="41"/>
  <c r="E399" i="41"/>
  <c r="A398" i="41"/>
  <c r="B398" i="41" s="1"/>
  <c r="D399" i="41" l="1"/>
  <c r="C398" i="41"/>
  <c r="E400" i="41"/>
  <c r="A399" i="41"/>
  <c r="B399" i="41" s="1"/>
  <c r="D400" i="41" l="1"/>
  <c r="C399" i="41"/>
  <c r="E401" i="41"/>
  <c r="A400" i="41"/>
  <c r="B400" i="41" s="1"/>
  <c r="C400" i="41" l="1"/>
  <c r="D401" i="41"/>
  <c r="E402" i="41"/>
  <c r="A401" i="41"/>
  <c r="B401" i="41" s="1"/>
  <c r="E403" i="41" l="1"/>
  <c r="A402" i="41"/>
  <c r="B402" i="41" s="1"/>
  <c r="C401" i="41"/>
  <c r="D402" i="41"/>
  <c r="E404" i="41" l="1"/>
  <c r="A403" i="41"/>
  <c r="B403" i="41" s="1"/>
  <c r="C402" i="41"/>
  <c r="D403" i="41"/>
  <c r="E405" i="41" l="1"/>
  <c r="A404" i="41"/>
  <c r="B404" i="41" s="1"/>
  <c r="C403" i="41"/>
  <c r="D404" i="41"/>
  <c r="E406" i="41" l="1"/>
  <c r="A405" i="41"/>
  <c r="B405" i="41" s="1"/>
  <c r="C404" i="41"/>
  <c r="D405" i="41"/>
  <c r="E407" i="41" l="1"/>
  <c r="A406" i="41"/>
  <c r="B406" i="41" s="1"/>
  <c r="C405" i="41"/>
  <c r="D406" i="41"/>
  <c r="E408" i="41" l="1"/>
  <c r="A407" i="41"/>
  <c r="B407" i="41" s="1"/>
  <c r="C406" i="41"/>
  <c r="D407" i="41"/>
  <c r="E409" i="41" l="1"/>
  <c r="A408" i="41"/>
  <c r="B408" i="41" s="1"/>
  <c r="C407" i="41"/>
  <c r="D408" i="41"/>
  <c r="E410" i="41" l="1"/>
  <c r="A409" i="41"/>
  <c r="B409" i="41" s="1"/>
  <c r="C408" i="41"/>
  <c r="D409" i="41"/>
  <c r="E411" i="41" l="1"/>
  <c r="A410" i="41"/>
  <c r="B410" i="41" s="1"/>
  <c r="C409" i="41"/>
  <c r="D410" i="41"/>
  <c r="E412" i="41" l="1"/>
  <c r="A411" i="41"/>
  <c r="B411" i="41" s="1"/>
  <c r="C410" i="41"/>
  <c r="D411" i="41"/>
  <c r="E413" i="41" l="1"/>
  <c r="A412" i="41"/>
  <c r="B412" i="41" s="1"/>
  <c r="C411" i="41"/>
  <c r="D412" i="41"/>
  <c r="E414" i="41" l="1"/>
  <c r="A413" i="41"/>
  <c r="B413" i="41" s="1"/>
  <c r="C412" i="41"/>
  <c r="D413" i="41"/>
  <c r="E415" i="41" l="1"/>
  <c r="A414" i="41"/>
  <c r="B414" i="41" s="1"/>
  <c r="C413" i="41"/>
  <c r="D414" i="41"/>
  <c r="E416" i="41" l="1"/>
  <c r="A415" i="41"/>
  <c r="B415" i="41" s="1"/>
  <c r="C414" i="41"/>
  <c r="D415" i="41"/>
  <c r="E417" i="41" l="1"/>
  <c r="A416" i="41"/>
  <c r="B416" i="41" s="1"/>
  <c r="C415" i="41"/>
  <c r="D416" i="41"/>
  <c r="E418" i="41" l="1"/>
  <c r="A417" i="41"/>
  <c r="B417" i="41" s="1"/>
  <c r="C416" i="41"/>
  <c r="D417" i="41"/>
  <c r="E419" i="41" l="1"/>
  <c r="A418" i="41"/>
  <c r="B418" i="41" s="1"/>
  <c r="C417" i="41"/>
  <c r="D418" i="41"/>
  <c r="E420" i="41" l="1"/>
  <c r="A419" i="41"/>
  <c r="B419" i="41" s="1"/>
  <c r="C418" i="41"/>
  <c r="D419" i="41"/>
  <c r="E421" i="41" l="1"/>
  <c r="A420" i="41"/>
  <c r="B420" i="41" s="1"/>
  <c r="C419" i="41"/>
  <c r="D420" i="41"/>
  <c r="E422" i="41" l="1"/>
  <c r="A421" i="41"/>
  <c r="B421" i="41" s="1"/>
  <c r="C420" i="41"/>
  <c r="D421" i="41"/>
  <c r="E423" i="41" l="1"/>
  <c r="A422" i="41"/>
  <c r="B422" i="41" s="1"/>
  <c r="C421" i="41"/>
  <c r="D422" i="41"/>
  <c r="E424" i="41" l="1"/>
  <c r="A423" i="41"/>
  <c r="B423" i="41" s="1"/>
  <c r="C422" i="41"/>
  <c r="D423" i="41"/>
  <c r="E425" i="41" l="1"/>
  <c r="A424" i="41"/>
  <c r="B424" i="41" s="1"/>
  <c r="C423" i="41"/>
  <c r="D424" i="41"/>
  <c r="E426" i="41" l="1"/>
  <c r="A425" i="41"/>
  <c r="B425" i="41" s="1"/>
  <c r="C424" i="41"/>
  <c r="D425" i="41"/>
  <c r="E427" i="41" l="1"/>
  <c r="A426" i="41"/>
  <c r="B426" i="41" s="1"/>
  <c r="C425" i="41"/>
  <c r="D426" i="41"/>
  <c r="E428" i="41" l="1"/>
  <c r="A427" i="41"/>
  <c r="B427" i="41" s="1"/>
  <c r="C426" i="41"/>
  <c r="D427" i="41"/>
  <c r="A428" i="41" l="1"/>
  <c r="B428" i="41" s="1"/>
  <c r="E429" i="41"/>
  <c r="C427" i="41"/>
  <c r="D428" i="41"/>
  <c r="D429" i="41" l="1"/>
  <c r="C428" i="41"/>
  <c r="E430" i="41"/>
  <c r="A429" i="41"/>
  <c r="B429" i="41" s="1"/>
  <c r="C429" i="41" l="1"/>
  <c r="D430" i="41"/>
  <c r="A430" i="41"/>
  <c r="B430" i="41" s="1"/>
  <c r="E431" i="41"/>
  <c r="E432" i="41" l="1"/>
  <c r="A431" i="41"/>
  <c r="B431" i="41" s="1"/>
  <c r="C430" i="41"/>
  <c r="D431" i="41"/>
  <c r="A432" i="41" l="1"/>
  <c r="B432" i="41" s="1"/>
  <c r="E433" i="41"/>
  <c r="C431" i="41"/>
  <c r="D432" i="41"/>
  <c r="C432" i="41" l="1"/>
  <c r="D433" i="41"/>
  <c r="E434" i="41"/>
  <c r="A433" i="41"/>
  <c r="B433" i="41" s="1"/>
  <c r="A434" i="41" l="1"/>
  <c r="B434" i="41" s="1"/>
  <c r="E435" i="41"/>
  <c r="C433" i="41"/>
  <c r="D434" i="41"/>
  <c r="C434" i="41" l="1"/>
  <c r="D435" i="41"/>
  <c r="E436" i="41"/>
  <c r="A435" i="41"/>
  <c r="B435" i="41" s="1"/>
  <c r="E437" i="41" l="1"/>
  <c r="A436" i="41"/>
  <c r="B436" i="41" s="1"/>
  <c r="C435" i="41"/>
  <c r="D436" i="41"/>
  <c r="E438" i="41" l="1"/>
  <c r="A437" i="41"/>
  <c r="B437" i="41" s="1"/>
  <c r="C436" i="41"/>
  <c r="D437" i="41"/>
  <c r="A438" i="41" l="1"/>
  <c r="B438" i="41" s="1"/>
  <c r="E439" i="41"/>
  <c r="C437" i="41"/>
  <c r="D438" i="41"/>
  <c r="C438" i="41" l="1"/>
  <c r="D439" i="41"/>
  <c r="E440" i="41"/>
  <c r="A439" i="41"/>
  <c r="B439" i="41" s="1"/>
  <c r="A440" i="41" l="1"/>
  <c r="B440" i="41" s="1"/>
  <c r="E441" i="41"/>
  <c r="C439" i="41"/>
  <c r="D440" i="41"/>
  <c r="C440" i="41" l="1"/>
  <c r="D441" i="41"/>
  <c r="E442" i="41"/>
  <c r="A441" i="41"/>
  <c r="B441" i="41" s="1"/>
  <c r="A442" i="41" l="1"/>
  <c r="B442" i="41" s="1"/>
  <c r="E443" i="41"/>
  <c r="C441" i="41"/>
  <c r="D442" i="41"/>
  <c r="C442" i="41" l="1"/>
  <c r="D443" i="41"/>
  <c r="E444" i="41"/>
  <c r="A443" i="41"/>
  <c r="B443" i="41" s="1"/>
  <c r="A444" i="41" l="1"/>
  <c r="B444" i="41" s="1"/>
  <c r="E445" i="41"/>
  <c r="C443" i="41"/>
  <c r="D444" i="41"/>
  <c r="C444" i="41" l="1"/>
  <c r="D445" i="41"/>
  <c r="E446" i="41"/>
  <c r="A445" i="41"/>
  <c r="B445" i="41" s="1"/>
  <c r="A446" i="41" l="1"/>
  <c r="B446" i="41" s="1"/>
  <c r="E447" i="41"/>
  <c r="C445" i="41"/>
  <c r="D446" i="41"/>
  <c r="C446" i="41" l="1"/>
  <c r="D447" i="41"/>
  <c r="E448" i="41"/>
  <c r="A447" i="41"/>
  <c r="B447" i="41" s="1"/>
  <c r="A448" i="41" l="1"/>
  <c r="B448" i="41" s="1"/>
  <c r="E449" i="41"/>
  <c r="C447" i="41"/>
  <c r="D448" i="41"/>
  <c r="C448" i="41" l="1"/>
  <c r="D449" i="41"/>
  <c r="E450" i="41"/>
  <c r="A449" i="41"/>
  <c r="B449" i="41" s="1"/>
  <c r="A450" i="41" l="1"/>
  <c r="B450" i="41" s="1"/>
  <c r="E451" i="41"/>
  <c r="C449" i="41"/>
  <c r="D450" i="41"/>
  <c r="C450" i="41" l="1"/>
  <c r="D451" i="41"/>
  <c r="E452" i="41"/>
  <c r="A451" i="41"/>
  <c r="B451" i="41" s="1"/>
  <c r="A452" i="41" l="1"/>
  <c r="B452" i="41" s="1"/>
  <c r="E453" i="41"/>
  <c r="C451" i="41"/>
  <c r="D452" i="41"/>
  <c r="C452" i="41" l="1"/>
  <c r="D453" i="41"/>
  <c r="E454" i="41"/>
  <c r="A453" i="41"/>
  <c r="B453" i="41" s="1"/>
  <c r="A454" i="41" l="1"/>
  <c r="B454" i="41" s="1"/>
  <c r="E455" i="41"/>
  <c r="C453" i="41"/>
  <c r="D454" i="41"/>
  <c r="C454" i="41" l="1"/>
  <c r="D455" i="41"/>
  <c r="E456" i="41"/>
  <c r="A455" i="41"/>
  <c r="B455" i="41" s="1"/>
  <c r="A456" i="41" l="1"/>
  <c r="B456" i="41" s="1"/>
  <c r="E457" i="41"/>
  <c r="C455" i="41"/>
  <c r="D456" i="41"/>
  <c r="C456" i="41" l="1"/>
  <c r="D457" i="41"/>
  <c r="E458" i="41"/>
  <c r="A457" i="41"/>
  <c r="B457" i="41" s="1"/>
  <c r="A458" i="41" l="1"/>
  <c r="B458" i="41" s="1"/>
  <c r="E459" i="41"/>
  <c r="C457" i="41"/>
  <c r="D458" i="41"/>
  <c r="C458" i="41" l="1"/>
  <c r="D459" i="41"/>
  <c r="E460" i="41"/>
  <c r="A459" i="41"/>
  <c r="B459" i="41" s="1"/>
  <c r="A460" i="41" l="1"/>
  <c r="B460" i="41" s="1"/>
  <c r="E461" i="41"/>
  <c r="C459" i="41"/>
  <c r="D460" i="41"/>
  <c r="C460" i="41" l="1"/>
  <c r="D461" i="41"/>
  <c r="E462" i="41"/>
  <c r="A461" i="41"/>
  <c r="B461" i="41" s="1"/>
  <c r="A462" i="41" l="1"/>
  <c r="B462" i="41" s="1"/>
  <c r="E463" i="41"/>
  <c r="C461" i="41"/>
  <c r="D462" i="41"/>
  <c r="C462" i="41" l="1"/>
  <c r="D463" i="41"/>
  <c r="E464" i="41"/>
  <c r="A463" i="41"/>
  <c r="B463" i="41" s="1"/>
  <c r="A464" i="41" l="1"/>
  <c r="B464" i="41" s="1"/>
  <c r="E465" i="41"/>
  <c r="C463" i="41"/>
  <c r="D464" i="41"/>
  <c r="C464" i="41" l="1"/>
  <c r="D465" i="41"/>
  <c r="E466" i="41"/>
  <c r="A465" i="41"/>
  <c r="B465" i="41" s="1"/>
  <c r="A466" i="41" l="1"/>
  <c r="B466" i="41" s="1"/>
  <c r="E467" i="41"/>
  <c r="C465" i="41"/>
  <c r="D466" i="41"/>
  <c r="C466" i="41" l="1"/>
  <c r="D467" i="41"/>
  <c r="E468" i="41"/>
  <c r="A467" i="41"/>
  <c r="B467" i="41" s="1"/>
  <c r="A468" i="41" l="1"/>
  <c r="B468" i="41" s="1"/>
  <c r="E469" i="41"/>
  <c r="C467" i="41"/>
  <c r="D468" i="41"/>
  <c r="C468" i="41" l="1"/>
  <c r="D469" i="41"/>
  <c r="E470" i="41"/>
  <c r="A469" i="41"/>
  <c r="B469" i="41" s="1"/>
  <c r="A470" i="41" l="1"/>
  <c r="B470" i="41" s="1"/>
  <c r="E471" i="41"/>
  <c r="C469" i="41"/>
  <c r="D470" i="41"/>
  <c r="C470" i="41" l="1"/>
  <c r="D471" i="41"/>
  <c r="E472" i="41"/>
  <c r="A471" i="41"/>
  <c r="B471" i="41" s="1"/>
  <c r="A472" i="41" l="1"/>
  <c r="B472" i="41" s="1"/>
  <c r="E473" i="41"/>
  <c r="C471" i="41"/>
  <c r="D472" i="41"/>
  <c r="C472" i="41" l="1"/>
  <c r="D473" i="41"/>
  <c r="E474" i="41"/>
  <c r="A473" i="41"/>
  <c r="B473" i="41" s="1"/>
  <c r="E475" i="41" l="1"/>
  <c r="A474" i="41"/>
  <c r="B474" i="41" s="1"/>
  <c r="C473" i="41"/>
  <c r="D474" i="41"/>
  <c r="E476" i="41" l="1"/>
  <c r="A475" i="41"/>
  <c r="B475" i="41" s="1"/>
  <c r="C474" i="41"/>
  <c r="D475" i="41"/>
  <c r="E477" i="41" l="1"/>
  <c r="A476" i="41"/>
  <c r="B476" i="41" s="1"/>
  <c r="C475" i="41"/>
  <c r="D476" i="41"/>
  <c r="E478" i="41" l="1"/>
  <c r="A477" i="41"/>
  <c r="B477" i="41" s="1"/>
  <c r="C476" i="41"/>
  <c r="D477" i="41"/>
  <c r="E479" i="41" l="1"/>
  <c r="A478" i="41"/>
  <c r="B478" i="41" s="1"/>
  <c r="C477" i="41"/>
  <c r="D478" i="41"/>
  <c r="E480" i="41" l="1"/>
  <c r="A479" i="41"/>
  <c r="B479" i="41" s="1"/>
  <c r="C478" i="41"/>
  <c r="D479" i="41"/>
  <c r="E481" i="41" l="1"/>
  <c r="A480" i="41"/>
  <c r="B480" i="41" s="1"/>
  <c r="C479" i="41"/>
  <c r="D480" i="41"/>
  <c r="E482" i="41" l="1"/>
  <c r="A481" i="41"/>
  <c r="B481" i="41" s="1"/>
  <c r="C480" i="41"/>
  <c r="D481" i="41"/>
  <c r="E483" i="41" l="1"/>
  <c r="A482" i="41"/>
  <c r="B482" i="41" s="1"/>
  <c r="C481" i="41"/>
  <c r="D482" i="41"/>
  <c r="E484" i="41" l="1"/>
  <c r="A483" i="41"/>
  <c r="B483" i="41" s="1"/>
  <c r="C482" i="41"/>
  <c r="D483" i="41"/>
  <c r="E485" i="41" l="1"/>
  <c r="A484" i="41"/>
  <c r="B484" i="41" s="1"/>
  <c r="C483" i="41"/>
  <c r="D484" i="41"/>
  <c r="E486" i="41" l="1"/>
  <c r="A485" i="41"/>
  <c r="B485" i="41" s="1"/>
  <c r="C484" i="41"/>
  <c r="D485" i="41"/>
  <c r="E487" i="41" l="1"/>
  <c r="A486" i="41"/>
  <c r="B486" i="41" s="1"/>
  <c r="C485" i="41"/>
  <c r="D486" i="41"/>
  <c r="E488" i="41" l="1"/>
  <c r="A487" i="41"/>
  <c r="B487" i="41" s="1"/>
  <c r="C486" i="41"/>
  <c r="D487" i="41"/>
  <c r="E489" i="41" l="1"/>
  <c r="A488" i="41"/>
  <c r="B488" i="41" s="1"/>
  <c r="C487" i="41"/>
  <c r="D488" i="41"/>
  <c r="E490" i="41" l="1"/>
  <c r="A489" i="41"/>
  <c r="B489" i="41" s="1"/>
  <c r="C488" i="41"/>
  <c r="D489" i="41"/>
  <c r="E491" i="41" l="1"/>
  <c r="A490" i="41"/>
  <c r="B490" i="41" s="1"/>
  <c r="C489" i="41"/>
  <c r="D490" i="41"/>
  <c r="E492" i="41" l="1"/>
  <c r="A491" i="41"/>
  <c r="B491" i="41" s="1"/>
  <c r="C490" i="41"/>
  <c r="D491" i="41"/>
  <c r="E493" i="41" l="1"/>
  <c r="A492" i="41"/>
  <c r="B492" i="41" s="1"/>
  <c r="C491" i="41"/>
  <c r="D492" i="41"/>
  <c r="E494" i="41" l="1"/>
  <c r="A493" i="41"/>
  <c r="B493" i="41" s="1"/>
  <c r="C492" i="41"/>
  <c r="D493" i="41"/>
  <c r="E495" i="41" l="1"/>
  <c r="A494" i="41"/>
  <c r="B494" i="41" s="1"/>
  <c r="C493" i="41"/>
  <c r="D494" i="41"/>
  <c r="E496" i="41" l="1"/>
  <c r="A495" i="41"/>
  <c r="B495" i="41" s="1"/>
  <c r="C494" i="41"/>
  <c r="D495" i="41"/>
  <c r="E497" i="41" l="1"/>
  <c r="A496" i="41"/>
  <c r="B496" i="41" s="1"/>
  <c r="C495" i="41"/>
  <c r="D496" i="41"/>
  <c r="E498" i="41" l="1"/>
  <c r="A497" i="41"/>
  <c r="B497" i="41" s="1"/>
  <c r="C496" i="41"/>
  <c r="D497" i="41"/>
  <c r="E499" i="41" l="1"/>
  <c r="A498" i="41"/>
  <c r="B498" i="41" s="1"/>
  <c r="C497" i="41"/>
  <c r="D498" i="41"/>
  <c r="E500" i="41" l="1"/>
  <c r="A499" i="41"/>
  <c r="B499" i="41" s="1"/>
  <c r="C498" i="41"/>
  <c r="D499" i="41"/>
  <c r="E501" i="41" l="1"/>
  <c r="A500" i="41"/>
  <c r="B500" i="41" s="1"/>
  <c r="C499" i="41"/>
  <c r="D500" i="41"/>
  <c r="E502" i="41" l="1"/>
  <c r="A501" i="41"/>
  <c r="B501" i="41" s="1"/>
  <c r="C500" i="41"/>
  <c r="D501" i="41"/>
  <c r="E503" i="41" l="1"/>
  <c r="A502" i="41"/>
  <c r="B502" i="41" s="1"/>
  <c r="C501" i="41"/>
  <c r="D502" i="41"/>
  <c r="E504" i="41" l="1"/>
  <c r="A503" i="41"/>
  <c r="B503" i="41" s="1"/>
  <c r="C502" i="41"/>
  <c r="D503" i="41"/>
  <c r="E505" i="41" l="1"/>
  <c r="A504" i="41"/>
  <c r="B504" i="41" s="1"/>
  <c r="C503" i="41"/>
  <c r="D504" i="41"/>
  <c r="E506" i="41" l="1"/>
  <c r="A505" i="41"/>
  <c r="B505" i="41" s="1"/>
  <c r="C504" i="41"/>
  <c r="D505" i="41"/>
  <c r="E507" i="41" l="1"/>
  <c r="A506" i="41"/>
  <c r="B506" i="41" s="1"/>
  <c r="C505" i="41"/>
  <c r="D506" i="41"/>
  <c r="E508" i="41" l="1"/>
  <c r="A507" i="41"/>
  <c r="B507" i="41" s="1"/>
  <c r="C506" i="41"/>
  <c r="D507" i="41"/>
  <c r="E509" i="41" l="1"/>
  <c r="A508" i="41"/>
  <c r="B508" i="41" s="1"/>
  <c r="C507" i="41"/>
  <c r="D508" i="41"/>
  <c r="E510" i="41" l="1"/>
  <c r="A509" i="41"/>
  <c r="B509" i="41" s="1"/>
  <c r="C508" i="41"/>
  <c r="D509" i="41"/>
  <c r="E511" i="41" l="1"/>
  <c r="A510" i="41"/>
  <c r="B510" i="41" s="1"/>
  <c r="C509" i="41"/>
  <c r="D510" i="41"/>
  <c r="E512" i="41" l="1"/>
  <c r="A511" i="41"/>
  <c r="B511" i="41" s="1"/>
  <c r="C510" i="41"/>
  <c r="D511" i="41"/>
  <c r="E513" i="41" l="1"/>
  <c r="A512" i="41"/>
  <c r="B512" i="41" s="1"/>
  <c r="C511" i="41"/>
  <c r="D512" i="41"/>
  <c r="E514" i="41" l="1"/>
  <c r="A513" i="41"/>
  <c r="B513" i="41" s="1"/>
  <c r="C512" i="41"/>
  <c r="D513" i="41"/>
  <c r="E515" i="41" l="1"/>
  <c r="A514" i="41"/>
  <c r="B514" i="41" s="1"/>
  <c r="C513" i="41"/>
  <c r="D514" i="41"/>
  <c r="E516" i="41" l="1"/>
  <c r="A515" i="41"/>
  <c r="B515" i="41" s="1"/>
  <c r="C514" i="41"/>
  <c r="D515" i="41"/>
  <c r="E517" i="41" l="1"/>
  <c r="A516" i="41"/>
  <c r="B516" i="41" s="1"/>
  <c r="C515" i="41"/>
  <c r="D516" i="41"/>
  <c r="E518" i="41" l="1"/>
  <c r="A517" i="41"/>
  <c r="B517" i="41" s="1"/>
  <c r="C516" i="41"/>
  <c r="D517" i="41"/>
  <c r="E519" i="41" l="1"/>
  <c r="A518" i="41"/>
  <c r="B518" i="41" s="1"/>
  <c r="C517" i="41"/>
  <c r="D518" i="41"/>
  <c r="E520" i="41" l="1"/>
  <c r="A519" i="41"/>
  <c r="B519" i="41" s="1"/>
  <c r="C518" i="41"/>
  <c r="D519" i="41"/>
  <c r="E521" i="41" l="1"/>
  <c r="A520" i="41"/>
  <c r="B520" i="41" s="1"/>
  <c r="C519" i="41"/>
  <c r="D520" i="41"/>
  <c r="E522" i="41" l="1"/>
  <c r="A521" i="41"/>
  <c r="B521" i="41" s="1"/>
  <c r="C520" i="41"/>
  <c r="D521" i="41"/>
  <c r="E523" i="41" l="1"/>
  <c r="A522" i="41"/>
  <c r="B522" i="41" s="1"/>
  <c r="C521" i="41"/>
  <c r="D522" i="41"/>
  <c r="E524" i="41" l="1"/>
  <c r="A523" i="41"/>
  <c r="B523" i="41" s="1"/>
  <c r="C522" i="41"/>
  <c r="D523" i="41"/>
  <c r="E525" i="41" l="1"/>
  <c r="A524" i="41"/>
  <c r="B524" i="41" s="1"/>
  <c r="C523" i="41"/>
  <c r="D524" i="41"/>
  <c r="E526" i="41" l="1"/>
  <c r="A525" i="41"/>
  <c r="B525" i="41" s="1"/>
  <c r="C524" i="41"/>
  <c r="D525" i="41"/>
  <c r="E527" i="41" l="1"/>
  <c r="A526" i="41"/>
  <c r="B526" i="41" s="1"/>
  <c r="C525" i="41"/>
  <c r="D526" i="41"/>
  <c r="E528" i="41" l="1"/>
  <c r="A527" i="41"/>
  <c r="B527" i="41" s="1"/>
  <c r="C526" i="41"/>
  <c r="D527" i="41"/>
  <c r="E529" i="41" l="1"/>
  <c r="A528" i="41"/>
  <c r="B528" i="41" s="1"/>
  <c r="C527" i="41"/>
  <c r="D528" i="41"/>
  <c r="E530" i="41" l="1"/>
  <c r="A529" i="41"/>
  <c r="B529" i="41" s="1"/>
  <c r="C528" i="41"/>
  <c r="D529" i="41"/>
  <c r="E531" i="41" l="1"/>
  <c r="A530" i="41"/>
  <c r="B530" i="41" s="1"/>
  <c r="C529" i="41"/>
  <c r="D530" i="41"/>
  <c r="E532" i="41" l="1"/>
  <c r="A531" i="41"/>
  <c r="B531" i="41" s="1"/>
  <c r="C530" i="41"/>
  <c r="D531" i="41"/>
  <c r="E533" i="41" l="1"/>
  <c r="A532" i="41"/>
  <c r="B532" i="41" s="1"/>
  <c r="C531" i="41"/>
  <c r="D532" i="41"/>
  <c r="E534" i="41" l="1"/>
  <c r="A533" i="41"/>
  <c r="B533" i="41" s="1"/>
  <c r="C532" i="41"/>
  <c r="D533" i="41"/>
  <c r="E535" i="41" l="1"/>
  <c r="A534" i="41"/>
  <c r="B534" i="41" s="1"/>
  <c r="C533" i="41"/>
  <c r="D534" i="41"/>
  <c r="E536" i="41" l="1"/>
  <c r="A535" i="41"/>
  <c r="B535" i="41" s="1"/>
  <c r="C534" i="41"/>
  <c r="D535" i="41"/>
  <c r="E537" i="41" l="1"/>
  <c r="A536" i="41"/>
  <c r="B536" i="41" s="1"/>
  <c r="C535" i="41"/>
  <c r="D536" i="41"/>
  <c r="E538" i="41" l="1"/>
  <c r="A537" i="41"/>
  <c r="B537" i="41" s="1"/>
  <c r="C536" i="41"/>
  <c r="D537" i="41"/>
  <c r="E539" i="41" l="1"/>
  <c r="A538" i="41"/>
  <c r="B538" i="41" s="1"/>
  <c r="C537" i="41"/>
  <c r="D538" i="41"/>
  <c r="E540" i="41" l="1"/>
  <c r="A539" i="41"/>
  <c r="B539" i="41" s="1"/>
  <c r="C538" i="41"/>
  <c r="D539" i="41"/>
  <c r="E541" i="41" l="1"/>
  <c r="A540" i="41"/>
  <c r="B540" i="41" s="1"/>
  <c r="C539" i="41"/>
  <c r="D540" i="41"/>
  <c r="E542" i="41" l="1"/>
  <c r="A541" i="41"/>
  <c r="B541" i="41" s="1"/>
  <c r="C540" i="41"/>
  <c r="D541" i="41"/>
  <c r="E543" i="41" l="1"/>
  <c r="A542" i="41"/>
  <c r="B542" i="41" s="1"/>
  <c r="C541" i="41"/>
  <c r="D542" i="41"/>
  <c r="E544" i="41" l="1"/>
  <c r="A543" i="41"/>
  <c r="B543" i="41" s="1"/>
  <c r="C542" i="41"/>
  <c r="D543" i="41"/>
  <c r="E545" i="41" l="1"/>
  <c r="A544" i="41"/>
  <c r="B544" i="41" s="1"/>
  <c r="C543" i="41"/>
  <c r="D544" i="41"/>
  <c r="A545" i="41" l="1"/>
  <c r="B545" i="41" s="1"/>
  <c r="E546" i="41"/>
  <c r="C544" i="41"/>
  <c r="D545" i="41"/>
  <c r="C545" i="41" l="1"/>
  <c r="D546" i="41"/>
  <c r="A546" i="41"/>
  <c r="B546" i="41" s="1"/>
  <c r="E547" i="41"/>
  <c r="E548" i="41" l="1"/>
  <c r="A547" i="41"/>
  <c r="B547" i="41" s="1"/>
  <c r="C546" i="41"/>
  <c r="D547" i="41"/>
  <c r="A548" i="41" l="1"/>
  <c r="B548" i="41" s="1"/>
  <c r="E549" i="41"/>
  <c r="C547" i="41"/>
  <c r="D548" i="41"/>
  <c r="C548" i="41" l="1"/>
  <c r="D549" i="41"/>
  <c r="A549" i="41"/>
  <c r="B549" i="41" s="1"/>
  <c r="E550" i="41"/>
  <c r="A550" i="41" l="1"/>
  <c r="B550" i="41" s="1"/>
  <c r="E551" i="41"/>
  <c r="C549" i="41"/>
  <c r="D550" i="41"/>
  <c r="C550" i="41" l="1"/>
  <c r="D551" i="41"/>
  <c r="E552" i="41"/>
  <c r="A551" i="41"/>
  <c r="B551" i="41" s="1"/>
  <c r="E553" i="41" l="1"/>
  <c r="A552" i="41"/>
  <c r="B552" i="41" s="1"/>
  <c r="C551" i="41"/>
  <c r="D552" i="41"/>
  <c r="E554" i="41" l="1"/>
  <c r="A553" i="41"/>
  <c r="B553" i="41" s="1"/>
  <c r="C552" i="41"/>
  <c r="D553" i="41"/>
  <c r="E555" i="41" l="1"/>
  <c r="A554" i="41"/>
  <c r="B554" i="41" s="1"/>
  <c r="C553" i="41"/>
  <c r="D554" i="41"/>
  <c r="E556" i="41" l="1"/>
  <c r="A555" i="41"/>
  <c r="B555" i="41" s="1"/>
  <c r="C554" i="41"/>
  <c r="D555" i="41"/>
  <c r="E557" i="41" l="1"/>
  <c r="A556" i="41"/>
  <c r="B556" i="41" s="1"/>
  <c r="C555" i="41"/>
  <c r="D556" i="41"/>
  <c r="E558" i="41" l="1"/>
  <c r="A557" i="41"/>
  <c r="B557" i="41" s="1"/>
  <c r="C556" i="41"/>
  <c r="D557" i="41"/>
  <c r="E559" i="41" l="1"/>
  <c r="A558" i="41"/>
  <c r="B558" i="41" s="1"/>
  <c r="C557" i="41"/>
  <c r="D558" i="41"/>
  <c r="E560" i="41" l="1"/>
  <c r="A559" i="41"/>
  <c r="B559" i="41" s="1"/>
  <c r="C558" i="41"/>
  <c r="D559" i="41"/>
  <c r="E561" i="41" l="1"/>
  <c r="A560" i="41"/>
  <c r="B560" i="41" s="1"/>
  <c r="C559" i="41"/>
  <c r="D560" i="41"/>
  <c r="E562" i="41" l="1"/>
  <c r="A561" i="41"/>
  <c r="B561" i="41" s="1"/>
  <c r="C560" i="41"/>
  <c r="D561" i="41"/>
  <c r="E563" i="41" l="1"/>
  <c r="A562" i="41"/>
  <c r="B562" i="41" s="1"/>
  <c r="C561" i="41"/>
  <c r="D562" i="41"/>
  <c r="E564" i="41" l="1"/>
  <c r="A563" i="41"/>
  <c r="B563" i="41" s="1"/>
  <c r="C562" i="41"/>
  <c r="D563" i="41"/>
  <c r="E565" i="41" l="1"/>
  <c r="A564" i="41"/>
  <c r="B564" i="41" s="1"/>
  <c r="C563" i="41"/>
  <c r="D564" i="41"/>
  <c r="E566" i="41" l="1"/>
  <c r="A565" i="41"/>
  <c r="B565" i="41" s="1"/>
  <c r="C564" i="41"/>
  <c r="D565" i="41"/>
  <c r="E567" i="41" l="1"/>
  <c r="A566" i="41"/>
  <c r="B566" i="41" s="1"/>
  <c r="C565" i="41"/>
  <c r="D566" i="41"/>
  <c r="E568" i="41" l="1"/>
  <c r="A567" i="41"/>
  <c r="B567" i="41" s="1"/>
  <c r="C566" i="41"/>
  <c r="D567" i="41"/>
  <c r="E569" i="41" l="1"/>
  <c r="A568" i="41"/>
  <c r="B568" i="41" s="1"/>
  <c r="C567" i="41"/>
  <c r="D568" i="41"/>
  <c r="E570" i="41" l="1"/>
  <c r="A569" i="41"/>
  <c r="B569" i="41" s="1"/>
  <c r="C568" i="41"/>
  <c r="D569" i="41"/>
  <c r="E571" i="41" l="1"/>
  <c r="A570" i="41"/>
  <c r="B570" i="41" s="1"/>
  <c r="C569" i="41"/>
  <c r="D570" i="41"/>
  <c r="E572" i="41" l="1"/>
  <c r="A571" i="41"/>
  <c r="B571" i="41" s="1"/>
  <c r="C570" i="41"/>
  <c r="D571" i="41"/>
  <c r="E573" i="41" l="1"/>
  <c r="A572" i="41"/>
  <c r="B572" i="41" s="1"/>
  <c r="C571" i="41"/>
  <c r="D572" i="41"/>
  <c r="E574" i="41" l="1"/>
  <c r="A573" i="41"/>
  <c r="B573" i="41" s="1"/>
  <c r="C572" i="41"/>
  <c r="D573" i="41"/>
  <c r="E575" i="41" l="1"/>
  <c r="A574" i="41"/>
  <c r="B574" i="41" s="1"/>
  <c r="C573" i="41"/>
  <c r="D574" i="41"/>
  <c r="E576" i="41" l="1"/>
  <c r="A575" i="41"/>
  <c r="B575" i="41" s="1"/>
  <c r="C574" i="41"/>
  <c r="D575" i="41"/>
  <c r="E577" i="41" l="1"/>
  <c r="A576" i="41"/>
  <c r="B576" i="41" s="1"/>
  <c r="C575" i="41"/>
  <c r="D576" i="41"/>
  <c r="E578" i="41" l="1"/>
  <c r="A577" i="41"/>
  <c r="B577" i="41" s="1"/>
  <c r="C576" i="41"/>
  <c r="D577" i="41"/>
  <c r="E579" i="41" l="1"/>
  <c r="A578" i="41"/>
  <c r="B578" i="41" s="1"/>
  <c r="C577" i="41"/>
  <c r="D578" i="41"/>
  <c r="E580" i="41" l="1"/>
  <c r="A579" i="41"/>
  <c r="B579" i="41" s="1"/>
  <c r="C578" i="41"/>
  <c r="D579" i="41"/>
  <c r="E581" i="41" l="1"/>
  <c r="A580" i="41"/>
  <c r="B580" i="41" s="1"/>
  <c r="C579" i="41"/>
  <c r="D580" i="41"/>
  <c r="E582" i="41" l="1"/>
  <c r="A581" i="41"/>
  <c r="B581" i="41" s="1"/>
  <c r="C580" i="41"/>
  <c r="D581" i="41"/>
  <c r="E583" i="41" l="1"/>
  <c r="A582" i="41"/>
  <c r="B582" i="41" s="1"/>
  <c r="C581" i="41"/>
  <c r="D582" i="41"/>
  <c r="E584" i="41" l="1"/>
  <c r="A583" i="41"/>
  <c r="B583" i="41" s="1"/>
  <c r="C582" i="41"/>
  <c r="D583" i="41"/>
  <c r="E585" i="41" l="1"/>
  <c r="A584" i="41"/>
  <c r="B584" i="41" s="1"/>
  <c r="C583" i="41"/>
  <c r="D584" i="41"/>
  <c r="E586" i="41" l="1"/>
  <c r="A585" i="41"/>
  <c r="B585" i="41" s="1"/>
  <c r="C584" i="41"/>
  <c r="D585" i="41"/>
  <c r="E587" i="41" l="1"/>
  <c r="A586" i="41"/>
  <c r="B586" i="41" s="1"/>
  <c r="C585" i="41"/>
  <c r="D586" i="41"/>
  <c r="E588" i="41" l="1"/>
  <c r="A587" i="41"/>
  <c r="B587" i="41" s="1"/>
  <c r="C586" i="41"/>
  <c r="D587" i="41"/>
  <c r="E589" i="41" l="1"/>
  <c r="A588" i="41"/>
  <c r="B588" i="41" s="1"/>
  <c r="C587" i="41"/>
  <c r="D588" i="41"/>
  <c r="E590" i="41" l="1"/>
  <c r="A589" i="41"/>
  <c r="B589" i="41" s="1"/>
  <c r="C588" i="41"/>
  <c r="D589" i="41"/>
  <c r="E591" i="41" l="1"/>
  <c r="A590" i="41"/>
  <c r="B590" i="41" s="1"/>
  <c r="C589" i="41"/>
  <c r="D590" i="41"/>
  <c r="E592" i="41" l="1"/>
  <c r="A591" i="41"/>
  <c r="B591" i="41" s="1"/>
  <c r="C590" i="41"/>
  <c r="D591" i="41"/>
  <c r="E593" i="41" l="1"/>
  <c r="A592" i="41"/>
  <c r="B592" i="41" s="1"/>
  <c r="C591" i="41"/>
  <c r="D592" i="41"/>
  <c r="E594" i="41" l="1"/>
  <c r="A593" i="41"/>
  <c r="B593" i="41" s="1"/>
  <c r="D593" i="41"/>
  <c r="C592" i="41"/>
  <c r="E595" i="41" l="1"/>
  <c r="A594" i="41"/>
  <c r="B594" i="41" s="1"/>
  <c r="D594" i="41"/>
  <c r="C593" i="41"/>
  <c r="E596" i="41" l="1"/>
  <c r="A595" i="41"/>
  <c r="B595" i="41" s="1"/>
  <c r="D595" i="41"/>
  <c r="C594" i="41"/>
  <c r="E597" i="41" l="1"/>
  <c r="A596" i="41"/>
  <c r="B596" i="41" s="1"/>
  <c r="D596" i="41"/>
  <c r="C595" i="41"/>
  <c r="E598" i="41" l="1"/>
  <c r="A597" i="41"/>
  <c r="B597" i="41" s="1"/>
  <c r="D597" i="41"/>
  <c r="C596" i="41"/>
  <c r="E599" i="41" l="1"/>
  <c r="A598" i="41"/>
  <c r="B598" i="41" s="1"/>
  <c r="D598" i="41"/>
  <c r="C597" i="41"/>
  <c r="E600" i="41" l="1"/>
  <c r="A599" i="41"/>
  <c r="B599" i="41" s="1"/>
  <c r="D599" i="41"/>
  <c r="C598" i="41"/>
  <c r="E601" i="41" l="1"/>
  <c r="A600" i="41"/>
  <c r="B600" i="41" s="1"/>
  <c r="D600" i="41"/>
  <c r="C599" i="41"/>
  <c r="E602" i="41" l="1"/>
  <c r="A601" i="41"/>
  <c r="B601" i="41" s="1"/>
  <c r="D601" i="41"/>
  <c r="C600" i="41"/>
  <c r="E603" i="41" l="1"/>
  <c r="A602" i="41"/>
  <c r="B602" i="41" s="1"/>
  <c r="D602" i="41"/>
  <c r="C601" i="41"/>
  <c r="E604" i="41" l="1"/>
  <c r="A603" i="41"/>
  <c r="B603" i="41" s="1"/>
  <c r="D603" i="41"/>
  <c r="C602" i="41"/>
  <c r="E605" i="41" l="1"/>
  <c r="A604" i="41"/>
  <c r="B604" i="41" s="1"/>
  <c r="D604" i="41"/>
  <c r="C603" i="41"/>
  <c r="E606" i="41" l="1"/>
  <c r="A605" i="41"/>
  <c r="B605" i="41" s="1"/>
  <c r="D605" i="41"/>
  <c r="C604" i="41"/>
  <c r="E607" i="41" l="1"/>
  <c r="A606" i="41"/>
  <c r="B606" i="41" s="1"/>
  <c r="D606" i="41"/>
  <c r="C605" i="41"/>
  <c r="E608" i="41" l="1"/>
  <c r="A607" i="41"/>
  <c r="B607" i="41" s="1"/>
  <c r="D607" i="41"/>
  <c r="C606" i="41"/>
  <c r="E609" i="41" l="1"/>
  <c r="A608" i="41"/>
  <c r="B608" i="41" s="1"/>
  <c r="D608" i="41"/>
  <c r="C607" i="41"/>
  <c r="E610" i="41" l="1"/>
  <c r="A609" i="41"/>
  <c r="B609" i="41" s="1"/>
  <c r="D609" i="41"/>
  <c r="C608" i="41"/>
  <c r="E611" i="41" l="1"/>
  <c r="A610" i="41"/>
  <c r="B610" i="41" s="1"/>
  <c r="D610" i="41"/>
  <c r="C609" i="41"/>
  <c r="E612" i="41" l="1"/>
  <c r="A611" i="41"/>
  <c r="B611" i="41" s="1"/>
  <c r="D611" i="41"/>
  <c r="C610" i="41"/>
  <c r="E613" i="41" l="1"/>
  <c r="A612" i="41"/>
  <c r="B612" i="41" s="1"/>
  <c r="D612" i="41"/>
  <c r="C611" i="41"/>
  <c r="E614" i="41" l="1"/>
  <c r="A613" i="41"/>
  <c r="B613" i="41" s="1"/>
  <c r="D613" i="41"/>
  <c r="C612" i="41"/>
  <c r="E615" i="41" l="1"/>
  <c r="A614" i="41"/>
  <c r="B614" i="41" s="1"/>
  <c r="D614" i="41"/>
  <c r="C613" i="41"/>
  <c r="E616" i="41" l="1"/>
  <c r="A615" i="41"/>
  <c r="B615" i="41" s="1"/>
  <c r="D615" i="41"/>
  <c r="C614" i="41"/>
  <c r="E617" i="41" l="1"/>
  <c r="A616" i="41"/>
  <c r="B616" i="41" s="1"/>
  <c r="D616" i="41"/>
  <c r="C615" i="41"/>
  <c r="E618" i="41" l="1"/>
  <c r="A617" i="41"/>
  <c r="B617" i="41" s="1"/>
  <c r="D617" i="41"/>
  <c r="C616" i="41"/>
  <c r="E619" i="41" l="1"/>
  <c r="A618" i="41"/>
  <c r="B618" i="41" s="1"/>
  <c r="D618" i="41"/>
  <c r="C617" i="41"/>
  <c r="E620" i="41" l="1"/>
  <c r="A619" i="41"/>
  <c r="B619" i="41" s="1"/>
  <c r="D619" i="41"/>
  <c r="C618" i="41"/>
  <c r="E621" i="41" l="1"/>
  <c r="A620" i="41"/>
  <c r="B620" i="41" s="1"/>
  <c r="D620" i="41"/>
  <c r="C619" i="41"/>
  <c r="E622" i="41" l="1"/>
  <c r="A621" i="41"/>
  <c r="B621" i="41" s="1"/>
  <c r="D621" i="41"/>
  <c r="C620" i="41"/>
  <c r="E623" i="41" l="1"/>
  <c r="A622" i="41"/>
  <c r="B622" i="41" s="1"/>
  <c r="D622" i="41"/>
  <c r="C621" i="41"/>
  <c r="E624" i="41" l="1"/>
  <c r="A623" i="41"/>
  <c r="B623" i="41" s="1"/>
  <c r="D623" i="41"/>
  <c r="C622" i="41"/>
  <c r="E625" i="41" l="1"/>
  <c r="A624" i="41"/>
  <c r="B624" i="41" s="1"/>
  <c r="D624" i="41"/>
  <c r="C623" i="41"/>
  <c r="E626" i="41" l="1"/>
  <c r="A625" i="41"/>
  <c r="B625" i="41" s="1"/>
  <c r="D625" i="41"/>
  <c r="C624" i="41"/>
  <c r="E627" i="41" l="1"/>
  <c r="A626" i="41"/>
  <c r="B626" i="41" s="1"/>
  <c r="D626" i="41"/>
  <c r="C625" i="41"/>
  <c r="E628" i="41" l="1"/>
  <c r="A627" i="41"/>
  <c r="B627" i="41" s="1"/>
  <c r="D627" i="41"/>
  <c r="C626" i="41"/>
  <c r="E629" i="41" l="1"/>
  <c r="A628" i="41"/>
  <c r="B628" i="41" s="1"/>
  <c r="C627" i="41"/>
  <c r="D628" i="41"/>
  <c r="E630" i="41" l="1"/>
  <c r="A629" i="41"/>
  <c r="B629" i="41" s="1"/>
  <c r="C628" i="41"/>
  <c r="D629" i="41"/>
  <c r="E631" i="41" l="1"/>
  <c r="A630" i="41"/>
  <c r="B630" i="41" s="1"/>
  <c r="C629" i="41"/>
  <c r="D630" i="41"/>
  <c r="E632" i="41" l="1"/>
  <c r="A631" i="41"/>
  <c r="B631" i="41" s="1"/>
  <c r="C630" i="41"/>
  <c r="D631" i="41"/>
  <c r="E633" i="41" l="1"/>
  <c r="A632" i="41"/>
  <c r="B632" i="41" s="1"/>
  <c r="C631" i="41"/>
  <c r="D632" i="41"/>
  <c r="E634" i="41" l="1"/>
  <c r="A633" i="41"/>
  <c r="B633" i="41" s="1"/>
  <c r="C632" i="41"/>
  <c r="D633" i="41"/>
  <c r="E635" i="41" l="1"/>
  <c r="A634" i="41"/>
  <c r="B634" i="41" s="1"/>
  <c r="C633" i="41"/>
  <c r="D634" i="41"/>
  <c r="E636" i="41" l="1"/>
  <c r="A635" i="41"/>
  <c r="B635" i="41" s="1"/>
  <c r="C634" i="41"/>
  <c r="D635" i="41"/>
  <c r="E637" i="41" l="1"/>
  <c r="A636" i="41"/>
  <c r="B636" i="41" s="1"/>
  <c r="C635" i="41"/>
  <c r="D636" i="41"/>
  <c r="E638" i="41" l="1"/>
  <c r="A637" i="41"/>
  <c r="B637" i="41" s="1"/>
  <c r="C636" i="41"/>
  <c r="D637" i="41"/>
  <c r="E639" i="41" l="1"/>
  <c r="A638" i="41"/>
  <c r="B638" i="41" s="1"/>
  <c r="C637" i="41"/>
  <c r="D638" i="41"/>
  <c r="E640" i="41" l="1"/>
  <c r="A639" i="41"/>
  <c r="B639" i="41" s="1"/>
  <c r="C638" i="41"/>
  <c r="D639" i="41"/>
  <c r="E641" i="41" l="1"/>
  <c r="A640" i="41"/>
  <c r="B640" i="41" s="1"/>
  <c r="C639" i="41"/>
  <c r="D640" i="41"/>
  <c r="E642" i="41" l="1"/>
  <c r="A641" i="41"/>
  <c r="B641" i="41" s="1"/>
  <c r="C640" i="41"/>
  <c r="D641" i="41"/>
  <c r="E643" i="41" l="1"/>
  <c r="A642" i="41"/>
  <c r="B642" i="41" s="1"/>
  <c r="C641" i="41"/>
  <c r="D642" i="41"/>
  <c r="E644" i="41" l="1"/>
  <c r="A643" i="41"/>
  <c r="B643" i="41" s="1"/>
  <c r="C642" i="41"/>
  <c r="D643" i="41"/>
  <c r="E645" i="41" l="1"/>
  <c r="A644" i="41"/>
  <c r="B644" i="41" s="1"/>
  <c r="C643" i="41"/>
  <c r="D644" i="41"/>
  <c r="E646" i="41" l="1"/>
  <c r="A645" i="41"/>
  <c r="B645" i="41" s="1"/>
  <c r="C644" i="41"/>
  <c r="D645" i="41"/>
  <c r="E647" i="41" l="1"/>
  <c r="A646" i="41"/>
  <c r="B646" i="41" s="1"/>
  <c r="C645" i="41"/>
  <c r="D646" i="41"/>
  <c r="E648" i="41" l="1"/>
  <c r="A647" i="41"/>
  <c r="B647" i="41" s="1"/>
  <c r="C646" i="41"/>
  <c r="D647" i="41"/>
  <c r="E649" i="41" l="1"/>
  <c r="A648" i="41"/>
  <c r="B648" i="41" s="1"/>
  <c r="C647" i="41"/>
  <c r="D648" i="41"/>
  <c r="E650" i="41" l="1"/>
  <c r="A649" i="41"/>
  <c r="B649" i="41" s="1"/>
  <c r="C648" i="41"/>
  <c r="D649" i="41"/>
  <c r="E651" i="41" l="1"/>
  <c r="A650" i="41"/>
  <c r="B650" i="41" s="1"/>
  <c r="C649" i="41"/>
  <c r="D650" i="41"/>
  <c r="E652" i="41" l="1"/>
  <c r="A651" i="41"/>
  <c r="B651" i="41" s="1"/>
  <c r="C650" i="41"/>
  <c r="D651" i="41"/>
  <c r="E653" i="41" l="1"/>
  <c r="A652" i="41"/>
  <c r="B652" i="41" s="1"/>
  <c r="C651" i="41"/>
  <c r="D652" i="41"/>
  <c r="E654" i="41" l="1"/>
  <c r="A653" i="41"/>
  <c r="B653" i="41" s="1"/>
  <c r="C652" i="41"/>
  <c r="D653" i="41"/>
  <c r="E655" i="41" l="1"/>
  <c r="A654" i="41"/>
  <c r="B654" i="41" s="1"/>
  <c r="C653" i="41"/>
  <c r="D654" i="41"/>
  <c r="E656" i="41" l="1"/>
  <c r="A655" i="41"/>
  <c r="B655" i="41" s="1"/>
  <c r="C654" i="41"/>
  <c r="D655" i="41"/>
  <c r="E657" i="41" l="1"/>
  <c r="A656" i="41"/>
  <c r="B656" i="41" s="1"/>
  <c r="C655" i="41"/>
  <c r="D656" i="41"/>
  <c r="E658" i="41" l="1"/>
  <c r="A657" i="41"/>
  <c r="B657" i="41" s="1"/>
  <c r="C656" i="41"/>
  <c r="D657" i="41"/>
  <c r="E659" i="41" l="1"/>
  <c r="A658" i="41"/>
  <c r="B658" i="41" s="1"/>
  <c r="C657" i="41"/>
  <c r="D658" i="41"/>
  <c r="E660" i="41" l="1"/>
  <c r="A659" i="41"/>
  <c r="B659" i="41" s="1"/>
  <c r="C658" i="41"/>
  <c r="D659" i="41"/>
  <c r="E661" i="41" l="1"/>
  <c r="A660" i="41"/>
  <c r="B660" i="41" s="1"/>
  <c r="C659" i="41"/>
  <c r="D660" i="41"/>
  <c r="E662" i="41" l="1"/>
  <c r="A661" i="41"/>
  <c r="B661" i="41" s="1"/>
  <c r="C660" i="41"/>
  <c r="D661" i="41"/>
  <c r="E663" i="41" l="1"/>
  <c r="A662" i="41"/>
  <c r="B662" i="41" s="1"/>
  <c r="C661" i="41"/>
  <c r="D662" i="41"/>
  <c r="E664" i="41" l="1"/>
  <c r="A663" i="41"/>
  <c r="B663" i="41" s="1"/>
  <c r="C662" i="41"/>
  <c r="D663" i="41"/>
  <c r="E665" i="41" l="1"/>
  <c r="A664" i="41"/>
  <c r="B664" i="41" s="1"/>
  <c r="C663" i="41"/>
  <c r="D664" i="41"/>
  <c r="E666" i="41" l="1"/>
  <c r="A665" i="41"/>
  <c r="B665" i="41" s="1"/>
  <c r="C664" i="41"/>
  <c r="D665" i="41"/>
  <c r="C665" i="41" l="1"/>
  <c r="D666" i="41"/>
  <c r="E667" i="41"/>
  <c r="A666" i="41"/>
  <c r="B666" i="41" s="1"/>
  <c r="E668" i="41" l="1"/>
  <c r="A667" i="41"/>
  <c r="B667" i="41" s="1"/>
  <c r="C666" i="41"/>
  <c r="D667" i="41"/>
  <c r="C667" i="41" l="1"/>
  <c r="D668" i="41"/>
  <c r="E669" i="41"/>
  <c r="A668" i="41"/>
  <c r="B668" i="41" s="1"/>
  <c r="E670" i="41" l="1"/>
  <c r="A669" i="41"/>
  <c r="B669" i="41" s="1"/>
  <c r="C668" i="41"/>
  <c r="D669" i="41"/>
  <c r="C669" i="41" l="1"/>
  <c r="D670" i="41"/>
  <c r="E671" i="41"/>
  <c r="A670" i="41"/>
  <c r="B670" i="41" s="1"/>
  <c r="E672" i="41" l="1"/>
  <c r="A671" i="41"/>
  <c r="B671" i="41" s="1"/>
  <c r="C670" i="41"/>
  <c r="D671" i="41"/>
  <c r="C671" i="41" l="1"/>
  <c r="D672" i="41"/>
  <c r="E673" i="41"/>
  <c r="A672" i="41"/>
  <c r="B672" i="41" s="1"/>
  <c r="E674" i="41" l="1"/>
  <c r="A673" i="41"/>
  <c r="B673" i="41" s="1"/>
  <c r="C672" i="41"/>
  <c r="D673" i="41"/>
  <c r="C673" i="41" l="1"/>
  <c r="D674" i="41"/>
  <c r="E675" i="41"/>
  <c r="A674" i="41"/>
  <c r="B674" i="41" s="1"/>
  <c r="E676" i="41" l="1"/>
  <c r="A675" i="41"/>
  <c r="B675" i="41" s="1"/>
  <c r="C674" i="41"/>
  <c r="D675" i="41"/>
  <c r="C675" i="41" l="1"/>
  <c r="D676" i="41"/>
  <c r="E677" i="41"/>
  <c r="A676" i="41"/>
  <c r="B676" i="41" s="1"/>
  <c r="E678" i="41" l="1"/>
  <c r="A677" i="41"/>
  <c r="B677" i="41" s="1"/>
  <c r="C676" i="41"/>
  <c r="D677" i="41"/>
  <c r="C677" i="41" l="1"/>
  <c r="D678" i="41"/>
  <c r="E679" i="41"/>
  <c r="A678" i="41"/>
  <c r="B678" i="41" s="1"/>
  <c r="E680" i="41" l="1"/>
  <c r="A679" i="41"/>
  <c r="B679" i="41" s="1"/>
  <c r="C678" i="41"/>
  <c r="D679" i="41"/>
  <c r="C679" i="41" l="1"/>
  <c r="D680" i="41"/>
  <c r="E681" i="41"/>
  <c r="A680" i="41"/>
  <c r="B680" i="41" s="1"/>
  <c r="E682" i="41" l="1"/>
  <c r="A681" i="41"/>
  <c r="B681" i="41" s="1"/>
  <c r="C680" i="41"/>
  <c r="D681" i="41"/>
  <c r="C681" i="41" l="1"/>
  <c r="D682" i="41"/>
  <c r="E683" i="41"/>
  <c r="A682" i="41"/>
  <c r="B682" i="41" s="1"/>
  <c r="E684" i="41" l="1"/>
  <c r="A683" i="41"/>
  <c r="B683" i="41" s="1"/>
  <c r="C682" i="41"/>
  <c r="D683" i="41"/>
  <c r="C683" i="41" l="1"/>
  <c r="D684" i="41"/>
  <c r="E685" i="41"/>
  <c r="A684" i="41"/>
  <c r="B684" i="41" s="1"/>
  <c r="E686" i="41" l="1"/>
  <c r="A685" i="41"/>
  <c r="B685" i="41" s="1"/>
  <c r="C684" i="41"/>
  <c r="D685" i="41"/>
  <c r="C685" i="41" l="1"/>
  <c r="D686" i="41"/>
  <c r="E687" i="41"/>
  <c r="A686" i="41"/>
  <c r="B686" i="41" s="1"/>
  <c r="E688" i="41" l="1"/>
  <c r="A687" i="41"/>
  <c r="B687" i="41" s="1"/>
  <c r="C686" i="41"/>
  <c r="D687" i="41"/>
  <c r="C687" i="41" l="1"/>
  <c r="D688" i="41"/>
  <c r="E689" i="41"/>
  <c r="A688" i="41"/>
  <c r="B688" i="41" s="1"/>
  <c r="E690" i="41" l="1"/>
  <c r="A689" i="41"/>
  <c r="B689" i="41" s="1"/>
  <c r="C688" i="41"/>
  <c r="D689" i="41"/>
  <c r="C689" i="41" l="1"/>
  <c r="D690" i="41"/>
  <c r="E691" i="41"/>
  <c r="A690" i="41"/>
  <c r="B690" i="41" s="1"/>
  <c r="A691" i="41" l="1"/>
  <c r="B691" i="41" s="1"/>
  <c r="E692" i="41"/>
  <c r="C690" i="41"/>
  <c r="D691" i="41"/>
  <c r="C691" i="41" l="1"/>
  <c r="D692" i="41"/>
  <c r="A692" i="41"/>
  <c r="B692" i="41" s="1"/>
  <c r="E693" i="41"/>
  <c r="A693" i="41" l="1"/>
  <c r="B693" i="41" s="1"/>
  <c r="E694" i="41"/>
  <c r="D693" i="41"/>
  <c r="C692" i="41"/>
  <c r="D694" i="41" l="1"/>
  <c r="C693" i="41"/>
  <c r="E695" i="41"/>
  <c r="A694" i="41"/>
  <c r="B694" i="41" s="1"/>
  <c r="E696" i="41" l="1"/>
  <c r="A695" i="41"/>
  <c r="B695" i="41" s="1"/>
  <c r="D695" i="41"/>
  <c r="C694" i="41"/>
  <c r="D696" i="41" l="1"/>
  <c r="C695" i="41"/>
  <c r="A696" i="41"/>
  <c r="B696" i="41" s="1"/>
  <c r="E697" i="41"/>
  <c r="E698" i="41" l="1"/>
  <c r="A697" i="41"/>
  <c r="B697" i="41" s="1"/>
  <c r="C696" i="41"/>
  <c r="D697" i="41"/>
  <c r="D698" i="41" l="1"/>
  <c r="C697" i="41"/>
  <c r="E699" i="41"/>
  <c r="A698" i="41"/>
  <c r="B698" i="41" s="1"/>
  <c r="E700" i="41" l="1"/>
  <c r="A699" i="41"/>
  <c r="B699" i="41" s="1"/>
  <c r="D699" i="41"/>
  <c r="C698" i="41"/>
  <c r="D700" i="41" l="1"/>
  <c r="C699" i="41"/>
  <c r="A700" i="41"/>
  <c r="B700" i="41" s="1"/>
  <c r="E701" i="41"/>
  <c r="A701" i="41" l="1"/>
  <c r="B701" i="41" s="1"/>
  <c r="E702" i="41"/>
  <c r="D701" i="41"/>
  <c r="C700" i="41"/>
  <c r="D702" i="41" l="1"/>
  <c r="C701" i="41"/>
  <c r="E703" i="41"/>
  <c r="A702" i="41"/>
  <c r="B702" i="41" s="1"/>
  <c r="E704" i="41" l="1"/>
  <c r="A703" i="41"/>
  <c r="B703" i="41" s="1"/>
  <c r="D703" i="41"/>
  <c r="C702" i="41"/>
  <c r="D704" i="41" l="1"/>
  <c r="C703" i="41"/>
  <c r="A704" i="41"/>
  <c r="B704" i="41" s="1"/>
  <c r="E705" i="41"/>
  <c r="A705" i="41" l="1"/>
  <c r="B705" i="41" s="1"/>
  <c r="E706" i="41"/>
  <c r="D705" i="41"/>
  <c r="C704" i="41"/>
  <c r="D706" i="41" l="1"/>
  <c r="C705" i="41"/>
  <c r="E707" i="41"/>
  <c r="A706" i="41"/>
  <c r="B706" i="41" s="1"/>
  <c r="E708" i="41" l="1"/>
  <c r="A707" i="41"/>
  <c r="B707" i="41" s="1"/>
  <c r="D707" i="41"/>
  <c r="C706" i="41"/>
  <c r="D708" i="41" l="1"/>
  <c r="C707" i="41"/>
  <c r="A708" i="41"/>
  <c r="B708" i="41" s="1"/>
  <c r="E709" i="41"/>
  <c r="A709" i="41" l="1"/>
  <c r="B709" i="41" s="1"/>
  <c r="E710" i="41"/>
  <c r="D709" i="41"/>
  <c r="C708" i="41"/>
  <c r="D710" i="41" l="1"/>
  <c r="C709" i="41"/>
  <c r="E711" i="41"/>
  <c r="A710" i="41"/>
  <c r="B710" i="41" s="1"/>
  <c r="E712" i="41" l="1"/>
  <c r="A711" i="41"/>
  <c r="B711" i="41" s="1"/>
  <c r="D711" i="41"/>
  <c r="C710" i="41"/>
  <c r="D712" i="41" l="1"/>
  <c r="C711" i="41"/>
  <c r="A712" i="41"/>
  <c r="B712" i="41" s="1"/>
  <c r="E713" i="41"/>
  <c r="A713" i="41" l="1"/>
  <c r="B713" i="41" s="1"/>
  <c r="E714" i="41"/>
  <c r="D713" i="41"/>
  <c r="C712" i="41"/>
  <c r="D714" i="41" l="1"/>
  <c r="C713" i="41"/>
  <c r="E715" i="41"/>
  <c r="A714" i="41"/>
  <c r="B714" i="41" s="1"/>
  <c r="E716" i="41" l="1"/>
  <c r="A715" i="41"/>
  <c r="B715" i="41" s="1"/>
  <c r="D715" i="41"/>
  <c r="C714" i="41"/>
  <c r="C715" i="41" l="1"/>
  <c r="D716" i="41"/>
  <c r="A716" i="41"/>
  <c r="B716" i="41" s="1"/>
  <c r="E717" i="41"/>
  <c r="A717" i="41" l="1"/>
  <c r="B717" i="41" s="1"/>
  <c r="E718" i="41"/>
  <c r="D717" i="41"/>
  <c r="C716" i="41"/>
  <c r="D718" i="41" l="1"/>
  <c r="C717" i="41"/>
  <c r="E719" i="41"/>
  <c r="A718" i="41"/>
  <c r="B718" i="41" s="1"/>
  <c r="E720" i="41" l="1"/>
  <c r="A719" i="41"/>
  <c r="B719" i="41" s="1"/>
  <c r="D719" i="41"/>
  <c r="C718" i="41"/>
  <c r="C719" i="41" l="1"/>
  <c r="D720" i="41"/>
  <c r="A720" i="41"/>
  <c r="B720" i="41" s="1"/>
  <c r="E721" i="41"/>
  <c r="A721" i="41" l="1"/>
  <c r="B721" i="41" s="1"/>
  <c r="E722" i="41"/>
  <c r="D721" i="41"/>
  <c r="C720" i="41"/>
  <c r="D722" i="41" l="1"/>
  <c r="C721" i="41"/>
  <c r="E723" i="41"/>
  <c r="A722" i="41"/>
  <c r="B722" i="41" s="1"/>
  <c r="E724" i="41" l="1"/>
  <c r="A723" i="41"/>
  <c r="B723" i="41" s="1"/>
  <c r="D723" i="41"/>
  <c r="C722" i="41"/>
  <c r="C723" i="41" l="1"/>
  <c r="D724" i="41"/>
  <c r="A724" i="41"/>
  <c r="B724" i="41" s="1"/>
  <c r="E725" i="41"/>
  <c r="A725" i="41" l="1"/>
  <c r="B725" i="41" s="1"/>
  <c r="E726" i="41"/>
  <c r="D725" i="41"/>
  <c r="C724" i="41"/>
  <c r="D726" i="41" l="1"/>
  <c r="C725" i="41"/>
  <c r="E727" i="41"/>
  <c r="A726" i="41"/>
  <c r="B726" i="41" s="1"/>
  <c r="E728" i="41" l="1"/>
  <c r="A727" i="41"/>
  <c r="B727" i="41" s="1"/>
  <c r="D727" i="41"/>
  <c r="C726" i="41"/>
  <c r="C727" i="41" l="1"/>
  <c r="D728" i="41"/>
  <c r="A728" i="41"/>
  <c r="B728" i="41" s="1"/>
  <c r="E729" i="41"/>
  <c r="A729" i="41" l="1"/>
  <c r="B729" i="41" s="1"/>
  <c r="E730" i="41"/>
  <c r="D729" i="41"/>
  <c r="C728" i="41"/>
  <c r="D730" i="41" l="1"/>
  <c r="C729" i="41"/>
  <c r="E731" i="41"/>
  <c r="A730" i="41"/>
  <c r="B730" i="41" s="1"/>
  <c r="E732" i="41" l="1"/>
  <c r="A731" i="41"/>
  <c r="B731" i="41" s="1"/>
  <c r="D731" i="41"/>
  <c r="C730" i="41"/>
  <c r="D732" i="41" l="1"/>
  <c r="C731" i="41"/>
  <c r="E733" i="41"/>
  <c r="A732" i="41"/>
  <c r="B732" i="41" s="1"/>
  <c r="A733" i="41" l="1"/>
  <c r="B733" i="41" s="1"/>
  <c r="E734" i="41"/>
  <c r="D733" i="41"/>
  <c r="C732" i="41"/>
  <c r="D734" i="41" l="1"/>
  <c r="C733" i="41"/>
  <c r="A734" i="41"/>
  <c r="B734" i="41" s="1"/>
  <c r="E735" i="41"/>
  <c r="E736" i="41" l="1"/>
  <c r="A735" i="41"/>
  <c r="B735" i="41" s="1"/>
  <c r="D735" i="41"/>
  <c r="C734" i="41"/>
  <c r="D736" i="41" l="1"/>
  <c r="C735" i="41"/>
  <c r="E737" i="41"/>
  <c r="A736" i="41"/>
  <c r="B736" i="41" s="1"/>
  <c r="A737" i="41" l="1"/>
  <c r="B737" i="41" s="1"/>
  <c r="E738" i="41"/>
  <c r="D737" i="41"/>
  <c r="C736" i="41"/>
  <c r="D738" i="41" l="1"/>
  <c r="C737" i="41"/>
  <c r="A738" i="41"/>
  <c r="B738" i="41" s="1"/>
  <c r="E739" i="41"/>
  <c r="E740" i="41" l="1"/>
  <c r="A739" i="41"/>
  <c r="B739" i="41" s="1"/>
  <c r="D739" i="41"/>
  <c r="C738" i="41"/>
  <c r="D740" i="41" l="1"/>
  <c r="C739" i="41"/>
  <c r="E741" i="41"/>
  <c r="A740" i="41"/>
  <c r="B740" i="41" s="1"/>
  <c r="A741" i="41" l="1"/>
  <c r="B741" i="41" s="1"/>
  <c r="E742" i="41"/>
  <c r="D741" i="41"/>
  <c r="C740" i="41"/>
  <c r="D742" i="41" l="1"/>
  <c r="C741" i="41"/>
  <c r="A742" i="41"/>
  <c r="B742" i="41" s="1"/>
  <c r="E743" i="41"/>
  <c r="E744" i="41" l="1"/>
  <c r="A743" i="41"/>
  <c r="B743" i="41" s="1"/>
  <c r="D743" i="41"/>
  <c r="C742" i="41"/>
  <c r="D744" i="41" l="1"/>
  <c r="C743" i="41"/>
  <c r="E745" i="41"/>
  <c r="A744" i="41"/>
  <c r="B744" i="41" s="1"/>
  <c r="A745" i="41" l="1"/>
  <c r="B745" i="41" s="1"/>
  <c r="E746" i="41"/>
  <c r="D745" i="41"/>
  <c r="C744" i="41"/>
  <c r="D746" i="41" l="1"/>
  <c r="C745" i="41"/>
  <c r="A746" i="41"/>
  <c r="B746" i="41" s="1"/>
  <c r="E747" i="41"/>
  <c r="E748" i="41" l="1"/>
  <c r="A747" i="41"/>
  <c r="B747" i="41" s="1"/>
  <c r="D747" i="41"/>
  <c r="C746" i="41"/>
  <c r="C747" i="41" l="1"/>
  <c r="D748" i="41"/>
  <c r="E749" i="41"/>
  <c r="A748" i="41"/>
  <c r="B748" i="41" s="1"/>
  <c r="E750" i="41" l="1"/>
  <c r="A749" i="41"/>
  <c r="B749" i="41" s="1"/>
  <c r="C748" i="41"/>
  <c r="D749" i="41"/>
  <c r="C749" i="41" l="1"/>
  <c r="D750" i="41"/>
  <c r="E751" i="41"/>
  <c r="A750" i="41"/>
  <c r="B750" i="41" s="1"/>
  <c r="E752" i="41" l="1"/>
  <c r="A751" i="41"/>
  <c r="B751" i="41" s="1"/>
  <c r="C750" i="41"/>
  <c r="D751" i="41"/>
  <c r="C751" i="41" l="1"/>
  <c r="D752" i="41"/>
  <c r="E753" i="41"/>
  <c r="A752" i="41"/>
  <c r="B752" i="41" s="1"/>
  <c r="E754" i="41" l="1"/>
  <c r="A753" i="41"/>
  <c r="B753" i="41" s="1"/>
  <c r="C752" i="41"/>
  <c r="D753" i="41"/>
  <c r="C753" i="41" l="1"/>
  <c r="D754" i="41"/>
  <c r="E755" i="41"/>
  <c r="A754" i="41"/>
  <c r="B754" i="41" s="1"/>
  <c r="E756" i="41" l="1"/>
  <c r="A755" i="41"/>
  <c r="B755" i="41" s="1"/>
  <c r="C754" i="41"/>
  <c r="D755" i="41"/>
  <c r="C755" i="41" l="1"/>
  <c r="D756" i="41"/>
  <c r="E757" i="41"/>
  <c r="A756" i="41"/>
  <c r="B756" i="41" s="1"/>
  <c r="E758" i="41" l="1"/>
  <c r="A757" i="41"/>
  <c r="B757" i="41" s="1"/>
  <c r="C756" i="41"/>
  <c r="D757" i="41"/>
  <c r="C757" i="41" l="1"/>
  <c r="D758" i="41"/>
  <c r="E759" i="41"/>
  <c r="A758" i="41"/>
  <c r="B758" i="41" s="1"/>
  <c r="E760" i="41" l="1"/>
  <c r="A759" i="41"/>
  <c r="B759" i="41" s="1"/>
  <c r="C758" i="41"/>
  <c r="D759" i="41"/>
  <c r="C759" i="41" l="1"/>
  <c r="D760" i="41"/>
  <c r="E761" i="41"/>
  <c r="A760" i="41"/>
  <c r="B760" i="41" s="1"/>
  <c r="E762" i="41" l="1"/>
  <c r="A761" i="41"/>
  <c r="B761" i="41" s="1"/>
  <c r="C760" i="41"/>
  <c r="D761" i="41"/>
  <c r="C761" i="41" l="1"/>
  <c r="D762" i="41"/>
  <c r="E763" i="41"/>
  <c r="A762" i="41"/>
  <c r="B762" i="41" s="1"/>
  <c r="E764" i="41" l="1"/>
  <c r="A763" i="41"/>
  <c r="B763" i="41" s="1"/>
  <c r="C762" i="41"/>
  <c r="D763" i="41"/>
  <c r="C763" i="41" l="1"/>
  <c r="D764" i="41"/>
  <c r="E765" i="41"/>
  <c r="A764" i="41"/>
  <c r="B764" i="41" s="1"/>
  <c r="E766" i="41" l="1"/>
  <c r="A765" i="41"/>
  <c r="B765" i="41" s="1"/>
  <c r="C764" i="41"/>
  <c r="D765" i="41"/>
  <c r="C765" i="41" l="1"/>
  <c r="D766" i="41"/>
  <c r="E767" i="41"/>
  <c r="A766" i="41"/>
  <c r="B766" i="41" s="1"/>
  <c r="E768" i="41" l="1"/>
  <c r="A767" i="41"/>
  <c r="B767" i="41" s="1"/>
  <c r="C766" i="41"/>
  <c r="D767" i="41"/>
  <c r="C767" i="41" l="1"/>
  <c r="D768" i="41"/>
  <c r="E769" i="41"/>
  <c r="A768" i="41"/>
  <c r="B768" i="41" s="1"/>
  <c r="E770" i="41" l="1"/>
  <c r="A769" i="41"/>
  <c r="B769" i="41" s="1"/>
  <c r="C768" i="41"/>
  <c r="D769" i="41"/>
  <c r="C769" i="41" l="1"/>
  <c r="D770" i="41"/>
  <c r="E771" i="41"/>
  <c r="A770" i="41"/>
  <c r="B770" i="41" s="1"/>
  <c r="E772" i="41" l="1"/>
  <c r="A771" i="41"/>
  <c r="B771" i="41" s="1"/>
  <c r="C770" i="41"/>
  <c r="D771" i="41"/>
  <c r="A772" i="41" l="1"/>
  <c r="B772" i="41" s="1"/>
  <c r="E773" i="41"/>
  <c r="C771" i="41"/>
  <c r="D772" i="41"/>
  <c r="C772" i="41" l="1"/>
  <c r="D773" i="41"/>
  <c r="E774" i="41"/>
  <c r="A773" i="41"/>
  <c r="B773" i="41" s="1"/>
  <c r="A774" i="41" l="1"/>
  <c r="B774" i="41" s="1"/>
  <c r="E775" i="41"/>
  <c r="C773" i="41"/>
  <c r="D774" i="41"/>
  <c r="C774" i="41" l="1"/>
  <c r="D775" i="41"/>
  <c r="E776" i="41"/>
  <c r="A775" i="41"/>
  <c r="B775" i="41" s="1"/>
  <c r="A776" i="41" l="1"/>
  <c r="B776" i="41" s="1"/>
  <c r="E777" i="41"/>
  <c r="C775" i="41"/>
  <c r="D776" i="41"/>
  <c r="C776" i="41" l="1"/>
  <c r="D777" i="41"/>
  <c r="E778" i="41"/>
  <c r="A777" i="41"/>
  <c r="B777" i="41" s="1"/>
  <c r="A778" i="41" l="1"/>
  <c r="B778" i="41" s="1"/>
  <c r="E779" i="41"/>
  <c r="C777" i="41"/>
  <c r="D778" i="41"/>
  <c r="C778" i="41" l="1"/>
  <c r="D779" i="41"/>
  <c r="E780" i="41"/>
  <c r="A779" i="41"/>
  <c r="B779" i="41" s="1"/>
  <c r="A780" i="41" l="1"/>
  <c r="B780" i="41" s="1"/>
  <c r="E781" i="41"/>
  <c r="C779" i="41"/>
  <c r="D780" i="41"/>
  <c r="C780" i="41" l="1"/>
  <c r="D781" i="41"/>
  <c r="E782" i="41"/>
  <c r="A781" i="41"/>
  <c r="B781" i="41" s="1"/>
  <c r="A782" i="41" l="1"/>
  <c r="B782" i="41" s="1"/>
  <c r="E783" i="41"/>
  <c r="C781" i="41"/>
  <c r="D782" i="41"/>
  <c r="C782" i="41" l="1"/>
  <c r="D783" i="41"/>
  <c r="E784" i="41"/>
  <c r="A783" i="41"/>
  <c r="B783" i="41" s="1"/>
  <c r="A784" i="41" l="1"/>
  <c r="B784" i="41" s="1"/>
  <c r="E785" i="41"/>
  <c r="C783" i="41"/>
  <c r="D784" i="41"/>
  <c r="C784" i="41" l="1"/>
  <c r="D785" i="41"/>
  <c r="E786" i="41"/>
  <c r="A785" i="41"/>
  <c r="B785" i="41" s="1"/>
  <c r="A786" i="41" l="1"/>
  <c r="B786" i="41" s="1"/>
  <c r="E787" i="41"/>
  <c r="C785" i="41"/>
  <c r="D786" i="41"/>
  <c r="C786" i="41" l="1"/>
  <c r="D787" i="41"/>
  <c r="E788" i="41"/>
  <c r="A787" i="41"/>
  <c r="B787" i="41" s="1"/>
  <c r="A788" i="41" l="1"/>
  <c r="B788" i="41" s="1"/>
  <c r="E789" i="41"/>
  <c r="C787" i="41"/>
  <c r="D788" i="41"/>
  <c r="C788" i="41" l="1"/>
  <c r="D789" i="41"/>
  <c r="E790" i="41"/>
  <c r="A789" i="41"/>
  <c r="B789" i="41" s="1"/>
  <c r="A790" i="41" l="1"/>
  <c r="B790" i="41" s="1"/>
  <c r="E791" i="41"/>
  <c r="C789" i="41"/>
  <c r="D790" i="41"/>
  <c r="C790" i="41" l="1"/>
  <c r="D791" i="41"/>
  <c r="E792" i="41"/>
  <c r="A791" i="41"/>
  <c r="B791" i="41" s="1"/>
  <c r="A792" i="41" l="1"/>
  <c r="B792" i="41" s="1"/>
  <c r="E793" i="41"/>
  <c r="C791" i="41"/>
  <c r="D792" i="41"/>
  <c r="C792" i="41" l="1"/>
  <c r="D793" i="41"/>
  <c r="E794" i="41"/>
  <c r="A793" i="41"/>
  <c r="B793" i="41" s="1"/>
  <c r="A794" i="41" l="1"/>
  <c r="B794" i="41" s="1"/>
  <c r="E795" i="41"/>
  <c r="C793" i="41"/>
  <c r="D794" i="41"/>
  <c r="C794" i="41" l="1"/>
  <c r="D795" i="41"/>
  <c r="E796" i="41"/>
  <c r="A795" i="41"/>
  <c r="B795" i="41" s="1"/>
  <c r="A796" i="41" l="1"/>
  <c r="B796" i="41" s="1"/>
  <c r="E797" i="41"/>
  <c r="C795" i="41"/>
  <c r="D796" i="41"/>
  <c r="C796" i="41" l="1"/>
  <c r="D797" i="41"/>
  <c r="E798" i="41"/>
  <c r="A797" i="41"/>
  <c r="B797" i="41" s="1"/>
  <c r="A798" i="41" l="1"/>
  <c r="B798" i="41" s="1"/>
  <c r="E799" i="41"/>
  <c r="C797" i="41"/>
  <c r="D798" i="41"/>
  <c r="C798" i="41" l="1"/>
  <c r="D799" i="41"/>
  <c r="E800" i="41"/>
  <c r="A799" i="41"/>
  <c r="B799" i="41" s="1"/>
  <c r="A800" i="41" l="1"/>
  <c r="B800" i="41" s="1"/>
  <c r="E801" i="41"/>
  <c r="C799" i="41"/>
  <c r="D800" i="41"/>
  <c r="C800" i="41" l="1"/>
  <c r="D801" i="41"/>
  <c r="E802" i="41"/>
  <c r="A801" i="41"/>
  <c r="B801" i="41" s="1"/>
  <c r="A802" i="41" l="1"/>
  <c r="B802" i="41" s="1"/>
  <c r="E803" i="41"/>
  <c r="C801" i="41"/>
  <c r="D802" i="41"/>
  <c r="C802" i="41" l="1"/>
  <c r="D803" i="41"/>
  <c r="E804" i="41"/>
  <c r="A803" i="41"/>
  <c r="B803" i="41" s="1"/>
  <c r="A804" i="41" l="1"/>
  <c r="B804" i="41" s="1"/>
  <c r="E805" i="41"/>
  <c r="C803" i="41"/>
  <c r="D804" i="41"/>
  <c r="C804" i="41" l="1"/>
  <c r="D805" i="41"/>
  <c r="E806" i="41"/>
  <c r="A805" i="41"/>
  <c r="B805" i="41" s="1"/>
  <c r="A806" i="41" l="1"/>
  <c r="B806" i="41" s="1"/>
  <c r="E807" i="41"/>
  <c r="C805" i="41"/>
  <c r="D806" i="41"/>
  <c r="C806" i="41" l="1"/>
  <c r="D807" i="41"/>
  <c r="E808" i="41"/>
  <c r="A807" i="41"/>
  <c r="B807" i="41" s="1"/>
  <c r="A808" i="41" l="1"/>
  <c r="B808" i="41" s="1"/>
  <c r="E809" i="41"/>
  <c r="C807" i="41"/>
  <c r="D808" i="41"/>
  <c r="C808" i="41" l="1"/>
  <c r="D809" i="41"/>
  <c r="E810" i="41"/>
  <c r="A809" i="41"/>
  <c r="B809" i="41" s="1"/>
  <c r="A810" i="41" l="1"/>
  <c r="B810" i="41" s="1"/>
  <c r="E811" i="41"/>
  <c r="C809" i="41"/>
  <c r="D810" i="41"/>
  <c r="C810" i="41" l="1"/>
  <c r="D811" i="41"/>
  <c r="E812" i="41"/>
  <c r="A811" i="41"/>
  <c r="B811" i="41" s="1"/>
  <c r="A812" i="41" l="1"/>
  <c r="B812" i="41" s="1"/>
  <c r="E813" i="41"/>
  <c r="C811" i="41"/>
  <c r="D812" i="41"/>
  <c r="C812" i="41" l="1"/>
  <c r="D813" i="41"/>
  <c r="E814" i="41"/>
  <c r="A813" i="41"/>
  <c r="B813" i="41" s="1"/>
  <c r="A814" i="41" l="1"/>
  <c r="B814" i="41" s="1"/>
  <c r="E815" i="41"/>
  <c r="C813" i="41"/>
  <c r="D814" i="41"/>
  <c r="C814" i="41" l="1"/>
  <c r="D815" i="41"/>
  <c r="E816" i="41"/>
  <c r="A815" i="41"/>
  <c r="B815" i="41" s="1"/>
  <c r="A816" i="41" l="1"/>
  <c r="B816" i="41" s="1"/>
  <c r="E817" i="41"/>
  <c r="C815" i="41"/>
  <c r="D816" i="41"/>
  <c r="C816" i="41" l="1"/>
  <c r="D817" i="41"/>
  <c r="E818" i="41"/>
  <c r="A817" i="41"/>
  <c r="B817" i="41" s="1"/>
  <c r="A818" i="41" l="1"/>
  <c r="B818" i="41" s="1"/>
  <c r="E819" i="41"/>
  <c r="C817" i="41"/>
  <c r="D818" i="41"/>
  <c r="C818" i="41" l="1"/>
  <c r="D819" i="41"/>
  <c r="E820" i="41"/>
  <c r="A819" i="41"/>
  <c r="B819" i="41" s="1"/>
  <c r="A820" i="41" l="1"/>
  <c r="B820" i="41" s="1"/>
  <c r="E821" i="41"/>
  <c r="C819" i="41"/>
  <c r="D820" i="41"/>
  <c r="C820" i="41" l="1"/>
  <c r="D821" i="41"/>
  <c r="E822" i="41"/>
  <c r="A821" i="41"/>
  <c r="B821" i="41" s="1"/>
  <c r="A822" i="41" l="1"/>
  <c r="B822" i="41" s="1"/>
  <c r="E823" i="41"/>
  <c r="C821" i="41"/>
  <c r="D822" i="41"/>
  <c r="C822" i="41" l="1"/>
  <c r="D823" i="41"/>
  <c r="E824" i="41"/>
  <c r="A823" i="41"/>
  <c r="B823" i="41" s="1"/>
  <c r="A824" i="41" l="1"/>
  <c r="B824" i="41" s="1"/>
  <c r="E825" i="41"/>
  <c r="C823" i="41"/>
  <c r="D824" i="41"/>
  <c r="C824" i="41" l="1"/>
  <c r="D825" i="41"/>
  <c r="E826" i="41"/>
  <c r="A825" i="41"/>
  <c r="B825" i="41" s="1"/>
  <c r="A826" i="41" l="1"/>
  <c r="B826" i="41" s="1"/>
  <c r="E827" i="41"/>
  <c r="C825" i="41"/>
  <c r="D826" i="41"/>
  <c r="C826" i="41" l="1"/>
  <c r="D827" i="41"/>
  <c r="E828" i="41"/>
  <c r="A827" i="41"/>
  <c r="B827" i="41" s="1"/>
  <c r="A828" i="41" l="1"/>
  <c r="B828" i="41" s="1"/>
  <c r="E829" i="41"/>
  <c r="C827" i="41"/>
  <c r="D828" i="41"/>
  <c r="C828" i="41" l="1"/>
  <c r="D829" i="41"/>
  <c r="E830" i="41"/>
  <c r="A829" i="41"/>
  <c r="B829" i="41" s="1"/>
  <c r="A830" i="41" l="1"/>
  <c r="B830" i="41" s="1"/>
  <c r="E831" i="41"/>
  <c r="C829" i="41"/>
  <c r="D830" i="41"/>
  <c r="C830" i="41" l="1"/>
  <c r="D831" i="41"/>
  <c r="E832" i="41"/>
  <c r="A831" i="41"/>
  <c r="B831" i="41" s="1"/>
  <c r="A832" i="41" l="1"/>
  <c r="B832" i="41" s="1"/>
  <c r="E833" i="41"/>
  <c r="C831" i="41"/>
  <c r="D832" i="41"/>
  <c r="C832" i="41" l="1"/>
  <c r="D833" i="41"/>
  <c r="E834" i="41"/>
  <c r="A833" i="41"/>
  <c r="B833" i="41" s="1"/>
  <c r="A834" i="41" l="1"/>
  <c r="B834" i="41" s="1"/>
  <c r="E835" i="41"/>
  <c r="C833" i="41"/>
  <c r="D834" i="41"/>
  <c r="C834" i="41" l="1"/>
  <c r="D835" i="41"/>
  <c r="E836" i="41"/>
  <c r="A835" i="41"/>
  <c r="B835" i="41" s="1"/>
  <c r="A836" i="41" l="1"/>
  <c r="B836" i="41" s="1"/>
  <c r="E837" i="41"/>
  <c r="C835" i="41"/>
  <c r="D836" i="41"/>
  <c r="C836" i="41" l="1"/>
  <c r="D837" i="41"/>
  <c r="E838" i="41"/>
  <c r="A837" i="41"/>
  <c r="B837" i="41" s="1"/>
  <c r="A838" i="41" l="1"/>
  <c r="B838" i="41" s="1"/>
  <c r="E839" i="41"/>
  <c r="C837" i="41"/>
  <c r="D838" i="41"/>
  <c r="C838" i="41" l="1"/>
  <c r="D839" i="41"/>
  <c r="E840" i="41"/>
  <c r="A839" i="41"/>
  <c r="B839" i="41" s="1"/>
  <c r="A840" i="41" l="1"/>
  <c r="B840" i="41" s="1"/>
  <c r="E841" i="41"/>
  <c r="C839" i="41"/>
  <c r="D840" i="41"/>
  <c r="C840" i="41" l="1"/>
  <c r="D841" i="41"/>
  <c r="E842" i="41"/>
  <c r="A841" i="41"/>
  <c r="B841" i="41" s="1"/>
  <c r="A842" i="41" l="1"/>
  <c r="B842" i="41" s="1"/>
  <c r="E843" i="41"/>
  <c r="C841" i="41"/>
  <c r="D842" i="41"/>
  <c r="D843" i="41" l="1"/>
  <c r="C842" i="41"/>
  <c r="E844" i="41"/>
  <c r="A843" i="41"/>
  <c r="B843" i="41" s="1"/>
  <c r="D844" i="41" l="1"/>
  <c r="C843" i="41"/>
  <c r="E845" i="41"/>
  <c r="A844" i="41"/>
  <c r="B844" i="41" s="1"/>
  <c r="D845" i="41" l="1"/>
  <c r="C844" i="41"/>
  <c r="E846" i="41"/>
  <c r="A845" i="41"/>
  <c r="B845" i="41" s="1"/>
  <c r="D846" i="41" l="1"/>
  <c r="C845" i="41"/>
  <c r="E847" i="41"/>
  <c r="A846" i="41"/>
  <c r="B846" i="41" s="1"/>
  <c r="D847" i="41" l="1"/>
  <c r="C846" i="41"/>
  <c r="E848" i="41"/>
  <c r="A847" i="41"/>
  <c r="B847" i="41" s="1"/>
  <c r="D848" i="41" l="1"/>
  <c r="C847" i="41"/>
  <c r="A848" i="41"/>
  <c r="B848" i="41" s="1"/>
  <c r="E849" i="41"/>
  <c r="D849" i="41" l="1"/>
  <c r="C848" i="41"/>
  <c r="E850" i="41"/>
  <c r="A849" i="41"/>
  <c r="B849" i="41" s="1"/>
  <c r="D850" i="41" l="1"/>
  <c r="C849" i="41"/>
  <c r="A850" i="41"/>
  <c r="B850" i="41" s="1"/>
  <c r="E851" i="41"/>
  <c r="D851" i="41" l="1"/>
  <c r="C850" i="41"/>
  <c r="E852" i="41"/>
  <c r="A851" i="41"/>
  <c r="B851" i="41" s="1"/>
  <c r="D852" i="41" l="1"/>
  <c r="C851" i="41"/>
  <c r="A852" i="41"/>
  <c r="B852" i="41" s="1"/>
  <c r="E853" i="41"/>
  <c r="D853" i="41" l="1"/>
  <c r="C852" i="41"/>
  <c r="E854" i="41"/>
  <c r="A853" i="41"/>
  <c r="B853" i="41" s="1"/>
  <c r="D854" i="41" l="1"/>
  <c r="C853" i="41"/>
  <c r="A854" i="41"/>
  <c r="B854" i="41" s="1"/>
  <c r="E855" i="41"/>
  <c r="D855" i="41" l="1"/>
  <c r="C854" i="41"/>
  <c r="E856" i="41"/>
  <c r="A855" i="41"/>
  <c r="B855" i="41" s="1"/>
  <c r="D856" i="41" l="1"/>
  <c r="C855" i="41"/>
  <c r="A856" i="41"/>
  <c r="B856" i="41" s="1"/>
  <c r="E857" i="41"/>
  <c r="D857" i="41" l="1"/>
  <c r="C856" i="41"/>
  <c r="E858" i="41"/>
  <c r="A857" i="41"/>
  <c r="B857" i="41" s="1"/>
  <c r="D858" i="41" l="1"/>
  <c r="C857" i="41"/>
  <c r="A858" i="41"/>
  <c r="B858" i="41" s="1"/>
  <c r="E859" i="41"/>
  <c r="D859" i="41" l="1"/>
  <c r="C858" i="41"/>
  <c r="E860" i="41"/>
  <c r="A859" i="41"/>
  <c r="B859" i="41" s="1"/>
  <c r="D860" i="41" l="1"/>
  <c r="C859" i="41"/>
  <c r="A860" i="41"/>
  <c r="B860" i="41" s="1"/>
  <c r="E861" i="41"/>
  <c r="D861" i="41" l="1"/>
  <c r="C860" i="41"/>
  <c r="E862" i="41"/>
  <c r="A861" i="41"/>
  <c r="B861" i="41" s="1"/>
  <c r="D862" i="41" l="1"/>
  <c r="C861" i="41"/>
  <c r="A862" i="41"/>
  <c r="B862" i="41" s="1"/>
  <c r="E863" i="41"/>
  <c r="D863" i="41" l="1"/>
  <c r="C862" i="41"/>
  <c r="E864" i="41"/>
  <c r="A863" i="41"/>
  <c r="B863" i="41" s="1"/>
  <c r="D864" i="41" l="1"/>
  <c r="C863" i="41"/>
  <c r="A864" i="41"/>
  <c r="B864" i="41" s="1"/>
  <c r="E865" i="41"/>
  <c r="D865" i="41" l="1"/>
  <c r="C864" i="41"/>
  <c r="E866" i="41"/>
  <c r="A865" i="41"/>
  <c r="B865" i="41" s="1"/>
  <c r="D866" i="41" l="1"/>
  <c r="C865" i="41"/>
  <c r="A866" i="41"/>
  <c r="B866" i="41" s="1"/>
  <c r="E867" i="41"/>
  <c r="D867" i="41" l="1"/>
  <c r="C866" i="41"/>
  <c r="E868" i="41"/>
  <c r="A867" i="41"/>
  <c r="B867" i="41" s="1"/>
  <c r="D868" i="41" l="1"/>
  <c r="C867" i="41"/>
  <c r="A868" i="41"/>
  <c r="B868" i="41" s="1"/>
  <c r="E869" i="41"/>
  <c r="D869" i="41" l="1"/>
  <c r="C868" i="41"/>
  <c r="E870" i="41"/>
  <c r="A869" i="41"/>
  <c r="B869" i="41" s="1"/>
  <c r="D870" i="41" l="1"/>
  <c r="C869" i="41"/>
  <c r="A870" i="41"/>
  <c r="B870" i="41" s="1"/>
  <c r="E871" i="41"/>
  <c r="D871" i="41" l="1"/>
  <c r="C870" i="41"/>
  <c r="E872" i="41"/>
  <c r="A871" i="41"/>
  <c r="B871" i="41" s="1"/>
  <c r="D872" i="41" l="1"/>
  <c r="C871" i="41"/>
  <c r="A872" i="41"/>
  <c r="B872" i="41" s="1"/>
  <c r="E873" i="41"/>
  <c r="D873" i="41" l="1"/>
  <c r="C872" i="41"/>
  <c r="E874" i="41"/>
  <c r="A873" i="41"/>
  <c r="B873" i="41" s="1"/>
  <c r="D874" i="41" l="1"/>
  <c r="C873" i="41"/>
  <c r="A874" i="41"/>
  <c r="B874" i="41" s="1"/>
  <c r="E875" i="41"/>
  <c r="D875" i="41" l="1"/>
  <c r="C874" i="41"/>
  <c r="E876" i="41"/>
  <c r="A875" i="41"/>
  <c r="B875" i="41" s="1"/>
  <c r="D876" i="41" l="1"/>
  <c r="C875" i="41"/>
  <c r="A876" i="41"/>
  <c r="B876" i="41" s="1"/>
  <c r="E877" i="41"/>
  <c r="D877" i="41" l="1"/>
  <c r="C876" i="41"/>
  <c r="E878" i="41"/>
  <c r="A877" i="41"/>
  <c r="B877" i="41" s="1"/>
  <c r="D878" i="41" l="1"/>
  <c r="C877" i="41"/>
  <c r="A878" i="41"/>
  <c r="B878" i="41" s="1"/>
  <c r="E879" i="41"/>
  <c r="D879" i="41" l="1"/>
  <c r="C878" i="41"/>
  <c r="E880" i="41"/>
  <c r="A879" i="41"/>
  <c r="B879" i="41" s="1"/>
  <c r="D880" i="41" l="1"/>
  <c r="C879" i="41"/>
  <c r="A880" i="41"/>
  <c r="B880" i="41" s="1"/>
  <c r="E881" i="41"/>
  <c r="D881" i="41" l="1"/>
  <c r="C880" i="41"/>
  <c r="E882" i="41"/>
  <c r="A881" i="41"/>
  <c r="B881" i="41" s="1"/>
  <c r="D882" i="41" l="1"/>
  <c r="C881" i="41"/>
  <c r="A882" i="41"/>
  <c r="B882" i="41" s="1"/>
  <c r="E883" i="41"/>
  <c r="D883" i="41" l="1"/>
  <c r="C882" i="41"/>
  <c r="E884" i="41"/>
  <c r="A883" i="41"/>
  <c r="B883" i="41" s="1"/>
  <c r="D884" i="41" l="1"/>
  <c r="C883" i="41"/>
  <c r="A884" i="41"/>
  <c r="B884" i="41" s="1"/>
  <c r="E885" i="41"/>
  <c r="D885" i="41" l="1"/>
  <c r="C884" i="41"/>
  <c r="E886" i="41"/>
  <c r="A885" i="41"/>
  <c r="B885" i="41" s="1"/>
  <c r="D886" i="41" l="1"/>
  <c r="C885" i="41"/>
  <c r="A886" i="41"/>
  <c r="B886" i="41" s="1"/>
  <c r="E887" i="41"/>
  <c r="D887" i="41" l="1"/>
  <c r="C886" i="41"/>
  <c r="E888" i="41"/>
  <c r="A887" i="41"/>
  <c r="B887" i="41" s="1"/>
  <c r="D888" i="41" l="1"/>
  <c r="C887" i="41"/>
  <c r="A888" i="41"/>
  <c r="B888" i="41" s="1"/>
  <c r="E889" i="41"/>
  <c r="D889" i="41" l="1"/>
  <c r="C888" i="41"/>
  <c r="E890" i="41"/>
  <c r="A889" i="41"/>
  <c r="B889" i="41" s="1"/>
  <c r="D890" i="41" l="1"/>
  <c r="C889" i="41"/>
  <c r="A890" i="41"/>
  <c r="B890" i="41" s="1"/>
  <c r="E891" i="41"/>
  <c r="D891" i="41" l="1"/>
  <c r="C890" i="41"/>
  <c r="E892" i="41"/>
  <c r="A891" i="41"/>
  <c r="B891" i="41" s="1"/>
  <c r="D892" i="41" l="1"/>
  <c r="C891" i="41"/>
  <c r="A892" i="41"/>
  <c r="B892" i="41" s="1"/>
  <c r="E893" i="41"/>
  <c r="D893" i="41" l="1"/>
  <c r="C892" i="41"/>
  <c r="E894" i="41"/>
  <c r="A893" i="41"/>
  <c r="B893" i="41" s="1"/>
  <c r="D894" i="41" l="1"/>
  <c r="C893" i="41"/>
  <c r="A894" i="41"/>
  <c r="B894" i="41" s="1"/>
  <c r="E895" i="41"/>
  <c r="D895" i="41" l="1"/>
  <c r="C894" i="41"/>
  <c r="E896" i="41"/>
  <c r="A895" i="41"/>
  <c r="B895" i="41" s="1"/>
  <c r="D896" i="41" l="1"/>
  <c r="C895" i="41"/>
  <c r="A896" i="41"/>
  <c r="B896" i="41" s="1"/>
  <c r="E897" i="41"/>
  <c r="D897" i="41" l="1"/>
  <c r="C896" i="41"/>
  <c r="E898" i="41"/>
  <c r="A897" i="41"/>
  <c r="B897" i="41" s="1"/>
  <c r="D898" i="41" l="1"/>
  <c r="C897" i="41"/>
  <c r="A898" i="41"/>
  <c r="B898" i="41" s="1"/>
  <c r="E899" i="41"/>
  <c r="D899" i="41" l="1"/>
  <c r="C898" i="41"/>
  <c r="E900" i="41"/>
  <c r="A899" i="41"/>
  <c r="B899" i="41" s="1"/>
  <c r="D900" i="41" l="1"/>
  <c r="C899" i="41"/>
  <c r="A900" i="41"/>
  <c r="B900" i="41" s="1"/>
  <c r="E901" i="41"/>
  <c r="D901" i="41" l="1"/>
  <c r="C900" i="41"/>
  <c r="E902" i="41"/>
  <c r="A901" i="41"/>
  <c r="B901" i="41" s="1"/>
  <c r="D902" i="41" l="1"/>
  <c r="C901" i="41"/>
  <c r="A902" i="41"/>
  <c r="B902" i="41" s="1"/>
  <c r="E903" i="41"/>
  <c r="D903" i="41" l="1"/>
  <c r="C902" i="41"/>
  <c r="E904" i="41"/>
  <c r="A903" i="41"/>
  <c r="B903" i="41" s="1"/>
  <c r="D904" i="41" l="1"/>
  <c r="C903" i="41"/>
  <c r="A904" i="41"/>
  <c r="B904" i="41" s="1"/>
  <c r="E905" i="41"/>
  <c r="D905" i="41" l="1"/>
  <c r="C904" i="41"/>
  <c r="E906" i="41"/>
  <c r="A905" i="41"/>
  <c r="B905" i="41" s="1"/>
  <c r="D906" i="41" l="1"/>
  <c r="C905" i="41"/>
  <c r="A906" i="41"/>
  <c r="B906" i="41" s="1"/>
  <c r="E907" i="41"/>
  <c r="D907" i="41" l="1"/>
  <c r="C906" i="41"/>
  <c r="E908" i="41"/>
  <c r="A907" i="41"/>
  <c r="B907" i="41" s="1"/>
  <c r="D908" i="41" l="1"/>
  <c r="C907" i="41"/>
  <c r="A908" i="41"/>
  <c r="B908" i="41" s="1"/>
  <c r="E909" i="41"/>
  <c r="D909" i="41" l="1"/>
  <c r="C908" i="41"/>
  <c r="E910" i="41"/>
  <c r="A909" i="41"/>
  <c r="B909" i="41" s="1"/>
  <c r="D910" i="41" l="1"/>
  <c r="C909" i="41"/>
  <c r="A910" i="41"/>
  <c r="B910" i="41" s="1"/>
  <c r="E911" i="41"/>
  <c r="D911" i="41" l="1"/>
  <c r="C910" i="41"/>
  <c r="E912" i="41"/>
  <c r="A911" i="41"/>
  <c r="B911" i="41" s="1"/>
  <c r="D912" i="41" l="1"/>
  <c r="C911" i="41"/>
  <c r="A912" i="41"/>
  <c r="B912" i="41" s="1"/>
  <c r="E913" i="41"/>
  <c r="D913" i="41" l="1"/>
  <c r="C912" i="41"/>
  <c r="E914" i="41"/>
  <c r="A913" i="41"/>
  <c r="B913" i="41" s="1"/>
  <c r="D914" i="41" l="1"/>
  <c r="C913" i="41"/>
  <c r="A914" i="41"/>
  <c r="B914" i="41" s="1"/>
  <c r="E915" i="41"/>
  <c r="D915" i="41" l="1"/>
  <c r="C914" i="41"/>
  <c r="E916" i="41"/>
  <c r="A915" i="41"/>
  <c r="B915" i="41" s="1"/>
  <c r="D916" i="41" l="1"/>
  <c r="C915" i="41"/>
  <c r="A916" i="41"/>
  <c r="B916" i="41" s="1"/>
  <c r="E917" i="41"/>
  <c r="D917" i="41" l="1"/>
  <c r="C916" i="41"/>
  <c r="E918" i="41"/>
  <c r="A917" i="41"/>
  <c r="B917" i="41" s="1"/>
  <c r="D918" i="41" l="1"/>
  <c r="C917" i="41"/>
  <c r="A918" i="41"/>
  <c r="B918" i="41" s="1"/>
  <c r="E919" i="41"/>
  <c r="D919" i="41" l="1"/>
  <c r="C918" i="41"/>
  <c r="E920" i="41"/>
  <c r="A919" i="41"/>
  <c r="B919" i="41" s="1"/>
  <c r="D920" i="41" l="1"/>
  <c r="C919" i="41"/>
  <c r="A920" i="41"/>
  <c r="B920" i="41" s="1"/>
  <c r="E921" i="41"/>
  <c r="D921" i="41" l="1"/>
  <c r="C920" i="41"/>
  <c r="E922" i="41"/>
  <c r="A921" i="41"/>
  <c r="B921" i="41" s="1"/>
  <c r="D922" i="41" l="1"/>
  <c r="C921" i="41"/>
  <c r="A922" i="41"/>
  <c r="B922" i="41" s="1"/>
  <c r="E923" i="41"/>
  <c r="D923" i="41" l="1"/>
  <c r="C922" i="41"/>
  <c r="E924" i="41"/>
  <c r="A923" i="41"/>
  <c r="B923" i="41" s="1"/>
  <c r="D924" i="41" l="1"/>
  <c r="C923" i="41"/>
  <c r="A924" i="41"/>
  <c r="B924" i="41" s="1"/>
  <c r="E925" i="41"/>
  <c r="D925" i="41" l="1"/>
  <c r="C924" i="41"/>
  <c r="E926" i="41"/>
  <c r="A925" i="41"/>
  <c r="B925" i="41" s="1"/>
  <c r="D926" i="41" l="1"/>
  <c r="C925" i="41"/>
  <c r="A926" i="41"/>
  <c r="B926" i="41" s="1"/>
  <c r="E927" i="41"/>
  <c r="D927" i="41" l="1"/>
  <c r="C926" i="41"/>
  <c r="E928" i="41"/>
  <c r="A927" i="41"/>
  <c r="B927" i="41" s="1"/>
  <c r="D928" i="41" l="1"/>
  <c r="C927" i="41"/>
  <c r="A928" i="41"/>
  <c r="B928" i="41" s="1"/>
  <c r="E929" i="41"/>
  <c r="D929" i="41" l="1"/>
  <c r="C928" i="41"/>
  <c r="E930" i="41"/>
  <c r="A929" i="41"/>
  <c r="B929" i="41" s="1"/>
  <c r="D930" i="41" l="1"/>
  <c r="C929" i="41"/>
  <c r="A930" i="41"/>
  <c r="B930" i="41" s="1"/>
  <c r="E931" i="41"/>
  <c r="D931" i="41" l="1"/>
  <c r="C930" i="41"/>
  <c r="E932" i="41"/>
  <c r="A931" i="41"/>
  <c r="B931" i="41" s="1"/>
  <c r="D932" i="41" l="1"/>
  <c r="C931" i="41"/>
  <c r="A932" i="41"/>
  <c r="B932" i="41" s="1"/>
  <c r="E933" i="41"/>
  <c r="D933" i="41" l="1"/>
  <c r="C932" i="41"/>
  <c r="E934" i="41"/>
  <c r="A933" i="41"/>
  <c r="B933" i="41" s="1"/>
  <c r="D934" i="41" l="1"/>
  <c r="C933" i="41"/>
  <c r="E935" i="41"/>
  <c r="A934" i="41"/>
  <c r="B934" i="41" s="1"/>
  <c r="D935" i="41" l="1"/>
  <c r="C934" i="41"/>
  <c r="E936" i="41"/>
  <c r="A935" i="41"/>
  <c r="B935" i="41" s="1"/>
  <c r="D936" i="41" l="1"/>
  <c r="C935" i="41"/>
  <c r="E937" i="41"/>
  <c r="A936" i="41"/>
  <c r="B936" i="41" s="1"/>
  <c r="D937" i="41" l="1"/>
  <c r="C936" i="41"/>
  <c r="E938" i="41"/>
  <c r="A937" i="41"/>
  <c r="B937" i="41" s="1"/>
  <c r="D938" i="41" l="1"/>
  <c r="C937" i="41"/>
  <c r="E939" i="41"/>
  <c r="A938" i="41"/>
  <c r="B938" i="41" s="1"/>
  <c r="D939" i="41" l="1"/>
  <c r="C938" i="41"/>
  <c r="E940" i="41"/>
  <c r="A939" i="41"/>
  <c r="B939" i="41" s="1"/>
  <c r="D940" i="41" l="1"/>
  <c r="C939" i="41"/>
  <c r="E941" i="41"/>
  <c r="A940" i="41"/>
  <c r="B940" i="41" s="1"/>
  <c r="D941" i="41" l="1"/>
  <c r="C940" i="41"/>
  <c r="E942" i="41"/>
  <c r="A941" i="41"/>
  <c r="B941" i="41" s="1"/>
  <c r="D942" i="41" l="1"/>
  <c r="C941" i="41"/>
  <c r="E943" i="41"/>
  <c r="A942" i="41"/>
  <c r="B942" i="41" s="1"/>
  <c r="C942" i="41" l="1"/>
  <c r="D943" i="41"/>
  <c r="E944" i="41"/>
  <c r="A943" i="41"/>
  <c r="B943" i="41" s="1"/>
  <c r="E945" i="41" l="1"/>
  <c r="A944" i="41"/>
  <c r="B944" i="41" s="1"/>
  <c r="D944" i="41"/>
  <c r="C943" i="41"/>
  <c r="E946" i="41" l="1"/>
  <c r="A945" i="41"/>
  <c r="B945" i="41" s="1"/>
  <c r="C944" i="41"/>
  <c r="D945" i="41"/>
  <c r="E947" i="41" l="1"/>
  <c r="A946" i="41"/>
  <c r="B946" i="41" s="1"/>
  <c r="D946" i="41"/>
  <c r="C945" i="41"/>
  <c r="E948" i="41" l="1"/>
  <c r="A947" i="41"/>
  <c r="B947" i="41" s="1"/>
  <c r="C946" i="41"/>
  <c r="D947" i="41"/>
  <c r="E949" i="41" l="1"/>
  <c r="A948" i="41"/>
  <c r="B948" i="41" s="1"/>
  <c r="D948" i="41"/>
  <c r="C947" i="41"/>
  <c r="E950" i="41" l="1"/>
  <c r="A949" i="41"/>
  <c r="B949" i="41" s="1"/>
  <c r="C948" i="41"/>
  <c r="D949" i="41"/>
  <c r="E951" i="41" l="1"/>
  <c r="A950" i="41"/>
  <c r="B950" i="41" s="1"/>
  <c r="D950" i="41"/>
  <c r="C949" i="41"/>
  <c r="E952" i="41" l="1"/>
  <c r="A951" i="41"/>
  <c r="B951" i="41" s="1"/>
  <c r="C950" i="41"/>
  <c r="D951" i="41"/>
  <c r="E953" i="41" l="1"/>
  <c r="A952" i="41"/>
  <c r="B952" i="41" s="1"/>
  <c r="D952" i="41"/>
  <c r="C951" i="41"/>
  <c r="E954" i="41" l="1"/>
  <c r="A953" i="41"/>
  <c r="B953" i="41" s="1"/>
  <c r="C952" i="41"/>
  <c r="D953" i="41"/>
  <c r="E955" i="41" l="1"/>
  <c r="A954" i="41"/>
  <c r="B954" i="41" s="1"/>
  <c r="D954" i="41"/>
  <c r="C953" i="41"/>
  <c r="E956" i="41" l="1"/>
  <c r="A955" i="41"/>
  <c r="B955" i="41" s="1"/>
  <c r="C954" i="41"/>
  <c r="D955" i="41"/>
  <c r="E957" i="41" l="1"/>
  <c r="A956" i="41"/>
  <c r="B956" i="41" s="1"/>
  <c r="D956" i="41"/>
  <c r="C955" i="41"/>
  <c r="E958" i="41" l="1"/>
  <c r="A957" i="41"/>
  <c r="B957" i="41" s="1"/>
  <c r="C956" i="41"/>
  <c r="D957" i="41"/>
  <c r="E959" i="41" l="1"/>
  <c r="A958" i="41"/>
  <c r="B958" i="41" s="1"/>
  <c r="D958" i="41"/>
  <c r="C957" i="41"/>
  <c r="E960" i="41" l="1"/>
  <c r="A959" i="41"/>
  <c r="B959" i="41" s="1"/>
  <c r="C958" i="41"/>
  <c r="D959" i="41"/>
  <c r="E961" i="41" l="1"/>
  <c r="A960" i="41"/>
  <c r="B960" i="41" s="1"/>
  <c r="D960" i="41"/>
  <c r="C959" i="41"/>
  <c r="E962" i="41" l="1"/>
  <c r="A961" i="41"/>
  <c r="B961" i="41" s="1"/>
  <c r="C960" i="41"/>
  <c r="D961" i="41"/>
  <c r="E963" i="41" l="1"/>
  <c r="A962" i="41"/>
  <c r="B962" i="41" s="1"/>
  <c r="D962" i="41"/>
  <c r="C961" i="41"/>
  <c r="E964" i="41" l="1"/>
  <c r="A963" i="41"/>
  <c r="B963" i="41" s="1"/>
  <c r="D963" i="41"/>
  <c r="C962" i="41"/>
  <c r="E965" i="41" l="1"/>
  <c r="A964" i="41"/>
  <c r="B964" i="41" s="1"/>
  <c r="D964" i="41"/>
  <c r="C963" i="41"/>
  <c r="E966" i="41" l="1"/>
  <c r="A965" i="41"/>
  <c r="B965" i="41" s="1"/>
  <c r="D965" i="41"/>
  <c r="C964" i="41"/>
  <c r="E967" i="41" l="1"/>
  <c r="A966" i="41"/>
  <c r="B966" i="41" s="1"/>
  <c r="D966" i="41"/>
  <c r="C965" i="41"/>
  <c r="E968" i="41" l="1"/>
  <c r="A967" i="41"/>
  <c r="B967" i="41" s="1"/>
  <c r="D967" i="41"/>
  <c r="C966" i="41"/>
  <c r="E969" i="41" l="1"/>
  <c r="A968" i="41"/>
  <c r="B968" i="41" s="1"/>
  <c r="D968" i="41"/>
  <c r="C967" i="41"/>
  <c r="E970" i="41" l="1"/>
  <c r="A969" i="41"/>
  <c r="B969" i="41" s="1"/>
  <c r="D969" i="41"/>
  <c r="C968" i="41"/>
  <c r="E971" i="41" l="1"/>
  <c r="A970" i="41"/>
  <c r="B970" i="41" s="1"/>
  <c r="D970" i="41"/>
  <c r="C969" i="41"/>
  <c r="E972" i="41" l="1"/>
  <c r="A971" i="41"/>
  <c r="B971" i="41" s="1"/>
  <c r="D971" i="41"/>
  <c r="C970" i="41"/>
  <c r="E973" i="41" l="1"/>
  <c r="A972" i="41"/>
  <c r="B972" i="41" s="1"/>
  <c r="D972" i="41"/>
  <c r="C971" i="41"/>
  <c r="E974" i="41" l="1"/>
  <c r="A973" i="41"/>
  <c r="B973" i="41" s="1"/>
  <c r="D973" i="41"/>
  <c r="C972" i="41"/>
  <c r="E975" i="41" l="1"/>
  <c r="A974" i="41"/>
  <c r="B974" i="41" s="1"/>
  <c r="D974" i="41"/>
  <c r="C973" i="41"/>
  <c r="E976" i="41" l="1"/>
  <c r="A975" i="41"/>
  <c r="B975" i="41" s="1"/>
  <c r="D975" i="41"/>
  <c r="C974" i="41"/>
  <c r="E977" i="41" l="1"/>
  <c r="A976" i="41"/>
  <c r="B976" i="41" s="1"/>
  <c r="D976" i="41"/>
  <c r="C975" i="41"/>
  <c r="E978" i="41" l="1"/>
  <c r="A977" i="41"/>
  <c r="B977" i="41" s="1"/>
  <c r="D977" i="41"/>
  <c r="C976" i="41"/>
  <c r="E979" i="41" l="1"/>
  <c r="A978" i="41"/>
  <c r="B978" i="41" s="1"/>
  <c r="D978" i="41"/>
  <c r="C977" i="41"/>
  <c r="E980" i="41" l="1"/>
  <c r="A979" i="41"/>
  <c r="B979" i="41" s="1"/>
  <c r="D979" i="41"/>
  <c r="C978" i="41"/>
  <c r="E981" i="41" l="1"/>
  <c r="A980" i="41"/>
  <c r="B980" i="41" s="1"/>
  <c r="D980" i="41"/>
  <c r="C979" i="41"/>
  <c r="E982" i="41" l="1"/>
  <c r="A981" i="41"/>
  <c r="B981" i="41" s="1"/>
  <c r="D981" i="41"/>
  <c r="C980" i="41"/>
  <c r="E983" i="41" l="1"/>
  <c r="A982" i="41"/>
  <c r="B982" i="41" s="1"/>
  <c r="D982" i="41"/>
  <c r="C981" i="41"/>
  <c r="E984" i="41" l="1"/>
  <c r="A983" i="41"/>
  <c r="B983" i="41" s="1"/>
  <c r="D983" i="41"/>
  <c r="C982" i="41"/>
  <c r="E985" i="41" l="1"/>
  <c r="A984" i="41"/>
  <c r="B984" i="41" s="1"/>
  <c r="D984" i="41"/>
  <c r="C983" i="41"/>
  <c r="E986" i="41" l="1"/>
  <c r="A985" i="41"/>
  <c r="B985" i="41" s="1"/>
  <c r="D985" i="41"/>
  <c r="C984" i="41"/>
  <c r="E987" i="41" l="1"/>
  <c r="A986" i="41"/>
  <c r="B986" i="41" s="1"/>
  <c r="D986" i="41"/>
  <c r="C985" i="41"/>
  <c r="E988" i="41" l="1"/>
  <c r="A987" i="41"/>
  <c r="B987" i="41" s="1"/>
  <c r="D987" i="41"/>
  <c r="C986" i="41"/>
  <c r="E989" i="41" l="1"/>
  <c r="A988" i="41"/>
  <c r="B988" i="41" s="1"/>
  <c r="D988" i="41"/>
  <c r="C987" i="41"/>
  <c r="E990" i="41" l="1"/>
  <c r="A989" i="41"/>
  <c r="B989" i="41" s="1"/>
  <c r="D989" i="41"/>
  <c r="C988" i="41"/>
  <c r="E991" i="41" l="1"/>
  <c r="A990" i="41"/>
  <c r="B990" i="41" s="1"/>
  <c r="D990" i="41"/>
  <c r="C989" i="41"/>
  <c r="E992" i="41" l="1"/>
  <c r="A991" i="41"/>
  <c r="B991" i="41" s="1"/>
  <c r="D991" i="41"/>
  <c r="C990" i="41"/>
  <c r="E993" i="41" l="1"/>
  <c r="A992" i="41"/>
  <c r="B992" i="41" s="1"/>
  <c r="D992" i="41"/>
  <c r="C991" i="41"/>
  <c r="E994" i="41" l="1"/>
  <c r="A993" i="41"/>
  <c r="B993" i="41" s="1"/>
  <c r="D993" i="41"/>
  <c r="C992" i="41"/>
  <c r="E995" i="41" l="1"/>
  <c r="A994" i="41"/>
  <c r="B994" i="41" s="1"/>
  <c r="C993" i="41"/>
  <c r="D994" i="41"/>
  <c r="E996" i="41" l="1"/>
  <c r="A995" i="41"/>
  <c r="B995" i="41" s="1"/>
  <c r="D995" i="41"/>
  <c r="C994" i="41"/>
  <c r="E997" i="41" l="1"/>
  <c r="A996" i="41"/>
  <c r="B996" i="41" s="1"/>
  <c r="C995" i="41"/>
  <c r="D996" i="41"/>
  <c r="E998" i="41" l="1"/>
  <c r="A997" i="41"/>
  <c r="B997" i="41" s="1"/>
  <c r="D997" i="41"/>
  <c r="C996" i="41"/>
  <c r="E999" i="41" l="1"/>
  <c r="A998" i="41"/>
  <c r="B998" i="41" s="1"/>
  <c r="C997" i="41"/>
  <c r="D998" i="41"/>
  <c r="E1000" i="41" l="1"/>
  <c r="A999" i="41"/>
  <c r="B999" i="41" s="1"/>
  <c r="D999" i="41"/>
  <c r="C998" i="41"/>
  <c r="E1001" i="41" l="1"/>
  <c r="A1000" i="41"/>
  <c r="B1000" i="41" s="1"/>
  <c r="C999" i="41"/>
  <c r="D1000" i="41"/>
  <c r="E1002" i="41" l="1"/>
  <c r="A1001" i="41"/>
  <c r="B1001" i="41" s="1"/>
  <c r="D1001" i="41"/>
  <c r="C1000" i="41"/>
  <c r="E1003" i="41" l="1"/>
  <c r="A1002" i="41"/>
  <c r="B1002" i="41" s="1"/>
  <c r="C1001" i="41"/>
  <c r="D1002" i="41"/>
  <c r="E1004" i="41" l="1"/>
  <c r="A1003" i="41"/>
  <c r="B1003" i="41" s="1"/>
  <c r="D1003" i="41"/>
  <c r="C1002" i="41"/>
  <c r="E1005" i="41" l="1"/>
  <c r="A1004" i="41"/>
  <c r="B1004" i="41" s="1"/>
  <c r="C1003" i="41"/>
  <c r="D1004" i="41"/>
  <c r="E1006" i="41" l="1"/>
  <c r="A1005" i="41"/>
  <c r="B1005" i="41" s="1"/>
  <c r="D1005" i="41"/>
  <c r="C1004" i="41"/>
  <c r="A1006" i="41" l="1"/>
  <c r="B1006" i="41" s="1"/>
  <c r="E1007" i="41"/>
  <c r="C1005" i="41"/>
  <c r="D1006" i="41"/>
  <c r="D1007" i="41" l="1"/>
  <c r="C1006" i="41"/>
  <c r="A1007" i="41"/>
  <c r="B1007" i="41" s="1"/>
  <c r="E1008" i="41"/>
  <c r="D1008" i="41" l="1"/>
  <c r="C1007" i="41"/>
  <c r="E1009" i="41"/>
  <c r="A1008" i="41"/>
  <c r="B1008" i="41" s="1"/>
  <c r="D1009" i="41" l="1"/>
  <c r="C1008" i="41"/>
  <c r="A1009" i="41"/>
  <c r="B1009" i="41" s="1"/>
  <c r="E1010" i="41"/>
  <c r="D1010" i="41" l="1"/>
  <c r="C1009" i="41"/>
  <c r="A1010" i="41"/>
  <c r="B1010" i="41" s="1"/>
  <c r="E1011" i="41"/>
  <c r="D1011" i="41" l="1"/>
  <c r="C1010" i="41"/>
  <c r="A1011" i="41"/>
  <c r="B1011" i="41" s="1"/>
  <c r="E1012" i="41"/>
  <c r="D1012" i="41" l="1"/>
  <c r="C1011" i="41"/>
  <c r="E1013" i="41"/>
  <c r="A1012" i="41"/>
  <c r="B1012" i="41" s="1"/>
  <c r="D1013" i="41" l="1"/>
  <c r="C1012" i="41"/>
  <c r="A1013" i="41"/>
  <c r="B1013" i="41" s="1"/>
  <c r="E1014" i="41"/>
  <c r="E1015" i="41" l="1"/>
  <c r="A1014" i="41"/>
  <c r="B1014" i="41" s="1"/>
  <c r="D1014" i="41"/>
  <c r="C1013" i="41"/>
  <c r="D1015" i="41" l="1"/>
  <c r="C1014" i="41"/>
  <c r="A1015" i="41"/>
  <c r="B1015" i="41" s="1"/>
  <c r="E1016" i="41"/>
  <c r="A1016" i="41" l="1"/>
  <c r="B1016" i="41" s="1"/>
  <c r="E1017" i="41"/>
  <c r="D1016" i="41"/>
  <c r="C1015" i="41"/>
  <c r="D1017" i="41" l="1"/>
  <c r="C1016" i="41"/>
  <c r="A1017" i="41"/>
  <c r="B1017" i="41" s="1"/>
  <c r="E1018" i="41"/>
  <c r="A1018" i="41" l="1"/>
  <c r="B1018" i="41" s="1"/>
  <c r="E1019" i="41"/>
  <c r="D1018" i="41"/>
  <c r="C1017" i="41"/>
  <c r="D1019" i="41" l="1"/>
  <c r="C1018" i="41"/>
  <c r="A1019" i="41"/>
  <c r="B1019" i="41" s="1"/>
  <c r="E1020" i="41"/>
  <c r="E1021" i="41" l="1"/>
  <c r="A1020" i="41"/>
  <c r="B1020" i="41" s="1"/>
  <c r="D1020" i="41"/>
  <c r="C1019" i="41"/>
  <c r="D1021" i="41" l="1"/>
  <c r="C1020" i="41"/>
  <c r="A1021" i="41"/>
  <c r="B1021" i="41" s="1"/>
  <c r="E1022" i="41"/>
  <c r="A1022" i="41" l="1"/>
  <c r="B1022" i="41" s="1"/>
  <c r="E1023" i="41"/>
  <c r="D1022" i="41"/>
  <c r="C1021" i="41"/>
  <c r="D1023" i="41" l="1"/>
  <c r="C1022" i="41"/>
  <c r="A1023" i="41"/>
  <c r="B1023" i="41" s="1"/>
  <c r="E1024" i="41"/>
  <c r="E1025" i="41" l="1"/>
  <c r="A1024" i="41"/>
  <c r="B1024" i="41" s="1"/>
  <c r="D1024" i="41"/>
  <c r="C1023" i="41"/>
  <c r="D1025" i="41" l="1"/>
  <c r="C1024" i="41"/>
  <c r="A1025" i="41"/>
  <c r="B1025" i="41" s="1"/>
  <c r="E1026" i="41"/>
  <c r="E1027" i="41" l="1"/>
  <c r="A1026" i="41"/>
  <c r="B1026" i="41" s="1"/>
  <c r="D1026" i="41"/>
  <c r="C1025" i="41"/>
  <c r="D1027" i="41" l="1"/>
  <c r="C1026" i="41"/>
  <c r="A1027" i="41"/>
  <c r="B1027" i="41" s="1"/>
  <c r="E1028" i="41"/>
  <c r="E1029" i="41" l="1"/>
  <c r="A1028" i="41"/>
  <c r="B1028" i="41" s="1"/>
  <c r="D1028" i="41"/>
  <c r="C1027" i="41"/>
  <c r="D1029" i="41" l="1"/>
  <c r="C1028" i="41"/>
  <c r="A1029" i="41"/>
  <c r="B1029" i="41" s="1"/>
  <c r="E1030" i="41"/>
  <c r="E1031" i="41" l="1"/>
  <c r="A1030" i="41"/>
  <c r="B1030" i="41" s="1"/>
  <c r="D1030" i="41"/>
  <c r="C1029" i="41"/>
  <c r="D1031" i="41" l="1"/>
  <c r="C1030" i="41"/>
  <c r="A1031" i="41"/>
  <c r="B1031" i="41" s="1"/>
  <c r="E1032" i="41"/>
  <c r="E1033" i="41" l="1"/>
  <c r="A1032" i="41"/>
  <c r="B1032" i="41" s="1"/>
  <c r="D1032" i="41"/>
  <c r="C1031" i="41"/>
  <c r="D1033" i="41" l="1"/>
  <c r="C1032" i="41"/>
  <c r="A1033" i="41"/>
  <c r="B1033" i="41" s="1"/>
  <c r="E1034" i="41"/>
  <c r="E1035" i="41" l="1"/>
  <c r="A1034" i="41"/>
  <c r="B1034" i="41" s="1"/>
  <c r="D1034" i="41"/>
  <c r="C1033" i="41"/>
  <c r="D1035" i="41" l="1"/>
  <c r="C1034" i="41"/>
  <c r="A1035" i="41"/>
  <c r="B1035" i="41" s="1"/>
  <c r="E1036" i="41"/>
  <c r="E1037" i="41" l="1"/>
  <c r="A1036" i="41"/>
  <c r="B1036" i="41" s="1"/>
  <c r="D1036" i="41"/>
  <c r="C1035" i="41"/>
  <c r="D1037" i="41" l="1"/>
  <c r="C1036" i="41"/>
  <c r="E1038" i="41"/>
  <c r="A1037" i="41"/>
  <c r="B1037" i="41" s="1"/>
  <c r="E1039" i="41" l="1"/>
  <c r="A1038" i="41"/>
  <c r="B1038" i="41" s="1"/>
  <c r="D1038" i="41"/>
  <c r="C1037" i="41"/>
  <c r="D1039" i="41" l="1"/>
  <c r="C1038" i="41"/>
  <c r="E1040" i="41"/>
  <c r="A1039" i="41"/>
  <c r="B1039" i="41" s="1"/>
  <c r="E1041" i="41" l="1"/>
  <c r="A1040" i="41"/>
  <c r="B1040" i="41" s="1"/>
  <c r="D1040" i="41"/>
  <c r="C1039" i="41"/>
  <c r="D1041" i="41" l="1"/>
  <c r="C1040" i="41"/>
  <c r="E1042" i="41"/>
  <c r="A1041" i="41"/>
  <c r="B1041" i="41" s="1"/>
  <c r="A1042" i="41" l="1"/>
  <c r="B1042" i="41" s="1"/>
  <c r="E1043" i="41"/>
  <c r="D1042" i="41"/>
  <c r="C1041" i="41"/>
  <c r="E1044" i="41" l="1"/>
  <c r="A1043" i="41"/>
  <c r="B1043" i="41" s="1"/>
  <c r="D1043" i="41"/>
  <c r="C1042" i="41"/>
  <c r="D1044" i="41" l="1"/>
  <c r="C1043" i="41"/>
  <c r="A1044" i="41"/>
  <c r="B1044" i="41" s="1"/>
  <c r="E1045" i="41"/>
  <c r="E1046" i="41" l="1"/>
  <c r="A1045" i="41"/>
  <c r="B1045" i="41" s="1"/>
  <c r="D1045" i="41"/>
  <c r="C1044" i="41"/>
  <c r="D1046" i="41" l="1"/>
  <c r="C1045" i="41"/>
  <c r="A1046" i="41"/>
  <c r="B1046" i="41" s="1"/>
  <c r="E1047" i="41"/>
  <c r="E1048" i="41" l="1"/>
  <c r="A1047" i="41"/>
  <c r="B1047" i="41" s="1"/>
  <c r="D1047" i="41"/>
  <c r="C1046" i="41"/>
  <c r="D1048" i="41" l="1"/>
  <c r="C1047" i="41"/>
  <c r="A1048" i="41"/>
  <c r="B1048" i="41" s="1"/>
  <c r="E1049" i="41"/>
  <c r="A1049" i="41" l="1"/>
  <c r="B1049" i="41" s="1"/>
  <c r="E1050" i="41"/>
  <c r="D1049" i="41"/>
  <c r="C1048" i="41"/>
  <c r="E1051" i="41" l="1"/>
  <c r="A1050" i="41"/>
  <c r="B1050" i="41" s="1"/>
  <c r="C1049" i="41"/>
  <c r="D1050" i="41"/>
  <c r="C1050" i="41" l="1"/>
  <c r="D1051" i="41"/>
  <c r="E1052" i="41"/>
  <c r="A1051" i="41"/>
  <c r="B1051" i="41" s="1"/>
  <c r="A1052" i="41" l="1"/>
  <c r="B1052" i="41" s="1"/>
  <c r="E1053" i="41"/>
  <c r="C1051" i="41"/>
  <c r="D1052" i="41"/>
  <c r="A1053" i="41" l="1"/>
  <c r="B1053" i="41" s="1"/>
  <c r="E1054" i="41"/>
  <c r="C1052" i="41"/>
  <c r="D1053" i="41"/>
  <c r="C1053" i="41" l="1"/>
  <c r="D1054" i="41"/>
  <c r="A1054" i="41"/>
  <c r="B1054" i="41" s="1"/>
  <c r="E1055" i="41"/>
  <c r="E1056" i="41" l="1"/>
  <c r="A1055" i="41"/>
  <c r="B1055" i="41" s="1"/>
  <c r="D1055" i="41"/>
  <c r="C1054" i="41"/>
  <c r="C1055" i="41" l="1"/>
  <c r="D1056" i="41"/>
  <c r="A1056" i="41"/>
  <c r="B1056" i="41" s="1"/>
  <c r="E1057" i="41"/>
  <c r="A1057" i="41" l="1"/>
  <c r="B1057" i="41" s="1"/>
  <c r="E1058" i="41"/>
  <c r="D1057" i="41"/>
  <c r="C1056" i="41"/>
  <c r="D1058" i="41" l="1"/>
  <c r="C1057" i="41"/>
  <c r="A1058" i="41"/>
  <c r="B1058" i="41" s="1"/>
  <c r="E1059" i="41"/>
  <c r="C1058" i="41" l="1"/>
  <c r="D1059" i="41"/>
  <c r="E1060" i="41"/>
  <c r="A1059" i="41"/>
  <c r="B1059" i="41" s="1"/>
  <c r="D1060" i="41" l="1"/>
  <c r="C1059" i="41"/>
  <c r="A1060" i="41"/>
  <c r="B1060" i="41" s="1"/>
  <c r="E1061" i="41"/>
  <c r="M10" i="91"/>
  <c r="A1061" i="41" l="1"/>
  <c r="B1061" i="41" s="1"/>
  <c r="E1062" i="41"/>
  <c r="C1060" i="41"/>
  <c r="D1061" i="41"/>
  <c r="M13" i="91"/>
  <c r="M12" i="91"/>
  <c r="M19" i="91"/>
  <c r="A1062" i="41" l="1"/>
  <c r="B1062" i="41" s="1"/>
  <c r="E1063" i="41"/>
  <c r="D1062" i="41"/>
  <c r="C1061" i="41"/>
  <c r="D1063" i="41" l="1"/>
  <c r="C1062" i="41"/>
  <c r="E1064" i="41"/>
  <c r="A1063" i="41"/>
  <c r="B1063" i="41" s="1"/>
  <c r="A1064" i="41" l="1"/>
  <c r="B1064" i="41" s="1"/>
  <c r="E1065" i="41"/>
  <c r="C1063" i="41"/>
  <c r="D1064" i="41"/>
  <c r="C1064" i="41" l="1"/>
  <c r="D1065" i="41"/>
  <c r="A1065" i="41"/>
  <c r="B1065" i="41" s="1"/>
  <c r="E1066" i="41"/>
  <c r="A1066" i="41" l="1"/>
  <c r="B1066" i="41" s="1"/>
  <c r="E1067" i="41"/>
  <c r="C1065" i="41"/>
  <c r="D1066" i="41"/>
  <c r="C1066" i="41" l="1"/>
  <c r="D1067" i="41"/>
  <c r="E1068" i="41"/>
  <c r="A1067" i="41"/>
  <c r="B1067" i="41" s="1"/>
  <c r="EO162" i="3"/>
  <c r="EN162" i="3" l="1"/>
  <c r="EL162" i="3"/>
  <c r="FN162" i="3" s="1"/>
  <c r="EM162" i="3"/>
  <c r="A1068" i="41"/>
  <c r="B1068" i="41" s="1"/>
  <c r="E1069" i="41"/>
  <c r="C1067" i="41"/>
  <c r="D1068" i="41"/>
  <c r="D1069" i="41" l="1"/>
  <c r="C1068" i="41"/>
  <c r="A1069" i="41"/>
  <c r="B1069" i="41" s="1"/>
  <c r="E1070" i="41"/>
  <c r="A1070" i="41" l="1"/>
  <c r="B1070" i="41" s="1"/>
  <c r="E1071" i="41"/>
  <c r="D1070" i="41"/>
  <c r="C1069" i="41"/>
  <c r="C1070" i="41" l="1"/>
  <c r="D1071" i="41"/>
  <c r="E1072" i="41"/>
  <c r="A1071" i="41"/>
  <c r="B1071" i="41" s="1"/>
  <c r="A1072" i="41" l="1"/>
  <c r="B1072" i="41" s="1"/>
  <c r="E1073" i="41"/>
  <c r="C1071" i="41"/>
  <c r="D1072" i="41"/>
  <c r="C1072" i="41" l="1"/>
  <c r="D1073" i="41"/>
  <c r="A1073" i="41"/>
  <c r="B1073" i="41" s="1"/>
  <c r="E1074" i="41"/>
  <c r="C1073" i="41" l="1"/>
  <c r="D1074" i="41"/>
  <c r="A1074" i="41"/>
  <c r="B1074" i="41" s="1"/>
  <c r="E1075" i="41"/>
  <c r="E1076" i="41" l="1"/>
  <c r="A1075" i="41"/>
  <c r="B1075" i="41" s="1"/>
  <c r="C1074" i="41"/>
  <c r="D1075" i="41"/>
  <c r="C1075" i="41" l="1"/>
  <c r="D1076" i="41"/>
  <c r="A1076" i="41"/>
  <c r="B1076" i="41" s="1"/>
  <c r="E1077" i="41"/>
  <c r="A1077" i="41" l="1"/>
  <c r="B1077" i="41" s="1"/>
  <c r="E1078" i="41"/>
  <c r="C1076" i="41"/>
  <c r="D1077" i="41"/>
  <c r="D1078" i="41" l="1"/>
  <c r="C1077" i="41"/>
  <c r="A1078" i="41"/>
  <c r="B1078" i="41" s="1"/>
  <c r="E1079" i="41"/>
  <c r="E1080" i="41" l="1"/>
  <c r="A1079" i="41"/>
  <c r="B1079" i="41" s="1"/>
  <c r="D1079" i="41"/>
  <c r="C1078" i="41"/>
  <c r="D1080" i="41" l="1"/>
  <c r="C1079" i="41"/>
  <c r="A1080" i="41"/>
  <c r="B1080" i="41" s="1"/>
  <c r="E1081" i="41"/>
  <c r="A1081" i="41" l="1"/>
  <c r="B1081" i="41" s="1"/>
  <c r="E1082" i="41"/>
  <c r="D1081" i="41"/>
  <c r="C1080" i="41"/>
  <c r="D1082" i="41" l="1"/>
  <c r="C1081" i="41"/>
  <c r="A1082" i="41"/>
  <c r="B1082" i="41" s="1"/>
  <c r="E1083" i="41"/>
  <c r="E1084" i="41" l="1"/>
  <c r="A1083" i="41"/>
  <c r="B1083" i="41" s="1"/>
  <c r="C1082" i="41"/>
  <c r="D1083" i="41"/>
  <c r="C1083" i="41" l="1"/>
  <c r="D1084" i="41"/>
  <c r="A1084" i="41"/>
  <c r="B1084" i="41" s="1"/>
  <c r="E1085" i="41"/>
  <c r="A1085" i="41" l="1"/>
  <c r="B1085" i="41" s="1"/>
  <c r="E1086" i="41"/>
  <c r="D1085" i="41"/>
  <c r="C1084" i="41"/>
  <c r="C1085" i="41" l="1"/>
  <c r="D1086" i="41"/>
  <c r="A1086" i="41"/>
  <c r="B1086" i="41" s="1"/>
  <c r="E1087" i="41"/>
  <c r="M14" i="91"/>
  <c r="M16" i="91" s="1"/>
  <c r="M18" i="91" s="1"/>
  <c r="E1088" i="41" l="1"/>
  <c r="A1087" i="41"/>
  <c r="B1087" i="41" s="1"/>
  <c r="C1086" i="41"/>
  <c r="D1087" i="41"/>
  <c r="M17" i="91"/>
  <c r="C1087" i="41" l="1"/>
  <c r="D1088" i="41"/>
  <c r="A1088" i="41"/>
  <c r="B1088" i="41" s="1"/>
  <c r="E1089" i="41"/>
  <c r="D1089" i="41" l="1"/>
  <c r="C1088" i="41"/>
  <c r="A1089" i="41"/>
  <c r="B1089" i="41" s="1"/>
  <c r="E1090" i="41"/>
  <c r="A1090" i="41" l="1"/>
  <c r="B1090" i="41" s="1"/>
  <c r="E1091" i="41"/>
  <c r="C1089" i="41"/>
  <c r="D1090" i="41"/>
  <c r="D1091" i="41" l="1"/>
  <c r="C1090" i="41"/>
  <c r="E1092" i="41"/>
  <c r="A1091" i="41"/>
  <c r="B1091" i="41" s="1"/>
  <c r="A1092" i="41" l="1"/>
  <c r="B1092" i="41" s="1"/>
  <c r="E1093" i="41"/>
  <c r="C1091" i="41"/>
  <c r="D1092" i="41"/>
  <c r="D1093" i="41" l="1"/>
  <c r="C1092" i="41"/>
  <c r="A1093" i="41"/>
  <c r="B1093" i="41" s="1"/>
  <c r="E1094" i="41"/>
  <c r="A1094" i="41" l="1"/>
  <c r="B1094" i="41" s="1"/>
  <c r="E1095" i="41"/>
  <c r="C1093" i="41"/>
  <c r="D1094" i="41"/>
  <c r="C1094" i="41" l="1"/>
  <c r="D1095" i="41"/>
  <c r="E1096" i="41"/>
  <c r="A1095" i="41"/>
  <c r="B1095" i="41" s="1"/>
  <c r="EL360" i="3"/>
  <c r="EL348" i="3"/>
  <c r="EL349" i="3" s="1"/>
  <c r="A1096" i="41" l="1"/>
  <c r="B1096" i="41" s="1"/>
  <c r="E1097" i="41"/>
  <c r="D1096" i="41"/>
  <c r="C1095" i="41"/>
  <c r="C1096" i="41" l="1"/>
  <c r="D1097" i="41"/>
  <c r="A1097" i="41"/>
  <c r="B1097" i="41" s="1"/>
  <c r="E1098" i="41"/>
  <c r="D1098" i="41" l="1"/>
  <c r="C1097" i="41"/>
  <c r="A1098" i="41"/>
  <c r="B1098" i="41" s="1"/>
  <c r="E1099" i="41"/>
  <c r="E1100" i="41" l="1"/>
  <c r="A1099" i="41"/>
  <c r="B1099" i="41" s="1"/>
  <c r="C1098" i="41"/>
  <c r="D1099" i="41"/>
  <c r="C1099" i="41" l="1"/>
  <c r="D1100" i="41"/>
  <c r="A1100" i="41"/>
  <c r="B1100" i="41" s="1"/>
  <c r="E1101" i="41"/>
  <c r="C1100" i="41" l="1"/>
  <c r="D1101" i="41"/>
  <c r="A1101" i="41"/>
  <c r="B1101" i="41" s="1"/>
  <c r="E1102" i="41"/>
  <c r="A1102" i="41" l="1"/>
  <c r="B1102" i="41" s="1"/>
  <c r="E1103" i="41"/>
  <c r="C1101" i="41"/>
  <c r="D1102" i="41"/>
  <c r="C1102" i="41" l="1"/>
  <c r="D1103" i="41"/>
  <c r="E1104" i="41"/>
  <c r="A1104" i="41" s="1"/>
  <c r="B1104" i="41" s="1"/>
  <c r="A1103" i="41"/>
  <c r="B1103" i="41" s="1"/>
  <c r="DO9" i="41" l="1"/>
  <c r="DN4" i="41"/>
  <c r="DL4" i="41"/>
  <c r="DO4" i="41"/>
  <c r="DN9" i="41"/>
  <c r="DM4" i="41"/>
  <c r="DM10" i="41"/>
  <c r="DN10" i="41"/>
  <c r="DO10" i="41" s="1"/>
  <c r="DL9" i="41"/>
  <c r="DL10" i="41"/>
  <c r="DM9" i="41"/>
  <c r="AU10" i="41"/>
  <c r="X10" i="41"/>
  <c r="AQ4" i="41"/>
  <c r="BN10" i="41"/>
  <c r="AR4" i="41"/>
  <c r="V9" i="41"/>
  <c r="AO9" i="41"/>
  <c r="AU9" i="41"/>
  <c r="AT4" i="41"/>
  <c r="AK9" i="41"/>
  <c r="AR9" i="41"/>
  <c r="S9" i="41"/>
  <c r="CY9" i="41"/>
  <c r="X4" i="41"/>
  <c r="BG10" i="41"/>
  <c r="CZ9" i="41"/>
  <c r="AH10" i="41"/>
  <c r="CJ4" i="41"/>
  <c r="BQ4" i="41"/>
  <c r="BS9" i="41"/>
  <c r="R10" i="41"/>
  <c r="BP9" i="41"/>
  <c r="BT4" i="41"/>
  <c r="BD9" i="41"/>
  <c r="AK4" i="41"/>
  <c r="CH10" i="41"/>
  <c r="AV4" i="41"/>
  <c r="BK4" i="41"/>
  <c r="CK9" i="41"/>
  <c r="DJ4" i="41"/>
  <c r="CF4" i="41"/>
  <c r="DI10" i="41"/>
  <c r="DJ10" i="41" s="1"/>
  <c r="DE4" i="41"/>
  <c r="ET181" i="3" s="1"/>
  <c r="BS10" i="41"/>
  <c r="AA9" i="41"/>
  <c r="BG4" i="41"/>
  <c r="BB9" i="41"/>
  <c r="BI10" i="41"/>
  <c r="CR10" i="41"/>
  <c r="DI9" i="41"/>
  <c r="AZ4" i="41"/>
  <c r="AV9" i="41"/>
  <c r="BF9" i="41"/>
  <c r="R4" i="41"/>
  <c r="AR10" i="41"/>
  <c r="AZ9" i="41"/>
  <c r="BV9" i="41"/>
  <c r="BZ9" i="41"/>
  <c r="AV10" i="41"/>
  <c r="CW4" i="41"/>
  <c r="BD4" i="41"/>
  <c r="CX4" i="41"/>
  <c r="EM181" i="3" s="1"/>
  <c r="BP4" i="41"/>
  <c r="U4" i="41"/>
  <c r="BN4" i="41"/>
  <c r="CH4" i="41"/>
  <c r="CT4" i="41"/>
  <c r="CR4" i="41"/>
  <c r="S4" i="41"/>
  <c r="AM9" i="41"/>
  <c r="CF9" i="41"/>
  <c r="AE4" i="41"/>
  <c r="BJ10" i="41"/>
  <c r="W9" i="41"/>
  <c r="CC9" i="41"/>
  <c r="AF10" i="41"/>
  <c r="W10" i="41"/>
  <c r="CS9" i="41"/>
  <c r="BO9" i="41"/>
  <c r="DC9" i="41"/>
  <c r="AB9" i="41"/>
  <c r="CZ4" i="41"/>
  <c r="EO181" i="3" s="1"/>
  <c r="CO9" i="41"/>
  <c r="BV10" i="41"/>
  <c r="CX9" i="41"/>
  <c r="AL9" i="41"/>
  <c r="CY10" i="41"/>
  <c r="CZ10" i="41" s="1"/>
  <c r="AM10" i="41"/>
  <c r="BT9" i="41"/>
  <c r="AW4" i="41"/>
  <c r="AT10" i="41"/>
  <c r="DD4" i="41"/>
  <c r="ES181" i="3" s="1"/>
  <c r="U10" i="41"/>
  <c r="AJ4" i="41"/>
  <c r="S10" i="41"/>
  <c r="BK10" i="41"/>
  <c r="AG10" i="41"/>
  <c r="BK9" i="41"/>
  <c r="CA10" i="41"/>
  <c r="AJ10" i="41"/>
  <c r="X9" i="41"/>
  <c r="BV4" i="41"/>
  <c r="CI10" i="41"/>
  <c r="CE4" i="41"/>
  <c r="BL9" i="41"/>
  <c r="BU10" i="41"/>
  <c r="BF4" i="41"/>
  <c r="AY10" i="41"/>
  <c r="Z9" i="41"/>
  <c r="BQ10" i="41"/>
  <c r="BL10" i="41"/>
  <c r="BG9" i="41"/>
  <c r="CD4" i="41"/>
  <c r="AL4" i="41"/>
  <c r="DH9" i="41"/>
  <c r="DI4" i="41"/>
  <c r="DH10" i="41"/>
  <c r="DB10" i="41"/>
  <c r="Z4" i="41"/>
  <c r="BX4" i="41"/>
  <c r="AZ10" i="41"/>
  <c r="BE9" i="41"/>
  <c r="CS4" i="41"/>
  <c r="Q10" i="41"/>
  <c r="CT10" i="41"/>
  <c r="CU10" i="41" s="1"/>
  <c r="BA9" i="41"/>
  <c r="BY4" i="41"/>
  <c r="CE10" i="41"/>
  <c r="CF10" i="41" s="1"/>
  <c r="V4" i="41"/>
  <c r="CO4" i="41"/>
  <c r="AA4" i="41"/>
  <c r="CN9" i="41"/>
  <c r="DC10" i="41"/>
  <c r="CM9" i="41"/>
  <c r="CN4" i="41"/>
  <c r="BY10" i="41"/>
  <c r="CM4" i="41"/>
  <c r="AM4" i="41"/>
  <c r="BD10" i="41"/>
  <c r="BE4" i="41"/>
  <c r="AO4" i="41"/>
  <c r="CU9" i="41"/>
  <c r="BE10" i="41"/>
  <c r="CI4" i="41"/>
  <c r="CH9" i="41"/>
  <c r="CM10" i="41"/>
  <c r="AA10" i="41"/>
  <c r="BO10" i="41"/>
  <c r="CP9" i="41"/>
  <c r="BI9" i="41"/>
  <c r="AT9" i="41"/>
  <c r="CC10" i="41"/>
  <c r="BA4" i="41"/>
  <c r="BL4" i="41"/>
  <c r="DD10" i="41"/>
  <c r="DE10" i="41" s="1"/>
  <c r="AC10" i="41"/>
  <c r="CJ9" i="41"/>
  <c r="CK4" i="41"/>
  <c r="AP9" i="41"/>
  <c r="AJ9" i="41"/>
  <c r="BP10" i="41"/>
  <c r="BA10" i="41"/>
  <c r="CA9" i="41"/>
  <c r="CA11" i="41" s="1"/>
  <c r="BY9" i="41"/>
  <c r="R9" i="41"/>
  <c r="BF10" i="41"/>
  <c r="U9" i="41"/>
  <c r="AE9" i="41"/>
  <c r="DB4" i="41"/>
  <c r="EQ181" i="3" s="1"/>
  <c r="DG4" i="41"/>
  <c r="AQ9" i="41"/>
  <c r="BB4" i="41"/>
  <c r="CW10" i="41"/>
  <c r="CS10" i="41"/>
  <c r="AG4" i="41"/>
  <c r="AW9" i="41"/>
  <c r="CX10" i="41"/>
  <c r="AK10" i="41"/>
  <c r="BU4" i="41"/>
  <c r="CU4" i="41"/>
  <c r="V10" i="41"/>
  <c r="CE9" i="41"/>
  <c r="AC4" i="41"/>
  <c r="BI4" i="41"/>
  <c r="AG9" i="41"/>
  <c r="AG11" i="41" s="1"/>
  <c r="AO10" i="41"/>
  <c r="CN10" i="41"/>
  <c r="CC4" i="41"/>
  <c r="CY4" i="41"/>
  <c r="EN181" i="3" s="1"/>
  <c r="AH4" i="41"/>
  <c r="AE10" i="41"/>
  <c r="AU4" i="41"/>
  <c r="BX9" i="41"/>
  <c r="DH4" i="41"/>
  <c r="AB10" i="41"/>
  <c r="CO10" i="41"/>
  <c r="CP10" i="41" s="1"/>
  <c r="AH9" i="41"/>
  <c r="CR9" i="41"/>
  <c r="CJ10" i="41"/>
  <c r="CK10" i="41" s="1"/>
  <c r="CD10" i="41"/>
  <c r="AB4" i="41"/>
  <c r="Q9" i="41"/>
  <c r="BB10" i="41"/>
  <c r="BN9" i="41"/>
  <c r="CT9" i="41"/>
  <c r="CT11" i="41" s="1"/>
  <c r="BU9" i="41"/>
  <c r="Q4" i="41"/>
  <c r="BZ4" i="41"/>
  <c r="Z10" i="41"/>
  <c r="BJ9" i="41"/>
  <c r="BT10" i="41"/>
  <c r="AY4" i="41"/>
  <c r="BS4" i="41"/>
  <c r="CW9" i="41"/>
  <c r="AP4" i="41"/>
  <c r="BJ4" i="41"/>
  <c r="AW10" i="41"/>
  <c r="W4" i="41"/>
  <c r="DG9" i="41"/>
  <c r="AF9" i="41"/>
  <c r="AF11" i="41" s="1"/>
  <c r="AL10" i="41"/>
  <c r="CP4" i="41"/>
  <c r="DG10" i="41"/>
  <c r="DJ9" i="41"/>
  <c r="CI9" i="41"/>
  <c r="AY9" i="41"/>
  <c r="AF4" i="41"/>
  <c r="BZ10" i="41"/>
  <c r="CD9" i="41"/>
  <c r="DD9" i="41"/>
  <c r="BQ9" i="41"/>
  <c r="DC4" i="41"/>
  <c r="ER181" i="3" s="1"/>
  <c r="CA4" i="41"/>
  <c r="AQ10" i="41"/>
  <c r="AC9" i="41"/>
  <c r="BO4" i="41"/>
  <c r="BX10" i="41"/>
  <c r="DB9" i="41"/>
  <c r="DE9" i="41"/>
  <c r="AP10" i="41"/>
  <c r="C1103" i="41"/>
  <c r="D1104" i="41"/>
  <c r="C1104" i="41" s="1"/>
  <c r="DI11" i="41" l="1"/>
  <c r="EQ182" i="3"/>
  <c r="FM182" i="3" s="1"/>
  <c r="FM181" i="3"/>
  <c r="EO182" i="3"/>
  <c r="CZ5" i="41"/>
  <c r="CZ631" i="41" s="1"/>
  <c r="CZ632" i="41" s="1"/>
  <c r="EN182" i="3"/>
  <c r="EM182" i="3"/>
  <c r="BU11" i="41"/>
  <c r="X11" i="41"/>
  <c r="DO11" i="41"/>
  <c r="BY11" i="41"/>
  <c r="DE11" i="41"/>
  <c r="BQ11" i="41"/>
  <c r="DK10" i="41"/>
  <c r="T4" i="41"/>
  <c r="AI10" i="41"/>
  <c r="BJ11" i="41"/>
  <c r="CU11" i="41"/>
  <c r="BG11" i="41"/>
  <c r="DD11" i="41"/>
  <c r="AU11" i="41"/>
  <c r="CI11" i="41"/>
  <c r="AH11" i="41"/>
  <c r="R11" i="41"/>
  <c r="DP10" i="41"/>
  <c r="DJ11" i="41"/>
  <c r="AW11" i="41"/>
  <c r="CN11" i="41"/>
  <c r="T10" i="41"/>
  <c r="DC11" i="41"/>
  <c r="AZ11" i="41"/>
  <c r="AV11" i="41"/>
  <c r="CN181" i="3"/>
  <c r="CN182" i="3" s="1"/>
  <c r="BC4" i="41"/>
  <c r="EJ181" i="3"/>
  <c r="AC11" i="41"/>
  <c r="BU181" i="3"/>
  <c r="BU182" i="3" s="1"/>
  <c r="DK9" i="41"/>
  <c r="DG11" i="41"/>
  <c r="CE181" i="3"/>
  <c r="CE182" i="3" s="1"/>
  <c r="DJ181" i="3"/>
  <c r="DJ182" i="3" s="1"/>
  <c r="BV181" i="3"/>
  <c r="BV182" i="3" s="1"/>
  <c r="AQ11" i="41"/>
  <c r="Y9" i="41"/>
  <c r="U11" i="41"/>
  <c r="AP11" i="41"/>
  <c r="AT11" i="41"/>
  <c r="AX9" i="41"/>
  <c r="BH10" i="41"/>
  <c r="EC181" i="3"/>
  <c r="EC182" i="3" s="1"/>
  <c r="DN181" i="3"/>
  <c r="DN182" i="3" s="1"/>
  <c r="EH181" i="3"/>
  <c r="AD4" i="41"/>
  <c r="BS181" i="3" s="1"/>
  <c r="BS182" i="3" s="1"/>
  <c r="DH11" i="41"/>
  <c r="CU181" i="3"/>
  <c r="CU182" i="3" s="1"/>
  <c r="AX10" i="41"/>
  <c r="CO11" i="41"/>
  <c r="BO11" i="41"/>
  <c r="CG9" i="41"/>
  <c r="CC11" i="41"/>
  <c r="CF11" i="41"/>
  <c r="EI181" i="3"/>
  <c r="DE181" i="3"/>
  <c r="DE182" i="3" s="1"/>
  <c r="CO181" i="3"/>
  <c r="CO182" i="3" s="1"/>
  <c r="BB11" i="41"/>
  <c r="CK11" i="41"/>
  <c r="BZ181" i="3"/>
  <c r="BZ182" i="3" s="1"/>
  <c r="CY11" i="41"/>
  <c r="AX4" i="41"/>
  <c r="CI181" i="3"/>
  <c r="CI182" i="3" s="1"/>
  <c r="CG181" i="3"/>
  <c r="CG182" i="3" s="1"/>
  <c r="DD181" i="3"/>
  <c r="DD182" i="3" s="1"/>
  <c r="BR9" i="41"/>
  <c r="BN11" i="41"/>
  <c r="CG4" i="41"/>
  <c r="DR181" i="3"/>
  <c r="DR182" i="3" s="1"/>
  <c r="CQ181" i="3"/>
  <c r="CQ182" i="3" s="1"/>
  <c r="DL5" i="41"/>
  <c r="DL14" i="41" s="1"/>
  <c r="DN5" i="41"/>
  <c r="DN14" i="41" s="1"/>
  <c r="DO5" i="41"/>
  <c r="DO14" i="41" s="1"/>
  <c r="DM5" i="41"/>
  <c r="DM14" i="41" s="1"/>
  <c r="AL5" i="41"/>
  <c r="CA144" i="3" s="1"/>
  <c r="CA143" i="3" s="1"/>
  <c r="BY5" i="41"/>
  <c r="BY631" i="41" s="1"/>
  <c r="CM5" i="41"/>
  <c r="CM631" i="41" s="1"/>
  <c r="AK5" i="41"/>
  <c r="BZ144" i="3" s="1"/>
  <c r="BZ143" i="3" s="1"/>
  <c r="BG5" i="41"/>
  <c r="BG631" i="41" s="1"/>
  <c r="BO5" i="41"/>
  <c r="BO631" i="41" s="1"/>
  <c r="CJ5" i="41"/>
  <c r="CJ631" i="41" s="1"/>
  <c r="BD5" i="41"/>
  <c r="BD631" i="41" s="1"/>
  <c r="BV5" i="41"/>
  <c r="BV631" i="41" s="1"/>
  <c r="BS5" i="41"/>
  <c r="BS631" i="41" s="1"/>
  <c r="CX5" i="41"/>
  <c r="CX631" i="41" s="1"/>
  <c r="S5" i="41"/>
  <c r="S6" i="41" s="1"/>
  <c r="AT5" i="41"/>
  <c r="BP5" i="41"/>
  <c r="BP631" i="41" s="1"/>
  <c r="AB5" i="41"/>
  <c r="AB6" i="41" s="1"/>
  <c r="AH5" i="41"/>
  <c r="BW144" i="3" s="1"/>
  <c r="BW143" i="3" s="1"/>
  <c r="DE5" i="41"/>
  <c r="DE14" i="41" s="1"/>
  <c r="BQ5" i="41"/>
  <c r="BQ631" i="41" s="1"/>
  <c r="DI5" i="41"/>
  <c r="DI14" i="41" s="1"/>
  <c r="CR5" i="41"/>
  <c r="CR631" i="41" s="1"/>
  <c r="AR5" i="41"/>
  <c r="CG144" i="3" s="1"/>
  <c r="CG143" i="3" s="1"/>
  <c r="CE5" i="41"/>
  <c r="CE631" i="41" s="1"/>
  <c r="BB5" i="41"/>
  <c r="BB631" i="41" s="1"/>
  <c r="CH5" i="41"/>
  <c r="CH631" i="41" s="1"/>
  <c r="DB5" i="41"/>
  <c r="BA5" i="41"/>
  <c r="CP144" i="3" s="1"/>
  <c r="CP143" i="3" s="1"/>
  <c r="AC5" i="41"/>
  <c r="AC6" i="41" s="1"/>
  <c r="Q5" i="41"/>
  <c r="Q6" i="41" s="1"/>
  <c r="BJ5" i="41"/>
  <c r="BJ631" i="41" s="1"/>
  <c r="P5" i="41"/>
  <c r="CI5" i="41"/>
  <c r="CI631" i="41" s="1"/>
  <c r="DJ5" i="41"/>
  <c r="DJ14" i="41" s="1"/>
  <c r="BF5" i="41"/>
  <c r="BF631" i="41" s="1"/>
  <c r="AP5" i="41"/>
  <c r="CE144" i="3" s="1"/>
  <c r="CE143" i="3" s="1"/>
  <c r="V5" i="41"/>
  <c r="V6" i="41" s="1"/>
  <c r="R5" i="41"/>
  <c r="R6" i="41" s="1"/>
  <c r="BU5" i="41"/>
  <c r="BU631" i="41" s="1"/>
  <c r="CK5" i="41"/>
  <c r="CK631" i="41" s="1"/>
  <c r="CN5" i="41"/>
  <c r="CN631" i="41" s="1"/>
  <c r="CP5" i="41"/>
  <c r="CP631" i="41" s="1"/>
  <c r="AG5" i="41"/>
  <c r="BV144" i="3" s="1"/>
  <c r="BV143" i="3" s="1"/>
  <c r="CC5" i="41"/>
  <c r="CC631" i="41" s="1"/>
  <c r="AF5" i="41"/>
  <c r="BU144" i="3" s="1"/>
  <c r="BU143" i="3" s="1"/>
  <c r="AO5" i="41"/>
  <c r="BL5" i="41"/>
  <c r="BL631" i="41" s="1"/>
  <c r="AJ5" i="41"/>
  <c r="BN5" i="41"/>
  <c r="BN631" i="41" s="1"/>
  <c r="DG5" i="41"/>
  <c r="DG14" i="41" s="1"/>
  <c r="CU5" i="41"/>
  <c r="CU631" i="41" s="1"/>
  <c r="X5" i="41"/>
  <c r="X6" i="41" s="1"/>
  <c r="CA5" i="41"/>
  <c r="CA631" i="41" s="1"/>
  <c r="AY5" i="41"/>
  <c r="DC5" i="41"/>
  <c r="DC14" i="41" s="1"/>
  <c r="U5" i="41"/>
  <c r="DD5" i="41"/>
  <c r="DD14" i="41" s="1"/>
  <c r="Z5" i="41"/>
  <c r="AU5" i="41"/>
  <c r="CJ144" i="3" s="1"/>
  <c r="CJ143" i="3" s="1"/>
  <c r="CD5" i="41"/>
  <c r="CD631" i="41" s="1"/>
  <c r="AZ5" i="41"/>
  <c r="CO144" i="3" s="1"/>
  <c r="CO143" i="3" s="1"/>
  <c r="CT5" i="41"/>
  <c r="CT631" i="41" s="1"/>
  <c r="BX5" i="41"/>
  <c r="BX631" i="41" s="1"/>
  <c r="CS5" i="41"/>
  <c r="CS631" i="41" s="1"/>
  <c r="AW5" i="41"/>
  <c r="CL144" i="3" s="1"/>
  <c r="CL143" i="3" s="1"/>
  <c r="BI5" i="41"/>
  <c r="BI631" i="41" s="1"/>
  <c r="AA5" i="41"/>
  <c r="AA6" i="41" s="1"/>
  <c r="CW5" i="41"/>
  <c r="CW631" i="41" s="1"/>
  <c r="CY5" i="41"/>
  <c r="AV5" i="41"/>
  <c r="CK144" i="3" s="1"/>
  <c r="CK143" i="3" s="1"/>
  <c r="AM5" i="41"/>
  <c r="CB144" i="3" s="1"/>
  <c r="CB143" i="3" s="1"/>
  <c r="DH5" i="41"/>
  <c r="DH14" i="41" s="1"/>
  <c r="BZ5" i="41"/>
  <c r="BZ631" i="41" s="1"/>
  <c r="CO5" i="41"/>
  <c r="CO631" i="41" s="1"/>
  <c r="W5" i="41"/>
  <c r="W6" i="41" s="1"/>
  <c r="CF5" i="41"/>
  <c r="CF631" i="41" s="1"/>
  <c r="BK5" i="41"/>
  <c r="BK631" i="41" s="1"/>
  <c r="AQ5" i="41"/>
  <c r="CF144" i="3" s="1"/>
  <c r="CF143" i="3" s="1"/>
  <c r="BT5" i="41"/>
  <c r="BT631" i="41" s="1"/>
  <c r="BE5" i="41"/>
  <c r="BE631" i="41" s="1"/>
  <c r="AE5" i="41"/>
  <c r="DF9" i="41"/>
  <c r="DB11" i="41"/>
  <c r="AY11" i="41"/>
  <c r="BC9" i="41"/>
  <c r="EE181" i="3"/>
  <c r="EE182" i="3" s="1"/>
  <c r="CW11" i="41"/>
  <c r="DA9" i="41"/>
  <c r="Q11" i="41"/>
  <c r="T9" i="41"/>
  <c r="CV9" i="41"/>
  <c r="CR11" i="41"/>
  <c r="BW181" i="3"/>
  <c r="BW182" i="3" s="1"/>
  <c r="AS10" i="41"/>
  <c r="CE11" i="41"/>
  <c r="DK4" i="41"/>
  <c r="DZ181" i="3"/>
  <c r="DZ182" i="3" s="1"/>
  <c r="DA181" i="3"/>
  <c r="DA182" i="3" s="1"/>
  <c r="BI11" i="41"/>
  <c r="BM9" i="41"/>
  <c r="CQ10" i="41"/>
  <c r="CB181" i="3"/>
  <c r="CB182" i="3" s="1"/>
  <c r="CM11" i="41"/>
  <c r="CQ9" i="41"/>
  <c r="ED181" i="3"/>
  <c r="ED182" i="3" s="1"/>
  <c r="BA11" i="41"/>
  <c r="BE11" i="41"/>
  <c r="DF10" i="41"/>
  <c r="CA181" i="3"/>
  <c r="CA182" i="3" s="1"/>
  <c r="DK181" i="3"/>
  <c r="DK182" i="3" s="1"/>
  <c r="BK11" i="41"/>
  <c r="AN4" i="41"/>
  <c r="BY181" i="3"/>
  <c r="BY182" i="3" s="1"/>
  <c r="CL181" i="3"/>
  <c r="CL182" i="3" s="1"/>
  <c r="AL11" i="41"/>
  <c r="CS11" i="41"/>
  <c r="W11" i="41"/>
  <c r="AM11" i="41"/>
  <c r="CL4" i="41"/>
  <c r="DW181" i="3"/>
  <c r="DW182" i="3" s="1"/>
  <c r="BZ11" i="41"/>
  <c r="CV181" i="3"/>
  <c r="CV182" i="3" s="1"/>
  <c r="CZ181" i="3"/>
  <c r="CZ182" i="3" s="1"/>
  <c r="BD11" i="41"/>
  <c r="BH9" i="41"/>
  <c r="BS11" i="41"/>
  <c r="BW9" i="41"/>
  <c r="CZ11" i="41"/>
  <c r="S11" i="41"/>
  <c r="BR10" i="41"/>
  <c r="DM11" i="41"/>
  <c r="DP4" i="41"/>
  <c r="CY181" i="3"/>
  <c r="CY182" i="3" s="1"/>
  <c r="CX181" i="3"/>
  <c r="CX182" i="3" s="1"/>
  <c r="BM4" i="41"/>
  <c r="AI9" i="41"/>
  <c r="AE11" i="41"/>
  <c r="CB10" i="41"/>
  <c r="DP181" i="3"/>
  <c r="DP182" i="3" s="1"/>
  <c r="CD11" i="41"/>
  <c r="DH181" i="3"/>
  <c r="DH182" i="3" s="1"/>
  <c r="BW4" i="41"/>
  <c r="AD10" i="41"/>
  <c r="CB9" i="41"/>
  <c r="BX11" i="41"/>
  <c r="DA10" i="41"/>
  <c r="DF4" i="41"/>
  <c r="EU181" i="3" s="1"/>
  <c r="CJ11" i="41"/>
  <c r="CP181" i="3"/>
  <c r="CP182" i="3" s="1"/>
  <c r="CP11" i="41"/>
  <c r="CH11" i="41"/>
  <c r="CL9" i="41"/>
  <c r="CD181" i="3"/>
  <c r="CD182" i="3" s="1"/>
  <c r="AS4" i="41"/>
  <c r="EB181" i="3"/>
  <c r="EB182" i="3" s="1"/>
  <c r="CQ4" i="41"/>
  <c r="DS181" i="3"/>
  <c r="DS182" i="3" s="1"/>
  <c r="AD9" i="41"/>
  <c r="Z11" i="41"/>
  <c r="BL11" i="41"/>
  <c r="Y10" i="41"/>
  <c r="BT11" i="41"/>
  <c r="CX11" i="41"/>
  <c r="AB11" i="41"/>
  <c r="BR4" i="41"/>
  <c r="DC181" i="3"/>
  <c r="DC182" i="3" s="1"/>
  <c r="BH4" i="41"/>
  <c r="CS181" i="3"/>
  <c r="CS182" i="3" s="1"/>
  <c r="BV11" i="41"/>
  <c r="BF11" i="41"/>
  <c r="CV10" i="41"/>
  <c r="AA11" i="41"/>
  <c r="DU181" i="3"/>
  <c r="DU182" i="3" s="1"/>
  <c r="CK181" i="3"/>
  <c r="CK182" i="3" s="1"/>
  <c r="DI181" i="3"/>
  <c r="DI182" i="3" s="1"/>
  <c r="DF181" i="3"/>
  <c r="DF182" i="3" s="1"/>
  <c r="AR11" i="41"/>
  <c r="AS9" i="41"/>
  <c r="AO11" i="41"/>
  <c r="CF181" i="3"/>
  <c r="CF182" i="3" s="1"/>
  <c r="DO181" i="3"/>
  <c r="DO182" i="3" s="1"/>
  <c r="CJ181" i="3"/>
  <c r="CJ182" i="3" s="1"/>
  <c r="AJ11" i="41"/>
  <c r="AN9" i="41"/>
  <c r="CG10" i="41"/>
  <c r="DX181" i="3"/>
  <c r="DX182" i="3" s="1"/>
  <c r="CT181" i="3"/>
  <c r="CT182" i="3" s="1"/>
  <c r="CB4" i="41"/>
  <c r="DM181" i="3"/>
  <c r="DM182" i="3" s="1"/>
  <c r="BC10" i="41"/>
  <c r="DT181" i="3"/>
  <c r="DT182" i="3" s="1"/>
  <c r="AN10" i="41"/>
  <c r="AI4" i="41"/>
  <c r="BT181" i="3"/>
  <c r="BT182" i="3" s="1"/>
  <c r="EG181" i="3"/>
  <c r="CV4" i="41"/>
  <c r="Y4" i="41"/>
  <c r="EL181" i="3"/>
  <c r="FN181" i="3" s="1"/>
  <c r="DA4" i="41"/>
  <c r="EP181" i="3" s="1"/>
  <c r="EP182" i="3" s="1"/>
  <c r="BM10" i="41"/>
  <c r="BW10" i="41"/>
  <c r="CL10" i="41"/>
  <c r="BP11" i="41"/>
  <c r="DY181" i="3"/>
  <c r="DY182" i="3" s="1"/>
  <c r="AK11" i="41"/>
  <c r="V11" i="41"/>
  <c r="DP9" i="41"/>
  <c r="DL11" i="41"/>
  <c r="DN11" i="41"/>
  <c r="DB14" i="41" l="1"/>
  <c r="EQ144" i="3"/>
  <c r="CY631" i="41"/>
  <c r="CY632" i="41" s="1"/>
  <c r="DK11" i="41"/>
  <c r="EJ182" i="3"/>
  <c r="EO144" i="3"/>
  <c r="EO143" i="3" s="1"/>
  <c r="CX632" i="41"/>
  <c r="ES144" i="3"/>
  <c r="ES143" i="3" s="1"/>
  <c r="ER144" i="3"/>
  <c r="ER143" i="3" s="1"/>
  <c r="ET144" i="3"/>
  <c r="ET143" i="3" s="1"/>
  <c r="EI182" i="3"/>
  <c r="EN144" i="3"/>
  <c r="EN143" i="3" s="1"/>
  <c r="BL6" i="41"/>
  <c r="BL632" i="41"/>
  <c r="BG6" i="41"/>
  <c r="BG632" i="41"/>
  <c r="CR6" i="41"/>
  <c r="CR632" i="41"/>
  <c r="CZ6" i="41"/>
  <c r="DL6" i="41"/>
  <c r="BK6" i="41"/>
  <c r="BK632" i="41"/>
  <c r="CT6" i="41"/>
  <c r="CT632" i="41"/>
  <c r="CW6" i="41"/>
  <c r="CW632" i="41"/>
  <c r="BQ6" i="41"/>
  <c r="BQ632" i="41"/>
  <c r="CU6" i="41"/>
  <c r="CU632" i="41"/>
  <c r="CO6" i="41"/>
  <c r="CO632" i="41"/>
  <c r="BI6" i="41"/>
  <c r="BI632" i="41"/>
  <c r="DG6" i="41"/>
  <c r="CP6" i="41"/>
  <c r="CP632" i="41"/>
  <c r="CH6" i="41"/>
  <c r="CH632" i="41"/>
  <c r="BD6" i="41"/>
  <c r="BD632" i="41"/>
  <c r="CM6" i="41"/>
  <c r="CM632" i="41"/>
  <c r="BN6" i="41"/>
  <c r="BN632" i="41"/>
  <c r="CI6" i="41"/>
  <c r="CI632" i="41"/>
  <c r="CJ6" i="41"/>
  <c r="CJ632" i="41"/>
  <c r="BF6" i="41"/>
  <c r="BF632" i="41"/>
  <c r="BV6" i="41"/>
  <c r="BV632" i="41"/>
  <c r="BE6" i="41"/>
  <c r="BE632" i="41"/>
  <c r="CS6" i="41"/>
  <c r="CS632" i="41"/>
  <c r="EH182" i="3"/>
  <c r="CX6" i="41"/>
  <c r="EM144" i="3"/>
  <c r="EM143" i="3" s="1"/>
  <c r="T11" i="41"/>
  <c r="CQ11" i="41"/>
  <c r="AV6" i="41"/>
  <c r="DJ6" i="41"/>
  <c r="AL6" i="41"/>
  <c r="AH6" i="41"/>
  <c r="DP11" i="41"/>
  <c r="DM6" i="41"/>
  <c r="AW6" i="41"/>
  <c r="AI11" i="41"/>
  <c r="DD6" i="41"/>
  <c r="DI6" i="41"/>
  <c r="BA6" i="41"/>
  <c r="BH11" i="41"/>
  <c r="AM6" i="41"/>
  <c r="AD11" i="41"/>
  <c r="BW11" i="41"/>
  <c r="AQ6" i="41"/>
  <c r="CB11" i="41"/>
  <c r="DC6" i="41"/>
  <c r="DN6" i="41"/>
  <c r="DA11" i="41"/>
  <c r="BC11" i="41"/>
  <c r="AU6" i="41"/>
  <c r="CV11" i="41"/>
  <c r="T5" i="41"/>
  <c r="T6" i="41" s="1"/>
  <c r="BZ632" i="41"/>
  <c r="DO144" i="3"/>
  <c r="DO143" i="3" s="1"/>
  <c r="CA632" i="41"/>
  <c r="DP144" i="3"/>
  <c r="DP143" i="3" s="1"/>
  <c r="BR5" i="41"/>
  <c r="BR631" i="41" s="1"/>
  <c r="DC144" i="3"/>
  <c r="DC143" i="3" s="1"/>
  <c r="CN632" i="41"/>
  <c r="EC144" i="3"/>
  <c r="EC143" i="3" s="1"/>
  <c r="DX144" i="3"/>
  <c r="DX143" i="3" s="1"/>
  <c r="BB632" i="41"/>
  <c r="CQ144" i="3"/>
  <c r="CQ143" i="3" s="1"/>
  <c r="DY144" i="3"/>
  <c r="DY143" i="3" s="1"/>
  <c r="BB6" i="41"/>
  <c r="DV181" i="3"/>
  <c r="DV182" i="3" s="1"/>
  <c r="AZ6" i="41"/>
  <c r="CG11" i="41"/>
  <c r="CN6" i="41"/>
  <c r="AE6" i="41"/>
  <c r="AI5" i="41"/>
  <c r="BX144" i="3" s="1"/>
  <c r="BX143" i="3" s="1"/>
  <c r="BT144" i="3"/>
  <c r="BT143" i="3" s="1"/>
  <c r="EK181" i="3"/>
  <c r="EK182" i="3" s="1"/>
  <c r="DQ181" i="3"/>
  <c r="DQ182" i="3" s="1"/>
  <c r="CL11" i="41"/>
  <c r="DB181" i="3"/>
  <c r="DB182" i="3" s="1"/>
  <c r="EA181" i="3"/>
  <c r="EA182" i="3" s="1"/>
  <c r="EH144" i="3"/>
  <c r="EH143" i="3" s="1"/>
  <c r="AJ6" i="41"/>
  <c r="AN5" i="41"/>
  <c r="CC144" i="3" s="1"/>
  <c r="CC143" i="3" s="1"/>
  <c r="BY144" i="3"/>
  <c r="BY143" i="3" s="1"/>
  <c r="CC632" i="41"/>
  <c r="CG5" i="41"/>
  <c r="CG631" i="41" s="1"/>
  <c r="DR144" i="3"/>
  <c r="DR143" i="3" s="1"/>
  <c r="CK632" i="41"/>
  <c r="DZ144" i="3"/>
  <c r="DZ143" i="3" s="1"/>
  <c r="CE632" i="41"/>
  <c r="DT144" i="3"/>
  <c r="DT143" i="3" s="1"/>
  <c r="DF144" i="3"/>
  <c r="DF143" i="3" s="1"/>
  <c r="BP632" i="41"/>
  <c r="DE144" i="3"/>
  <c r="DE143" i="3" s="1"/>
  <c r="BS632" i="41"/>
  <c r="BW5" i="41"/>
  <c r="BW631" i="41" s="1"/>
  <c r="DH144" i="3"/>
  <c r="DH143" i="3" s="1"/>
  <c r="BO632" i="41"/>
  <c r="DD144" i="3"/>
  <c r="DD143" i="3" s="1"/>
  <c r="EB144" i="3"/>
  <c r="EB143" i="3" s="1"/>
  <c r="CQ5" i="41"/>
  <c r="CQ631" i="41" s="1"/>
  <c r="DO6" i="41"/>
  <c r="CM181" i="3"/>
  <c r="CM182" i="3" s="1"/>
  <c r="AG6" i="41"/>
  <c r="AP6" i="41"/>
  <c r="AF6" i="41"/>
  <c r="BX181" i="3"/>
  <c r="BX182" i="3" s="1"/>
  <c r="DL181" i="3"/>
  <c r="DL182" i="3" s="1"/>
  <c r="CZ144" i="3"/>
  <c r="CZ143" i="3" s="1"/>
  <c r="EF181" i="3"/>
  <c r="EF182" i="3" s="1"/>
  <c r="CF632" i="41"/>
  <c r="DU144" i="3"/>
  <c r="DU143" i="3" s="1"/>
  <c r="CD632" i="41"/>
  <c r="DS144" i="3"/>
  <c r="DS143" i="3" s="1"/>
  <c r="EL182" i="3"/>
  <c r="FN182" i="3" s="1"/>
  <c r="EG182" i="3"/>
  <c r="DG181" i="3"/>
  <c r="DG182" i="3" s="1"/>
  <c r="CD6" i="41"/>
  <c r="CY6" i="41"/>
  <c r="EZ181" i="3"/>
  <c r="EJ144" i="3"/>
  <c r="CU144" i="3"/>
  <c r="CU143" i="3" s="1"/>
  <c r="DF5" i="41"/>
  <c r="DF14" i="41" s="1"/>
  <c r="AT6" i="41"/>
  <c r="CI144" i="3"/>
  <c r="CI143" i="3" s="1"/>
  <c r="AX5" i="41"/>
  <c r="CM144" i="3" s="1"/>
  <c r="CM143" i="3" s="1"/>
  <c r="DK144" i="3"/>
  <c r="DK143" i="3" s="1"/>
  <c r="CV144" i="3"/>
  <c r="CV143" i="3" s="1"/>
  <c r="BY632" i="41"/>
  <c r="DN144" i="3"/>
  <c r="DN143" i="3" s="1"/>
  <c r="CC6" i="41"/>
  <c r="BR11" i="41"/>
  <c r="AR6" i="41"/>
  <c r="DE6" i="41"/>
  <c r="BP6" i="41"/>
  <c r="BY6" i="41"/>
  <c r="CR181" i="3"/>
  <c r="CR182" i="3" s="1"/>
  <c r="CT144" i="3"/>
  <c r="CT143" i="3" s="1"/>
  <c r="DA5" i="41"/>
  <c r="DA631" i="41" s="1"/>
  <c r="DA632" i="41" s="1"/>
  <c r="EL144" i="3"/>
  <c r="U6" i="41"/>
  <c r="Y5" i="41"/>
  <c r="Y6" i="41" s="1"/>
  <c r="BT632" i="41"/>
  <c r="DI144" i="3"/>
  <c r="DI143" i="3" s="1"/>
  <c r="BX632" i="41"/>
  <c r="DM144" i="3"/>
  <c r="DM143" i="3" s="1"/>
  <c r="CB5" i="41"/>
  <c r="CB631" i="41" s="1"/>
  <c r="DA144" i="3"/>
  <c r="DA143" i="3" s="1"/>
  <c r="BU632" i="41"/>
  <c r="DJ144" i="3"/>
  <c r="DJ143" i="3" s="1"/>
  <c r="BJ632" i="41"/>
  <c r="CY144" i="3"/>
  <c r="CY143" i="3" s="1"/>
  <c r="CE6" i="41"/>
  <c r="BX6" i="41"/>
  <c r="AN11" i="41"/>
  <c r="BZ6" i="41"/>
  <c r="AS11" i="41"/>
  <c r="BT6" i="41"/>
  <c r="CF6" i="41"/>
  <c r="CW181" i="3"/>
  <c r="CW182" i="3" s="1"/>
  <c r="CH181" i="3"/>
  <c r="CH182" i="3" s="1"/>
  <c r="DB6" i="41"/>
  <c r="BS6" i="41"/>
  <c r="CA6" i="41"/>
  <c r="BJ6" i="41"/>
  <c r="FE181" i="3"/>
  <c r="CC181" i="3"/>
  <c r="CC182" i="3" s="1"/>
  <c r="BM11" i="41"/>
  <c r="CK6" i="41"/>
  <c r="DH6" i="41"/>
  <c r="DF11" i="41"/>
  <c r="ED144" i="3"/>
  <c r="ED143" i="3" s="1"/>
  <c r="BM5" i="41"/>
  <c r="BM631" i="41" s="1"/>
  <c r="CX144" i="3"/>
  <c r="CX143" i="3" s="1"/>
  <c r="EI144" i="3"/>
  <c r="EI143" i="3" s="1"/>
  <c r="Z6" i="41"/>
  <c r="AD5" i="41"/>
  <c r="AD6" i="41" s="1"/>
  <c r="AY6" i="41"/>
  <c r="BC5" i="41"/>
  <c r="BC631" i="41" s="1"/>
  <c r="CN144" i="3"/>
  <c r="CN143" i="3" s="1"/>
  <c r="DK5" i="41"/>
  <c r="DK14" i="41" s="1"/>
  <c r="AO6" i="41"/>
  <c r="CD144" i="3"/>
  <c r="CD143" i="3" s="1"/>
  <c r="AS5" i="41"/>
  <c r="CH144" i="3" s="1"/>
  <c r="CH143" i="3" s="1"/>
  <c r="EE144" i="3"/>
  <c r="EE143" i="3" s="1"/>
  <c r="DW144" i="3"/>
  <c r="DW143" i="3" s="1"/>
  <c r="CL5" i="41"/>
  <c r="CL631" i="41" s="1"/>
  <c r="CV5" i="41"/>
  <c r="CV631" i="41" s="1"/>
  <c r="EG144" i="3"/>
  <c r="EG143" i="3" s="1"/>
  <c r="CS144" i="3"/>
  <c r="CS143" i="3" s="1"/>
  <c r="BH5" i="41"/>
  <c r="BH631" i="41" s="1"/>
  <c r="DP5" i="41"/>
  <c r="DP14" i="41" s="1"/>
  <c r="BO6" i="41"/>
  <c r="AK6" i="41"/>
  <c r="AX11" i="41"/>
  <c r="Y11" i="41"/>
  <c r="BU6" i="41"/>
  <c r="EL143" i="3" l="1"/>
  <c r="FN143" i="3" s="1"/>
  <c r="FN144" i="3"/>
  <c r="EQ143" i="3"/>
  <c r="EQ141" i="3" s="1"/>
  <c r="FM144" i="3"/>
  <c r="EJ143" i="3"/>
  <c r="EP144" i="3"/>
  <c r="ER141" i="3"/>
  <c r="ES141" i="3"/>
  <c r="ET141" i="3"/>
  <c r="EU144" i="3"/>
  <c r="EU143" i="3" s="1"/>
  <c r="EB141" i="3"/>
  <c r="BH6" i="41"/>
  <c r="BH632" i="41"/>
  <c r="EE141" i="3"/>
  <c r="ED141" i="3"/>
  <c r="BW6" i="41"/>
  <c r="BW632" i="41"/>
  <c r="CB6" i="41"/>
  <c r="CB632" i="41"/>
  <c r="BR6" i="41"/>
  <c r="BR632" i="41"/>
  <c r="EC141" i="3"/>
  <c r="CQ6" i="41"/>
  <c r="CQ632" i="41"/>
  <c r="AN6" i="41"/>
  <c r="AI6" i="41"/>
  <c r="AS6" i="41"/>
  <c r="AX6" i="41"/>
  <c r="CG632" i="41"/>
  <c r="DV144" i="3"/>
  <c r="DV143" i="3" s="1"/>
  <c r="CG6" i="41"/>
  <c r="CW144" i="3"/>
  <c r="CW143" i="3" s="1"/>
  <c r="CV632" i="41"/>
  <c r="EK144" i="3"/>
  <c r="EK143" i="3" s="1"/>
  <c r="BM632" i="41"/>
  <c r="DB144" i="3"/>
  <c r="DB143" i="3" s="1"/>
  <c r="DF6" i="41"/>
  <c r="DL144" i="3"/>
  <c r="DL143" i="3" s="1"/>
  <c r="BM6" i="41"/>
  <c r="BC632" i="41"/>
  <c r="CR144" i="3"/>
  <c r="CR143" i="3" s="1"/>
  <c r="DK6" i="41"/>
  <c r="CV6" i="41"/>
  <c r="DG144" i="3"/>
  <c r="DG143" i="3" s="1"/>
  <c r="CL632" i="41"/>
  <c r="EA144" i="3"/>
  <c r="EA143" i="3" s="1"/>
  <c r="DP6" i="41"/>
  <c r="DQ144" i="3"/>
  <c r="DQ143" i="3" s="1"/>
  <c r="BC6" i="41"/>
  <c r="DA6" i="41"/>
  <c r="EF144" i="3"/>
  <c r="EF143" i="3" s="1"/>
  <c r="CL6" i="41"/>
  <c r="FM143" i="3" l="1"/>
  <c r="EP143" i="3"/>
  <c r="EP141" i="3" s="1"/>
  <c r="EO141" i="3"/>
  <c r="EJ141" i="3"/>
  <c r="EU141" i="3"/>
  <c r="EI141" i="3"/>
  <c r="EN141" i="3"/>
  <c r="EK141" i="3"/>
  <c r="EF141" i="3"/>
  <c r="EH141" i="3"/>
  <c r="EM141" i="3"/>
  <c r="EL141" i="3"/>
  <c r="EG141" i="3"/>
  <c r="EZ144" i="3" l="1"/>
  <c r="EZ143" i="3" s="1"/>
  <c r="EZ141" i="3" l="1"/>
  <c r="FE144" i="3"/>
  <c r="FE143" i="3" s="1"/>
  <c r="FE141" i="3" l="1"/>
  <c r="ES190" i="3" l="1"/>
  <c r="ET190" i="3" s="1"/>
  <c r="ES182" i="3"/>
  <c r="ER183" i="3"/>
  <c r="ER180" i="3" s="1"/>
  <c r="ER189" i="3" l="1"/>
  <c r="ER177" i="3" s="1"/>
  <c r="ET182" i="3"/>
  <c r="ET183" i="3" s="1"/>
  <c r="ET180" i="3" s="1"/>
  <c r="ET189" i="3" s="1"/>
  <c r="ET177" i="3" s="1"/>
  <c r="ES183" i="3"/>
  <c r="ES180" i="3" s="1"/>
  <c r="EP315" i="3"/>
  <c r="ER178" i="3" l="1"/>
  <c r="ER138" i="3"/>
  <c r="ET178" i="3"/>
  <c r="ET138" i="3"/>
  <c r="ES189" i="3"/>
  <c r="EU189" i="3" s="1"/>
  <c r="EU183" i="3"/>
  <c r="EP383" i="3"/>
  <c r="EP370" i="3"/>
  <c r="N10" i="91"/>
  <c r="N14" i="91"/>
  <c r="ES177" i="3" l="1"/>
  <c r="EU180" i="3"/>
  <c r="EU190" i="3" s="1"/>
  <c r="EU182" i="3"/>
  <c r="EZ182" i="3" s="1"/>
  <c r="EP371" i="3"/>
  <c r="EP384" i="3"/>
  <c r="EP373" i="3"/>
  <c r="N13" i="91"/>
  <c r="N19" i="91"/>
  <c r="N12" i="91"/>
  <c r="EZ190" i="3" l="1"/>
  <c r="FE190" i="3" s="1"/>
  <c r="ES178" i="3"/>
  <c r="EU177" i="3"/>
  <c r="ES138" i="3"/>
  <c r="FE182" i="3"/>
  <c r="FE183" i="3" s="1"/>
  <c r="FE180" i="3" s="1"/>
  <c r="EZ183" i="3"/>
  <c r="EZ180" i="3" s="1"/>
  <c r="N16" i="91"/>
  <c r="N17" i="91" s="1"/>
  <c r="EP385" i="3"/>
  <c r="EP372" i="3"/>
  <c r="EP376" i="3" s="1"/>
  <c r="EZ189" i="3" l="1"/>
  <c r="EZ177" i="3" s="1"/>
  <c r="EZ138" i="3" s="1"/>
  <c r="FE189" i="3"/>
  <c r="FE177" i="3" s="1"/>
  <c r="EU178" i="3"/>
  <c r="EU138" i="3"/>
  <c r="N18" i="91"/>
  <c r="FE178" i="3" l="1"/>
  <c r="FE138" i="3"/>
  <c r="EZ178" i="3"/>
  <c r="FE321" i="3"/>
  <c r="EM344" i="3" l="1"/>
  <c r="EM340" i="3"/>
  <c r="EM341" i="3" s="1"/>
  <c r="ET214" i="3" l="1"/>
  <c r="FE296" i="3" l="1"/>
  <c r="ET217" i="3"/>
  <c r="EU214" i="3"/>
  <c r="EU304" i="3" l="1"/>
  <c r="EU306" i="3" s="1"/>
  <c r="EU343" i="3" s="1"/>
  <c r="EU220" i="3" s="1"/>
  <c r="EQ216" i="3"/>
  <c r="FM216" i="3" s="1"/>
  <c r="ET216" i="3"/>
  <c r="ER216" i="3"/>
  <c r="EU219" i="3"/>
  <c r="EU215" i="3"/>
  <c r="ES216" i="3"/>
  <c r="EZ214" i="3"/>
  <c r="O11" i="91"/>
  <c r="O20" i="91" l="1"/>
  <c r="O22" i="91"/>
  <c r="EZ219" i="3"/>
  <c r="P11" i="91"/>
  <c r="EZ304" i="3"/>
  <c r="EZ306" i="3" s="1"/>
  <c r="EZ343" i="3" s="1"/>
  <c r="EZ220" i="3" s="1"/>
  <c r="FE214" i="3"/>
  <c r="P22" i="91" l="1"/>
  <c r="P20" i="91"/>
  <c r="FE304" i="3"/>
  <c r="FE306" i="3" s="1"/>
  <c r="FE343" i="3" s="1"/>
  <c r="FE219" i="3"/>
  <c r="Q11" i="91"/>
  <c r="Q22" i="91" l="1"/>
  <c r="Q20" i="91"/>
  <c r="FE220" i="3"/>
  <c r="R11" i="91" l="1"/>
  <c r="R22" i="91" l="1"/>
  <c r="S11" i="91"/>
  <c r="S22" i="91" l="1"/>
  <c r="T11" i="91"/>
  <c r="T22" i="91" l="1"/>
  <c r="U11" i="91"/>
  <c r="U22" i="91" l="1"/>
  <c r="V11" i="91"/>
  <c r="W11" i="91" l="1"/>
  <c r="V22" i="91"/>
  <c r="X11" i="91" l="1"/>
  <c r="X22" i="91" s="1"/>
  <c r="Y11" i="91"/>
  <c r="W22" i="91"/>
  <c r="Y22" i="91" l="1"/>
  <c r="EU358" i="3" l="1"/>
  <c r="EP323" i="3" l="1"/>
  <c r="EZ358" i="3"/>
  <c r="EP330" i="3" l="1"/>
  <c r="EP332" i="3" s="1"/>
  <c r="EP336" i="3" s="1"/>
  <c r="EP327" i="3"/>
  <c r="EU331" i="3"/>
  <c r="EP368" i="3"/>
  <c r="EP379" i="3" s="1"/>
  <c r="EP262" i="3"/>
  <c r="EQ261" i="3" s="1"/>
  <c r="EQ260" i="3" s="1"/>
  <c r="EP337" i="3"/>
  <c r="EP366" i="3"/>
  <c r="EP367" i="3" s="1"/>
  <c r="EP381" i="3" s="1"/>
  <c r="EP360" i="3"/>
  <c r="EO360" i="3" s="1"/>
  <c r="FE358" i="3"/>
  <c r="EO336" i="3" l="1"/>
  <c r="EP340" i="3"/>
  <c r="EO340" i="3" s="1"/>
  <c r="EO341" i="3" s="1"/>
  <c r="EP261" i="3"/>
  <c r="EP260" i="3" s="1"/>
  <c r="EP364" i="3"/>
  <c r="EP397" i="3"/>
  <c r="EP361" i="3"/>
  <c r="EO337" i="3" l="1"/>
  <c r="EO262" i="3"/>
  <c r="EO261" i="3" s="1"/>
  <c r="EO260" i="3" s="1"/>
  <c r="EP378" i="3"/>
  <c r="EP375" i="3"/>
  <c r="EP377" i="3" s="1"/>
  <c r="FE260" i="3" l="1"/>
  <c r="EP380" i="3"/>
  <c r="EJ310" i="3" l="1"/>
  <c r="EP341" i="3"/>
  <c r="EU340" i="3" l="1"/>
  <c r="EZ341" i="3"/>
  <c r="EZ340" i="3" l="1"/>
  <c r="FE341" i="3"/>
  <c r="FE340" i="3" s="1"/>
  <c r="FM159" i="3" l="1"/>
  <c r="FP159" i="3" l="1"/>
  <c r="FQ159" i="3"/>
  <c r="EQ165" i="3"/>
  <c r="FM165" i="3" s="1"/>
  <c r="EQ160" i="3"/>
  <c r="FM160" i="3" s="1"/>
  <c r="FQ160" i="3" s="1"/>
  <c r="FM223" i="3" l="1"/>
  <c r="FQ223" i="3" s="1"/>
  <c r="EQ240" i="3"/>
  <c r="FM240" i="3" s="1"/>
  <c r="EQ227" i="3"/>
  <c r="FM227" i="3" s="1"/>
  <c r="EQ210" i="3"/>
  <c r="FM210" i="3" s="1"/>
  <c r="EQ179" i="3"/>
  <c r="FM179" i="3" s="1"/>
  <c r="FQ179" i="3" s="1"/>
  <c r="EQ225" i="3"/>
  <c r="EQ224" i="3"/>
  <c r="FM224" i="3" s="1"/>
  <c r="FQ224" i="3" s="1"/>
  <c r="EQ218" i="3"/>
  <c r="FM218" i="3" s="1"/>
  <c r="EQ194" i="3"/>
  <c r="FM194" i="3" s="1"/>
  <c r="EQ166" i="3"/>
  <c r="FM166" i="3" s="1"/>
  <c r="EQ161" i="3"/>
  <c r="FM161" i="3" s="1"/>
  <c r="FP223" i="3" l="1"/>
  <c r="FQ227" i="3"/>
  <c r="FP227" i="3"/>
  <c r="FQ166" i="3"/>
  <c r="FP166" i="3"/>
  <c r="EQ226" i="3"/>
  <c r="FM226" i="3" s="1"/>
  <c r="FQ226" i="3" s="1"/>
  <c r="FM225" i="3"/>
  <c r="FP240" i="3"/>
  <c r="FQ240" i="3"/>
  <c r="EU165" i="3"/>
  <c r="FH165" i="3" s="1"/>
  <c r="EQ167" i="3"/>
  <c r="FM167" i="3" s="1"/>
  <c r="FQ167" i="3" s="1"/>
  <c r="EQ174" i="3"/>
  <c r="FM174" i="3" s="1"/>
  <c r="EQ168" i="3"/>
  <c r="EQ229" i="3"/>
  <c r="EQ228" i="3"/>
  <c r="FM228" i="3" s="1"/>
  <c r="FQ228" i="3" s="1"/>
  <c r="EQ241" i="3"/>
  <c r="FM241" i="3" s="1"/>
  <c r="FQ241" i="3" s="1"/>
  <c r="EQ251" i="3"/>
  <c r="FM251" i="3" s="1"/>
  <c r="EQ242" i="3"/>
  <c r="FM242" i="3" s="1"/>
  <c r="FQ242" i="3" l="1"/>
  <c r="FP242" i="3"/>
  <c r="FH229" i="3"/>
  <c r="FM229" i="3"/>
  <c r="FQ229" i="3" s="1"/>
  <c r="FP251" i="3"/>
  <c r="FQ251" i="3"/>
  <c r="FH168" i="3"/>
  <c r="FM168" i="3"/>
  <c r="FQ168" i="3" s="1"/>
  <c r="FQ225" i="3"/>
  <c r="FP225" i="3"/>
  <c r="FQ174" i="3"/>
  <c r="FP174" i="3"/>
  <c r="EQ244" i="3"/>
  <c r="EQ243" i="3"/>
  <c r="FM243" i="3" s="1"/>
  <c r="EQ176" i="3"/>
  <c r="EQ175" i="3"/>
  <c r="FM175" i="3" s="1"/>
  <c r="FQ175" i="3" s="1"/>
  <c r="ER174" i="3"/>
  <c r="EQ249" i="3"/>
  <c r="FM249" i="3" s="1"/>
  <c r="EQ245" i="3"/>
  <c r="FM245" i="3" s="1"/>
  <c r="EQ246" i="3"/>
  <c r="FM246" i="3" s="1"/>
  <c r="EQ252" i="3"/>
  <c r="FM252" i="3" s="1"/>
  <c r="FQ252" i="3" s="1"/>
  <c r="EQ253" i="3"/>
  <c r="FM253" i="3" s="1"/>
  <c r="EQ270" i="3"/>
  <c r="FM270" i="3" s="1"/>
  <c r="FQ246" i="3" l="1"/>
  <c r="FP246" i="3"/>
  <c r="FH244" i="3"/>
  <c r="FM244" i="3"/>
  <c r="FQ270" i="3"/>
  <c r="FP270" i="3"/>
  <c r="FQ253" i="3"/>
  <c r="FP253" i="3"/>
  <c r="FH176" i="3"/>
  <c r="FM176" i="3"/>
  <c r="FQ176" i="3" s="1"/>
  <c r="EQ247" i="3"/>
  <c r="FM247" i="3" s="1"/>
  <c r="EQ250" i="3"/>
  <c r="FM250" i="3" s="1"/>
  <c r="EQ248" i="3"/>
  <c r="EQ254" i="3"/>
  <c r="FM254" i="3" s="1"/>
  <c r="FQ254" i="3" s="1"/>
  <c r="EQ273" i="3"/>
  <c r="FM273" i="3" s="1"/>
  <c r="EQ271" i="3"/>
  <c r="ES174" i="3"/>
  <c r="ER166" i="3"/>
  <c r="ER175" i="3"/>
  <c r="ES271" i="3" l="1"/>
  <c r="ET271" i="3" s="1"/>
  <c r="FM271" i="3"/>
  <c r="FM248" i="3"/>
  <c r="FH248" i="3"/>
  <c r="FP273" i="3"/>
  <c r="FQ273" i="3"/>
  <c r="ER159" i="3"/>
  <c r="ER167" i="3"/>
  <c r="ER168" i="3"/>
  <c r="ER163" i="3"/>
  <c r="EQ274" i="3"/>
  <c r="FM274" i="3" s="1"/>
  <c r="EQ286" i="3"/>
  <c r="FM286" i="3" s="1"/>
  <c r="EQ275" i="3"/>
  <c r="FM275" i="3" s="1"/>
  <c r="ES175" i="3"/>
  <c r="ES166" i="3"/>
  <c r="ET174" i="3"/>
  <c r="FQ271" i="3" l="1"/>
  <c r="FP271" i="3"/>
  <c r="FP275" i="3"/>
  <c r="FQ275" i="3"/>
  <c r="ES159" i="3"/>
  <c r="ES167" i="3"/>
  <c r="ES163" i="3"/>
  <c r="ES168" i="3"/>
  <c r="ER160" i="3"/>
  <c r="ER223" i="3"/>
  <c r="ER161" i="3" s="1"/>
  <c r="ET175" i="3"/>
  <c r="ET166" i="3"/>
  <c r="EU166" i="3" s="1"/>
  <c r="EQ277" i="3"/>
  <c r="EQ292" i="3"/>
  <c r="EQ276" i="3"/>
  <c r="FM276" i="3" s="1"/>
  <c r="FQ276" i="3" s="1"/>
  <c r="EQ288" i="3"/>
  <c r="FM277" i="3" l="1"/>
  <c r="FQ277" i="3" s="1"/>
  <c r="FH277" i="3"/>
  <c r="EQ289" i="3"/>
  <c r="FM289" i="3" s="1"/>
  <c r="FM288" i="3"/>
  <c r="EU174" i="3"/>
  <c r="EU167" i="3"/>
  <c r="ET167" i="3"/>
  <c r="ET163" i="3"/>
  <c r="EU163" i="3" s="1"/>
  <c r="ET168" i="3"/>
  <c r="ET159" i="3"/>
  <c r="ER179" i="3"/>
  <c r="ER210" i="3"/>
  <c r="ER227" i="3"/>
  <c r="ER240" i="3"/>
  <c r="ER224" i="3"/>
  <c r="ER225" i="3"/>
  <c r="ER226" i="3" s="1"/>
  <c r="ER218" i="3"/>
  <c r="ER194" i="3"/>
  <c r="ES160" i="3"/>
  <c r="ES223" i="3"/>
  <c r="ES161" i="3" s="1"/>
  <c r="FQ288" i="3" l="1"/>
  <c r="FP288" i="3"/>
  <c r="ER241" i="3"/>
  <c r="ER251" i="3"/>
  <c r="ER242" i="3"/>
  <c r="ET160" i="3"/>
  <c r="ET223" i="3"/>
  <c r="ET161" i="3" s="1"/>
  <c r="EU159" i="3"/>
  <c r="ES179" i="3"/>
  <c r="ES227" i="3"/>
  <c r="ES240" i="3"/>
  <c r="ES194" i="3"/>
  <c r="ES210" i="3"/>
  <c r="ES224" i="3"/>
  <c r="ES225" i="3"/>
  <c r="ES226" i="3" s="1"/>
  <c r="ES218" i="3"/>
  <c r="ER229" i="3"/>
  <c r="ER228" i="3"/>
  <c r="EU175" i="3"/>
  <c r="EZ174" i="3"/>
  <c r="EZ166" i="3" l="1"/>
  <c r="FE174" i="3"/>
  <c r="FE166" i="3" s="1"/>
  <c r="EQ162" i="3"/>
  <c r="FM162" i="3" s="1"/>
  <c r="EU160" i="3"/>
  <c r="EU223" i="3"/>
  <c r="EU161" i="3" s="1"/>
  <c r="ER162" i="3"/>
  <c r="ES162" i="3"/>
  <c r="ES251" i="3"/>
  <c r="ES242" i="3"/>
  <c r="ES241" i="3"/>
  <c r="ER243" i="3"/>
  <c r="ER244" i="3"/>
  <c r="ES228" i="3"/>
  <c r="ES229" i="3"/>
  <c r="ET194" i="3"/>
  <c r="ET210" i="3"/>
  <c r="ET218" i="3"/>
  <c r="ET179" i="3"/>
  <c r="ET240" i="3"/>
  <c r="ET224" i="3"/>
  <c r="ET227" i="3"/>
  <c r="ET225" i="3"/>
  <c r="ET226" i="3" s="1"/>
  <c r="ER246" i="3"/>
  <c r="ER245" i="3"/>
  <c r="ER253" i="3"/>
  <c r="ER270" i="3"/>
  <c r="ER272" i="3" s="1"/>
  <c r="ER273" i="3" s="1"/>
  <c r="ER275" i="3" s="1"/>
  <c r="ER249" i="3"/>
  <c r="ER252" i="3"/>
  <c r="ET162" i="3"/>
  <c r="ET251" i="3" l="1"/>
  <c r="ET241" i="3"/>
  <c r="ET242" i="3"/>
  <c r="ER247" i="3"/>
  <c r="ER248" i="3"/>
  <c r="ER250" i="3"/>
  <c r="ET228" i="3"/>
  <c r="ET229" i="3"/>
  <c r="ES244" i="3"/>
  <c r="ES243" i="3"/>
  <c r="FE159" i="3"/>
  <c r="FE167" i="3"/>
  <c r="ER286" i="3"/>
  <c r="ER274" i="3"/>
  <c r="ER254" i="3"/>
  <c r="ES252" i="3"/>
  <c r="ES253" i="3"/>
  <c r="ES254" i="3" s="1"/>
  <c r="ES270" i="3"/>
  <c r="ES246" i="3"/>
  <c r="ES249" i="3"/>
  <c r="ES245" i="3"/>
  <c r="EU240" i="3"/>
  <c r="EU225" i="3"/>
  <c r="EU226" i="3" s="1"/>
  <c r="EU224" i="3"/>
  <c r="EU218" i="3"/>
  <c r="EU194" i="3"/>
  <c r="EU210" i="3"/>
  <c r="EU179" i="3"/>
  <c r="EU227" i="3"/>
  <c r="EU228" i="3" s="1"/>
  <c r="EZ163" i="3"/>
  <c r="EZ159" i="3"/>
  <c r="EZ167" i="3"/>
  <c r="ET243" i="3" l="1"/>
  <c r="ET244" i="3"/>
  <c r="FE160" i="3"/>
  <c r="FE223" i="3"/>
  <c r="FE161" i="3" s="1"/>
  <c r="EZ160" i="3"/>
  <c r="EZ223" i="3"/>
  <c r="ES250" i="3"/>
  <c r="ES248" i="3"/>
  <c r="ES247" i="3"/>
  <c r="ER292" i="3"/>
  <c r="ER276" i="3"/>
  <c r="ER277" i="3"/>
  <c r="ER288" i="3"/>
  <c r="ER289" i="3" s="1"/>
  <c r="EU241" i="3"/>
  <c r="EU242" i="3"/>
  <c r="EU243" i="3" s="1"/>
  <c r="EU348" i="3"/>
  <c r="EU251" i="3"/>
  <c r="ES272" i="3"/>
  <c r="ES273" i="3" s="1"/>
  <c r="FE163" i="3"/>
  <c r="ET249" i="3"/>
  <c r="ET270" i="3"/>
  <c r="ET246" i="3"/>
  <c r="ET252" i="3"/>
  <c r="ET253" i="3"/>
  <c r="ET254" i="3" s="1"/>
  <c r="ET245" i="3"/>
  <c r="EU245" i="3" l="1"/>
  <c r="O10" i="91"/>
  <c r="EU249" i="3"/>
  <c r="EU370" i="3"/>
  <c r="EU383" i="3"/>
  <c r="EU246" i="3"/>
  <c r="EU252" i="3"/>
  <c r="EU270" i="3"/>
  <c r="EU350" i="3"/>
  <c r="EU310" i="3"/>
  <c r="O14" i="91" s="1"/>
  <c r="EZ179" i="3"/>
  <c r="EZ225" i="3"/>
  <c r="EZ226" i="3" s="1"/>
  <c r="EZ227" i="3"/>
  <c r="EZ228" i="3" s="1"/>
  <c r="EZ224" i="3"/>
  <c r="EZ194" i="3"/>
  <c r="EZ210" i="3"/>
  <c r="EZ240" i="3"/>
  <c r="EZ218" i="3"/>
  <c r="EU253" i="3"/>
  <c r="ET247" i="3"/>
  <c r="ET248" i="3"/>
  <c r="ET250" i="3"/>
  <c r="ES274" i="3"/>
  <c r="ES275" i="3"/>
  <c r="ES286" i="3"/>
  <c r="ET272" i="3"/>
  <c r="EU272" i="3" s="1"/>
  <c r="EZ161" i="3"/>
  <c r="FE240" i="3"/>
  <c r="FE224" i="3"/>
  <c r="FE210" i="3"/>
  <c r="FE194" i="3"/>
  <c r="FE225" i="3"/>
  <c r="FE179" i="3"/>
  <c r="FE227" i="3"/>
  <c r="FE218" i="3"/>
  <c r="ET273" i="3" l="1"/>
  <c r="ET275" i="3" s="1"/>
  <c r="FE228" i="3"/>
  <c r="EU371" i="3"/>
  <c r="EU273" i="3"/>
  <c r="EU384" i="3"/>
  <c r="ES277" i="3"/>
  <c r="ES276" i="3"/>
  <c r="ES292" i="3"/>
  <c r="ES288" i="3"/>
  <c r="ES289" i="3" s="1"/>
  <c r="O19" i="91"/>
  <c r="O12" i="91"/>
  <c r="O13" i="91"/>
  <c r="EU254" i="3"/>
  <c r="EU373" i="3"/>
  <c r="EU271" i="3"/>
  <c r="FE271" i="3" s="1"/>
  <c r="EU307" i="3"/>
  <c r="EU247" i="3"/>
  <c r="EU250" i="3"/>
  <c r="FE226" i="3"/>
  <c r="FE348" i="3"/>
  <c r="FE241" i="3"/>
  <c r="FE251" i="3"/>
  <c r="FE242" i="3"/>
  <c r="EZ242" i="3"/>
  <c r="EZ243" i="3" s="1"/>
  <c r="EZ348" i="3"/>
  <c r="EZ241" i="3"/>
  <c r="EZ251" i="3"/>
  <c r="ET274" i="3" l="1"/>
  <c r="ET286" i="3"/>
  <c r="EU286" i="3" s="1"/>
  <c r="EU303" i="3" s="1"/>
  <c r="EU357" i="3" s="1"/>
  <c r="EU359" i="3" s="1"/>
  <c r="O16" i="91"/>
  <c r="O18" i="91" s="1"/>
  <c r="EU352" i="3"/>
  <c r="FE350" i="3"/>
  <c r="FE310" i="3"/>
  <c r="Q14" i="91" s="1"/>
  <c r="EZ252" i="3"/>
  <c r="EZ249" i="3"/>
  <c r="EZ270" i="3"/>
  <c r="EZ383" i="3"/>
  <c r="EZ246" i="3"/>
  <c r="P10" i="91"/>
  <c r="EZ245" i="3"/>
  <c r="EZ370" i="3"/>
  <c r="EZ253" i="3"/>
  <c r="EZ350" i="3"/>
  <c r="EZ310" i="3"/>
  <c r="P14" i="91" s="1"/>
  <c r="FE243" i="3"/>
  <c r="ET277" i="3"/>
  <c r="ET292" i="3"/>
  <c r="ET276" i="3"/>
  <c r="ET288" i="3"/>
  <c r="ET289" i="3" s="1"/>
  <c r="EU275" i="3"/>
  <c r="EU274" i="3"/>
  <c r="EU385" i="3"/>
  <c r="EU372" i="3"/>
  <c r="EU376" i="3" s="1"/>
  <c r="FE249" i="3"/>
  <c r="FE246" i="3"/>
  <c r="Q10" i="91"/>
  <c r="FE370" i="3"/>
  <c r="FE270" i="3"/>
  <c r="FE253" i="3"/>
  <c r="FE383" i="3"/>
  <c r="FE245" i="3"/>
  <c r="FE252" i="3"/>
  <c r="EU311" i="3" l="1"/>
  <c r="EU315" i="3" s="1"/>
  <c r="O17" i="91"/>
  <c r="P12" i="91"/>
  <c r="P13" i="91"/>
  <c r="P19" i="91"/>
  <c r="EZ254" i="3"/>
  <c r="EZ373" i="3"/>
  <c r="EU354" i="3"/>
  <c r="EU360" i="3" s="1"/>
  <c r="Q19" i="91"/>
  <c r="R19" i="91" s="1"/>
  <c r="S19" i="91" s="1"/>
  <c r="T19" i="91" s="1"/>
  <c r="U19" i="91" s="1"/>
  <c r="V19" i="91" s="1"/>
  <c r="W19" i="91" s="1"/>
  <c r="X19" i="91" s="1"/>
  <c r="Y19" i="91" s="1"/>
  <c r="Q12" i="91"/>
  <c r="Q13" i="91"/>
  <c r="EU366" i="3"/>
  <c r="EU367" i="3" s="1"/>
  <c r="EU381" i="3" s="1"/>
  <c r="EZ247" i="3"/>
  <c r="EZ250" i="3"/>
  <c r="FE254" i="3"/>
  <c r="FE373" i="3"/>
  <c r="FE250" i="3"/>
  <c r="FE247" i="3"/>
  <c r="FE272" i="3"/>
  <c r="FE307" i="3" s="1"/>
  <c r="FE384" i="3"/>
  <c r="FE371" i="3"/>
  <c r="FH273" i="3"/>
  <c r="FH275" i="3"/>
  <c r="EU292" i="3"/>
  <c r="EZ292" i="3" s="1"/>
  <c r="EU288" i="3"/>
  <c r="EU289" i="3" s="1"/>
  <c r="EU276" i="3"/>
  <c r="EZ272" i="3"/>
  <c r="EZ307" i="3" s="1"/>
  <c r="EZ384" i="3"/>
  <c r="EZ371" i="3"/>
  <c r="EU330" i="3" l="1"/>
  <c r="EU332" i="3" s="1"/>
  <c r="EZ331" i="3" s="1"/>
  <c r="P16" i="91"/>
  <c r="P18" i="91" s="1"/>
  <c r="EZ273" i="3"/>
  <c r="EZ372" i="3" s="1"/>
  <c r="EZ376" i="3" s="1"/>
  <c r="Q16" i="91"/>
  <c r="Q25" i="91" s="1"/>
  <c r="R10" i="91"/>
  <c r="FE273" i="3"/>
  <c r="FE292" i="3"/>
  <c r="EZ352" i="3"/>
  <c r="EU336" i="3" l="1"/>
  <c r="P25" i="91"/>
  <c r="P17" i="91"/>
  <c r="Q18" i="91"/>
  <c r="EZ286" i="3"/>
  <c r="EZ303" i="3" s="1"/>
  <c r="EZ311" i="3" s="1"/>
  <c r="EZ315" i="3" s="1"/>
  <c r="EZ275" i="3"/>
  <c r="EZ274" i="3"/>
  <c r="EZ385" i="3"/>
  <c r="Q17" i="91"/>
  <c r="S10" i="91"/>
  <c r="FE352" i="3"/>
  <c r="FE354" i="3" s="1"/>
  <c r="EZ354" i="3"/>
  <c r="FE385" i="3"/>
  <c r="FE286" i="3"/>
  <c r="FE303" i="3" s="1"/>
  <c r="FE311" i="3" s="1"/>
  <c r="FE315" i="3" s="1"/>
  <c r="FE372" i="3"/>
  <c r="FE376" i="3" s="1"/>
  <c r="FE275" i="3"/>
  <c r="FJ275" i="3" s="1"/>
  <c r="FE274" i="3"/>
  <c r="R13" i="91"/>
  <c r="R12" i="91"/>
  <c r="EZ276" i="3" l="1"/>
  <c r="FI275" i="3"/>
  <c r="EU262" i="3"/>
  <c r="EU261" i="3" s="1"/>
  <c r="EU259" i="3" s="1"/>
  <c r="E33" i="91"/>
  <c r="EU337" i="3"/>
  <c r="EU368" i="3"/>
  <c r="EU379" i="3" s="1"/>
  <c r="EU342" i="3"/>
  <c r="EU345" i="3" s="1"/>
  <c r="EU364" i="3" s="1"/>
  <c r="EZ288" i="3"/>
  <c r="EZ289" i="3" s="1"/>
  <c r="EZ290" i="3"/>
  <c r="EZ291" i="3" s="1"/>
  <c r="FU258" i="3"/>
  <c r="FH315" i="3"/>
  <c r="S13" i="91"/>
  <c r="S12" i="91"/>
  <c r="T10" i="91"/>
  <c r="FI273" i="3"/>
  <c r="FE288" i="3"/>
  <c r="FE276" i="3"/>
  <c r="R16" i="91"/>
  <c r="FE290" i="3"/>
  <c r="EU361" i="3" l="1"/>
  <c r="EU397" i="3"/>
  <c r="EZ320" i="3"/>
  <c r="EZ323" i="3" s="1"/>
  <c r="EZ328" i="3" s="1"/>
  <c r="EZ330" i="3" s="1"/>
  <c r="EZ332" i="3" s="1"/>
  <c r="FE289" i="3"/>
  <c r="U10" i="91"/>
  <c r="S16" i="91"/>
  <c r="R17" i="91"/>
  <c r="R25" i="91"/>
  <c r="R18" i="91"/>
  <c r="FE291" i="3"/>
  <c r="FE320" i="3"/>
  <c r="T12" i="91"/>
  <c r="T13" i="91"/>
  <c r="EU375" i="3"/>
  <c r="EU377" i="3" s="1"/>
  <c r="EU378" i="3"/>
  <c r="EZ399" i="3" l="1"/>
  <c r="EZ357" i="3"/>
  <c r="EZ359" i="3" s="1"/>
  <c r="T16" i="91"/>
  <c r="T25" i="91" s="1"/>
  <c r="FE399" i="3"/>
  <c r="FE323" i="3"/>
  <c r="FE328" i="3" s="1"/>
  <c r="FE330" i="3" s="1"/>
  <c r="S18" i="91"/>
  <c r="S25" i="91"/>
  <c r="S17" i="91"/>
  <c r="EZ336" i="3"/>
  <c r="FE331" i="3"/>
  <c r="EU380" i="3"/>
  <c r="U12" i="91"/>
  <c r="U13" i="91"/>
  <c r="V10" i="91"/>
  <c r="FE357" i="3" l="1"/>
  <c r="FE359" i="3" s="1"/>
  <c r="FE366" i="3" s="1"/>
  <c r="FE367" i="3" s="1"/>
  <c r="T18" i="91"/>
  <c r="T17" i="91"/>
  <c r="U16" i="91"/>
  <c r="U25" i="91" s="1"/>
  <c r="FE332" i="3"/>
  <c r="FE336" i="3" s="1"/>
  <c r="FE262" i="3" s="1"/>
  <c r="U17" i="91"/>
  <c r="U18" i="91"/>
  <c r="EZ366" i="3"/>
  <c r="EZ367" i="3" s="1"/>
  <c r="EZ381" i="3" s="1"/>
  <c r="EZ360" i="3"/>
  <c r="V12" i="91"/>
  <c r="V13" i="91"/>
  <c r="W10" i="91"/>
  <c r="EZ337" i="3"/>
  <c r="EZ262" i="3"/>
  <c r="EZ342" i="3"/>
  <c r="EZ345" i="3" s="1"/>
  <c r="EZ368" i="3"/>
  <c r="EZ379" i="3" s="1"/>
  <c r="FE360" i="3" l="1"/>
  <c r="FE368" i="3"/>
  <c r="FE379" i="3" s="1"/>
  <c r="FE337" i="3"/>
  <c r="FE342" i="3"/>
  <c r="FE345" i="3" s="1"/>
  <c r="V16" i="91"/>
  <c r="V17" i="91" s="1"/>
  <c r="EZ361" i="3"/>
  <c r="W12" i="91"/>
  <c r="W13" i="91"/>
  <c r="EZ397" i="3"/>
  <c r="EZ364" i="3"/>
  <c r="X10" i="91"/>
  <c r="FE261" i="3"/>
  <c r="FE259" i="3" s="1"/>
  <c r="EZ261" i="3"/>
  <c r="EZ259" i="3" s="1"/>
  <c r="FE381" i="3"/>
  <c r="FE361" i="3" l="1"/>
  <c r="V25" i="91"/>
  <c r="V18" i="91"/>
  <c r="FE364" i="3"/>
  <c r="FE378" i="3" s="1"/>
  <c r="FE397" i="3"/>
  <c r="W16" i="91"/>
  <c r="X13" i="91"/>
  <c r="X12" i="91"/>
  <c r="Y10" i="91"/>
  <c r="Z19" i="91"/>
  <c r="EZ378" i="3"/>
  <c r="EZ375" i="3"/>
  <c r="EZ377" i="3" s="1"/>
  <c r="FE375" i="3" l="1"/>
  <c r="FE377" i="3" s="1"/>
  <c r="FE380" i="3" s="1"/>
  <c r="EZ380" i="3"/>
  <c r="X16" i="91"/>
  <c r="X25" i="91" s="1"/>
  <c r="Y13" i="91"/>
  <c r="Y12" i="91"/>
  <c r="W18" i="91"/>
  <c r="W17" i="91"/>
  <c r="W25" i="91"/>
  <c r="X17" i="91" l="1"/>
  <c r="X18" i="91"/>
  <c r="Y16" i="91"/>
  <c r="E37" i="91" s="1"/>
  <c r="E30" i="91" l="1"/>
  <c r="Y25" i="91"/>
  <c r="E29" i="91" s="1"/>
  <c r="O32" i="91" s="1"/>
  <c r="O38" i="91" s="1"/>
  <c r="Y17" i="91"/>
  <c r="Y18" i="91"/>
  <c r="M32" i="91" l="1"/>
  <c r="M38" i="91" s="1"/>
  <c r="L31" i="91"/>
  <c r="L37" i="91" s="1"/>
  <c r="O31" i="91"/>
  <c r="O37" i="91" s="1"/>
  <c r="O33" i="91"/>
  <c r="O39" i="91" s="1"/>
  <c r="L33" i="91"/>
  <c r="L39" i="91" s="1"/>
  <c r="M31" i="91"/>
  <c r="M37" i="91" s="1"/>
  <c r="L32" i="91"/>
  <c r="L38" i="91" s="1"/>
  <c r="K33" i="91"/>
  <c r="K39" i="91" s="1"/>
  <c r="K31" i="91"/>
  <c r="K37" i="91" s="1"/>
  <c r="N31" i="91"/>
  <c r="N37" i="91" s="1"/>
  <c r="M33" i="91"/>
  <c r="M39" i="91" s="1"/>
  <c r="N33" i="91"/>
  <c r="N39" i="91" s="1"/>
  <c r="K32" i="91"/>
  <c r="K38" i="91" s="1"/>
  <c r="E31" i="91"/>
  <c r="E34" i="91" s="1"/>
  <c r="E36" i="91" s="1"/>
  <c r="N32" i="91"/>
  <c r="N38" i="91" s="1"/>
  <c r="J30" i="91" l="1"/>
  <c r="J36" i="91" l="1"/>
  <c r="FU259" i="3"/>
  <c r="FU260" i="3" s="1"/>
  <c r="FU262" i="3" l="1"/>
</calcChain>
</file>

<file path=xl/comments1.xml><?xml version="1.0" encoding="utf-8"?>
<comments xmlns="http://schemas.openxmlformats.org/spreadsheetml/2006/main">
  <authors>
    <author>A satisfied Microsoft Office user</author>
    <author>William Greene</author>
    <author>longsona</author>
    <author>J. Christopher Leshock</author>
    <author>himanshs</author>
    <author>Huang, Diane (Research)</author>
    <author>leshock</author>
    <author>vecchale</author>
    <author>diahuang</author>
    <author>Vecchio, Alexander (Research)</author>
    <author>Huang, Tracy (Research)</author>
    <author>Michael Manelli</author>
    <author>elizthys</author>
    <author>Chris Leshock</author>
    <author>manellim</author>
  </authors>
  <commentList>
    <comment ref="AF5" authorId="0">
      <text>
        <r>
          <rPr>
            <sz val="8"/>
            <color indexed="81"/>
            <rFont val="Tahoma"/>
            <family val="2"/>
          </rPr>
          <t>1H/95 had abnormally high export demand</t>
        </r>
      </text>
    </comment>
    <comment ref="AS5" authorId="0">
      <text>
        <r>
          <rPr>
            <sz val="8"/>
            <color indexed="81"/>
            <rFont val="Tahoma"/>
            <family val="2"/>
          </rPr>
          <t>11/97: Wilkinson said that CSX delivered coal will supplant some western coal at Consumer's Power and the TVA in the fourth quarter, but overall carloads will be flat.
Consumer's Power: 325K tons
TVA (Kentucky):     750K tons.</t>
        </r>
      </text>
    </comment>
    <comment ref="AV5" authorId="1">
      <text>
        <r>
          <rPr>
            <sz val="8"/>
            <color indexed="81"/>
            <rFont val="Tahoma"/>
            <family val="2"/>
          </rPr>
          <t xml:space="preserve">6/98: Reflects weakness in export coal.
</t>
        </r>
      </text>
    </comment>
    <comment ref="AW5" authorId="1">
      <text>
        <r>
          <rPr>
            <sz val="8"/>
            <color indexed="81"/>
            <rFont val="Tahoma"/>
            <family val="2"/>
          </rPr>
          <t>9/98: In July and August, export coal volumes were down 23% vs. 1997.  Domestic movements are up, but not as much as the company had hoped b/c of lower metcoal domestic demand as metal production was impacted by the GM strike.</t>
        </r>
      </text>
    </comment>
    <comment ref="CG5" authorId="2">
      <text>
        <r>
          <rPr>
            <b/>
            <sz val="8"/>
            <color indexed="81"/>
            <rFont val="Tahoma"/>
            <family val="2"/>
          </rPr>
          <t>longsona:</t>
        </r>
        <r>
          <rPr>
            <sz val="8"/>
            <color indexed="81"/>
            <rFont val="Tahoma"/>
            <family val="2"/>
          </rPr>
          <t xml:space="preserve">
1/06: Our Western coal volumes [in 2005] are up almost 60% on a year-over-year basis (most of our coal is primarily going to TVA). Most of that is coming off of the UP. It's coming mainly out of Wyoming, as well as some growth out of Colorado.  And most of it, not all of it, has been conversion from barge</t>
        </r>
      </text>
    </comment>
    <comment ref="CN5" authorId="2">
      <text>
        <r>
          <rPr>
            <b/>
            <sz val="8"/>
            <color indexed="81"/>
            <rFont val="Tahoma"/>
            <family val="2"/>
          </rPr>
          <t>longsona:</t>
        </r>
        <r>
          <rPr>
            <sz val="8"/>
            <color indexed="81"/>
            <rFont val="Tahoma"/>
            <family val="2"/>
          </rPr>
          <t xml:space="preserve">
utility inventories at target levels</t>
        </r>
      </text>
    </comment>
    <comment ref="CO5" authorId="2">
      <text>
        <r>
          <rPr>
            <b/>
            <sz val="8"/>
            <color indexed="81"/>
            <rFont val="Tahoma"/>
            <family val="2"/>
          </rPr>
          <t>longsona:</t>
        </r>
        <r>
          <rPr>
            <sz val="8"/>
            <color indexed="81"/>
            <rFont val="Tahoma"/>
            <family val="2"/>
          </rPr>
          <t xml:space="preserve">
utility down slightly, but export up 30%.  Tonnage up ~1%</t>
        </r>
      </text>
    </comment>
    <comment ref="CQ5" authorId="2">
      <text>
        <r>
          <rPr>
            <b/>
            <sz val="8"/>
            <color indexed="81"/>
            <rFont val="Tahoma"/>
            <family val="2"/>
          </rPr>
          <t>longsona:</t>
        </r>
        <r>
          <rPr>
            <sz val="8"/>
            <color indexed="81"/>
            <rFont val="Tahoma"/>
            <family val="2"/>
          </rPr>
          <t xml:space="preserve">
Strong exports offset weak utility.  Hurt by higher tons/car</t>
        </r>
      </text>
    </comment>
    <comment ref="BJ8" authorId="3">
      <text>
        <r>
          <rPr>
            <sz val="8"/>
            <color indexed="81"/>
            <rFont val="Tahoma"/>
            <family val="2"/>
          </rPr>
          <t>increased grain and soybean exports, and coversion of liquid sweetners from truck to rail</t>
        </r>
      </text>
    </comment>
    <comment ref="BO8" authorId="3">
      <text>
        <r>
          <rPr>
            <sz val="8"/>
            <color indexed="81"/>
            <rFont val="Tahoma"/>
            <family val="2"/>
          </rPr>
          <t xml:space="preserve">Agricultural products were down 8 percent due to a decline in export grain shipments. </t>
        </r>
      </text>
    </comment>
    <comment ref="CK8" authorId="2">
      <text>
        <r>
          <rPr>
            <b/>
            <sz val="8"/>
            <color indexed="81"/>
            <rFont val="Tahoma"/>
            <family val="2"/>
          </rPr>
          <t xml:space="preserve">longsona:
</t>
        </r>
        <r>
          <rPr>
            <sz val="8"/>
            <color indexed="81"/>
            <rFont val="Tahoma"/>
            <family val="2"/>
          </rPr>
          <t>solid increases in feed grain, soybean, exports and ethanol.  Product improvements and unit trains helped</t>
        </r>
      </text>
    </comment>
    <comment ref="BO9" authorId="3">
      <text>
        <r>
          <rPr>
            <sz val="8"/>
            <color indexed="81"/>
            <rFont val="Tahoma"/>
            <family val="2"/>
          </rPr>
          <t xml:space="preserve">Automotive volumes were up 2 percent versus last year, reflecting a 3 percent increase in North American auto production and continuing aggressive dealer incentive programs. Actual vehicle sales were in line with production, so dealer inventory levels continue to be at or close to normal. </t>
        </r>
      </text>
    </comment>
    <comment ref="CK9" authorId="2">
      <text>
        <r>
          <rPr>
            <b/>
            <sz val="8"/>
            <color indexed="81"/>
            <rFont val="Tahoma"/>
            <family val="2"/>
          </rPr>
          <t>longsona:</t>
        </r>
        <r>
          <rPr>
            <sz val="8"/>
            <color indexed="81"/>
            <rFont val="Tahoma"/>
            <family val="2"/>
          </rPr>
          <t xml:space="preserve">
lower light vehicle production, especially SUVs.  Hurt by higher gas prices</t>
        </r>
      </text>
    </comment>
    <comment ref="CN9" authorId="2">
      <text>
        <r>
          <rPr>
            <b/>
            <sz val="8"/>
            <color indexed="81"/>
            <rFont val="Tahoma"/>
            <family val="2"/>
          </rPr>
          <t>longsona:</t>
        </r>
        <r>
          <rPr>
            <sz val="8"/>
            <color indexed="81"/>
            <rFont val="Tahoma"/>
            <family val="2"/>
          </rPr>
          <t xml:space="preserve">
declining auto production, mostly SUVs
</t>
        </r>
      </text>
    </comment>
    <comment ref="CQ9" authorId="2">
      <text>
        <r>
          <rPr>
            <b/>
            <sz val="8"/>
            <color indexed="81"/>
            <rFont val="Tahoma"/>
            <family val="2"/>
          </rPr>
          <t>longsona:</t>
        </r>
        <r>
          <rPr>
            <sz val="8"/>
            <color indexed="81"/>
            <rFont val="Tahoma"/>
            <family val="2"/>
          </rPr>
          <t xml:space="preserve">
decline in production, plant closures, and lower vehicle sales on slowing economy and credit worries</t>
        </r>
      </text>
    </comment>
    <comment ref="BK10" authorId="3">
      <text>
        <r>
          <rPr>
            <sz val="8"/>
            <color indexed="81"/>
            <rFont val="Tahoma"/>
            <family val="2"/>
          </rPr>
          <t>could see shipments increase if Midwest farmers need to replenish flood damage fields</t>
        </r>
      </text>
    </comment>
    <comment ref="BO10" authorId="3">
      <text>
        <r>
          <rPr>
            <sz val="8"/>
            <color indexed="81"/>
            <rFont val="Tahoma"/>
            <family val="2"/>
          </rPr>
          <t>strong export markets and bone Valley production gains were offset by very weak potash volumes</t>
        </r>
      </text>
    </comment>
    <comment ref="CG10" authorId="2">
      <text>
        <r>
          <rPr>
            <b/>
            <sz val="8"/>
            <color indexed="81"/>
            <rFont val="Tahoma"/>
            <family val="2"/>
          </rPr>
          <t>longsona:</t>
        </r>
        <r>
          <rPr>
            <sz val="8"/>
            <color indexed="81"/>
            <rFont val="Tahoma"/>
            <family val="2"/>
          </rPr>
          <t xml:space="preserve">
1/06: We had a large phosphate customer cease operations in the Bone Valley that had lots of volume to the port, not the high revenues. 
- Hurricane-related plant closures and plant curtailments impacted volumes in our phosphates and fertilizers, in our chemicals, and in our cement markets.</t>
        </r>
      </text>
    </comment>
    <comment ref="CK10" authorId="2">
      <text>
        <r>
          <rPr>
            <b/>
            <sz val="8"/>
            <color indexed="81"/>
            <rFont val="Tahoma"/>
            <family val="2"/>
          </rPr>
          <t>longsona:</t>
        </r>
        <r>
          <rPr>
            <sz val="8"/>
            <color indexed="81"/>
            <rFont val="Tahoma"/>
            <family val="2"/>
          </rPr>
          <t xml:space="preserve">
Reduced short-haul export phosphate shipments due to lower international fert. Demand (recent closure of domestic phosphate plants)</t>
        </r>
      </text>
    </comment>
    <comment ref="CN10" authorId="2">
      <text>
        <r>
          <rPr>
            <b/>
            <sz val="8"/>
            <color indexed="81"/>
            <rFont val="Tahoma"/>
            <family val="2"/>
          </rPr>
          <t>longsona:</t>
        </r>
        <r>
          <rPr>
            <sz val="8"/>
            <color indexed="81"/>
            <rFont val="Tahoma"/>
            <family val="2"/>
          </rPr>
          <t xml:space="preserve">
increased fert shipments partially due to corn and ethanol demand</t>
        </r>
      </text>
    </comment>
    <comment ref="CO10" authorId="2">
      <text>
        <r>
          <rPr>
            <b/>
            <sz val="8"/>
            <color indexed="81"/>
            <rFont val="Tahoma"/>
            <family val="2"/>
          </rPr>
          <t>longsona:</t>
        </r>
        <r>
          <rPr>
            <sz val="8"/>
            <color indexed="81"/>
            <rFont val="Tahoma"/>
            <family val="2"/>
          </rPr>
          <t xml:space="preserve">
fertilizer shipments rose due in part to higher demand for corn from ethanol producers, these gains were more than offset by volume losses related to several phosphate plant closures.</t>
        </r>
      </text>
    </comment>
    <comment ref="BE11" authorId="4">
      <text>
        <r>
          <rPr>
            <b/>
            <sz val="8"/>
            <color indexed="81"/>
            <rFont val="Tahoma"/>
            <family val="2"/>
          </rPr>
          <t>himanshs:</t>
        </r>
        <r>
          <rPr>
            <sz val="8"/>
            <color indexed="81"/>
            <rFont val="Tahoma"/>
            <family val="2"/>
          </rPr>
          <t xml:space="preserve">
Balancing figure added to match the numbers. Company introduced new categories in 1Q03 but gave historical data from 2000.</t>
        </r>
      </text>
    </comment>
    <comment ref="BF11" authorId="4">
      <text>
        <r>
          <rPr>
            <b/>
            <sz val="8"/>
            <color indexed="81"/>
            <rFont val="Tahoma"/>
            <family val="2"/>
          </rPr>
          <t>himanshs:</t>
        </r>
        <r>
          <rPr>
            <sz val="8"/>
            <color indexed="81"/>
            <rFont val="Tahoma"/>
            <family val="2"/>
          </rPr>
          <t xml:space="preserve">
Balancing figure added to match the numbers. Company introduced new categories in 1Q03 but gave historical data from 2000.</t>
        </r>
      </text>
    </comment>
    <comment ref="BG11" authorId="4">
      <text>
        <r>
          <rPr>
            <b/>
            <sz val="8"/>
            <color indexed="81"/>
            <rFont val="Tahoma"/>
            <family val="2"/>
          </rPr>
          <t>himanshs:</t>
        </r>
        <r>
          <rPr>
            <sz val="8"/>
            <color indexed="81"/>
            <rFont val="Tahoma"/>
            <family val="2"/>
          </rPr>
          <t xml:space="preserve">
Balancing figure added to match the numbers. Company introduced new categories in 1Q03 but gave historical data from 2000.</t>
        </r>
      </text>
    </comment>
    <comment ref="BH11" authorId="4">
      <text>
        <r>
          <rPr>
            <b/>
            <sz val="8"/>
            <color indexed="81"/>
            <rFont val="Tahoma"/>
            <family val="2"/>
          </rPr>
          <t>himanshs:</t>
        </r>
        <r>
          <rPr>
            <sz val="8"/>
            <color indexed="81"/>
            <rFont val="Tahoma"/>
            <family val="2"/>
          </rPr>
          <t xml:space="preserve">
Balancing figure added to match the numbers. Company introduced new categories in 1Q03 but gave historical data from 2000.</t>
        </r>
      </text>
    </comment>
    <comment ref="BJ11" authorId="4">
      <text>
        <r>
          <rPr>
            <b/>
            <sz val="8"/>
            <color indexed="81"/>
            <rFont val="Tahoma"/>
            <family val="2"/>
          </rPr>
          <t>himanshs:</t>
        </r>
        <r>
          <rPr>
            <sz val="8"/>
            <color indexed="81"/>
            <rFont val="Tahoma"/>
            <family val="2"/>
          </rPr>
          <t xml:space="preserve">
Balancing figure added to match the numbers. Company introduced new categories in 1Q03 but gave historical data from 2000.</t>
        </r>
      </text>
    </comment>
    <comment ref="BK11" authorId="4">
      <text>
        <r>
          <rPr>
            <b/>
            <sz val="8"/>
            <color indexed="81"/>
            <rFont val="Tahoma"/>
            <family val="2"/>
          </rPr>
          <t>himanshs:</t>
        </r>
        <r>
          <rPr>
            <sz val="8"/>
            <color indexed="81"/>
            <rFont val="Tahoma"/>
            <family val="2"/>
          </rPr>
          <t xml:space="preserve">
Balancing figure added to match the numbers. Company introduced new categories in 1Q03 but gave historical data from 2000.</t>
        </r>
      </text>
    </comment>
    <comment ref="BL11" authorId="4">
      <text>
        <r>
          <rPr>
            <b/>
            <sz val="8"/>
            <color indexed="81"/>
            <rFont val="Tahoma"/>
            <family val="2"/>
          </rPr>
          <t>himanshs:</t>
        </r>
        <r>
          <rPr>
            <sz val="8"/>
            <color indexed="81"/>
            <rFont val="Tahoma"/>
            <family val="2"/>
          </rPr>
          <t xml:space="preserve">
Balancing figure added to match the numbers. Company introduced new categories in 1Q03 but gave historical data from 2000.</t>
        </r>
      </text>
    </comment>
    <comment ref="BM11" authorId="4">
      <text>
        <r>
          <rPr>
            <b/>
            <sz val="8"/>
            <color indexed="81"/>
            <rFont val="Tahoma"/>
            <family val="2"/>
          </rPr>
          <t>himanshs:</t>
        </r>
        <r>
          <rPr>
            <sz val="8"/>
            <color indexed="81"/>
            <rFont val="Tahoma"/>
            <family val="2"/>
          </rPr>
          <t xml:space="preserve">
Balancing figure added to match the numbers. Company introduced new categories in 1Q03 but gave historical data from 2000.</t>
        </r>
      </text>
    </comment>
    <comment ref="CG11" authorId="2">
      <text>
        <r>
          <rPr>
            <b/>
            <sz val="8"/>
            <color indexed="81"/>
            <rFont val="Tahoma"/>
            <family val="2"/>
          </rPr>
          <t>longsona:</t>
        </r>
        <r>
          <rPr>
            <sz val="8"/>
            <color indexed="81"/>
            <rFont val="Tahoma"/>
            <family val="2"/>
          </rPr>
          <t xml:space="preserve">
1/06: Impacted by softer demand</t>
        </r>
      </text>
    </comment>
    <comment ref="CK11" authorId="2">
      <text>
        <r>
          <rPr>
            <b/>
            <sz val="8"/>
            <color indexed="81"/>
            <rFont val="Tahoma"/>
            <family val="2"/>
          </rPr>
          <t>longsona:</t>
        </r>
        <r>
          <rPr>
            <sz val="8"/>
            <color indexed="81"/>
            <rFont val="Tahoma"/>
            <family val="2"/>
          </rPr>
          <t xml:space="preserve">
Building products hurt by residential housing.  Focus on profitability continued (i.e. shedding low margin traffic)</t>
        </r>
      </text>
    </comment>
    <comment ref="CK12" authorId="2">
      <text>
        <r>
          <rPr>
            <b/>
            <sz val="8"/>
            <color indexed="81"/>
            <rFont val="Tahoma"/>
            <family val="2"/>
          </rPr>
          <t>longsona:</t>
        </r>
        <r>
          <rPr>
            <sz val="8"/>
            <color indexed="81"/>
            <rFont val="Tahoma"/>
            <family val="2"/>
          </rPr>
          <t xml:space="preserve">
more shipments of aggregates and waste.  Housing and highway construction still strong in many hurricane affected markets</t>
        </r>
      </text>
    </comment>
    <comment ref="CN12" authorId="2">
      <text>
        <r>
          <rPr>
            <b/>
            <sz val="8"/>
            <color indexed="81"/>
            <rFont val="Tahoma"/>
            <family val="2"/>
          </rPr>
          <t>longsona:</t>
        </r>
        <r>
          <rPr>
            <sz val="8"/>
            <color indexed="81"/>
            <rFont val="Tahoma"/>
            <family val="2"/>
          </rPr>
          <t xml:space="preserve">
lower residential construction hurt rocks and minerals</t>
        </r>
      </text>
    </comment>
    <comment ref="CK16" authorId="2">
      <text>
        <r>
          <rPr>
            <b/>
            <sz val="8"/>
            <color indexed="81"/>
            <rFont val="Tahoma"/>
            <family val="2"/>
          </rPr>
          <t>longsona:</t>
        </r>
        <r>
          <rPr>
            <sz val="8"/>
            <color indexed="81"/>
            <rFont val="Tahoma"/>
            <family val="2"/>
          </rPr>
          <t xml:space="preserve">
continued demand for pipe used in drilling/pipelines and metals used in commercial construction.  Service improvements led to better utilization</t>
        </r>
      </text>
    </comment>
    <comment ref="CO16" authorId="2">
      <text>
        <r>
          <rPr>
            <b/>
            <sz val="8"/>
            <color indexed="81"/>
            <rFont val="Tahoma"/>
            <family val="2"/>
          </rPr>
          <t>longsona:</t>
        </r>
        <r>
          <rPr>
            <sz val="8"/>
            <color indexed="81"/>
            <rFont val="Tahoma"/>
            <family val="2"/>
          </rPr>
          <t xml:space="preserve">
lower steel production due to auto and housing weakness partially offset by steel exports</t>
        </r>
      </text>
    </comment>
    <comment ref="CQ16" authorId="2">
      <text>
        <r>
          <rPr>
            <b/>
            <sz val="8"/>
            <color indexed="81"/>
            <rFont val="Tahoma"/>
            <family val="2"/>
          </rPr>
          <t>longsona:</t>
        </r>
        <r>
          <rPr>
            <sz val="8"/>
            <color indexed="81"/>
            <rFont val="Tahoma"/>
            <family val="2"/>
          </rPr>
          <t xml:space="preserve">
lower steel production from weakness in autos</t>
        </r>
      </text>
    </comment>
    <comment ref="CG19" authorId="2">
      <text>
        <r>
          <rPr>
            <b/>
            <sz val="8"/>
            <color indexed="81"/>
            <rFont val="Tahoma"/>
            <family val="2"/>
          </rPr>
          <t>longsona:</t>
        </r>
        <r>
          <rPr>
            <sz val="8"/>
            <color indexed="81"/>
            <rFont val="Tahoma"/>
            <family val="2"/>
          </rPr>
          <t xml:space="preserve">
1/06: Hurricane-related plant closures and plant curtailments impacted volumes in our phosphates and fertilizers, in our chemicals, and in our cement markets.</t>
        </r>
      </text>
    </comment>
    <comment ref="CK19" authorId="2">
      <text>
        <r>
          <rPr>
            <b/>
            <sz val="8"/>
            <color indexed="81"/>
            <rFont val="Tahoma"/>
            <family val="2"/>
          </rPr>
          <t>longsona:</t>
        </r>
        <r>
          <rPr>
            <sz val="8"/>
            <color indexed="81"/>
            <rFont val="Tahoma"/>
            <family val="2"/>
          </rPr>
          <t xml:space="preserve">
strength in plastics and liquid petroleum and Katrina comps</t>
        </r>
      </text>
    </comment>
    <comment ref="CQ19" authorId="2">
      <text>
        <r>
          <rPr>
            <b/>
            <sz val="8"/>
            <color indexed="81"/>
            <rFont val="Tahoma"/>
            <family val="2"/>
          </rPr>
          <t>longsona:</t>
        </r>
        <r>
          <rPr>
            <sz val="8"/>
            <color indexed="81"/>
            <rFont val="Tahoma"/>
            <family val="2"/>
          </rPr>
          <t xml:space="preserve">
Weakness in propane from slow start to heating season</t>
        </r>
      </text>
    </comment>
    <comment ref="CG22" authorId="2">
      <text>
        <r>
          <rPr>
            <b/>
            <sz val="8"/>
            <color indexed="81"/>
            <rFont val="Tahoma"/>
            <family val="2"/>
          </rPr>
          <t>longsona:</t>
        </r>
        <r>
          <rPr>
            <sz val="8"/>
            <color indexed="81"/>
            <rFont val="Tahoma"/>
            <family val="2"/>
          </rPr>
          <t xml:space="preserve">
1/06: Food and consumer volume was unfavorable due to a cycling in shipments of building products when compared to the strong hurricane recovery levels that we experienced in Florida in 2004.</t>
        </r>
      </text>
    </comment>
    <comment ref="CK22" authorId="2">
      <text>
        <r>
          <rPr>
            <b/>
            <sz val="8"/>
            <color indexed="81"/>
            <rFont val="Tahoma"/>
            <family val="2"/>
          </rPr>
          <t>longsona:</t>
        </r>
        <r>
          <rPr>
            <sz val="8"/>
            <color indexed="81"/>
            <rFont val="Tahoma"/>
            <family val="2"/>
          </rPr>
          <t xml:space="preserve">
soft in building products and perishables and appliances.  Offset by more alcohol, rice, and beans.</t>
        </r>
      </text>
    </comment>
    <comment ref="CQ22" authorId="2">
      <text>
        <r>
          <rPr>
            <b/>
            <sz val="8"/>
            <color indexed="81"/>
            <rFont val="Tahoma"/>
            <family val="2"/>
          </rPr>
          <t>longsona:</t>
        </r>
        <r>
          <rPr>
            <sz val="8"/>
            <color indexed="81"/>
            <rFont val="Tahoma"/>
            <family val="2"/>
          </rPr>
          <t xml:space="preserve">
weakness in building products and reduced shipments of transportation equip.</t>
        </r>
      </text>
    </comment>
    <comment ref="BJ30" authorId="3">
      <text>
        <r>
          <rPr>
            <sz val="8"/>
            <color indexed="81"/>
            <rFont val="Tahoma"/>
            <family val="2"/>
          </rPr>
          <t>increased grain and soybean exports, and coversion of liquid sweetners from truck to rail</t>
        </r>
      </text>
    </comment>
    <comment ref="BO30" authorId="3">
      <text>
        <r>
          <rPr>
            <sz val="8"/>
            <color indexed="81"/>
            <rFont val="Tahoma"/>
            <family val="2"/>
          </rPr>
          <t xml:space="preserve">Agricultural products were down 8 percent due to a decline in export grain shipments. </t>
        </r>
      </text>
    </comment>
    <comment ref="CK30" authorId="2">
      <text>
        <r>
          <rPr>
            <b/>
            <sz val="8"/>
            <color indexed="81"/>
            <rFont val="Tahoma"/>
            <family val="2"/>
          </rPr>
          <t xml:space="preserve">longsona:
</t>
        </r>
        <r>
          <rPr>
            <sz val="8"/>
            <color indexed="81"/>
            <rFont val="Tahoma"/>
            <family val="2"/>
          </rPr>
          <t>solid increases in feed grain, soybean, exports and ethanol.  Product improvements and unit trains helped</t>
        </r>
      </text>
    </comment>
    <comment ref="BO31" authorId="3">
      <text>
        <r>
          <rPr>
            <sz val="8"/>
            <color indexed="81"/>
            <rFont val="Tahoma"/>
            <family val="2"/>
          </rPr>
          <t xml:space="preserve">Automotive volumes were up 2 percent versus last year, reflecting a 3 percent increase in North American auto production and continuing aggressive dealer incentive programs. Actual vehicle sales were in line with production, so dealer inventory levels continue to be at or close to normal. </t>
        </r>
      </text>
    </comment>
    <comment ref="CK31" authorId="2">
      <text>
        <r>
          <rPr>
            <b/>
            <sz val="8"/>
            <color indexed="81"/>
            <rFont val="Tahoma"/>
            <family val="2"/>
          </rPr>
          <t>longsona:</t>
        </r>
        <r>
          <rPr>
            <sz val="8"/>
            <color indexed="81"/>
            <rFont val="Tahoma"/>
            <family val="2"/>
          </rPr>
          <t xml:space="preserve">
lower light vehicle production, especially SUVs.  Hurt by higher gas prices</t>
        </r>
      </text>
    </comment>
    <comment ref="CN31" authorId="2">
      <text>
        <r>
          <rPr>
            <b/>
            <sz val="8"/>
            <color indexed="81"/>
            <rFont val="Tahoma"/>
            <family val="2"/>
          </rPr>
          <t>longsona:</t>
        </r>
        <r>
          <rPr>
            <sz val="8"/>
            <color indexed="81"/>
            <rFont val="Tahoma"/>
            <family val="2"/>
          </rPr>
          <t xml:space="preserve">
declining auto production, mostly SUVs
</t>
        </r>
      </text>
    </comment>
    <comment ref="CQ31" authorId="2">
      <text>
        <r>
          <rPr>
            <b/>
            <sz val="8"/>
            <color indexed="81"/>
            <rFont val="Tahoma"/>
            <family val="2"/>
          </rPr>
          <t>longsona:</t>
        </r>
        <r>
          <rPr>
            <sz val="8"/>
            <color indexed="81"/>
            <rFont val="Tahoma"/>
            <family val="2"/>
          </rPr>
          <t xml:space="preserve">
decline in production, plant closures, and lower vehicle sales on slowing economy and credit worries</t>
        </r>
      </text>
    </comment>
    <comment ref="AF32" authorId="0">
      <text>
        <r>
          <rPr>
            <sz val="8"/>
            <color indexed="81"/>
            <rFont val="Tahoma"/>
            <family val="2"/>
          </rPr>
          <t>1H/95 had abnormally high export demand</t>
        </r>
      </text>
    </comment>
    <comment ref="AS32" authorId="0">
      <text>
        <r>
          <rPr>
            <sz val="8"/>
            <color indexed="81"/>
            <rFont val="Tahoma"/>
            <family val="2"/>
          </rPr>
          <t>11/97: Wilkinson said that CSX delivered coal will supplant some western coal at Consumer's Power and the TVA in the fourth quarter, but overall carloads will be flat.
Consumer's Power: 325K tons
TVA (Kentucky):     750K tons.</t>
        </r>
      </text>
    </comment>
    <comment ref="AV32" authorId="1">
      <text>
        <r>
          <rPr>
            <sz val="8"/>
            <color indexed="81"/>
            <rFont val="Tahoma"/>
            <family val="2"/>
          </rPr>
          <t xml:space="preserve">6/98: Reflects weakness in export coal.
</t>
        </r>
      </text>
    </comment>
    <comment ref="AW32" authorId="1">
      <text>
        <r>
          <rPr>
            <sz val="8"/>
            <color indexed="81"/>
            <rFont val="Tahoma"/>
            <family val="2"/>
          </rPr>
          <t>9/98: In July and August, export coal volumes were down 23% vs. 1997.  Domestic movements are up, but not as much as the company had hoped b/c of lower metcoal domestic demand as metal production was impacted by the GM strike.</t>
        </r>
      </text>
    </comment>
    <comment ref="CG32" authorId="2">
      <text>
        <r>
          <rPr>
            <b/>
            <sz val="8"/>
            <color indexed="81"/>
            <rFont val="Tahoma"/>
            <family val="2"/>
          </rPr>
          <t>longsona:</t>
        </r>
        <r>
          <rPr>
            <sz val="8"/>
            <color indexed="81"/>
            <rFont val="Tahoma"/>
            <family val="2"/>
          </rPr>
          <t xml:space="preserve">
1/06: Our Western coal volumes [in 2005] are up almost 60% on a year-over-year basis (most of our coal is primarily going to TVA). Most of that is coming off of the UP. It's coming mainly out of Wyoming, as well as some growth out of Colorado.  And most of it, not all of it, has been conversion from barge</t>
        </r>
      </text>
    </comment>
    <comment ref="CN32" authorId="2">
      <text>
        <r>
          <rPr>
            <b/>
            <sz val="8"/>
            <color indexed="81"/>
            <rFont val="Tahoma"/>
            <family val="2"/>
          </rPr>
          <t>longsona:</t>
        </r>
        <r>
          <rPr>
            <sz val="8"/>
            <color indexed="81"/>
            <rFont val="Tahoma"/>
            <family val="2"/>
          </rPr>
          <t xml:space="preserve">
utility inventories at target levels</t>
        </r>
      </text>
    </comment>
    <comment ref="CO32" authorId="2">
      <text>
        <r>
          <rPr>
            <b/>
            <sz val="8"/>
            <color indexed="81"/>
            <rFont val="Tahoma"/>
            <family val="2"/>
          </rPr>
          <t>longsona:</t>
        </r>
        <r>
          <rPr>
            <sz val="8"/>
            <color indexed="81"/>
            <rFont val="Tahoma"/>
            <family val="2"/>
          </rPr>
          <t xml:space="preserve">
utility down slightly, but export up 30%.  Tonnage up ~1%</t>
        </r>
      </text>
    </comment>
    <comment ref="CQ32" authorId="2">
      <text>
        <r>
          <rPr>
            <b/>
            <sz val="8"/>
            <color indexed="81"/>
            <rFont val="Tahoma"/>
            <family val="2"/>
          </rPr>
          <t>longsona:</t>
        </r>
        <r>
          <rPr>
            <sz val="8"/>
            <color indexed="81"/>
            <rFont val="Tahoma"/>
            <family val="2"/>
          </rPr>
          <t xml:space="preserve">
Strong exports offset weak utility.  Hurt by higher tons/car</t>
        </r>
      </text>
    </comment>
    <comment ref="EJ32" authorId="5">
      <text>
        <r>
          <rPr>
            <b/>
            <sz val="9"/>
            <color indexed="81"/>
            <rFont val="Tahoma"/>
            <family val="2"/>
          </rPr>
          <t>Huang, Diane (Research):</t>
        </r>
        <r>
          <rPr>
            <sz val="9"/>
            <color indexed="81"/>
            <rFont val="Tahoma"/>
            <family val="2"/>
          </rPr>
          <t xml:space="preserve">
Coal +3% on 13 wks</t>
        </r>
      </text>
    </comment>
    <comment ref="BK34" authorId="3">
      <text>
        <r>
          <rPr>
            <sz val="8"/>
            <color indexed="81"/>
            <rFont val="Tahoma"/>
            <family val="2"/>
          </rPr>
          <t>could see shipments increase if Midwest farmers need to replenish flood damage fields</t>
        </r>
      </text>
    </comment>
    <comment ref="BO34" authorId="3">
      <text>
        <r>
          <rPr>
            <sz val="8"/>
            <color indexed="81"/>
            <rFont val="Tahoma"/>
            <family val="2"/>
          </rPr>
          <t>strong export markets and bone Valley production gains were offset by very weak potash volumes</t>
        </r>
      </text>
    </comment>
    <comment ref="CG34" authorId="2">
      <text>
        <r>
          <rPr>
            <b/>
            <sz val="8"/>
            <color indexed="81"/>
            <rFont val="Tahoma"/>
            <family val="2"/>
          </rPr>
          <t>longsona:</t>
        </r>
        <r>
          <rPr>
            <sz val="8"/>
            <color indexed="81"/>
            <rFont val="Tahoma"/>
            <family val="2"/>
          </rPr>
          <t xml:space="preserve">
1/06: We had a large phosphate customer cease operations in the Bone Valley that had lots of volume to the port, not the high revenues. 
- Hurricane-related plant closures and plant curtailments impacted volumes in our phosphates and fertilizers, in our chemicals, and in our cement markets.</t>
        </r>
      </text>
    </comment>
    <comment ref="CK34" authorId="2">
      <text>
        <r>
          <rPr>
            <b/>
            <sz val="8"/>
            <color indexed="81"/>
            <rFont val="Tahoma"/>
            <family val="2"/>
          </rPr>
          <t>longsona:</t>
        </r>
        <r>
          <rPr>
            <sz val="8"/>
            <color indexed="81"/>
            <rFont val="Tahoma"/>
            <family val="2"/>
          </rPr>
          <t xml:space="preserve">
Reduced short-haul export phosphate shipments due to lower international fert. Demand (recent closure of domestic phosphate plants)</t>
        </r>
      </text>
    </comment>
    <comment ref="CN34" authorId="2">
      <text>
        <r>
          <rPr>
            <b/>
            <sz val="8"/>
            <color indexed="81"/>
            <rFont val="Tahoma"/>
            <family val="2"/>
          </rPr>
          <t>longsona:</t>
        </r>
        <r>
          <rPr>
            <sz val="8"/>
            <color indexed="81"/>
            <rFont val="Tahoma"/>
            <family val="2"/>
          </rPr>
          <t xml:space="preserve">
increased fert shipments partially due to corn and ethanol demand</t>
        </r>
      </text>
    </comment>
    <comment ref="CO34" authorId="2">
      <text>
        <r>
          <rPr>
            <b/>
            <sz val="8"/>
            <color indexed="81"/>
            <rFont val="Tahoma"/>
            <family val="2"/>
          </rPr>
          <t>longsona:</t>
        </r>
        <r>
          <rPr>
            <sz val="8"/>
            <color indexed="81"/>
            <rFont val="Tahoma"/>
            <family val="2"/>
          </rPr>
          <t xml:space="preserve">
fertilizer shipments rose due in part to higher demand for corn from ethanol producers, these gains were more than offset by volume losses related to several phosphate plant closures.</t>
        </r>
      </text>
    </comment>
    <comment ref="BE35" authorId="4">
      <text>
        <r>
          <rPr>
            <b/>
            <sz val="8"/>
            <color indexed="81"/>
            <rFont val="Tahoma"/>
            <family val="2"/>
          </rPr>
          <t>himanshs:</t>
        </r>
        <r>
          <rPr>
            <sz val="8"/>
            <color indexed="81"/>
            <rFont val="Tahoma"/>
            <family val="2"/>
          </rPr>
          <t xml:space="preserve">
Balancing figure added to match the numbers. Company introduced new categories in 1Q03 but gave historical data from 2000.</t>
        </r>
      </text>
    </comment>
    <comment ref="BF35" authorId="4">
      <text>
        <r>
          <rPr>
            <b/>
            <sz val="8"/>
            <color indexed="81"/>
            <rFont val="Tahoma"/>
            <family val="2"/>
          </rPr>
          <t>himanshs:</t>
        </r>
        <r>
          <rPr>
            <sz val="8"/>
            <color indexed="81"/>
            <rFont val="Tahoma"/>
            <family val="2"/>
          </rPr>
          <t xml:space="preserve">
Balancing figure added to match the numbers. Company introduced new categories in 1Q03 but gave historical data from 2000.</t>
        </r>
      </text>
    </comment>
    <comment ref="BG35" authorId="4">
      <text>
        <r>
          <rPr>
            <b/>
            <sz val="8"/>
            <color indexed="81"/>
            <rFont val="Tahoma"/>
            <family val="2"/>
          </rPr>
          <t>himanshs:</t>
        </r>
        <r>
          <rPr>
            <sz val="8"/>
            <color indexed="81"/>
            <rFont val="Tahoma"/>
            <family val="2"/>
          </rPr>
          <t xml:space="preserve">
Balancing figure added to match the numbers. Company introduced new categories in 1Q03 but gave historical data from 2000.</t>
        </r>
      </text>
    </comment>
    <comment ref="BH35" authorId="4">
      <text>
        <r>
          <rPr>
            <b/>
            <sz val="8"/>
            <color indexed="81"/>
            <rFont val="Tahoma"/>
            <family val="2"/>
          </rPr>
          <t>himanshs:</t>
        </r>
        <r>
          <rPr>
            <sz val="8"/>
            <color indexed="81"/>
            <rFont val="Tahoma"/>
            <family val="2"/>
          </rPr>
          <t xml:space="preserve">
Balancing figure added to match the numbers. Company introduced new categories in 1Q03 but gave historical data from 2000.</t>
        </r>
      </text>
    </comment>
    <comment ref="BJ35" authorId="4">
      <text>
        <r>
          <rPr>
            <b/>
            <sz val="8"/>
            <color indexed="81"/>
            <rFont val="Tahoma"/>
            <family val="2"/>
          </rPr>
          <t>himanshs:</t>
        </r>
        <r>
          <rPr>
            <sz val="8"/>
            <color indexed="81"/>
            <rFont val="Tahoma"/>
            <family val="2"/>
          </rPr>
          <t xml:space="preserve">
Balancing figure added to match the numbers. Company introduced new categories in 1Q03 but gave historical data from 2000.</t>
        </r>
      </text>
    </comment>
    <comment ref="BK35" authorId="4">
      <text>
        <r>
          <rPr>
            <b/>
            <sz val="8"/>
            <color indexed="81"/>
            <rFont val="Tahoma"/>
            <family val="2"/>
          </rPr>
          <t>himanshs:</t>
        </r>
        <r>
          <rPr>
            <sz val="8"/>
            <color indexed="81"/>
            <rFont val="Tahoma"/>
            <family val="2"/>
          </rPr>
          <t xml:space="preserve">
Balancing figure added to match the numbers. Company introduced new categories in 1Q03 but gave historical data from 2000.</t>
        </r>
      </text>
    </comment>
    <comment ref="BL35" authorId="4">
      <text>
        <r>
          <rPr>
            <b/>
            <sz val="8"/>
            <color indexed="81"/>
            <rFont val="Tahoma"/>
            <family val="2"/>
          </rPr>
          <t>himanshs:</t>
        </r>
        <r>
          <rPr>
            <sz val="8"/>
            <color indexed="81"/>
            <rFont val="Tahoma"/>
            <family val="2"/>
          </rPr>
          <t xml:space="preserve">
Balancing figure added to match the numbers. Company introduced new categories in 1Q03 but gave historical data from 2000.</t>
        </r>
      </text>
    </comment>
    <comment ref="BM35" authorId="4">
      <text>
        <r>
          <rPr>
            <b/>
            <sz val="8"/>
            <color indexed="81"/>
            <rFont val="Tahoma"/>
            <family val="2"/>
          </rPr>
          <t>himanshs:</t>
        </r>
        <r>
          <rPr>
            <sz val="8"/>
            <color indexed="81"/>
            <rFont val="Tahoma"/>
            <family val="2"/>
          </rPr>
          <t xml:space="preserve">
Balancing figure added to match the numbers. Company introduced new categories in 1Q03 but gave historical data from 2000.</t>
        </r>
      </text>
    </comment>
    <comment ref="CG35" authorId="2">
      <text>
        <r>
          <rPr>
            <b/>
            <sz val="8"/>
            <color indexed="81"/>
            <rFont val="Tahoma"/>
            <family val="2"/>
          </rPr>
          <t>longsona:</t>
        </r>
        <r>
          <rPr>
            <sz val="8"/>
            <color indexed="81"/>
            <rFont val="Tahoma"/>
            <family val="2"/>
          </rPr>
          <t xml:space="preserve">
1/06: Impacted by softer demand</t>
        </r>
      </text>
    </comment>
    <comment ref="CK35" authorId="2">
      <text>
        <r>
          <rPr>
            <b/>
            <sz val="8"/>
            <color indexed="81"/>
            <rFont val="Tahoma"/>
            <family val="2"/>
          </rPr>
          <t>longsona:</t>
        </r>
        <r>
          <rPr>
            <sz val="8"/>
            <color indexed="81"/>
            <rFont val="Tahoma"/>
            <family val="2"/>
          </rPr>
          <t xml:space="preserve">
Building products hurt by residential housing.  Focus on profitability continued (i.e. shedding low margin traffic)</t>
        </r>
      </text>
    </comment>
    <comment ref="CK36" authorId="2">
      <text>
        <r>
          <rPr>
            <b/>
            <sz val="8"/>
            <color indexed="81"/>
            <rFont val="Tahoma"/>
            <family val="2"/>
          </rPr>
          <t>longsona:</t>
        </r>
        <r>
          <rPr>
            <sz val="8"/>
            <color indexed="81"/>
            <rFont val="Tahoma"/>
            <family val="2"/>
          </rPr>
          <t xml:space="preserve">
more shipments of aggregates and waste.  Housing and highway construction still strong in many hurricane affected markets</t>
        </r>
      </text>
    </comment>
    <comment ref="CN36" authorId="2">
      <text>
        <r>
          <rPr>
            <b/>
            <sz val="8"/>
            <color indexed="81"/>
            <rFont val="Tahoma"/>
            <family val="2"/>
          </rPr>
          <t>longsona:</t>
        </r>
        <r>
          <rPr>
            <sz val="8"/>
            <color indexed="81"/>
            <rFont val="Tahoma"/>
            <family val="2"/>
          </rPr>
          <t xml:space="preserve">
lower residential construction hurt rocks and minerals</t>
        </r>
      </text>
    </comment>
    <comment ref="CK37" authorId="2">
      <text>
        <r>
          <rPr>
            <b/>
            <sz val="8"/>
            <color indexed="81"/>
            <rFont val="Tahoma"/>
            <family val="2"/>
          </rPr>
          <t>longsona:</t>
        </r>
        <r>
          <rPr>
            <sz val="8"/>
            <color indexed="81"/>
            <rFont val="Tahoma"/>
            <family val="2"/>
          </rPr>
          <t xml:space="preserve">
continued demand for pipe used in drilling/pipelines and metals used in commercial construction.  Service improvements led to better utilization</t>
        </r>
      </text>
    </comment>
    <comment ref="CO37" authorId="2">
      <text>
        <r>
          <rPr>
            <b/>
            <sz val="8"/>
            <color indexed="81"/>
            <rFont val="Tahoma"/>
            <family val="2"/>
          </rPr>
          <t>longsona:</t>
        </r>
        <r>
          <rPr>
            <sz val="8"/>
            <color indexed="81"/>
            <rFont val="Tahoma"/>
            <family val="2"/>
          </rPr>
          <t xml:space="preserve">
lower steel production due to auto and housing weakness partially offset by steel exports</t>
        </r>
      </text>
    </comment>
    <comment ref="CQ37" authorId="2">
      <text>
        <r>
          <rPr>
            <b/>
            <sz val="8"/>
            <color indexed="81"/>
            <rFont val="Tahoma"/>
            <family val="2"/>
          </rPr>
          <t>longsona:</t>
        </r>
        <r>
          <rPr>
            <sz val="8"/>
            <color indexed="81"/>
            <rFont val="Tahoma"/>
            <family val="2"/>
          </rPr>
          <t xml:space="preserve">
lower steel production from weakness in autos</t>
        </r>
      </text>
    </comment>
    <comment ref="CG38" authorId="2">
      <text>
        <r>
          <rPr>
            <b/>
            <sz val="8"/>
            <color indexed="81"/>
            <rFont val="Tahoma"/>
            <family val="2"/>
          </rPr>
          <t>longsona:</t>
        </r>
        <r>
          <rPr>
            <sz val="8"/>
            <color indexed="81"/>
            <rFont val="Tahoma"/>
            <family val="2"/>
          </rPr>
          <t xml:space="preserve">
1/06: Hurricane-related plant closures and plant curtailments impacted volumes in our phosphates and fertilizers, in our chemicals, and in our cement markets.</t>
        </r>
      </text>
    </comment>
    <comment ref="CK38" authorId="2">
      <text>
        <r>
          <rPr>
            <b/>
            <sz val="8"/>
            <color indexed="81"/>
            <rFont val="Tahoma"/>
            <family val="2"/>
          </rPr>
          <t>longsona:</t>
        </r>
        <r>
          <rPr>
            <sz val="8"/>
            <color indexed="81"/>
            <rFont val="Tahoma"/>
            <family val="2"/>
          </rPr>
          <t xml:space="preserve">
strength in plastics and liquid petroleum and Katrina comps</t>
        </r>
      </text>
    </comment>
    <comment ref="CQ38" authorId="2">
      <text>
        <r>
          <rPr>
            <b/>
            <sz val="8"/>
            <color indexed="81"/>
            <rFont val="Tahoma"/>
            <family val="2"/>
          </rPr>
          <t>longsona:</t>
        </r>
        <r>
          <rPr>
            <sz val="8"/>
            <color indexed="81"/>
            <rFont val="Tahoma"/>
            <family val="2"/>
          </rPr>
          <t xml:space="preserve">
Weakness in propane from slow start to heating season</t>
        </r>
      </text>
    </comment>
    <comment ref="CG39" authorId="2">
      <text>
        <r>
          <rPr>
            <b/>
            <sz val="8"/>
            <color indexed="81"/>
            <rFont val="Tahoma"/>
            <family val="2"/>
          </rPr>
          <t>longsona:</t>
        </r>
        <r>
          <rPr>
            <sz val="8"/>
            <color indexed="81"/>
            <rFont val="Tahoma"/>
            <family val="2"/>
          </rPr>
          <t xml:space="preserve">
1/06: Food and consumer volume was unfavorable due to a cycling in shipments of building products when compared to the strong hurricane recovery levels that we experienced in Florida in 2004.</t>
        </r>
      </text>
    </comment>
    <comment ref="CK39" authorId="2">
      <text>
        <r>
          <rPr>
            <b/>
            <sz val="8"/>
            <color indexed="81"/>
            <rFont val="Tahoma"/>
            <family val="2"/>
          </rPr>
          <t>longsona:</t>
        </r>
        <r>
          <rPr>
            <sz val="8"/>
            <color indexed="81"/>
            <rFont val="Tahoma"/>
            <family val="2"/>
          </rPr>
          <t xml:space="preserve">
soft in building products and perishables and appliances.  Offset by more alcohol, rice, and beans.</t>
        </r>
      </text>
    </comment>
    <comment ref="CQ39" authorId="2">
      <text>
        <r>
          <rPr>
            <b/>
            <sz val="8"/>
            <color indexed="81"/>
            <rFont val="Tahoma"/>
            <family val="2"/>
          </rPr>
          <t>longsona:</t>
        </r>
        <r>
          <rPr>
            <sz val="8"/>
            <color indexed="81"/>
            <rFont val="Tahoma"/>
            <family val="2"/>
          </rPr>
          <t xml:space="preserve">
weakness in building products and reduced shipments of transportation equip.</t>
        </r>
      </text>
    </comment>
    <comment ref="A60" authorId="0">
      <text>
        <r>
          <rPr>
            <sz val="8"/>
            <color indexed="81"/>
            <rFont val="Tahoma"/>
            <family val="2"/>
          </rPr>
          <t>Coal is 60%-65% of CSF -- 
per MacDiarmid 6/16/97</t>
        </r>
      </text>
    </comment>
    <comment ref="AY60" authorId="0">
      <text>
        <r>
          <rPr>
            <sz val="8"/>
            <color indexed="81"/>
            <rFont val="Tahoma"/>
            <family val="2"/>
          </rPr>
          <t>11/97: Company hopes to have revenue up 5%, but rates may face pressure during re-negotiation of coal contracts.</t>
        </r>
      </text>
    </comment>
    <comment ref="BQ60" authorId="6">
      <text>
        <r>
          <rPr>
            <sz val="8"/>
            <color indexed="81"/>
            <rFont val="Tahoma"/>
            <family val="2"/>
          </rPr>
          <t>7/02 mgmt expects 2H02 coal revenues to fall $5mm</t>
        </r>
      </text>
    </comment>
    <comment ref="CE60" authorId="2">
      <text>
        <r>
          <rPr>
            <b/>
            <sz val="8"/>
            <color indexed="81"/>
            <rFont val="Tahoma"/>
            <family val="2"/>
          </rPr>
          <t>longsona:</t>
        </r>
        <r>
          <rPr>
            <sz val="8"/>
            <color indexed="81"/>
            <rFont val="Tahoma"/>
            <family val="2"/>
          </rPr>
          <t xml:space="preserve">
During 1H06, EVC was 14.7% of total rev and 9.2% of A/R</t>
        </r>
      </text>
    </comment>
    <comment ref="CJ60" authorId="2">
      <text>
        <r>
          <rPr>
            <b/>
            <sz val="8"/>
            <color indexed="81"/>
            <rFont val="Tahoma"/>
            <family val="2"/>
          </rPr>
          <t>longsona:</t>
        </r>
        <r>
          <rPr>
            <sz val="8"/>
            <color indexed="81"/>
            <rFont val="Tahoma"/>
            <family val="2"/>
          </rPr>
          <t xml:space="preserve">
During 1H06, EVC was 12.1% of total rev and 5.8% of A/R</t>
        </r>
      </text>
    </comment>
    <comment ref="A74" authorId="0">
      <text>
        <r>
          <rPr>
            <sz val="8"/>
            <color indexed="81"/>
            <rFont val="Tahoma"/>
            <family val="2"/>
          </rPr>
          <t>Coal is 60%-65% of CSF -- 
per MacDiarmid 6/16/97</t>
        </r>
      </text>
    </comment>
    <comment ref="AY74" authorId="0">
      <text>
        <r>
          <rPr>
            <sz val="8"/>
            <color indexed="81"/>
            <rFont val="Tahoma"/>
            <family val="2"/>
          </rPr>
          <t>11/97: Company hopes to have revenue up 5%, but rates may face pressure during re-negotiation of coal contracts.</t>
        </r>
      </text>
    </comment>
    <comment ref="BQ74" authorId="6">
      <text>
        <r>
          <rPr>
            <sz val="8"/>
            <color indexed="81"/>
            <rFont val="Tahoma"/>
            <family val="2"/>
          </rPr>
          <t>7/02 mgmt expects 2H02 coal revenues to fall $5mm</t>
        </r>
      </text>
    </comment>
    <comment ref="CE74" authorId="2">
      <text>
        <r>
          <rPr>
            <b/>
            <sz val="8"/>
            <color indexed="81"/>
            <rFont val="Tahoma"/>
            <family val="2"/>
          </rPr>
          <t>longsona:</t>
        </r>
        <r>
          <rPr>
            <sz val="8"/>
            <color indexed="81"/>
            <rFont val="Tahoma"/>
            <family val="2"/>
          </rPr>
          <t xml:space="preserve">
During 1H06, EVC was 14.7% of total rev and 9.2% of A/R</t>
        </r>
      </text>
    </comment>
    <comment ref="CJ74" authorId="2">
      <text>
        <r>
          <rPr>
            <b/>
            <sz val="8"/>
            <color indexed="81"/>
            <rFont val="Tahoma"/>
            <family val="2"/>
          </rPr>
          <t>longsona:</t>
        </r>
        <r>
          <rPr>
            <sz val="8"/>
            <color indexed="81"/>
            <rFont val="Tahoma"/>
            <family val="2"/>
          </rPr>
          <t xml:space="preserve">
During 1H06, EVC was 12.1% of total rev and 5.8% of A/R</t>
        </r>
      </text>
    </comment>
    <comment ref="A85" authorId="7">
      <text>
        <r>
          <rPr>
            <b/>
            <sz val="8"/>
            <color indexed="81"/>
            <rFont val="Tahoma"/>
            <family val="2"/>
          </rPr>
          <t>vecchale:</t>
        </r>
        <r>
          <rPr>
            <sz val="8"/>
            <color indexed="81"/>
            <rFont val="Tahoma"/>
            <family val="2"/>
          </rPr>
          <t xml:space="preserve">
data provided at JPM Conference - 3/12/14</t>
        </r>
      </text>
    </comment>
    <comment ref="DX85" authorId="5">
      <text>
        <r>
          <rPr>
            <b/>
            <sz val="9"/>
            <color indexed="81"/>
            <rFont val="Tahoma"/>
            <family val="2"/>
          </rPr>
          <t>Huang, Diane (Research):</t>
        </r>
        <r>
          <rPr>
            <sz val="9"/>
            <color indexed="81"/>
            <rFont val="Tahoma"/>
            <family val="2"/>
          </rPr>
          <t xml:space="preserve">
June 5, 2014 Conference</t>
        </r>
      </text>
    </comment>
    <comment ref="BE113" authorId="4">
      <text>
        <r>
          <rPr>
            <b/>
            <sz val="8"/>
            <color indexed="81"/>
            <rFont val="Tahoma"/>
            <family val="2"/>
          </rPr>
          <t>himanshs:</t>
        </r>
        <r>
          <rPr>
            <sz val="8"/>
            <color indexed="81"/>
            <rFont val="Tahoma"/>
            <family val="2"/>
          </rPr>
          <t xml:space="preserve">
Balancing figure added for above mentioned reason - see forest products carloads</t>
        </r>
      </text>
    </comment>
    <comment ref="BF113" authorId="4">
      <text>
        <r>
          <rPr>
            <b/>
            <sz val="8"/>
            <color indexed="81"/>
            <rFont val="Tahoma"/>
            <family val="2"/>
          </rPr>
          <t>himanshs:</t>
        </r>
        <r>
          <rPr>
            <sz val="8"/>
            <color indexed="81"/>
            <rFont val="Tahoma"/>
            <family val="2"/>
          </rPr>
          <t xml:space="preserve">
Balancing figure added for above mentioned reason - see forest products carloads</t>
        </r>
      </text>
    </comment>
    <comment ref="BG113" authorId="4">
      <text>
        <r>
          <rPr>
            <b/>
            <sz val="8"/>
            <color indexed="81"/>
            <rFont val="Tahoma"/>
            <family val="2"/>
          </rPr>
          <t>himanshs:</t>
        </r>
        <r>
          <rPr>
            <sz val="8"/>
            <color indexed="81"/>
            <rFont val="Tahoma"/>
            <family val="2"/>
          </rPr>
          <t xml:space="preserve">
Balancing figure added for above mentioned reason - see forest products carloads</t>
        </r>
      </text>
    </comment>
    <comment ref="BH113" authorId="4">
      <text>
        <r>
          <rPr>
            <b/>
            <sz val="8"/>
            <color indexed="81"/>
            <rFont val="Tahoma"/>
            <family val="2"/>
          </rPr>
          <t>himanshs:</t>
        </r>
        <r>
          <rPr>
            <sz val="8"/>
            <color indexed="81"/>
            <rFont val="Tahoma"/>
            <family val="2"/>
          </rPr>
          <t xml:space="preserve">
Balancing figure added for above mentioned reason - see forest products carloads</t>
        </r>
      </text>
    </comment>
    <comment ref="BJ113" authorId="4">
      <text>
        <r>
          <rPr>
            <b/>
            <sz val="8"/>
            <color indexed="81"/>
            <rFont val="Tahoma"/>
            <family val="2"/>
          </rPr>
          <t>himanshs:</t>
        </r>
        <r>
          <rPr>
            <sz val="8"/>
            <color indexed="81"/>
            <rFont val="Tahoma"/>
            <family val="2"/>
          </rPr>
          <t xml:space="preserve">
Balancing figure added for above mentioned reason - see forest products carloads</t>
        </r>
      </text>
    </comment>
    <comment ref="BK113" authorId="4">
      <text>
        <r>
          <rPr>
            <b/>
            <sz val="8"/>
            <color indexed="81"/>
            <rFont val="Tahoma"/>
            <family val="2"/>
          </rPr>
          <t>himanshs:</t>
        </r>
        <r>
          <rPr>
            <sz val="8"/>
            <color indexed="81"/>
            <rFont val="Tahoma"/>
            <family val="2"/>
          </rPr>
          <t xml:space="preserve">
Balancing figure added for above mentioned reason - see forest products carloads</t>
        </r>
      </text>
    </comment>
    <comment ref="BL113" authorId="4">
      <text>
        <r>
          <rPr>
            <b/>
            <sz val="8"/>
            <color indexed="81"/>
            <rFont val="Tahoma"/>
            <family val="2"/>
          </rPr>
          <t>himanshs:</t>
        </r>
        <r>
          <rPr>
            <sz val="8"/>
            <color indexed="81"/>
            <rFont val="Tahoma"/>
            <family val="2"/>
          </rPr>
          <t xml:space="preserve">
Balancing figure added for above mentioned reason - see forest products carloads</t>
        </r>
      </text>
    </comment>
    <comment ref="BM113" authorId="4">
      <text>
        <r>
          <rPr>
            <b/>
            <sz val="8"/>
            <color indexed="81"/>
            <rFont val="Tahoma"/>
            <family val="2"/>
          </rPr>
          <t>himanshs:</t>
        </r>
        <r>
          <rPr>
            <sz val="8"/>
            <color indexed="81"/>
            <rFont val="Tahoma"/>
            <family val="2"/>
          </rPr>
          <t xml:space="preserve">
Balancing figure added for above mentioned reason - see forest products carloads</t>
        </r>
      </text>
    </comment>
    <comment ref="DM135" authorId="7">
      <text>
        <r>
          <rPr>
            <b/>
            <sz val="8"/>
            <color indexed="81"/>
            <rFont val="Tahoma"/>
            <family val="2"/>
          </rPr>
          <t>vecchale:</t>
        </r>
        <r>
          <rPr>
            <sz val="8"/>
            <color indexed="81"/>
            <rFont val="Tahoma"/>
            <family val="2"/>
          </rPr>
          <t xml:space="preserve">
1Q12: 4.9% SSS pricing ex. Export coal</t>
        </r>
      </text>
    </comment>
    <comment ref="DN135" authorId="7">
      <text>
        <r>
          <rPr>
            <b/>
            <sz val="8"/>
            <color indexed="81"/>
            <rFont val="Tahoma"/>
            <family val="2"/>
          </rPr>
          <t>vecchale:</t>
        </r>
        <r>
          <rPr>
            <sz val="8"/>
            <color indexed="81"/>
            <rFont val="Tahoma"/>
            <family val="2"/>
          </rPr>
          <t xml:space="preserve">
2Q12: 4.0% SSS pricing ex. Export coal</t>
        </r>
      </text>
    </comment>
    <comment ref="DO135" authorId="7">
      <text>
        <r>
          <rPr>
            <b/>
            <sz val="8"/>
            <color indexed="81"/>
            <rFont val="Tahoma"/>
            <family val="2"/>
          </rPr>
          <t>vecchale:</t>
        </r>
        <r>
          <rPr>
            <sz val="8"/>
            <color indexed="81"/>
            <rFont val="Tahoma"/>
            <family val="2"/>
          </rPr>
          <t xml:space="preserve">
3Q12: 3.7% SSS pricing ex. Export coal</t>
        </r>
      </text>
    </comment>
    <comment ref="DP135" authorId="7">
      <text>
        <r>
          <rPr>
            <b/>
            <sz val="8"/>
            <color indexed="81"/>
            <rFont val="Tahoma"/>
            <family val="2"/>
          </rPr>
          <t>vecchale:</t>
        </r>
        <r>
          <rPr>
            <sz val="8"/>
            <color indexed="81"/>
            <rFont val="Tahoma"/>
            <family val="2"/>
          </rPr>
          <t xml:space="preserve">
4Q12: 4.0% SSS pricing ex. Export coal</t>
        </r>
      </text>
    </comment>
    <comment ref="DR135" authorId="7">
      <text>
        <r>
          <rPr>
            <b/>
            <sz val="8"/>
            <color indexed="81"/>
            <rFont val="Tahoma"/>
            <family val="2"/>
          </rPr>
          <t>vecchale:</t>
        </r>
        <r>
          <rPr>
            <sz val="8"/>
            <color indexed="81"/>
            <rFont val="Tahoma"/>
            <family val="2"/>
          </rPr>
          <t xml:space="preserve">
1Q13: 4.1% SSS pricing ex. Export coal</t>
        </r>
      </text>
    </comment>
    <comment ref="DS135" authorId="7">
      <text>
        <r>
          <rPr>
            <b/>
            <sz val="8"/>
            <color indexed="81"/>
            <rFont val="Tahoma"/>
            <family val="2"/>
          </rPr>
          <t>vecchale:</t>
        </r>
        <r>
          <rPr>
            <sz val="8"/>
            <color indexed="81"/>
            <rFont val="Tahoma"/>
            <family val="2"/>
          </rPr>
          <t xml:space="preserve">
2Q13: 4.1% SSS pricing ex. Export coal</t>
        </r>
      </text>
    </comment>
    <comment ref="DT135" authorId="7">
      <text>
        <r>
          <rPr>
            <b/>
            <sz val="8"/>
            <color indexed="81"/>
            <rFont val="Tahoma"/>
            <family val="2"/>
          </rPr>
          <t>vecchale:</t>
        </r>
        <r>
          <rPr>
            <sz val="8"/>
            <color indexed="81"/>
            <rFont val="Tahoma"/>
            <family val="2"/>
          </rPr>
          <t xml:space="preserve">
3Q13: 3% SSS pricing Merchandise &amp; Intermodal business</t>
        </r>
      </text>
    </comment>
    <comment ref="DU135" authorId="7">
      <text>
        <r>
          <rPr>
            <b/>
            <sz val="8"/>
            <color indexed="81"/>
            <rFont val="Tahoma"/>
            <family val="2"/>
          </rPr>
          <t>vecchale:</t>
        </r>
        <r>
          <rPr>
            <sz val="8"/>
            <color indexed="81"/>
            <rFont val="Tahoma"/>
            <family val="2"/>
          </rPr>
          <t xml:space="preserve">
4Q13: 2.9% SSS pricing Merchandise &amp; Intermodal business</t>
        </r>
      </text>
    </comment>
    <comment ref="DW135" authorId="8">
      <text>
        <r>
          <rPr>
            <b/>
            <sz val="8"/>
            <color indexed="81"/>
            <rFont val="Tahoma"/>
            <family val="2"/>
          </rPr>
          <t>diahuang:</t>
        </r>
        <r>
          <rPr>
            <sz val="8"/>
            <color indexed="81"/>
            <rFont val="Tahoma"/>
            <family val="2"/>
          </rPr>
          <t xml:space="preserve">
1Q14: 2.6% SSS pricing Merchandise &amp; Intermodal business</t>
        </r>
      </text>
    </comment>
    <comment ref="DX135" authorId="8">
      <text>
        <r>
          <rPr>
            <b/>
            <sz val="8"/>
            <color indexed="81"/>
            <rFont val="Tahoma"/>
            <family val="2"/>
          </rPr>
          <t>diahuang:</t>
        </r>
        <r>
          <rPr>
            <sz val="8"/>
            <color indexed="81"/>
            <rFont val="Tahoma"/>
            <family val="2"/>
          </rPr>
          <t xml:space="preserve">
2Q14: 2.6% SSS pricing Merchandise &amp; Intermodal business; total intermodal pricing ~2%</t>
        </r>
      </text>
    </comment>
    <comment ref="DY135" authorId="9">
      <text>
        <r>
          <rPr>
            <b/>
            <sz val="9"/>
            <color indexed="81"/>
            <rFont val="Tahoma"/>
            <family val="2"/>
          </rPr>
          <t>Vecchio, Alexander (Research):</t>
        </r>
        <r>
          <rPr>
            <sz val="9"/>
            <color indexed="81"/>
            <rFont val="Tahoma"/>
            <family val="2"/>
          </rPr>
          <t xml:space="preserve">
2.5% SSS pricing for merchandise + intermodal biz</t>
        </r>
      </text>
    </comment>
    <comment ref="DZ135" authorId="9">
      <text>
        <r>
          <rPr>
            <b/>
            <sz val="9"/>
            <color indexed="81"/>
            <rFont val="Tahoma"/>
            <family val="2"/>
          </rPr>
          <t>diahuang (Research):</t>
        </r>
        <r>
          <rPr>
            <sz val="9"/>
            <color indexed="81"/>
            <rFont val="Tahoma"/>
            <family val="2"/>
          </rPr>
          <t xml:space="preserve">
2.7% SSS pricing for merchandise + intermodal biz</t>
        </r>
      </text>
    </comment>
    <comment ref="EB135" authorId="9">
      <text>
        <r>
          <rPr>
            <b/>
            <sz val="9"/>
            <color indexed="81"/>
            <rFont val="Tahoma"/>
            <family val="2"/>
          </rPr>
          <t>diahuang (Research):</t>
        </r>
        <r>
          <rPr>
            <sz val="9"/>
            <color indexed="81"/>
            <rFont val="Tahoma"/>
            <family val="2"/>
          </rPr>
          <t xml:space="preserve">
3.4% SSS pricing for merchandise + intermodal biz</t>
        </r>
      </text>
    </comment>
    <comment ref="EC135" authorId="9">
      <text>
        <r>
          <rPr>
            <b/>
            <sz val="9"/>
            <color indexed="81"/>
            <rFont val="Tahoma"/>
            <family val="2"/>
          </rPr>
          <t>diahuang (Research):</t>
        </r>
        <r>
          <rPr>
            <sz val="9"/>
            <color indexed="81"/>
            <rFont val="Tahoma"/>
            <family val="2"/>
          </rPr>
          <t xml:space="preserve">
3.9% SSS pricing for merchandise + intermodal biz</t>
        </r>
      </text>
    </comment>
    <comment ref="ED135" authorId="10">
      <text>
        <r>
          <rPr>
            <b/>
            <sz val="8"/>
            <color indexed="81"/>
            <rFont val="Tahoma"/>
            <family val="2"/>
          </rPr>
          <t>Huang, Tracy (Research):</t>
        </r>
        <r>
          <rPr>
            <sz val="8"/>
            <color indexed="81"/>
            <rFont val="Tahoma"/>
            <family val="2"/>
          </rPr>
          <t xml:space="preserve">
Merch and Intermodal SSS +4.4%</t>
        </r>
      </text>
    </comment>
    <comment ref="EE135" authorId="10">
      <text>
        <r>
          <rPr>
            <b/>
            <sz val="8"/>
            <color indexed="81"/>
            <rFont val="Tahoma"/>
            <family val="2"/>
          </rPr>
          <t>Huang, Tracy (Research):</t>
        </r>
        <r>
          <rPr>
            <sz val="8"/>
            <color indexed="81"/>
            <rFont val="Tahoma"/>
            <family val="2"/>
          </rPr>
          <t xml:space="preserve">
Merch and Intermodal SSS +4.5%</t>
        </r>
      </text>
    </comment>
    <comment ref="EG135" authorId="10">
      <text>
        <r>
          <rPr>
            <b/>
            <sz val="8"/>
            <color indexed="81"/>
            <rFont val="Tahoma"/>
            <family val="2"/>
          </rPr>
          <t>Huang, Tracy (Research):</t>
        </r>
        <r>
          <rPr>
            <sz val="8"/>
            <color indexed="81"/>
            <rFont val="Tahoma"/>
            <family val="2"/>
          </rPr>
          <t xml:space="preserve">
Merch and Intermodal SSS up 4%;</t>
        </r>
      </text>
    </comment>
    <comment ref="EH135" authorId="10">
      <text>
        <r>
          <rPr>
            <b/>
            <sz val="8"/>
            <color indexed="81"/>
            <rFont val="Tahoma"/>
            <family val="2"/>
          </rPr>
          <t>Huang, Tracy (Research):</t>
        </r>
        <r>
          <rPr>
            <sz val="8"/>
            <color indexed="81"/>
            <rFont val="Tahoma"/>
            <family val="2"/>
          </rPr>
          <t xml:space="preserve">
Merch and Intermodal SSS up 4%;</t>
        </r>
      </text>
    </comment>
    <comment ref="EI135" authorId="10">
      <text>
        <r>
          <rPr>
            <b/>
            <sz val="8"/>
            <color indexed="81"/>
            <rFont val="Tahoma"/>
            <family val="2"/>
          </rPr>
          <t>Huang, Diane (Research):</t>
        </r>
        <r>
          <rPr>
            <sz val="8"/>
            <color indexed="81"/>
            <rFont val="Tahoma"/>
            <family val="2"/>
          </rPr>
          <t xml:space="preserve">
Merch and Intermodal SSS up 3.6%</t>
        </r>
      </text>
    </comment>
    <comment ref="EJ135" authorId="10">
      <text>
        <r>
          <rPr>
            <b/>
            <sz val="8"/>
            <color indexed="81"/>
            <rFont val="Tahoma"/>
            <family val="2"/>
          </rPr>
          <t>Huang, Diane (Research):</t>
        </r>
        <r>
          <rPr>
            <sz val="8"/>
            <color indexed="81"/>
            <rFont val="Tahoma"/>
            <family val="2"/>
          </rPr>
          <t xml:space="preserve">
Merch and Intermodal SSS up 3.2%</t>
        </r>
      </text>
    </comment>
    <comment ref="EL135" authorId="10">
      <text>
        <r>
          <rPr>
            <b/>
            <sz val="8"/>
            <color indexed="81"/>
            <rFont val="Tahoma"/>
            <family val="2"/>
          </rPr>
          <t>Huang, Diane (Research):</t>
        </r>
        <r>
          <rPr>
            <sz val="8"/>
            <color indexed="81"/>
            <rFont val="Tahoma"/>
            <family val="2"/>
          </rPr>
          <t xml:space="preserve">
Merch and Intermodal SSS up 2.5%</t>
        </r>
      </text>
    </comment>
    <comment ref="EM135" authorId="10">
      <text>
        <r>
          <rPr>
            <b/>
            <sz val="8"/>
            <color indexed="81"/>
            <rFont val="Tahoma"/>
            <family val="2"/>
          </rPr>
          <t>Huang, Diane (Research):</t>
        </r>
        <r>
          <rPr>
            <sz val="8"/>
            <color indexed="81"/>
            <rFont val="Tahoma"/>
            <family val="2"/>
          </rPr>
          <t xml:space="preserve">
Merch and Intermodal SSS up 2.2%</t>
        </r>
      </text>
    </comment>
    <comment ref="EN135" authorId="10">
      <text>
        <r>
          <rPr>
            <b/>
            <sz val="8"/>
            <color indexed="81"/>
            <rFont val="Tahoma"/>
            <family val="2"/>
          </rPr>
          <t>Huang, Diane (Research):</t>
        </r>
        <r>
          <rPr>
            <sz val="8"/>
            <color indexed="81"/>
            <rFont val="Tahoma"/>
            <family val="2"/>
          </rPr>
          <t xml:space="preserve">
Merch and Intermodal SSS up 2.2%</t>
        </r>
      </text>
    </comment>
    <comment ref="EO135" authorId="10">
      <text>
        <r>
          <rPr>
            <b/>
            <sz val="8"/>
            <color indexed="81"/>
            <rFont val="Tahoma"/>
            <family val="2"/>
          </rPr>
          <t>Huang, Diane (Research):</t>
        </r>
        <r>
          <rPr>
            <sz val="8"/>
            <color indexed="81"/>
            <rFont val="Tahoma"/>
            <family val="2"/>
          </rPr>
          <t xml:space="preserve">
Merch and Intermodal SSS up seq from 2.2% - mgmt stopped providing pricing detail</t>
        </r>
      </text>
    </comment>
    <comment ref="A139" authorId="7">
      <text>
        <r>
          <rPr>
            <b/>
            <sz val="8"/>
            <color indexed="81"/>
            <rFont val="Tahoma"/>
            <family val="2"/>
          </rPr>
          <t>vecchale:</t>
        </r>
        <r>
          <rPr>
            <sz val="8"/>
            <color indexed="81"/>
            <rFont val="Tahoma"/>
            <family val="2"/>
          </rPr>
          <t xml:space="preserve">
</t>
        </r>
      </text>
    </comment>
    <comment ref="CQ139" authorId="7">
      <text>
        <r>
          <rPr>
            <b/>
            <sz val="8"/>
            <color indexed="81"/>
            <rFont val="Tahoma"/>
            <family val="2"/>
          </rPr>
          <t>vecchale:</t>
        </r>
        <r>
          <rPr>
            <sz val="8"/>
            <color indexed="81"/>
            <rFont val="Tahoma"/>
            <family val="2"/>
          </rPr>
          <t xml:space="preserve">
4Q07 = first actual FS rev data point - all prior data points are estimates</t>
        </r>
      </text>
    </comment>
    <comment ref="A153" authorId="10">
      <text>
        <r>
          <rPr>
            <b/>
            <sz val="10"/>
            <color indexed="81"/>
            <rFont val="Tahoma"/>
            <family val="2"/>
          </rPr>
          <t>Huang, Tracy (Research):</t>
        </r>
        <r>
          <rPr>
            <sz val="10"/>
            <color indexed="81"/>
            <rFont val="Tahoma"/>
            <family val="2"/>
          </rPr>
          <t xml:space="preserve">
This line includes: 
- Biggest piece: Core business associated with non-wholly owned subsidiaries
- Customer oriented charges: customers taking longer to load a car (demurrage). Container storage charges. To incentivize the right behavior. Not declining over time
- Liquidated damages – a wild card. This quarter $10m higher than historical (typically $0-5M)</t>
        </r>
        <r>
          <rPr>
            <sz val="8"/>
            <color indexed="81"/>
            <rFont val="Tahoma"/>
            <family val="2"/>
          </rPr>
          <t xml:space="preserve">
</t>
        </r>
      </text>
    </comment>
    <comment ref="DR153" authorId="7">
      <text>
        <r>
          <rPr>
            <b/>
            <sz val="8"/>
            <color indexed="81"/>
            <rFont val="Tahoma"/>
            <family val="2"/>
          </rPr>
          <t>vecchale:</t>
        </r>
        <r>
          <rPr>
            <sz val="8"/>
            <color indexed="81"/>
            <rFont val="Tahoma"/>
            <family val="2"/>
          </rPr>
          <t xml:space="preserve">
4Q12: $32M YoY benefit from liquidated damages</t>
        </r>
      </text>
    </comment>
    <comment ref="DS153" authorId="7">
      <text>
        <r>
          <rPr>
            <b/>
            <sz val="8"/>
            <color indexed="81"/>
            <rFont val="Tahoma"/>
            <family val="2"/>
          </rPr>
          <t>vecchale:</t>
        </r>
        <r>
          <rPr>
            <sz val="8"/>
            <color indexed="81"/>
            <rFont val="Tahoma"/>
            <family val="2"/>
          </rPr>
          <t xml:space="preserve">
excludes $16M in liquidated damages</t>
        </r>
      </text>
    </comment>
    <comment ref="DT153" authorId="7">
      <text>
        <r>
          <rPr>
            <b/>
            <sz val="8"/>
            <color indexed="81"/>
            <rFont val="Tahoma"/>
            <family val="2"/>
          </rPr>
          <t>vecchale:</t>
        </r>
        <r>
          <rPr>
            <sz val="8"/>
            <color indexed="81"/>
            <rFont val="Tahoma"/>
            <family val="2"/>
          </rPr>
          <t xml:space="preserve">
excludes $51M in liquidated damages</t>
        </r>
      </text>
    </comment>
    <comment ref="DU153" authorId="9">
      <text>
        <r>
          <rPr>
            <b/>
            <sz val="9"/>
            <color indexed="81"/>
            <rFont val="Tahoma"/>
            <family val="2"/>
          </rPr>
          <t>Vecchio, Alexander (Research):</t>
        </r>
        <r>
          <rPr>
            <sz val="9"/>
            <color indexed="81"/>
            <rFont val="Tahoma"/>
            <family val="2"/>
          </rPr>
          <t xml:space="preserve">
4Q13 had $11M liquidated damages</t>
        </r>
      </text>
    </comment>
    <comment ref="DW153" authorId="8">
      <text>
        <r>
          <rPr>
            <b/>
            <sz val="8"/>
            <color indexed="81"/>
            <rFont val="Tahoma"/>
            <family val="2"/>
          </rPr>
          <t>diahuang:</t>
        </r>
        <r>
          <rPr>
            <sz val="8"/>
            <color indexed="81"/>
            <rFont val="Tahoma"/>
            <family val="2"/>
          </rPr>
          <t xml:space="preserve">
Excludes $55M in liquidated damages</t>
        </r>
      </text>
    </comment>
    <comment ref="DX153" authorId="8">
      <text>
        <r>
          <rPr>
            <b/>
            <sz val="8"/>
            <color indexed="81"/>
            <rFont val="Tahoma"/>
            <family val="2"/>
          </rPr>
          <t>diahuang:</t>
        </r>
        <r>
          <rPr>
            <sz val="8"/>
            <color indexed="81"/>
            <rFont val="Tahoma"/>
            <family val="2"/>
          </rPr>
          <t xml:space="preserve">
Excludes $11M in liquidated damages</t>
        </r>
      </text>
    </comment>
    <comment ref="DY153" authorId="9">
      <text>
        <r>
          <rPr>
            <b/>
            <sz val="9"/>
            <color indexed="81"/>
            <rFont val="Tahoma"/>
            <family val="2"/>
          </rPr>
          <t>Vecchio, Alexander (Research):</t>
        </r>
        <r>
          <rPr>
            <sz val="9"/>
            <color indexed="81"/>
            <rFont val="Tahoma"/>
            <family val="2"/>
          </rPr>
          <t xml:space="preserve">
$17M liquidated damages in 3Q14</t>
        </r>
      </text>
    </comment>
    <comment ref="EB153" authorId="9">
      <text>
        <r>
          <rPr>
            <b/>
            <sz val="9"/>
            <color indexed="81"/>
            <rFont val="Tahoma"/>
            <family val="2"/>
          </rPr>
          <t>Vecchio, Alexander (Research):</t>
        </r>
        <r>
          <rPr>
            <sz val="9"/>
            <color indexed="81"/>
            <rFont val="Tahoma"/>
            <family val="2"/>
          </rPr>
          <t xml:space="preserve">
excludes $105M in liquidated damages offset by $27M in adjustments to revenue reserves ($27M per IR)</t>
        </r>
      </text>
    </comment>
    <comment ref="EC153" authorId="9">
      <text>
        <r>
          <rPr>
            <b/>
            <sz val="9"/>
            <color indexed="81"/>
            <rFont val="Tahoma"/>
            <family val="2"/>
          </rPr>
          <t>Vecchio, Alexander (Research):</t>
        </r>
        <r>
          <rPr>
            <sz val="9"/>
            <color indexed="81"/>
            <rFont val="Tahoma"/>
            <family val="2"/>
          </rPr>
          <t xml:space="preserve">
excludes $19M of in-transit reserve revenue </t>
        </r>
      </text>
    </comment>
    <comment ref="EM153" authorId="9">
      <text>
        <r>
          <rPr>
            <b/>
            <sz val="9"/>
            <color indexed="81"/>
            <rFont val="Tahoma"/>
            <family val="2"/>
          </rPr>
          <t>diahuang (Research):</t>
        </r>
        <r>
          <rPr>
            <sz val="9"/>
            <color indexed="81"/>
            <rFont val="Tahoma"/>
            <family val="2"/>
          </rPr>
          <t xml:space="preserve">
includes $58M of liquidated damages; not assuming any for the rest of the year</t>
        </r>
      </text>
    </comment>
    <comment ref="EN153" authorId="9">
      <text>
        <r>
          <rPr>
            <b/>
            <sz val="9"/>
            <color indexed="81"/>
            <rFont val="Tahoma"/>
            <family val="2"/>
          </rPr>
          <t>diahuang (Research):</t>
        </r>
        <r>
          <rPr>
            <sz val="9"/>
            <color indexed="81"/>
            <rFont val="Tahoma"/>
            <family val="2"/>
          </rPr>
          <t xml:space="preserve">
Other revenue increased $18 million y/y primarily due to higher incidental charges and lower volume-based refunds.</t>
        </r>
      </text>
    </comment>
    <comment ref="EQ153" authorId="5">
      <text>
        <r>
          <rPr>
            <b/>
            <sz val="9"/>
            <color indexed="81"/>
            <rFont val="Tahoma"/>
            <family val="2"/>
          </rPr>
          <t>Huang, Diane (Research):</t>
        </r>
        <r>
          <rPr>
            <sz val="9"/>
            <color indexed="81"/>
            <rFont val="Tahoma"/>
            <family val="2"/>
          </rPr>
          <t xml:space="preserve">
payments from customers that did not
meet volume commitments of $23 million in 2018 compared to $4 million in 2017</t>
        </r>
      </text>
    </comment>
    <comment ref="EJ158" authorId="5">
      <text>
        <r>
          <rPr>
            <b/>
            <sz val="9"/>
            <color indexed="81"/>
            <rFont val="Tahoma"/>
            <family val="2"/>
          </rPr>
          <t>Huang, Diane (Research):</t>
        </r>
        <r>
          <rPr>
            <sz val="9"/>
            <color indexed="81"/>
            <rFont val="Tahoma"/>
            <family val="2"/>
          </rPr>
          <t xml:space="preserve">
Assume $30m inflation
$50m efficiency gains
$5m vol related costs
$40m inc comp headwind 
$37m restructuring tailwind</t>
        </r>
      </text>
    </comment>
    <comment ref="EM158" authorId="5">
      <text>
        <r>
          <rPr>
            <b/>
            <sz val="9"/>
            <color indexed="81"/>
            <rFont val="Tahoma"/>
            <family val="2"/>
          </rPr>
          <t>Huang, Diane (Research):</t>
        </r>
        <r>
          <rPr>
            <sz val="9"/>
            <color indexed="81"/>
            <rFont val="Tahoma"/>
            <family val="2"/>
          </rPr>
          <t xml:space="preserve">
Assume $40m inflation
$30m inc comp headwind
$10m vol headwind
$65m efficiency gains (mgmt reduction savings did not materialize)
$20m other tailwind (incl $15m pension tailwind)</t>
        </r>
      </text>
    </comment>
    <comment ref="EN158" authorId="5">
      <text>
        <r>
          <rPr>
            <b/>
            <sz val="9"/>
            <color indexed="81"/>
            <rFont val="Tahoma"/>
            <family val="2"/>
          </rPr>
          <t>Huang, Diane (Research):</t>
        </r>
        <r>
          <rPr>
            <sz val="9"/>
            <color indexed="81"/>
            <rFont val="Tahoma"/>
            <family val="2"/>
          </rPr>
          <t xml:space="preserve">
Assume $40m inflation (wage increase in July 1)
$70m efficiency gains (incl. mgmt reduction)
$15m other tailwind (incl $15m pension tailwind)
$0m vol related costs</t>
        </r>
      </text>
    </comment>
    <comment ref="EO158" authorId="5">
      <text>
        <r>
          <rPr>
            <b/>
            <sz val="9"/>
            <color indexed="81"/>
            <rFont val="Tahoma"/>
            <family val="2"/>
          </rPr>
          <t>Huang, Diane (Research):</t>
        </r>
        <r>
          <rPr>
            <sz val="9"/>
            <color indexed="81"/>
            <rFont val="Tahoma"/>
            <family val="2"/>
          </rPr>
          <t xml:space="preserve">
$61m inc comp tailwind
$51m extra week tailwind
$33m inflation headwind
$80m efficiency gains
$17m other tailwind (incl. $15m pension tailwind)
$11m vol tailwind - vol flat y/y as of wk 51</t>
        </r>
      </text>
    </comment>
    <comment ref="EC159" authorId="10">
      <text>
        <r>
          <rPr>
            <b/>
            <sz val="8"/>
            <color indexed="81"/>
            <rFont val="Tahoma"/>
            <family val="2"/>
          </rPr>
          <t>Huang, Tracy (Research):</t>
        </r>
        <r>
          <rPr>
            <sz val="8"/>
            <color indexed="81"/>
            <rFont val="Tahoma"/>
            <family val="2"/>
          </rPr>
          <t xml:space="preserve">
Labor and Fringe expense increased $16 million due to the following:
•
Inflation resulted in $30 million of additional cost driven by union and management wages partially offset by reduced health and welfare costs.
•
Labor costs were $12 million higher due to an amended locomotive maintenance agreement in mid-2014 where CSX now provides oversight of the labor force. As a result, outside service costs shifted from materials, supplies and other to labor and fringe, but overall expense for this change is neutral for the quarter.
•
Efficiency savings of $11 million were primarily due to reduced management headcount as a result of the Q4 2014 restructuring initiative and reduced overtime across operating functions.
•
Volume-related costs were $10 million lower.
•
Other costs decreased $5 million primarily related to lower incentive compensation.</t>
        </r>
      </text>
    </comment>
    <comment ref="EG159" authorId="10">
      <text>
        <r>
          <rPr>
            <b/>
            <sz val="8"/>
            <color indexed="81"/>
            <rFont val="Tahoma"/>
            <family val="2"/>
          </rPr>
          <t>Huang, Tracy (Research):</t>
        </r>
        <r>
          <rPr>
            <sz val="8"/>
            <color indexed="81"/>
            <rFont val="Tahoma"/>
            <family val="2"/>
          </rPr>
          <t xml:space="preserve">
inflation +$23M
Efficiency: -$65M
volume: -$39M
Other: $-2M</t>
        </r>
      </text>
    </comment>
    <comment ref="DX164" authorId="9">
      <text>
        <r>
          <rPr>
            <b/>
            <sz val="9"/>
            <color indexed="81"/>
            <rFont val="Tahoma"/>
            <family val="2"/>
          </rPr>
          <t>Vecchio, Alexander (Research):</t>
        </r>
        <r>
          <rPr>
            <sz val="9"/>
            <color indexed="81"/>
            <rFont val="Tahoma"/>
            <family val="2"/>
          </rPr>
          <t xml:space="preserve">
based on convo with IR, ~50% of 21M "other" tailwind in 2Q14 was attributable to incentive comp, the other 50% from pension</t>
        </r>
      </text>
    </comment>
    <comment ref="EO164" authorId="5">
      <text>
        <r>
          <rPr>
            <b/>
            <sz val="9"/>
            <color indexed="81"/>
            <rFont val="Tahoma"/>
            <family val="2"/>
          </rPr>
          <t>Huang, Diane (Research):</t>
        </r>
        <r>
          <rPr>
            <sz val="9"/>
            <color indexed="81"/>
            <rFont val="Tahoma"/>
            <family val="2"/>
          </rPr>
          <t xml:space="preserve">
$28m of $61m decrease due to reveresal of HH SBC</t>
        </r>
      </text>
    </comment>
    <comment ref="DX165" authorId="5">
      <text>
        <r>
          <rPr>
            <b/>
            <sz val="9"/>
            <color indexed="81"/>
            <rFont val="Tahoma"/>
            <family val="2"/>
          </rPr>
          <t>Huang, Diane (Research):</t>
        </r>
        <r>
          <rPr>
            <sz val="9"/>
            <color indexed="81"/>
            <rFont val="Tahoma"/>
            <family val="2"/>
          </rPr>
          <t xml:space="preserve">
includes $14M additional expense related to network performance, and ~$11M tailwind from pension</t>
        </r>
      </text>
    </comment>
    <comment ref="DY165" authorId="9">
      <text>
        <r>
          <rPr>
            <b/>
            <sz val="9"/>
            <color indexed="81"/>
            <rFont val="Tahoma"/>
            <family val="2"/>
          </rPr>
          <t>Vecchio, Alexander (Research):</t>
        </r>
        <r>
          <rPr>
            <sz val="9"/>
            <color indexed="81"/>
            <rFont val="Tahoma"/>
            <family val="2"/>
          </rPr>
          <t xml:space="preserve">
$15M insourcing agreement
Tailwinds - $4M efficiency/other</t>
        </r>
      </text>
    </comment>
    <comment ref="DZ165" authorId="5">
      <text>
        <r>
          <rPr>
            <b/>
            <sz val="9"/>
            <color indexed="81"/>
            <rFont val="Tahoma"/>
            <family val="2"/>
          </rPr>
          <t>Huang, Diane (Research):</t>
        </r>
        <r>
          <rPr>
            <sz val="9"/>
            <color indexed="81"/>
            <rFont val="Tahoma"/>
            <family val="2"/>
          </rPr>
          <t xml:space="preserve">
Heawinds: $39M Mgmt workforce reduction program charge;  $15M insourcing agreement cost </t>
        </r>
      </text>
    </comment>
    <comment ref="EB165" authorId="9">
      <text>
        <r>
          <rPr>
            <b/>
            <sz val="9"/>
            <color indexed="81"/>
            <rFont val="Tahoma"/>
            <family val="2"/>
          </rPr>
          <t>Vecchio, Alexander (Research):</t>
        </r>
        <r>
          <rPr>
            <sz val="9"/>
            <color indexed="81"/>
            <rFont val="Tahoma"/>
            <family val="2"/>
          </rPr>
          <t xml:space="preserve">
includes $16M maint agreement, $12M other expense 
Tailwind: $12M efficiency gains</t>
        </r>
      </text>
    </comment>
    <comment ref="EC165" authorId="9">
      <text>
        <r>
          <rPr>
            <b/>
            <sz val="9"/>
            <color indexed="81"/>
            <rFont val="Tahoma"/>
            <family val="2"/>
          </rPr>
          <t>Vecchio, Alexander (Research):</t>
        </r>
        <r>
          <rPr>
            <sz val="9"/>
            <color indexed="81"/>
            <rFont val="Tahoma"/>
            <family val="2"/>
          </rPr>
          <t xml:space="preserve">
includes $12M maint agreement
Tailwind: $5M other expense and $11M efficiency gains</t>
        </r>
      </text>
    </comment>
    <comment ref="ED165" authorId="9">
      <text>
        <r>
          <rPr>
            <b/>
            <sz val="9"/>
            <color indexed="81"/>
            <rFont val="Tahoma"/>
            <family val="2"/>
          </rPr>
          <t>diahuang (Research):</t>
        </r>
        <r>
          <rPr>
            <sz val="9"/>
            <color indexed="81"/>
            <rFont val="Tahoma"/>
            <family val="2"/>
          </rPr>
          <t xml:space="preserve">
Tailwinds: $23M efficiency gains, $2M other</t>
        </r>
      </text>
    </comment>
    <comment ref="EE165" authorId="10">
      <text>
        <r>
          <rPr>
            <b/>
            <sz val="8"/>
            <color indexed="81"/>
            <rFont val="Tahoma"/>
            <family val="2"/>
          </rPr>
          <t>Huang, Tracy (Research):</t>
        </r>
        <r>
          <rPr>
            <sz val="8"/>
            <color indexed="81"/>
            <rFont val="Tahoma"/>
            <family val="2"/>
          </rPr>
          <t xml:space="preserve">
Efficiency gains 38M, restructuring 2M, and other 2M</t>
        </r>
      </text>
    </comment>
    <comment ref="EG165" authorId="10">
      <text>
        <r>
          <rPr>
            <b/>
            <sz val="8"/>
            <color indexed="81"/>
            <rFont val="Tahoma"/>
            <family val="2"/>
          </rPr>
          <t>Huang, Tracy (Research):</t>
        </r>
        <r>
          <rPr>
            <sz val="8"/>
            <color indexed="81"/>
            <rFont val="Tahoma"/>
            <family val="2"/>
          </rPr>
          <t xml:space="preserve">
Efficiency gains of $65M, other tailwind $2M </t>
        </r>
      </text>
    </comment>
    <comment ref="EL165" authorId="10">
      <text>
        <r>
          <rPr>
            <b/>
            <sz val="8"/>
            <color indexed="81"/>
            <rFont val="Tahoma"/>
            <family val="2"/>
          </rPr>
          <t>Huang, Diane (Research):</t>
        </r>
        <r>
          <rPr>
            <sz val="8"/>
            <color indexed="81"/>
            <rFont val="Tahoma"/>
            <family val="2"/>
          </rPr>
          <t xml:space="preserve">
Efficiency gains of $74M, other tailwind $20M </t>
        </r>
      </text>
    </comment>
    <comment ref="EM165" authorId="10">
      <text>
        <r>
          <rPr>
            <b/>
            <sz val="8"/>
            <color indexed="81"/>
            <rFont val="Tahoma"/>
            <family val="2"/>
          </rPr>
          <t>Huang, Diane (Research):</t>
        </r>
        <r>
          <rPr>
            <sz val="8"/>
            <color indexed="81"/>
            <rFont val="Tahoma"/>
            <family val="2"/>
          </rPr>
          <t xml:space="preserve">
Efficiency gains of $62M (most from mgmt reduction), other tailwind $21M </t>
        </r>
      </text>
    </comment>
    <comment ref="EN165" authorId="10">
      <text>
        <r>
          <rPr>
            <b/>
            <sz val="8"/>
            <color indexed="81"/>
            <rFont val="Tahoma"/>
            <family val="2"/>
          </rPr>
          <t>Huang, Diane (Research):</t>
        </r>
        <r>
          <rPr>
            <sz val="8"/>
            <color indexed="81"/>
            <rFont val="Tahoma"/>
            <family val="2"/>
          </rPr>
          <t xml:space="preserve">
Efficiency gains of $73M (most from mgmt reduction), other tailwind $11M </t>
        </r>
      </text>
    </comment>
    <comment ref="EO165" authorId="10">
      <text>
        <r>
          <rPr>
            <b/>
            <sz val="8"/>
            <color indexed="81"/>
            <rFont val="Tahoma"/>
            <family val="2"/>
          </rPr>
          <t>Huang, Diane (Research):</t>
        </r>
        <r>
          <rPr>
            <sz val="8"/>
            <color indexed="81"/>
            <rFont val="Tahoma"/>
            <family val="2"/>
          </rPr>
          <t xml:space="preserve">
Assume Efficiency gains of $80M, lack of extra week tailwind of $51m, and other tailwind $17M </t>
        </r>
      </text>
    </comment>
    <comment ref="EQ165" authorId="5">
      <text>
        <r>
          <rPr>
            <b/>
            <sz val="9"/>
            <color indexed="81"/>
            <rFont val="Tahoma"/>
            <family val="2"/>
          </rPr>
          <t>Huang, Diane (Research):</t>
        </r>
        <r>
          <rPr>
            <sz val="9"/>
            <color indexed="81"/>
            <rFont val="Tahoma"/>
            <family val="2"/>
          </rPr>
          <t xml:space="preserve">
$97m efficiency and vol savings</t>
        </r>
      </text>
    </comment>
    <comment ref="CX169" authorId="2">
      <text>
        <r>
          <rPr>
            <b/>
            <sz val="8"/>
            <color indexed="81"/>
            <rFont val="Tahoma"/>
            <family val="2"/>
          </rPr>
          <t>longsona:</t>
        </r>
        <r>
          <rPr>
            <sz val="8"/>
            <color indexed="81"/>
            <rFont val="Tahoma"/>
            <family val="2"/>
          </rPr>
          <t xml:space="preserve">
Furloughed 1600 employees in early Jan</t>
        </r>
      </text>
    </comment>
    <comment ref="EG169" authorId="5">
      <text>
        <r>
          <rPr>
            <b/>
            <sz val="9"/>
            <color indexed="81"/>
            <rFont val="Tahoma"/>
            <family val="2"/>
          </rPr>
          <t>Huang, Diane (Research):</t>
        </r>
        <r>
          <rPr>
            <sz val="9"/>
            <color indexed="81"/>
            <rFont val="Tahoma"/>
            <family val="2"/>
          </rPr>
          <t xml:space="preserve">
Starting 3Q17, employee counts include employees on leave. Prior period counts were updated to reflect this change</t>
        </r>
      </text>
    </comment>
    <comment ref="FJ171" authorId="5">
      <text>
        <r>
          <rPr>
            <b/>
            <sz val="9"/>
            <color indexed="81"/>
            <rFont val="Tahoma"/>
            <family val="2"/>
          </rPr>
          <t>Huang, Diane (Research):</t>
        </r>
        <r>
          <rPr>
            <sz val="9"/>
            <color indexed="81"/>
            <rFont val="Tahoma"/>
            <family val="2"/>
          </rPr>
          <t xml:space="preserve">
Contractors not included in comp &amp; benefits</t>
        </r>
      </text>
    </comment>
    <comment ref="EU175" authorId="5">
      <text>
        <r>
          <rPr>
            <b/>
            <sz val="9"/>
            <color indexed="81"/>
            <rFont val="Tahoma"/>
            <family val="2"/>
          </rPr>
          <t>Huang, Diane (Research):</t>
        </r>
        <r>
          <rPr>
            <sz val="9"/>
            <color indexed="81"/>
            <rFont val="Tahoma"/>
            <family val="2"/>
          </rPr>
          <t xml:space="preserve">
3/1/18: 3% wage inflation</t>
        </r>
      </text>
    </comment>
    <comment ref="FU176" authorId="10">
      <text>
        <r>
          <rPr>
            <b/>
            <sz val="8"/>
            <color indexed="81"/>
            <rFont val="Tahoma"/>
            <family val="2"/>
          </rPr>
          <t>diahuang (Research):</t>
        </r>
        <r>
          <rPr>
            <sz val="8"/>
            <color indexed="81"/>
            <rFont val="Tahoma"/>
            <family val="2"/>
          </rPr>
          <t xml:space="preserve">
Full year efficiency gains amount to $427 million reflecting fourth quarter savings of $98 million and revised efficiency of $329 million
for the prior three quarters of 2016. Changes to prior period efficiency gains relate to a few items including updated estimates of
gross ton miles.</t>
        </r>
      </text>
    </comment>
    <comment ref="DT177" authorId="7">
      <text>
        <r>
          <rPr>
            <b/>
            <sz val="8"/>
            <color indexed="81"/>
            <rFont val="Tahoma"/>
            <family val="2"/>
          </rPr>
          <t>vecchale:</t>
        </r>
        <r>
          <rPr>
            <sz val="8"/>
            <color indexed="81"/>
            <rFont val="Tahoma"/>
            <family val="2"/>
          </rPr>
          <t xml:space="preserve">
add back $16M YoY increase in other fuel expense</t>
        </r>
      </text>
    </comment>
    <comment ref="FV178" authorId="5">
      <text>
        <r>
          <rPr>
            <b/>
            <sz val="9"/>
            <color indexed="81"/>
            <rFont val="Tahoma"/>
            <family val="2"/>
          </rPr>
          <t>Huang, Diane (Research):</t>
        </r>
        <r>
          <rPr>
            <sz val="9"/>
            <color indexed="81"/>
            <rFont val="Tahoma"/>
            <family val="2"/>
          </rPr>
          <t xml:space="preserve">
do not explicitly model equipment rents productivity savings</t>
        </r>
      </text>
    </comment>
    <comment ref="DT189" authorId="7">
      <text>
        <r>
          <rPr>
            <b/>
            <sz val="8"/>
            <color indexed="81"/>
            <rFont val="Tahoma"/>
            <family val="2"/>
          </rPr>
          <t>vecchale:</t>
        </r>
        <r>
          <rPr>
            <sz val="8"/>
            <color indexed="81"/>
            <rFont val="Tahoma"/>
            <family val="2"/>
          </rPr>
          <t xml:space="preserve">
add back $16M YoY increase in other fuel expense</t>
        </r>
      </text>
    </comment>
    <comment ref="A191" authorId="10">
      <text>
        <r>
          <rPr>
            <b/>
            <sz val="8"/>
            <color indexed="81"/>
            <rFont val="Tahoma"/>
            <family val="2"/>
          </rPr>
          <t>Huang, Tracy (Research):</t>
        </r>
        <r>
          <rPr>
            <sz val="8"/>
            <color indexed="81"/>
            <rFont val="Tahoma"/>
            <family val="2"/>
          </rPr>
          <t xml:space="preserve">
Materials and supplies in the consolidated balance sheets are carried at average costs and consist primarily of fuel and parts used in the repair and maintenance of CSXT’s freight car and locomotive fleets, equipment and track structure.</t>
        </r>
      </text>
    </comment>
    <comment ref="BY191" authorId="11">
      <text>
        <r>
          <rPr>
            <b/>
            <sz val="8"/>
            <color indexed="81"/>
            <rFont val="Tahoma"/>
            <family val="2"/>
          </rPr>
          <t>Michael Manelli:</t>
        </r>
        <r>
          <rPr>
            <sz val="8"/>
            <color indexed="81"/>
            <rFont val="Tahoma"/>
            <family val="2"/>
          </rPr>
          <t xml:space="preserve">
Increase driven by $6 million in higher property and sales tax, and $5 million for consolidation of FRT</t>
        </r>
      </text>
    </comment>
    <comment ref="CG191" authorId="2">
      <text>
        <r>
          <rPr>
            <b/>
            <sz val="8"/>
            <color indexed="81"/>
            <rFont val="Tahoma"/>
            <family val="2"/>
          </rPr>
          <t>longsona:</t>
        </r>
        <r>
          <rPr>
            <sz val="8"/>
            <color indexed="81"/>
            <rFont val="Tahoma"/>
            <family val="2"/>
          </rPr>
          <t xml:space="preserve">
1/06: Our MS&amp;O expenses were lower than last year by $38 million. The primary driver was a net favorable adjustment of $22 million in our casualty and other related reserves. This reflects our recent safety record, the results from our litigation efforts, and a favorable trend in occupational claims.
</t>
        </r>
      </text>
    </comment>
    <comment ref="CI191" authorId="2">
      <text>
        <r>
          <rPr>
            <b/>
            <sz val="8"/>
            <color indexed="81"/>
            <rFont val="Tahoma"/>
            <family val="2"/>
          </rPr>
          <t>longsona:</t>
        </r>
        <r>
          <rPr>
            <sz val="8"/>
            <color indexed="81"/>
            <rFont val="Tahoma"/>
            <family val="2"/>
          </rPr>
          <t xml:space="preserve">
material and other inflation was largely offset by productively gains. The improvements in operations fluidity had a direct impact on locomotive utilization reducing those related expenses. In addition our trend in train accidents helped lower freight loss and damage costs.</t>
        </r>
      </text>
    </comment>
    <comment ref="CJ191" authorId="2">
      <text>
        <r>
          <rPr>
            <b/>
            <sz val="8"/>
            <color indexed="81"/>
            <rFont val="Tahoma"/>
            <family val="2"/>
          </rPr>
          <t>longsona:</t>
        </r>
        <r>
          <rPr>
            <sz val="8"/>
            <color indexed="81"/>
            <rFont val="Tahoma"/>
            <family val="2"/>
          </rPr>
          <t xml:space="preserve">
higher inflation and cycling of prior year's supplier credit. partially offset by productivity gains from improved operations, which had a direct impact on locomotive-related costs. Favorable trend in train accidents helped lower freight loss and damage expense.</t>
        </r>
      </text>
    </comment>
    <comment ref="CN191" authorId="2">
      <text>
        <r>
          <rPr>
            <b/>
            <sz val="8"/>
            <color indexed="81"/>
            <rFont val="Tahoma"/>
            <family val="2"/>
          </rPr>
          <t>longsona:</t>
        </r>
        <r>
          <rPr>
            <sz val="8"/>
            <color indexed="81"/>
            <rFont val="Tahoma"/>
            <family val="2"/>
          </rPr>
          <t xml:space="preserve">
Starting 1Q07, Conrail is included in MS&amp;O</t>
        </r>
      </text>
    </comment>
    <comment ref="CU191" authorId="2">
      <text>
        <r>
          <rPr>
            <b/>
            <sz val="8"/>
            <color indexed="81"/>
            <rFont val="Tahoma"/>
            <family val="2"/>
          </rPr>
          <t>longsona:</t>
        </r>
        <r>
          <rPr>
            <sz val="8"/>
            <color indexed="81"/>
            <rFont val="Tahoma"/>
            <family val="2"/>
          </rPr>
          <t xml:space="preserve">
+$25MM in asset write-downs 
+$5MM in rerouting costs related to hurricane
+$16MM in proxy-related costs
+$11MM in cost of risk from carrying higher value goods
+$40MM inflation and other with inflation roughly 1/2 of this number
</t>
        </r>
      </text>
    </comment>
    <comment ref="CY191" authorId="2">
      <text>
        <r>
          <rPr>
            <b/>
            <sz val="8"/>
            <color indexed="81"/>
            <rFont val="Tahoma"/>
            <family val="2"/>
          </rPr>
          <t>longsona:</t>
        </r>
        <r>
          <rPr>
            <sz val="8"/>
            <color indexed="81"/>
            <rFont val="Tahoma"/>
            <family val="2"/>
          </rPr>
          <t xml:space="preserve">
$85M casualty reserve adjustment</t>
        </r>
      </text>
    </comment>
    <comment ref="DR191" authorId="7">
      <text>
        <r>
          <rPr>
            <b/>
            <sz val="8"/>
            <color indexed="81"/>
            <rFont val="Tahoma"/>
            <family val="2"/>
          </rPr>
          <t>vecchale:</t>
        </r>
        <r>
          <rPr>
            <sz val="8"/>
            <color indexed="81"/>
            <rFont val="Tahoma"/>
            <family val="2"/>
          </rPr>
          <t xml:space="preserve">
we removed $20M in deferred gains, but kept the $29M in sunrail gains
</t>
        </r>
      </text>
    </comment>
    <comment ref="DS191" authorId="7">
      <text>
        <r>
          <rPr>
            <b/>
            <sz val="8"/>
            <color indexed="81"/>
            <rFont val="Tahoma"/>
            <family val="2"/>
          </rPr>
          <t>vecchale:</t>
        </r>
        <r>
          <rPr>
            <sz val="8"/>
            <color indexed="81"/>
            <rFont val="Tahoma"/>
            <family val="2"/>
          </rPr>
          <t xml:space="preserve">
excludes $22m gain from non-monetary exchange of easements and rail assets</t>
        </r>
      </text>
    </comment>
    <comment ref="DX191" authorId="5">
      <text>
        <r>
          <rPr>
            <b/>
            <sz val="9"/>
            <color indexed="81"/>
            <rFont val="Tahoma"/>
            <family val="2"/>
          </rPr>
          <t>Huang, Diane (Research):</t>
        </r>
        <r>
          <rPr>
            <sz val="9"/>
            <color indexed="81"/>
            <rFont val="Tahoma"/>
            <family val="2"/>
          </rPr>
          <t xml:space="preserve">
$9M additional expense related to network performance</t>
        </r>
      </text>
    </comment>
    <comment ref="EC191" authorId="7">
      <text>
        <r>
          <rPr>
            <b/>
            <sz val="8"/>
            <color indexed="81"/>
            <rFont val="Tahoma"/>
            <family val="2"/>
          </rPr>
          <t>vecchale:</t>
        </r>
        <r>
          <rPr>
            <sz val="8"/>
            <color indexed="81"/>
            <rFont val="Tahoma"/>
            <family val="2"/>
          </rPr>
          <t xml:space="preserve">
excludes $17m gain from sale of operating rail corridor</t>
        </r>
      </text>
    </comment>
    <comment ref="EB196" authorId="5">
      <text>
        <r>
          <rPr>
            <b/>
            <sz val="9"/>
            <color indexed="81"/>
            <rFont val="Tahoma"/>
            <family val="2"/>
          </rPr>
          <t>Huang, Diane (Research):</t>
        </r>
        <r>
          <rPr>
            <sz val="9"/>
            <color indexed="81"/>
            <rFont val="Tahoma"/>
            <family val="2"/>
          </rPr>
          <t xml:space="preserve">
y = 403.62x + 5.694
R² = 0.5399
</t>
        </r>
      </text>
    </comment>
    <comment ref="DY197" authorId="9">
      <text>
        <r>
          <rPr>
            <b/>
            <sz val="9"/>
            <color indexed="81"/>
            <rFont val="Tahoma"/>
            <family val="2"/>
          </rPr>
          <t>Vecchio, Alexander (Research):</t>
        </r>
        <r>
          <rPr>
            <sz val="9"/>
            <color indexed="81"/>
            <rFont val="Tahoma"/>
            <family val="2"/>
          </rPr>
          <t xml:space="preserve">
$16M casualty and other; $15M insourcing agreement  (lap in 3Q15)</t>
        </r>
      </text>
    </comment>
    <comment ref="DZ197" authorId="9">
      <text>
        <r>
          <rPr>
            <b/>
            <sz val="9"/>
            <color indexed="81"/>
            <rFont val="Tahoma"/>
            <family val="2"/>
          </rPr>
          <t>diahuang (Research):</t>
        </r>
        <r>
          <rPr>
            <sz val="9"/>
            <color indexed="81"/>
            <rFont val="Tahoma"/>
            <family val="2"/>
          </rPr>
          <t xml:space="preserve">
Tailwinds: $20M casualty and other and $15M insourcing agreement  (lap in 3Q15)</t>
        </r>
      </text>
    </comment>
    <comment ref="EB197" authorId="9">
      <text>
        <r>
          <rPr>
            <b/>
            <sz val="9"/>
            <color indexed="81"/>
            <rFont val="Tahoma"/>
            <family val="2"/>
          </rPr>
          <t>Vecchio, Alexander (Research):</t>
        </r>
        <r>
          <rPr>
            <sz val="9"/>
            <color indexed="81"/>
            <rFont val="Tahoma"/>
            <family val="2"/>
          </rPr>
          <t xml:space="preserve">
$23M cost for derailment; $16M tailwind for insourcing agreement reporting change; $22M efficiency tailwind
</t>
        </r>
      </text>
    </comment>
    <comment ref="EC197" authorId="9">
      <text>
        <r>
          <rPr>
            <b/>
            <sz val="9"/>
            <color indexed="81"/>
            <rFont val="Tahoma"/>
            <family val="2"/>
          </rPr>
          <t>Vecchio, Alexander (Research):</t>
        </r>
        <r>
          <rPr>
            <sz val="9"/>
            <color indexed="81"/>
            <rFont val="Tahoma"/>
            <family val="2"/>
          </rPr>
          <t xml:space="preserve">
$12M tailwind for maintenance agreement; $25M efficiency tailwind; $12M tailwind others
</t>
        </r>
      </text>
    </comment>
    <comment ref="ED197" authorId="9">
      <text>
        <r>
          <rPr>
            <b/>
            <sz val="9"/>
            <color indexed="81"/>
            <rFont val="Tahoma"/>
            <family val="2"/>
          </rPr>
          <t>Vecchio, Alexander (Research):</t>
        </r>
        <r>
          <rPr>
            <sz val="9"/>
            <color indexed="81"/>
            <rFont val="Tahoma"/>
            <family val="2"/>
          </rPr>
          <t xml:space="preserve">
$24M efficiency tailwind; $4M other headwind
</t>
        </r>
      </text>
    </comment>
    <comment ref="EE197" authorId="10">
      <text>
        <r>
          <rPr>
            <b/>
            <sz val="8"/>
            <color indexed="81"/>
            <rFont val="Tahoma"/>
            <family val="2"/>
          </rPr>
          <t>Huang, Tracy (Research):</t>
        </r>
        <r>
          <rPr>
            <sz val="8"/>
            <color indexed="81"/>
            <rFont val="Tahoma"/>
            <family val="2"/>
          </rPr>
          <t xml:space="preserve">
-$20M efficiency gains, $11M restructuring, -$15M casualty and -$14M other </t>
        </r>
      </text>
    </comment>
    <comment ref="EG197" authorId="10">
      <text>
        <r>
          <rPr>
            <b/>
            <sz val="8"/>
            <color indexed="81"/>
            <rFont val="Tahoma"/>
            <family val="2"/>
          </rPr>
          <t>Huang, Tracy (Research):</t>
        </r>
        <r>
          <rPr>
            <sz val="8"/>
            <color indexed="81"/>
            <rFont val="Tahoma"/>
            <family val="2"/>
          </rPr>
          <t xml:space="preserve">
Casualty $40M, efficiency $35M, and other $4M</t>
        </r>
      </text>
    </comment>
    <comment ref="EH197" authorId="10">
      <text>
        <r>
          <rPr>
            <b/>
            <sz val="8"/>
            <color indexed="81"/>
            <rFont val="Tahoma"/>
            <family val="2"/>
          </rPr>
          <t>Huang, Tracy (Research):</t>
        </r>
        <r>
          <rPr>
            <sz val="8"/>
            <color indexed="81"/>
            <rFont val="Tahoma"/>
            <family val="2"/>
          </rPr>
          <t xml:space="preserve">
Efficiency 32M and other 10M</t>
        </r>
      </text>
    </comment>
    <comment ref="EI197" authorId="10">
      <text>
        <r>
          <rPr>
            <b/>
            <sz val="8"/>
            <color indexed="81"/>
            <rFont val="Tahoma"/>
            <family val="2"/>
          </rPr>
          <t>Huang, Diane (Research):</t>
        </r>
        <r>
          <rPr>
            <sz val="8"/>
            <color indexed="81"/>
            <rFont val="Tahoma"/>
            <family val="2"/>
          </rPr>
          <t xml:space="preserve">
Efficiency 38M, accidents &amp; casualty 22M and other 15M</t>
        </r>
      </text>
    </comment>
    <comment ref="EJ197" authorId="10">
      <text>
        <r>
          <rPr>
            <b/>
            <sz val="8"/>
            <color indexed="81"/>
            <rFont val="Tahoma"/>
            <family val="2"/>
          </rPr>
          <t>Huang, Diane (Research):</t>
        </r>
        <r>
          <rPr>
            <sz val="8"/>
            <color indexed="81"/>
            <rFont val="Tahoma"/>
            <family val="2"/>
          </rPr>
          <t xml:space="preserve">
18M extra week cost
8M efficiency savings 
11M restructuring tailwind 
19M other costs ($10-15M env costs)</t>
        </r>
      </text>
    </comment>
    <comment ref="EM197" authorId="5">
      <text>
        <r>
          <rPr>
            <b/>
            <sz val="9"/>
            <color indexed="81"/>
            <rFont val="Tahoma"/>
            <family val="2"/>
          </rPr>
          <t>Huang, Diane (Research):</t>
        </r>
        <r>
          <rPr>
            <sz val="9"/>
            <color indexed="81"/>
            <rFont val="Tahoma"/>
            <family val="2"/>
          </rPr>
          <t xml:space="preserve">
$10m impairment headwind
$55m fav judgment
$21m efficiency gain
$22m other headwind</t>
        </r>
      </text>
    </comment>
    <comment ref="EN197" authorId="5">
      <text>
        <r>
          <rPr>
            <b/>
            <sz val="9"/>
            <color indexed="81"/>
            <rFont val="Tahoma"/>
            <family val="2"/>
          </rPr>
          <t>Huang, Diane (Research):</t>
        </r>
        <r>
          <rPr>
            <sz val="9"/>
            <color indexed="81"/>
            <rFont val="Tahoma"/>
            <family val="2"/>
          </rPr>
          <t xml:space="preserve">
$5m impairment headwind
$30m efficiency gain
$17m other headwind
$13m train accidents</t>
        </r>
      </text>
    </comment>
    <comment ref="EO197" authorId="5">
      <text>
        <r>
          <rPr>
            <b/>
            <sz val="9"/>
            <color indexed="81"/>
            <rFont val="Tahoma"/>
            <family val="2"/>
          </rPr>
          <t>Huang, Diane (Research):</t>
        </r>
        <r>
          <rPr>
            <sz val="9"/>
            <color indexed="81"/>
            <rFont val="Tahoma"/>
            <family val="2"/>
          </rPr>
          <t xml:space="preserve">
$70M efficiency gains
$18M extra week tailwind
Not sure if there was a $12.5M env cost tailwind</t>
        </r>
      </text>
    </comment>
    <comment ref="EQ197" authorId="5">
      <text>
        <r>
          <rPr>
            <b/>
            <sz val="9"/>
            <color indexed="81"/>
            <rFont val="Tahoma"/>
            <family val="2"/>
          </rPr>
          <t>Huang, Diane (Research):</t>
        </r>
        <r>
          <rPr>
            <sz val="9"/>
            <color indexed="81"/>
            <rFont val="Tahoma"/>
            <family val="2"/>
          </rPr>
          <t xml:space="preserve">
$48m efficiency and vol savings</t>
        </r>
      </text>
    </comment>
    <comment ref="EH198" authorId="5">
      <text>
        <r>
          <rPr>
            <b/>
            <sz val="9"/>
            <color indexed="81"/>
            <rFont val="Tahoma"/>
            <family val="2"/>
          </rPr>
          <t>Huang, Diane (Research):</t>
        </r>
        <r>
          <rPr>
            <sz val="9"/>
            <color indexed="81"/>
            <rFont val="Tahoma"/>
            <family val="2"/>
          </rPr>
          <t xml:space="preserve">
2Q15 </t>
        </r>
      </text>
    </comment>
    <comment ref="EJ198" authorId="5">
      <text>
        <r>
          <rPr>
            <b/>
            <sz val="9"/>
            <color indexed="81"/>
            <rFont val="Tahoma"/>
            <family val="2"/>
          </rPr>
          <t>Huang, Diane (Research):</t>
        </r>
        <r>
          <rPr>
            <sz val="9"/>
            <color indexed="81"/>
            <rFont val="Tahoma"/>
            <family val="2"/>
          </rPr>
          <t xml:space="preserve">
$115M op property sale</t>
        </r>
      </text>
    </comment>
    <comment ref="EO198" authorId="5">
      <text>
        <r>
          <rPr>
            <b/>
            <sz val="9"/>
            <color indexed="81"/>
            <rFont val="Tahoma"/>
            <family val="2"/>
          </rPr>
          <t>Huang, Diane (Research):</t>
        </r>
        <r>
          <rPr>
            <sz val="9"/>
            <color indexed="81"/>
            <rFont val="Tahoma"/>
            <family val="2"/>
          </rPr>
          <t xml:space="preserve">
$10M op property sale</t>
        </r>
      </text>
    </comment>
    <comment ref="EQ198" authorId="5">
      <text>
        <r>
          <rPr>
            <b/>
            <sz val="9"/>
            <color indexed="81"/>
            <rFont val="Tahoma"/>
            <family val="2"/>
          </rPr>
          <t>Huang, Diane (Research):</t>
        </r>
        <r>
          <rPr>
            <sz val="9"/>
            <color indexed="81"/>
            <rFont val="Tahoma"/>
            <family val="2"/>
          </rPr>
          <t xml:space="preserve">
Real estate gains $32m in 1Q18 vs. $2m in 1Q17</t>
        </r>
      </text>
    </comment>
    <comment ref="EU198" authorId="5">
      <text>
        <r>
          <rPr>
            <b/>
            <sz val="9"/>
            <color indexed="81"/>
            <rFont val="Tahoma"/>
            <family val="2"/>
          </rPr>
          <t>Huang, Diane (Research):</t>
        </r>
        <r>
          <rPr>
            <sz val="9"/>
            <color indexed="81"/>
            <rFont val="Tahoma"/>
            <family val="2"/>
          </rPr>
          <t xml:space="preserve">
$240M in 2017 vs. $200M in 2018</t>
        </r>
      </text>
    </comment>
    <comment ref="DX207" authorId="5">
      <text>
        <r>
          <rPr>
            <b/>
            <sz val="9"/>
            <color indexed="81"/>
            <rFont val="Tahoma"/>
            <family val="2"/>
          </rPr>
          <t>Huang, Diane (Research):</t>
        </r>
        <r>
          <rPr>
            <sz val="9"/>
            <color indexed="81"/>
            <rFont val="Tahoma"/>
            <family val="2"/>
          </rPr>
          <t xml:space="preserve">
$9M additional expense related to network performance</t>
        </r>
      </text>
    </comment>
    <comment ref="EJ207" authorId="5">
      <text>
        <r>
          <rPr>
            <b/>
            <sz val="9"/>
            <color indexed="81"/>
            <rFont val="Tahoma"/>
            <family val="2"/>
          </rPr>
          <t>Huang, Diane (Research):</t>
        </r>
        <r>
          <rPr>
            <sz val="9"/>
            <color indexed="81"/>
            <rFont val="Tahoma"/>
            <family val="2"/>
          </rPr>
          <t xml:space="preserve">
$7m extra week</t>
        </r>
      </text>
    </comment>
    <comment ref="CY214" authorId="2">
      <text>
        <r>
          <rPr>
            <b/>
            <sz val="8"/>
            <color indexed="81"/>
            <rFont val="Tahoma"/>
            <family val="2"/>
          </rPr>
          <t>longsona:</t>
        </r>
        <r>
          <rPr>
            <sz val="8"/>
            <color indexed="81"/>
            <rFont val="Tahoma"/>
            <family val="2"/>
          </rPr>
          <t xml:space="preserve">
Expect $228M in Q2 rising to $230M in Q4</t>
        </r>
      </text>
    </comment>
    <comment ref="DA214" authorId="2">
      <text>
        <r>
          <rPr>
            <b/>
            <sz val="8"/>
            <color indexed="81"/>
            <rFont val="Tahoma"/>
            <family val="2"/>
          </rPr>
          <t>longsona:</t>
        </r>
        <r>
          <rPr>
            <sz val="8"/>
            <color indexed="81"/>
            <rFont val="Tahoma"/>
            <family val="2"/>
          </rPr>
          <t xml:space="preserve">
Expect $228M in Q2 rising to $230M in Q4</t>
        </r>
      </text>
    </comment>
    <comment ref="EJ214" authorId="5">
      <text>
        <r>
          <rPr>
            <b/>
            <sz val="9"/>
            <color indexed="81"/>
            <rFont val="Tahoma"/>
            <family val="2"/>
          </rPr>
          <t>Huang, Diane (Research):</t>
        </r>
        <r>
          <rPr>
            <sz val="9"/>
            <color indexed="81"/>
            <rFont val="Tahoma"/>
            <family val="2"/>
          </rPr>
          <t xml:space="preserve">
$25m extra week</t>
        </r>
      </text>
    </comment>
    <comment ref="EO221" authorId="5">
      <text>
        <r>
          <rPr>
            <b/>
            <sz val="9"/>
            <color indexed="81"/>
            <rFont val="Tahoma"/>
            <family val="2"/>
          </rPr>
          <t>Huang, Diane (Research):</t>
        </r>
        <r>
          <rPr>
            <sz val="9"/>
            <color indexed="81"/>
            <rFont val="Tahoma"/>
            <family val="2"/>
          </rPr>
          <t xml:space="preserve">
Includes $16M of real estate sale</t>
        </r>
      </text>
    </comment>
    <comment ref="DY223" authorId="5">
      <text>
        <r>
          <rPr>
            <b/>
            <sz val="9"/>
            <color indexed="81"/>
            <rFont val="Tahoma"/>
            <family val="2"/>
          </rPr>
          <t>Huang, Diane (Research):</t>
        </r>
        <r>
          <rPr>
            <sz val="9"/>
            <color indexed="81"/>
            <rFont val="Tahoma"/>
            <family val="2"/>
          </rPr>
          <t xml:space="preserve">
$32m and $16m expense headwind due to network inefficiencies in 2Q and 3Q14, respectively</t>
        </r>
      </text>
    </comment>
    <comment ref="DW242" authorId="5">
      <text>
        <r>
          <rPr>
            <b/>
            <sz val="9"/>
            <color indexed="81"/>
            <rFont val="Tahoma"/>
            <family val="2"/>
          </rPr>
          <t>Huang, Diane (Research):</t>
        </r>
        <r>
          <rPr>
            <sz val="9"/>
            <color indexed="81"/>
            <rFont val="Tahoma"/>
            <family val="2"/>
          </rPr>
          <t xml:space="preserve">
Weather impact on 1Q14 expense was ~$90m or $0.06/shr; weather impact rev by ~$0.02-0.03/shr</t>
        </r>
      </text>
    </comment>
    <comment ref="EF242" authorId="9">
      <text>
        <r>
          <rPr>
            <b/>
            <sz val="9"/>
            <color indexed="81"/>
            <rFont val="Tahoma"/>
            <family val="2"/>
          </rPr>
          <t>Vecchio, Alexander (Research):</t>
        </r>
        <r>
          <rPr>
            <sz val="9"/>
            <color indexed="81"/>
            <rFont val="Tahoma"/>
            <family val="2"/>
          </rPr>
          <t xml:space="preserve">
GAAP OR of 69.7%</t>
        </r>
      </text>
    </comment>
    <comment ref="EJ251" authorId="5">
      <text>
        <r>
          <rPr>
            <b/>
            <sz val="9"/>
            <color indexed="81"/>
            <rFont val="Tahoma"/>
            <family val="2"/>
          </rPr>
          <t>Huang, Diane (Research):</t>
        </r>
        <r>
          <rPr>
            <sz val="9"/>
            <color indexed="81"/>
            <rFont val="Tahoma"/>
            <family val="2"/>
          </rPr>
          <t xml:space="preserve">
EBIT benefited $62M from extra week</t>
        </r>
      </text>
    </comment>
    <comment ref="BW258" authorId="4">
      <text>
        <r>
          <rPr>
            <b/>
            <sz val="8"/>
            <color indexed="81"/>
            <rFont val="Tahoma"/>
            <family val="2"/>
          </rPr>
          <t>himanshs:</t>
        </r>
        <r>
          <rPr>
            <sz val="8"/>
            <color indexed="81"/>
            <rFont val="Tahoma"/>
            <family val="2"/>
          </rPr>
          <t xml:space="preserve">
taken from 03 report</t>
        </r>
      </text>
    </comment>
    <comment ref="BZ258" authorId="4">
      <text>
        <r>
          <rPr>
            <b/>
            <sz val="8"/>
            <color indexed="81"/>
            <rFont val="Tahoma"/>
            <family val="2"/>
          </rPr>
          <t>himanshs:</t>
        </r>
        <r>
          <rPr>
            <sz val="8"/>
            <color indexed="81"/>
            <rFont val="Tahoma"/>
            <family val="2"/>
          </rPr>
          <t xml:space="preserve">
taken from 2004 report</t>
        </r>
      </text>
    </comment>
    <comment ref="EJ263" authorId="5">
      <text>
        <r>
          <rPr>
            <b/>
            <sz val="9"/>
            <color indexed="81"/>
            <rFont val="Tahoma"/>
            <family val="2"/>
          </rPr>
          <t>Huang, Diane (Research):</t>
        </r>
        <r>
          <rPr>
            <sz val="9"/>
            <color indexed="81"/>
            <rFont val="Tahoma"/>
            <family val="2"/>
          </rPr>
          <t xml:space="preserve">
Includes $11M additional int cost related to extra week and $8M associated with 30-day holding $1.4B debt at higher interest rate</t>
        </r>
      </text>
    </comment>
    <comment ref="DP268" authorId="7">
      <text>
        <r>
          <rPr>
            <b/>
            <sz val="8"/>
            <color indexed="81"/>
            <rFont val="Tahoma"/>
            <family val="2"/>
          </rPr>
          <t>vecchale:</t>
        </r>
        <r>
          <rPr>
            <sz val="8"/>
            <color indexed="81"/>
            <rFont val="Tahoma"/>
            <family val="2"/>
          </rPr>
          <t xml:space="preserve">
4Q12: includes real estate gain of $57M</t>
        </r>
      </text>
    </comment>
    <comment ref="DX268" authorId="5">
      <text>
        <r>
          <rPr>
            <b/>
            <sz val="9"/>
            <color indexed="81"/>
            <rFont val="Tahoma"/>
            <family val="2"/>
          </rPr>
          <t>Huang, Diane (Research):</t>
        </r>
        <r>
          <rPr>
            <sz val="9"/>
            <color indexed="81"/>
            <rFont val="Tahoma"/>
            <family val="2"/>
          </rPr>
          <t xml:space="preserve">
Excludes $18M miscellaneous expense which includes env. cleanup costs related to non-op activities</t>
        </r>
      </text>
    </comment>
    <comment ref="DY268" authorId="9">
      <text>
        <r>
          <rPr>
            <b/>
            <sz val="9"/>
            <color indexed="81"/>
            <rFont val="Tahoma"/>
            <family val="2"/>
          </rPr>
          <t>Vecchio, Alexander (Research):</t>
        </r>
        <r>
          <rPr>
            <sz val="9"/>
            <color indexed="81"/>
            <rFont val="Tahoma"/>
            <family val="2"/>
          </rPr>
          <t xml:space="preserve">
3Q14: includes $13M env. cleanup costs and $16M early redemption premium</t>
        </r>
      </text>
    </comment>
    <comment ref="EJ268" authorId="5">
      <text>
        <r>
          <rPr>
            <b/>
            <sz val="9"/>
            <color indexed="81"/>
            <rFont val="Tahoma"/>
            <family val="2"/>
          </rPr>
          <t>Huang, Diane (Research):</t>
        </r>
        <r>
          <rPr>
            <sz val="9"/>
            <color indexed="81"/>
            <rFont val="Tahoma"/>
            <family val="2"/>
          </rPr>
          <t xml:space="preserve">
Includes $115M debt refinancing</t>
        </r>
      </text>
    </comment>
    <comment ref="DE272" authorId="12">
      <text>
        <r>
          <rPr>
            <b/>
            <sz val="8"/>
            <color indexed="81"/>
            <rFont val="Tahoma"/>
            <family val="2"/>
          </rPr>
          <t>elizthys:</t>
        </r>
        <r>
          <rPr>
            <sz val="8"/>
            <color indexed="81"/>
            <rFont val="Tahoma"/>
            <family val="2"/>
          </rPr>
          <t xml:space="preserve">
includes $22m tax charge</t>
        </r>
      </text>
    </comment>
    <comment ref="DW272" authorId="8">
      <text>
        <r>
          <rPr>
            <b/>
            <sz val="8"/>
            <color indexed="81"/>
            <rFont val="Tahoma"/>
            <family val="2"/>
          </rPr>
          <t>diahuang:</t>
        </r>
        <r>
          <rPr>
            <sz val="8"/>
            <color indexed="81"/>
            <rFont val="Tahoma"/>
            <family val="2"/>
          </rPr>
          <t xml:space="preserve">
During 1Q14, CSX recorded an income tax benefit of $21M, or $0.02/shr. as a result of Indiana legislation which reduced the future corporate income tax rate; adjust for $55M liquidated damages too</t>
        </r>
      </text>
    </comment>
    <comment ref="DX272" authorId="8">
      <text>
        <r>
          <rPr>
            <b/>
            <sz val="8"/>
            <color indexed="81"/>
            <rFont val="Tahoma"/>
            <family val="2"/>
          </rPr>
          <t xml:space="preserve">diahuang: </t>
        </r>
        <r>
          <rPr>
            <sz val="8"/>
            <color indexed="81"/>
            <rFont val="Tahoma"/>
            <family val="2"/>
          </rPr>
          <t>Ad</t>
        </r>
        <r>
          <rPr>
            <sz val="8"/>
            <color indexed="81"/>
            <rFont val="Tahoma"/>
            <family val="2"/>
          </rPr>
          <t>just for $11M liquidated damages and $18M other below-the-line expense related to environmental clean up costs</t>
        </r>
      </text>
    </comment>
    <comment ref="DR275" authorId="7">
      <text>
        <r>
          <rPr>
            <b/>
            <sz val="8"/>
            <color indexed="81"/>
            <rFont val="Tahoma"/>
            <family val="2"/>
          </rPr>
          <t>vecchale:</t>
        </r>
        <r>
          <rPr>
            <sz val="8"/>
            <color indexed="81"/>
            <rFont val="Tahoma"/>
            <family val="2"/>
          </rPr>
          <t xml:space="preserve">
Gaap of $0.45/shr in 1Q13</t>
        </r>
      </text>
    </comment>
    <comment ref="DS275" authorId="7">
      <text>
        <r>
          <rPr>
            <b/>
            <sz val="8"/>
            <color indexed="81"/>
            <rFont val="Tahoma"/>
            <family val="2"/>
          </rPr>
          <t>vecchale:</t>
        </r>
        <r>
          <rPr>
            <sz val="8"/>
            <color indexed="81"/>
            <rFont val="Tahoma"/>
            <family val="2"/>
          </rPr>
          <t xml:space="preserve">
Gaap of $0.51/shr in 2Q13</t>
        </r>
      </text>
    </comment>
    <comment ref="DT275" authorId="7">
      <text>
        <r>
          <rPr>
            <b/>
            <sz val="8"/>
            <color indexed="81"/>
            <rFont val="Tahoma"/>
            <family val="2"/>
          </rPr>
          <t>vecchale:</t>
        </r>
        <r>
          <rPr>
            <sz val="8"/>
            <color indexed="81"/>
            <rFont val="Tahoma"/>
            <family val="2"/>
          </rPr>
          <t xml:space="preserve">
Gaap of $0.45/shr in 3Q13</t>
        </r>
      </text>
    </comment>
    <comment ref="EB275" authorId="9">
      <text>
        <r>
          <rPr>
            <b/>
            <sz val="9"/>
            <color indexed="81"/>
            <rFont val="Tahoma"/>
            <family val="2"/>
          </rPr>
          <t>Vecchio, Alexander (Research):</t>
        </r>
        <r>
          <rPr>
            <sz val="9"/>
            <color indexed="81"/>
            <rFont val="Tahoma"/>
            <family val="2"/>
          </rPr>
          <t xml:space="preserve">
excludes $0.05/shr. tailwind from liquidated damages offset by revenue reserve adjustments</t>
        </r>
      </text>
    </comment>
    <comment ref="EJ275" authorId="10">
      <text>
        <r>
          <rPr>
            <b/>
            <sz val="8"/>
            <color indexed="81"/>
            <rFont val="Tahoma"/>
            <family val="2"/>
          </rPr>
          <t>Huang, Diane (Research):</t>
        </r>
        <r>
          <rPr>
            <sz val="8"/>
            <color indexed="81"/>
            <rFont val="Tahoma"/>
            <family val="2"/>
          </rPr>
          <t xml:space="preserve">
consensus $0.48</t>
        </r>
      </text>
    </comment>
    <comment ref="AK278" authorId="0">
      <text>
        <r>
          <rPr>
            <sz val="8"/>
            <color indexed="81"/>
            <rFont val="Tahoma"/>
            <family val="2"/>
          </rPr>
          <t>4/96: New Stock Loan and Purchase plan.  Bonus and Compensation Plan administered in Feb.
Should not increase throughout remainder of 1996.</t>
        </r>
      </text>
    </comment>
    <comment ref="AW278" authorId="1">
      <text>
        <r>
          <rPr>
            <sz val="8"/>
            <color indexed="81"/>
            <rFont val="Tahoma"/>
            <family val="2"/>
          </rPr>
          <t>10/98: The company restated share outstanding due to a change in accounting method.  We have not changed our historical share count so that our EPS agress with First Call.</t>
        </r>
      </text>
    </comment>
    <comment ref="CS278" authorId="2">
      <text>
        <r>
          <rPr>
            <b/>
            <sz val="8"/>
            <color indexed="81"/>
            <rFont val="Tahoma"/>
            <family val="2"/>
          </rPr>
          <t>longsona:</t>
        </r>
        <r>
          <rPr>
            <sz val="8"/>
            <color indexed="81"/>
            <rFont val="Tahoma"/>
            <family val="2"/>
          </rPr>
          <t xml:space="preserve">
Repurchased 70% of $3B share program by year-end '07</t>
        </r>
      </text>
    </comment>
    <comment ref="BI282" authorId="11">
      <text>
        <r>
          <rPr>
            <b/>
            <sz val="8"/>
            <color indexed="81"/>
            <rFont val="Tahoma"/>
            <family val="2"/>
          </rPr>
          <t>Michael Manelli:</t>
        </r>
        <r>
          <rPr>
            <sz val="8"/>
            <color indexed="81"/>
            <rFont val="Tahoma"/>
            <family val="2"/>
          </rPr>
          <t xml:space="preserve">
Earnings from Discontinued Operations.</t>
        </r>
      </text>
    </comment>
    <comment ref="BJ282" authorId="13">
      <text/>
    </comment>
    <comment ref="BM282" authorId="13">
      <text>
        <r>
          <rPr>
            <sz val="8"/>
            <color indexed="81"/>
            <rFont val="Tahoma"/>
            <family val="2"/>
          </rPr>
          <t>settlement of 1987 Louisianna tank car fire</t>
        </r>
      </text>
    </comment>
    <comment ref="BO282" authorId="13">
      <text>
        <r>
          <rPr>
            <sz val="8"/>
            <color indexed="81"/>
            <rFont val="Tahoma"/>
            <family val="2"/>
          </rPr>
          <t>Change in accounting per FAS 142</t>
        </r>
      </text>
    </comment>
    <comment ref="BP282" authorId="13">
      <text>
        <r>
          <rPr>
            <sz val="8"/>
            <color indexed="81"/>
            <rFont val="Tahoma"/>
            <family val="2"/>
          </rPr>
          <t>Favorable contract settlements</t>
        </r>
      </text>
    </comment>
    <comment ref="BT282" authorId="13">
      <text>
        <r>
          <rPr>
            <sz val="8"/>
            <color indexed="81"/>
            <rFont val="Tahoma"/>
            <family val="2"/>
          </rPr>
          <t>Change in accounting FAS 143</t>
        </r>
      </text>
    </comment>
    <comment ref="BV282" authorId="13">
      <text>
        <r>
          <rPr>
            <sz val="8"/>
            <color indexed="81"/>
            <rFont val="Tahoma"/>
            <family val="2"/>
          </rPr>
          <t>charge for change in accounting for personal injury liability</t>
        </r>
      </text>
    </comment>
    <comment ref="BW282" authorId="13">
      <text>
        <r>
          <rPr>
            <sz val="8"/>
            <color indexed="81"/>
            <rFont val="Tahoma"/>
            <family val="2"/>
          </rPr>
          <t>charge for change in accounting for personal injury liability</t>
        </r>
      </text>
    </comment>
    <comment ref="BY282" authorId="11">
      <text>
        <r>
          <rPr>
            <b/>
            <sz val="8"/>
            <color indexed="81"/>
            <rFont val="Tahoma"/>
            <family val="2"/>
          </rPr>
          <t>Michael Manelli:</t>
        </r>
        <r>
          <rPr>
            <sz val="8"/>
            <color indexed="81"/>
            <rFont val="Tahoma"/>
            <family val="2"/>
          </rPr>
          <t xml:space="preserve">
Restructuring charge related Nov. management restructuring.</t>
        </r>
      </text>
    </comment>
    <comment ref="BZ282" authorId="11">
      <text>
        <r>
          <rPr>
            <b/>
            <sz val="8"/>
            <color indexed="81"/>
            <rFont val="Tahoma"/>
            <family val="2"/>
          </rPr>
          <t xml:space="preserve">Michael Manell
</t>
        </r>
        <r>
          <rPr>
            <sz val="8"/>
            <color indexed="81"/>
            <rFont val="Tahoma"/>
            <family val="2"/>
          </rPr>
          <t>C</t>
        </r>
        <r>
          <rPr>
            <sz val="8"/>
            <color indexed="81"/>
            <rFont val="Tahoma"/>
            <family val="2"/>
          </rPr>
          <t>harge related to Nov. Restructuring.</t>
        </r>
      </text>
    </comment>
    <comment ref="CA282" authorId="11">
      <text>
        <r>
          <rPr>
            <b/>
            <sz val="8"/>
            <color indexed="81"/>
            <rFont val="Tahoma"/>
            <family val="2"/>
          </rPr>
          <t xml:space="preserve">Michael Manell
</t>
        </r>
        <r>
          <rPr>
            <sz val="8"/>
            <color indexed="81"/>
            <rFont val="Tahoma"/>
            <family val="2"/>
          </rPr>
          <t>C</t>
        </r>
        <r>
          <rPr>
            <sz val="8"/>
            <color indexed="81"/>
            <rFont val="Tahoma"/>
            <family val="2"/>
          </rPr>
          <t>harge related to Nov. Restructuring.</t>
        </r>
      </text>
    </comment>
    <comment ref="CD282" authorId="14">
      <text>
        <r>
          <rPr>
            <b/>
            <sz val="8"/>
            <color indexed="81"/>
            <rFont val="Tahoma"/>
            <family val="2"/>
          </rPr>
          <t>manellim:</t>
        </r>
        <r>
          <rPr>
            <sz val="8"/>
            <color indexed="81"/>
            <rFont val="Tahoma"/>
            <family val="2"/>
          </rPr>
          <t xml:space="preserve">
Gain from sale of World Terminals</t>
        </r>
      </text>
    </comment>
    <comment ref="CE282" authorId="14">
      <text>
        <r>
          <rPr>
            <b/>
            <sz val="8"/>
            <color indexed="81"/>
            <rFont val="Tahoma"/>
            <family val="2"/>
          </rPr>
          <t>manellim:</t>
        </r>
        <r>
          <rPr>
            <sz val="8"/>
            <color indexed="81"/>
            <rFont val="Tahoma"/>
            <family val="2"/>
          </rPr>
          <t xml:space="preserve">
Early Retirement of Debt, Pre-Tax (123m after tax)</t>
        </r>
      </text>
    </comment>
    <comment ref="CJ282" authorId="2">
      <text>
        <r>
          <rPr>
            <b/>
            <sz val="8"/>
            <color indexed="81"/>
            <rFont val="Tahoma"/>
            <family val="2"/>
          </rPr>
          <t>longsona:</t>
        </r>
        <r>
          <rPr>
            <sz val="8"/>
            <color indexed="81"/>
            <rFont val="Tahoma"/>
            <family val="2"/>
          </rPr>
          <t xml:space="preserve">
Gain on Katrina insurance recoveries (126MM before tax, 78MM after tax).  More gains expected in future.</t>
        </r>
      </text>
    </comment>
    <comment ref="CK282" authorId="2">
      <text>
        <r>
          <rPr>
            <b/>
            <sz val="8"/>
            <color indexed="81"/>
            <rFont val="Tahoma"/>
            <family val="2"/>
          </rPr>
          <t>longsona:</t>
        </r>
        <r>
          <rPr>
            <sz val="8"/>
            <color indexed="81"/>
            <rFont val="Tahoma"/>
            <family val="2"/>
          </rPr>
          <t xml:space="preserve">
$15MM pre-tax gain on Katrina insurance recoveries ($9MM after-tax)</t>
        </r>
      </text>
    </comment>
    <comment ref="CL282" authorId="2">
      <text>
        <r>
          <rPr>
            <b/>
            <sz val="8"/>
            <color indexed="81"/>
            <rFont val="Tahoma"/>
            <family val="2"/>
          </rPr>
          <t>longsona:</t>
        </r>
        <r>
          <rPr>
            <sz val="8"/>
            <color indexed="81"/>
            <rFont val="Tahoma"/>
            <family val="2"/>
          </rPr>
          <t xml:space="preserve">
27MM, 17MM after-tax gain on Katrina Insurance recoveries</t>
        </r>
      </text>
    </comment>
    <comment ref="CN282" authorId="2">
      <text>
        <r>
          <rPr>
            <b/>
            <sz val="8"/>
            <color indexed="81"/>
            <rFont val="Tahoma"/>
            <family val="2"/>
          </rPr>
          <t xml:space="preserve">longsona:
</t>
        </r>
        <r>
          <rPr>
            <sz val="8"/>
            <color indexed="81"/>
            <rFont val="Tahoma"/>
            <family val="2"/>
          </rPr>
          <t>18MM for Katrina Insurance recoveries</t>
        </r>
      </text>
    </comment>
    <comment ref="CP282" authorId="2">
      <text>
        <r>
          <rPr>
            <b/>
            <sz val="8"/>
            <color indexed="81"/>
            <rFont val="Tahoma"/>
            <family val="2"/>
          </rPr>
          <t>longsona:</t>
        </r>
        <r>
          <rPr>
            <sz val="8"/>
            <color indexed="81"/>
            <rFont val="Tahoma"/>
            <family val="2"/>
          </rPr>
          <t xml:space="preserve">
Gain on insurance recovery for Katrina</t>
        </r>
      </text>
    </comment>
    <comment ref="CS282" authorId="2">
      <text>
        <r>
          <rPr>
            <b/>
            <sz val="8"/>
            <color indexed="81"/>
            <rFont val="Tahoma"/>
            <family val="2"/>
          </rPr>
          <t>longsona:</t>
        </r>
        <r>
          <rPr>
            <sz val="8"/>
            <color indexed="81"/>
            <rFont val="Tahoma"/>
            <family val="2"/>
          </rPr>
          <t xml:space="preserve">
$30MM benefit from non-cash equity earnings adjustment</t>
        </r>
      </text>
    </comment>
    <comment ref="BI283" authorId="11">
      <text>
        <r>
          <rPr>
            <b/>
            <sz val="8"/>
            <color indexed="81"/>
            <rFont val="Tahoma"/>
            <family val="2"/>
          </rPr>
          <t>Michael Manelli:</t>
        </r>
        <r>
          <rPr>
            <sz val="8"/>
            <color indexed="81"/>
            <rFont val="Tahoma"/>
            <family val="2"/>
          </rPr>
          <t xml:space="preserve">
Gain on sale of discontinued operations of CTI Logistx. </t>
        </r>
      </text>
    </comment>
    <comment ref="BV283" authorId="13">
      <text>
        <r>
          <rPr>
            <sz val="8"/>
            <color indexed="81"/>
            <rFont val="Tahoma"/>
            <family val="2"/>
          </rPr>
          <t>loss on sale-related settlement of European terminal dispute
Restrucuring charge, was reclassified after CSX reported.  ($10)</t>
        </r>
      </text>
    </comment>
    <comment ref="BW283" authorId="13">
      <text>
        <r>
          <rPr>
            <sz val="8"/>
            <color indexed="81"/>
            <rFont val="Tahoma"/>
            <family val="2"/>
          </rPr>
          <t>In addition, the Company recorded a $22 million pretax, $14 million after tax,
6 cents per share, credit related to revised estimates for railroad retirement taxes and the amount of benefits that will be paid to individuals under the $1.3 billion
charges for separation plans initially recorded in 1991 and 1992.</t>
        </r>
      </text>
    </comment>
    <comment ref="CE283" authorId="14">
      <text>
        <r>
          <rPr>
            <b/>
            <sz val="8"/>
            <color indexed="81"/>
            <rFont val="Tahoma"/>
            <family val="2"/>
          </rPr>
          <t>manellim:</t>
        </r>
        <r>
          <rPr>
            <sz val="8"/>
            <color indexed="81"/>
            <rFont val="Tahoma"/>
            <family val="2"/>
          </rPr>
          <t xml:space="preserve">
Benefit From Change in Ohio Tax Regulation
(after tax)
One-time favorable coal rate case recovery</t>
        </r>
      </text>
    </comment>
    <comment ref="CJ283" authorId="2">
      <text>
        <r>
          <rPr>
            <b/>
            <sz val="8"/>
            <color indexed="81"/>
            <rFont val="Tahoma"/>
            <family val="2"/>
          </rPr>
          <t>longsona:</t>
        </r>
        <r>
          <rPr>
            <sz val="8"/>
            <color indexed="81"/>
            <rFont val="Tahoma"/>
            <family val="2"/>
          </rPr>
          <t xml:space="preserve">
41MM benefit related to resolution of tax matter</t>
        </r>
      </text>
    </comment>
    <comment ref="CK283" authorId="2">
      <text>
        <r>
          <rPr>
            <b/>
            <sz val="8"/>
            <color indexed="81"/>
            <rFont val="Tahoma"/>
            <family val="2"/>
          </rPr>
          <t>longsona:</t>
        </r>
        <r>
          <rPr>
            <sz val="8"/>
            <color indexed="81"/>
            <rFont val="Tahoma"/>
            <family val="2"/>
          </rPr>
          <t xml:space="preserve">
$69MM tax benefit related to resolution of 1994-96 tax audits.</t>
        </r>
      </text>
    </comment>
    <comment ref="CL283" authorId="2">
      <text>
        <r>
          <rPr>
            <b/>
            <sz val="8"/>
            <color indexed="81"/>
            <rFont val="Tahoma"/>
            <family val="2"/>
          </rPr>
          <t>longsona:</t>
        </r>
        <r>
          <rPr>
            <sz val="8"/>
            <color indexed="81"/>
            <rFont val="Tahoma"/>
            <family val="2"/>
          </rPr>
          <t xml:space="preserve">
tax benefit from settlement of 1997-98 income tax audit
26MM after-tax gain on additional Conrail property received</t>
        </r>
      </text>
    </comment>
    <comment ref="CS283" authorId="2">
      <text>
        <r>
          <rPr>
            <b/>
            <sz val="8"/>
            <color indexed="81"/>
            <rFont val="Tahoma"/>
            <family val="2"/>
          </rPr>
          <t>longsona:</t>
        </r>
        <r>
          <rPr>
            <sz val="8"/>
            <color indexed="81"/>
            <rFont val="Tahoma"/>
            <family val="2"/>
          </rPr>
          <t xml:space="preserve">
$2MM gain on insurance</t>
        </r>
      </text>
    </comment>
    <comment ref="CA285" authorId="14">
      <text>
        <r>
          <rPr>
            <b/>
            <sz val="8"/>
            <color indexed="81"/>
            <rFont val="Tahoma"/>
            <family val="2"/>
          </rPr>
          <t>manellim:</t>
        </r>
        <r>
          <rPr>
            <sz val="8"/>
            <color indexed="81"/>
            <rFont val="Tahoma"/>
            <family val="2"/>
          </rPr>
          <t xml:space="preserve">
$16 million after tax gain from restructuring of conrail and $2 after-tax restructuring charge.</t>
        </r>
      </text>
    </comment>
    <comment ref="CB285" authorId="14">
      <text>
        <r>
          <rPr>
            <b/>
            <sz val="8"/>
            <color indexed="81"/>
            <rFont val="Tahoma"/>
            <family val="2"/>
          </rPr>
          <t>manellim:</t>
        </r>
        <r>
          <rPr>
            <sz val="8"/>
            <color indexed="81"/>
            <rFont val="Tahoma"/>
            <family val="2"/>
          </rPr>
          <t xml:space="preserve">
</t>
        </r>
      </text>
    </comment>
    <comment ref="CD285" authorId="14">
      <text>
        <r>
          <rPr>
            <b/>
            <sz val="8"/>
            <color indexed="81"/>
            <rFont val="Tahoma"/>
            <family val="2"/>
          </rPr>
          <t>manellim:</t>
        </r>
        <r>
          <rPr>
            <sz val="8"/>
            <color indexed="81"/>
            <rFont val="Tahoma"/>
            <family val="2"/>
          </rPr>
          <t xml:space="preserve">
Includes $428 million after-tax gain from World Terminals sale and $3 million after tax loss from discontinued operations.</t>
        </r>
      </text>
    </comment>
    <comment ref="CP285" authorId="2">
      <text>
        <r>
          <rPr>
            <b/>
            <sz val="8"/>
            <color indexed="81"/>
            <rFont val="Tahoma"/>
            <family val="2"/>
          </rPr>
          <t>longsona:</t>
        </r>
        <r>
          <rPr>
            <sz val="8"/>
            <color indexed="81"/>
            <rFont val="Tahoma"/>
            <family val="2"/>
          </rPr>
          <t xml:space="preserve">
the Internal Revenue Service completed its review of the company’s pre-filing agreement, which is an early review of specific transactions. The company recorded an income tax benefit of $110 million in the third quarter of 2007, primarily associated with the resolution of income tax matters related to former activities of the container shipping and marine service businesses.</t>
        </r>
      </text>
    </comment>
    <comment ref="CV285" authorId="2">
      <text>
        <r>
          <rPr>
            <b/>
            <sz val="8"/>
            <color indexed="81"/>
            <rFont val="Tahoma"/>
            <family val="2"/>
          </rPr>
          <t>longsona:</t>
        </r>
        <r>
          <rPr>
            <sz val="8"/>
            <color indexed="81"/>
            <rFont val="Tahoma"/>
            <family val="2"/>
          </rPr>
          <t xml:space="preserve">
noncash impairment charge of approximately 27 cents per share related to the write-down of its investment in The Greenbrier resort </t>
        </r>
      </text>
    </comment>
    <comment ref="CM304" authorId="2">
      <text>
        <r>
          <rPr>
            <b/>
            <sz val="8"/>
            <color indexed="81"/>
            <rFont val="Tahoma"/>
            <family val="2"/>
          </rPr>
          <t>longsona:</t>
        </r>
        <r>
          <rPr>
            <sz val="8"/>
            <color indexed="81"/>
            <rFont val="Tahoma"/>
            <family val="2"/>
          </rPr>
          <t xml:space="preserve">
1/06: Baggs said this should be closer to $860</t>
        </r>
      </text>
    </comment>
    <comment ref="CM307" authorId="2">
      <text>
        <r>
          <rPr>
            <b/>
            <sz val="8"/>
            <color indexed="81"/>
            <rFont val="Tahoma"/>
            <family val="2"/>
          </rPr>
          <t>longsona:</t>
        </r>
        <r>
          <rPr>
            <sz val="8"/>
            <color indexed="81"/>
            <rFont val="Tahoma"/>
            <family val="2"/>
          </rPr>
          <t xml:space="preserve">
1/06: Going forward [into 2006], you can expect an effective tax rate of approximately 38%. I would also think of that 38% as predominantly current, rather than deferred</t>
        </r>
      </text>
    </comment>
    <comment ref="CR308" authorId="2">
      <text>
        <r>
          <rPr>
            <b/>
            <sz val="8"/>
            <color indexed="81"/>
            <rFont val="Tahoma"/>
            <family val="2"/>
          </rPr>
          <t>longsona:</t>
        </r>
        <r>
          <rPr>
            <sz val="8"/>
            <color indexed="81"/>
            <rFont val="Tahoma"/>
            <family val="2"/>
          </rPr>
          <t xml:space="preserve">
1/06: Waites indicated 50% cash taxes by 2007 with slight delay/ramp in 2006.</t>
        </r>
      </text>
    </comment>
    <comment ref="CM310" authorId="2">
      <text>
        <r>
          <rPr>
            <b/>
            <sz val="8"/>
            <color indexed="81"/>
            <rFont val="Tahoma"/>
            <family val="2"/>
          </rPr>
          <t>longsona:</t>
        </r>
        <r>
          <rPr>
            <sz val="8"/>
            <color indexed="81"/>
            <rFont val="Tahoma"/>
            <family val="2"/>
          </rPr>
          <t xml:space="preserve">
Helped by reclass of convertible debt back into LT debt</t>
        </r>
      </text>
    </comment>
    <comment ref="CR310" authorId="2">
      <text>
        <r>
          <rPr>
            <b/>
            <sz val="8"/>
            <color indexed="81"/>
            <rFont val="Tahoma"/>
            <family val="2"/>
          </rPr>
          <t>longsona:</t>
        </r>
        <r>
          <rPr>
            <sz val="8"/>
            <color indexed="81"/>
            <rFont val="Tahoma"/>
            <family val="2"/>
          </rPr>
          <t xml:space="preserve">
Per 10-K: CSX believes that in future periods working capital may return to a deficit.</t>
        </r>
      </text>
    </comment>
    <comment ref="CM313" authorId="2">
      <text>
        <r>
          <rPr>
            <b/>
            <sz val="8"/>
            <color indexed="81"/>
            <rFont val="Tahoma"/>
            <family val="2"/>
          </rPr>
          <t>longsona:</t>
        </r>
        <r>
          <rPr>
            <sz val="8"/>
            <color indexed="81"/>
            <rFont val="Tahoma"/>
            <family val="2"/>
          </rPr>
          <t xml:space="preserve">
1/06: We have a target capital of 1.4 billion in 2006. (ex Katrina)
- 18% of total capital is focused on new capacity, primarily for new sidings along the southeastern portion of our network, and on our line running from Albany to New York City. 
- Will continue to add locomotives to our fleet to support future growth and improve our network fluidity.  
Insurance recoveries thus far from Katrina: we have received about $120 million through January
1/06: Investments are in 2 key corridors: the Southeastern Corridor, which is a growing market, and the I-90 Corridor, which connects Chicago to the Northeast. Over the next 2 years, we'll complete around 60 projects. I'm pleased to tell you that we have already started construction on the first 20. And we're right on schedule to complete them by the third and fourth quarter of this year [2006]. There are 20 additional projects that will begin later this year, and will be completed in 2007. The last 20 will be started in 2007, and will be completed at the end of that year.
</t>
        </r>
      </text>
    </comment>
    <comment ref="CR313" authorId="2">
      <text>
        <r>
          <rPr>
            <b/>
            <sz val="8"/>
            <color indexed="81"/>
            <rFont val="Tahoma"/>
            <family val="2"/>
          </rPr>
          <t>longsona:</t>
        </r>
        <r>
          <rPr>
            <sz val="8"/>
            <color indexed="81"/>
            <rFont val="Tahoma"/>
            <family val="2"/>
          </rPr>
          <t xml:space="preserve">
9/07: Adding $230MM for 100 additional locomotives and retiring 150 leased locos
Guiding to $1.4B
$815MM for infrastructure
$250MM for new capacity
$170MM for locomotives
$170MM cars &amp; other
</t>
        </r>
      </text>
    </comment>
    <comment ref="CH315" authorId="2">
      <text>
        <r>
          <rPr>
            <b/>
            <sz val="8"/>
            <color indexed="81"/>
            <rFont val="Tahoma"/>
            <family val="2"/>
          </rPr>
          <t>longsona:</t>
        </r>
        <r>
          <rPr>
            <sz val="8"/>
            <color indexed="81"/>
            <rFont val="Tahoma"/>
            <family val="2"/>
          </rPr>
          <t xml:space="preserve">
Guiding to 50-100m of FCF after dividends</t>
        </r>
      </text>
    </comment>
    <comment ref="CM315" authorId="2">
      <text>
        <r>
          <rPr>
            <b/>
            <sz val="8"/>
            <color indexed="81"/>
            <rFont val="Tahoma"/>
            <family val="2"/>
          </rPr>
          <t>longsona:</t>
        </r>
        <r>
          <rPr>
            <sz val="8"/>
            <color indexed="81"/>
            <rFont val="Tahoma"/>
            <family val="2"/>
          </rPr>
          <t xml:space="preserve">
11/05: Should be $200M+ after dividends for 2006 per guidance</t>
        </r>
      </text>
    </comment>
    <comment ref="CR315" authorId="2">
      <text>
        <r>
          <rPr>
            <b/>
            <sz val="8"/>
            <color indexed="81"/>
            <rFont val="Tahoma"/>
            <family val="2"/>
          </rPr>
          <t>longsona:</t>
        </r>
        <r>
          <rPr>
            <sz val="8"/>
            <color indexed="81"/>
            <rFont val="Tahoma"/>
            <family val="2"/>
          </rPr>
          <t xml:space="preserve">
Should be $250M+ after dividends for 2007 per guidance</t>
        </r>
      </text>
    </comment>
    <comment ref="CH316" authorId="2">
      <text>
        <r>
          <rPr>
            <b/>
            <sz val="8"/>
            <color indexed="81"/>
            <rFont val="Tahoma"/>
            <family val="2"/>
          </rPr>
          <t>longsona:</t>
        </r>
        <r>
          <rPr>
            <sz val="8"/>
            <color indexed="81"/>
            <rFont val="Tahoma"/>
            <family val="2"/>
          </rPr>
          <t xml:space="preserve">
Includes 41MM for insurance proceeds</t>
        </r>
      </text>
    </comment>
    <comment ref="CM316" authorId="2">
      <text>
        <r>
          <rPr>
            <b/>
            <sz val="8"/>
            <color indexed="81"/>
            <rFont val="Tahoma"/>
            <family val="2"/>
          </rPr>
          <t>longsona:</t>
        </r>
        <r>
          <rPr>
            <sz val="8"/>
            <color indexed="81"/>
            <rFont val="Tahoma"/>
            <family val="2"/>
          </rPr>
          <t xml:space="preserve">
147MM from Katrina insurance recoveries</t>
        </r>
      </text>
    </comment>
    <comment ref="CR316" authorId="2">
      <text>
        <r>
          <rPr>
            <b/>
            <sz val="8"/>
            <color indexed="81"/>
            <rFont val="Tahoma"/>
            <family val="2"/>
          </rPr>
          <t>longsona:</t>
        </r>
        <r>
          <rPr>
            <sz val="8"/>
            <color indexed="81"/>
            <rFont val="Tahoma"/>
            <family val="2"/>
          </rPr>
          <t xml:space="preserve">
Insurance Proceeds</t>
        </r>
      </text>
    </comment>
    <comment ref="CM321" authorId="2">
      <text>
        <r>
          <rPr>
            <b/>
            <sz val="8"/>
            <color indexed="81"/>
            <rFont val="Tahoma"/>
            <family val="2"/>
          </rPr>
          <t>longsona:</t>
        </r>
        <r>
          <rPr>
            <sz val="8"/>
            <color indexed="81"/>
            <rFont val="Tahoma"/>
            <family val="2"/>
          </rPr>
          <t xml:space="preserve">
7/18: authority to repurchase 500MM of stock, used 272MM in 3Q and plan to use rest over next 9 months</t>
        </r>
      </text>
    </comment>
    <comment ref="CR321" authorId="2">
      <text>
        <r>
          <rPr>
            <b/>
            <sz val="8"/>
            <color indexed="81"/>
            <rFont val="Tahoma"/>
            <family val="2"/>
          </rPr>
          <t>longsona:</t>
        </r>
        <r>
          <rPr>
            <sz val="8"/>
            <color indexed="81"/>
            <rFont val="Tahoma"/>
            <family val="2"/>
          </rPr>
          <t xml:space="preserve">
CSX plans to repurchase $1.050B worth of stock in 2007
$374MM from conversion of convertible deck</t>
        </r>
      </text>
    </comment>
    <comment ref="CH322" authorId="14">
      <text>
        <r>
          <rPr>
            <b/>
            <sz val="8"/>
            <color indexed="81"/>
            <rFont val="Tahoma"/>
            <family val="2"/>
          </rPr>
          <t>manellim:</t>
        </r>
        <r>
          <rPr>
            <sz val="8"/>
            <color indexed="81"/>
            <rFont val="Tahoma"/>
            <family val="2"/>
          </rPr>
          <t xml:space="preserve">
Annouced plan to repurchase 2.5 million shares June 05-June 06.</t>
        </r>
      </text>
    </comment>
    <comment ref="CM322" authorId="2">
      <text>
        <r>
          <rPr>
            <b/>
            <sz val="8"/>
            <color indexed="81"/>
            <rFont val="Tahoma"/>
            <family val="2"/>
          </rPr>
          <t>longsona:</t>
        </r>
        <r>
          <rPr>
            <sz val="8"/>
            <color indexed="81"/>
            <rFont val="Tahoma"/>
            <family val="2"/>
          </rPr>
          <t xml:space="preserve">
2/06: authorized the purchase of up to 5.5 million shares in (approx 3.5 percent).
CPR currently has in place a normal course issuer bid under which it is permitted to purchase 2.5 million Common Shares during the 12 month period ending June 5, 2006. CPR purchased 1,761,000 shares under the existing bid in 2005. CPR intends to amend the existing bid and to renew the bid at the time of its scheduled expiry to enable it to purchase up to 5.5 million shares during 2006.
</t>
        </r>
      </text>
    </comment>
    <comment ref="CH324" authorId="2">
      <text>
        <r>
          <rPr>
            <b/>
            <sz val="8"/>
            <color indexed="81"/>
            <rFont val="Tahoma"/>
            <family val="2"/>
          </rPr>
          <t>longsona:</t>
        </r>
        <r>
          <rPr>
            <sz val="8"/>
            <color indexed="81"/>
            <rFont val="Tahoma"/>
            <family val="2"/>
          </rPr>
          <t xml:space="preserve">
Repurchased 1B of public debt on 6/05</t>
        </r>
      </text>
    </comment>
    <comment ref="CM324" authorId="2">
      <text>
        <r>
          <rPr>
            <b/>
            <sz val="8"/>
            <color indexed="81"/>
            <rFont val="Tahoma"/>
            <family val="2"/>
          </rPr>
          <t>longsona:</t>
        </r>
        <r>
          <rPr>
            <sz val="8"/>
            <color indexed="81"/>
            <rFont val="Tahoma"/>
            <family val="2"/>
          </rPr>
          <t xml:space="preserve">
7/06: Issued 400MM of 6% bonds
1/06: Oscar said CSX has reached target debt levels</t>
        </r>
      </text>
    </comment>
    <comment ref="CR324" authorId="2">
      <text>
        <r>
          <rPr>
            <b/>
            <sz val="8"/>
            <color indexed="81"/>
            <rFont val="Tahoma"/>
            <family val="2"/>
          </rPr>
          <t>longsona:</t>
        </r>
        <r>
          <rPr>
            <sz val="8"/>
            <color indexed="81"/>
            <rFont val="Tahoma"/>
            <family val="2"/>
          </rPr>
          <t xml:space="preserve">
CSX issuing $1B of debt in 2Q:
repay $600MM of debt, call $150MM of notes, $250MM for general corporate and repurchases</t>
        </r>
      </text>
    </comment>
    <comment ref="EU324" authorId="5">
      <text>
        <r>
          <rPr>
            <b/>
            <sz val="9"/>
            <color indexed="81"/>
            <rFont val="Tahoma"/>
            <family val="2"/>
          </rPr>
          <t>Huang, Diane (Research):</t>
        </r>
        <r>
          <rPr>
            <sz val="9"/>
            <color indexed="81"/>
            <rFont val="Tahoma"/>
            <family val="2"/>
          </rPr>
          <t xml:space="preserve">
2/15/18: Priced $2B debt in 3 parts</t>
        </r>
      </text>
    </comment>
    <comment ref="CI402" authorId="2">
      <text>
        <r>
          <rPr>
            <b/>
            <sz val="8"/>
            <color indexed="81"/>
            <rFont val="Tahoma"/>
            <family val="2"/>
          </rPr>
          <t>longsona:</t>
        </r>
        <r>
          <rPr>
            <sz val="8"/>
            <color indexed="81"/>
            <rFont val="Tahoma"/>
            <family val="2"/>
          </rPr>
          <t xml:space="preserve">
purchased 242k shares</t>
        </r>
      </text>
    </comment>
    <comment ref="CJ402" authorId="2">
      <text>
        <r>
          <rPr>
            <b/>
            <sz val="8"/>
            <color indexed="81"/>
            <rFont val="Tahoma"/>
            <family val="2"/>
          </rPr>
          <t>longsona:</t>
        </r>
        <r>
          <rPr>
            <sz val="8"/>
            <color indexed="81"/>
            <rFont val="Tahoma"/>
            <family val="2"/>
          </rPr>
          <t xml:space="preserve">
Repurchased approx 150MM ~ 2.1 mil shares or 4.2 mil split adjusted</t>
        </r>
      </text>
    </comment>
    <comment ref="CK402" authorId="2">
      <text>
        <r>
          <rPr>
            <b/>
            <sz val="8"/>
            <color indexed="81"/>
            <rFont val="Tahoma"/>
            <family val="2"/>
          </rPr>
          <t>longsona:</t>
        </r>
        <r>
          <rPr>
            <sz val="8"/>
            <color indexed="81"/>
            <rFont val="Tahoma"/>
            <family val="2"/>
          </rPr>
          <t xml:space="preserve">
Repurchased 272MM of stock under repurchase agreement ~ 9 mil shares</t>
        </r>
      </text>
    </comment>
    <comment ref="CL402" authorId="2">
      <text>
        <r>
          <rPr>
            <b/>
            <sz val="8"/>
            <color indexed="81"/>
            <rFont val="Tahoma"/>
            <family val="2"/>
          </rPr>
          <t>longsona:</t>
        </r>
        <r>
          <rPr>
            <sz val="8"/>
            <color indexed="81"/>
            <rFont val="Tahoma"/>
            <family val="2"/>
          </rPr>
          <t xml:space="preserve">
Bought back 1.276 mil shares for approx. $43.6MM</t>
        </r>
      </text>
    </comment>
    <comment ref="CN402" authorId="2">
      <text>
        <r>
          <rPr>
            <b/>
            <sz val="8"/>
            <color indexed="81"/>
            <rFont val="Tahoma"/>
            <family val="2"/>
          </rPr>
          <t>longsona:</t>
        </r>
        <r>
          <rPr>
            <sz val="8"/>
            <color indexed="81"/>
            <rFont val="Tahoma"/>
            <family val="2"/>
          </rPr>
          <t xml:space="preserve">
repurchased $179MM or 3.5 mil shares</t>
        </r>
      </text>
    </comment>
    <comment ref="CO402" authorId="2">
      <text>
        <r>
          <rPr>
            <b/>
            <sz val="8"/>
            <color indexed="81"/>
            <rFont val="Tahoma"/>
            <family val="2"/>
          </rPr>
          <t>longsona:</t>
        </r>
        <r>
          <rPr>
            <sz val="8"/>
            <color indexed="81"/>
            <rFont val="Tahoma"/>
            <family val="2"/>
          </rPr>
          <t xml:space="preserve">
During the second quarter, $337 million face value of convertible debentures were converted
into 12 million shares of CSX common stock.</t>
        </r>
      </text>
    </comment>
    <comment ref="CP402" authorId="2">
      <text>
        <r>
          <rPr>
            <b/>
            <sz val="8"/>
            <color indexed="81"/>
            <rFont val="Tahoma"/>
            <family val="2"/>
          </rPr>
          <t>longsona:</t>
        </r>
        <r>
          <rPr>
            <sz val="8"/>
            <color indexed="81"/>
            <rFont val="Tahoma"/>
            <family val="2"/>
          </rPr>
          <t xml:space="preserve">
Repurchased $880MM, or ~20 mil shares</t>
        </r>
      </text>
    </comment>
    <comment ref="CT402" authorId="2">
      <text>
        <r>
          <rPr>
            <b/>
            <sz val="8"/>
            <color indexed="81"/>
            <rFont val="Tahoma"/>
            <family val="2"/>
          </rPr>
          <t>longsona:</t>
        </r>
        <r>
          <rPr>
            <sz val="8"/>
            <color indexed="81"/>
            <rFont val="Tahoma"/>
            <family val="2"/>
          </rPr>
          <t xml:space="preserve">
As of June 27, 407.642</t>
        </r>
      </text>
    </comment>
  </commentList>
</comments>
</file>

<file path=xl/comments2.xml><?xml version="1.0" encoding="utf-8"?>
<comments xmlns="http://schemas.openxmlformats.org/spreadsheetml/2006/main">
  <authors>
    <author>Huang, Tracy (Research)</author>
  </authors>
  <commentList>
    <comment ref="E43" authorId="0">
      <text>
        <r>
          <rPr>
            <b/>
            <sz val="8"/>
            <color indexed="81"/>
            <rFont val="Tahoma"/>
            <family val="2"/>
          </rPr>
          <t>Huang, Tracy (Research):</t>
        </r>
        <r>
          <rPr>
            <sz val="8"/>
            <color indexed="81"/>
            <rFont val="Tahoma"/>
            <family val="2"/>
          </rPr>
          <t xml:space="preserve">
Bloomberg adjusted beta</t>
        </r>
      </text>
    </comment>
  </commentList>
</comments>
</file>

<file path=xl/comments3.xml><?xml version="1.0" encoding="utf-8"?>
<comments xmlns="http://schemas.openxmlformats.org/spreadsheetml/2006/main">
  <authors>
    <author>Huang, Diane (Research)</author>
  </authors>
  <commentList>
    <comment ref="E461" authorId="0">
      <text>
        <r>
          <rPr>
            <b/>
            <sz val="9"/>
            <color indexed="81"/>
            <rFont val="Tahoma"/>
            <family val="2"/>
          </rPr>
          <t>Huang, Diane (Research):</t>
        </r>
        <r>
          <rPr>
            <sz val="9"/>
            <color indexed="81"/>
            <rFont val="Tahoma"/>
            <family val="2"/>
          </rPr>
          <t xml:space="preserve">
=TF("csx","TF.PR.PriceClose(sdate=#1)",,C453)</t>
        </r>
      </text>
    </comment>
  </commentList>
</comments>
</file>

<file path=xl/comments4.xml><?xml version="1.0" encoding="utf-8"?>
<comments xmlns="http://schemas.openxmlformats.org/spreadsheetml/2006/main">
  <authors>
    <author>mogres</author>
  </authors>
  <commentList>
    <comment ref="H1" authorId="0">
      <text>
        <r>
          <rPr>
            <sz val="8"/>
            <color indexed="81"/>
            <rFont val="Tahoma"/>
            <family val="2"/>
          </rPr>
          <t>Enter Sedol on row 3, if this is a non-covered company.</t>
        </r>
      </text>
    </comment>
    <comment ref="A8" authorId="0">
      <text>
        <r>
          <rPr>
            <sz val="8"/>
            <color indexed="81"/>
            <rFont val="Tahoma"/>
            <family val="2"/>
          </rPr>
          <t xml:space="preserve">
</t>
        </r>
        <r>
          <rPr>
            <b/>
            <sz val="8"/>
            <color indexed="81"/>
            <rFont val="Tahoma"/>
            <family val="2"/>
          </rPr>
          <t xml:space="preserve">Discount rate </t>
        </r>
        <r>
          <rPr>
            <sz val="8"/>
            <color indexed="81"/>
            <rFont val="Tahoma"/>
            <family val="2"/>
          </rPr>
          <t>is based on the Corporate AA bond rate and is used to calculate the present value of pension benefit obligations.
Because the companies have some discretion over how they estimate the rate and the duration of future benefit payments varies from company to company, rates will differ slightly from company to company. It is reset every year based on current market conditions.</t>
        </r>
        <r>
          <rPr>
            <b/>
            <sz val="8"/>
            <color indexed="81"/>
            <rFont val="Tahoma"/>
            <family val="2"/>
          </rPr>
          <t xml:space="preserve">
How to forecast this line item if Pension is material for my company?</t>
        </r>
        <r>
          <rPr>
            <sz val="8"/>
            <color indexed="81"/>
            <rFont val="Tahoma"/>
            <family val="2"/>
          </rPr>
          <t xml:space="preserve">
Assuming you wouldn't want to forecast the interest rates, set this equal to prior period's discount rate. If you are in the middle of FY1, you could make an attempt to use the latest available rate using the appropriate bond index yield. Contact AST if you wish to do so. However, from FY2 onwards, you should set it equal to prior period's discount rate.
</t>
        </r>
        <r>
          <rPr>
            <b/>
            <sz val="8"/>
            <color indexed="81"/>
            <rFont val="Tahoma"/>
            <family val="2"/>
          </rPr>
          <t xml:space="preserve">How does the template forecast it?
</t>
        </r>
        <r>
          <rPr>
            <sz val="8"/>
            <color indexed="81"/>
            <rFont val="Tahoma"/>
            <family val="2"/>
          </rPr>
          <t>The template does not make an attempt to forecast the interest rates and flat lines it.</t>
        </r>
      </text>
    </comment>
    <comment ref="A11" authorId="0">
      <text>
        <r>
          <rPr>
            <b/>
            <sz val="8"/>
            <color indexed="81"/>
            <rFont val="Tahoma"/>
            <family val="2"/>
          </rPr>
          <t xml:space="preserve">
EROA</t>
        </r>
        <r>
          <rPr>
            <sz val="8"/>
            <color indexed="81"/>
            <rFont val="Tahoma"/>
            <family val="2"/>
          </rPr>
          <t xml:space="preserve"> is management’s estimate of the long-term rate of return for plan assets and is used to calculate a component of pension expense. This will vary widely from company to company depending on asset mix and other assumptions. EROA generally does not change year-to-year.</t>
        </r>
        <r>
          <rPr>
            <b/>
            <sz val="8"/>
            <color indexed="81"/>
            <rFont val="Tahoma"/>
            <family val="2"/>
          </rPr>
          <t xml:space="preserve">
How to forecast this line item if Pension is material for my company?</t>
        </r>
        <r>
          <rPr>
            <sz val="8"/>
            <color indexed="81"/>
            <rFont val="Tahoma"/>
            <family val="2"/>
          </rPr>
          <t xml:space="preserve">
It should be flat lined unless the management provides guidance on changing it in future year/s OR changing the asset mix in future years/s (e.g. set it lower if the company plans to move their plan assets towards fixed income to better match the asset - liability duration)
</t>
        </r>
        <r>
          <rPr>
            <b/>
            <sz val="8"/>
            <color indexed="81"/>
            <rFont val="Tahoma"/>
            <family val="2"/>
          </rPr>
          <t xml:space="preserve">How does the template forecast it?
</t>
        </r>
        <r>
          <rPr>
            <sz val="8"/>
            <color indexed="81"/>
            <rFont val="Tahoma"/>
            <family val="2"/>
          </rPr>
          <t>The template flat lines the management disclosed estimate of the long-term rate of return on plan assets.</t>
        </r>
      </text>
    </comment>
    <comment ref="A12" authorId="0">
      <text>
        <r>
          <rPr>
            <b/>
            <sz val="8"/>
            <color indexed="81"/>
            <rFont val="Tahoma"/>
            <family val="2"/>
          </rPr>
          <t xml:space="preserve">
Actual Rate of Return </t>
        </r>
        <r>
          <rPr>
            <sz val="8"/>
            <color indexed="81"/>
            <rFont val="Tahoma"/>
            <family val="2"/>
          </rPr>
          <t>is the actual return generated on pension plan assets.</t>
        </r>
        <r>
          <rPr>
            <b/>
            <sz val="8"/>
            <color indexed="81"/>
            <rFont val="Tahoma"/>
            <family val="2"/>
          </rPr>
          <t xml:space="preserve">
How to forecast this line item if Pension is material for my company?</t>
        </r>
        <r>
          <rPr>
            <sz val="8"/>
            <color indexed="81"/>
            <rFont val="Tahoma"/>
            <family val="2"/>
          </rPr>
          <t xml:space="preserve">
You should set it equal to management's EROA assuming you wouldn't want to forecast the returns on underlying plan assets. If you are in the middle of FY1, you could attempt to use the actual return (YTD) using underlying asset index return. Contact AST if you wish to do so. However, from FY2 onwards, you should set it equal to management's EROA.
</t>
        </r>
        <r>
          <rPr>
            <b/>
            <sz val="8"/>
            <color indexed="81"/>
            <rFont val="Tahoma"/>
            <family val="2"/>
          </rPr>
          <t xml:space="preserve">How does the template forecast it?
</t>
        </r>
        <r>
          <rPr>
            <sz val="8"/>
            <color indexed="81"/>
            <rFont val="Tahoma"/>
            <family val="2"/>
          </rPr>
          <t xml:space="preserve">The template does not attempt to forecast the actual rate of return and sets it equal to management's EROA. </t>
        </r>
      </text>
    </comment>
    <comment ref="A13" authorId="0">
      <text>
        <r>
          <rPr>
            <sz val="8"/>
            <color indexed="81"/>
            <rFont val="Tahoma"/>
            <family val="2"/>
          </rPr>
          <t xml:space="preserve">
The pension obligation on the balance sheet is tax-deductible
when a company contributes to the plan. Companies report it gross of tax, and the corresponding tax benefit is recorded as a deferred tax asset on BS. </t>
        </r>
        <r>
          <rPr>
            <b/>
            <sz val="8"/>
            <color indexed="81"/>
            <rFont val="Tahoma"/>
            <family val="2"/>
          </rPr>
          <t>Statutory tax rate</t>
        </r>
        <r>
          <rPr>
            <sz val="8"/>
            <color indexed="81"/>
            <rFont val="Tahoma"/>
            <family val="2"/>
          </rPr>
          <t xml:space="preserve"> is thus used to compute the deferred tax benefits associated with pensions.</t>
        </r>
        <r>
          <rPr>
            <b/>
            <sz val="8"/>
            <color indexed="81"/>
            <rFont val="Tahoma"/>
            <family val="2"/>
          </rPr>
          <t xml:space="preserve">
How to forecast this line item if Pension is material for my company?</t>
        </r>
        <r>
          <rPr>
            <sz val="8"/>
            <color indexed="81"/>
            <rFont val="Tahoma"/>
            <family val="2"/>
          </rPr>
          <t xml:space="preserve">
You should set it equal to the corporate tax rate of 35% for the US plan or a blended rate if the company has pension plans in other countries as well.
</t>
        </r>
        <r>
          <rPr>
            <b/>
            <sz val="8"/>
            <color indexed="81"/>
            <rFont val="Tahoma"/>
            <family val="2"/>
          </rPr>
          <t xml:space="preserve">How does the template forecast it?
</t>
        </r>
        <r>
          <rPr>
            <sz val="8"/>
            <color indexed="81"/>
            <rFont val="Tahoma"/>
            <family val="2"/>
          </rPr>
          <t>The template sets it equal to the statutory tax rate tagged in your model, and for non covered companies it assumes it to be the US corporate tax rate of 35%.</t>
        </r>
      </text>
    </comment>
    <comment ref="A19" authorId="0">
      <text>
        <r>
          <rPr>
            <b/>
            <sz val="8"/>
            <color indexed="81"/>
            <rFont val="Tahoma"/>
            <family val="2"/>
          </rPr>
          <t xml:space="preserve">
Service cost</t>
        </r>
        <r>
          <rPr>
            <sz val="8"/>
            <color indexed="81"/>
            <rFont val="Tahoma"/>
            <family val="2"/>
          </rPr>
          <t xml:space="preserve"> is the 'present value' of new benefits earned during the period and represents the economic operating cost of the ongoing plan. When a company reduces benefits, future service costs decline. If they freeze the plans (i.e. stop the accrual of new benefits), service costs are zero.</t>
        </r>
        <r>
          <rPr>
            <b/>
            <sz val="8"/>
            <color indexed="81"/>
            <rFont val="Tahoma"/>
            <family val="2"/>
          </rPr>
          <t xml:space="preserve">
How to forecast this line item if Pension is material for my company?</t>
        </r>
        <r>
          <rPr>
            <sz val="8"/>
            <color indexed="81"/>
            <rFont val="Tahoma"/>
            <family val="2"/>
          </rPr>
          <t xml:space="preserve">
For an active plan, service cost </t>
        </r>
        <r>
          <rPr>
            <u/>
            <sz val="8"/>
            <color indexed="81"/>
            <rFont val="Tahoma"/>
            <family val="2"/>
          </rPr>
          <t>usually</t>
        </r>
        <r>
          <rPr>
            <sz val="8"/>
            <color indexed="81"/>
            <rFont val="Tahoma"/>
            <family val="2"/>
          </rPr>
          <t xml:space="preserve"> remains steady in</t>
        </r>
        <r>
          <rPr>
            <u/>
            <sz val="8"/>
            <color indexed="81"/>
            <rFont val="Tahoma"/>
            <family val="2"/>
          </rPr>
          <t xml:space="preserve"> real</t>
        </r>
        <r>
          <rPr>
            <sz val="8"/>
            <color indexed="81"/>
            <rFont val="Tahoma"/>
            <family val="2"/>
          </rPr>
          <t xml:space="preserve"> terms and thus changes only to the extent of changes in interest (discount) rates. It should thus be forecasted after considering the changes in interest rates (if forecasted) for the period and using a rule of thumb which states that -- every 100 bps change in discount rate results in about 10% change in service cost.
If the plan is frozen, set this equal to zero.
</t>
        </r>
        <r>
          <rPr>
            <b/>
            <sz val="8"/>
            <color indexed="81"/>
            <rFont val="Tahoma"/>
            <family val="2"/>
          </rPr>
          <t xml:space="preserve">How does the template forecast it?
</t>
        </r>
        <r>
          <rPr>
            <sz val="8"/>
            <color indexed="81"/>
            <rFont val="Tahoma"/>
            <family val="2"/>
          </rPr>
          <t xml:space="preserve">The template uses a rule of thumb and forecasts the service cost by considering the changes in discount rates (if forecasted - we think its unlikely) on row 8. </t>
        </r>
      </text>
    </comment>
    <comment ref="A20" authorId="0">
      <text>
        <r>
          <rPr>
            <b/>
            <sz val="8"/>
            <color indexed="81"/>
            <rFont val="Tahoma"/>
            <family val="2"/>
          </rPr>
          <t xml:space="preserve">
Prior service cost</t>
        </r>
        <r>
          <rPr>
            <sz val="8"/>
            <color indexed="81"/>
            <rFont val="Tahoma"/>
            <family val="2"/>
          </rPr>
          <t xml:space="preserve"> : When a plan is amended to change benefits, the PBO is re-measured to reflect the new benefit formula. These differences are smoothed into pension expense over the remaining service life of employees as prior service costs. </t>
        </r>
        <r>
          <rPr>
            <b/>
            <sz val="8"/>
            <color indexed="81"/>
            <rFont val="Tahoma"/>
            <family val="2"/>
          </rPr>
          <t xml:space="preserve">
How to forecast this line item if Pension is material for my company?</t>
        </r>
        <r>
          <rPr>
            <sz val="8"/>
            <color indexed="81"/>
            <rFont val="Tahoma"/>
            <family val="2"/>
          </rPr>
          <t xml:space="preserve">
Becasue these are the differences due to amendments in plan benefits, which are then smoothed over a period of time - they tend to be persistent. They should thus be flat lied in forecast years.
</t>
        </r>
        <r>
          <rPr>
            <b/>
            <sz val="8"/>
            <color indexed="81"/>
            <rFont val="Tahoma"/>
            <family val="2"/>
          </rPr>
          <t>How does the template forecast it?</t>
        </r>
        <r>
          <rPr>
            <sz val="8"/>
            <color indexed="81"/>
            <rFont val="Tahoma"/>
            <family val="2"/>
          </rPr>
          <t xml:space="preserve">
The template does not make an attempt to forecast this line item and flat lines it in forecast years.</t>
        </r>
      </text>
    </comment>
    <comment ref="A21" authorId="0">
      <text>
        <r>
          <rPr>
            <b/>
            <sz val="8"/>
            <color indexed="81"/>
            <rFont val="Tahoma"/>
            <family val="2"/>
          </rPr>
          <t xml:space="preserve">
Interest cost</t>
        </r>
        <r>
          <rPr>
            <sz val="8"/>
            <color indexed="81"/>
            <rFont val="Tahoma"/>
            <family val="2"/>
          </rPr>
          <t xml:space="preserve"> is the discount rate (see row 8) times the PBO. It represents the financing cost of the gross liability i.e. PBO.</t>
        </r>
        <r>
          <rPr>
            <b/>
            <sz val="8"/>
            <color indexed="81"/>
            <rFont val="Tahoma"/>
            <family val="2"/>
          </rPr>
          <t xml:space="preserve">
How to forecast this line item if Pension is material for my company?</t>
        </r>
        <r>
          <rPr>
            <sz val="8"/>
            <color indexed="81"/>
            <rFont val="Tahoma"/>
            <family val="2"/>
          </rPr>
          <t xml:space="preserve">
Interest cost should be calculated as discount rate (BOP) (row 8) times the projected benefit obligation (BOP).
</t>
        </r>
        <r>
          <rPr>
            <b/>
            <sz val="8"/>
            <color indexed="81"/>
            <rFont val="Tahoma"/>
            <family val="2"/>
          </rPr>
          <t xml:space="preserve">How does the template forecast it?
</t>
        </r>
        <r>
          <rPr>
            <sz val="8"/>
            <color indexed="81"/>
            <rFont val="Tahoma"/>
            <family val="2"/>
          </rPr>
          <t>Interest cost is calculated as discount rate (BOP) times the projected benefit obligation (BOP).</t>
        </r>
      </text>
    </comment>
    <comment ref="A22" authorId="0">
      <text>
        <r>
          <rPr>
            <b/>
            <sz val="8"/>
            <color indexed="81"/>
            <rFont val="Tahoma"/>
            <family val="2"/>
          </rPr>
          <t xml:space="preserve">
EROA</t>
        </r>
        <r>
          <rPr>
            <sz val="8"/>
            <color indexed="81"/>
            <rFont val="Tahoma"/>
            <family val="2"/>
          </rPr>
          <t xml:space="preserve"> is management’s estimate of the long-term rate of return for plan assets and is used to calculate a component of pension expense. This will vary widely from company to company depending on asset mix and other assumptions.</t>
        </r>
        <r>
          <rPr>
            <b/>
            <sz val="8"/>
            <color indexed="81"/>
            <rFont val="Tahoma"/>
            <family val="2"/>
          </rPr>
          <t xml:space="preserve">
How to forecast this line item if Pension is material for my company?</t>
        </r>
        <r>
          <rPr>
            <sz val="8"/>
            <color indexed="81"/>
            <rFont val="Tahoma"/>
            <family val="2"/>
          </rPr>
          <t xml:space="preserve">
EROA should be calculated as management’s assumption of the long-term return times the FV of plan assets (BOP).
</t>
        </r>
        <r>
          <rPr>
            <b/>
            <sz val="8"/>
            <color indexed="81"/>
            <rFont val="Tahoma"/>
            <family val="2"/>
          </rPr>
          <t xml:space="preserve">How does the template forecast it?
</t>
        </r>
        <r>
          <rPr>
            <sz val="8"/>
            <color indexed="81"/>
            <rFont val="Tahoma"/>
            <family val="2"/>
          </rPr>
          <t>EROA is calculated as  management’s assumption of the long-term return times the FV of plan assets (BOP).</t>
        </r>
      </text>
    </comment>
    <comment ref="A23" authorId="0">
      <text>
        <r>
          <rPr>
            <sz val="8"/>
            <color indexed="81"/>
            <rFont val="Tahoma"/>
            <family val="2"/>
          </rPr>
          <t xml:space="preserve">
Companies that have voluntarily changed their GAAP pension accounting recognize all actuarial gains/losses that occurred during the year in the 4th quarter, instead of amortizing them over time. </t>
        </r>
        <r>
          <rPr>
            <b/>
            <sz val="8"/>
            <color indexed="81"/>
            <rFont val="Tahoma"/>
            <family val="2"/>
          </rPr>
          <t xml:space="preserve">
How to forecast this line item if Pension is material for my company?</t>
        </r>
        <r>
          <rPr>
            <sz val="8"/>
            <color indexed="81"/>
            <rFont val="Tahoma"/>
            <family val="2"/>
          </rPr>
          <t xml:space="preserve">
This line item is not important from an economic standpoint and is also impossible to forecast. You should set this line item equal to zero for the forecast years.
</t>
        </r>
        <r>
          <rPr>
            <b/>
            <sz val="8"/>
            <color indexed="81"/>
            <rFont val="Tahoma"/>
            <family val="2"/>
          </rPr>
          <t xml:space="preserve">How does the template forecast it?
</t>
        </r>
        <r>
          <rPr>
            <sz val="8"/>
            <color indexed="81"/>
            <rFont val="Tahoma"/>
            <family val="2"/>
          </rPr>
          <t>The template computes the actuarial gains and losses for the year by considering changes in interest rates (row 8) and the difference in EROA and actual rate of return (Row 11 &amp;12) to recognize it immediately on the income statement.</t>
        </r>
      </text>
    </comment>
    <comment ref="A24" authorId="0">
      <text>
        <r>
          <rPr>
            <b/>
            <sz val="8"/>
            <color indexed="81"/>
            <rFont val="Tahoma"/>
            <family val="2"/>
          </rPr>
          <t xml:space="preserve">
In the template, this line item may include the total of:
</t>
        </r>
        <r>
          <rPr>
            <sz val="8"/>
            <color indexed="81"/>
            <rFont val="Tahoma"/>
            <family val="2"/>
          </rPr>
          <t>1</t>
        </r>
        <r>
          <rPr>
            <u/>
            <sz val="8"/>
            <color indexed="81"/>
            <rFont val="Tahoma"/>
            <family val="2"/>
          </rPr>
          <t xml:space="preserve">. Amortization of actuarial gains &amp; losses: </t>
        </r>
        <r>
          <rPr>
            <sz val="8"/>
            <color indexed="81"/>
            <rFont val="Tahoma"/>
            <family val="2"/>
          </rPr>
          <t>When the actual results of the plan (which are reported on the balance sheet) differ significantly from the actuarial estimates (which are reported on the income statement), these differences are smoothed into pension expense over time, usually over the average remaining working life of employees.</t>
        </r>
        <r>
          <rPr>
            <b/>
            <sz val="8"/>
            <color indexed="81"/>
            <rFont val="Tahoma"/>
            <family val="2"/>
          </rPr>
          <t xml:space="preserve">
</t>
        </r>
        <r>
          <rPr>
            <sz val="8"/>
            <color indexed="81"/>
            <rFont val="Tahoma"/>
            <family val="2"/>
          </rPr>
          <t>2</t>
        </r>
        <r>
          <rPr>
            <u/>
            <sz val="8"/>
            <color indexed="81"/>
            <rFont val="Tahoma"/>
            <family val="2"/>
          </rPr>
          <t>. Other adjustments</t>
        </r>
        <r>
          <rPr>
            <sz val="8"/>
            <color indexed="81"/>
            <rFont val="Tahoma"/>
            <family val="2"/>
          </rPr>
          <t xml:space="preserve"> such as settlements and curtailments. These tend to be one-time in nature, and related to plan changes.</t>
        </r>
        <r>
          <rPr>
            <b/>
            <sz val="8"/>
            <color indexed="81"/>
            <rFont val="Tahoma"/>
            <family val="2"/>
          </rPr>
          <t xml:space="preserve">
How to forecast this line item if Pension is material for my company?
</t>
        </r>
        <r>
          <rPr>
            <sz val="8"/>
            <color indexed="81"/>
            <rFont val="Tahoma"/>
            <family val="2"/>
          </rPr>
          <t>Pension footnote discloses amortization of actuarial gains/ losses for the next fiscal year. For the remaining forecast years, you should use the approach mentioned below. Also, contact AST to make sure that the numbers make sense.</t>
        </r>
        <r>
          <rPr>
            <sz val="8"/>
            <color indexed="81"/>
            <rFont val="Tahoma"/>
            <family val="2"/>
          </rPr>
          <t xml:space="preserve">
</t>
        </r>
        <r>
          <rPr>
            <b/>
            <sz val="8"/>
            <color indexed="81"/>
            <rFont val="Tahoma"/>
            <family val="2"/>
          </rPr>
          <t xml:space="preserve">How does the template forecast it?
</t>
        </r>
        <r>
          <rPr>
            <sz val="8"/>
            <color indexed="81"/>
            <rFont val="Tahoma"/>
            <family val="2"/>
          </rPr>
          <t>The template computes the actuarial gains and losses for the year by considering changes in interest rates (row 8) and the difference in EROA and actual rate of return (Row 11 &amp;12). It divides the actuarial loss for the year by avg. remaining working life of employees to compute the amortization for the year and then adds 
it to the amortization of accumulated gain / loss of previous year.</t>
        </r>
      </text>
    </comment>
    <comment ref="A25" authorId="0">
      <text>
        <r>
          <rPr>
            <b/>
            <sz val="8"/>
            <color indexed="81"/>
            <rFont val="Tahoma"/>
            <family val="2"/>
          </rPr>
          <t xml:space="preserve">
Pension expense</t>
        </r>
        <r>
          <rPr>
            <sz val="8"/>
            <color indexed="81"/>
            <rFont val="Tahoma"/>
            <family val="2"/>
          </rPr>
          <t xml:space="preserve"> is an accrued pension expense and is entirely non-cash. It is calculated as Service cost (+) Interest cost (-) EROA (+/-) Amortization of actuarial gains/ losses / prior service cost.</t>
        </r>
      </text>
    </comment>
    <comment ref="A29" authorId="0">
      <text>
        <r>
          <rPr>
            <b/>
            <sz val="8"/>
            <color indexed="81"/>
            <rFont val="Tahoma"/>
            <family val="2"/>
          </rPr>
          <t xml:space="preserve">
PBO</t>
        </r>
        <r>
          <rPr>
            <sz val="8"/>
            <color indexed="81"/>
            <rFont val="Tahoma"/>
            <family val="2"/>
          </rPr>
          <t xml:space="preserve"> is the present value of the projected benefit obligations earned to date. Employees earn benefits as they accumulate years of service. The obligations are measured at present value using the corporate AA bond rate and are re-measured each year to account for interest rate changes, assumption changes, new benefits earned (represented by service cost), and passage of time (represented by interest cost) which increase the PBO. Also, benefits paid during the year decrease the PBO.</t>
        </r>
      </text>
    </comment>
    <comment ref="A30" authorId="0">
      <text>
        <r>
          <rPr>
            <b/>
            <sz val="8"/>
            <color indexed="81"/>
            <rFont val="Tahoma"/>
            <family val="2"/>
          </rPr>
          <t xml:space="preserve">
Service cost</t>
        </r>
        <r>
          <rPr>
            <sz val="8"/>
            <color indexed="81"/>
            <rFont val="Tahoma"/>
            <family val="2"/>
          </rPr>
          <t xml:space="preserve"> is incurred each period as employees earn new benefits for increased time of service and is thus added to PBO, which is the PV of the projected benefit obligations </t>
        </r>
        <r>
          <rPr>
            <u/>
            <sz val="8"/>
            <color indexed="81"/>
            <rFont val="Tahoma"/>
            <family val="2"/>
          </rPr>
          <t>earned to date.</t>
        </r>
        <r>
          <rPr>
            <b/>
            <sz val="8"/>
            <color indexed="81"/>
            <rFont val="Tahoma"/>
            <family val="2"/>
          </rPr>
          <t xml:space="preserve">
How to forecast this line item if Pension is material for my company?
</t>
        </r>
        <r>
          <rPr>
            <sz val="8"/>
            <color indexed="81"/>
            <rFont val="Tahoma"/>
            <family val="2"/>
          </rPr>
          <t>It should be linked to service cost for the year already forecasted on the income statement.</t>
        </r>
        <r>
          <rPr>
            <b/>
            <sz val="8"/>
            <color indexed="81"/>
            <rFont val="Tahoma"/>
            <family val="2"/>
          </rPr>
          <t xml:space="preserve">
How does the template forecast it?
</t>
        </r>
        <r>
          <rPr>
            <sz val="8"/>
            <color indexed="81"/>
            <rFont val="Tahoma"/>
            <family val="2"/>
          </rPr>
          <t>It is linked to service cost for the year already forecasted on the income statement.</t>
        </r>
      </text>
    </comment>
    <comment ref="A31" authorId="0">
      <text>
        <r>
          <rPr>
            <b/>
            <sz val="8"/>
            <color indexed="81"/>
            <rFont val="Tahoma"/>
            <family val="2"/>
          </rPr>
          <t xml:space="preserve">
Interest cost is</t>
        </r>
        <r>
          <rPr>
            <sz val="8"/>
            <color indexed="81"/>
            <rFont val="Tahoma"/>
            <family val="2"/>
          </rPr>
          <t xml:space="preserve"> the financing cost of the gross liability and is thus added to PBO.</t>
        </r>
        <r>
          <rPr>
            <b/>
            <sz val="8"/>
            <color indexed="81"/>
            <rFont val="Tahoma"/>
            <family val="2"/>
          </rPr>
          <t xml:space="preserve">
How to forecast this line item if Pension is material for my company?</t>
        </r>
        <r>
          <rPr>
            <sz val="8"/>
            <color indexed="81"/>
            <rFont val="Tahoma"/>
            <family val="2"/>
          </rPr>
          <t xml:space="preserve">
It should be linked to interest cost for the year already forecasted on the income statement.
</t>
        </r>
        <r>
          <rPr>
            <b/>
            <sz val="8"/>
            <color indexed="81"/>
            <rFont val="Tahoma"/>
            <family val="2"/>
          </rPr>
          <t>How does the template forecast it?</t>
        </r>
        <r>
          <rPr>
            <sz val="8"/>
            <color indexed="81"/>
            <rFont val="Tahoma"/>
            <family val="2"/>
          </rPr>
          <t xml:space="preserve">
It is linked to interest cost for the year already forecasted on the income statement.
</t>
        </r>
      </text>
    </comment>
    <comment ref="A32" authorId="0">
      <text>
        <r>
          <rPr>
            <b/>
            <sz val="8"/>
            <color indexed="81"/>
            <rFont val="Tahoma"/>
            <family val="2"/>
          </rPr>
          <t xml:space="preserve">
Actuarial loss (gain)</t>
        </r>
        <r>
          <rPr>
            <sz val="8"/>
            <color indexed="81"/>
            <rFont val="Tahoma"/>
            <family val="2"/>
          </rPr>
          <t xml:space="preserve"> is the magnitude of disconnect between actuarial estimates and actual experience in a company's pension plan. For example, if the interest (discount) rate used to compute the PV of benefit obligations declines, it results in increase in the obligations and the change in liability is accounted as an actuarial loss for the year.</t>
        </r>
        <r>
          <rPr>
            <b/>
            <sz val="8"/>
            <color indexed="81"/>
            <rFont val="Tahoma"/>
            <family val="2"/>
          </rPr>
          <t xml:space="preserve">
How to forecast this line item if Pension is material for my company?
</t>
        </r>
        <r>
          <rPr>
            <sz val="8"/>
            <color indexed="81"/>
            <rFont val="Tahoma"/>
            <family val="2"/>
          </rPr>
          <t>It should be forecasted by considering the changes in interest rates (if forecasted) for the period (row 8) and using a rule of thumb which states that -- every 100 bps change in discount rate results in about 10% change in PBO.</t>
        </r>
        <r>
          <rPr>
            <b/>
            <sz val="8"/>
            <color indexed="81"/>
            <rFont val="Tahoma"/>
            <family val="2"/>
          </rPr>
          <t xml:space="preserve">
How does the template forecast it?
</t>
        </r>
        <r>
          <rPr>
            <sz val="8"/>
            <color indexed="81"/>
            <rFont val="Tahoma"/>
            <family val="2"/>
          </rPr>
          <t>The template uses a rule of thumb and forecasts this number after considering the changes in discount rates on row 8.</t>
        </r>
      </text>
    </comment>
    <comment ref="A33" authorId="0">
      <text>
        <r>
          <rPr>
            <b/>
            <sz val="8"/>
            <color indexed="81"/>
            <rFont val="Tahoma"/>
            <family val="2"/>
          </rPr>
          <t xml:space="preserve">
Benefits payments </t>
        </r>
        <r>
          <rPr>
            <sz val="8"/>
            <color indexed="81"/>
            <rFont val="Tahoma"/>
            <family val="2"/>
          </rPr>
          <t>are the actual pension benefit payments made to the employees during the year. It reduces the pension liability by the amount of the benefits paid.</t>
        </r>
        <r>
          <rPr>
            <b/>
            <sz val="8"/>
            <color indexed="81"/>
            <rFont val="Tahoma"/>
            <family val="2"/>
          </rPr>
          <t xml:space="preserve">
How to forecast this line item if Pension is material for my company?</t>
        </r>
        <r>
          <rPr>
            <sz val="8"/>
            <color indexed="81"/>
            <rFont val="Tahoma"/>
            <family val="2"/>
          </rPr>
          <t xml:space="preserve">
The pension footnote discloses the expected benefit payments to retirees for the next 5 years, and the aggregate payment for the following 5 years which should be used in the template to forecast future benefit payments.
</t>
        </r>
        <r>
          <rPr>
            <b/>
            <sz val="8"/>
            <color indexed="81"/>
            <rFont val="Tahoma"/>
            <family val="2"/>
          </rPr>
          <t xml:space="preserve">How does the template forecast it?
</t>
        </r>
        <r>
          <rPr>
            <sz val="8"/>
            <color indexed="81"/>
            <rFont val="Tahoma"/>
            <family val="2"/>
          </rPr>
          <t>Because benefit payments are usually steady in nature, the template flat lines it.</t>
        </r>
      </text>
    </comment>
    <comment ref="A34" authorId="0">
      <text>
        <r>
          <rPr>
            <b/>
            <sz val="8"/>
            <color indexed="81"/>
            <rFont val="Tahoma"/>
            <family val="2"/>
          </rPr>
          <t xml:space="preserve">
In the template, this line item may include the total of:</t>
        </r>
        <r>
          <rPr>
            <sz val="8"/>
            <color indexed="81"/>
            <rFont val="Tahoma"/>
            <family val="2"/>
          </rPr>
          <t xml:space="preserve">
1. Plan Amendments
2. Actuarial Adjustments
3. Exchange gains/losses
4. Settlements and curtailments
5. Acquisitions and Divestures
6. Other adjustments to PBO</t>
        </r>
        <r>
          <rPr>
            <b/>
            <sz val="8"/>
            <color indexed="81"/>
            <rFont val="Tahoma"/>
            <family val="2"/>
          </rPr>
          <t xml:space="preserve">
How to forecast this line item if Pension is material for my company?</t>
        </r>
        <r>
          <rPr>
            <sz val="8"/>
            <color indexed="81"/>
            <rFont val="Tahoma"/>
            <family val="2"/>
          </rPr>
          <t xml:space="preserve">
This line item includes a set of miscellaneous items that are not important from an economic standpoint, They are also impossible to forecast. You should set it equal to zero for the forecast years.
</t>
        </r>
        <r>
          <rPr>
            <b/>
            <sz val="8"/>
            <color indexed="81"/>
            <rFont val="Tahoma"/>
            <family val="2"/>
          </rPr>
          <t xml:space="preserve">How does the template forecast it?
</t>
        </r>
        <r>
          <rPr>
            <sz val="8"/>
            <color indexed="81"/>
            <rFont val="Tahoma"/>
            <family val="2"/>
          </rPr>
          <t>The template does not make an attempt to forecast this line item and sets it equal to zero for the forecast years.</t>
        </r>
      </text>
    </comment>
    <comment ref="A37" authorId="0">
      <text>
        <r>
          <rPr>
            <b/>
            <sz val="8"/>
            <color indexed="81"/>
            <rFont val="Tahoma"/>
            <family val="2"/>
          </rPr>
          <t xml:space="preserve">
Pension plan assets</t>
        </r>
        <r>
          <rPr>
            <sz val="8"/>
            <color indexed="81"/>
            <rFont val="Tahoma"/>
            <family val="2"/>
          </rPr>
          <t xml:space="preserve"> are measured at the current fair value. Similar to other assets and liabilities measured at fair value, the company provides details about how it measured the fair value of its pension assets in the disclosures.</t>
        </r>
      </text>
    </comment>
    <comment ref="A38" authorId="0">
      <text>
        <r>
          <rPr>
            <b/>
            <sz val="8"/>
            <color indexed="81"/>
            <rFont val="Tahoma"/>
            <family val="2"/>
          </rPr>
          <t xml:space="preserve">
Actual return </t>
        </r>
        <r>
          <rPr>
            <sz val="8"/>
            <color indexed="81"/>
            <rFont val="Tahoma"/>
            <family val="2"/>
          </rPr>
          <t xml:space="preserve">is the return generared on pension plan assets .
</t>
        </r>
        <r>
          <rPr>
            <b/>
            <sz val="8"/>
            <color indexed="81"/>
            <rFont val="Tahoma"/>
            <family val="2"/>
          </rPr>
          <t>How to forecast this line item if Pension is material for my company?</t>
        </r>
        <r>
          <rPr>
            <sz val="8"/>
            <color indexed="81"/>
            <rFont val="Tahoma"/>
            <family val="2"/>
          </rPr>
          <t xml:space="preserve">
Actual return could be calculated as actual rate of return (row12) times the FV of plan assets (BOP) + 0.5*contributions assuming that the contributions were made in the middle of the year. Contact AST if the company makes steady contributions throughout the year OR if you are unsure how to consider them when calculating actual return.
</t>
        </r>
        <r>
          <rPr>
            <b/>
            <sz val="8"/>
            <color indexed="81"/>
            <rFont val="Tahoma"/>
            <family val="2"/>
          </rPr>
          <t>How does the template forecast it?</t>
        </r>
        <r>
          <rPr>
            <sz val="8"/>
            <color indexed="81"/>
            <rFont val="Tahoma"/>
            <family val="2"/>
          </rPr>
          <t xml:space="preserve">
Actual return is calculated as actual rate of return (row12) times the FV of plan assets (BOP) + 0.5*contributions assuming that the contributions were made in the middle of the year.</t>
        </r>
      </text>
    </comment>
    <comment ref="A39" authorId="0">
      <text>
        <r>
          <rPr>
            <b/>
            <sz val="8"/>
            <color indexed="81"/>
            <rFont val="Tahoma"/>
            <family val="2"/>
          </rPr>
          <t xml:space="preserve">
Contributions</t>
        </r>
        <r>
          <rPr>
            <sz val="8"/>
            <color indexed="81"/>
            <rFont val="Tahoma"/>
            <family val="2"/>
          </rPr>
          <t xml:space="preserve"> are the payments that the company makes into the pension trust, for future benefit payments. These contributions may be the minimum required based on ERISA requirements, or may be discretionary. The companies are awarded credits whenever they make contributions in excess of minimum requirements. These credits, which are not
disclosed, can then be used to offset future required contributions. Therefore they tend to be very lumpy, and difficult to estimate.</t>
        </r>
        <r>
          <rPr>
            <b/>
            <sz val="8"/>
            <color indexed="81"/>
            <rFont val="Tahoma"/>
            <family val="2"/>
          </rPr>
          <t xml:space="preserve">
How to forecast this line item if Pension is material for my company?
</t>
        </r>
        <r>
          <rPr>
            <sz val="8"/>
            <color indexed="81"/>
            <rFont val="Tahoma"/>
            <family val="2"/>
          </rPr>
          <t>Companies disclose expected contributions for the 'next' fiscal year in their pension footnote which should be used in the template to forecast next year's contributions. Some companies also disclose it for 'future years' in their contractual obligations footnote, which could be used to forecast it for the rest of the years. If they don't, contact AST to better estimate this number for future years.</t>
        </r>
        <r>
          <rPr>
            <sz val="8"/>
            <color indexed="81"/>
            <rFont val="Tahoma"/>
            <family val="2"/>
          </rPr>
          <t xml:space="preserve">
</t>
        </r>
        <r>
          <rPr>
            <b/>
            <sz val="8"/>
            <color indexed="81"/>
            <rFont val="Tahoma"/>
            <family val="2"/>
          </rPr>
          <t xml:space="preserve">How does the template forecast it?
</t>
        </r>
        <r>
          <rPr>
            <sz val="8"/>
            <color indexed="81"/>
            <rFont val="Tahoma"/>
            <family val="2"/>
          </rPr>
          <t>The template uses the average contributions of last three actual years. You should use this approach if liquidity is not a major concern for the company.</t>
        </r>
      </text>
    </comment>
    <comment ref="A40" authorId="0">
      <text>
        <r>
          <rPr>
            <b/>
            <sz val="8"/>
            <color indexed="81"/>
            <rFont val="Tahoma"/>
            <family val="2"/>
          </rPr>
          <t xml:space="preserve">
Benefits payments </t>
        </r>
        <r>
          <rPr>
            <sz val="8"/>
            <color indexed="81"/>
            <rFont val="Tahoma"/>
            <family val="2"/>
          </rPr>
          <t>are the actual pension benefit payments made to the employees during the year. These payments are paid out of pension plan assets and are thus reduced from plan assets.</t>
        </r>
        <r>
          <rPr>
            <b/>
            <sz val="8"/>
            <color indexed="81"/>
            <rFont val="Tahoma"/>
            <family val="2"/>
          </rPr>
          <t xml:space="preserve">
How to forecast this line item if Pension is material for my company?</t>
        </r>
        <r>
          <rPr>
            <sz val="8"/>
            <color indexed="81"/>
            <rFont val="Tahoma"/>
            <family val="2"/>
          </rPr>
          <t xml:space="preserve">
The pension footnote discloses the schedule of expected benefit payments to retirees for the next 5 years, and the aggregate payment for the following 5 years, which should be used in the template to forecast future benefit payments. (i.e. you can just link this to row 33 of the template)
</t>
        </r>
        <r>
          <rPr>
            <b/>
            <sz val="8"/>
            <color indexed="81"/>
            <rFont val="Tahoma"/>
            <family val="2"/>
          </rPr>
          <t xml:space="preserve">How does the template forecast it?
</t>
        </r>
        <r>
          <rPr>
            <sz val="8"/>
            <color indexed="81"/>
            <rFont val="Tahoma"/>
            <family val="2"/>
          </rPr>
          <t>Since benefit payments are usually steady in nature, the template flat lines it. (i.e. links it to row 33 of the template)</t>
        </r>
      </text>
    </comment>
    <comment ref="A41" authorId="0">
      <text>
        <r>
          <rPr>
            <b/>
            <sz val="8"/>
            <color indexed="81"/>
            <rFont val="Tahoma"/>
            <family val="2"/>
          </rPr>
          <t xml:space="preserve">
In the template, this line item may include the total of:</t>
        </r>
        <r>
          <rPr>
            <sz val="8"/>
            <color indexed="81"/>
            <rFont val="Tahoma"/>
            <family val="2"/>
          </rPr>
          <t xml:space="preserve">
1. Acquisitions and Divestitures 
2. Settlements and curtailments
3. Exchange rate changes 
4. Other adjustments to plan assets
</t>
        </r>
        <r>
          <rPr>
            <b/>
            <sz val="8"/>
            <color indexed="81"/>
            <rFont val="Tahoma"/>
            <family val="2"/>
          </rPr>
          <t xml:space="preserve">How to forecast this line item if Pension is material for my company?
</t>
        </r>
        <r>
          <rPr>
            <sz val="8"/>
            <color indexed="81"/>
            <rFont val="Tahoma"/>
            <family val="2"/>
          </rPr>
          <t>This line item includes a set of miscellaneous items that are not important from an economic standpoint. They are also impossible to forecast. You should set this line item equal to zero for the forecast years.</t>
        </r>
        <r>
          <rPr>
            <b/>
            <sz val="8"/>
            <color indexed="81"/>
            <rFont val="Tahoma"/>
            <family val="2"/>
          </rPr>
          <t xml:space="preserve">
How does the template forecast it?
</t>
        </r>
        <r>
          <rPr>
            <sz val="8"/>
            <color indexed="81"/>
            <rFont val="Tahoma"/>
            <family val="2"/>
          </rPr>
          <t>The template does not make an attempt to forecast this line item and sets it equal to zero for the forecast years.</t>
        </r>
      </text>
    </comment>
    <comment ref="A44" authorId="0">
      <text>
        <r>
          <rPr>
            <b/>
            <sz val="8"/>
            <color indexed="81"/>
            <rFont val="Tahoma"/>
            <family val="2"/>
          </rPr>
          <t xml:space="preserve">
Funded status </t>
        </r>
        <r>
          <rPr>
            <sz val="8"/>
            <color indexed="81"/>
            <rFont val="Tahoma"/>
            <family val="2"/>
          </rPr>
          <t>of the plan is the difference between the PBO and the FV of plan assets. It is recorded on the balance sheet and may be split between the current and non-current portions. It fully measures the debt-like liability of the plan to date and incurs interest like any financial liability. 
The pension obligation on the balance sheet is tax-deductible when a company contributes to the plan. Companies report it gross of tax (i.e. funded status), and the corresponding tax benefit is recorded as a deferred tax asset on BS. The tax deductibility of pension debt is an important difference as compared to traditional debt. When a company takes on traditional debt, interest is deductible, but the debt principal payments are not.
When looking at metrics that include pension debt (such as net debt) analysts should subtract the corresponding DTA to capture the true liability.</t>
        </r>
      </text>
    </comment>
    <comment ref="A47" authorId="0">
      <text>
        <r>
          <rPr>
            <b/>
            <sz val="8"/>
            <color indexed="81"/>
            <rFont val="Tahoma"/>
            <family val="2"/>
          </rPr>
          <t xml:space="preserve">
DTAs: </t>
        </r>
        <r>
          <rPr>
            <sz val="8"/>
            <color indexed="81"/>
            <rFont val="Tahoma"/>
            <family val="2"/>
          </rPr>
          <t xml:space="preserve">The pension obligation on the balance sheet is tax-deductible when a company contributes to the plan. Companies report it gross of tax (i.e. funded status), and the corresponding tax benefit is recorded as a deferred tax asset on the BS. When looking at metrics that include pension debt (such as net debt) analysts should subtract the corresponding DTA to capture the true liability.
</t>
        </r>
        <r>
          <rPr>
            <b/>
            <sz val="8"/>
            <color indexed="81"/>
            <rFont val="Tahoma"/>
            <family val="2"/>
          </rPr>
          <t>How to forecast this line item if Pension is material for my company?</t>
        </r>
        <r>
          <rPr>
            <sz val="8"/>
            <color indexed="81"/>
            <rFont val="Tahoma"/>
            <family val="2"/>
          </rPr>
          <t xml:space="preserve">
DTA's should be = tax rate x forecasted funded status.
</t>
        </r>
        <r>
          <rPr>
            <b/>
            <sz val="8"/>
            <color indexed="81"/>
            <rFont val="Tahoma"/>
            <family val="2"/>
          </rPr>
          <t xml:space="preserve">How does the template forecast it?
</t>
        </r>
        <r>
          <rPr>
            <sz val="8"/>
            <color indexed="81"/>
            <rFont val="Tahoma"/>
            <family val="2"/>
          </rPr>
          <t>It is calculated as tax rate times forecasted funded status.</t>
        </r>
      </text>
    </comment>
    <comment ref="A51" authorId="0">
      <text>
        <r>
          <rPr>
            <b/>
            <sz val="8"/>
            <color indexed="81"/>
            <rFont val="Tahoma"/>
            <family val="2"/>
          </rPr>
          <t xml:space="preserve">
Pension expense</t>
        </r>
        <r>
          <rPr>
            <sz val="8"/>
            <color indexed="81"/>
            <rFont val="Tahoma"/>
            <family val="2"/>
          </rPr>
          <t xml:space="preserve"> is an accrued pension expense and is entirely non-cash. It is thus added back in cash flow from operations as a non-cash item.</t>
        </r>
      </text>
    </comment>
    <comment ref="A52" authorId="0">
      <text>
        <r>
          <rPr>
            <b/>
            <sz val="8"/>
            <color indexed="81"/>
            <rFont val="Tahoma"/>
            <family val="2"/>
          </rPr>
          <t xml:space="preserve">
Contributions</t>
        </r>
        <r>
          <rPr>
            <sz val="8"/>
            <color indexed="81"/>
            <rFont val="Tahoma"/>
            <family val="2"/>
          </rPr>
          <t xml:space="preserve"> are the companies’ payments to the pension trust. These are thus the cash flows on a companies cash flow
statement.</t>
        </r>
      </text>
    </comment>
    <comment ref="A59" authorId="0">
      <text>
        <r>
          <rPr>
            <b/>
            <sz val="8"/>
            <color indexed="81"/>
            <rFont val="Tahoma"/>
            <family val="2"/>
          </rPr>
          <t xml:space="preserve">
Why?
</t>
        </r>
        <r>
          <rPr>
            <sz val="8"/>
            <color indexed="81"/>
            <rFont val="Tahoma"/>
            <family val="2"/>
          </rPr>
          <t>Contributions are companies’ payments to the pension trust. They thus represent a reduction in operating cash flow of the company in the year in which they are made.</t>
        </r>
      </text>
    </comment>
    <comment ref="A60" authorId="0">
      <text>
        <r>
          <rPr>
            <b/>
            <sz val="8"/>
            <color indexed="81"/>
            <rFont val="Tahoma"/>
            <family val="2"/>
          </rPr>
          <t xml:space="preserve">
Why?</t>
        </r>
        <r>
          <rPr>
            <sz val="8"/>
            <color indexed="81"/>
            <rFont val="Tahoma"/>
            <family val="2"/>
          </rPr>
          <t xml:space="preserve">
Pension expense/ (income) is a non-cash number and thus needs to be added back on the cash flow statement. Contributions are the only cash flows related to pension on a company's cash flow statement.</t>
        </r>
      </text>
    </comment>
    <comment ref="A61" authorId="0">
      <text>
        <r>
          <rPr>
            <b/>
            <sz val="8"/>
            <color indexed="81"/>
            <rFont val="Tahoma"/>
            <family val="2"/>
          </rPr>
          <t xml:space="preserve">
Why?
</t>
        </r>
        <r>
          <rPr>
            <sz val="8"/>
            <color indexed="81"/>
            <rFont val="Tahoma"/>
            <family val="2"/>
          </rPr>
          <t>DB obligations on the balance sheet are tax-deductible when the company makes contributions. The obligation on the balance sheet is reported gross of tax, and the corresponding tax benefits are part of deferred tax assets (DTA).</t>
        </r>
      </text>
    </comment>
    <comment ref="A66" authorId="0">
      <text>
        <r>
          <rPr>
            <b/>
            <sz val="8"/>
            <color indexed="81"/>
            <rFont val="Tahoma"/>
            <family val="2"/>
          </rPr>
          <t xml:space="preserve">
Why?
</t>
        </r>
        <r>
          <rPr>
            <sz val="8"/>
            <color indexed="81"/>
            <rFont val="Tahoma"/>
            <family val="2"/>
          </rPr>
          <t>Improvement/deterioration in funded status during the year will decrease /increase the net pension liability for the year and thus needs to be captured in this line item.</t>
        </r>
        <r>
          <rPr>
            <b/>
            <sz val="8"/>
            <color indexed="81"/>
            <rFont val="Tahoma"/>
            <family val="2"/>
          </rPr>
          <t xml:space="preserve">
</t>
        </r>
      </text>
    </comment>
    <comment ref="A67" authorId="0">
      <text>
        <r>
          <rPr>
            <b/>
            <sz val="8"/>
            <color indexed="81"/>
            <rFont val="Tahoma"/>
            <family val="2"/>
          </rPr>
          <t xml:space="preserve">
Why?
</t>
        </r>
        <r>
          <rPr>
            <sz val="8"/>
            <color indexed="81"/>
            <rFont val="Tahoma"/>
            <family val="2"/>
          </rPr>
          <t xml:space="preserve">While the funded status on the balance sheet is based on actual results (i.e. actual return on assets, year-end discount rate, etc), the accounting for the pension/OPEB plan on the income statement is heavily influenced by management estimates and various smoothing features (i.e. EROA, amortization of prior service costs and actuarial G/L, etc.)
To keep the balance sheet in balance, the disconnect between estimated and actual results (known as unrecognized actuarial gains/losses) is captured in </t>
        </r>
        <r>
          <rPr>
            <b/>
            <sz val="8"/>
            <color indexed="81"/>
            <rFont val="Tahoma"/>
            <family val="2"/>
          </rPr>
          <t>Accumulated other comprehensive income (AOCI).</t>
        </r>
      </text>
    </comment>
  </commentList>
</comments>
</file>

<file path=xl/comments5.xml><?xml version="1.0" encoding="utf-8"?>
<comments xmlns="http://schemas.openxmlformats.org/spreadsheetml/2006/main">
  <authors>
    <author>mogres</author>
  </authors>
  <commentList>
    <comment ref="A8" authorId="0">
      <text>
        <r>
          <rPr>
            <sz val="8"/>
            <color indexed="81"/>
            <rFont val="Tahoma"/>
            <family val="2"/>
          </rPr>
          <t xml:space="preserve">
</t>
        </r>
        <r>
          <rPr>
            <b/>
            <sz val="8"/>
            <color indexed="81"/>
            <rFont val="Tahoma"/>
            <family val="2"/>
          </rPr>
          <t xml:space="preserve">Discount rate </t>
        </r>
        <r>
          <rPr>
            <sz val="8"/>
            <color indexed="81"/>
            <rFont val="Tahoma"/>
            <family val="2"/>
          </rPr>
          <t>is based on the Corporate AA bond rate and is used to calculate the present value of pension benefit obligations.
Because the companies have some discretion over how they estimate the rate and the duration of future benefit payments varies from company to company, rates will differ slightly from company to company. It is reset every year based on current market conditions.</t>
        </r>
        <r>
          <rPr>
            <b/>
            <sz val="8"/>
            <color indexed="81"/>
            <rFont val="Tahoma"/>
            <family val="2"/>
          </rPr>
          <t xml:space="preserve">
How to forecast this line item if Pension is material for my company?</t>
        </r>
        <r>
          <rPr>
            <sz val="8"/>
            <color indexed="81"/>
            <rFont val="Tahoma"/>
            <family val="2"/>
          </rPr>
          <t xml:space="preserve">
Assuming you wouldn't want to forecast the interest rates, set this equal to prior period's discount rate. If you are in the middle of FY1, you could make an attempt to use the latest available rate using the appropriate bond index yield. Contact AST if you wish to do so. However, from FY2 onwards, you should set it equal to prior period's discount rate.
</t>
        </r>
        <r>
          <rPr>
            <b/>
            <sz val="8"/>
            <color indexed="81"/>
            <rFont val="Tahoma"/>
            <family val="2"/>
          </rPr>
          <t xml:space="preserve">How does the template forecast it?
</t>
        </r>
        <r>
          <rPr>
            <sz val="8"/>
            <color indexed="81"/>
            <rFont val="Tahoma"/>
            <family val="2"/>
          </rPr>
          <t>The template does not make an attempt to forecast the interest rates and flat lines it.</t>
        </r>
      </text>
    </comment>
    <comment ref="A11" authorId="0">
      <text>
        <r>
          <rPr>
            <b/>
            <sz val="8"/>
            <color indexed="81"/>
            <rFont val="Tahoma"/>
            <family val="2"/>
          </rPr>
          <t xml:space="preserve">
EROA</t>
        </r>
        <r>
          <rPr>
            <sz val="8"/>
            <color indexed="81"/>
            <rFont val="Tahoma"/>
            <family val="2"/>
          </rPr>
          <t xml:space="preserve"> is management’s estimate of the long-term rate of return for plan assets* and is used to calculate a component of OPEB expense. This will vary widely from company to company depending on asset mix and other assumptions. EROA generally does not change year-to-year.
*OPEB plans are usually unfuded, meaning they are not set up in trusts. So they usually don't have plan assets set aside to meet the obligations; exception: VEBA trusts. Companies with VEBA trusts only typically fund between 10% and 30% of the OPEB obligation</t>
        </r>
        <r>
          <rPr>
            <b/>
            <sz val="8"/>
            <color indexed="81"/>
            <rFont val="Tahoma"/>
            <family val="2"/>
          </rPr>
          <t xml:space="preserve">
How to forecast this line item if OPEB is material for my company?</t>
        </r>
        <r>
          <rPr>
            <sz val="8"/>
            <color indexed="81"/>
            <rFont val="Tahoma"/>
            <family val="2"/>
          </rPr>
          <t xml:space="preserve">
It should be flat lined unless the management provides guidance around changing it in future year/s OR changing the asset mix in future years/s (e.g. set it lower if the company plans to move their plan assets towards fixed income to better match the asset - liability duration)
</t>
        </r>
        <r>
          <rPr>
            <b/>
            <sz val="8"/>
            <color indexed="81"/>
            <rFont val="Tahoma"/>
            <family val="2"/>
          </rPr>
          <t xml:space="preserve">How does the template forecast it?
</t>
        </r>
        <r>
          <rPr>
            <sz val="8"/>
            <color indexed="81"/>
            <rFont val="Tahoma"/>
            <family val="2"/>
          </rPr>
          <t>The template flat lines the management disclosed estimate of the long-term rate of return on plan assets.</t>
        </r>
      </text>
    </comment>
    <comment ref="A12" authorId="0">
      <text>
        <r>
          <rPr>
            <b/>
            <sz val="8"/>
            <color indexed="81"/>
            <rFont val="Tahoma"/>
            <family val="2"/>
          </rPr>
          <t xml:space="preserve">
Actual Rate of Return </t>
        </r>
        <r>
          <rPr>
            <sz val="8"/>
            <color indexed="81"/>
            <rFont val="Tahoma"/>
            <family val="2"/>
          </rPr>
          <t>is the actual return generated on OPEB plan assets in VEBA trust.</t>
        </r>
        <r>
          <rPr>
            <b/>
            <sz val="8"/>
            <color indexed="81"/>
            <rFont val="Tahoma"/>
            <family val="2"/>
          </rPr>
          <t xml:space="preserve">
How to forecast this line item if OPEB is material for my company?</t>
        </r>
        <r>
          <rPr>
            <sz val="8"/>
            <color indexed="81"/>
            <rFont val="Tahoma"/>
            <family val="2"/>
          </rPr>
          <t xml:space="preserve">
You should set it equal to management's EROA assuming you wouldn't want to forecast the returns on underlying plan assets. If you are in the middle of FY1, you could attempt to use the actual return (YTD) using underlying asset index return. Contact AST if you wish to do so. However, from FY2 onwards, you should set it equal to management's EROA.
</t>
        </r>
        <r>
          <rPr>
            <b/>
            <sz val="8"/>
            <color indexed="81"/>
            <rFont val="Tahoma"/>
            <family val="2"/>
          </rPr>
          <t xml:space="preserve">How does the template forecast it?
</t>
        </r>
        <r>
          <rPr>
            <sz val="8"/>
            <color indexed="81"/>
            <rFont val="Tahoma"/>
            <family val="2"/>
          </rPr>
          <t xml:space="preserve">The template does not make an attempt to forecast the actual rate of return and sets it equal to management's EROA. </t>
        </r>
      </text>
    </comment>
    <comment ref="A13" authorId="0">
      <text>
        <r>
          <rPr>
            <sz val="8"/>
            <color indexed="81"/>
            <rFont val="Tahoma"/>
            <family val="2"/>
          </rPr>
          <t xml:space="preserve">
The OPEB obligation on the balance sheet is tax-deductible as they are paid. Companies report it gross of tax, and the corresponding tax benefit is a deferred tax asset. </t>
        </r>
        <r>
          <rPr>
            <b/>
            <sz val="8"/>
            <color indexed="81"/>
            <rFont val="Tahoma"/>
            <family val="2"/>
          </rPr>
          <t>Statutory tax rate</t>
        </r>
        <r>
          <rPr>
            <sz val="8"/>
            <color indexed="81"/>
            <rFont val="Tahoma"/>
            <family val="2"/>
          </rPr>
          <t xml:space="preserve"> is thus used to compute the deferred tax benefits associated with OPEB obligatios.</t>
        </r>
        <r>
          <rPr>
            <b/>
            <sz val="8"/>
            <color indexed="81"/>
            <rFont val="Tahoma"/>
            <family val="2"/>
          </rPr>
          <t xml:space="preserve">
How to forecast this line item if OPEB is material for my company?</t>
        </r>
        <r>
          <rPr>
            <sz val="8"/>
            <color indexed="81"/>
            <rFont val="Tahoma"/>
            <family val="2"/>
          </rPr>
          <t xml:space="preserve">
You should set it equal to the corporate tax rate of 35%.
</t>
        </r>
        <r>
          <rPr>
            <b/>
            <sz val="8"/>
            <color indexed="81"/>
            <rFont val="Tahoma"/>
            <family val="2"/>
          </rPr>
          <t xml:space="preserve">How does the template forecast it?
</t>
        </r>
        <r>
          <rPr>
            <sz val="8"/>
            <color indexed="81"/>
            <rFont val="Tahoma"/>
            <family val="2"/>
          </rPr>
          <t>The template sets it equal to the statutory tax rate tagged in your model, and for non covered companies it assumes it to be the US corporate tax rate of 35%.</t>
        </r>
      </text>
    </comment>
    <comment ref="A19" authorId="0">
      <text>
        <r>
          <rPr>
            <b/>
            <sz val="8"/>
            <color indexed="81"/>
            <rFont val="Tahoma"/>
            <family val="2"/>
          </rPr>
          <t xml:space="preserve">
Service cost</t>
        </r>
        <r>
          <rPr>
            <sz val="8"/>
            <color indexed="81"/>
            <rFont val="Tahoma"/>
            <family val="2"/>
          </rPr>
          <t xml:space="preserve"> is the 'present value' of new benefits earned during the period and represents the economic operating cost of the ongoing plan. When a company reduces benefits, future service costs decline. If they freeze the plans (i.e. stop the accrual of new benefits), service costs are zero.</t>
        </r>
        <r>
          <rPr>
            <b/>
            <sz val="8"/>
            <color indexed="81"/>
            <rFont val="Tahoma"/>
            <family val="2"/>
          </rPr>
          <t xml:space="preserve">
How to forecast this line item if OPEB is material for my company?</t>
        </r>
        <r>
          <rPr>
            <sz val="8"/>
            <color indexed="81"/>
            <rFont val="Tahoma"/>
            <family val="2"/>
          </rPr>
          <t xml:space="preserve">
For an active plan, service cost </t>
        </r>
        <r>
          <rPr>
            <u/>
            <sz val="8"/>
            <color indexed="81"/>
            <rFont val="Tahoma"/>
            <family val="2"/>
          </rPr>
          <t>usually</t>
        </r>
        <r>
          <rPr>
            <sz val="8"/>
            <color indexed="81"/>
            <rFont val="Tahoma"/>
            <family val="2"/>
          </rPr>
          <t xml:space="preserve"> remains steady in</t>
        </r>
        <r>
          <rPr>
            <u/>
            <sz val="8"/>
            <color indexed="81"/>
            <rFont val="Tahoma"/>
            <family val="2"/>
          </rPr>
          <t xml:space="preserve"> real</t>
        </r>
        <r>
          <rPr>
            <sz val="8"/>
            <color indexed="81"/>
            <rFont val="Tahoma"/>
            <family val="2"/>
          </rPr>
          <t xml:space="preserve"> terms and thus changes only to the extent of changes in interest (discount) rates. It should thus be forecasted after considering the changes in interest rates (if forecasted) for the period and using a rule of thumb which states that -- every 100 bps change in discount rate results in about 10% change in service cost.
If the plan is frozen, set this equal to zero.
</t>
        </r>
        <r>
          <rPr>
            <b/>
            <sz val="8"/>
            <color indexed="81"/>
            <rFont val="Tahoma"/>
            <family val="2"/>
          </rPr>
          <t xml:space="preserve">How does the template forecast it?
</t>
        </r>
        <r>
          <rPr>
            <sz val="8"/>
            <color indexed="81"/>
            <rFont val="Tahoma"/>
            <family val="2"/>
          </rPr>
          <t xml:space="preserve">The template uses a rule of thumb and forecasts the service cost by considering the changes in discount rates (if forecasted - we think its unlikely) on row 8. </t>
        </r>
      </text>
    </comment>
    <comment ref="A20" authorId="0">
      <text>
        <r>
          <rPr>
            <b/>
            <sz val="8"/>
            <color indexed="81"/>
            <rFont val="Tahoma"/>
            <family val="2"/>
          </rPr>
          <t xml:space="preserve">
Prior service cost</t>
        </r>
        <r>
          <rPr>
            <sz val="8"/>
            <color indexed="81"/>
            <rFont val="Tahoma"/>
            <family val="2"/>
          </rPr>
          <t xml:space="preserve"> : When a plan is amended to change benefits, the PBO is re-measured to reflect the new benefit formula. These differences are smoothed into OPEB expense over the remaining service life of employees as prior service costs. </t>
        </r>
        <r>
          <rPr>
            <b/>
            <sz val="8"/>
            <color indexed="81"/>
            <rFont val="Tahoma"/>
            <family val="2"/>
          </rPr>
          <t xml:space="preserve">
How to forecast this line item if OPEB is material for my company?</t>
        </r>
        <r>
          <rPr>
            <sz val="8"/>
            <color indexed="81"/>
            <rFont val="Tahoma"/>
            <family val="2"/>
          </rPr>
          <t xml:space="preserve">
Becasue these are the differences due to amendments in plan benefits, that are then smoothed over a period of time - they tend to be persistent. They should thus be flat lied in forecast years.
</t>
        </r>
        <r>
          <rPr>
            <b/>
            <sz val="8"/>
            <color indexed="81"/>
            <rFont val="Tahoma"/>
            <family val="2"/>
          </rPr>
          <t>How does the template forecast it?</t>
        </r>
        <r>
          <rPr>
            <sz val="8"/>
            <color indexed="81"/>
            <rFont val="Tahoma"/>
            <family val="2"/>
          </rPr>
          <t xml:space="preserve">
The template does not make an attempt to forecast this line item and flat lines it in forecast years.</t>
        </r>
      </text>
    </comment>
    <comment ref="A21" authorId="0">
      <text>
        <r>
          <rPr>
            <b/>
            <sz val="8"/>
            <color indexed="81"/>
            <rFont val="Tahoma"/>
            <family val="2"/>
          </rPr>
          <t xml:space="preserve">
Interest cost</t>
        </r>
        <r>
          <rPr>
            <sz val="8"/>
            <color indexed="81"/>
            <rFont val="Tahoma"/>
            <family val="2"/>
          </rPr>
          <t xml:space="preserve"> is the discount rate (see row 8) times the PBO. It represents the financing cost of the gross liability i.e. PBO.</t>
        </r>
        <r>
          <rPr>
            <b/>
            <sz val="8"/>
            <color indexed="81"/>
            <rFont val="Tahoma"/>
            <family val="2"/>
          </rPr>
          <t xml:space="preserve">
How to forecast this line item if OPEB is material for my company?</t>
        </r>
        <r>
          <rPr>
            <sz val="8"/>
            <color indexed="81"/>
            <rFont val="Tahoma"/>
            <family val="2"/>
          </rPr>
          <t xml:space="preserve">
Interest cost should be calculated as discount rate (BOP) (row 8) times the projected benefit obligation (BOP).
</t>
        </r>
        <r>
          <rPr>
            <b/>
            <sz val="8"/>
            <color indexed="81"/>
            <rFont val="Tahoma"/>
            <family val="2"/>
          </rPr>
          <t xml:space="preserve">How does the template forecast it?
</t>
        </r>
        <r>
          <rPr>
            <sz val="8"/>
            <color indexed="81"/>
            <rFont val="Tahoma"/>
            <family val="2"/>
          </rPr>
          <t>Interest cost is calculated as discount rate (BOP) times the projected benefit obligation (BOP).</t>
        </r>
      </text>
    </comment>
    <comment ref="A22" authorId="0">
      <text>
        <r>
          <rPr>
            <b/>
            <sz val="8"/>
            <color indexed="81"/>
            <rFont val="Tahoma"/>
            <family val="2"/>
          </rPr>
          <t xml:space="preserve">
EROA</t>
        </r>
        <r>
          <rPr>
            <sz val="8"/>
            <color indexed="81"/>
            <rFont val="Tahoma"/>
            <family val="2"/>
          </rPr>
          <t xml:space="preserve"> is management’s estimate of the long-term rate of return for plan assets* and is used to calculate a component of OPEB expense. This will vary widely from company to company depending on asset mix and other assumptions.
*OPEB plans are usually unfuded, meaning they are not set up in trusts. So they usually don't have plan assets set aside to meet the obligations; exception: VEBA trusts. Companies with VEBA trusts only typically fund between 10% and 30% of the OPEB obligation</t>
        </r>
        <r>
          <rPr>
            <b/>
            <sz val="8"/>
            <color indexed="81"/>
            <rFont val="Tahoma"/>
            <family val="2"/>
          </rPr>
          <t xml:space="preserve">
How to forecast this line item if OPEB is material for my company?</t>
        </r>
        <r>
          <rPr>
            <sz val="8"/>
            <color indexed="81"/>
            <rFont val="Tahoma"/>
            <family val="2"/>
          </rPr>
          <t xml:space="preserve">
EROA should be calculated as management’s assumption of the long-term return times the FV of plan assets (BOP).
</t>
        </r>
        <r>
          <rPr>
            <b/>
            <sz val="8"/>
            <color indexed="81"/>
            <rFont val="Tahoma"/>
            <family val="2"/>
          </rPr>
          <t xml:space="preserve">How does the template forecast it?
</t>
        </r>
        <r>
          <rPr>
            <sz val="8"/>
            <color indexed="81"/>
            <rFont val="Tahoma"/>
            <family val="2"/>
          </rPr>
          <t>EROA is calculated as  management’s assumption of the long-term return times the FV of plan assets (BOP).</t>
        </r>
      </text>
    </comment>
    <comment ref="A23" authorId="0">
      <text>
        <r>
          <rPr>
            <sz val="8"/>
            <color indexed="81"/>
            <rFont val="Tahoma"/>
            <family val="2"/>
          </rPr>
          <t xml:space="preserve">
Companies that have voluntarily changed their GAAP pension accounting recognize all actuarial gains/losses that occurred during the year in the 4th quarter, instead of amortizing them over time. </t>
        </r>
        <r>
          <rPr>
            <b/>
            <sz val="8"/>
            <color indexed="81"/>
            <rFont val="Tahoma"/>
            <family val="2"/>
          </rPr>
          <t xml:space="preserve">
How to forecast this line item if Pension is material for my company?</t>
        </r>
        <r>
          <rPr>
            <sz val="8"/>
            <color indexed="81"/>
            <rFont val="Tahoma"/>
            <family val="2"/>
          </rPr>
          <t xml:space="preserve">
This line item is not important from an economic standpoint and is also impossible to forecast. You should set this line item equal to zero for the forecast years.
</t>
        </r>
        <r>
          <rPr>
            <b/>
            <sz val="8"/>
            <color indexed="81"/>
            <rFont val="Tahoma"/>
            <family val="2"/>
          </rPr>
          <t xml:space="preserve">How does the template forecast it?
</t>
        </r>
        <r>
          <rPr>
            <sz val="8"/>
            <color indexed="81"/>
            <rFont val="Tahoma"/>
            <family val="2"/>
          </rPr>
          <t>The template computes the actuarial gains and losses for the year by considering changes in interest rates (row 8) and the difference in EROA and actual rate of return (Row 11 &amp;12) to recognize it immediately on the income statement.</t>
        </r>
      </text>
    </comment>
    <comment ref="A24" authorId="0">
      <text>
        <r>
          <rPr>
            <b/>
            <sz val="8"/>
            <color indexed="81"/>
            <rFont val="Tahoma"/>
            <family val="2"/>
          </rPr>
          <t xml:space="preserve">
In the template, this line item may include the total of:
</t>
        </r>
        <r>
          <rPr>
            <sz val="8"/>
            <color indexed="81"/>
            <rFont val="Tahoma"/>
            <family val="2"/>
          </rPr>
          <t>1</t>
        </r>
        <r>
          <rPr>
            <u/>
            <sz val="8"/>
            <color indexed="81"/>
            <rFont val="Tahoma"/>
            <family val="2"/>
          </rPr>
          <t xml:space="preserve">. Amortization of actuarial gains &amp; losses: </t>
        </r>
        <r>
          <rPr>
            <sz val="8"/>
            <color indexed="81"/>
            <rFont val="Tahoma"/>
            <family val="2"/>
          </rPr>
          <t>When the actual results of the plan (which are reported on the balance sheet) differ significantly from the actuarial estimates (which are reported on the income statement), these differences are smoothed into OPEB expense over time, usually over the average remaining working life of employees.</t>
        </r>
        <r>
          <rPr>
            <b/>
            <sz val="8"/>
            <color indexed="81"/>
            <rFont val="Tahoma"/>
            <family val="2"/>
          </rPr>
          <t xml:space="preserve">
</t>
        </r>
        <r>
          <rPr>
            <sz val="8"/>
            <color indexed="81"/>
            <rFont val="Tahoma"/>
            <family val="2"/>
          </rPr>
          <t>2</t>
        </r>
        <r>
          <rPr>
            <u/>
            <sz val="8"/>
            <color indexed="81"/>
            <rFont val="Tahoma"/>
            <family val="2"/>
          </rPr>
          <t>. Other adjustments</t>
        </r>
        <r>
          <rPr>
            <sz val="8"/>
            <color indexed="81"/>
            <rFont val="Tahoma"/>
            <family val="2"/>
          </rPr>
          <t xml:space="preserve"> such as settlements and curtailments. These tend to be one-time in nature, and related to plan changes.</t>
        </r>
        <r>
          <rPr>
            <b/>
            <sz val="8"/>
            <color indexed="81"/>
            <rFont val="Tahoma"/>
            <family val="2"/>
          </rPr>
          <t xml:space="preserve">
How to forecast this line item if OPEB is material for my company?
</t>
        </r>
        <r>
          <rPr>
            <sz val="8"/>
            <color indexed="81"/>
            <rFont val="Tahoma"/>
            <family val="2"/>
          </rPr>
          <t>Pension footnote discloses amortization of actuarial gains/ losses for the next fiscal year. For the remaining forecast years, you should use the approach mentioned below. Also, contact AST to make sure that the numbers make sense.</t>
        </r>
        <r>
          <rPr>
            <sz val="8"/>
            <color indexed="81"/>
            <rFont val="Tahoma"/>
            <family val="2"/>
          </rPr>
          <t xml:space="preserve">
</t>
        </r>
        <r>
          <rPr>
            <b/>
            <sz val="8"/>
            <color indexed="81"/>
            <rFont val="Tahoma"/>
            <family val="2"/>
          </rPr>
          <t xml:space="preserve">How does the template forecast it?
</t>
        </r>
        <r>
          <rPr>
            <sz val="8"/>
            <color indexed="81"/>
            <rFont val="Tahoma"/>
            <family val="2"/>
          </rPr>
          <t>The template computes the actuarial gains and losses for the year by considering changes in interest rates (row 8) and the difference in EROA and actual rate of return (Row 11 &amp;12). It divides the actuarial loss for the year by avg. remaining working life of employees to compute the amortization for the year and then adds 
it to the amortization of accumulated gain / loss of previous year.</t>
        </r>
      </text>
    </comment>
    <comment ref="A25" authorId="0">
      <text>
        <r>
          <rPr>
            <b/>
            <sz val="8"/>
            <color indexed="81"/>
            <rFont val="Tahoma"/>
            <family val="2"/>
          </rPr>
          <t xml:space="preserve">
OPEB expense</t>
        </r>
        <r>
          <rPr>
            <sz val="8"/>
            <color indexed="81"/>
            <rFont val="Tahoma"/>
            <family val="2"/>
          </rPr>
          <t xml:space="preserve"> is an accrued OPEB expense and is entirely non-cash. It is calculated as Service cost (+) Interest cost (-) EROA (+/-) Amortization of actuarial gains/ losses / prior service cost.</t>
        </r>
      </text>
    </comment>
    <comment ref="A29" authorId="0">
      <text>
        <r>
          <rPr>
            <b/>
            <sz val="8"/>
            <color indexed="81"/>
            <rFont val="Tahoma"/>
            <family val="2"/>
          </rPr>
          <t xml:space="preserve">
PBO</t>
        </r>
        <r>
          <rPr>
            <sz val="8"/>
            <color indexed="81"/>
            <rFont val="Tahoma"/>
            <family val="2"/>
          </rPr>
          <t xml:space="preserve"> is the present value of the projected benefit obligations earned to date. Employees earn benefits as they accumulate years of service. The obligations are measured at present value using the corporate AA bond rate and are re-measured each year to account for interest rate changes, assumption changes, new benefits earned (represented by service cost), and passage of time (represented by interest cost) which increase the PBO. Also, benefits paid during the year decrease the PBO.</t>
        </r>
      </text>
    </comment>
    <comment ref="A30" authorId="0">
      <text>
        <r>
          <rPr>
            <b/>
            <sz val="8"/>
            <color indexed="81"/>
            <rFont val="Tahoma"/>
            <family val="2"/>
          </rPr>
          <t xml:space="preserve">
Service cost</t>
        </r>
        <r>
          <rPr>
            <sz val="8"/>
            <color indexed="81"/>
            <rFont val="Tahoma"/>
            <family val="2"/>
          </rPr>
          <t xml:space="preserve"> is incurred each period as employees earn new benefits for increased time of service and is thus added to PBO, which is the PV of the projected benefit obligations </t>
        </r>
        <r>
          <rPr>
            <u/>
            <sz val="8"/>
            <color indexed="81"/>
            <rFont val="Tahoma"/>
            <family val="2"/>
          </rPr>
          <t>earned to date.</t>
        </r>
        <r>
          <rPr>
            <b/>
            <sz val="8"/>
            <color indexed="81"/>
            <rFont val="Tahoma"/>
            <family val="2"/>
          </rPr>
          <t xml:space="preserve">
How to forecast this line item if OPEB is material for my company?
</t>
        </r>
        <r>
          <rPr>
            <sz val="8"/>
            <color indexed="81"/>
            <rFont val="Tahoma"/>
            <family val="2"/>
          </rPr>
          <t>It should be linked to service cost for the year already forecasted on the income statement.</t>
        </r>
        <r>
          <rPr>
            <b/>
            <sz val="8"/>
            <color indexed="81"/>
            <rFont val="Tahoma"/>
            <family val="2"/>
          </rPr>
          <t xml:space="preserve">
How does the template forecast it?
</t>
        </r>
        <r>
          <rPr>
            <sz val="8"/>
            <color indexed="81"/>
            <rFont val="Tahoma"/>
            <family val="2"/>
          </rPr>
          <t>It is linked to service cost for the year already forecasted on the income statement.</t>
        </r>
      </text>
    </comment>
    <comment ref="A31" authorId="0">
      <text>
        <r>
          <rPr>
            <b/>
            <sz val="8"/>
            <color indexed="81"/>
            <rFont val="Tahoma"/>
            <family val="2"/>
          </rPr>
          <t xml:space="preserve">
Interest cost is</t>
        </r>
        <r>
          <rPr>
            <sz val="8"/>
            <color indexed="81"/>
            <rFont val="Tahoma"/>
            <family val="2"/>
          </rPr>
          <t xml:space="preserve"> the financing cost of the gross liability and is thus added to PBO.</t>
        </r>
        <r>
          <rPr>
            <b/>
            <sz val="8"/>
            <color indexed="81"/>
            <rFont val="Tahoma"/>
            <family val="2"/>
          </rPr>
          <t xml:space="preserve">
How to forecast this line item if OPEB is material for my company?</t>
        </r>
        <r>
          <rPr>
            <sz val="8"/>
            <color indexed="81"/>
            <rFont val="Tahoma"/>
            <family val="2"/>
          </rPr>
          <t xml:space="preserve">
It should be linked to interest cost for the year already forecasted on the income statement.
</t>
        </r>
        <r>
          <rPr>
            <b/>
            <sz val="8"/>
            <color indexed="81"/>
            <rFont val="Tahoma"/>
            <family val="2"/>
          </rPr>
          <t>How does the template forecast it?</t>
        </r>
        <r>
          <rPr>
            <sz val="8"/>
            <color indexed="81"/>
            <rFont val="Tahoma"/>
            <family val="2"/>
          </rPr>
          <t xml:space="preserve">
It is linked to interest cost for the year already forecasted on the income statement.
</t>
        </r>
      </text>
    </comment>
    <comment ref="A32" authorId="0">
      <text>
        <r>
          <rPr>
            <b/>
            <sz val="8"/>
            <color indexed="81"/>
            <rFont val="Tahoma"/>
            <family val="2"/>
          </rPr>
          <t xml:space="preserve">
Actuarial loss (gain)</t>
        </r>
        <r>
          <rPr>
            <sz val="8"/>
            <color indexed="81"/>
            <rFont val="Tahoma"/>
            <family val="2"/>
          </rPr>
          <t xml:space="preserve"> is the magnitude of disconnect between actuarial estimates and actual experience in a company's OPEB plan. For example, if the interest (discount) rate used to compute the PV of benefit obligations declines, it results in increase in the obligations and the change in liability is accounted as an actuarial loss for the year.</t>
        </r>
        <r>
          <rPr>
            <b/>
            <sz val="8"/>
            <color indexed="81"/>
            <rFont val="Tahoma"/>
            <family val="2"/>
          </rPr>
          <t xml:space="preserve">
How to forecast this line item if OPEB is material for my company?
</t>
        </r>
        <r>
          <rPr>
            <sz val="8"/>
            <color indexed="81"/>
            <rFont val="Tahoma"/>
            <family val="2"/>
          </rPr>
          <t>It should be forecasted by considering the changes in interest rates (if forecasted) for the period (row 8) and using a rule of thumb which states that -- every 100 bps change in discount rate results in about 10% change in PBO.</t>
        </r>
        <r>
          <rPr>
            <b/>
            <sz val="8"/>
            <color indexed="81"/>
            <rFont val="Tahoma"/>
            <family val="2"/>
          </rPr>
          <t xml:space="preserve">
How does the template forecast it?
</t>
        </r>
        <r>
          <rPr>
            <sz val="8"/>
            <color indexed="81"/>
            <rFont val="Tahoma"/>
            <family val="2"/>
          </rPr>
          <t>The template uses a rule of thumb and forecasts this number after considering the changes in discount rates on row 8.</t>
        </r>
      </text>
    </comment>
    <comment ref="A33" authorId="0">
      <text>
        <r>
          <rPr>
            <b/>
            <sz val="8"/>
            <color indexed="81"/>
            <rFont val="Tahoma"/>
            <family val="2"/>
          </rPr>
          <t xml:space="preserve">
Benefits payments </t>
        </r>
        <r>
          <rPr>
            <sz val="8"/>
            <color indexed="81"/>
            <rFont val="Tahoma"/>
            <family val="2"/>
          </rPr>
          <t>are the actual OPEB benefit payments made to the employees during the year. It reduces the OPEB liability by the amount of the benefits paid.</t>
        </r>
        <r>
          <rPr>
            <b/>
            <sz val="8"/>
            <color indexed="81"/>
            <rFont val="Tahoma"/>
            <family val="2"/>
          </rPr>
          <t xml:space="preserve">
How to forecast this line item if OPEB is material for my company?</t>
        </r>
        <r>
          <rPr>
            <sz val="8"/>
            <color indexed="81"/>
            <rFont val="Tahoma"/>
            <family val="2"/>
          </rPr>
          <t xml:space="preserve">
The pension footnote discloses the expected benefit payments to retirees for the next 5 years, and the aggregate payment for the following 5 years which should be used in the template to forecast future benefit payments.
</t>
        </r>
        <r>
          <rPr>
            <b/>
            <sz val="8"/>
            <color indexed="81"/>
            <rFont val="Tahoma"/>
            <family val="2"/>
          </rPr>
          <t xml:space="preserve">How does the template forecast it?
</t>
        </r>
        <r>
          <rPr>
            <sz val="8"/>
            <color indexed="81"/>
            <rFont val="Tahoma"/>
            <family val="2"/>
          </rPr>
          <t>Because benefit payments are usually steady in nature, the template flat lines it.</t>
        </r>
      </text>
    </comment>
    <comment ref="A34" authorId="0">
      <text>
        <r>
          <rPr>
            <b/>
            <sz val="8"/>
            <color indexed="81"/>
            <rFont val="Tahoma"/>
            <family val="2"/>
          </rPr>
          <t xml:space="preserve">
In the template, this line item may include the total of:</t>
        </r>
        <r>
          <rPr>
            <sz val="8"/>
            <color indexed="81"/>
            <rFont val="Tahoma"/>
            <family val="2"/>
          </rPr>
          <t xml:space="preserve">
1. Plan Amendments
2. Actuarial Adjustments
3. Exchange gains/losses
4. Settlements and curtailments
5. Acquisitions and Divestures
6. Other adjustments to PBO</t>
        </r>
        <r>
          <rPr>
            <b/>
            <sz val="8"/>
            <color indexed="81"/>
            <rFont val="Tahoma"/>
            <family val="2"/>
          </rPr>
          <t xml:space="preserve">
How to forecast this line item if OPEB is material for my company?</t>
        </r>
        <r>
          <rPr>
            <sz val="8"/>
            <color indexed="81"/>
            <rFont val="Tahoma"/>
            <family val="2"/>
          </rPr>
          <t xml:space="preserve">
This line item includes a set of miscellaneous items that are not important from an economic standpoint. They are also impossible to forecast. You should set it equal to zero for the forecast years.
</t>
        </r>
        <r>
          <rPr>
            <b/>
            <sz val="8"/>
            <color indexed="81"/>
            <rFont val="Tahoma"/>
            <family val="2"/>
          </rPr>
          <t xml:space="preserve">How does the template forecast it?
</t>
        </r>
        <r>
          <rPr>
            <sz val="8"/>
            <color indexed="81"/>
            <rFont val="Tahoma"/>
            <family val="2"/>
          </rPr>
          <t>The template does not make an attempt to forecast this line item and sets it equal to zero for the forecast years.</t>
        </r>
      </text>
    </comment>
    <comment ref="A37" authorId="0">
      <text>
        <r>
          <rPr>
            <b/>
            <sz val="8"/>
            <color indexed="81"/>
            <rFont val="Tahoma"/>
            <family val="2"/>
          </rPr>
          <t xml:space="preserve">
OPEB plan assets*</t>
        </r>
        <r>
          <rPr>
            <sz val="8"/>
            <color indexed="81"/>
            <rFont val="Tahoma"/>
            <family val="2"/>
          </rPr>
          <t xml:space="preserve"> are measured at the current fair value. Similar to other assets and liabilities measured at fair value, the company provides details about how it measured the fair value of its OPEB assets (in the VEBA truest) in the disclosures.
*OPEB plans are usually unfuded, meaning they are not set up in trusts. So they usually don't have plan assets set aside to meet the obligations; exception: VEBA trusts. Companies with VEBA trusts only typically fund between 10% and 30% of the OPEB obligation</t>
        </r>
      </text>
    </comment>
    <comment ref="A38" authorId="0">
      <text>
        <r>
          <rPr>
            <b/>
            <sz val="8"/>
            <color indexed="81"/>
            <rFont val="Tahoma"/>
            <family val="2"/>
          </rPr>
          <t xml:space="preserve">
Actual return </t>
        </r>
        <r>
          <rPr>
            <sz val="8"/>
            <color indexed="81"/>
            <rFont val="Tahoma"/>
            <family val="2"/>
          </rPr>
          <t xml:space="preserve">is the return generared on plan assets in VEBA trust.
</t>
        </r>
        <r>
          <rPr>
            <b/>
            <sz val="8"/>
            <color indexed="81"/>
            <rFont val="Tahoma"/>
            <family val="2"/>
          </rPr>
          <t>How to forecast this line item if OPEB is material for my company?</t>
        </r>
        <r>
          <rPr>
            <sz val="8"/>
            <color indexed="81"/>
            <rFont val="Tahoma"/>
            <family val="2"/>
          </rPr>
          <t xml:space="preserve">
Actual return could be calculated as actual rate of return (row12) times the FV of plan assets (BOP) + 0.5*contributions assuming that the contributions were made in the middle of the year. Contact AST if the company makes steady contributions throughout the year OR if you are unsure how to consider them when calculating actual return.
</t>
        </r>
        <r>
          <rPr>
            <b/>
            <sz val="8"/>
            <color indexed="81"/>
            <rFont val="Tahoma"/>
            <family val="2"/>
          </rPr>
          <t>How does the template forecast it?</t>
        </r>
        <r>
          <rPr>
            <sz val="8"/>
            <color indexed="81"/>
            <rFont val="Tahoma"/>
            <family val="2"/>
          </rPr>
          <t xml:space="preserve">
Actual return is calculated as actual rate of return (row12) times the FV of plan assets (BOP) + 0.5*contributions assuming that the contributions were made in the middle of the year.</t>
        </r>
      </text>
    </comment>
    <comment ref="A39" authorId="0">
      <text>
        <r>
          <rPr>
            <b/>
            <sz val="8"/>
            <color indexed="81"/>
            <rFont val="Tahoma"/>
            <family val="2"/>
          </rPr>
          <t xml:space="preserve">
Contributions</t>
        </r>
        <r>
          <rPr>
            <sz val="8"/>
            <color indexed="81"/>
            <rFont val="Tahoma"/>
            <family val="2"/>
          </rPr>
          <t xml:space="preserve"> are the payments that the company makes</t>
        </r>
        <r>
          <rPr>
            <u/>
            <sz val="8"/>
            <color indexed="81"/>
            <rFont val="Tahoma"/>
            <family val="2"/>
          </rPr>
          <t xml:space="preserve"> into the VEBA trust</t>
        </r>
        <r>
          <rPr>
            <sz val="8"/>
            <color indexed="81"/>
            <rFont val="Tahoma"/>
            <family val="2"/>
          </rPr>
          <t xml:space="preserve">, for future benefit payments. </t>
        </r>
        <r>
          <rPr>
            <b/>
            <sz val="8"/>
            <color indexed="81"/>
            <rFont val="Tahoma"/>
            <family val="2"/>
          </rPr>
          <t xml:space="preserve">
How to forecast this line item if OPEB is material for my company?
</t>
        </r>
        <r>
          <rPr>
            <sz val="8"/>
            <color indexed="81"/>
            <rFont val="Tahoma"/>
            <family val="2"/>
          </rPr>
          <t>Companies disclose expected contributions for the 'next' fiscal year in their pension footnote which should be used in the template to forecast next year's contributions. Some companies also disclose it for 'future years' in their contractual obligations footnote, which could be used to forecast it for the rest of the years. 
If the company does not have a VEBA trust, then they most likely make the benefit payments on 'pay as you go' basis. The cash outflow in that case is going to be 'benefits paid' for the period.</t>
        </r>
        <r>
          <rPr>
            <sz val="8"/>
            <color indexed="81"/>
            <rFont val="Tahoma"/>
            <family val="2"/>
          </rPr>
          <t xml:space="preserve">
</t>
        </r>
        <r>
          <rPr>
            <b/>
            <sz val="8"/>
            <color indexed="81"/>
            <rFont val="Tahoma"/>
            <family val="2"/>
          </rPr>
          <t xml:space="preserve">How does the template forecast it?
</t>
        </r>
        <r>
          <rPr>
            <sz val="8"/>
            <color indexed="81"/>
            <rFont val="Tahoma"/>
            <family val="2"/>
          </rPr>
          <t>The template does not forecast the contributions and leaves it to the analyst team to investigate whether the company has a separate VEBA trust to maintain the plan assets. If they do, then enter the numbers that the company discloses in the footnote.. if they don't then enter this number same as benefits paid forecasted on row 40 (opposite sign), that way plan assets will remain zero but the correct cash outflow will get captured on row 52.</t>
        </r>
      </text>
    </comment>
    <comment ref="A40" authorId="0">
      <text>
        <r>
          <rPr>
            <b/>
            <sz val="8"/>
            <color indexed="81"/>
            <rFont val="Tahoma"/>
            <family val="2"/>
          </rPr>
          <t xml:space="preserve">
Benefits payments </t>
        </r>
        <r>
          <rPr>
            <sz val="8"/>
            <color indexed="81"/>
            <rFont val="Tahoma"/>
            <family val="2"/>
          </rPr>
          <t>are the actual OPEB benefit payments made to the employees during the year. These payments are usually paid out of VEBA trust i.e. OPEB plan assets</t>
        </r>
        <r>
          <rPr>
            <u/>
            <sz val="8"/>
            <color indexed="81"/>
            <rFont val="Tahoma"/>
            <family val="2"/>
          </rPr>
          <t xml:space="preserve"> if the company has set up the VEBA trust</t>
        </r>
        <r>
          <rPr>
            <sz val="8"/>
            <color indexed="81"/>
            <rFont val="Tahoma"/>
            <family val="2"/>
          </rPr>
          <t xml:space="preserve"> </t>
        </r>
        <r>
          <rPr>
            <b/>
            <sz val="8"/>
            <color indexed="81"/>
            <rFont val="Tahoma"/>
            <family val="2"/>
          </rPr>
          <t>OR</t>
        </r>
        <r>
          <rPr>
            <sz val="8"/>
            <color indexed="81"/>
            <rFont val="Tahoma"/>
            <family val="2"/>
          </rPr>
          <t xml:space="preserve"> partly out of the VEBA trust &amp; partly out of the company cash flow </t>
        </r>
        <r>
          <rPr>
            <b/>
            <sz val="8"/>
            <color indexed="81"/>
            <rFont val="Tahoma"/>
            <family val="2"/>
          </rPr>
          <t>OR</t>
        </r>
        <r>
          <rPr>
            <sz val="8"/>
            <color indexed="81"/>
            <rFont val="Tahoma"/>
            <family val="2"/>
          </rPr>
          <t xml:space="preserve"> entirely out of the company cash flow if the company doesn't have the VEBA trust. </t>
        </r>
        <r>
          <rPr>
            <b/>
            <sz val="8"/>
            <color indexed="81"/>
            <rFont val="Tahoma"/>
            <family val="2"/>
          </rPr>
          <t xml:space="preserve">
How to forecast this line item if OPEB is material for my company?</t>
        </r>
        <r>
          <rPr>
            <sz val="8"/>
            <color indexed="81"/>
            <rFont val="Tahoma"/>
            <family val="2"/>
          </rPr>
          <t xml:space="preserve">
The pension footnote discloses the schedule of expected benefit payments to retirees for the next 5 years, and the aggregate payment for the following 5 years, which should be used in the template to forecast future benefit payments. (i.e. you can just link this to row 33 of the template) depending on whether the company has set up the VEBA trust. If they don't you need to assume that the company pays it entirely out of the cash flow as and when due.
</t>
        </r>
        <r>
          <rPr>
            <b/>
            <sz val="8"/>
            <color indexed="81"/>
            <rFont val="Tahoma"/>
            <family val="2"/>
          </rPr>
          <t xml:space="preserve">How does the template forecast it?
</t>
        </r>
        <r>
          <rPr>
            <sz val="8"/>
            <color indexed="81"/>
            <rFont val="Tahoma"/>
            <family val="2"/>
          </rPr>
          <t>The template does not forecast this number because different companies have different facts as mentioned above. You need to fill out the numbers based on these facts. Please get in touch with AST if unsure how to handle this.</t>
        </r>
      </text>
    </comment>
    <comment ref="A41" authorId="0">
      <text>
        <r>
          <rPr>
            <b/>
            <sz val="8"/>
            <color indexed="81"/>
            <rFont val="Tahoma"/>
            <family val="2"/>
          </rPr>
          <t xml:space="preserve">
In the template, this line item may include the total of:</t>
        </r>
        <r>
          <rPr>
            <sz val="8"/>
            <color indexed="81"/>
            <rFont val="Tahoma"/>
            <family val="2"/>
          </rPr>
          <t xml:space="preserve">
1. Acquisitions and Divestitures 
2. Settlements and curtailments
3. Exchange rate changes 
4. Other adjustments to plan assets
</t>
        </r>
        <r>
          <rPr>
            <b/>
            <sz val="8"/>
            <color indexed="81"/>
            <rFont val="Tahoma"/>
            <family val="2"/>
          </rPr>
          <t xml:space="preserve">How to forecast this line item if OPEB is material for my company?
</t>
        </r>
        <r>
          <rPr>
            <sz val="8"/>
            <color indexed="81"/>
            <rFont val="Tahoma"/>
            <family val="2"/>
          </rPr>
          <t>This line item includes a set of miscellaneous items that are not important from an economic standpoint. They are also impossible to forecast. You should set this line item equal to zero for the forecast years.</t>
        </r>
        <r>
          <rPr>
            <b/>
            <sz val="8"/>
            <color indexed="81"/>
            <rFont val="Tahoma"/>
            <family val="2"/>
          </rPr>
          <t xml:space="preserve">
How does the template forecast it?
</t>
        </r>
        <r>
          <rPr>
            <sz val="8"/>
            <color indexed="81"/>
            <rFont val="Tahoma"/>
            <family val="2"/>
          </rPr>
          <t>The template does not make an attempt to forecast this line item and sets it equal to zero for the forecast years.</t>
        </r>
      </text>
    </comment>
    <comment ref="A44" authorId="0">
      <text>
        <r>
          <rPr>
            <b/>
            <sz val="8"/>
            <color indexed="81"/>
            <rFont val="Tahoma"/>
            <family val="2"/>
          </rPr>
          <t xml:space="preserve">
Funded status </t>
        </r>
        <r>
          <rPr>
            <sz val="8"/>
            <color indexed="81"/>
            <rFont val="Tahoma"/>
            <family val="2"/>
          </rPr>
          <t>of the plan is the difference between the PBO and the FV of plan assets. It is recorded on the balance sheet and may be split between the current and non-current portions. It fully measures the debt-like liability of the plan to date and incurs interest like any financial liability. 
The pension obligation on the balance sheet is tax-deductible when a company contributes to the plan. Companies report it gross of tax (i.e. funded status), and the corresponding tax benefit is recorded as a deferred tax asset on the BS. The tax deductibility of pension debt is an important difference as compared to traditional debt. When a company takes on traditional debt, interest is deductible, but the debt principal payments are not.
When looking at metrics that include pension debt (such as net debt) analysts should subtract the corresponding DTA to capture the true liability.</t>
        </r>
      </text>
    </comment>
    <comment ref="A47" authorId="0">
      <text>
        <r>
          <rPr>
            <b/>
            <sz val="8"/>
            <color indexed="81"/>
            <rFont val="Tahoma"/>
            <family val="2"/>
          </rPr>
          <t xml:space="preserve">
DTAs: </t>
        </r>
        <r>
          <rPr>
            <sz val="8"/>
            <color indexed="81"/>
            <rFont val="Tahoma"/>
            <family val="2"/>
          </rPr>
          <t>The OPEB obligation on the balance sheet is tax-deductible as they are paid. The obligation on the balance sheet is reported gross of tax, and the corresponding tax benefits are part of deferred tax assets (DTA).
Unlike pensions, companies do not have the same incentives to pre-fund OPEB obligations, and as a result, most companies do not set up a separate trust for the OPEB plan*. Since the plan is unfunded, there are no plan assets, and there are no contributions to the plan. Instead, the company pays the costs of benefits directly to retirees.
*Some companies set up what is known as a Variable Employees’ Beneficiary Association (VEBA) Trust. From a tax perspective, these trusts function similarly to a pension plan, allowing some tax-deductible contributions. The allowable contributions are usually a relatively low percentage of the total obligation, so companies with VEBA trusts only typically fund between 10% and 30% of the OPEB obligation.</t>
        </r>
        <r>
          <rPr>
            <sz val="8"/>
            <color indexed="81"/>
            <rFont val="Tahoma"/>
            <family val="2"/>
          </rPr>
          <t xml:space="preserve">
</t>
        </r>
        <r>
          <rPr>
            <b/>
            <sz val="8"/>
            <color indexed="81"/>
            <rFont val="Tahoma"/>
            <family val="2"/>
          </rPr>
          <t>How to forecast this line item if Pension is material for my company?</t>
        </r>
        <r>
          <rPr>
            <sz val="8"/>
            <color indexed="81"/>
            <rFont val="Tahoma"/>
            <family val="2"/>
          </rPr>
          <t xml:space="preserve">
DTA's thus should be = tax rate x forecasted funded status.
</t>
        </r>
        <r>
          <rPr>
            <b/>
            <sz val="8"/>
            <color indexed="81"/>
            <rFont val="Tahoma"/>
            <family val="2"/>
          </rPr>
          <t xml:space="preserve">How does the template forecast it?
</t>
        </r>
        <r>
          <rPr>
            <sz val="8"/>
            <color indexed="81"/>
            <rFont val="Tahoma"/>
            <family val="2"/>
          </rPr>
          <t>It is calculated as tax rate times forecasted funded status.</t>
        </r>
      </text>
    </comment>
    <comment ref="A51" authorId="0">
      <text>
        <r>
          <rPr>
            <b/>
            <sz val="8"/>
            <color indexed="81"/>
            <rFont val="Tahoma"/>
            <family val="2"/>
          </rPr>
          <t xml:space="preserve">
OPEB expense</t>
        </r>
        <r>
          <rPr>
            <sz val="8"/>
            <color indexed="81"/>
            <rFont val="Tahoma"/>
            <family val="2"/>
          </rPr>
          <t xml:space="preserve"> is an accrued OPEB expense and is entirely non-cash. It is thus added back in cash flow from operations as a non-cash item.</t>
        </r>
      </text>
    </comment>
    <comment ref="A52" authorId="0">
      <text>
        <r>
          <rPr>
            <b/>
            <sz val="8"/>
            <color indexed="81"/>
            <rFont val="Tahoma"/>
            <family val="2"/>
          </rPr>
          <t xml:space="preserve">
Contributions</t>
        </r>
        <r>
          <rPr>
            <sz val="8"/>
            <color indexed="81"/>
            <rFont val="Tahoma"/>
            <family val="2"/>
          </rPr>
          <t xml:space="preserve"> are the companies’ payments to the VEBA trust. These are thus the cash flows on a companies cash flow
statement.</t>
        </r>
      </text>
    </comment>
    <comment ref="A59" authorId="0">
      <text>
        <r>
          <rPr>
            <b/>
            <sz val="8"/>
            <color indexed="81"/>
            <rFont val="Tahoma"/>
            <family val="2"/>
          </rPr>
          <t xml:space="preserve">
Why?
</t>
        </r>
        <r>
          <rPr>
            <sz val="8"/>
            <color indexed="81"/>
            <rFont val="Tahoma"/>
            <family val="2"/>
          </rPr>
          <t>Contributions are companies’ payments to the VEBA trust. They thus represent a reduction in operating cash flow of the company in the year in which they are made.
If the compay does not have the trust, this number should reflect the benefit payments made to the employees.</t>
        </r>
      </text>
    </comment>
    <comment ref="A60" authorId="0">
      <text>
        <r>
          <rPr>
            <b/>
            <sz val="8"/>
            <color indexed="81"/>
            <rFont val="Tahoma"/>
            <family val="2"/>
          </rPr>
          <t xml:space="preserve">
Why?</t>
        </r>
        <r>
          <rPr>
            <sz val="8"/>
            <color indexed="81"/>
            <rFont val="Tahoma"/>
            <family val="2"/>
          </rPr>
          <t xml:space="preserve">
OPEB expense/ (income) is a non-cash number and thus needs to be added back on the cash flow statement.</t>
        </r>
      </text>
    </comment>
    <comment ref="A61" authorId="0">
      <text>
        <r>
          <rPr>
            <b/>
            <sz val="8"/>
            <color indexed="81"/>
            <rFont val="Tahoma"/>
            <family val="2"/>
          </rPr>
          <t xml:space="preserve">
Why?
</t>
        </r>
        <r>
          <rPr>
            <sz val="8"/>
            <color indexed="81"/>
            <rFont val="Tahoma"/>
            <family val="2"/>
          </rPr>
          <t>The OPEB obligation on the balance sheet is tax-deductible as they are paid. The obligation on the balance sheet is reported gross of tax, and the corresponding tax benefits are part of deferred tax assets (DTA).</t>
        </r>
      </text>
    </comment>
    <comment ref="A66" authorId="0">
      <text>
        <r>
          <rPr>
            <b/>
            <sz val="8"/>
            <color indexed="81"/>
            <rFont val="Tahoma"/>
            <family val="2"/>
          </rPr>
          <t xml:space="preserve">
Why?
</t>
        </r>
        <r>
          <rPr>
            <sz val="8"/>
            <color indexed="81"/>
            <rFont val="Tahoma"/>
            <family val="2"/>
          </rPr>
          <t>Improvement/deterioration in funded status during the year will decrease /increase the net OPEB liability for the year and thus needs to be captured in this line item.</t>
        </r>
        <r>
          <rPr>
            <b/>
            <sz val="8"/>
            <color indexed="81"/>
            <rFont val="Tahoma"/>
            <family val="2"/>
          </rPr>
          <t xml:space="preserve">
</t>
        </r>
      </text>
    </comment>
    <comment ref="A67" authorId="0">
      <text>
        <r>
          <rPr>
            <b/>
            <sz val="8"/>
            <color indexed="81"/>
            <rFont val="Tahoma"/>
            <family val="2"/>
          </rPr>
          <t xml:space="preserve">
Why?
</t>
        </r>
        <r>
          <rPr>
            <sz val="8"/>
            <color indexed="81"/>
            <rFont val="Tahoma"/>
            <family val="2"/>
          </rPr>
          <t xml:space="preserve">While the funded status on the balance sheet is based on actual results (i.e. actual return on assets, year-end discount rate, etc), the accounting for the pension/OPEB plan on the income statement is heavily influenced by management estimates and various smoothing features (i.e. EROA, amortization of prior service costs and actuarial G/L, etc.)
To keep the balance sheet in balance, the disconnect between estimated and actual results (known as unrecognized actuarial gains/losses) is captured in </t>
        </r>
        <r>
          <rPr>
            <b/>
            <sz val="8"/>
            <color indexed="81"/>
            <rFont val="Tahoma"/>
            <family val="2"/>
          </rPr>
          <t>Accumulated other comprehensive income (AOCI).</t>
        </r>
      </text>
    </comment>
  </commentList>
</comments>
</file>

<file path=xl/comments6.xml><?xml version="1.0" encoding="utf-8"?>
<comments xmlns="http://schemas.openxmlformats.org/spreadsheetml/2006/main">
  <authors>
    <author>elizthys</author>
  </authors>
  <commentList>
    <comment ref="A1" authorId="0">
      <text>
        <r>
          <rPr>
            <b/>
            <sz val="8"/>
            <color indexed="81"/>
            <rFont val="Tahoma"/>
            <family val="2"/>
          </rPr>
          <t>卟䙄_x0001_＀＀貁䶔%千幘䅃偟久当佃偍剟呁⡅㈱㈯〰ⰴⰬ唬䑓착_x0018_＀＀_x0018_＀＀_x0008_＀＀_x0001_＀＀_x0001_＀＀馚香香䀉ۺ仌_x0016_千幘彐剐䍉Ņ㌠㌯⼱〲㔰_x0018_＀＀_x0018_＀＀_x0008_＀＀_x0001_＀＀_x0001_＀＀媢쑄䀛貁䶔(千幘䅃偟久当偐彄䕂彎佃呓ㄨ⼲〲㠰ⰬⰬ单⥄_x0018_＀＀_x0018_＀＀_x0008_＀＀_x0001_＀＀_x0001_＀＀豀碵꼝쐕貁䶔 千幘南䕟䍘彈䅒䕔ㄨ⼲〲㤰ⰬⰬ单⥄_x0018_＀＀_x0018_＀＀_x0008_＀＀_x0001_＀＀_x0001_＀＀＀＀＀＀＀＀㿰ۺ仌_x0016_千幘彐剐䍉Ņ㌠㌯⼱〲㘰_x0018_＀＀_x0018_＀＀_x0008_＀＀_x0001_＀＀_x0001_＀＀㺯羽䀣ۺ仌_x0016_千幘彐剐䍉Ņ㌠㌯⼱〲㜰_x0018_＀＀_x0018_＀＀_x0008_＀＀_x0001_＀＀_x0001_＀＀㌳㌳댳䀪ۺ仌_x0016_千幘彐剐䍉Ņ㌠㌯⼱〲㠰_x0018_＀＀_x0018_＀＀_x0008_＀＀_x0001_＀＀_x0001_＀＀㵱휊낣䀲貀䶔_x0012_千幘南䥟体䍟䑏⡅⤰_x0014_＀＀_x0018_＀＀_x0004_＀＀_x0001_＀＀_x0008_＀＀单Dۺ仌_x0016_千幘彐剐䍉Ņ㌠㌯⼱〲㤰_x0018_＀＀_x0018_＀＀_x0008_＀＀_x0001_＀＀_x0001_＀＀୼웫㮻䀡貂䶔*千幘南䡟呌䍈剁彅塅彐呌剟䅏ㄨ⼲〲〱ⰬⰬ单⥄_x0018_＀＀_x0018_＀＀_x0008_＀＀_x0001_＀＀_x0001_＀＀豀碵꼝쐕貁䶔N千幘䅃偟久当乕䕒佃⡇㈱㈯〰ⰸⰬ唬䑓䀩南偟久䥓乏啟剎䍅卟剅彖佃呓ㄨ⼲〲㠰ⰬⰬ单⥄_x0018_＀＀_x0018_＀＀_x0008_＀＀_x0001_＀＀_x0001_＀＀＀＀＀＀＀＀䀈貁䶔)千幘南䡟呌䍈剁彅䥄䍓剟呁⡅㈱㈯〰ⰳⰬ唬䑓착_x0018_＀＀_x0018_＀＀_x0008_＀＀_x0001_＀＀_x0001_＀＀＀＀＀＀＀＀䀔貁䶔&amp;千幘䅃偟久当十彔义䅔䝎ㄨ⼲〲㠰ⰬⰬ单⥄_x0018_＀＀_x0018_＀＀_x0008_＀＀_x0001_＀＀_x0001_＀＀豀碵꼝쐕争_x000F_千幘䝆偟䥒䕃〨착_x0018_＀＀_x0018_＀＀_x0008_＀＀_x0001_＀＀_x0001_＀＀凬Ẹꮅ䀲貁䶔'千幘南偟久偟协彔䕒彔䕂⡎㈱㈯〰ⰳⰬ唬䑓착_x0018_＀＀_x0018_＀＀_x0008_＀＀_x0001_＀＀_x0001_＀＀豀碵꼝쐕貁䶔,千幘䅃偟协剔呅䕟偍䍟乏剔䉉䍟ㄨ⼲〲㌰ⰬⰬ单⥄_x0018_＀＀_x0018_＀＀_x0008_＀＀_x0001_＀＀_x0001_＀＀＀＀＀＀＀＀䁂貂䶔%千幘䅃偟久当佃偍剟呁⡅㈱㈯㄰ⰰⰬ唬䑓착_x0018_＀＀_x0018_＀＀_x0008_＀＀_x0001_＀＀_x0001_＀＀＀＀＀＀＀＀䀐貁䶔M千幘䅃偟久当剐佉归剓⡖㈱㈯〰ⰶⰬ唬䑓䀩南偟久䥓乏偟归䕓噒䍟协⡔㈱㈯〰ⰶⰬ唬䑓착_x0018_＀＀_x0018_＀＀_x0008_＀＀_x0001_＀＀_x0001_＀＀＀＀＀＀＀＀䀐貁䶔B千幘䅃偟久当佒⡁㈱㈯〰ⰹⰬ唬䑓䀩南偟久䥓乏䕟偘剟䅏ㄨ⼲〲㤰ⰬⰬ单⥄_x0018_＀＀_x0018_＀＀_x0008_＀＀_x0001_＀＀_x0001_＀＀＀＀＀＀䀀쁣貁䶔M千幘䅃偟久当剐佉归剓⡖㈱㈯〰ⰷⰬ唬䑓䀩南偟久䥓乏偟归䕓噒䍟协⡔㈱㈯〰ⰷⰬ唬䑓착_x0018_＀＀_x0018_＀＀_x0008_＀＀_x0001_＀＀_x0001_＀＀＀＀＀＀＀＀䀈貁䶔_x001A_千幘南䕟䍘彈䅒䕔䥟䍎䍟⡆⤰_x0018_＀＀_x0018_＀＀_x0008_＀＀_x0001_＀＀_x0001_＀＀豀碵꼝쐕貁䶔E千幘䅃偟协剔呅䉟久佟⡂㈱㈯〰ⰶⰬ唬䑓䀩南䡟呌䍈剁彅䉐⡏㈱㈯〰ⰶⰬ唬䑓착_x0018_＀＀_x0018_＀＀_x0008_＀＀_x0001_＀＀_x0001_＀＀＀＀＀＀䁸貁䶔G千幘䅃偟协剔呅䍟协⡔㈱㈯〰ⰴⰬ唬䑓䀩南䡟呌䍈剁彅偎彐塅⡐㈱㈯〰ⰴⰬ唬䑓착_x0018_＀＀_x0018_＀＀_x0008_＀＀_x0001_＀＀_x0001_＀＀＀＀＀＀耀䁎貁䶔'千幘南偟久偟协彔䕒彔䕂⡎㈱㈯〰ⰹⰬ唬䑓착_x0018_＀＀_x0018_＀＀_x0008_＀＀_x0001_＀＀_x0001_＀＀＀＀＀＀㠀䂎貁䶔J千幘䅃偟久当佒彁䅒䕔ㄨ⼲〲㘰ⰬⰬ单⥄址当䕐华佉彎塅彐呌剟䅏ㄨ⼲〲㘰ⰬⰬ单⥄_x0018_＀＀_x0018_＀＀_x0008_＀＀_x0001_＀＀_x0001_＀＀＀＀＀＀＀＀䀡貁䶔＀Ｏ千幘南䡟呌䍈剁彅䵁剏彔䕓噒䍟协⡔㈱㈯〰ⰵⰬ唬䑓착_x0018_＀＀_x0018_＀＀_x0008_＀＀_x0001_＀＀_x0001_＀＀豀碵꼝쐕ۺ仌_x0016_千幘彐剐䍉Ņ〱㈯⼱〲ㄱ_x0018_＀＀_x0018_＀＀_x0008_＀＀_x0001_＀＀_x0001_＀＀轜_xDC28_䀵互5刣晥敲桳帣䅃偟久当䕎彔佃呓丨⥁址当䕐华佉彎偎彐塅⡐䅎착_x0018_＀＀_x0018_＀＀_x0008_＀＀_x0001_＀＀_x0001_＀＀豀碵꼝쐕貁䶔Q千幘䅃偟久当䍁啃彍佃偍䥒䍎ㄨ⼲〲㌰ⰬⰬ单⥄址当佃偍归义彃䕐华䱟䅉⡂㈱㈯〰ⰳⰬ唬䑓착_x0018_＀＀_x0018_＀＀_x0008_＀＀_x0001_＀＀_x0001_＀＀＀＀＀＀ 䁺貁䶔)千幘䅃偟久当䵅彐佃呎䥒彂⡃㈱㈯〰ⰶⰬ唬䑓착_x0018_＀＀_x0018_＀＀_x0008_＀＀_x0001_＀＀_x0001_＀＀＀＀＀＀＀＀䀶貁䶔,千幘䅃偟协剔呅䕟偍䍟乏剔䉉䍟ㄨ⼲〲㤰ⰬⰬ单⥄_x0018_＀＀_x0018_＀＀_x0008_＀＀_x0001_＀＀_x0001_＀＀＀＀＀＀＀＀䁀貁䶔;千幘南偟久䥓乏䅟卓呅当呏⡈㈱㈯〰⤹䍀彁䕐华偟呃佟䡔ㄨ⼲〲㤰착_x0018_＀＀_x0018_＀＀_x0008_＀＀_x0001_＀＀_x0001_＀＀＀＀＀＀＀＀䀐ۺ仌_x0016_千幘彐剐䍉Ņ㌠㌯⼱〲〱_x0018_＀＀_x0018_＀＀_x0008_＀＀_x0001_＀＀_x0001_＀＀غ꽤䀰貁䶔Q千幘䅃偟久当䍁啃彍佃偍䥒䍎ㄨ⼲〲㠰ⰬⰬ单⥄址当佃偍归义彃䕐华䱟䅉⡂㈱㈯〰ⰸⰬ唬䑓착_x0018_＀＀_x0018_＀＀_x0008_＀＀_x0001_＀＀_x0001_＀＀＀＀＀＀⠀삇ۺ仌_x0016_千幘彐剐䍉Ņ㌠㌯⼱〲ㄱ_x0018_＀＀_x0018_＀＀_x0008_＀＀_x0001_＀＀_x0001_＀＀㌴㌳㌳䀺貁䶔(千幘南偟久䥓乏䅟卓呅当呌ㄨ⼲〲㜰ⰬⰬ单⥄_x0018_＀＀_x0018_＀＀_x0008_＀＀_x0001_＀＀_x0001_＀＀＀＀＀＀＀＀䀐互!刣晥敲桳帣南䕟䍘彈䅒䕔䥟䍎䍟⡆䅎착_x0018_＀＀_x0018_＀＀_x0008_＀＀_x0001_＀＀_x0001_＀＀豀碵꼝쐕貁䶔"千幘䅃偟久当偐彄䕂彎佃呓〨ⰬⰬ单⥄_x0018_＀＀_x0018_＀＀_x0008_＀＀_x0001_＀＀_x0001_＀＀豀碵꼝쐕멦伈_x0016_千幘彐剐䍉Ņ㈱㌯⼰〲ㄱ_x0018_＀＀_x0018_＀＀_x0008_＀＀_x0001_＀＀_x0001_＀＀슏⣵ཛྷ䀵貁䶔[千幘南剟久䅔彌偏䱟䕓䕟偘ㄨ⼲〲㜰ㄬ⼲〲㜰ⰬⰬ单⥄䍀彁呒剟久彔䥍彎塅⡐㈱㈯〰ⰷ㈱㈯〰ⰷⰬ唬䑓착_x0018_＀＀_x0018_＀＀_x0008_＀＀_x0001_＀＀_x0001_＀＀＀＀＀＀　䁼貁䶔+千幘䅃偟协剔呅偟剁彔佃呎䥒⡂㈱㈯〰ⰷⰬ唬䑓착_x0018_＀＀_x0018_＀＀_x0008_＀＀_x0001_＀＀_x0001_＀＀＀＀＀＀＀＀䀰貁䶔#千幘䅃偟协剔呅䱟䅉⡂㈱㈯〰ⰵⰬ唬䑓착_x0018_＀＀_x0018_＀＀_x0008_＀＀_x0001_＀＀_x0001_＀＀＀＀＀＀퀀쁴貁䶔J千幘䅃偟久当䥄䍓剟呁⡅㈱㈯〰ⰹⰬ唬䑓䀩南偟久䥓乏䑟卉彃䅒䕔ㄨ⼲〲㤰ⰬⰬ单⥄_x0018_＀＀_x0018_＀＀_x0008_＀＀_x0001_＀＀_x0001_＀＀＀＀＀＀＀＀䀕貁䶔"千幘南偟久䥓乏䅟卓呅当呌〨ⰬⰬ单⥄_x0018_＀＀_x0018_＀＀_x0008_＀＀_x0001_＀＀_x0001_＀＀豀碵꼝쐕貁䶔T千幘䅃偟协剔呅偟䥒剏卟噒ㄨ⼲〲㌰ⰬⰬ单⥄址当䱈䡔䅃䕒啟剎䍅卟剅彖佃呓ㄨ⼲〲㌰ⰬⰬ单⥄_x0018_＀＀_x0018_＀＀_x0008_＀＀_x0001_＀＀_x0001_＀＀＀＀＀＀＀＀쀻貁䶔%千幘䅃偟久当啃归䥌䉁⡓㈱㈯〰ⰷⰬ唬䑓착_x0018_＀＀_x0018_＀＀_x0008_＀＀_x0001_＀＀_x0001_＀＀＀＀＀＀＀＀䀨互1卋幕捩敟瑳浩瑡⡥灯牥楟据䴬䅅ⱎ瑑彲潲汬ㄬ✬〴㈸✶착_x0018_＀＀_x0018_＀＀_x0008_＀＀_x0001_＀＀_x0001_＀＀롒蔞ꧫ䁣貁䶔+千幘南䍟問呎奒也䵁⡅⤰䍀彁佃䥟䍎剏彐呃奒〨착_x001E_＀＀_x0018_＀＀_x000E_＀＀_x0001_＀＀_x0008_＀＀湕瑩摥匠慴整s貁䶔M千幘䅃偟久当剐佉归剓⡖㈱㈯〰ⰴⰬ唬䑓䀩南偟久䥓乏偟归䕓噒䍟协⡔㈱㈯〰ⰴⰬ唬䑓착_x0018_＀＀_x0018_＀＀_x0008_＀＀_x0001_＀＀_x0001_＀＀＀＀＀＀＀＀䀐貁䶔'千幘南偟久䥓乏也呅䱟䅉⡂㈱㈯〰ⰳⰬ唬䑓착_x0018_＀＀_x0018_＀＀_x0008_＀＀_x0001_＀＀_x0001_＀＀豀碵꼝쐕互1华幃捩敟瑳浩瑡⡥灯牥楟据䴬䅅ⱎ瑑彲潲汬ㄬ✬〴㈸✶착_x0018_＀＀_x0018_＀＀_x0008_＀＀_x0001_＀＀_x0001_＀＀鍵И䂋貁䶔M千幘䅃偟久当剐佉归剓⡖㈱㈯〰ⰵⰬ唬䑓䀩南偟久䥓乏偟归䕓噒䍟协⡔㈱㈯〰ⰵⰬ唬䑓착_x0018_＀＀_x0018_＀＀_x0008_＀＀_x0001_＀＀_x0001_＀＀＀＀＀＀＀＀䀐貁䶔'千幘䅃偟协剔呅䉟久偟䥁⡄㈱㈯〰ⰷⰬ唬䑓착_x0018_＀＀_x0018_＀＀_x0008_＀＀_x0001_＀＀_x0001_＀＀＀＀＀＀耀䁍貁䶔-千幘䅃偟协剔呅啟归剔佟彂䵁剏⡔㈱㈯〰ⰳⰬ唬䑓착_x0018_＀＀_x0018_＀＀_x0008_＀＀_x0001_＀＀_x0001_＀＀＀＀＀＀＀＀＀＀貁䶔)千幘南䡟呌䍈剁彅䥄䍓剟呁⡅㈱㈯〰ⰹⰬ唬䑓착_x0018_＀＀_x0018_＀＀_x0008_＀＀_x0001_＀＀_x0001_＀＀＀＀＀＀＀＀䀚貁䶔$千幘䅃偟久当䕂彎䅐䑉ㄨ⼲〲㠰ⰬⰬ单⥄_x0018_＀＀_x0018_＀＀_x0008_＀＀_x0001_＀＀_x0001_＀＀＀＀＀＀䁦貁䶔;千幘南偟久䥓乏䅟卓呅当呏⡈㈱㈯〰⤴䍀彁䕐华偟呃佟䡔ㄨ⼲〲㐰착_x0018_＀＀_x0018_＀＀_x0008_＀＀_x0001_＀＀_x0001_＀＀＀＀＀＀＀＀㿰貁䶔&lt;千幘南偟久䥓乏䅟卓呅当佂䑎⡓㈱㈯〰⤷䍀彁䕐华偟呃䙟⡉㈱㈯〰⤷_x0018_＀＀_x0018_＀＀_x0008_＀＀_x0001_＀＀_x0001_＀＀＀＀＀＀耀䁃貁䶔)千幘䅃偟协剔呅佟䡔䑁彊䉎⡁㈱㈯〰ⰴⰬ唬䑓착_x0018_＀＀_x0018_＀＀_x0008_＀＀_x0001_＀＀_x0001_＀＀＀＀＀＀䀀䁨伊!刣晥敲桳帣坍呟塁剟呁⡅低ⱗⰬ刢≐착_x0018_＀＀_x0018_＀＀_x0008_＀＀_x0001_＀＀_x0001_＀＀豀碵꼝쐕貁䶔'千幘南偟久䥓乏也呅䱟䅉⡂㈱㈯〰ⰹⰬ唬䑓착_x0018_＀＀_x0018_＀＀_x0008_＀＀_x0001_＀＀_x0001_＀＀豀碵꼝쐕貁䶔'千幘南䥟呎剟呁⡅㈱㈯〰ⰶ㈱㈯〰ⰶⰬ唬䑓착_x0018_＀＀_x0018_＀＀_x0008_＀＀_x0001_＀＀_x0001_＀＀른䳄䀚貁䶔P千幘䅃偟协剔呅偟䅌彎十彔久⡄㈱㈯〰ⰶⰬ唬䑓䀩南䡟呌䍈剁彅噆䅟卓呅ㄨ⼲〲㘰ⰬⰬ单⥄_x0018_＀＀_x0018_＀＀_x0008_＀＀_x0001_＀＀_x0001_＀＀＀＀＀＀＀＀＀＀貁䶔G千幘䅃偟协剔呅䍟协⡔㈱㈯〰ⰳⰬ唬䑓䀩南䡟呌䍈剁彅偎彐塅⡐㈱㈯〰ⰳⰬ唬䑓착_x0018_＀＀_x0018_＀＀_x0008_＀＀_x0001_＀＀_x0001_＀＀＀＀＀＀耀䁆貁䶔'千幘南䥟呎剟呁⡅㈱㈯〰ⰷ㈱㈯〰ⰷⰬ唬䑓착_x0018_＀＀_x0018_＀＀_x0008_＀＀_x0001_＀＀_x0001_＀＀랕鰣ﰖ䀖貁䶔'千幘南䥟呎剟呁⡅㈱㈯〰ⰸ㈱㈯〰ⰸⰬ唬䑓착_x0018_＀＀_x0018_＀＀_x0008_＀＀_x0001_＀＀_x0001_＀＀_xD86F_⢶膳䀚貁䶔(千幘䅃偟久当偐彄䕂彎佃呓ㄨ⼲〲㌰ⰬⰬ单⥄_x0018_＀＀_x0018_＀＀_x0008_＀＀_x0001_＀＀_x0001_＀＀＀＀＀＀＀＀＀＀貁䶔 千幘南䕟䍘彈䅒䕔ㄨ⼲〲㐰ⰬⰬ单⥄_x0018_＀＀_x0018_＀＀_x0008_＀＀_x0001_＀＀_x0001_＀＀＀＀＀＀＀＀㿰貁䶔;千幘南偟久䥓乏䅟卓呅当剐偏ㄨ⼲〲㔰䀩䅃偟久当䍐彔䕒ㄨ⼲〲㔰착_x0018_＀＀_x0018_＀＀_x0008_＀＀_x0001_＀＀_x0001_＀＀＀＀＀＀＀＀＀＀ۺ仌_x0016_千幘彐剐䍉Ņ㤠㌯⼰〲㈰_x0018_＀＀_x0018_＀＀_x0008_＀＀_x0001_＀＀_x0001_＀＀鰗_xDFC1_阯䀑互 刣晥敲桳帣南䕟䍘彈䅒䕔䉟䱁卟⡈⤰_x0018_＀＀_x0018_＀＀_x0008_＀＀_x0001_＀＀_x0001_＀＀豀碵꼝쐕貁䶔N千幘䅃偟久当乕䕒佃⡇㈱㈯〰ⰷⰬ唬䑓䀩南偟久䥓乏啟剎䍅卟剅彖佃呓ㄨ⼲〲㜰ⰬⰬ单⥄_x0018_＀＀_x0018_＀＀_x0008_＀＀_x0001_＀＀_x0001_＀＀＀＀＀＀＀＀䀐貁䶔'千幘南䥟呎剟呁⡅㈱㈯〰ⰹ㈱㈯〰ⰹⰬ唬䑓착_x0018_＀＀_x0018_＀＀_x0008_＀＀_x0001_＀＀_x0001_＀＀ᑑᏨ퉹䀛ۺ仌_x0016_千幘彐剐䍉Ņ㤠㌯⼰〲㌰_x0018_＀＀_x0018_＀＀_x0008_＀＀_x0001_＀＀_x0001_＀＀＀＀＀＀耀䀓ۺ仌_x0016_千幘彐剐䍉Ņ㤠㌯⼰〲㐰_x0018_＀＀_x0018_＀＀_x0008_＀＀_x0001_＀＀_x0001_＀＀愤仟∢䀖ۺ仌_x0016_千幘彐剐䍉Ņ㤠㌯⼰〲㔰_x0018_＀＀_x0018_＀＀_x0008_＀＀_x0001_＀＀_x0001_＀＀ɽ䘨ﲖ䀞ۺ仌_x0016_千幘彐剐䍉Ņ㤠㌯⼰〲㘰_x0018_＀＀_x0018_＀＀_x0008_＀＀_x0001_＀＀_x0001_＀＀堥츜䀥貁䶔(千幘南䡟呌䍈剁彅乕彆䕂⡎㈱㈯〰ⰷⰬ唬䑓⤩＀＀＀＀貁䶔;千幘南偟久䥓乏䅟卓呅当充䥕ㄨ⼲〲㘰䀩䅃偟久当䍐彔充ㄨ⼲〲㘰착_x0018_＀＀_x0018_＀＀_x0008_＀＀_x0001_＀＀_x0001_＀＀＀＀＀＀＀＀䁎ۺ仌_x0016_千幘彐剐䍉Ņ㤠㌯⼰〲㜰_x0018_＀＀_x0018_＀＀_x0008_＀＀_x0001_＀＀_x0001_＀＀ɽ䘨粖䀬貁䶔L千幘䅃偟协剔呅䥟呎䍟协⡔㈱㈯〰ⰸⰬ唬䑓䀩南䡟呌䍈剁彅义彔佃呓ㄨ⼲〲㠰ⰬⰬ单⥄_x0018_＀＀_x0018_＀＀_x0008_＀＀_x0001_＀＀_x0001_＀＀＀＀＀＀＀＀䀶貁䶔&amp;千幘䅃偟久当十彔义䅔䝎ㄨ⼲〲㌰ⰬⰬ单⥄_x0018_＀＀_x0018_＀＀_x0008_＀＀_x0001_＀＀_x0001_＀＀＀＀＀＀＀＀䁁ۺ仌_x0016_千幘彐剐䍉Ņ㤠㌯⼰〲㠰_x0018_＀＀_x0018_＀＀_x0008_＀＀_x0001_＀＀_x0001_＀＀㵱휊ィ䀲ۺ仌_x0016_千幘彐剐䍉Ņ㤠㌯⼰〲㤰_x0018_＀＀_x0018_＀＀_x0008_＀＀_x0001_＀＀_x0001_＀＀呩擠䀫貂䶔)千幘䅃偟协剔呅佟䡔䑁彊䉎⡁㈱㈯㄰ⰰⰬ唬䑓착_x0018_＀＀_x0018_＀＀_x0008_＀＀_x0001_＀＀_x0001_＀＀＀＀＀＀＀＀쀢貁䶔I千幘䅃偟久当剓彖佃呓ㄨ⼲〲㠰ⰬⰬ单⥄址当䕐华佉彎䕓噒䍟协⡔㈱㈯〰ⰸⰬ唬䑓착_x0018_＀＀_x0018_＀＀_x0008_＀＀_x0001_＀＀_x0001_＀＀＀＀＀＀耀䁀貁䶔%千幘䅃偟久当佃偍剟呁⡅㈱㈯〰ⰵⰬ唬䑓착_x0018_＀＀_x0018_＀＀_x0008_＀＀_x0001_＀＀_x0001_＀＀쳍쳌쳌䀌貁䶔G千幘䅃偟久当䕎彔佃呓ㄨ⼲〲㐰ⰬⰬ单⥄址当䕐华佉彎偎彐塅⡐㈱㈯〰ⰴⰬ唬䑓착_x0018_＀＀_x0018_＀＀_x0008_＀＀_x0001_＀＀_x0001_＀＀＀＀＀＀＀＀䁅貁䶔E千幘䅃偟协剔呅䉟久佟⡂㈱㈯〰ⰷⰬ唬䑓䀩南䡟呌䍈剁彅䉐⡏㈱㈯〰ⰷⰬ唬䑓착_x0018_＀＀_x0018_＀＀_x0008_＀＀_x0001_＀＀_x0001_＀＀＀＀＀＀䀀䁹貁䶔(千幘䅃偟久当偐彄䕂彎佃呓ㄨ⼲〲㤰ⰬⰬ单⥄_x0018_＀＀_x0018_＀＀_x0008_＀＀_x0001_＀＀_x0001_＀＀豀碵꼝쐕貁䶔M千幘䅃偟久当剐佉归剓⡖㈱㈯〰ⰳⰬ唬䑓䀩南偟久䥓乏偟归䕓噒䍟协⡔㈱㈯〰ⰳⰬ唬䑓착_x0018_＀＀_x0018_＀＀_x0008_＀＀_x0001_＀＀_x0001_＀＀＀＀＀＀＀＀䀐貂䶔 千幘南䕟䍘彈䅒䕔ㄨ⼲〲〱ⰬⰬ单⥄_x0018_＀＀_x0018_＀＀_x0008_＀＀_x0001_＀＀_x0001_＀＀＀＀＀＀＀＀㿰伊_x0014_刣晥敲桳帣南䍟彏䅎䕍_x0014_＀＀_x0018_＀＀_x0004_＀＀_x0001_＀＀_x0008_＀＀乀A貀䶔_x000E_千幘南䍟彏䅎䕍 ＀＀_x0018_＀＀_x0010_＀＀_x0001_＀＀_x0008_＀＀千⁘佃偒剏呁佉N貁䶔＀Ｏ千幘南䱟䅅䕓䍟䵏䥍彔剙⠱㈱㈯〰ⰹ㈱㈯〰ⰹⰬ唬䑓착_x0018_＀＀_x0018_＀＀_x0008_＀＀_x0001_＀＀_x0001_＀＀＀＀＀＀耀䁛貁䶔'千幘南䥟呎剟呁⡅㈱㈯〰ⰲ㈱㈯〰ⰲⰬ唬䑓착_x0018_＀＀_x0018_＀＀_x0008_＀＀_x0001_＀＀_x0001_＀＀誜ᡔ桛䀙ۺ仌_x0016_千幘彐剐䍉Ņ〱ㄯ⼴〲ㄱ_x0018_＀＀_x0018_＀＀_x0008_＀＀_x0001_＀＀_x0001_＀＀竡긔ⅇ䀵貁䶔'千幘南䥟呎剟呁⡅㈱㈯〰ⰳ㈱㈯〰ⰳⰬ唬䑓착_x0018_＀＀_x0018_＀＀_x0008_＀＀_x0001_＀＀_x0001_＀＀ꎃ헤ع䀗貁䶔J千幘䅃偟久当佒彁䅒䕔ㄨ⼲〲㤰ⰬⰬ单⥄址当䕐华佉彎塅彐呌剟䅏ㄨ⼲〲㤰ⰬⰬ单⥄_x0018_＀＀_x0018_＀＀_x0008_＀＀_x0001_＀＀_x0001_＀＀＀＀＀＀＀＀䀡貁䶔M千幘䅃偟协剔呅卟噒䍟协⡔㈱㈯〰ⰴⰬ唬䑓䀩南䡟呌䍈剁彅䕓噒䍟协⡔㈱㈯〰ⰴⰬ唬䑓착_x0018_＀＀_x0018_＀＀_x0008_＀＀_x0001_＀＀_x0001_＀＀＀＀＀＀＀＀䀢貁䶔$千幘䅃偟久当呌䱟䅉卂ㄨ⼲〲㔰ⰬⰬ单⥄_x0018_＀＀_x0018_＀＀_x0008_＀＀_x0001_＀＀_x0001_＀＀豀碵꼝쐕貁䶔'千幘南䥟呎剟呁⡅㈱㈯〰ⰴ㈱㈯〰ⰴⰬ唬䑓착_x0018_＀＀_x0018_＀＀_x0008_＀＀_x0001_＀＀_x0001_＀＀_xD81B_섪䀗貁䶔%千幘南䥟呎剟呁彅夵噁⡇㈱㈯〰ⰶⰬ唬䑓착_x0018_＀＀_x0018_＀＀_x0008_＀＀_x0001_＀＀_x0001_＀＀棱裣墵䀙貁䶔F千幘䅃偟久当佒彁䍁⡔㈱㈯〰ⰴⰬ唬䑓䀩南偟久䥓乏䅟呃剟䅏ㄨ⼲〲㐰ⰬⰬ单⥄_x0018_＀＀_x0018_＀＀_x0008_＀＀_x0001_＀＀_x0001_＀＀＀＀＀＀ꀀ䁤貁䶔J千幘䅃偟协剔呅剟䅏䅟呃ㄨ⼲〲㤰ⰬⰬ单⥄址当䱈䡔䅃䕒䅟呃剟䅏ㄨ⼲〲㤰ⰬⰬ单⥄_x0018_＀＀_x0018_＀＀_x0008_＀＀_x0001_＀＀_x0001_＀＀＀＀＀＀＀＀＀＀貁䶔N千幘䅃偟久当乕䕒佃⡇㈱㈯〰ⰶⰬ唬䑓䀩南偟久䥓乏啟剎䍅卟剅彖佃呓ㄨ⼲〲㘰ⰬⰬ单⥄_x0018_＀＀_x0018_＀＀_x0008_＀＀_x0001_＀＀_x0001_＀＀＀＀＀＀＀＀䀳貁䶔'千幘南䥟呎剟呁⡅㈱㈯〰ⰵ㈱㈯〰ⰵⰬ唬䑓착_x0018_＀＀_x0018_＀＀_x0008_＀＀_x0001_＀＀_x0001_＀＀콖ཉ䀜貁䶔[千幘南剟久䅔彌偏䱟䕓䕟偘ㄨ⼲〲㘰ㄬ⼲〲㘰ⰬⰬ单⥄䍀彁呒剟久彔䥍彎塅⡐㈱㈯〰ⰶ㈱㈯〰ⰶⰬ唬䑓착_x0018_＀＀_x0018_＀＀_x0008_＀＀_x0001_＀＀_x0001_＀＀＀＀＀＀က䂀貁䶔F千幘䅃偟久当佒彁䍁⡔㈱㈯〰ⰷⰬ唬䑓䀩南偟久䥓乏䅟呃剟䅏ㄨ⼲〲㜰ⰬⰬ单⥄_x0018_＀＀_x0018_＀＀_x0008_＀＀_x0001_＀＀_x0001_＀＀＀＀＀＀䀀䁧ߞ伃_x0016_千幘彐剐䍉Ņ㈱㈯⼳〲ㄱ_x0018_＀＀_x0018_＀＀_x0008_＀＀_x0001_＀＀_x0001_＀＀ꏗ㵰圊䀵貁䶔-千幘䅃偟协剔呅啟归剔佟彂䵁剏⡔㈱㈯〰ⰹⰬ唬䑓착_x0018_＀＀_x0018_＀＀_x0008_＀＀_x0001_＀＀_x0001_＀＀＀＀＀＀＀＀＀＀ۺ仌_x0016_千幘彐剐䍉Ņ㤠㌯⼰〲〱_x0018_＀＀_x0018_＀＀_x0008_＀＀_x0001_＀＀_x0001_＀＀㵱휊炣䀲貁䶔*千幘南䡟呌䍈剁彅塅彐呌剟䅏ㄨ⼲〲㔰ⰬⰬ单⥄_x0018_＀＀_x0018_＀＀_x0008_＀＀_x0001_＀＀_x0001_＀＀豀碵꼝쐕ۺ仌_x0016_千幘彐剐䍉Ņ㤠㌯⼰〲ㄱ_x0018_＀＀_x0018_＀＀_x0008_＀＀_x0001_＀＀_x0001_＀＀凬Ẹꮅ䀲貁䶔＀Ｏ千幘南䡟呌䍈剁彅䵁剏彔䕓噒䍟协⡔㈱㈯〰ⰶⰬ唬䑓착_x0018_＀＀_x0018_＀＀_x0008_＀＀_x0001_＀＀_x0001_＀＀＀＀＀＀＀＀쀔貁䶔)千幘䅃偟久当䵅彐佃呎䥒彂⡃㈱㈯〰ⰷⰬ唬䑓착_x0018_＀＀_x0018_＀＀_x0008_＀＀_x0001_＀＀_x0001_＀＀＀＀＀＀＀＀䁌貁䶔＀Ｏ千幘南䱟䅅䕓䍟䵏䥍彔剙⠱㈱㈯〰ⰱ㈱㈯〰ⰱⰬ唬䑓착_x0018_＀＀_x0018_＀＀_x0008_＀＀_x0001_＀＀_x0001_＀＀＀＀＀＀ꀀ䁩貁䶔'千幘南偟久偟协彔䕒彔䕂⡎㈱㈯㄰ⰰⰬ唬䑓착_x0018_＀＀_x0018_＀＀_x0008_＀＀_x0001_＀＀_x0001_＀＀＀＀＀＀⠀䂎ߞ伃_x0016_千幘彐剐䍉Ņ㈱〯⼲〲ㄱ_x0018_＀＀_x0018_＀＀_x0008_＀＀_x0001_＀＀_x0001_＀＀晧晦Ꙧ䀵貁䶔%千幘䅃偟久当呌䅟卓呅⡓㈱㈯〰ⰶⰬ唬䑓착_x0018_＀＀_x0018_＀＀_x0008_＀＀_x0001_＀＀_x0001_＀＀＀＀＀＀＀＀＀＀貁䶔＀Ｏ千幘南䱟䅅䕓䍟䵏䥍彔剙⠱㈱㈯〰ⰲ㈱㈯〰ⰲⰬ唬䑓착_x0018_＀＀_x0018_＀＀_x0008_＀＀_x0001_＀＀_x0001_＀＀＀＀＀＀䀀䁰貁䶔(千幘䅃偟久当䅐呒䍟乏剔䉉ㄨ⼲〲㠰ⰬⰬ单⥄_x0018_＀＀_x0018_＀＀_x0008_＀＀_x0001_＀＀_x0001_＀＀＀＀＀＀＀＀＀＀貁䶔＀Ｏ千幘南䱟䅅䕓䍟䵏䥍彔剙⠱㈱㈯〰ⰳ㈱㈯〰ⰳⰬ唬䑓착_x0018_＀＀_x0018_＀＀_x0008_＀＀_x0001_＀＀_x0001_＀＀＀＀＀＀䀀䁪貂䶔,千幘䅃偟协剔呅䕟偍䍟乏剔䉉䍟ㄨ⼲〲〱ⰬⰬ单⥄_x0018_＀＀_x0018_＀＀_x0008_＀＀_x0001_＀＀_x0001_＀＀＀＀＀＀＀＀䀿貁䶔'千幘䅃偟久当商䑎卟䅔啔⡓㈱㈯〰ⰷⰬ唬䑓착_x0018_＀＀_x0018_＀＀_x0008_＀＀_x0001_＀＀_x0001_＀＀＀＀＀＀怀쁪貁䶔＀Ｏ千幘南䱟䅅䕓䍟䵏䥍彔剙⠱㈱㈯〰ⰴ㈱㈯〰ⰴⰬ唬䑓착_x0018_＀＀_x0018_＀＀_x0008_＀＀_x0001_＀＀_x0001_＀＀＀＀＀＀耀䁦互_x0013_千幘䝆偟䥒䕃㐨㠰㘲착_x0018_＀＀_x0018_＀＀_x0008_＀＀_x0001_＀＀_x0001_＀＀ꏗ㵰ᜊ䀴貁䶔＀Ｏ千幘南䱟䅅䕓䍟䵏䥍彔剙⠱㈱㈯〰ⰵ㈱㈯〰ⰵⰬ唬䑓착_x0018_＀＀_x0018_＀＀_x0008_＀＀_x0001_＀＀_x0001_＀＀＀＀＀＀＀＀䁦貁䶔T千幘䅃偟协剔呅偟䥒剏卟噒ㄨ⼲〲㔰ⰬⰬ单⥄址当䱈䡔䅃䕒啟剎䍅卟剅彖佃呓ㄨ⼲〲㔰ⰬⰬ单⥄_x0018_＀＀_x0018_＀＀_x0008_＀＀_x0001_＀＀_x0001_＀＀＀＀＀＀＀＀쀬貁䶔＀Ｏ千幘南䱟䅅䕓䍟䵏䥍彔夵⡒㈱㈯〰ⰱ㈱㈯〰ⰱⰬ唬䑓착_x0018_＀＀_x0018_＀＀_x0008_＀＀_x0001_＀＀_x0001_＀＀＀＀＀＀㠀䂌貁䶔G千幘䅃偟久当䕎彔佃呓ㄨ⼲〲㜰ⰬⰬ单⥄址当䕐华佉彎偎彐塅⡐㈱㈯〰ⰷⰬ唬䑓착_x0018_＀＀_x0018_＀＀_x0008_＀＀_x0001_＀＀_x0001_＀＀＀＀＀＀＀＀䁐貁䶔＀Ｏ千幘南䱟䅅䕓䍟䵏䥍彔剙⠱㈱㈯〰ⰶ㈱㈯〰ⰶⰬ唬䑓착_x0018_＀＀_x0018_＀＀_x0008_＀＀_x0001_＀＀_x0001_＀＀＀＀＀＀耀䁯貁䶔＀Ｏ千幘南䱟䅅䕓䍟䵏䥍彔夵⡒㈱㈯〰ⰲ㈱㈯〰ⰲⰬ唬䑓착_x0018_＀＀_x0018_＀＀_x0008_＀＀_x0001_＀＀_x0001_＀＀＀＀＀＀耀䂉貁䶔＀Ｏ千幘南䱟䅅䕓䍟䵏䥍彔剙⠱㈱㈯〰ⰷ㈱㈯〰ⰷⰬ唬䑓착_x0018_＀＀_x0018_＀＀_x0008_＀＀_x0001_＀＀_x0001_＀＀＀＀＀＀＀＀䁤貁䶔#千幘䅃偟协剔呅䱟䅉⡂㈱㈯〰ⰶⰬ唬䑓착_x0018_＀＀_x0018_＀＀_x0008_＀＀_x0001_＀＀_x0001_＀＀＀＀＀＀䀀쁸貁䶔＀Ｏ千幘南䱟䅅䕓䍟䵏䥍彔夵⡒㈱㈯〰ⰳ㈱㈯〰ⰳⰬ唬䑓착_x0018_＀＀_x0018_＀＀_x0008_＀＀_x0001_＀＀_x0001_＀＀＀＀＀＀　䂅貂䶔'千幘南䥟呎剟呁⡅㈱㈯㄰ⰰ㈱㈯㄰ⰰⰬ唬䑓착_x0018_＀＀_x0018_＀＀_x0008_＀＀_x0001_＀＀_x0001_＀＀ҁ迅뜱䀙貁䶔)千幘南䡟呌䍈剁彅䥄䍓剟呁⡅㈱㈯〰ⰴⰬ唬䑓착_x0018_＀＀_x0018_＀＀_x0008_＀＀_x0001_＀＀_x0001_＀＀＀＀＀＀＀＀䀔貁䶔&amp;千幘䅃偟久当十彔义䅔䝎ㄨ⼲〲㤰ⰬⰬ单⥄_x0018_＀＀_x0018_＀＀_x0008_＀＀_x0001_＀＀_x0001_＀＀豀碵꼝쐕貁䶔＀Ｏ千幘南䱟䅅䕓䍟䵏䥍彔剙⠱㈱㈯〰ⰸ㈱㈯〰ⰸⰬ唬䑓착_x0018_＀＀_x0018_＀＀_x0008_＀＀_x0001_＀＀_x0001_＀＀＀＀＀＀쀀䁟貁䶔＀Ｏ千幘南䱟䅅䕓䍟䵏䥍彔夵⡒㈱㈯〰ⰴ㈱㈯〰ⰴⰬ唬䑓착_x0018_＀＀_x0018_＀＀_x0008_＀＀_x0001_＀＀_x0001_＀＀＀＀＀＀耀䁻互_x0015_刣晥敲桳帣南䍟剕䕒䍎챙_x0014_＀＀_x0018_＀＀_x0004_＀＀_x0001_＀＀_x0008_＀＀乀A貂䶔P千幘䅃偟协剔呅偟䅌彎十彔久⡄㈱㈯㄰ⰰⰬ唬䑓䀩南䡟呌䍈剁彅噆䅟卓呅ㄨ⼲〲〱ⰬⰬ单⥄_x0018_＀＀_x0018_＀＀_x0008_＀＀_x0001_＀＀_x0001_＀＀＀＀＀＀＀＀＀＀貁䶔M千幘䅃偟协剔呅卟噒䍟协⡔㈱㈯〰ⰷⰬ唬䑓䀩南䡟呌䍈剁彅䕓噒䍟协⡔㈱㈯〰ⰷⰬ唬䑓착_x0018_＀＀_x0018_＀＀_x0008_＀＀_x0001_＀＀_x0001_＀＀＀＀＀＀＀＀䀘貁䶔%千幘䅃偟久当啃归䥌䉁⡓㈱㈯〰ⰸⰬ唬䑓착_x0018_＀＀_x0018_＀＀_x0008_＀＀_x0001_＀＀_x0001_＀＀＀＀＀＀＀＀䀨貁䶔'千幘南偟久偟协彔䕒彔䕂⡎㈱㈯〰ⰴⰬ唬䑓착_x0018_＀＀_x0018_＀＀_x0008_＀＀_x0001_＀＀_x0001_＀＀豀碵꼝쐕貁䶔＀Ｏ千幘南䱟䅅䕓䍟䵏䥍彔夵⡒㈱㈯〰ⰵ㈱㈯〰ⰵⰬ唬䑓착_x0018_＀＀_x0018_＀＀_x0008_＀＀_x0001_＀＀_x0001_＀＀＀＀＀＀耀䁰貁䶔J千幘䅃偟久当䥄䍓剟呁⡅㈱㈯〰ⰸⰬ唬䑓䀩南偟久䥓乏䑟卉彃䅒䕔ㄨ⼲〲㠰ⰬⰬ单⥄_x0018_＀＀_x0018_＀＀_x0008_＀＀_x0001_＀＀_x0001_＀＀＀＀＀＀＀＀䀚貁䶔＀Ｏ千幘南䱟䅅䕓䍟䵏䥍彔夵⡒㈱㈯〰ⰶ㈱㈯〰ⰶⰬ唬䑓착_x0018_＀＀_x0018_＀＀_x0008_＀＀_x0001_＀＀_x0001_＀＀＀＀＀＀က䁳貂䶔J千幘䅃偟协剔呅剟䅏䅟呃ㄨ⼲〲〱ⰬⰬ单⥄址当䱈䡔䅃䕒䅟呃剟䅏ㄨ⼲〲〱ⰬⰬ单⥄_x0018_＀＀_x0018_＀＀_x0008_＀＀_x0001_＀＀_x0001_＀＀＀＀＀＀＀＀＀＀貁䶔'千幘南偟久䥓乏也呅䱟䅉⡂㈱㈯〰ⰴⰬ唬䑓착_x0018_＀＀_x0018_＀＀_x0008_＀＀_x0001_＀＀_x0001_＀＀豀碵꼝쐕貁䶔＀Ｏ千幘南䱟䅅䕓䍟䵏䥍彔夵⡒㈱㈯〰ⰷ㈱㈯〰ⰷⰬ唬䑓착_x0018_＀＀_x0018_＀＀_x0008_＀＀_x0001_＀＀_x0001_＀＀＀＀＀＀耀䁰互1乃幉捩敟瑳浩瑡⡥灯牥楟据䴬䅅ⱎ瑑彲潲汬ㄬ✬〴㈸✶착_x0018_＀＀_x0018_＀＀_x0008_＀＀_x0001_＀＀_x0001_＀＀酩糭唿䂌貁䶔,千幘䅃偟协剔呅䕟偍䍟乏剔䉉䍟ㄨ⼲〲㐰ⰬⰬ单⥄_x0018_＀＀_x0018_＀＀_x0008_＀＀_x0001_＀＀_x0001_＀＀＀＀＀＀＀＀䁃貁䶔＀Ｏ千幘南䱟䅅䕓䍟䵏䥍彔夵⡒㈱㈯〰ⰸ㈱㈯〰ⰸⰬ唬䑓착_x0018_＀＀_x0018_＀＀_x0008_＀＀_x0001_＀＀_x0001_＀＀＀＀＀＀＀＀䁬貁䶔J千幘䅃偟久当䱐乁䅟呓ㄨ⼲〲㐰ⰬⰬ单⥄址当䕐华佉彎䅖彌十䕓協ㄨ⼲〲㐰ⰬⰬ单⥄_x0018_＀＀_x0018_＀＀_x0008_＀＀_x0001_＀＀_x0001_＀＀＀＀＀＀저䂖貁䶔＀Ｏ千幘南䱟䅅䕓䍟䵏䥍彔夵⡒㈱㈯〰ⰹ㈱㈯〰ⰹⰬ唬䑓착_x0018_＀＀_x0018_＀＀_x0008_＀＀_x0001_＀＀_x0001_＀＀＀＀＀＀䁡ۺ仌_x0016_千幘彐剐䍉Ņ㐠㌯⼰〲㈰_x0018_＀＀_x0018_＀＀_x0008_＀＀_x0001_＀＀_x0001_＀＀霜危ᴃ䀘貁䶔J千幘䅃偟协剔呅剟䅏䅟呃ㄨ⼲〲㠰ⰬⰬ单⥄址当䱈䡔䅃䕒䅟呃剟䅏ㄨ⼲〲㠰ⰬⰬ单⥄_x0018_＀＀_x0018_＀＀_x0008_＀＀_x0001_＀＀_x0001_＀＀＀＀＀＀＀＀＀＀ۺ仌_x0016_千幘彐剐䍉Ņ㐠㌯⼰〲㌰_x0018_＀＀_x0018_＀＀_x0008_＀＀_x0001_＀＀_x0001_＀＀롒蔞凫䀕貁䶔_x001A_千幘南䕟䍘彈䅒䕔〨ⰬⰬ单⥄_x0018_＀＀_x0018_＀＀_x0008_＀＀_x0001_＀＀_x0001_＀＀＀＀＀＀＀＀㿰ۺ仌_x0016_千幘彐剐䍉Ņ㐠㌯⼰〲㐰_x0018_＀＀_x0018_＀＀_x0008_＀＀_x0001_＀＀_x0001_＀＀ﹹ膴䀔互1千幘捩敟瑳浩瑡⡥灯牥楟据䴬䅅ⱎ瑑彲潲汬ㄬ✬〴㈸✶착_x0018_＀＀_x0018_＀＀_x0008_＀＀_x0001_＀＀_x0001_＀＀酩糭㰿䂍ۺ仌_x0016_千幘彐剐䍉Ņ㐠㌯⼰〲㔰_x0018_＀＀_x0018_＀＀_x0008_＀＀_x0001_＀＀_x0001_＀＀ꃊ샚䀚貁䶔&lt;千幘南偟久䥓乏䅟卓呅当佂䑎⡓㈱㈯㄰⤰䍀彁䕐华偟呃䙟⡉㈱㈯㄰⤰_x0018_＀＀_x0018_＀＀_x0008_＀＀_x0001_＀＀_x0001_＀＀＀＀＀＀耀䁃ۺ仌_x0016_千幘彐剐䍉Ņ㐠㌯⼰〲㘰_x0018_＀＀_x0018_＀＀_x0008_＀＀_x0001_＀＀_x0001_＀＀긕푺䀦貂䶔)千幘南䡟呌䍈剁彅䥄䍓剟呁⡅㈱㈯㄰ⰰⰬ唬䑓착_x0018_＀＀_x0018_＀＀_x0008_＀＀_x0001_＀＀_x0001_＀＀＀＀＀＀＀＀䀓貁䶔;千幘南偟久䥓乏䅟卓呅当呏⡈㈱㈯〰⤷䍀彁䕐华偟呃佟䡔ㄨ⼲〲㜰착_x0018_＀＀_x0018_＀＀_x0008_＀＀_x0001_＀＀_x0001_＀＀＀＀＀＀＀＀㿰ۺ仌_x0016_千幘彐剐䍉Ņ㐠㌯⼰〲㜰_x0018_＀＀_x0018_＀＀_x0008_＀＀_x0001_＀＀_x0001_＀＀ᑺ잮䀬貁䶔&lt;千幘䅃偟久当佒彁䅒䕔ㄨ⼲〲〱䀩南偟久䥓乏䕟偘䱟彔佒⡁㈱㈯㄰⤰_x0018_＀＀_x0018_＀＀_x0008_＀＀_x0001_＀＀_x0001_＀＀＀＀＀＀＀＀䀡ۺ仌_x0016_千幘彐剐䍉Ņ㐠㌯⼰〲㠰_x0018_＀＀_x0018_＀＀_x0008_＀＀_x0001_＀＀_x0001_＀＀⳺菏﮻䀴貂䶔＀Ｏ千幘南䱟䅅䕓䍟䵏䥍彔剙⠱㈱㈯㄰ⰰ㈱㈯㄰ⰰⰬ唬䑓착_x0018_＀＀_x0018_＀＀_x0008_＀＀_x0001_＀＀_x0001_＀＀＀＀＀＀＀＀䁘ۺ仌_x0016_千幘彐剐䍉Ņ㐠㌯⼰〲㤰_x0018_＀＀_x0018_＀＀_x0008_＀＀_x0001_＀＀_x0001_＀＀಻먆䀣貁䶔B千幘䅃偟久当佒⡁㈱㈯〰ⰵⰬ唬䑓䀩南偟久䥓乏䕟偘剟䅏ㄨ⼲〲㔰ⰬⰬ单⥄_x0018_＀＀_x0018_＀＀_x0008_＀＀_x0001_＀＀_x0001_＀＀＀＀＀＀＀＀쁞貂䶔 千幘南䕟䍘彈䅒䕔䥟䍎䍟⡆㈱㈯㄰⤰_x0018_＀＀_x0018_＀＀_x0008_＀＀_x0001_＀＀_x0001_＀＀豀碵꼝쐕貁䶔'千幘南偟久䥓乏也呅䱟䅉⡂㈱㈯㄰ⰰⰬ唬䑓착_x0018_＀＀_x0018_＀＀_x0008_＀＀_x0001_＀＀_x0001_＀＀豀碵꼝쐕互1均幒捩敟瑳浩瑡⡥灯牥楟据䴬䅅ⱎ瑑彲潲汬ㄬ✬〴㈸✶착_x0018_＀＀_x0018_＀＀_x0008_＀＀_x0001_＀＀_x0001_＀＀娝㭤꿟䁋貁䶔P千幘䅃偟协剔呅偟䅌彎十彔久⡄㈱㈯〰ⰵⰬ唬䑓䀩南䡟呌䍈剁彅噆䅟卓呅ㄨ⼲〲㔰ⰬⰬ单⥄_x0018_＀＀_x0018_＀＀_x0008_＀＀_x0001_＀＀_x0001_＀＀＀＀＀＀＀＀＀＀貁䶔F千幘䅃偟协剔呅剟䅏ㄨ⼲〲㤰ⰬⰬ单⥄址当䱈䡔䅃䕒䕟偘剟䅏ㄨ⼲〲㤰ⰬⰬ单⥄_x0018_＀＀_x0018_＀＀_x0008_＀＀_x0001_＀＀_x0001_＀＀＀＀＀＀＀＀＀＀貁䶔(千幘南偟久䥓乏䅟卓呅当呌ㄨ⼲〲㠰ⰬⰬ单⥄_x0018_＀＀_x0018_＀＀_x0008_＀＀_x0001_＀＀_x0001_＀＀豀碵꼝쐕貁䶔＀Ｏ千幘南䱟䅅䕓䍟䵏䥍彔剙⠲㈱㈯〰ⰱ㈱㈯〰ⰱⰬ唬䑓착_x0018_＀＀_x0018_＀＀_x0008_＀＀_x0001_＀＀_x0001_＀＀＀＀＀＀耀䁥貁䶔;千幘南偟久䥓乏䅟卓呅当剐偏ㄨ⼲〲㘰䀩䅃偟久当䍐彔䕒ㄨ⼲〲㘰착_x0018_＀＀_x0018_＀＀_x0008_＀＀_x0001_＀＀_x0001_＀＀＀＀＀＀＀＀＀＀貁䶔Q千幘䅃偟久当䍁啃彍佃偍䥒䍎ㄨ⼲〲㘰ⰬⰬ单⥄址当佃偍归义彃䕐华䱟䅉⡂㈱㈯〰ⰶⰬ唬䑓착_x0018_＀＀_x0018_＀＀_x0008_＀＀_x0001_＀＀_x0001_＀＀＀＀＀＀耀쁸貁䶔＀Ｏ千幘南䱟䅅䕓䍟䵏䥍彔剙⠲㈱㈯〰ⰲ㈱㈯〰ⰲⰬ唬䑓착_x0018_＀＀_x0018_＀＀_x0008_＀＀_x0001_＀＀_x0001_＀＀＀＀＀＀က䁰貂䶔＀Ｏ千幘南䱟䅅䕓䍟䵏䥍彔夵⡒㈱㈯㄰ⰰ㈱㈯㄰ⰰⰬ唬䑓착_x0018_＀＀_x0018_＀＀_x0008_＀＀_x0001_＀＀_x0001_＀＀＀＀＀＀耀䁣貁䶔＀Ｏ千幘南䱟䅅䕓䍟䵏䥍彔剙⠲㈱㈯〰ⰳ㈱㈯〰ⰳⰬ唬䑓착_x0018_＀＀_x0018_＀＀_x0008_＀＀_x0001_＀＀_x0001_＀＀＀＀＀＀쀀䁧互0䅒楞彣獥楴慭整漨数彲湩Ᵽ䕍乁儬牴牟汯ⱬⰱ㐧㠰㘲⤧_x0018_＀＀_x0018_＀＀_x0008_＀＀_x0001_＀＀_x0001_＀＀틲才蠐䁀貁䶔+千幘䅃偟协剔呅偟剁彔佃呎䥒⡂㈱㈯〰ⰸⰬ唬䑓착_x0018_＀＀_x0018_＀＀_x0008_＀＀_x0001_＀＀_x0001_＀＀＀＀＀＀＀＀䀶貁䶔＀Ｏ千幘南䱟䅅䕓䍟䵏䥍彔剙⠲㈱㈯〰ⰴ㈱㈯〰ⰴⰬ唬䑓착_x0018_＀＀_x0018_＀＀_x0008_＀＀_x0001_＀＀_x0001_＀＀＀＀＀＀耀䁢貂䶔M千幘䅃偟协剔呅卟噒䍟协⡔㈱㈯㄰ⰰⰬ唬䑓䀩南䡟呌䍈剁彅䕓噒䍟协⡔㈱㈯㄰ⰰⰬ唬䑓착_x0018_＀＀_x0018_＀＀_x0008_＀＀_x0001_＀＀_x0001_＀＀＀＀＀＀＀＀䀔貁䶔N千幘䅃偟久当乕䕒佃⡇㈱㈯〰ⰵⰬ唬䑓䀩南偟久䥓乏啟剎䍅卟剅彖佃呓ㄨ⼲〲㔰ⰬⰬ单⥄_x0018_＀＀_x0018_＀＀_x0008_＀＀_x0001_＀＀_x0001_＀＀＀＀＀＀＀＀䀷貁䶔$千幘䅃偟久当䕂彎䅐䑉ㄨ⼲〲㌰ⰬⰬ单⥄_x0018_＀＀_x0018_＀＀_x0008_＀＀_x0001_＀＀_x0001_＀＀＀＀＀＀ 䁥貁䶔＀Ｏ千幘南䱟䅅䕓䍟䵏䥍彔剙⠲㈱㈯〰ⰵ㈱㈯〰ⰵⰬ唬䑓착_x0018_＀＀_x0018_＀＀_x0008_＀＀_x0001_＀＀_x0001_＀＀＀＀＀＀ꀀ䁤貁䶔(千幘南䡟呌䍈剁彅乕彆䕂⡎㈱㈯〰ⰳⰬ唬䑓⤩＀＀＀＀貁䶔L千幘䅃偟协剔呅䥟呎䍟协⡔㈱㈯〰ⰷⰬ唬䑓䀩南䡟呌䍈剁彅义彔佃呓ㄨ⼲〲㜰ⰬⰬ单⥄_x0018_＀＀_x0018_＀＀_x0008_＀＀_x0001_＀＀_x0001_＀＀＀＀＀＀＀＀䀵貁䶔＀Ｏ千幘南䱟䅅䕓䍟䵏䥍彔剙⠲㈱㈯〰ⰶ㈱㈯〰ⰶⰬ唬䑓착_x0018_＀＀_x0018_＀＀_x0008_＀＀_x0001_＀＀_x0001_＀＀＀＀＀＀쀀䁥貁䶔%千幘南䥟呎剟呁彅夵噁⡇㈱㈯〰ⰱⰬ唬䑓착_x0018_＀＀_x0018_＀＀_x0008_＀＀_x0001_＀＀_x0001_＀＀歑瞚슜䀝貁䶔Q千幘䅃偟久当䍁啃彍佃偍䥒䍎ㄨ⼲〲〱ⰬⰬ单⥄址当佃偍归义彃䕐华䱟䅉⡂㈱㈯㄰ⰰⰬ唬䑓착_x0018_＀＀_x0018_＀＀_x0008_＀＀_x0001_＀＀_x0001_＀＀＀＀＀＀᠀삈貁䶔I千幘䅃偟久当剓彖佃呓ㄨ⼲〲㜰ⰬⰬ单⥄址当䕐华佉彎䕓噒䍟协⡔㈱㈯〰ⰷⰬ唬䑓착_x0018_＀＀_x0018_＀＀_x0008_＀＀_x0001_＀＀_x0001_＀＀＀＀＀＀耀䁀貁䶔＀Ｏ千幘南䱟䅅䕓䍟䵏䥍彔剙⠲㈱㈯〰ⰷ㈱㈯〰ⰷⰬ唬䑓착_x0018_＀＀_x0018_＀＀_x0008_＀＀_x0001_＀＀_x0001_＀＀＀＀＀＀耀䁡貁䶔＀Ｏ千幘南䱟䅅䕓䍟䵏䥍彔剙⠲㈱㈯〰ⰸ㈱㈯〰ⰸⰬ唬䑓착_x0018_＀＀_x0018_＀＀_x0008_＀＀_x0001_＀＀_x0001_＀＀＀＀＀＀耀䁚貁䶔J千幘䅃偟久当䱐乁䅟呓ㄨ⼲〲㜰ⰬⰬ单⥄址当䕐华佉彎䅖彌十䕓協ㄨ⼲〲㜰ⰬⰬ单⥄_x0018_＀＀_x0018_＀＀_x0008_＀＀_x0001_＀＀_x0001_＀＀＀＀＀＀ᰀ䂙貁䶔'千幘䅃偟协剔呅䉟久偟䥁⡄㈱㈯〰ⰸⰬ唬䑓착_x0018_＀＀_x0018_＀＀_x0008_＀＀_x0001_＀＀_x0001_＀＀＀＀＀＀＀＀䁒貁䶔＀Ｏ千幘南䱟䅅䕓䍟䵏䥍彔剙⠲㈱㈯〰ⰹ㈱㈯〰ⰹⰬ唬䑓착_x0018_＀＀_x0018_＀＀_x0008_＀＀_x0001_＀＀_x0001_＀＀＀＀＀＀䀀䁕貁䶔-千幘䅃偟协剔呅啟归剔佟彂䵁剏⡔㈱㈯〰ⰴⰬ唬䑓착_x0018_＀＀_x0018_＀＀_x0008_＀＀_x0001_＀＀_x0001_＀＀＀＀＀＀＀＀＀＀ۺ仌_x0016_千幘彐剐䍉Ņ㐠㌯⼰〲〱_x0018_＀＀_x0018_＀＀_x0008_＀＀_x0001_＀＀_x0001_＀＀怭뜂껮䀲ۺ仌_x0016_千幘彐剐䍉Ņ㐠㌯⼰〲ㄱ_x0018_＀＀_x0018_＀＀_x0008_＀＀_x0001_＀＀_x0001_＀＀ᑻ䞮㫡䀺貁䶔$千幘䅃偟久当䕂彎䅐䑉ㄨ⼲〲㤰ⰬⰬ单⥄_x0018_＀＀_x0018_＀＀_x0008_＀＀_x0001_＀＀_x0001_＀＀＀＀＀＀䁢貁䶔E千幘䅃偟协剔呅䉟久佟⡂㈱㈯〰ⰸⰬ唬䑓䀩南䡟呌䍈剁彅䉐⡏㈱㈯〰ⰸⰬ唬䑓착_x0018_＀＀_x0018_＀＀_x0008_＀＀_x0001_＀＀_x0001_＀＀＀＀＀＀倀䁷貁䶔$千幘䅃偟久当呌䱟䅉卂ㄨ⼲〲㘰ⰬⰬ单⥄_x0018_＀＀_x0018_＀＀_x0008_＀＀_x0001_＀＀_x0001_＀＀＀＀＀＀䂀貁䶔)千幘䅃偟协剔呅佟䡔䑁彊䉎⡁㈱㈯〰ⰵⰬ唬䑓착_x0018_＀＀_x0018_＀＀_x0008_＀＀_x0001_＀＀_x0001_＀＀＀＀＀＀䀀䁟貁䶔J千幘䅃偟协剔呅剟䅏䅟呃ㄨ⼲〲㜰ⰬⰬ单⥄址当䱈䡔䅃䕒䅟呃剟䅏ㄨ⼲〲㜰ⰬⰬ单⥄_x0018_＀＀_x0018_＀＀_x0008_＀＀_x0001_＀＀_x0001_＀＀＀＀＀＀＀＀＀＀貁䶔&lt;千幘南偟久䥓乏䅟卓呅当佂䑎⡓㈱㈯〰⤸䍀彁䕐华偟呃䙟⡉㈱㈯〰⤸_x0018_＀＀_x0018_＀＀_x0008_＀＀_x0001_＀＀_x0001_＀＀＀＀＀＀耀䁆互_x0018_乃幉捩彡敭湡敟獰㈨㄰ⰱ⤰_x0018_＀＀_x0018_＀＀_x0008_＀＀_x0001_＀＀_x0001_＀＀ਾꏗ㵰䀓貁䶔(千幘䅃偟久当䅐呒䍟乏剔䉉ㄨ⼲〲㌰ⰬⰬ单⥄_x0018_＀＀_x0018_＀＀_x0008_＀＀_x0001_＀＀_x0001_＀＀＀＀＀＀＀＀＀＀貁䶔_x000F_千幘南䥟体䍟䑏책_x0014_＀＀_x0018_＀＀_x0004_＀＀_x0001_＀＀_x0008_＀＀单Dۺ仌_x0016_千幘彐剐䍉Ņ〱㈯⼸〲ㄱ_x0018_＀＀_x0018_＀＀_x0008_＀＀_x0001_＀＀_x0001_＀＀轜ᰨ䀷貂䶔F千幘䅃偟协剔呅剟䅏ㄨ⼲〲〱ⰬⰬ单⥄址当䱈䡔䅃䕒䕟偘剟䅏ㄨ⼲〲〱ⰬⰬ单⥄_x0018_＀＀_x0018_＀＀_x0008_＀＀_x0001_＀＀_x0001_＀＀＀＀＀＀＀＀＀＀貁䶔*千幘南䡟呌䍈剁彅塅彐呌剟䅏ㄨ⼲〲㘰ⰬⰬ单⥄_x0018_＀＀_x0018_＀＀_x0008_＀＀_x0001_＀＀_x0001_＀＀豀碵꼝쐕貁䶔(千幘䅃偟久当偐彄䕂彎佃呓ㄨ⼲〲㐰ⰬⰬ单⥄_x0018_＀＀_x0018_＀＀_x0008_＀＀_x0001_＀＀_x0001_＀＀＀＀＀＀＀＀＀＀貁䶔 千幘南䕟䍘彈䅒䕔ㄨ⼲〲㔰ⰬⰬ单⥄_x0018_＀＀_x0018_＀＀_x0008_＀＀_x0001_＀＀_x0001_＀＀＀＀＀＀＀＀㿰貁䶔 千幘南䕟䍘彈䅒䕔䥟䍎䍟⡆㈱㈯〰⤳_x0018_＀＀_x0018_＀＀_x0008_＀＀_x0001_＀＀_x0001_＀＀豀碵꼝쐕貁䶔B千幘䅃偟久当佒⡁㈱㈯〰ⰸⰬ唬䑓䀩南偟久䥓乏䕟偘剟䅏ㄨ⼲〲㠰ⰬⰬ单⥄_x0018_＀＀_x0018_＀＀_x0008_＀＀_x0001_＀＀_x0001_＀＀＀＀＀＀＀＀쁢貂䶔＀Ｏ千幘南䱟䅅䕓䍟䵏䥍彔剙⠲㈱㈯㄰ⰰ㈱㈯㄰ⰰⰬ唬䑓착_x0018_＀＀_x0018_＀＀_x0008_＀＀_x0001_＀＀_x0001_＀＀＀＀＀＀쀀䁖貂䶔-千幘䅃偟协剔呅啟归剔佟彂䵁剏⡔㈱㈯㄰ⰰⰬ唬䑓착_x0018_＀＀_x0018_＀＀_x0008_＀＀_x0001_＀＀_x0001_＀＀＀＀＀＀＀＀＀＀貁䶔T千幘䅃偟协剔呅偟䥒剏卟噒ㄨ⼲〲㜰ⰬⰬ单⥄址当䱈䡔䅃䕒啟剎䍅卟剅彖佃呓ㄨ⼲〲㜰ⰬⰬ单⥄_x0018_＀＀_x0018_＀＀_x0008_＀＀_x0001_＀＀_x0001_＀＀＀＀＀＀＀＀䀔貁䶔%千幘䅃偟久当呌䅟卓呅⡓㈱㈯〰ⰷⰬ唬䑓착_x0018_＀＀_x0018_＀＀_x0008_＀＀_x0001_＀＀_x0001_＀＀＀＀＀＀＀＀䀐貁䶔B千幘䅃偟久当佒⡁㈱㈯㄰ⰰⰬ唬䑓䀩南偟久䥓乏䕟偘剟䅏ㄨ⼲〲〱ⰬⰬ单⥄_x0018_＀＀_x0018_＀＀_x0008_＀＀_x0001_＀＀_x0001_＀＀＀＀＀＀ꀀ쁤ۺ仌_x0016_千幘彐剐䍉Ņ〱〯⼷〲ㄱ_x0018_＀＀_x0018_＀＀_x0008_＀＀_x0001_＀＀_x0001_＀＀ꏗ㵰ᜊ䀴互1乕幐捩敟瑳浩瑡⡥灯牥楟据䴬䅅ⱎ瑑彲潲汬ㄬ✬〴㈸✶착_x0018_＀＀_x0018_＀＀_x0008_＀＀_x0001_＀＀_x0001_＀＀Წ摚樻䂘貁䶔F千幘䅃偟协剔呅剟䅏ㄨ⼲〲㠰ⰬⰬ单⥄址当䱈䡔䅃䕒䕟偘剟䅏ㄨ⼲〲㠰ⰬⰬ单⥄_x0018_＀＀_x0018_＀＀_x0008_＀＀_x0001_＀＀_x0001_＀＀＀＀＀＀＀＀＀＀貁䶔&amp;千幘䅃偟久当十彔义䅔䝎ㄨ⼲〲㐰ⰬⰬ单⥄_x0018_＀＀_x0018_＀＀_x0008_＀＀_x0001_＀＀_x0001_＀＀＀＀＀＀＀＀䀺貁䶔(千幘䅃偟久当䅐呒䍟乏剔䉉ㄨ⼲〲㤰ⰬⰬ单⥄_x0018_＀＀_x0018_＀＀_x0008_＀＀_x0001_＀＀_x0001_＀＀＀＀＀＀＀＀＀＀貁䶔[千幘南剟久䅔彌偏䱟䕓䕟偘ㄨ⼲〲㔰ㄬ⼲〲㔰ⰬⰬ单⥄䍀彁呒剟久彔䥍彎塅⡐㈱㈯〰ⰵ㈱㈯〰ⰵⰬ唬䑓착_x0018_＀＀_x0018_＀＀_x0008_＀＀_x0001_＀＀_x0001_＀＀＀＀＀＀堀䂀貁䶔&lt;千幘南偟久䥓乏䅟卓呅当佂䑎⡓㈱㈯〰⤳䍀彁䕐华偟呃䙟⡉㈱㈯〰⤳_x0018_＀＀_x0018_＀＀_x0008_＀＀_x0001_＀＀_x0001_＀＀＀＀＀＀＀＀䁃ۺ仌_x0016_千幘彐剐䍉Ņ㔠㌯⼱〲㈰_x0018_＀＀_x0018_＀＀_x0008_＀＀_x0001_＀＀_x0001_＀＀ⷱᮬ䀖貁䶔J千幘䅃偟久当佒彁䅒䕔ㄨ⼲〲㔰ⰬⰬ单⥄址当䕐华佉彎塅彐呌剟䅏ㄨ⼲〲㔰ⰬⰬ单⥄_x0018_＀＀_x0018_＀＀_x0008_＀＀_x0001_＀＀_x0001_＀＀＀＀＀＀＀＀䀡貁䶔＀Ｏ千幘南䱟䅅䕓䍟䵏䥍彔剙⠳㈱㈯〰ⰱ㈱㈯〰ⰱⰬ唬䑓착_x0018_＀＀_x0018_＀＀_x0008_＀＀_x0001_＀＀_x0001_＀＀＀＀＀＀耀䁣貁䶔;千幘南偟久䥓乏䅟卓呅当充䥕ㄨ⼲〲㜰䀩䅃偟久当䍐彔充ㄨ⼲〲㜰착_x0018_＀＀_x0018_＀＀_x0008_＀＀_x0001_＀＀_x0001_＀＀＀＀＀＀＀＀䁎ۺ仌_x0016_千幘彐剐䍉Ņ㔠㌯⼱〲㌰_x0018_＀＀_x0018_＀＀_x0008_＀＀_x0001_＀＀_x0001_＀＀뗔㻶핕䀕貁䶔'千幘䅃偟久当商䑎卟䅔啔⡓㈱㈯〰ⰸⰬ唬䑓착_x0018_＀＀_x0018_＀＀_x0008_＀＀_x0001_＀＀_x0001_＀＀＀＀＀＀　삇ۺ仌_x0016_千幘彐剐䍉Ņ㔠㌯⼱〲㐰_x0018_＀＀_x0018_＀＀_x0008_＀＀_x0001_＀＀_x0001_＀＀낒❯ᄑ䀕貁䶔%千幘䅃偟久当佃偍剟呁⡅㈱㈯〰ⰶⰬ唬䑓착_x0018_＀＀_x0018_＀＀_x0008_＀＀_x0001_＀＀_x0001_＀＀晧晦晦䀐貁䶔＀Ｏ千幘南䱟䅅䕓䍟䵏䥍彔剙⠳㈱㈯〰ⰲ㈱㈯〰ⰲⰬ唬䑓착_x0018_＀＀_x0018_＀＀_x0008_＀＀_x0001_＀＀_x0001_＀＀＀＀＀＀ꀀ䁧ۺ仌_x0016_千幘彐剐䍉Ņ㔠㌯⼱〲㔰_x0018_＀＀_x0018_＀＀_x0008_＀＀_x0001_＀＀_x0001_＀＀Ẹ롑䀛ۺ仌_x0016_千幘彐剐䍉Ņ㔠㌯⼱〲㘰_x0018_＀＀_x0018_＀＀_x0008_＀＀_x0001_＀＀_x0001_＀＀뫏쭆亁䀦貁䶔)千幘䅃偟久当䵅彐佃呎䥒彂⡅㈱㈯㄰ⰰⰬ唬䑓착_x0018_＀＀_x0018_＀＀_x0008_＀＀_x0001_＀＀_x0001_＀＀豀碵꼝쐕貁䶔＀Ｏ千幘南䱟䅅䕓䍟䵏䥍彔剙⠳㈱㈯〰ⰳ㈱㈯〰ⰳⰬ唬䑓착_x0018_＀＀_x0018_＀＀_x0008_＀＀_x0001_＀＀_x0001_＀＀＀＀＀＀怀䁤ۺ仌_x0016_千幘彐剐䍉Ņ㔠㌯⼱〲㜰_x0018_＀＀_x0018_＀＀_x0008_＀＀_x0001_＀＀_x0001_＀＀츋䬗䀮貁䶔_x001F_千幘䅃偟久当呌䅟卓呅⡓ⰰⰬ唬䑓착_x0018_＀＀_x0018_＀＀_x0008_＀＀_x0001_＀＀_x0001_＀＀＀＀＀＀＀＀＀＀ۺ仌_x0016_千幘彐剐䍉Ņ㔠㌯⼱〲㠰_x0018_＀＀_x0018_＀＀_x0008_＀＀_x0001_＀＀_x0001_＀＀롑Ԟ䀷貁䶔＀Ｏ千幘南䱟䅅䕓䍟䵏䥍彔剙⠳㈱㈯〰ⰴ㈱㈯〰ⰴⰬ唬䑓착_x0018_＀＀_x0018_＀＀_x0008_＀＀_x0001_＀＀_x0001_＀＀＀＀＀＀䀀䁡ۺ仌_x0016_千幘彐剐䍉Ņ㔠㌯⼱〲㤰_x0018_＀＀_x0018_＀＀_x0008_＀＀_x0001_＀＀_x0001_＀＀䣭鷵ⱟ䀥互7刣晥敲桳帣南偟久䥓乏䅟卓呅当充䥕丨⥁䍀彁䕐华偟呃䕟⡑䅎착_x0018_＀＀_x0018_＀＀_x0008_＀＀_x0001_＀＀_x0001_＀＀豀碵꼝쐕貂䶔(千幘䅃偟久当偐彄䕂彎佃呓ㄨ⼲〲〱ⰬⰬ单⥄_x0018_＀＀_x0018_＀＀_x0008_＀＀_x0001_＀＀_x0001_＀＀豀碵꼝쐕貁䶔＀Ｏ千幘南䱟䅅䕓䍟䵏䥍彔剙⠳㈱㈯〰ⰵ㈱㈯〰ⰵⰬ唬䑓착_x0018_＀＀_x0018_＀＀_x0008_＀＀_x0001_＀＀_x0001_＀＀＀＀＀＀＀＀䁞ߞ伃_x0016_千幘彐剐䍉Ņ㈱ㄯ⼶〲ㄱ_x0018_＀＀_x0018_＀＀_x0008_＀＀_x0001_＀＀_x0001_＀＀尩슏棵䀴貁䶔)千幘南䡟呌䍈剁彅䥄䍓剟呁⡅㈱㈯〰ⰵⰬ唬䑓착_x0018_＀＀_x0018_＀＀_x0008_＀＀_x0001_＀＀_x0001_＀＀＀＀＀＀＀＀䀔貁䶔＀Ｏ千幘南䱟䅅䕓䍟䵏䥍彔剙⠳㈱㈯〰ⰶ㈱㈯〰ⰶⰬ唬䑓착_x0018_＀＀_x0018_＀＀_x0008_＀＀_x0001_＀＀_x0001_＀＀＀＀＀＀䁠멦伈_x0016_千幘彐剐䍉Ņㄠㄯ⼳〲㈱_x0018_＀＀_x0018_＀＀_x0008_＀＀_x0001_＀＀_x0001_＀＀㵱휊낣䀶貁䶔'千幘南偟久偟协彔䕒彔䕂⡎㈱㈯〰ⰵⰬ唬䑓착_x0018_＀＀_x0018_＀＀_x0008_＀＀_x0001_＀＀_x0001_＀＀豀碵꼝쐕貁䶔＀Ｏ千幘南䱟䅅䕓䍟䵏䥍彔剙⠳㈱㈯〰ⰷ㈱㈯〰ⰷⰬ唬䑓착_x0018_＀＀_x0018_＀＀_x0008_＀＀_x0001_＀＀_x0001_＀＀＀＀＀＀쀀䁝貁䶔&amp;千幘䅃偟久当十彔义䅔䝎ㄨ⼲〲〱ⰬⰬ单⥄_x0018_＀＀_x0018_＀＀_x0008_＀＀_x0001_＀＀_x0001_＀＀豀碵꼝쐕貁䶔＀Ｏ千幘南䱟䅅䕓䍟䵏䥍彔剙⠳㈱㈯〰ⰸ㈱㈯〰ⰸⰬ唬䑓착_x0018_＀＀_x0018_＀＀_x0008_＀＀_x0001_＀＀_x0001_＀＀＀＀＀＀＀＀䁓貁䶔L千幘䅃偟协剔呅䥟呎䍟协⡔㈱㈯〰ⰶⰬ唬䑓䀩南䡟呌䍈剁彅义彔佃呓ㄨ⼲〲㘰ⰬⰬ单⥄_x0018_＀＀_x0018_＀＀_x0008_＀＀_x0001_＀＀_x0001_＀＀＀＀＀＀＀＀䀵貁䶔%千幘南䥟呎剟呁彅夵噁⡇㈱㈯〰ⰷⰬ唬䑓착_x0018_＀＀_x0018_＀＀_x0008_＀＀_x0001_＀＀_x0001_＀＀쒱쨃_xDCA6_䀘貁䶔＀Ｏ千幘南䱟䅅䕓䍟䵏䥍彔剙⠳㈱㈯〰ⰹ㈱㈯〰ⰹⰬ唬䑓착_x0018_＀＀_x0018_＀＀_x0008_＀＀_x0001_＀＀_x0001_＀＀＀＀＀＀耀䁔互_x0013_卋幕䝆偟䥒䕃㐨㠰㘲착_x0018_＀＀_x0018_＀＀_x0008_＀＀_x0001_＀＀_x0001_＀＀晦晦䙦䁋貁䶔,千幘䅃偟协剔呅䕟偍䍟乏剔䉉䍟ㄨ⼲〲㔰ⰬⰬ单⥄_x0018_＀＀_x0018_＀＀_x0008_＀＀_x0001_＀＀_x0001_＀＀＀＀＀＀耀䁃貁䶔J千幘䅃偟久当䥄䍓剟呁⡅㈱㈯〰ⰷⰬ唬䑓䀩南偟久䥓乏䑟卉彃䅒䕔ㄨ⼲〲㜰ⰬⰬ单⥄_x0018_＀＀_x0018_＀＀_x0008_＀＀_x0001_＀＀_x0001_＀＀＀＀＀＀＀＀䀘貁䶔J千幘䅃偟协剔呅剟䅏䅟呃ㄨ⼲〲㘰ⰬⰬ单⥄址当䱈䡔䅃䕒䅟呃剟䅏ㄨ⼲〲㘰ⰬⰬ单⥄_x0018_＀＀_x0018_＀＀_x0008_＀＀_x0001_＀＀_x0001_＀＀＀＀＀＀＀＀＀＀貁䶔(千幘南偟久䥓乏䅟卓呅当呌ㄨ⼲〲㌰ⰬⰬ单⥄_x0018_＀＀_x0018_＀＀_x0008_＀＀_x0001_＀＀_x0001_＀＀豀碵꼝쐕貁䶔＀Ｏ千幘南䡟呌䍈剁彅䵁剏彔䕓噒䍟协⡔㈱㈯〰ⰷⰬ唬䑓착_x0018_＀＀_x0018_＀＀_x0008_＀＀_x0001_＀＀_x0001_＀＀＀＀＀＀＀＀쀔貁䶔M千幘䅃偟久当剐佉归剓⡖㈱㈯㄰ⰰⰬ唬䑓䀩南偟久䥓乏偟归䕓噒䍟协⡔㈱㈯㄰ⰰⰬ唬䑓착_x0018_＀＀_x0018_＀＀_x0008_＀＀_x0001_＀＀_x0001_＀＀豀碵꼝쐕貁䶔 千幘南䕟䍘彈䅒䕔䥟䍎䍟⡆㈱㈯〰⤴_x0018_＀＀_x0018_＀＀_x0008_＀＀_x0001_＀＀_x0001_＀＀豀碵꼝쐕貁䶔N千幘䅃偟久当乕䕒佃⡇㈱㈯〰ⰴⰬ唬䑓䀩南偟久䥓乏啟剎䍅卟剅彖佃呓ㄨ⼲〲㐰ⰬⰬ单⥄_x0018_＀＀_x0018_＀＀_x0008_＀＀_x0001_＀＀_x0001_＀＀＀＀＀＀＀＀䀻貁䶔)千幘䅃偟久当䵅彐佃呎䥒彂⡃㈱㈯〰ⰸⰬ唬䑓착_x0018_＀＀_x0018_＀＀_x0008_＀＀_x0001_＀＀_x0001_＀＀＀＀＀＀ꀀ䁶ۺ仌_x0016_千幘彐剐䍉Ņ㈠㈯⼹〲㐰_x0018_＀＀_x0018_＀＀_x0008_＀＀_x0001_＀＀_x0001_＀＀롑Ԟ䀕貁䶔+千幘䅃偟协剔呅偟剁彔佃呎䥒⡂㈱㈯〰ⰳⰬ唬䑓착_x0018_＀＀_x0018_＀＀_x0008_＀＀_x0001_＀＀_x0001_＀＀＀＀＀＀＀＀䀨貁䶔&lt;千幘䅃偟久当䥄䍓剟呁⡅㈱㈯〰⤸址当䕐华佉彎䥄䍓剟呁⡅㈱㈯〰⤸_x0018_＀＀_x0018_＀＀_x0008_＀＀_x0001_＀＀_x0001_＀＀＀＀＀＀＀＀䀚ۺ仌_x0016_千幘彐剐䍉Ņ㔠㌯⼱〲〱_x0018_＀＀_x0018_＀＀_x0008_＀＀_x0001_＀＀_x0001_＀＀㥭檪䀱ۺ仌_x0016_千幘彐剐䍉Ņ㔠㌯⼱〲ㄱ_x0018_＀＀_x0018_＀＀_x0008_＀＀_x0001_＀＀_x0001_＀＀怭뜂滮䀺ۺ仌_x0016_千幘彐剐䍉Ņ㈠㈯⼹〲㠰_x0018_＀＀_x0018_＀＀_x0008_＀＀_x0001_＀＀_x0001_＀＀橪嫙ⱟ䀰貂䶔＀Ｏ千幘南䱟䅅䕓䍟䵏䥍彔剙⠳㈱㈯㄰ⰰ㈱㈯㄰ⰰⰬ唬䑓착_x0018_＀＀_x0018_＀＀_x0008_＀＀_x0001_＀＀_x0001_＀＀＀＀＀＀쀀䁐貁䶔%千幘䅃偟久当啃归䥌䉁⡓㈱㈯〰ⰳⰬ唬䑓착_x0018_＀＀_x0018_＀＀_x0008_＀＀_x0001_＀＀_x0001_＀＀豀碵꼝쐕貁䶔(千幘南偟久䥓乏䅟卓呅当呌ㄨ⼲〲㤰ⰬⰬ单⥄_x0018_＀＀_x0018_＀＀_x0008_＀＀_x0001_＀＀_x0001_＀＀豀碵꼝쐕貁䶔E千幘䅃偟协剔呅䉟久佟⡂㈱㈯〰ⰹⰬ唬䑓䀩南䡟呌䍈剁彅䉐⡏㈱㈯〰ⰹⰬ唬䑓착_x0018_＀＀_x0018_＀＀_x0008_＀＀_x0001_＀＀_x0001_＀＀＀＀＀＀怀䁹貁䶔F千幘䅃偟协剔呅剟䅏ㄨ⼲〲㜰ⰬⰬ单⥄址当䱈䡔䅃䕒䕟偘剟䅏ㄨ⼲〲㜰ⰬⰬ单⥄_x0018_＀＀_x0018_＀＀_x0008_＀＀_x0001_＀＀_x0001_＀＀＀＀＀＀＀＀＀＀貁䶔P千幘䅃偟协剔呅偟䅌彎十彔久⡄㈱㈯〰ⰴⰬ唬䑓䀩南䡟呌䍈剁彅噆䅟卓呅ㄨ⼲〲㐰ⰬⰬ单⥄_x0018_＀＀_x0018_＀＀_x0008_＀＀_x0001_＀＀_x0001_＀＀＀＀＀＀＀＀＀＀貁䶔J千幘䅃偟久当䱐乁䅟呓ㄨ⼲〲〱ⰬⰬ单⥄址当䕐华佉彎䅖彌十䕓協ㄨ⼲〲〱ⰬⰬ单⥄_x0018_＀＀_x0018_＀＀_x0008_＀＀_x0001_＀＀_x0001_＀＀＀＀＀＀䂜貁䶔'千幘䅃偟协剔呅䉟久偟䥁⡄㈱㈯〰ⰳⰬ唬䑓착_x0018_＀＀_x0018_＀＀_x0008_＀＀_x0001_＀＀_x0001_＀＀＀＀＀＀＀＀䁈貁䶔+千幘䅃偟协剔呅偟剁彔佃呎䥒⡂㈱㈯〰ⰹⰬ唬䑓착_x0018_＀＀_x0018_＀＀_x0008_＀＀_x0001_＀＀_x0001_＀＀＀＀＀＀＀＀䀳貁䶔Q千幘䅃偟久当䍁啃彍佃偍䥒䍎ㄨ⼲〲㐰ⰬⰬ单⥄址当佃偍归义彃䕐华䱟䅉⡂㈱㈯〰ⰴⰬ唬䑓착_x0018_＀＀_x0018_＀＀_x0008_＀＀_x0001_＀＀_x0001_＀＀＀＀＀＀瀀䁸貁䶔9千幘䅃偟久当䕎彔佃呓ㄨ⼲〲〱䀩南偟久䥓乏也偐䕟偘ㄨ⼲〲〱착_x0018_＀＀_x0018_＀＀_x0008_＀＀_x0001_＀＀_x0001_＀＀＀＀＀＀＀＀䁋貁䶔#千幘䅃偟协剔呅䱟䅉⡂㈱㈯〰ⰷⰬ唬䑓착_x0018_＀＀_x0018_＀＀_x0008_＀＀_x0001_＀＀_x0001_＀＀＀＀＀＀ꀀ쁸貁䶔(千幘南䡟呌䍈剁彅乕彆䕂⡎㈱㈯〰ⰶⰬ唬䑓⤩＀＀＀＀貁䶔;千幘南偟久䥓乏䅟卓呅当充䥕ㄨ⼲〲〱䀩䅃偟久当䍐彔充ㄨ⼲〲〱착_x0018_＀＀_x0018_＀＀_x0008_＀＀_x0001_＀＀_x0001_＀＀＀＀＀＀耀䁎貁䶔$千幘䅃偟久当䕂彎䅐䑉ㄨ⼲〲㐰ⰬⰬ单⥄_x0018_＀＀_x0018_＀＀_x0008_＀＀_x0001_＀＀_x0001_＀＀＀＀＀＀䀀䁧貁䶔%千幘䅃偟久当啃归䥌䉁⡓㈱㈯〰ⰹⰬ唬䑓착_x0018_＀＀_x0018_＀＀_x0008_＀＀_x0001_＀＀_x0001_＀＀＀＀＀＀＀＀䀦貁䶔H千幘䅃偟久当义彔佃呓ㄨ⼲〲㤰ⰬⰬ单⥄址当䕐华佉彎义彔佃呓ㄨ⼲〲㤰ⰬⰬ单⥄_x0018_＀＀_x0018_＀＀_x0008_＀＀_x0001_＀＀_x0001_＀＀＀＀＀＀ 䁠伊_x001D_刣晥敲桳帣南䙟䍙〨䀩䅃䙟䍙〨착_x0014_＀＀_x0018_＀＀_x0004_＀＀_x0001_＀＀_x0008_＀＀乀A貁䶔'千幘南偟久䥓乏也呅䱟䅉⡂㈱㈯〰ⰵⰬ唬䑓착_x0018_＀＀_x0018_＀＀_x0008_＀＀_x0001_＀＀_x0001_＀＀豀碵꼝쐕互8刣晥敲桳帣䅃偟久当佒彁䅒䕔丨⥁址当䕐华佉彎塅彐呌剟䅏丨⥁_x0018_＀＀_x0018_＀＀_x0008_＀＀_x0001_＀＀_x0001_＀＀豀碵꼝쐕貁䶔'千幘䅃偟协剔呅䉟久偟䥁⡄㈱㈯〰ⰹⰬ唬䑓착_x0018_＀＀_x0018_＀＀_x0008_＀＀_x0001_＀＀_x0001_＀＀＀＀＀＀耀䁉貁䶔N千幘䅃偟久当乕䕒佃⡇㈱㈯〰ⰳⰬ唬䑓䀩南偟久䥓乏啟剎䍅卟剅彖佃呓ㄨ⼲〲㌰ⰬⰬ单⥄_x0018_＀＀_x0018_＀＀_x0008_＀＀_x0001_＀＀_x0001_＀＀＀＀＀＀＀＀䁁貁䶔I千幘䅃偟久当剓彖佃呓ㄨ⼲〲㘰ⰬⰬ单⥄址当䕐华佉彎䕓噒䍟协⡔㈱㈯〰ⰶⰬ唬䑓착_x0018_＀＀_x0018_＀＀_x0008_＀＀_x0001_＀＀_x0001_＀＀＀＀＀＀＀＀䁂貁䶔-千幘䅃偟协剔呅啟归剔佟彂䵁剏⡔㈱㈯〰ⰵⰬ唬䑓착_x0018_＀＀_x0018_＀＀_x0008_＀＀_x0001_＀＀_x0001_＀＀＀＀＀＀＀＀＀＀貁䶔[千幘南剟久䅔彌偏䱟䕓䕟偘ㄨ⼲〲㐰ㄬ⼲〲㐰ⰬⰬ单⥄䍀彁呒剟久彔䥍彎塅⡐㈱㈯〰ⰴ㈱㈯〰ⰴⰬ唬䑓착_x0018_＀＀_x0018_＀＀_x0008_＀＀_x0001_＀＀_x0001_＀＀＀＀＀＀䠀䂁貁䶔＀Ｏ千幘南䱟䅅䕓䍟䵏䥍彔剙⠴㈱㈯〰ⰸ㈱㈯〰ⰸⰬ唬䑓착_x0018_＀＀_x0018_＀＀_x0008_＀＀_x0001_＀＀_x0001_＀＀＀＀＀＀＀＀䁓貁䶔＀Ｏ千幘南䱟䅅䕓䍟䵏䥍彔剙⠴㈱㈯〰ⰹ㈱㈯〰ⰹⰬ唬䑓착_x0018_＀＀_x0018_＀＀_x0008_＀＀_x0001_＀＀_x0001_＀＀＀＀＀＀＀＀䁐貁䶔)千幘䅃偟协剔呅佟䡔䑁彊䉎⡁㈱㈯〰ⰶⰬ唬䑓착_x0018_＀＀_x0018_＀＀_x0008_＀＀_x0001_＀＀_x0001_＀＀＀＀＀＀쀀䁑貁䶔$千幘䅃偟久当䕂彎䅐䑉ㄨ⼲〲〱ⰬⰬ单⥄_x0018_＀＀_x0018_＀＀_x0008_＀＀_x0001_＀＀_x0001_＀＀＀＀＀＀ 䁣貁䶔_x001A_千幘南䕟䍘彈䅒䕔䉟䱁卟⡈⤰_x0018_＀＀_x0018_＀＀_x0008_＀＀_x0001_＀＀_x0001_＀＀豀碵꼝쐕貁䶔J千幘䅃偟协剔呅剟䅏䅟呃ㄨ⼲〲㔰ⰬⰬ单⥄址当䱈䡔䅃䕒䅟呃剟䅏ㄨ⼲〲㔰ⰬⰬ单⥄_x0018_＀＀_x0018_＀＀_x0008_＀＀_x0001_＀＀_x0001_＀＀＀＀＀＀＀＀＀＀貁䶔 千幘南䕟䍘彈䅒䕔䥟䍎䍟⡆㈱㈯〰⤵_x0018_＀＀_x0018_＀＀_x0008_＀＀_x0001_＀＀_x0001_＀＀豀碵꼝쐕貁䶔T千幘䅃偟协剔呅偟䥒剏卟噒ㄨ⼲〲㤰ⰬⰬ单⥄址当䱈䡔䅃䕒啟剎䍅卟剅彖佃呓ㄨ⼲〲㤰ⰬⰬ单⥄_x0018_＀＀_x0018_＀＀_x0008_＀＀_x0001_＀＀_x0001_＀＀＀＀＀＀＀＀＀＀貁䶔F千幘䅃偟久当佒彁䍁⡔㈱㈯〰ⰳⰬ唬䑓䀩南偟久䥓乏䅟呃剟䅏ㄨ⼲〲㌰ⰬⰬ单⥄_x0018_＀＀_x0018_＀＀_x0008_＀＀_x0001_＀＀_x0001_＀＀＀＀＀＀ 䁮貁䶔J千幘䅃偟久当佒彁䅒䕔ㄨ⼲〲㠰ⰬⰬ单⥄址当䕐华佉彎塅彐呌剟䅏ㄨ⼲〲㠰ⰬⰬ单⥄_x0018_＀＀_x0018_＀＀_x0008_＀＀_x0001_＀＀_x0001_＀＀＀＀＀＀＀＀䀡貁䶔M千幘䅃偟协剔呅卟噒䍟协⡔㈱㈯〰ⰳⰬ唬䑓䀩南䡟呌䍈剁彅䕓噒䍟协⡔㈱㈯〰ⰳⰬ唬䑓착_x0018_＀＀_x0018_＀＀_x0008_＀＀_x0001_＀＀_x0001_＀＀＀＀＀＀＀＀䀦貁䶔(千幘䅃偟久当偐彄䕂彎佃呓ㄨ⼲〲㔰ⰬⰬ单⥄_x0018_＀＀_x0018_＀＀_x0008_＀＀_x0001_＀＀_x0001_＀＀＀＀＀＀＀＀＀＀貁䶔 千幘南䕟䍘彈䅒䕔ㄨ⼲〲㘰ⰬⰬ单⥄_x0018_＀＀_x0018_＀＀_x0008_＀＀_x0001_＀＀_x0001_＀＀＀＀＀＀＀＀㿰ߞ伃_x0016_千幘彐剐䍉Ņ㈱〯⼹〲ㄱ_x0018_＀＀_x0018_＀＀_x0008_＀＀_x0001_＀＀_x0001_＀＀롒蔞凫䀵貁䶔&amp;千幘䅃偟久当十彔义䅔䝎ㄨ⼲〲㔰ⰬⰬ单⥄_x0018_＀＀_x0018_＀＀_x0008_＀＀_x0001_＀＀_x0001_＀＀＀＀＀＀＀＀䀷貁䶔;千幘南偟久䥓乏䅟卓呅当剐偏ㄨ⼲〲㜰䀩䅃偟久当䍐彔䕒ㄨ⼲〲㜰착_x0018_＀＀_x0018_＀＀_x0008_＀＀_x0001_＀＀_x0001_＀＀＀＀＀＀＀＀＀＀貁䶔F千幘䅃偟协剔呅剟䅏ㄨ⼲〲㘰ⰬⰬ单⥄址当䱈䡔䅃䕒䕟偘剟䅏ㄨ⼲〲㘰ⰬⰬ单⥄_x0018_＀＀_x0018_＀＀_x0008_＀＀_x0001_＀＀_x0001_＀＀＀＀＀＀＀＀＀＀貁䶔＀Ｏ千幘南䱟䅅䕓䍟䵏䥍彔剙⠴㈱㈯〰ⰱ㈱㈯〰ⰱⰬ唬䑓착_x0018_＀＀_x0018_＀＀_x0008_＀＀_x0001_＀＀_x0001_＀＀＀＀＀＀＀＀䁞貂䶔L千幘䅃偟协剔呅䥟呎䍟协⡔㈱㈯㄰ⰰⰬ唬䑓䀩南䡟呌䍈剁彅义彔佃呓ㄨ⼲〲〱ⰬⰬ单⥄_x0018_＀＀_x0018_＀＀_x0008_＀＀_x0001_＀＀_x0001_＀＀＀＀＀＀＀＀䀴貁䶔＀Ｏ千幘南䱟䅅䕓䍟䵏䥍彔剙⠴㈱㈯〰ⰲ㈱㈯〰ⰲⰬ唬䑓착_x0018_＀＀_x0018_＀＀_x0008_＀＀_x0001_＀＀_x0001_＀＀＀＀＀＀ 䁥貁䶔%千幘䅃偟久当佃偍剟呁⡅㈱㈯〰ⰷⰬ唬䑓착_x0018_＀＀_x0018_＀＀_x0008_＀＀_x0001_＀＀_x0001_＀＀晧晦晦䀐貁䶔I千幘䅃偟久当剓彖佃呓ㄨ⼲〲〱ⰬⰬ单⥄址当䕐华佉彎䕓噒䍟协⡔㈱㈯㄰ⰰⰬ唬䑓착_x0018_＀＀_x0018_＀＀_x0008_＀＀_x0001_＀＀_x0001_＀＀＀＀＀＀耀䁄貁䶔＀Ｏ千幘南䱟䅅䕓䍟䵏䥍彔剙⠴㈱㈯〰ⰳ㈱㈯〰ⰳⰬ唬䑓착_x0018_＀＀_x0018_＀＀_x0008_＀＀_x0001_＀＀_x0001_＀＀＀＀＀＀ 䁦貁䶔;千幘南偟久䥓乏䅟卓呅当充䥕ㄨ⼲〲㠰䀩䅃偟久当䍐彔充ㄨ⼲〲㠰착_x0018_＀＀_x0018_＀＀_x0008_＀＀_x0001_＀＀_x0001_＀＀＀＀＀＀＀＀䁋貁䶔Q千幘䅃偟久当䍁啃彍佃偍䥒䍎ㄨ⼲〲㤰ⰬⰬ单⥄址当佃偍归义彃䕐华䱟䅉⡂㈱㈯〰ⰹⰬ唬䑓착_x0018_＀＀_x0018_＀＀_x0008_＀＀_x0001_＀＀_x0001_＀＀＀＀＀＀䠀삉貁䶔%千幘南䥟呎剟呁彅夵噁⡇㈱㈯〰ⰲⰬ唬䑓착_x0018_＀＀_x0018_＀＀_x0008_＀＀_x0001_＀＀_x0001_＀＀픒荛䀝互7刣晥敲桳帣南偟久䥓乏䅟卓呅当剐偏丨⥁䍀彁䕐华偟呃剟⡅䅎착_x0018_＀＀_x0018_＀＀_x0008_＀＀_x0001_＀＀_x0001_＀＀豀碵꼝쐕貁䶔＀Ｏ千幘南䱟䅅䕓䍟䵏䥍彔剙⠴㈱㈯〰ⰴ㈱㈯〰ⰴⰬ唬䑓착_x0018_＀＀_x0018_＀＀_x0008_＀＀_x0001_＀＀_x0001_＀＀＀＀＀＀쀀䁜貁䶔＀Ｏ千幘南䱟䅅䕓䍟䵏䥍彔剙⠴㈱㈯〰ⰵ㈱㈯〰ⰵⰬ唬䑓착_x0018_＀＀_x0018_＀＀_x0008_＀＀_x0001_＀＀_x0001_＀＀＀＀＀＀쀀䁕貁䶔G千幘䅃偟久当䕎彔佃呓ㄨ⼲〲㌰ⰬⰬ单⥄址当䕐华佉彎偎彐塅⡐㈱㈯〰ⰳⰬ唬䑓착_x0018_＀＀_x0018_＀＀_x0008_＀＀_x0001_＀＀_x0001_＀＀＀＀＀＀＀＀䀲貁䶔＀Ｏ千幘南䱟䅅䕓䍟䵏䥍彔剙⠴㈱㈯〰ⰶ㈱㈯〰ⰶⰬ唬䑓착_x0018_＀＀_x0018_＀＀_x0008_＀＀_x0001_＀＀_x0001_＀＀＀＀＀＀＀＀䁛貁䶔＀Ｏ千幘南䱟䅅䕓䍟䵏䥍彔剙⠴㈱㈯〰ⰷ㈱㈯〰ⰷⰬ唬䑓착_x0018_＀＀_x0018_＀＀_x0008_＀＀_x0001_＀＀_x0001_＀＀＀＀＀＀耀䁖貁䶔;千幘南偟久䥓乏䅟卓呅当呏⡈㈱㈯〰⤵䍀彁䕐华偟呃佟䡔ㄨ⼲〲㔰착_x0018_＀＀_x0018_＀＀_x0008_＀＀_x0001_＀＀_x0001_＀＀＀＀＀＀＀＀㿰貁䶔$千幘䅃偟久当呌䱟䅉卂ㄨ⼲〲㜰ⰬⰬ单⥄_x0018_＀＀_x0018_＀＀_x0008_＀＀_x0001_＀＀_x0001_＀＀＀＀＀＀怀䁩貁䶔%千幘南䥟呎剟呁彅夵噁⡇㈱㈯〰ⰸⰬ唬䑓착_x0018_＀＀_x0018_＀＀_x0008_＀＀_x0001_＀＀_x0001_＀＀ᘞ䵪軳䀙貁䶔)千幘䅃偟久当䵅彐佃呎䥒彂⡃㈱㈯〰ⰳⰬ唬䑓착_x0018_＀＀_x0018_＀＀_x0008_＀＀_x0001_＀＀_x0001_＀＀＀＀＀＀耀䁋貁䶔;千幘南偟久䥓乏䅟卓呅当充䥕ㄨ⼲〲㌰䀩䅃偟久当䍐彔充ㄨ⼲〲㌰착_x0018_＀＀_x0018_＀＀_x0008_＀＀_x0001_＀＀_x0001_＀＀＀＀＀＀＀＀䁎貁䶔(千幘䅃偟久当䅐呒䍟乏剔䉉ㄨ⼲〲㐰ⰬⰬ单⥄_x0018_＀＀_x0018_＀＀_x0008_＀＀_x0001_＀＀_x0001_＀＀＀＀＀＀＀＀＀＀貁䶔L千幘䅃偟协剔呅䥟呎䍟协⡔㈱㈯〰ⰵⰬ唬䑓䀩南䡟呌䍈剁彅义彔佃呓ㄨ⼲〲㔰ⰬⰬ单⥄_x0018_＀＀_x0018_＀＀_x0008_＀＀_x0001_＀＀_x0001_＀＀＀＀＀＀＀＀䀸貁䶔M千幘䅃偟协剔呅卟噒䍟协⡔㈱㈯〰ⰶⰬ唬䑓䀩南䡟呌䍈剁彅䕓噒䍟协⡔㈱㈯〰ⰶⰬ唬䑓착_x0018_＀＀_x0018_＀＀_x0008_＀＀_x0001_＀＀_x0001_＀＀＀＀＀＀＀＀䀜貁䶔 千幘南䕟䍘彈䅒䕔䥟䍎䍟⡆㈱㈯〰⤶_x0018_＀＀_x0018_＀＀_x0008_＀＀_x0001_＀＀_x0001_＀＀豀碵꼝쐕貁䶔E千幘䅃偟协剔呅䉟久佟⡂㈱㈯〰ⰲⰬ唬䑓䀩南䡟呌䍈剁彅䉐⡏㈱㈯〰ⰲⰬ唬䑓착_x0018_＀＀_x0018_＀＀_x0008_＀＀_x0001_＀＀_x0001_＀＀＀＀＀＀　䁿貁䶔&lt;千幘南偟久䥓乏䅟卓呅当佂䑎⡓㈱㈯〰⤹䍀彁䕐华偟呃䙟⡉㈱㈯〰⤹_x0018_＀＀_x0018_＀＀_x0008_＀＀_x0001_＀＀_x0001_＀＀＀＀＀＀耀䁃貁䶔'千幘䅃偟久当商䑎卟䅔啔⡓㈱㈯〰ⰳⰬ唬䑓착_x0018_＀＀_x0018_＀＀_x0008_＀＀_x0001_＀＀_x0001_＀＀＀＀＀＀耀䁍貁䶔J千幘䅃偟协剔呅剟䅏䅟呃ㄨ⼲〲㐰ⰬⰬ单⥄址当䱈䡔䅃䕒䅟呃剟䅏ㄨ⼲〲㐰ⰬⰬ单⥄_x0018_＀＀_x0018_＀＀_x0008_＀＀_x0001_＀＀_x0001_＀＀＀＀＀＀＀＀＀＀貁䶔J千幘䅃偟久当䥄䍓剟呁⡅㈱㈯〰ⰶⰬ唬䑓䀩南偟久䥓乏䑟卉彃䅒䕔ㄨ⼲〲㘰ⰬⰬ单⥄_x0018_＀＀_x0018_＀＀_x0008_＀＀_x0001_＀＀_x0001_＀＀＀＀＀＀＀＀䀗貁䶔I千幘䅃偟久当剓彖佃呓ㄨ⼲〲㔰ⰬⰬ单⥄址当䕐华佉彎䕓噒䍟协⡔㈱㈯〰ⰵⰬ唬䑓착_x0018_＀＀_x0018_＀＀_x0008_＀＀_x0001_＀＀_x0001_＀＀＀＀＀＀＀＀䁁貁䶔*千幘南䡟呌䍈剁彅塅彐呌剟䅏ㄨ⼲〲㜰ⰬⰬ单⥄_x0018_＀＀_x0018_＀＀_x0008_＀＀_x0001_＀＀_x0001_＀＀豀碵꼝쐕貁䶔F千幘䅃偟久当佒彁䍁⡔㈱㈯〰ⰶⰬ唬䑓䀩南偟久䥓乏䅟呃剟䅏ㄨ⼲〲㘰ⰬⰬ单⥄_x0018_＀＀_x0018_＀＀_x0008_＀＀_x0001_＀＀_x0001_＀＀＀＀＀＀쀀䁘貁䶔J千幘䅃偟久当䱐乁䅟呓ㄨ⼲〲㌰ⰬⰬ单⥄址当䕐华佉彎䅖彌十䕓協ㄨ⼲〲㌰ⰬⰬ单⥄_x0018_＀＀_x0018_＀＀_x0008_＀＀_x0001_＀＀_x0001_＀＀＀＀＀＀가䂖貁䶔)千幘䅃偟久当䵅彐佃呎䥒彂⡃㈱㈯〰ⰹⰬ唬䑓착_x0018_＀＀_x0018_＀＀_x0008_＀＀_x0001_＀＀_x0001_＀＀＀＀＀＀瀀䁰貁䶔F千幘䅃偟久当佒彁䍁⡔㈱㈯〰ⰹⰬ唬䑓䀩南偟久䥓乏䅟呃剟䅏ㄨ⼲〲㤰ⰬⰬ单⥄_x0018_＀＀_x0018_＀＀_x0008_＀＀_x0001_＀＀_x0001_＀＀＀＀＀＀퀀䁵멦伈_x0016_千幘彐剐䍉Ņㄠ〯⼶〲㈱_x0018_＀＀_x0018_＀＀_x0008_＀＀_x0001_＀＀_x0001_＀＀㵱휊낣䀶貂䶔 千幘南䕟䍘彈䅒䕔䉟䱁卟⡈㈱㈯㄰⤰_x0018_＀＀_x0018_＀＀_x0008_＀＀_x0001_＀＀_x0001_＀＀豀碵꼝쐕貁䶔%千幘䅃偟久当呌䅟卓呅⡓㈱㈯〰ⰸⰬ唬䑓착_x0018_＀＀_x0018_＀＀_x0008_＀＀_x0001_＀＀_x0001_＀＀＀＀＀＀＀＀＀＀貂䶔＀Ｏ千幘南䱟䅅䕓䍟䵏䥍彔剙⠴㈱㈯㄰ⰰ㈱㈯㄰ⰰⰬ唬䑓착_x0018_＀＀_x0018_＀＀_x0008_＀＀_x0001_＀＀_x0001_＀＀＀＀＀＀耀䁒貁䶔'千幘䅃偟久当商䑎卟䅔啔⡓㈱㈯〰ⰹⰬ唬䑓착_x0018_＀＀_x0018_＀＀_x0008_＀＀_x0001_＀＀_x0001_＀＀＀＀＀＀　삃貁䶔%千幘䅃偟久当啃归䥌䉁⡓㈱㈯〰ⰴⰬ唬䑓착_x0018_＀＀_x0018_＀＀_x0008_＀＀_x0001_＀＀_x0001_＀＀豀碵꼝쐕貁䶔&lt;千幘南偟久䥓乏䅟卓呅当佂䑎⡓㈱㈯〰⤴䍀彁䕐华偟呃䙟⡉㈱㈯〰⤴_x0018_＀＀_x0018_＀＀_x0008_＀＀_x0001_＀＀_x0001_＀＀＀＀＀＀＀＀䁄貁䶔F千幘䅃偟协剔呅剟䅏ㄨ⼲〲㔰ⰬⰬ单⥄址当䱈䡔䅃䕒䕟偘剟䅏ㄨ⼲〲㔰ⰬⰬ单⥄_x0018_＀＀_x0018_＀＀_x0008_＀＀_x0001_＀＀_x0001_＀＀＀＀＀＀＀＀＀＀貁䶔(千幘䅃偟久当䅐呒䍟乏剔䉉ㄨ⼲〲〱ⰬⰬ单⥄_x0018_＀＀_x0018_＀＀_x0008_＀＀_x0001_＀＀_x0001_＀＀＀＀＀＀＀＀＀＀貂䶔)千幘䅃偟久当䵅彐佃呎䥒彂⡅㈱㈯㄰ⰱⰬ唬䑓착_x0018_＀＀_x0018_＀＀_x0008_＀＀_x0001_＀＀_x0001_＀＀豀碵꼝쐕貁䶔H千幘䅃偟久当义彔佃呓ㄨ⼲〲〱ⰬⰬ单⥄址当䕐华佉彎义彔佃呓ㄨ⼲〲〱ⰬⰬ单⥄_x0018_＀＀_x0018_＀＀_x0008_＀＀_x0001_＀＀_x0001_＀＀＀＀＀＀耀䁞貁䶔＀Ｏ千幘南䱟䅅䕓䍟䵏䥍彔剙⠵㈱㈯〰ⰱ㈱㈯〰ⰱⰬ唬䑓착_x0018_＀＀_x0018_＀＀_x0008_＀＀_x0001_＀＀_x0001_＀＀＀＀＀＀＀＀䁞貂䶔E千幘䅃偟协剔呅䉟久佟⡂㈱㈯㄰ⰰⰬ唬䑓䀩南䡟呌䍈剁彅䉐⡏㈱㈯㄰ⰰⰬ唬䑓착_x0018_＀＀_x0018_＀＀_x0008_＀＀_x0001_＀＀_x0001_＀＀＀＀＀＀䁷貁䶔'千幘䅃偟协剔呅䉟久偟䥁⡄㈱㈯〰ⰴⰬ唬䑓착_x0018_＀＀_x0018_＀＀_x0008_＀＀_x0001_＀＀_x0001_＀＀＀＀＀＀＀＀䁉貁䶔;千幘南偟久䥓乏䅟卓呅当剐偏ㄨ⼲〲〱䀩䅃偟久当䍐彔䕒ㄨ⼲〲〱착_x0018_＀＀_x0018_＀＀_x0008_＀＀_x0001_＀＀_x0001_＀＀＀＀＀＀＀＀＀＀貁䶔＀Ｏ千幘南䱟䅅䕓䍟䵏䥍彔剙⠵㈱㈯〰ⰲ㈱㈯〰ⰲⰬ唬䑓착_x0018_＀＀_x0018_＀＀_x0008_＀＀_x0001_＀＀_x0001_＀＀＀＀＀＀ꀀ䁦ۺ仌_x0016_千幘彐剐䍉Ņ㈠㈯⼸〲㈰_x0018_＀＀_x0018_＀＀_x0008_＀＀_x0001_＀＀_x0001_＀＀尩슏⣵䀙貁䶔(千幘南䡟呌䍈剁彅乕彆䕂⡎㈱㈯〰ⰹⰬ唬䑓⤩＀＀＀＀ۺ仌_x0016_千幘彐剐䍉Ņ㈠㈯⼸〲㌰_x0018_＀＀_x0018_＀＀_x0008_＀＀_x0001_＀＀_x0001_＀＀呩擠䀑貁䶔)千幘南䡟呌䍈剁彅䥄䍓剟呁⡅㈱㈯〰ⰶⰬ唬䑓착_x0018_＀＀_x0018_＀＀_x0008_＀＀_x0001_＀＀_x0001_＀＀＀＀＀＀＀＀䀖貁䶔＀Ｏ千幘南䱟䅅䕓䍟䵏䥍彔剙⠵㈱㈯〰ⰳ㈱㈯〰ⰳⰬ唬䑓착_x0018_＀＀_x0018_＀＀_x0008_＀＀_x0001_＀＀_x0001_＀＀＀＀＀＀ꀀ䁡貁䶔P千幘䅃偟协剔呅偟䅌彎十彔久⡄㈱㈯〰ⰳⰬ唬䑓䀩南䡟呌䍈剁彅噆䅟卓呅ㄨ⼲〲㌰ⰬⰬ单⥄_x0018_＀＀_x0018_＀＀_x0008_＀＀_x0001_＀＀_x0001_＀＀＀＀＀＀＀＀＀＀貁䶔H千幘䅃偟久当义彔佃呓ㄨ⼲〲㠰ⰬⰬ单⥄址当䕐华佉彎义彔佃呓ㄨ⼲〲㠰ⰬⰬ单⥄_x0018_＀＀_x0018_＀＀_x0008_＀＀_x0001_＀＀_x0001_＀＀＀＀＀＀쀀䁝ۺ仌_x0016_千幘彐剐䍉Ņ㈠㈯⼸〲㔰_x0018_＀＀_x0018_＀＀_x0008_＀＀_x0001_＀＀_x0001_＀＀휊炣訽䀛貁䶔G千幘䅃偟久当䕎彔佃呓ㄨ⼲〲㘰ⰬⰬ单⥄址当䕐华佉彎偎彐塅⡐㈱㈯〰ⰶⰬ唬䑓착_x0018_＀＀_x0018_＀＀_x0008_＀＀_x0001_＀＀_x0001_＀＀＀＀＀＀＀＀䁏貁䶔＀Ｏ千幘南䱟䅅䕓䍟䵏䥍彔剙⠵㈱㈯〰ⰴ㈱㈯〰ⰴⰬ唬䑓착_x0018_＀＀_x0018_＀＀_x0008_＀＀_x0001_＀＀_x0001_＀＀＀＀＀＀＀＀䁖ۺ仌_x0016_千幘彐剐䍉Ņ㈠㈯⼸〲㘰_x0018_＀＀_x0018_＀＀_x0008_＀＀_x0001_＀＀_x0001_＀＀⣶轜痂䀢貂䶔+千幘䅃偟协剔呅偟剁彔佃呎䥒⡂㈱㈯㄰ⰰⰬ唬䑓착_x0018_＀＀_x0018_＀＀_x0008_＀＀_x0001_＀＀_x0001_＀＀＀＀＀＀＀＀䀰貁䶔'千幘南偟久偟协彔䕒彔䕂⡎㈱㈯〰ⰶⰬ唬䑓착_x0018_＀＀_x0018_＀＀_x0008_＀＀_x0001_＀＀_x0001_＀＀＀＀＀＀倀䂋ۺ仌_x0016_千幘彐剐䍉Ņ〱㌯⼱〲㈰_x0018_＀＀_x0018_＀＀_x0008_＀＀_x0001_＀＀_x0001_＀＀晧晦晦䀒ۺ仌_x0016_千幘彐剐䍉Ņ㈠㈯⼸〲㜰_x0018_＀＀_x0018_＀＀_x0008_＀＀_x0001_＀＀_x0001_＀＀긕ᑺ䀩貁䶔＀Ｏ千幘南䱟䅅䕓䍟䵏䥍彔剙⠵㈱㈯〰ⰵ㈱㈯〰ⰵⰬ唬䑓착_x0018_＀＀_x0018_＀＀_x0008_＀＀_x0001_＀＀_x0001_＀＀＀＀＀＀쀀䁒ۺ仌_x0016_千幘彐剐䍉Ņ〱㌯⼱〲㌰_x0018_＀＀_x0018_＀＀_x0008_＀＀_x0001_＀＀_x0001_＀＀サ㚜䀕貁䶔G千幘䅃偟久当䕎彔佃呓ㄨ⼲〲㤰ⰬⰬ单⥄址当䕐华佉彎偎彐塅⡐㈱㈯〰ⰹⰬ唬䑓착_x0018_＀＀_x0018_＀＀_x0008_＀＀_x0001_＀＀_x0001_＀＀＀＀＀＀耀䁁ۺ仌_x0016_千幘彐剐䍉Ņ〱㌯⼱〲㐰_x0018_＀＀_x0018_＀＀_x0008_＀＀_x0001_＀＀_x0001_＀＀뗔㻶啕䀘ۺ仌_x0016_千幘彐剐䍉Ņ㈠㈯⼸〲㤰_x0018_＀＀_x0018_＀＀_x0008_＀＀_x0001_＀＀_x0001_＀＀⨴뉰琍䀠貁䶔'千幘南偟久䥓乏也呅䱟䅉⡂㈱㈯〰ⰶⰬ唬䑓착_x0018_＀＀_x0018_＀＀_x0008_＀＀_x0001_＀＀_x0001_＀＀豀碵꼝쐕貁䶔＀Ｏ千幘南䱟䅅䕓䍟䵏䥍彔剙⠵㈱㈯〰ⰶ㈱㈯〰ⰶⰬ唬䑓착_x0018_＀＀_x0018_＀＀_x0008_＀＀_x0001_＀＀_x0001_＀＀＀＀＀＀쀀䁒ۺ仌_x0016_千幘彐剐䍉Ņ〱㌯⼱〲㔰_x0018_＀＀_x0018_＀＀_x0008_＀＀_x0001_＀＀_x0001_＀＀휊炣訽䀞ۺ仌_x0016_千幘彐剐䍉Ņ〱㌯⼱〲㘰_x0018_＀＀_x0018_＀＀_x0008_＀＀_x0001_＀＀_x0001_＀＀ᑺ잮䀧貁䶔,千幘䅃偟协剔呅䕟偍䍟乏剔䉉䍟ㄨ⼲〲㘰ⰬⰬ单⥄_x0018_＀＀_x0018_＀＀_x0008_＀＀_x0001_＀＀_x0001_＀＀＀＀＀＀耀䁃貁䶔%千幘䅃偟久当啃归䥌䉁⡓㈱㈯㄰ⰰⰬ唬䑓착_x0018_＀＀_x0018_＀＀_x0008_＀＀_x0001_＀＀_x0001_＀＀＀＀＀＀＀＀䀪貁䶔＀Ｏ千幘南䱟䅅䕓䍟䵏䥍彔剙⠵㈱㈯〰ⰷ㈱㈯〰ⰷⰬ唬䑓착_x0018_＀＀_x0018_＀＀_x0008_＀＀_x0001_＀＀_x0001_＀＀＀＀＀＀쀀䁒ۺ仌_x0016_千幘彐剐䍉Ņ〱㌯⼱〲㜰_x0018_＀＀_x0018_＀＀_x0008_＀＀_x0001_＀＀_x0001_＀＀釙㯪_xD8BF_䀭ۺ仌_x0016_千幘彐剐䍉Ņ〱㌯⼱〲㠰_x0018_＀＀_x0018_＀＀_x0008_＀＀_x0001_＀＀_x0001_＀＀ᑻ䞮竡䀮貁䶔＀Ｏ千幘南䱟䅅䕓䍟䵏䥍彔剙⠵㈱㈯〰ⰸ㈱㈯〰ⰸⰬ唬䑓착_x0018_＀＀_x0018_＀＀_x0008_＀＀_x0001_＀＀_x0001_＀＀＀＀＀＀＀＀䁐ۺ仌_x0016_千幘彐剐䍉Ņ〱㌯⼱〲㤰_x0018_＀＀_x0018_＀＀_x0008_＀＀_x0001_＀＀_x0001_＀＀蔟凫Ẹ䀬ۺ仌_x0016_千幘彐剐䍉Ņ㘠㌯⼰〲㈰_x0018_＀＀_x0018_＀＀_x0008_＀＀_x0001_＀＀_x0001_＀＀絟川䀗貁䶔＀Ｏ千幘南䱟䅅䕓䍟䵏䥍彔剙⠵㈱㈯〰ⰹ㈱㈯〰ⰹⰬ唬䑓착_x0018_＀＀_x0018_＀＀_x0008_＀＀_x0001_＀＀_x0001_＀＀＀＀＀＀＀＀䁒貁䶔 千幘南䕟䍘彈䅒䕔䥟䍎䍟⡆㈱㈯〰⤷_x0018_＀＀_x0018_＀＀_x0008_＀＀_x0001_＀＀_x0001_＀＀豀碵꼝쐕ۺ仌_x0016_千幘彐剐䍉Ņ㘠㌯⼰〲㌰_x0018_＀＀_x0018_＀＀_x0008_＀＀_x0001_＀＀_x0001_＀＀슏⣵ཛྷ䀔貂䶔'千幘䅃偟协剔呅䉟久偟䥁⡄㈱㈯㄰ⰰⰬ唬䑓착_x0018_＀＀_x0018_＀＀_x0008_＀＀_x0001_＀＀_x0001_＀＀＀＀＀＀耀䁇貁䶔(千幘南偟久䥓乏䅟卓呅当呌ㄨ⼲〲㐰ⰬⰬ单⥄_x0018_＀＀_x0018_＀＀_x0008_＀＀_x0001_＀＀_x0001_＀＀豀碵꼝쐕ۺ仌_x0016_千幘彐剐䍉Ņ㘠㌯⼰〲㐰_x0018_＀＀_x0018_＀＀_x0008_＀＀_x0001_＀＀_x0001_＀＀釙㯪_xD8BF_䀕互8刣晥敲桳帣南偟久䥓乏䅟卓呅当佂䑎⡓䅎䀩䅃偟久当䍐彔䥆丨⥁_x0018_＀＀_x0018_＀＀_x0008_＀＀_x0001_＀＀_x0001_＀＀豀碵꼝쐕貁䶔_x001B_千幘坍呟塁剟呁⡅低ⱗⰬ刢≐착_x0018_＀＀_x0018_＀＀_x0008_＀＀_x0001_＀＀_x0001_＀＀◙랪丆䁃ۺ仌_x0016_千幘彐剐䍉Ņ㘠㌯⼰〲㔰_x0018_＀＀_x0018_＀＀_x0008_＀＀_x0001_＀＀_x0001_＀＀㵱휊炣䀜貁䶔J千幘䅃偟久当䱐乁䅟呓ㄨ⼲〲㘰ⰬⰬ单⥄址当䕐华佉彎䅖彌十䕓協ㄨ⼲〲㘰ⰬⰬ单⥄_x0018_＀＀_x0018_＀＀_x0008_＀＀_x0001_＀＀_x0001_＀＀＀＀＀＀鰀䂗ۺ仌_x0016_千幘彐剐䍉Ņ㘠㌯⼰〲㘰_x0018_＀＀_x0018_＀＀_x0008_＀＀_x0001_＀＀_x0001_＀＀ᑻ䞮竡䀧貂䶔(千幘南䡟呌䍈剁彅乕彆䕂⡎㈱㈯㄰ⰰⰬ唬䑓⤩＀＀＀＀貁䶔＀Ｏ千幘南䡟呌䍈剁彅䵁剏彔䕓噒䍟协⡔㈱㈯〰ⰸⰬ唬䑓착_x0018_＀＀_x0018_＀＀_x0008_＀＀_x0001_＀＀_x0001_＀＀＀＀＀＀＀＀쀀ۺ仌_x0016_千幘彐剐䍉Ņ㘠㌯⼰〲㜰_x0018_＀＀_x0018_＀＀_x0008_＀＀_x0001_＀＀_x0001_＀＀댏涗ට䀮ۺ仌_x0016_千幘彐剐䍉Ņ㘠㌯⼰〲㠰_x0018_＀＀_x0018_＀＀_x0008_＀＀_x0001_＀＀_x0001_＀＀⓳髩䀴ۺ仌_x0016_千幘彐剐䍉Ņ㘠㌯⼰〲㤰_x0018_＀＀_x0018_＀＀_x0008_＀＀_x0001_＀＀_x0001_＀＀鰗_xDFC1_ᘯ䀧貁䶔+千幘䅃偟协剔呅偟剁彔佃呎䥒⡂㈱㈯〰ⰴⰬ唬䑓착_x0018_＀＀_x0018_＀＀_x0008_＀＀_x0001_＀＀_x0001_＀＀＀＀＀＀＀＀䀨互0偃楞彣獥楴慭整漨数彲湩Ᵽ䕍乁儬牴牟汯ⱬⰱ㐧㠰㘲⤧_x0018_＀＀_x0018_＀＀_x0008_＀＀_x0001_＀＀_x0001_＀＀糮㔿홞䁵貁䶔 千幘南䕟䍘彈䅒䕔䉟䱁卟⡈㈱㈯〰⤳_x0018_＀＀_x0018_＀＀_x0008_＀＀_x0001_＀＀_x0001_＀＀豀碵꼝쐕互_x001B_偞䕟䍘彈䅒䕔䌨䑁唬䑓㐬㠰㘲착_x0018_＀＀_x0018_＀＀_x0008_＀＀_x0001_＀＀_x0001_＀＀쁊斞Ꮜ㿯貁䶔[千幘南剟久䅔彌偏䱟䕓䕟偘ㄨ⼲〲㌰ㄬ⼲〲㌰ⰬⰬ单⥄䍀彁呒剟久彔䥍彎塅⡐㈱㈯〰ⰳ㈱㈯〰ⰳⰬ唬䑓착_x0018_＀＀_x0018_＀＀_x0008_＀＀_x0001_＀＀_x0001_＀＀＀＀＀＀뀀䂁貁䶔;千幘南偟久䥓乏䅟卓呅当呏⡈㈱㈯㄰⤰䍀彁䕐华偟呃佟䡔ㄨ⼲〲〱착_x0018_＀＀_x0018_＀＀_x0008_＀＀_x0001_＀＀_x0001_＀＀＀＀＀＀＀＀＀＀互7刣晥敲桳帣南偟久䥓乏䅟卓呅当呏⡈䅎䀩䅃偟久当䍐彔呏⡈䅎착_x0018_＀＀_x0018_＀＀_x0008_＀＀_x0001_＀＀_x0001_＀＀豀碵꼝쐕貁䶔B千幘䅃偟久当佒⡁㈱㈯〰ⰴⰬ唬䑓䀩南偟久䥓乏䕟偘剟䅏ㄨ⼲〲㐰ⰬⰬ单⥄_x0018_＀＀_x0018_＀＀_x0008_＀＀_x0001_＀＀_x0001_＀＀＀＀＀＀䀀쁠貂䶔[千幘南剟久䅔彌偏䱟䕓䕟偘ㄨ⼲〲〱ㄬ⼲〲〱ⰬⰬ单⥄䍀彁呒剟久彔䥍彎塅⡐㈱㈯㄰ⰰ㈱㈯㄰ⰰⰬ唬䑓착_x0018_＀＀_x0018_＀＀_x0008_＀＀_x0001_＀＀_x0001_＀＀＀＀＀＀怀䁷貂䶔＀Ｏ千幘南䱟䅅䕓䍟䵏䥍彔剙⠵㈱㈯㄰ⰰ㈱㈯㄰ⰰⰬ唬䑓착_x0018_＀＀_x0018_＀＀_x0008_＀＀_x0001_＀＀_x0001_＀＀＀＀＀＀＀＀䀶貁䶔(千幘南偟久䥓乏䅟卓呅当呌ㄨ⼲〲〱ⰬⰬ单⥄_x0018_＀＀_x0018_＀＀_x0008_＀＀_x0001_＀＀_x0001_＀＀豀碵꼝쐕貁䶔B千幘䅃偟久当佒⡁㈱㈯〰ⰷⰬ唬䑓䀩南偟久䥓乏䕟偘剟䅏ㄨ⼲〲㜰ⰬⰬ单⥄_x0018_＀＀_x0018_＀＀_x0008_＀＀_x0001_＀＀_x0001_＀＀＀＀＀＀耀쁝ۺ仌_x0016_千幘彐剐䍉Ņ㈠㈯⼸〲〱_x0018_＀＀_x0018_＀＀_x0008_＀＀_x0001_＀＀_x0001_＀＀炤਽ꏗ䀯貁䶔F千幘䅃偟协剔呅剟䅏ㄨ⼲〲㐰ⰬⰬ单⥄址当䱈䡔䅃䕒䕟偘剟䅏ㄨ⼲〲㐰ⰬⰬ单⥄_x0018_＀＀_x0018_＀＀_x0008_＀＀_x0001_＀＀_x0001_＀＀＀＀＀＀＀＀＀＀ۺ仌_x0016_千幘彐剐䍉Ņ㈠㈯⼸〲ㄱ_x0018_＀＀_x0018_＀＀_x0008_＀＀_x0001_＀＀_x0001_＀＀堦츜䀸貁䶔#千幘䅃偟协剔呅䱟䅉⡂㈱㈯〰ⰸⰬ唬䑓착_x0018_＀＀_x0018_＀＀_x0008_＀＀_x0001_＀＀_x0001_＀＀＀＀＀＀倀쁷貁䶔$千幘䅃偟久当䕂彎䅐䑉ㄨ⼲〲㔰ⰬⰬ单⥄_x0018_＀＀_x0018_＀＀_x0008_＀＀_x0001_＀＀_x0001_＀＀＀＀＀＀怀䁢貁䶔%千幘南䥟呎剟呁彅夵噁⡇㈱㈯〰ⰳⰬ唬䑓착_x0018_＀＀_x0018_＀＀_x0008_＀＀_x0001_＀＀_x0001_＀＀尽ﱲ䀛ۺ仌_x0016_千幘彐剐䍉Ņ〱㌯⼱〲〱_x0018_＀＀_x0018_＀＀_x0008_＀＀_x0001_＀＀_x0001_＀＀⳺菏箻䀴亡_x0016_千幘彐剐䍉Ņ〱㌯⼱〲ㄱ_x0018_＀＀_x0018_＀＀_x0008_＀＀_x0001_＀＀_x0001_＀＀轜_xDC28_䀵貁䶔G千幘䅃偟协剔呅䍟协⡔㈱㈯〰ⰹⰬ唬䑓䀩南䡟呌䍈剁彅偎彐塅⡐㈱㈯〰ⰹⰬ唬䑓착_x0018_＀＀_x0018_＀＀_x0008_＀＀_x0001_＀＀_x0001_＀＀＀＀＀＀＀＀䁁互!刣晥敲桳帣南䕟䍘彈䅒䕔䉟䱁卟⡈䅎착_x0018_＀＀_x0018_＀＀_x0008_＀＀_x0001_＀＀_x0001_＀＀豀碵꼝쐕貁䶔H千幘䅃偟久当义彔佃呓ㄨ⼲〲㜰ⰬⰬ单⥄址当䕐华佉彎义彔佃呓ㄨ⼲〲㜰ⰬⰬ单⥄_x0018_＀＀_x0018_＀＀_x0008_＀＀_x0001_＀＀_x0001_＀＀＀＀＀＀쀀䁜貂䶔J千幘䅃偟久当䥄䍓剟呁⡅㈱㈯㄰ⰰⰬ唬䑓䀩南偟久䥓乏䑟卉彃䅒䕔ㄨ⼲〲〱ⰬⰬ单⥄_x0018_＀＀_x0018_＀＀_x0008_＀＀_x0001_＀＀_x0001_＀＀＀＀＀＀＀＀䀔貁䶔M千幘䅃偟协剔呅卟噒䍟协⡔㈱㈯〰ⰹⰬ唬䑓䀩南䡟呌䍈剁彅䕓噒䍟协⡔㈱㈯〰ⰹⰬ唬䑓착_x0018_＀＀_x0018_＀＀_x0008_＀＀_x0001_＀＀_x0001_＀＀＀＀＀＀＀＀䀔貁䶔-千幘䅃偟协剔呅啟归剔佟彂䵁剏⡔㈱㈯〰ⰶⰬ唬䑓착_x0018_＀＀_x0018_＀＀_x0008_＀＀_x0001_＀＀_x0001_＀＀＀＀＀＀＀＀＀＀貀䶔_x0017_千幘南䙟䍙〨䀩䅃䙟䍙〨착_x0018_＀＀_x0018_＀＀_x0008_＀＀_x0001_＀＀_x0008_＀＀㈱㈯㄰0ۺ仌_x0016_千幘彐剐䍉Ņ㘠㌯⼰〲〱_x0018_＀＀_x0018_＀＀_x0008_＀＀_x0001_＀＀_x0001_＀＀계謗䀰ۺ仌_x0016_千幘彐剐䍉Ņ㘠㌯⼰〲ㄱ_x0018_＀＀_x0018_＀＀_x0008_＀＀_x0001_＀＀_x0001_＀＀Ẹ㡑䀺貁䶔T千幘䅃偟协剔呅偟䥒剏卟噒ㄨ⼲〲㐰ⰬⰬ单⥄址当䱈䡔䅃䕒啟剎䍅卟剅彖佃呓ㄨ⼲〲㐰ⰬⰬ单⥄_x0018_＀＀_x0018_＀＀_x0008_＀＀_x0001_＀＀_x0001_＀＀＀＀＀＀＀＀쀳貁䶔$千幘䅃偟久当呌䱟䅉卂ㄨ⼲〲㠰ⰬⰬ单⥄_x0018_＀＀_x0018_＀＀_x0008_＀＀_x0001_＀＀_x0001_＀＀＀＀＀＀퀀䂆貁䶔 千幘南䕟䍘彈䅒䕔䥟䍎䍟⡆㈱㈯〰⤸_x0018_＀＀_x0018_＀＀_x0008_＀＀_x0001_＀＀_x0001_＀＀豀碵꼝쐕貁䶔)千幘䅃偟协剔呅佟䡔䑁彊䉎⡁㈱㈯〰ⰷⰬ唬䑓착_x0018_＀＀_x0018_＀＀_x0008_＀＀_x0001_＀＀_x0001_＀＀＀＀＀＀＀＀䀲貁䶔)千幘䅃偟久当䵅彐佃呎䥒彂⡃㈱㈯〰ⰴⰬ唬䑓착_x0018_＀＀_x0018_＀＀_x0008_＀＀_x0001_＀＀_x0001_＀＀＀＀＀＀＀＀䀼貁䶔&lt;千幘䅃偟久当䥄䍓剟呁⡅㈱㈯㄰⤰址当䕐华佉彎䥄䍓剟呁⡅㈱㈯㄰⤰_x0018_＀＀_x0018_＀＀_x0008_＀＀_x0001_＀＀_x0001_＀＀＀＀＀＀＀＀䀔貁䶔%千幘䅃偟久当呌䅟卓呅⡓㈱㈯〰ⰳⰬ唬䑓착_x0018_＀＀_x0018_＀＀_x0008_＀＀_x0001_＀＀_x0001_＀＀豀碵꼝쐕貁䶔;千幘南偟久䥓乏䅟卓呅当呏⡈㈱㈯〰⤸䍀彁䕐华偟呃佟䡔ㄨ⼲〲㠰착_x0018_＀＀_x0018_＀＀_x0008_＀＀_x0001_＀＀_x0001_＀＀＀＀＀＀＀＀㿰貁䶔(千幘䅃偟久当䅐呒䍟乏剔䉉ㄨ⼲〲㔰ⰬⰬ单⥄_x0018_＀＀_x0018_＀＀_x0008_＀＀_x0001_＀＀_x0001_＀＀＀＀＀＀＀＀＀＀貁䶔J千幘䅃偟协剔呅剟䅏䅟呃ㄨ⼲〲㌰ⰬⰬ单⥄址当䱈䡔䅃䕒䅟呃剟䅏ㄨ⼲〲㌰ⰬⰬ单⥄_x0018_＀＀_x0018_＀＀_x0008_＀＀_x0001_＀＀_x0001_＀＀＀＀＀＀＀＀＀＀ۺ仌_x0016_千幘彐剐䍉Ņㄠ㌯⼱〲㈰_x0018_＀＀_x0018_＀＀_x0008_＀＀_x0001_＀＀_x0001_＀＀䨫섉ꪪ䀚ۺ仌_x0016_千幘彐剐䍉Ņㄠ㌯⼱〲㌰_x0018_＀＀_x0018_＀＀_x0008_＀＀_x0001_＀＀_x0001_＀＀㖰祛꿉䀒貁䶔'千幘䅃偟久当商䑎卟䅔啔⡓㈱㈯〰ⰴⰬ唬䑓착_x0018_＀＀_x0018_＀＀_x0008_＀＀_x0001_＀＀_x0001_＀＀＀＀＀＀＀＀쀔ۺ仌_x0016_千幘彐剐䍉Ņㄠ㌯⼱〲㐰_x0018_＀＀_x0018_＀＀_x0008_＀＀_x0001_＀＀_x0001_＀＀휊炣਽䀕貁䶔 千幘南䕟䍘彈䅒䕔䉟䱁卟⡈㈱㈯〰⤴_x0018_＀＀_x0018_＀＀_x0008_＀＀_x0001_＀＀_x0001_＀＀豀碵꼝쐕ۺ仌_x0016_千幘彐剐䍉Ņㄠ㌯⼱〲㔰_x0018_＀＀_x0018_＀＀_x0008_＀＀_x0001_＀＀_x0001_＀＀度ࢷꖌ䀚貁䶔*千幘南䡟呌䍈剁彅塅彐呌剟䅏ㄨ⼲〲㠰ⰬⰬ单⥄_x0018_＀＀_x0018_＀＀_x0008_＀＀_x0001_＀＀_x0001_＀＀豀碵꼝쐕貁䶔(千幘䅃偟久当偐彄䕂彎佃呓ㄨ⼲〲㘰ⰬⰬ单⥄_x0018_＀＀_x0018_＀＀_x0008_＀＀_x0001_＀＀_x0001_＀＀豀碵꼝쐕貁䶔 千幘南䕟䍘彈䅒䕔ㄨ⼲〲㜰ⰬⰬ单⥄_x0018_＀＀_x0018_＀＀_x0008_＀＀_x0001_＀＀_x0001_＀＀＀＀＀＀＀＀㿰ۺ仌_x0016_千幘彐剐䍉Ņㄠ㌯⼱〲㘰_x0018_＀＀_x0018_＀＀_x0008_＀＀_x0001_＀＀_x0001_＀＀高벭ퟤ䀡貁䶔L千幘䅃偟协剔呅䥟呎䍟协⡔㈱㈯〰ⰴⰬ唬䑓䀩南䡟呌䍈剁彅义彔佃呓ㄨ⼲〲㐰ⰬⰬ单⥄_x0018_＀＀_x0018_＀＀_x0008_＀＀_x0001_＀＀_x0001_＀＀＀＀＀＀＀＀䀹ۺ仌_x0016_千幘彐剐䍉Ņㄠ㌯⼱〲㜰_x0018_＀＀_x0018_＀＀_x0008_＀＀_x0001_＀＀_x0001_＀＀_xD987_뛋蛓䀨貁䶔P千幘䅃偟协剔呅偟䅌彎十彔久⡄㈱㈯〰ⰹⰬ唬䑓䀩南䡟呌䍈剁彅噆䅟卓呅ㄨ⼲〲㤰ⰬⰬ单⥄_x0018_＀＀_x0018_＀＀_x0008_＀＀_x0001_＀＀_x0001_＀＀＀＀＀＀＀＀＀＀ۺ仌_x0016_千幘彐剐䍉Ņㄠ㌯⼱〲㠰_x0018_＀＀_x0018_＀＀_x0008_＀＀_x0001_＀＀_x0001_＀＀绥ꊇ❀䀰ۺ仌_x0016_千幘彐剐䍉Ņㄠ㌯⼱〲㤰_x0018_＀＀_x0018_＀＀_x0008_＀＀_x0001_＀＀_x0001_＀＀뫏쭆亁䀣貁䶔J千幘䅃偟久当䥄䍓剟呁⡅㈱㈯〰ⰵⰬ唬䑓䀩南偟久䥓乏䑟卉彃䅒䕔ㄨ⼲〲㔰ⰬⰬ单⥄_x0018_＀＀_x0018_＀＀_x0008_＀＀_x0001_＀＀_x0001_＀＀＀＀＀＀＀＀䀕貁䶔I千幘䅃偟久当剓彖佃呓ㄨ⼲〲㐰ⰬⰬ单⥄址当䕐华佉彎䕓噒䍟协⡔㈱㈯〰ⰴⰬ唬䑓착_x0018_＀＀_x0018_＀＀_x0008_＀＀_x0001_＀＀_x0001_＀＀＀＀＀＀耀䁂ۺ仌_x0016_千幘彐剐䍉Ņㄱㄯ⼱〲ㄱ_x0018_＀＀_x0018_＀＀_x0008_＀＀_x0001_＀＀_x0001_＀＀ਾꏗ絰䀶貁䶔%千幘䅃偟久当呌䅟卓呅⡓㈱㈯〰ⰹⰬ唬䑓착_x0018_＀＀_x0018_＀＀_x0008_＀＀_x0001_＀＀_x0001_＀＀＀＀＀＀＀＀＀＀貁䶔&amp;千幘䅃偟久当十彔义䅔䝎ㄨ⼲〲㘰ⰬⰬ单⥄_x0018_＀＀_x0018_＀＀_x0008_＀＀_x0001_＀＀_x0001_＀＀豀碵꼝쐕ۺ仌_x0016_千幘彐剐䍉Ņ㜠㌯⼱〲㈰_x0018_＀＀_x0018_＀＀_x0008_＀＀_x0001_＀＀_x0001_＀＀씍漝௲䀗貁䶔)千幘䅃偟久当䵅彐佃呎䥒彂⡃㈱㈯㄰ⰰⰬ唬䑓착_x0018_＀＀_x0018_＀＀_x0008_＀＀_x0001_＀＀_x0001_＀＀＀＀＀＀＀＀䀪ۺ仌_x0016_千幘彐剐䍉Ņ㜠㌯⼱〲㌰_x0018_＀＀_x0018_＀＀_x0008_＀＀_x0001_＀＀_x0001_＀＀絟_xDDDD_䀔貁䶔E千幘䅃偟协剔呅䉟久佟⡂㈱㈯〰ⰳⰬ唬䑓䀩南䡟呌䍈剁彅䉐⡏㈱㈯〰ⰳⰬ唬䑓착_x0018_＀＀_x0018_＀＀_x0008_＀＀_x0001_＀＀_x0001_＀＀＀＀＀＀ࠀ䂀貁䶔;千幘南偟久䥓乏䅟卓呅当剐偏ㄨ⼲〲㠰䀩䅃偟久当䍐彔䕒ㄨ⼲〲㠰착_x0018_＀＀_x0018_＀＀_x0008_＀＀_x0001_＀＀_x0001_＀＀＀＀＀＀＀＀＀＀ۺ仌_x0016_千幘彐剐䍉Ņ㜠㌯⼱〲㐰_x0018_＀＀_x0018_＀＀_x0008_＀＀_x0001_＀＀_x0001_＀＀絟_xDDDD_䀔貁䶔%千幘䅃偟久当佃偍剟呁⡅㈱㈯〰ⰸⰬ唬䑓착_x0018_＀＀_x0018_＀＀_x0008_＀＀_x0001_＀＀_x0001_＀＀晧晦晦䀎ۺ仌_x0016_千幘彐剐䍉Ņ㜠㌯⼱〲㔰_x0018_＀＀_x0018_＀＀_x0008_＀＀_x0001_＀＀_x0001_＀＀轜尨䀞ۺ仌_x0016_千幘彐剐䍉Ņ㜠㌯⼱〲㘰_x0018_＀＀_x0018_＀＀_x0008_＀＀_x0001_＀＀_x0001_＀＀಻㨆䀤貁䶔F千幘䅃偟协剔呅剟䅏ㄨ⼲〲㌰ⰬⰬ单⥄址当䱈䡔䅃䕒䕟偘剟䅏ㄨ⼲〲㌰ⰬⰬ单⥄_x0018_＀＀_x0018_＀＀_x0008_＀＀_x0001_＀＀_x0001_＀＀＀＀＀＀＀＀＀＀ۺ仌_x0016_千幘彐剐䍉Ņ㜠㌯⼱〲㜰_x0018_＀＀_x0018_＀＀_x0008_＀＀_x0001_＀＀_x0001_＀＀顚皅魎䀯互8刣晥敲桳帣䅃偟久当䥄䍓剟呁⡅䅎䀩南偟久䥓乏䑟卉彃䅒䕔丨⥁_x0018_＀＀_x0018_＀＀_x0008_＀＀_x0001_＀＀_x0001_＀＀豀碵꼝쐕ۺ仌_x0016_千幘彐剐䍉Ņ㜠㌯⼱〲㠰_x0018_＀＀_x0018_＀＀_x0008_＀＀_x0001_＀＀_x0001_＀＀죊_xD859_蛓䀶貁䶔'千幘䅃偟久当商䑎卟䅔啔⡓㈱㈯㄰ⰰⰬ唬䑓착_x0018_＀＀_x0018_＀＀_x0008_＀＀_x0001_＀＀_x0001_＀＀＀＀＀＀삃貁䶔;千幘南偟久䥓乏䅟卓呅当充䥕ㄨ⼲〲㤰䀩䅃偟久当䍐彔充ㄨ⼲〲㤰착_x0018_＀＀_x0018_＀＀_x0008_＀＀_x0001_＀＀_x0001_＀＀＀＀＀＀耀䁌ۺ仌_x0016_千幘彐剐䍉Ņ㜠㌯⼱〲㤰_x0018_＀＀_x0018_＀＀_x0008_＀＀_x0001_＀＀_x0001_＀＀ࣾ胃뼥䀪互_x0015_刣晥敲桳帣南䥟体䍟䑏책_x0014_＀＀_x0018_＀＀_x0004_＀＀_x0001_＀＀_x0008_＀＀乀A貁䶔Q千幘䅃偟久当䍁啃彍佃偍䥒䍎ㄨ⼲〲㜰ⰬⰬ单⥄址当佃偍归义彃䕐华䱟䅉⡂㈱㈯〰ⰷⰬ唬䑓착_x0018_＀＀_x0018_＀＀_x0008_＀＀_x0001_＀＀_x0001_＀＀＀＀＀＀倀쁴貁䶔C千幘䅃偟久当剐䩏佟䱂ㄨ⼲〲㤰ⰬⰬ单⥄址当䕐华佉彎䉐⡏㈱㈯〰ⰹⰬ唬䑓착_x0018_＀＀_x0018_＀＀_x0008_＀＀_x0001_＀＀_x0001_＀＀＀＀＀＀똀䂢貁䶔J千幘䅃偟久当佒彁䅒䕔ㄨ⼲〲㐰ⰬⰬ单⥄址当䕐华佉彎塅彐呌剟䅏ㄨ⼲〲㐰ⰬⰬ单⥄_x0018_＀＀_x0018_＀＀_x0008_＀＀_x0001_＀＀_x0001_＀＀쳍쳌쳌䀡貁䶔)千幘南䡟呌䍈剁彅䥄䍓剟呁⡅㈱㈯〰ⰷⰬ唬䑓착_x0018_＀＀_x0018_＀＀_x0008_＀＀_x0001_＀＀_x0001_＀＀＀＀＀＀耀䀗貁䶔G千幘䅃偟协剔呅䍟协⡔㈱㈯〰ⰸⰬ唬䑓䀩南䡟呌䍈剁彅偎彐塅⡐㈱㈯〰ⰸⰬ唬䑓착_x0018_＀＀_x0018_＀＀_x0008_＀＀_x0001_＀＀_x0001_＀＀＀＀＀＀＀＀䀿貁䶔;千幘南偟久䥓乏䅟卓呅当呏⡈㈱㈯〰⤳䍀彁䕐华偟呃佟䡔ㄨ⼲〲㌰착_x0018_＀＀_x0018_＀＀_x0008_＀＀_x0001_＀＀_x0001_＀＀＀＀＀＀＀＀䀀貁䶔H千幘䅃偟久当义彔佃呓ㄨ⼲〲㘰ⰬⰬ单⥄址当䕐华佉彎义彔佃呓ㄨ⼲〲㘰ⰬⰬ单⥄_x0018_＀＀_x0018_＀＀_x0008_＀＀_x0001_＀＀_x0001_＀＀＀＀＀＀䀀䁚貁䶔'千幘南偟久偟协彔䕒彔䕂⡎㈱㈯〰ⰷⰬ唬䑓착_x0018_＀＀_x0018_＀＀_x0008_＀＀_x0001_＀＀_x0001_＀＀＀＀＀＀䀀䂁貁䶔[千幘南剟久䅔彌偏䱟䕓䕟偘ㄨ⼲〲㈰ㄬ⼲〲㈰ⰬⰬ单⥄䍀彁呒剟久彔䥍彎塅⡐㈱㈯〰ⰲ㈱㈯〰ⰲⰬ唬䑓착_x0018_＀＀_x0018_＀＀_x0008_＀＀_x0001_＀＀_x0001_＀＀＀＀＀＀저䂂貁䶔(千幘南䡟呌䍈剁彅乕彆䕂⡎㈱㈯〰ⰵⰬ唬䑓⤩＀＀＀＀貁䶔＀Ｏ千幘南䡟呌䍈剁彅䵁剏彔䕓噒䍟协⡔㈱㈯〰ⰳⰬ唬䑓착_x0018_＀＀_x0018_＀＀_x0008_＀＀_x0001_＀＀_x0001_＀＀豀碵꼝쐕貁䶔J千幘䅃偟久当䱐乁䅟呓ㄨ⼲〲㤰ⰬⰬ单⥄址当䕐华佉彎䅖彌十䕓協ㄨ⼲〲㤰ⰬⰬ单⥄_x0018_＀＀_x0018_＀＀_x0008_＀＀_x0001_＀＀_x0001_＀＀＀＀＀＀퐀䂛貁䶔;千幘南偟久䥓乏䅟卓呅当剐偏ㄨ⼲〲㌰䀩䅃偟久当䍐彔䕒ㄨ⼲〲㌰착_x0018_＀＀_x0018_＀＀_x0008_＀＀_x0001_＀＀_x0001_＀＀＀＀＀＀＀＀＀＀貁䶔P千幘䅃偟协剔呅偟䅌彎十彔久⡄㈱㈯〰ⰲⰬ唬䑓䀩南䡟呌䍈剁彅噆䅟卓呅ㄨ⼲〲㈰ⰬⰬ单⥄_x0018_＀＀_x0018_＀＀_x0008_＀＀_x0001_＀＀_x0001_＀＀＀＀＀＀＀＀＀＀貁䶔%千幘南䥟呎剟呁彅夵噁⡇㈱㈯〰ⰹⰬ唬䑓착_x0018_＀＀_x0018_＀＀_x0008_＀＀_x0001_＀＀_x0001_＀＀喪䀚貁䶔 千幘南䕟䍘彈䅒䕔䥟䍎䍟⡆㈱㈯〰⤹_x0018_＀＀_x0018_＀＀_x0008_＀＀_x0001_＀＀_x0001_＀＀豀碵꼝쐕互 刣晥敲桳帣南䕟䍘彈䅒䕔䥟䍎䍟⡆⤰_x0018_＀＀_x0018_＀＀_x0008_＀＀_x0001_＀＀_x0001_＀＀豀碵꼝쐕貁䶔,千幘䅃偟协剔呅䕟偍䍟乏剔䉉䍟ㄨ⼲〲㜰ⰬⰬ单⥄_x0018_＀＀_x0018_＀＀_x0008_＀＀_x0001_＀＀_x0001_＀＀＀＀＀＀耀䁅貁䶔;千幘南偟久䥓乏䅟卓呅当充䥕ㄨ⼲〲㐰䀩䅃偟久当䍐彔充ㄨ⼲〲㐰착_x0018_＀＀_x0018_＀＀_x0008_＀＀_x0001_＀＀_x0001_＀＀＀＀＀＀耀䁍ۺ仌_x0016_千幘彐剐䍉Ņㄠ㌯⼱〲〱_x0018_＀＀_x0018_＀＀_x0008_＀＀_x0001_＀＀_x0001_＀＀꽓ћ鋆䀬ۺ仌_x0016_千幘彐剐䍉Ņㄠ㌯⼱〲ㄱ_x0018_＀＀_x0018_＀＀_x0008_＀＀_x0001_＀＀_x0001_＀＀劉傛袈䀷貁䶔(千幘南偟久䥓乏䅟卓呅当呌ㄨ⼲〲㔰ⰬⰬ单⥄_x0018_＀＀_x0018_＀＀_x0008_＀＀_x0001_＀＀_x0001_＀＀豀碵꼝쐕貁䶔C千幘䅃偟久当剐䩏佟䱂ㄨ⼲〲〱ⰬⰬ单⥄址当䕐华佉彎䉐⡏㈱㈯㄰ⰰⰬ唬䑓착_x0018_＀＀_x0018_＀＀_x0008_＀＀_x0001_＀＀_x0001_＀＀＀＀＀＀渀䂣貂䶔&lt;千幘䅃偟久当䥄䍓剟呁⡅㈱㈯〰⤹址当䕐华佉彎䥄䍓剟呁⡅㈱㈯〰⤹_x0018_＀＀_x0018_＀＀_x0008_＀＀_x0001_＀＀_x0001_＀＀＀＀＀＀＀＀䀕貁䶔 千幘南䕟䍘彈䅒䕔䉟䱁卟⡈㈱㈯〰⤵_x0018_＀＀_x0018_＀＀_x0008_＀＀_x0001_＀＀_x0001_＀＀豀碵꼝쐕貁䶔＀Ｏ千幘南䡟呌䍈剁彅䵁剏彔䕓噒䍟协⡔㈱㈯〰ⰹⰬ唬䑓착_x0018_＀＀_x0018_＀＀_x0008_＀＀_x0001_＀＀_x0001_＀＀豀碵꼝쐕互_x0013_乕幐䝆偟䥒䕃㐨㠰㘲착_x0018_＀＀_x0018_＀＀_x0008_＀＀_x0001_＀＀_x0001_＀＀㌳㌳㌳䁖貁䶔+千幘䅃偟协剔呅偟剁彔佃呎䥒⡂㈱㈯〰ⰵⰬ唬䑓착_x0018_＀＀_x0018_＀＀_x0008_＀＀_x0001_＀＀_x0001_＀＀＀＀＀＀＀＀䀬貁䶔#千幘䅃偟协剔呅䱟䅉⡂㈱㈯〰ⰳⰬ唬䑓착_x0018_＀＀_x0018_＀＀_x0008_＀＀_x0001_＀＀_x0001_＀＀＀＀＀＀䀀쁳ۺ仌_x0016_千幘彐剐䍉Ņ㜠㌯⼱〲〱_x0018_＀＀_x0018_＀＀_x0008_＀＀_x0001_＀＀_x0001_＀＀탑섿鋅䀱ۺ仌_x0016_千幘彐剐䍉Ņ㜠㌯⼱〲ㄱ_x0018_＀＀_x0018_＀＀_x0008_＀＀_x0001_＀＀_x0001_＀＀롒蔞釫䀸貁䶔%千幘䅃偟久当啃归䥌䉁⡓㈱㈯〰ⰵⰬ唬䑓착_x0018_＀＀_x0018_＀＀_x0008_＀＀_x0001_＀＀_x0001_＀＀豀碵꼝쐕貂䶔T千幘䅃偟协剔呅偟䥒剏卟噒ㄨ⼲〲〱ⰬⰬ单⥄址当䱈䡔䅃䕒啟剎䍅卟剅彖佃呓ㄨ⼲〲〱ⰬⰬ单⥄_x0018_＀＀_x0018_＀＀_x0008_＀＀_x0001_＀＀_x0001_＀＀＀＀＀＀＀＀쀘貂䶔G千幘䅃偟协剔呅䍟协⡔㈱㈯㄰ⰰⰬ唬䑓䀩南䡟呌䍈剁彅偎彐塅⡐㈱㈯㄰ⰰⰬ唬䑓착_x0018_＀＀_x0018_＀＀_x0008_＀＀_x0001_＀＀_x0001_＀＀＀＀＀＀＀＀䁀互1刣晥敲桳帣南䍟問呎奒也䵁⡅⤰䍀彁佃䥟䍎剏彐呃奒〨착_x0014_＀＀_x0018_＀＀_x0004_＀＀_x0001_＀＀_x0008_＀＀乀A貁䶔J千幘䅃偟久当佒彁䅒䕔ㄨ⼲〲㜰ⰬⰬ单⥄址当䕐华佉彎塅彐呌剟䅏ㄨ⼲〲㜰ⰬⰬ单⥄_x0018_＀＀_x0018_＀＀_x0008_＀＀_x0001_＀＀_x0001_＀＀＀＀＀＀＀＀䀡貁䶔&lt;千幘南偟久䥓乏䅟卓呅当佂䑎⡓㈱㈯〰⤵䍀彁䕐华偟呃䙟⡉㈱㈯〰⤵_x0018_＀＀_x0018_＀＀_x0008_＀＀_x0001_＀＀_x0001_＀＀＀＀＀＀耀䁃貁䶔'千幘䅃偟协剔呅䉟久偟䥁⡄㈱㈯〰ⰵⰬ唬䑓착_x0018_＀＀_x0018_＀＀_x0008_＀＀_x0001_＀＀_x0001_＀＀＀＀＀＀耀䁊互_x001F_刣晥敲桳帣䅃偟久当佃偍剟呁⡅䅎착_x0018_＀＀_x0018_＀＀_x0008_＀＀_x0001_＀＀_x0001_＀＀豀碵꼝쐕貁䶔#千幘䅃偟协剔呅䱟䅉⡂㈱㈯〰ⰹⰬ唬䑓착_x0018_＀＀_x0018_＀＀_x0008_＀＀_x0001_＀＀_x0001_＀＀＀＀＀＀怀쁹貁䶔$千幘䅃偟久当䕂彎䅐䑉ㄨ⼲〲㘰ⰬⰬ单⥄_x0018_＀＀_x0018_＀＀_x0008_＀＀_x0001_＀＀_x0001_＀＀＀＀＀＀䀀䁢貁䶔T千幘䅃偟协剔呅偟䥒剏卟噒ㄨ⼲〲㘰ⰬⰬ单⥄址当䱈䡔䅃䕒啟剎䍅卟剅彖佃呓ㄨ⼲〲㘰ⰬⰬ单⥄_x0018_＀＀_x0018_＀＀_x0008_＀＀_x0001_＀＀_x0001_＀＀＀＀＀＀＀＀쀠貁䶔G千幘䅃偟协剔呅䍟协⡔㈱㈯〰ⰷⰬ唬䑓䀩南䡟呌䍈剁彅偎彐塅⡐㈱㈯〰ⰷⰬ唬䑓착_x0018_＀＀_x0018_＀＀_x0008_＀＀_x0001_＀＀_x0001_＀＀＀＀＀＀＀＀䀹貁䶔C千幘䅃偟久当剐䩏佟䱂ㄨ⼲〲㠰ⰬⰬ单⥄址当䕐华佉彎䉐⡏㈱㈯〰ⰸⰬ唬䑓착_x0018_＀＀_x0018_＀＀_x0008_＀＀_x0001_＀＀_x0001_＀＀＀＀＀＀ᰀ䂠貁䶔'千幘南偟久䥓乏也呅䱟䅉⡂㈱㈯〰ⰷⰬ唬䑓착_x0018_＀＀_x0018_＀＀_x0008_＀＀_x0001_＀＀_x0001_＀＀豀碵꼝쐕貁䶔H千幘䅃偟久当义彔佃呓ㄨ⼲〲㔰ⰬⰬ单⥄址当䕐华佉彎义彔佃呓ㄨ⼲〲㔰ⰬⰬ单⥄_x0018_＀＀_x0018_＀＀_x0008_＀＀_x0001_＀＀_x0001_＀＀＀＀＀＀쀀䁚貁䶔E千幘䅃偟协剔呅䉟久佟⡂㈱㈯〰ⰴⰬ唬䑓䀩南䡟呌䍈剁彅䉐⡏㈱㈯〰ⰴⰬ唬䑓착_x0018_＀＀_x0018_＀＀_x0008_＀＀_x0001_＀＀_x0001_＀＀＀＀＀＀퀀䁿貁䶔C千幘䅃偟久当剐䩏佟䱂ㄨ⼲〲㜰ⰬⰬ单⥄址当䕐华佉彎䉐⡏㈱㈯〰ⰷⰬ唬䑓착_x0018_＀＀_x0018_＀＀_x0008_＀＀_x0001_＀＀_x0001_＀＀＀＀＀＀☀䂠ۺ仌_x0016_千幘彐剐䍉Ņㄱ〯⼴〲ㄱ_x0018_＀＀_x0018_＀＀_x0008_＀＀_x0001_＀＀_x0001_＀＀尨슏䀵貁䶔%千幘䅃偟久当呌䅟卓呅⡓㈱㈯〰ⰴⰬ唬䑓착_x0018_＀＀_x0018_＀＀_x0008_＀＀_x0001_＀＀_x0001_＀＀豀碵꼝쐕貁䶔 千幘南䕟䍘彈䅒䕔䉟䱁卟⡈㈱㈯〰⤶_x0018_＀＀_x0018_＀＀_x0008_＀＀_x0001_＀＀_x0001_＀＀豀碵꼝쐕貁䶔%千幘䅃偟久当佃偍剟呁⡅㈱㈯〰ⰳⰬ唬䑓착_x0018_＀＀_x0018_＀＀_x0008_＀＀_x0001_＀＀_x0001_＀＀晧晦晦䀊貁䶔(千幘䅃偟久当偐彄䕂彎佃呓ㄨ⼲〲㜰ⰬⰬ单⥄_x0018_＀＀_x0018_＀＀_x0008_＀＀_x0001_＀＀_x0001_＀＀豀碵꼝쐕貁䶔 千幘南䕟䍘彈䅒䕔ㄨ⼲〲㠰ⰬⰬ单⥄_x0018_＀＀_x0018_＀＀_x0008_＀＀_x0001_＀＀_x0001_＀＀＀＀＀＀＀＀㿰貁䶔[千幘南剟久䅔彌偏䱟䕓䕟偘ㄨ⼲〲㤰ㄬ⼲〲㤰ⰬⰬ单⥄䍀彁呒剟久彔䥍彎塅⡐㈱㈯〰ⰹ㈱㈯〰ⰹⰬ唬䑓착_x0018_＀＀_x0018_＀＀_x0008_＀＀_x0001_＀＀_x0001_＀＀＀＀＀＀瀀䁸互,乃幉䍉䕟呓䵉呁⡅偅ⱓ䕍乁儬剔剟䱏ⱌ〲ㄱ㈯ⱃ⤰_x0018_＀＀_x0018_＀＀_x0008_＀＀_x0001_＀＀_x0001_＀＀豀碵꼝쐕ۺ仌_x0016_千幘彐剐䍉Ņㄱ㌯⼰〲㈰_x0018_＀＀_x0018_＀＀_x0008_＀＀_x0001_＀＀_x0001_＀＀ⷱᮬ滯䀒ۺ仌_x0016_千幘彐剐䍉Ņㄱ㌯⼰〲㌰_x0018_＀＀_x0018_＀＀_x0008_＀＀_x0001_＀＀_x0001_＀＀訚_xDE3B_韤䀖貁䶔M千幘䅃偟协剔呅卟噒䍟协⡔㈱㈯〰ⰵⰬ唬䑓䀩南䡟呌䍈剁彅䕓噒䍟协⡔㈱㈯〰ⰵⰬ唬䑓착_x0018_＀＀_x0018_＀＀_x0008_＀＀_x0001_＀＀_x0001_＀＀＀＀＀＀＀＀䀠ۺ仌_x0016_千幘彐剐䍉Ņㄱ㌯⼰〲㐰_x0018_＀＀_x0018_＀＀_x0008_＀＀_x0001_＀＀_x0001_＀＀凬Ẹ殅䀙ۺ仌_x0016_千幘彐剐䍉Ņㄱ㌯⼰〲㔰_x0018_＀＀_x0018_＀＀_x0008_＀＀_x0001_＀＀_x0001_＀＀ῷນ㚝䀠貁䶔L千幘䅃偟协剔呅䥟呎䍟协⡔㈱㈯〰ⰳⰬ唬䑓䀩南䡟呌䍈剁彅义彔佃呓ㄨ⼲〲㌰ⰬⰬ单⥄_x0018_＀＀_x0018_＀＀_x0008_＀＀_x0001_＀＀_x0001_＀＀＀＀＀＀＀＀䀹貁䶔&amp;千幘䅃偟久当十彔义䅔䝎ㄨ⼲〲㜰ⰬⰬ单⥄_x0018_＀＀_x0018_＀＀_x0008_＀＀_x0001_＀＀_x0001_＀＀豀碵꼝쐕ۺ仌_x0016_千幘彐剐䍉Ņㄱ㌯⼰〲㘰_x0018_＀＀_x0018_＀＀_x0008_＀＀_x0001_＀＀_x0001_＀＀呩擠䀧貁䶔P千幘䅃偟协剔呅偟䅌彎十彔久⡄㈱㈯〰ⰸⰬ唬䑓䀩南䡟呌䍈剁彅噆䅟卓呅ㄨ⼲〲㠰ⰬⰬ单⥄_x0018_＀＀_x0018_＀＀_x0008_＀＀_x0001_＀＀_x0001_＀＀＀＀＀＀＀＀＀＀貁䶔F千幘䅃偟久当佒彁䍁⡔㈱㈯〰ⰵⰬ唬䑓䀩南偟久䥓乏䅟呃剟䅏ㄨ⼲〲㔰ⰬⰬ单⥄_x0018_＀＀_x0018_＀＀_x0008_＀＀_x0001_＀＀_x0001_＀＀＀＀＀＀䀀䁪ۺ仌_x0016_千幘彐剐䍉Ņㄱ㌯⼰〲㜰_x0018_＀＀_x0018_＀＀_x0008_＀＀_x0001_＀＀_x0001_＀＀＀＀＀＀＀＀䀬ۺ仌_x0016_千幘彐剐䍉Ņㄱ㌯⼰〲㠰_x0018_＀＀_x0018_＀＀_x0008_＀＀_x0001_＀＀_x0001_＀＀Ꙕ莘펠䀨貁䶔J千幘䅃偟久当䥄䍓剟呁⡅㈱㈯〰ⰴⰬ唬䑓䀩南偟久䥓乏䑟卉彃䅒䕔ㄨ⼲〲㐰ⰬⰬ单⥄_x0018_＀＀_x0018_＀＀_x0008_＀＀_x0001_＀＀_x0001_＀＀＀＀＀＀＀＀䀗貁䶔I千幘䅃偟久当剓彖佃呓ㄨ⼲〲㌰ⰬⰬ单⥄址当䕐华佉彎䕓噒䍟协⡔㈱㈯〰ⰳⰬ唬䑓착_x0018_＀＀_x0018_＀＀_x0008_＀＀_x0001_＀＀_x0001_＀＀＀＀＀＀＀＀䁃ۺ仌_x0016_千幘彐剐䍉Ņㄱ㌯⼰〲㤰_x0018_＀＀_x0018_＀＀_x0008_＀＀_x0001_＀＀_x0001_＀＀嵧Ꝁ䀯貁䶔%千幘䅃偟久当呌䅟卓呅⡓㈱㈯㄰ⰰⰬ唬䑓착_x0018_＀＀_x0018_＀＀_x0008_＀＀_x0001_＀＀_x0001_＀＀＀＀＀＀＀＀＀＀貁䶔%千幘䅃偟久当佃偍剟呁⡅㈱㈯〰ⰹⰬ唬䑓착_x0018_＀＀_x0018_＀＀_x0008_＀＀_x0001_＀＀_x0001_＀＀＀＀＀＀＀＀䀐貁䶔J千幘䅃偟久当䱐乁䅟呓ㄨ⼲〲㈰ⰬⰬ单⥄址当䕐华佉彎䅖彌十䕓協ㄨ⼲〲㈰ⰬⰬ单⥄_x0018_＀＀_x0018_＀＀_x0008_＀＀_x0001_＀＀_x0001_＀＀＀＀＀＀뀀䂔貁䶔$千幘䅃偟久当呌䱟䅉卂ㄨ⼲〲㌰ⰬⰬ单⥄_x0018_＀＀_x0018_＀＀_x0008_＀＀_x0001_＀＀_x0001_＀＀豀碵꼝쐕貁䶔%千幘南䥟呎剟呁彅夵噁⡇㈱㈯〰ⰴⰬ唬䑓착_x0018_＀＀_x0018_＀＀_x0008_＀＀_x0001_＀＀_x0001_＀＀┱푥䀚ߞ伃_x0016_千幘彐剐䍉Ņㄱ㈯⼵〲ㄱ_x0018_＀＀_x0018_＀＀_x0008_＀＀_x0001_＀＀_x0001_＀＀＀＀＀＀＀＀䀴貁䶔N千幘䅃偟久当乕䕒佃⡇㈱㈯㄰ⰰⰬ唬䑓䀩南偟久䥓乏啟剎䍅卟剅彖佃呓ㄨ⼲〲〱ⰬⰬ单⥄_x0018_＀＀_x0018_＀＀_x0008_＀＀_x0001_＀＀_x0001_＀＀＀＀＀＀＀＀쀢貁䶔G千幘䅃偟协剔呅䍟协⡔㈱㈯〰ⰶⰬ唬䑓䀩南䡟呌䍈剁彅偎彐塅⡐㈱㈯〰ⰶⰬ唬䑓착_x0018_＀＀_x0018_＀＀_x0008_＀＀_x0001_＀＀_x0001_＀＀＀＀＀＀＀＀䀾貁䶔-千幘䅃偟协剔呅啟归剔佟彂䵁剏⡔㈱㈯〰ⰷⰬ唬䑓착_x0018_＀＀_x0018_＀＀_x0008_＀＀_x0001_＀＀_x0001_＀＀＀＀＀＀＀＀＀＀貁䶔Q千幘䅃偟久当䍁啃彍佃偍䥒䍎ㄨ⼲〲㔰ⰬⰬ单⥄址当佃偍归义彃䕐华䱟䅉⡂㈱㈯〰ⰵⰬ唬䑓착_x0018_＀＀_x0018_＀＀_x0008_＀＀_x0001_＀＀_x0001_＀＀＀＀＀＀က䁹貁䶔H千幘䅃偟久当义彔佃呓ㄨ⼲〲㐰ⰬⰬ单⥄址当䕐华佉彎义彔佃呓ㄨ⼲〲㐰ⰬⰬ单⥄_x0018_＀＀_x0018_＀＀_x0008_＀＀_x0001_＀＀_x0001_＀＀＀＀＀＀쀀䁛貁䶔(千幘南䡟呌䍈剁彅乕彆䕂⡎㈱㈯〰ⰸⰬ唬䑓⤩＀＀＀＀貁䶔*千幘南䡟呌䍈剁彅塅彐呌剟䅏ㄨ⼲〲㌰ⰬⰬ单⥄_x0018_＀＀_x0018_＀＀_x0008_＀＀_x0001_＀＀_x0001_＀＀豀碵꼝쐕貁䶔＀Ｏ千幘南䡟呌䍈剁彅䵁剏彔䕓噒䍟协⡔㈱㈯〰ⰴⰬ唬䑓착_x0018_＀＀_x0018_＀＀_x0008_＀＀_x0001_＀＀_x0001_＀＀豀碵꼝쐕貁䶔_x000F_千幘南䍟剕䕒䍎챙_x001C_＀＀_x0018_＀＀_x000C_＀＀_x0001_＀＀_x0008_＀＀⹕⹓䐠汯慬r貁䶔;千幘南偟久䥓乏䅟卓呅当呏⡈㈱㈯〰⤶䍀彁䕐华偟呃佟䡔ㄨ⼲〲㘰착_x0018_＀＀_x0018_＀＀_x0008_＀＀_x0001_＀＀_x0001_＀＀＀＀＀＀＀＀㿰貁䶔$千幘䅃偟久当呌䱟䅉卂ㄨ⼲〲㤰ⰬⰬ单⥄_x0018_＀＀_x0018_＀＀_x0008_＀＀_x0001_＀＀_x0001_＀＀＀＀＀＀_xD800_䂂貁䶔)千幘䅃偟协剔呅佟䡔䑁彊䉎⡁㈱㈯〰ⰸⰬ唬䑓착_x0018_＀＀_x0018_＀＀_x0008_＀＀_x0001_＀＀_x0001_＀＀＀＀＀＀＀＀쀶貁䶔)千幘䅃偟久当䵅彐佃呎䥒彂⡃㈱㈯〰ⰵⰬ唬䑓착_x0018_＀＀_x0018_＀＀_x0008_＀＀_x0001_＀＀_x0001_＀＀＀＀＀＀＀＀䀮貁䶔G千幘䅃偟久当䕎彔佃呓ㄨ⼲〲㔰ⰬⰬ单⥄址当䕐华佉彎偎彐塅⡐㈱㈯〰ⰵⰬ唬䑓착_x0018_＀＀_x0018_＀＀_x0008_＀＀_x0001_＀＀_x0001_＀＀＀＀＀＀＀＀䁇貁䶔C千幘䅃偟久当剐䩏佟䱂ㄨ⼲〲㘰ⰬⰬ单⥄址当䕐华佉彎䉐⡏㈱㈯〰ⰶⰬ唬䑓착_x0018_＀＀_x0018_＀＀_x0008_＀＀_x0001_＀＀_x0001_＀＀＀＀＀＀㘀䂠貁䶔(千幘䅃偟久当䅐呒䍟乏剔䉉ㄨ⼲〲㘰ⰬⰬ单⥄_x0018_＀＀_x0018_＀＀_x0008_＀＀_x0001_＀＀_x0001_＀＀＀＀＀＀＀＀＀＀貁䶔 千幘南䕟䍘彈䅒䕔䉟䱁卟⡈㈱㈯〰⤷_x0018_＀＀_x0018_＀＀_x0008_＀＀_x0001_＀＀_x0001_＀＀豀碵꼝쐕貂䶔%千幘南䥟呎剟呁彅夵噁⡇㈱㈯㄰ⰰⰬ唬䑓착_x0018_＀＀_x0018_＀＀_x0008_＀＀_x0001_＀＀_x0001_＀＀ᆜ_xDDA5_䀙貁䶔'千幘䅃偟久当商䑎卟䅔啔⡓㈱㈯〰ⰵⰬ唬䑓착_x0018_＀＀_x0018_＀＀_x0008_＀＀_x0001_＀＀_x0001_＀＀＀＀＀＀＀＀쁃貁䶔*千幘南䡟呌䍈剁彅塅彐呌剟䅏ㄨ⼲〲㤰ⰬⰬ单⥄_x0018_＀＀_x0018_＀＀_x0008_＀＀_x0001_＀＀_x0001_＀＀豀碵꼝쐕貁䶔C千幘䅃偟久当剐䩏佟䱂ㄨ⼲〲㔰ⰬⰬ单⥄址当䕐华佉彎䉐⡏㈱㈯〰ⰵⰬ唬䑓착_x0018_＀＀_x0018_＀＀_x0008_＀＀_x0001_＀＀_x0001_＀＀＀＀＀＀㰀䂠ۺ仌_x0016_千幘彐剐䍉Ņㄱ㌯⼰〲〱_x0018_＀＀_x0018_＀＀_x0008_＀＀_x0001_＀＀_x0001_＀＀롑䔞䀴貂䶔J千幘䅃偟久当佒彁䅒䕔ㄨ⼲〲〱ⰬⰬ单⥄址当䕐华佉彎塅彐呌剟䅏ㄨ⼲〲〱ⰬⰬ单⥄_x0018_＀＀_x0018_＀＀_x0008_＀＀_x0001_＀＀_x0001_＀＀＀＀＀＀＀＀䀡貁䶔[千幘南剟久䅔彌偏䱟䕓䕟偘ㄨ⼲〲㄰ㄬ⼲〲㄰ⰬⰬ单⥄䍀彁呒剟久彔䥍彎塅⡐㈱㈯〰ⰱ㈱㈯〰ⰱⰬ唬䑓착_x0018_＀＀_x0018_＀＀_x0008_＀＀_x0001_＀＀_x0001_＀＀＀＀＀＀退䂃互_x001F_刣晥敲桳帣南䙟䍙⴨⤱䍀彁奆⡃ㄭ착_x0014_＀＀_x0018_＀＀_x0004_＀＀_x0001_＀＀_x0008_＀＀乀A貁䶔#千幘䅃偟协剔呅䱟䅉⡂㈱㈯〰ⰴⰬ唬䑓착_x0018_＀＀_x0018_＀＀_x0008_＀＀_x0001_＀＀_x0001_＀＀＀＀＀＀쁴貂䶔＀Ｏ千幘南䡟呌䍈剁彅䵁剏彔䕓噒䍟协⡔㈱㈯㄰ⰰⰬ唬䑓착_x0018_＀＀_x0018_＀＀_x0008_＀＀_x0001_＀＀_x0001_＀＀豀碵꼝쐕ۺ仌_x0016_千幘彐剐䍉Ņ㠠㌯⼱〲㈰_x0018_＀＀_x0018_＀＀_x0008_＀＀_x0001_＀＀_x0001_＀＀Ẹ㡑䀗貁䶔E千幘䅃偟协剔呅䉟久佟⡂㈱㈯〰ⰵⰬ唬䑓䀩南䡟呌䍈剁彅䉐⡏㈱㈯〰ⰵⰬ唬䑓착_x0018_＀＀_x0018_＀＀_x0008_＀＀_x0001_＀＀_x0001_＀＀＀＀＀＀쀀䁻ۺ仌_x0016_千幘彐剐䍉Ņ㠠㌯⼱〲㌰_x0018_＀＀_x0018_＀＀_x0008_＀＀_x0001_＀＀_x0001_＀＀롑蔞䀕貁䶔%千幘䅃偟久当啃归䥌䉁⡓㈱㈯〰ⰶⰬ唬䑓착_x0018_＀＀_x0018_＀＀_x0008_＀＀_x0001_＀＀_x0001_＀＀豀碵꼝쐕ۺ仌_x0016_千幘彐剐䍉Ņ㠠㌯⼱〲㐰_x0018_＀＀_x0018_＀＀_x0008_＀＀_x0001_＀＀_x0001_＀＀풌⩻ට䀕貁䶔F千幘䅃偟久当佒彁䍁⡔㈱㈯〰ⰸⰬ唬䑓䀩南偟久䥓乏䅟呃剟䅏ㄨ⼲〲㠰ⰬⰬ单⥄_x0018_＀＀_x0018_＀＀_x0008_＀＀_x0001_＀＀_x0001_＀＀＀＀＀＀ 쁽ۺ仌_x0016_千幘彐剐䍉Ņ㠠㌯⼱〲㔰_x0018_＀＀_x0018_＀＀_x0008_＀＀_x0001_＀＀_x0001_＀＀콊ዴ䥣䀝ۺ仌_x0016_千幘彐剐䍉Ņ㠠㌯⼱〲㘰_x0018_＀＀_x0018_＀＀_x0008_＀＀_x0001_＀＀_x0001_＀＀度ࢷ▌䀤貁䶔;千幘南偟久䥓乏䅟卓呅当剐偏ㄨ⼲〲㤰䀩䅃偟久当䍐彔䕒ㄨ⼲〲㤰착_x0018_＀＀_x0018_＀＀_x0008_＀＀_x0001_＀＀_x0001_＀＀＀＀＀＀＀＀＀＀ۺ仌_x0016_千幘彐剐䍉Ņ㠠㌯⼱〲㜰_x0018_＀＀_x0018_＀＀_x0008_＀＀_x0001_＀＀_x0001_＀＀ꔕ悄啕䀫ۺ仌_x0016_千幘彐剐䍉Ņ㠠㌯⼱〲㠰_x0018_＀＀_x0018_＀＀_x0008_＀＀_x0001_＀＀_x0001_＀＀슏⣵轜䀵貁䶔T千幘䅃偟协剔呅偟䥒剏卟噒ㄨ⼲〲㠰ⰬⰬ单⥄址当䱈䡔䅃䕒啟剎䍅卟剅彖佃呓ㄨ⼲〲㠰ⰬⰬ单⥄_x0018_＀＀_x0018_＀＀_x0008_＀＀_x0001_＀＀_x0001_＀＀＀＀＀＀＀＀䀀貁䶔F千幘䅃偟久当佒彁䍁⡔㈱㈯㄰ⰰⰬ唬䑓䀩南偟久䥓乏䅟呃剟䅏ㄨ⼲〲〱ⰬⰬ单⥄_x0018_＀＀_x0018_＀＀_x0008_＀＀_x0001_＀＀_x0001_＀＀＀＀＀＀䀀䁪ۺ仌_x0016_千幘彐剐䍉Ņ㠠㌯⼱〲㤰_x0018_＀＀_x0018_＀＀_x0008_＀＀_x0001_＀＀_x0001_＀＀ꔕ悄啕䀬貁䶔)千幘南䡟呌䍈剁彅䥄䍓剟呁⡅㈱㈯〰ⰸⰬ唬䑓착_x0018_＀＀_x0018_＀＀_x0008_＀＀_x0001_＀＀_x0001_＀＀＀＀＀＀＀＀䀗貁䶔B千幘䅃偟久当佒⡁㈱㈯〰ⰳⰬ唬䑓䀩南偟久䥓乏䕟偘剟䅏ㄨ⼲〲㌰ⰬⰬ单⥄_x0018_＀＀_x0018_＀＀_x0008_＀＀_x0001_＀＀_x0001_＀＀＀＀＀＀ 쁡貁䶔'千幘南偟久偟协彔䕒彔䕂⡎㈱㈯〰ⰸⰬ唬䑓착_x0018_＀＀_x0018_＀＀_x0008_＀＀_x0001_＀＀_x0001_＀＀＀＀＀＀鐀䂐貁䶔N千幘䅃偟久当乕䕒佃⡇㈱㈯〰ⰹⰬ唬䑓䀩南偟久䥓乏啟剎䍅卟剅彖佃呓ㄨ⼲〲㤰ⰬⰬ单⥄_x0018_＀＀_x0018_＀＀_x0008_＀＀_x0001_＀＀_x0001_＀＀＀＀＀＀＀＀＀＀ۺ仌_x0016_千幘彐剐䍉Ņ㈱㌯⼱〲㈰_x0018_＀＀_x0018_＀＀_x0008_＀＀_x0001_＀＀_x0001_＀＀賞꾚_xDF92_䀒貂䶔#千幘䅃偟协剔呅䱟䅉⡂㈱㈯㄰ⰰⰬ唬䑓착_x0018_＀＀_x0018_＀＀_x0008_＀＀_x0001_＀＀_x0001_＀＀＀＀＀＀쁷貁䶔[千幘南剟久䅔彌偏䱟䕓䕟偘ㄨ⼲〲㠰ㄬ⼲〲㠰ⰬⰬ单⥄䍀彁呒剟久彔䥍彎塅⡐㈱㈯〰ⰸ㈱㈯〰ⰸⰬ唬䑓착_x0018_＀＀_x0018_＀＀_x0008_＀＀_x0001_＀＀_x0001_＀＀＀＀＀＀耀䁺ۺ仌_x0016_千幘彐剐䍉Ņ㈱㌯⼱〲㌰_x0018_＀＀_x0018_＀＀_x0008_＀＀_x0001_＀＀_x0001_＀＀⣶轜䀗ۺ仌_x0016_千幘彐剐䍉Ņ㈱㌯⼱〲㐰_x0018_＀＀_x0018_＀＀_x0008_＀＀_x0001_＀＀_x0001_＀＀Ẹ롑䀚互_x0012_䅒䙞彇剐䍉⡅〴㈸⤶_x0018_＀＀_x0018_＀＀_x0008_＀＀_x0001_＀＀_x0001_＀＀ꏗ㵰圊䀫貁䶔G千幘䅃偟协剔呅䍟协⡔㈱㈯〰ⰵⰬ唬䑓䀩南䡟呌䍈剁彅偎彐塅⡐㈱㈯〰ⰵⰬ唬䑓착_x0018_＀＀_x0018_＀＀_x0008_＀＀_x0001_＀＀_x0001_＀＀＀＀＀＀＀＀䁄貁䶔'千幘南偟久䥓乏也呅䱟䅉⡂㈱㈯〰ⰸⰬ唬䑓착_x0018_＀＀_x0018_＀＀_x0008_＀＀_x0001_＀＀_x0001_＀＀豀碵꼝쐕ۺ仌_x0016_千幘彐剐䍉Ņ㈱㌯⼱〲㔰_x0018_＀＀_x0018_＀＀_x0008_＀＀_x0001_＀＀_x0001_＀＀䣭鷵䀠貁䶔H千幘䅃偟久当义彔佃呓ㄨ⼲〲㌰ⰬⰬ单⥄址当䕐华佉彎义彔佃呓ㄨ⼲〲㌰ⰬⰬ单⥄_x0018_＀＀_x0018_＀＀_x0008_＀＀_x0001_＀＀_x0001_＀＀＀＀＀＀䀀䁜ۺ仌_x0016_千幘彐剐䍉Ņ㈱㌯⼱〲㘰_x0018_＀＀_x0018_＀＀_x0008_＀＀_x0001_＀＀_x0001_＀＀⨴뉰䀦貁䶔,千幘䅃偟协剔呅䕟偍䍟乏剔䉉䍟ㄨ⼲〲㠰ⰬⰬ单⥄_x0018_＀＀_x0018_＀＀_x0008_＀＀_x0001_＀＀_x0001_＀＀＀＀＀＀＀＀䁉貁䶔;千幘南偟久䥓乏䅟卓呅当剐偏ㄨ⼲〲㐰䀩䅃偟久当䍐彔䕒ㄨ⼲〲㐰착_x0018_＀＀_x0018_＀＀_x0008_＀＀_x0001_＀＀_x0001_＀＀＀＀＀＀＀＀＀＀ۺ仌_x0016_千幘彐剐䍉Ņ㈱㌯⼱〲㜰_x0018_＀＀_x0018_＀＀_x0008_＀＀_x0001_＀＀_x0001_＀＀롒蔞凫䀭ۺ仌_x0016_千幘彐剐䍉Ņ㈱㌯⼱〲㠰_x0018_＀＀_x0018_＀＀_x0008_＀＀_x0001_＀＀_x0001_＀＀度ࢷꖌ䀥ۺ仌_x0016_千幘彐剐䍉Ņ㈱㌯⼱〲㤰_x0018_＀＀_x0018_＀＀_x0008_＀＀_x0001_＀＀_x0001_＀＀璨ﺰ⧏䀰貁䶔G千幘䅃偟久当䕎彔佃呓ㄨ⼲〲㠰ⰬⰬ单⥄址当䕐华佉彎偎彐塅⡐㈱㈯〰ⰸⰬ唬䑓착_x0018_＀＀_x0018_＀＀_x0008_＀＀_x0001_＀＀_x0001_＀＀＀＀＀＀耀䁀貁䶔 千幘南䕟䍘彈䅒䕔䉟䱁卟⡈㈱㈯〰⤸_x0018_＀＀_x0018_＀＀_x0008_＀＀_x0001_＀＀_x0001_＀＀豀碵꼝쐕貁䶔(千幘南偟久䥓乏䅟卓呅当呌ㄨ⼲〲㘰ⰬⰬ单⥄_x0018_＀＀_x0018_＀＀_x0008_＀＀_x0001_＀＀_x0001_＀＀豀碵꼝쐕貁䶔;千幘南偟久䥓乏䅟卓呅当充䥕ㄨ⼲〲㔰䀩䅃偟久当䍐彔充ㄨ⼲〲㔰착_x0018_＀＀_x0018_＀＀_x0008_＀＀_x0001_＀＀_x0001_＀＀＀＀＀＀＀＀䁎貁䶔G千幘䅃偟久当䕎彔佃呓ㄨ⼲〲〱ⰬⰬ单⥄址当䕐华佉彎偎彐塅⡐㈱㈯㄰ⰰⰬ唬䑓착_x0018_＀＀_x0018_＀＀_x0008_＀＀_x0001_＀＀_x0001_＀＀＀＀＀＀＀＀䁋貁䶔M千幘䅃偟协剔呅卟噒䍟协⡔㈱㈯〰ⰸⰬ唬䑓䀩南䡟呌䍈剁彅䕓噒䍟协⡔㈱㈯〰ⰸⰬ唬䑓착_x0018_＀＀_x0018_＀＀_x0008_＀＀_x0001_＀＀_x0001_＀＀＀＀＀＀＀＀䀔互_x0013_华幃䝆偟䥒䕃㐨㠰㘲착_x0018_＀＀_x0018_＀＀_x0008_＀＀_x0001_＀＀_x0001_＀＀ᑺ㞮䁐貁䶔+千幘䅃偟协剔呅偟剁彔佃呎䥒⡂㈱㈯〰ⰶⰬ唬䑓착_x0018_＀＀_x0018_＀＀_x0008_＀＀_x0001_＀＀_x0001_＀＀＀＀＀＀＀＀䀰ۺ仌_x0016_千幘彐剐䍉Ņ㠠㌯⼱〲〱_x0018_＀＀_x0018_＀＀_x0008_＀＀_x0001_＀＀_x0001_＀＀竡긔ꅇ䀰貁䶔C千幘䅃偟久当剐䩏佟䱂ㄨ⼲〲㐰ⰬⰬ单⥄址当䕐华佉彎䉐⡏㈱㈯〰ⰴⰬ唬䑓착_x0018_＀＀_x0018_＀＀_x0008_＀＀_x0001_＀＀_x0001_＀＀＀＀＀＀吀䂞ۺ仌_x0016_千幘彐剐䍉Ņ㠠㌯⼱〲ㄱ_x0018_＀＀_x0018_＀＀_x0008_＀＀_x0001_＀＀_x0001_＀＀㵱휊䀵貁䶔J千幘䅃偟久当䱐乁䅟呓ㄨ⼲〲㔰ⰬⰬ单⥄址当䕐华佉彎䅖彌十䕓協ㄨ⼲〲㔰ⰬⰬ单⥄_x0018_＀＀_x0018_＀＀_x0008_＀＀_x0001_＀＀_x0001_＀＀＀＀＀＀＀＀䂘互_x0012_偃䙞彇剐䍉⡅〴㈸⤶_x0018_＀＀_x0018_＀＀_x0008_＀＀_x0001_＀＀_x0001_＀＀＀＀＀＀䀀䁉㢤仕_x0016_千幘彐剐䍉Ņㄱㄯ⼸〲ㄱ_x0018_＀＀_x0018_＀＀_x0008_＀＀_x0001_＀＀_x0001_＀＀炤਽ꏗ䀵貁䶔C千幘䅃偟久当剐䩏佟䱂ㄨ⼲〲㌰ⰬⰬ单⥄址当䕐华佉彎䉐⡏㈱㈯〰ⰳⰬ唬䑓착_x0018_＀＀_x0018_＀＀_x0008_＀＀_x0001_＀＀_x0001_＀＀＀＀＀＀䂝貁䶔'千幘䅃偟协剔呅䉟久偟䥁⡄㈱㈯〰ⰶⰬ唬䑓착_x0018_＀＀_x0018_＀＀_x0008_＀＀_x0001_＀＀_x0001_＀＀＀＀＀＀耀䁋互_x0013_乃幉䝆偟䥒䕃㐨㠰㘲착_x0018_＀＀_x0018_＀＀_x0008_＀＀_x0001_＀＀_x0001_＀＀슏⣵潜䁑貁䶔&lt;千幘南偟久䥓乏䅟卓呅当佂䑎⡓㈱㈯〰⤶䍀彁䕐华偟呃䙟⡉㈱㈯〰⤶_x0018_＀＀_x0018_＀＀_x0008_＀＀_x0001_＀＀_x0001_＀＀＀＀＀＀耀䁃貁䶔$千幘䅃偟久当䕂彎䅐䑉ㄨ⼲〲㜰ⰬⰬ单⥄_x0018_＀＀_x0018_＀＀_x0008_＀＀_x0001_＀＀_x0001_＀＀＀＀＀＀䀀䁢貁䶔P千幘䅃偟协剔呅偟䅌彎十彔久⡄㈱㈯〰ⰷⰬ唬䑓䀩南䡟呌䍈剁彅噆䅟卓呅ㄨ⼲〲㜰ⰬⰬ单⥄_x0018_＀＀_x0018_＀＀_x0008_＀＀_x0001_＀＀_x0001_＀＀＀＀＀＀＀＀＀＀貁䶔$千幘䅃偟久当呌䱟䅉卂ㄨ⼲〲㐰ⰬⰬ单⥄_x0018_＀＀_x0018_＀＀_x0008_＀＀_x0001_＀＀_x0001_＀＀豀碵꼝쐕貁䶔C千幘䅃偟久当剐䩏佟䱂ㄨ⼲〲㈰ⰬⰬ单⥄址当䕐华佉彎䉐⡏㈱㈯〰ⰲⰬ唬䑓착_x0018_＀＀_x0018_＀＀_x0008_＀＀_x0001_＀＀_x0001_＀＀＀＀＀＀㠀䂜貁䶔%千幘南䥟呎剟呁彅夵噁⡇㈱㈯〰ⰵⰬ唬䑓착_x0018_＀＀_x0018_＀＀_x0008_＀＀_x0001_＀＀_x0001_＀＀퉟괘䀙ۺ仌_x0016_千幘彐剐䍉Ņ㈱㌯⼱〲〱_x0018_＀＀_x0018_＀＀_x0008_＀＀_x0001_＀＀_x0001_＀＀뺌㒂襣䀵貁䶔)千幘䅃偟协剔呅佟䡔䑁彊䉎⡁㈱㈯〰ⰳⰬ唬䑓착_x0018_＀＀_x0018_＀＀_x0008_＀＀_x0001_＀＀_x0001_＀＀豀碵꼝쐕貁䶔B千幘䅃偟久当佒⡁㈱㈯〰ⰶⰬ唬䑓䀩南偟久䥓乏䕟偘剟䅏ㄨ⼲〲㘰ⰬⰬ单⥄_x0018_＀＀_x0018_＀＀_x0008_＀＀_x0001_＀＀_x0001_＀＀＀＀＀＀䀀쁝貁䶔J千幘䅃偟久当䥄䍓剟呁⡅㈱㈯〰ⰳⰬ唬䑓䀩南偟久䥓乏䑟卉彃䅒䕔ㄨ⼲〲㌰ⰬⰬ单⥄_x0018_＀＀_x0018_＀＀_x0008_＀＀_x0001_＀＀_x0001_＀＀＀＀＀＀＀＀䀘貁䶔_x001E_千幘䅃偟久当佃偍剟呁⡅㈱㈯㄰⤰_x0018_＀＀_x0018_＀＀_x0008_＀＀_x0001_＀＀_x0001_＀＀＀＀＀＀＀＀䀐貁䶔M千幘䅃偟久当剐佉归剓⡖㈱㈯〰ⰸⰬ唬䑓䀩南偟久䥓乏偟归䕓噒䍟协⡔㈱㈯〰ⰸⰬ唬䑓착_x0018_＀＀_x0018_＀＀_x0008_＀＀_x0001_＀＀_x0001_＀＀＀＀＀＀＀＀䀈貁䶔-千幘䅃偟协剔呅啟归剔佟彂䵁剏⡔㈱㈯〰ⰸⰬ唬䑓착_x0018_＀＀_x0018_＀＀_x0008_＀＀_x0001_＀＀_x0001_＀＀＀＀＀＀＀＀＀＀伊_x0018_刣晥敲桳帣南䥟体䍟䑏⡅⤰_x0014_＀＀_x0018_＀＀_x0004_＀＀_x0001_＀＀_x0008_＀＀乀A貁䶔*千幘南䡟呌䍈剁彅塅彐呌剟䅏ㄨ⼲〲㐰ⰬⰬ单⥄_x0018_＀＀_x0018_＀＀_x0008_＀＀_x0001_＀＀_x0001_＀＀豀碵꼝쐕貁䶔 千幘南䕟䍘彈䅒䕔ㄨ⼲〲㌰ⰬⰬ单⥄_x0018_＀＀_x0018_＀＀_x0008_＀＀_x0001_＀＀_x0001_＀＀＀＀＀＀＀＀㿰貁䶔M千幘䅃偟久当剐佉归剓⡖㈱㈯〰ⰹⰬ唬䑓䀩南偟久䥓乏偟归䕓噒䍟协⡔㈱㈯〰ⰹⰬ唬䑓착_x0018_＀＀_x0018_＀＀_x0008_＀＀_x0001_＀＀_x0001_＀＀＀＀＀＀＀＀䀀貁䶔L千幘䅃偟协剔呅䥟呎䍟协⡔㈱㈯〰ⰹⰬ唬䑓䀩南䡟呌䍈剁彅义彔佃呓ㄨ⼲〲㤰ⰬⰬ单⥄_x0018_＀＀_x0018_＀＀_x0008_＀＀_x0001_＀＀_x0001_＀＀＀＀＀＀＀＀䀹貁䶔 千幘南䕟䍘彈䅒䕔䉟䱁卟⡈㈱㈯〰⤹_x0018_＀＀_x0018_＀＀_x0008_＀＀_x0001_＀＀_x0001_＀＀豀碵꼝쐕貁䶔)千幘䅃偟协剔呅佟䡔䑁彊䉎⡁㈱㈯〰ⰹⰬ唬䑓착_x0018_＀＀_x0018_＀＀_x0008_＀＀_x0001_＀＀_x0001_＀＀＀＀＀＀耀䁂貁䶔J千幘䅃偟久当佒彁䅒䕔ㄨ⼲〲㌰ⰬⰬ单⥄址当䕐华佉彎塅彐呌剟䅏ㄨ⼲〲㌰ⰬⰬ单⥄_x0018_＀＀_x0018_＀＀_x0008_＀＀_x0001_＀＀_x0001_＀＀쳍쳌쳌䀡貁䶔I千幘䅃偟久当剓彖佃呓ㄨ⼲〲㤰ⰬⰬ单⥄址当䕐华佉彎䕓噒䍟协⡔㈱㈯〰ⰹⰬ唬䑓착_x0018_＀＀_x0018_＀＀_x0008_＀＀_x0001_＀＀_x0001_＀＀＀＀＀＀＀＀䁀貁䶔%千幘䅃偟久当呌䅟卓呅⡓㈱㈯〰ⰵⰬ唬䑓착_x0018_＀＀_x0018_＀＀_x0008_＀＀_x0001_＀＀_x0001_＀＀豀碵꼝쐕貁䶔(千幘南䡟呌䍈剁彅乕彆䕂⡎㈱㈯〰ⰴⰬ唬䑓⤩＀＀＀＀貁䶔(千幘䅃偟久当䅐呒䍟乏剔䉉ㄨ⼲〲㜰ⰬⰬ单⥄_x0018_＀＀_x0018_＀＀_x0008_＀＀_x0001_＀＀_x0001_＀＀＀＀＀＀＀＀＀＀貁䶔$千幘䅃偟久当呌䱟䅉卂ㄨ⼲〲〱ⰬⰬ单⥄_x0018_＀＀_x0018_＀＀_x0008_＀＀_x0001_＀＀_x0001_＀＀＀＀＀＀砀䂃ۺ仌_x0016_千幘彐剐䍉Ņ㌠㌯⼱〲㈰_x0018_＀＀_x0018_＀＀_x0008_＀＀_x0001_＀＀_x0001_＀＀呩擠栛䀙ۺ仌_x0016_千幘彐剐䍉Ņ㌠㌯⼱〲㌰_x0018_＀＀_x0018_＀＀_x0008_＀＀_x0001_＀＀_x0001_＀＀_xDC05_ﳳͩ䀓互_x0013_均幒䝆偟䥒䕃㐨㠰㘲착_x0018_＀＀_x0018_＀＀_x0008_＀＀_x0001_＀＀_x0001_＀＀਽ꏗᵰ䁉貁䶔'千幘䅃偟久当商䑎卟䅔啔⡓㈱㈯〰ⰶⰬ唬䑓착_x0018_＀＀_x0018_＀＀_x0008_＀＀_x0001_＀＀_x0001_＀＀＀＀＀＀삀貁䶔J千幘䅃偟久当䱐乁䅟呓ㄨ⼲〲㠰ⰬⰬ单⥄址当䕐华佉彎䅖彌十䕓協ㄨ⼲〲㠰ⰬⰬ单⥄_x0018_＀＀_x0018_＀＀_x0008_＀＀_x0001_＀＀_x0001_＀＀＀＀＀＀ꀀ䂔ۺ仌_x0016_千幘彐剐䍉Ņ㌠㌯⼱〲㐰_x0018_＀＀_x0018_＀＀_x0008_＀＀_x0001_＀＀_x0001_＀＀⎳矕ㅾ䀔</t>
        </r>
      </text>
    </comment>
    <comment ref="B1" authorId="0">
      <text>
        <r>
          <rPr>
            <b/>
            <sz val="8"/>
            <color indexed="81"/>
            <rFont val="Tahoma"/>
            <family val="2"/>
          </rPr>
          <t>32131</t>
        </r>
      </text>
    </comment>
    <comment ref="A2" authorId="0">
      <text>
        <r>
          <rPr>
            <b/>
            <sz val="8"/>
            <color indexed="81"/>
            <rFont val="Tahoma"/>
            <family val="2"/>
          </rPr>
          <t>㌨㘸㔲착_x0018_＀＀_x0018_＀＀_x0008_＀＀_x0001_＀＀_x0001_＀＀豀碵꼝쐕폹䭯_x0012_千幘彐剐䍉⡅㜳㠶⤰_x0018_＀＀_x0018_＀＀_x0008_＀＀_x0001_＀＀_x0001_＀＀轜_xDC28_䀪퐍䭯＀Ｏ千幘南䱟䅅䕓䍟䵏䥍彔剙⠲㈱㈯〰ⰱ㈱㈯〰ⰱⰬ唬䑓착_x0018_＀＀_x0018_＀＀_x0008_＀＀_x0001_＀＀_x0001_＀＀＀＀＀＀耀䁥퐍䭯(千幘南偟久䥓乏䅟卓呅当呌ㄨ⼲〲㠰ⰬⰬ单⥄_x0018_＀＀_x0018_＀＀_x0008_＀＀_x0001_＀＀_x0001_＀＀豀碵꼝쐕퐌䭯F千幘䅃偟协剔呅剟䅏ㄨ⼲〲㤰ⰬⰬ单⥄址当䱈䡔䅃䕒䕟偘剟䅏ㄨ⼲〲㤰ⰬⰬ单⥄_x0018_＀＀_x0018_＀＀_x0008_＀＀_x0001_＀＀_x0001_＀＀豀碵꼝쐕퐁䭯_x001C_千幘捩彡敭湡獟獬㈨〰ⰸ㤳㘵⤸_x0018_＀＀_x0018_＀＀_x0008_＀＀_x0001_＀＀_x0001_＀＀豀碵꼝쐕폾䭯_x001B_千幘南彆呐彘义⡃呌卍㌬㘷〸착_x0018_＀＀_x0018_＀＀_x0008_＀＀_x0001_＀＀_x0001_＀＀＀＀＀＀렀䂇폽䭯_x0019_千幘南彆䅓䕌⡓呌卍㌬㠹㌱착_x0018_＀＀_x0018_＀＀_x0008_＀＀_x0001_＀＀_x0001_＀＀＀＀＀＀ﮀ䃅폻䭯_x001C_千幘南彆䡓䑌卒䕟⡑呑ⱒ㠳㐴⤲_x0018_＀＀_x0018_＀＀_x0008_＀＀_x0001_＀＀_x0001_＀＀＀＀＀＀䀀䂽폻䭯_x001C_千幘南彆䡓䑌卒䕟⡑呑ⱒ㜳㔶⤲_x0018_＀＀_x0018_＀＀_x0008_＀＀_x0001_＀＀_x0001_＀＀＀＀＀＀愀䂸퐍䭯;千幘南偟久䥓乏䅟卓呅当剐偏ㄨ⼲〲㘰䀩䅃偟久当䍐彔䕒ㄨ⼲〲㘰착_x0018_＀＀_x0018_＀＀_x0008_＀＀_x0001_＀＀_x0001_＀＀豀碵꼝쐕퐂䭯_x001C_千幘捩彡敭湡偟䥔㈨〰ⰷ㠳〸⤷_x0018_＀＀_x0018_＀＀_x0008_＀＀_x0001_＀＀_x0001_＀＀豀碵꼝쐕퐁䭯_x001C_千幘捩彡敭湡獟獬㈨〰ⰸ㤳ㄸ⤳_x0018_＀＀_x0018_＀＀_x0008_＀＀_x0001_＀＀_x0001_＀＀豀碵꼝쐕퐁䭯_x001E_千幘捩彡敭湡䕟䥂䑔㈨〰ⰶ㠳㜴⤲_x0018_＀＀_x0018_＀＀_x0008_＀＀_x0001_＀＀_x0001_＀＀豀碵꼝쐕퐁䭯_x001E_千幘捩彡敭湡䕟䥂䑔㈨〰ⰵ㠳〱⤷_x0018_＀＀_x0018_＀＀_x0008_＀＀_x0001_＀＀_x0001_＀＀豀碵꼝쐕폾䭯_x001B_千幘南彆偅当䥄⡌呌卍㌬㜶㜰착_x0018_＀＀_x0018_＀＀_x0008_＀＀_x0001_＀＀_x0001_＀＀䶔승岻뿀폽䭯_x001E_千幘南彆䉅呉䅄䵟乇䰨䵔ⱓ㠳㠶⤶_x0018_＀＀_x0018_＀＀_x0008_＀＀_x0001_＀＀_x0001_＀＀뮋䚛鼌䀹폻䭯_x001C_千幘南彆䡓䑌卒䕟⡑呑ⱒ㤳㠰⤲_x0018_＀＀_x0018_＀＀_x0008_＀＀_x0001_＀＀_x0001_＀＀＀＀＀＀眀䃁폺䭯_x001A_千幘南彆䕄呂卟⡔呑ⱒ㜳㜳⤶_x0018_＀＀_x0018_＀＀_x0008_＀＀_x0001_＀＀_x0001_＀＀＀＀＀＀쀀䂍폹䭯_x0011_千幘浣獟獨㌨㜷㈷착_x0018_＀＀_x0018_＀＀_x0008_＀＀_x0001_＀＀_x0001_＀＀豀碵꼝쐕퐍䭯＀Ｏ千幘南䱟䅅䕓䍟䵏䥍彔剙⠲㈱㈯〰ⰲ㈱㈯〰ⰲⰬ唬䑓착_x0018_＀＀_x0018_＀＀_x0008_＀＀_x0001_＀＀_x0001_＀＀＀＀＀＀က䁰퐍䭯Q千幘䅃偟久当䍁啃彍佃偍䥒䍎ㄨ⼲〲㘰ⰬⰬ单⥄址当佃偍归义彃䕐华䱟䅉⡂㈱㈯〰ⰶⰬ唬䑓착_x0018_＀＀_x0018_＀＀_x0008_＀＀_x0001_＀＀_x0001_＀＀＀＀＀＀耀쁸퐃䭯_x001C_千幘捩彡敭湡䕟卐㈨〰ⰴ㜳ㄷ⤱_x0018_＀＀_x0018_＀＀_x0008_＀＀_x0001_＀＀_x0001_＀＀豀碵꼝쐕퐂䭯_x001C_千幘捩彡敭湡偟䥔㈨〰ⰷ㤳㐴⤷_x0018_＀＀_x0018_＀＀_x0008_＀＀_x0001_＀＀_x0001_＀＀豀碵꼝쐕퐀䭯_x001B_千幘南彆䕎彔义⡃呌卍㌬㈹㈰착_x0018_＀＀_x0018_＀＀_x0008_＀＀_x0001_＀＀_x0001_＀＀＀＀＀＀搀䂔폽䭯_x0018_千幘南彆䉅呉䰨䵔ⱓ㘳ㄲ⤹_x0018_＀＀_x0018_＀＀_x0008_＀＀_x0001_＀＀_x0001_＀＀＀＀＀＀栀䂛폽䭯_x001E_千幘南彆䉅呉䅄䵟乇䰨䵔ⱓ㤳㈷⤱_x0018_＀＀_x0018_＀＀_x0008_＀＀_x0001_＀＀_x0001_＀＀ꎭ簓뉐䁀폽䭯_x0019_千幘南彆䅓䕌⡓呌卍㌬㤸〶착_x0018_＀＀_x0018_＀＀_x0008_＀＀_x0001_＀＀_x0001_＀＀＀＀＀＀쐀䃁폼䭯_x0019_千幘南彆十䕓協儨剔㌬㤹㐹착_x0018_＀＀_x0018_＀＀_x0008_＀＀_x0001_＀＀_x0001_＀＀＀＀＀＀ᯀ䃚폺䭯_x001A_千幘南彆䕄呂卟⡔呑ⱒ㠳ㄴ⤱_x0018_＀＀_x0018_＀＀_x0008_＀＀_x0001_＀＀_x0001_＀＀＀＀＀＀䂐폺䭯_x001A_千幘南彆䕄呂卟⡔呑ⱒ㜳㈶⤱_x0018_＀＀_x0018_＀＀_x0008_＀＀_x0001_＀＀_x0001_＀＀＀＀＀＀뀀䂀퐁䭯_x001D_千幘捩彡敭湡䕟䥂⡔〲㘰㌬㔸㌰착_x0018_＀＀_x0018_＀＀_x0008_＀＀_x0001_＀＀_x0001_＀＀豀碵꼝쐕폻䭯_x001A_千幘南彆䕄呂卟⡔呑ⱒ㤳㔰⤱_x0018_＀＀_x0018_＀＀_x0008_＀＀_x0001_＀＀_x0001_＀＀＀＀＀＀렀䂐폻䭯_x001A_千幘南彆䅃䡓卟⡔呑ⱒ㠳㤹⤰_x0018_＀＀_x0018_＀＀_x0008_＀＀_x0001_＀＀_x0001_＀＀＀＀＀＀ꀀ䂄퐍䭯＀Ｏ千幘南䱟䅅䕓䍟䵏䥍彔剙⠲㈱㈯〰ⰳ㈱㈯〰ⰳⰬ唬䑓착_x0018_＀＀_x0018_＀＀_x0008_＀＀_x0001_＀＀_x0001_＀＀＀＀＀＀쀀䁧폾䭯_x001B_千幘南彆偅当䥄⡌呌卍㌬㐶㐹착_x0018_＀＀_x0018_＀＀_x0008_＀＀_x0001_＀＀_x0001_＀＀땴ﬕ㿛폺䭯_x001A_千幘南彆䕄呂䱟⡔呑ⱒ㠳㈶⤵_x0018_＀＀_x0018_＀＀_x0008_＀＀_x0001_＀＀_x0001_＀＀＀＀＀＀숀䂳퐁䭯_x001E_千幘捩彡敭湡䕟䥂䑔㈨㄰ⰰ㤳㘹⤴_x0018_＀＀_x0018_＀＀_x0008_＀＀_x0001_＀＀_x0001_＀＀豀碵꼝쐕퐀䭯_x001E_千幘捩彡敭湡䕟䥂䑔㈨〰ⰳ㜳㘵⤰_x0018_＀＀_x0018_＀＀_x0008_＀＀_x0001_＀＀_x0001_＀＀豀碵꼝쐕폼䭯_x0019_千幘南彆十䕓協儨剔㌬㜶㜰착_x0018_＀＀_x0018_＀＀_x0008_＀＀_x0001_＀＀_x0001_＀＀＀＀＀＀䃓폹䭯_x0012_千幘彐剐䍉⡅㠳㌱⤸_x0018_＀＀_x0018_＀＀_x0008_＀＀_x0001_＀＀_x0001_＀＀馚香香䀯퐍䭯＀Ｏ千幘南䱟䅅䕓䍟䵏䥍彔剙⠲㈱㈯〰ⰴ㈱㈯〰ⰴⰬ唬䑓착_x0018_＀＀_x0018_＀＀_x0008_＀＀_x0001_＀＀_x0001_＀＀＀＀＀＀耀䁢퐌䭯+千幘䅃偟协剔呅偟剁彔佃呎䥒⡂㈱㈯〰ⰸⰬ唬䑓착_x0018_＀＀_x0018_＀＀_x0008_＀＀_x0001_＀＀_x0001_＀＀豀碵꼝쐕퐂䭯_x001C_千幘捩彡敭湡偟䥔㈨〰ⰹ㤳㤹⤴_x0018_＀＀_x0018_＀＀_x0008_＀＀_x0001_＀＀_x0001_＀＀豀碵꼝쐕퐁䭯_x001C_千幘捩彡敭湡獟獬㈨㄰ⰰ〴㠰⤶_x0018_＀＀_x0018_＀＀_x0008_＀＀_x0001_＀＀_x0001_＀＀豀碵꼝쐕퐀䭯_x001B_千幘南彆偅当䥄⡌呌卍㌬㔹㤹착_x0018_＀＀_x0018_＀＀_x0008_＀＀_x0001_＀＀_x0001_＀＀ӕ적䀉폾䭯_x001B_千幘南彆呐彘义⡃呌卍㌬ㄸ㠳착_x0018_＀＀_x0018_＀＀_x0008_＀＀_x0001_＀＀_x0001_＀＀＀＀＀＀뀀䁱폼䭯_x0019_千幘南彆䅓䕌⡓呌卍㌬ㄷ㌰착_x0018_＀＀_x0018_＀＀_x0008_＀＀_x0001_＀＀_x0001_＀＀＀＀＀＀䂿폺䭯_x001A_千幘南彆䕄呂䱟⡔呑ⱒ㜳㜷⤲_x0018_＀＀_x0018_＀＀_x0008_＀＀_x0001_＀＀_x0001_＀＀＀＀＀＀缀䂹퐂䭯_x001C_千幘捩彡敭湡偟䥔㈨〰ⰶ㠳ㄴ⤱_x0018_＀＀_x0018_＀＀_x0008_＀＀_x0001_＀＀_x0001_＀＀豀碵꼝쐕퐀䭯_x001B_千幘南彆偅当䥄⡌呌卍㌬㠹㐴착_x0018_＀＀_x0018_＀＀_x0008_＀＀_x0001_＀＀_x0001_＀＀愨饟䀋폻䭯_x001C_千幘南彆䡓䑌卒䕟⡑呑ⱒ㜳〴⤷_x0018_＀＀_x0018_＀＀_x0008_＀＀_x0001_＀＀_x0001_＀＀＀＀＀＀＀＀䂸퐍䭯＀Ｏ千幘南䱟䅅䕓䍟䵏䥍彔剙⠲㈱㈯〰ⰵ㈱㈯〰ⰵⰬ唬䑓착_x0018_＀＀_x0018_＀＀_x0008_＀＀_x0001_＀＀_x0001_＀＀＀＀＀＀ꀀ䁤퐍䭯N千幘䅃偟久当乕䕒佃⡇㈱㈯〰ⰵⰬ唬䑓䀩南偟久䥓乏啟剎䍅卟剅彖佃呓ㄨ⼲〲㔰ⰬⰬ单⥄_x0018_＀＀_x0018_＀＀_x0008_＀＀_x0001_＀＀_x0001_＀＀＀＀＀＀＀＀쀬퐍䭯$千幘䅃偟久当䕂彎䅐䑉ㄨ⼲〲㌰ⰬⰬ单⥄_x0018_＀＀_x0018_＀＀_x0008_＀＀_x0001_＀＀_x0001_＀＀豀碵꼝쐕퐃䭯_x001C_千幘捩彡敭湡䕟卐㈨〰ⰷ㤳ㄱ⤳_x0018_＀＀_x0018_＀＀_x0008_＀＀_x0001_＀＀_x0001_＀＀豀碵꼝쐕퐃䭯_x001C_千幘捩彡敭湡䕟卐㈨〰ⰳ㜳㔹⤵_x0018_＀＀_x0018_＀＀_x0008_＀＀_x0001_＀＀_x0001_＀＀豀碵꼝쐕퐂䭯_x001C_千幘捩彡敭湡偟䥔㈨〰ⰶ㤳㔰⤱_x0018_＀＀_x0018_＀＀_x0008_＀＀_x0001_＀＀_x0001_＀＀豀碵꼝쐕퐁䭯_x001C_千幘捩彡敭湡獟獬㈨〰ⰹ㤳㌹⤳_x0018_＀＀_x0018_＀＀_x0008_＀＀_x0001_＀＀_x0001_＀＀豀碵꼝쐕폼䭯_x001E_千幘南彆䉅呉䅄䵟乇䰨䵔ⱓ㜳㄰⤱_x0018_＀＀_x0018_＀＀_x0008_＀＀_x0001_＀＀_x0001_＀＀灊芃뉘䀱폼䭯_x0019_千幘南彆䅓䕌⡓呌卍㌬㈶〵착_x0018_＀＀_x0018_＀＀_x0008_＀＀_x0001_＀＀_x0001_＀＀＀＀＀＀윀䃃폼䭯_x0019_千幘南彆十䕓協儨剔㌬㐶㐹착_x0018_＀＀_x0018_＀＀_x0008_＀＀_x0001_＀＀_x0001_＀＀＀＀＀＀謀䃔퐌䭯J千幘䅃偟久当佒彁䅒䕔ㄨ⼲〲㈰ⰬⰬ单⥄址当䕐华佉彎塅彐呌剟䅏ㄨ⼲〲㈰ⰬⰬ单⥄_x0018_＀＀_x0018_＀＀_x0008_＀＀_x0001_＀＀_x0001_＀＀＀＀＀＀＀＀䀣퐌䭯(千幘南䡟呌䍈剁彅乕彆䕂⡎㈱㈯〰ⰳⰬ唬䑓⤩＀＀＀＀퐌䭯L千幘䅃偟协剔呅䥟呎䍟协⡔㈱㈯〰ⰷⰬ唬䑓䀩南䡟呌䍈剁彅义彔佃呓ㄨ⼲〲㜰ⰬⰬ单⥄_x0018_＀＀_x0018_＀＀_x0008_＀＀_x0001_＀＀_x0001_＀＀＀＀＀＀＀＀䀵퐃䭯_x001C_千幘捩彡敭湡䕟卐㈨〰ⰹ㤳㈶⤹_x0018_＀＀_x0018_＀＀_x0008_＀＀_x0001_＀＀_x0001_＀＀豀碵꼝쐕퐁䭯_x001D_千幘捩彡敭湡䕟䥂⡔〲㠰㌬㘹ㄹ착_x0018_＀＀_x0018_＀＀_x0008_＀＀_x0001_＀＀_x0001_＀＀豀碵꼝쐕폽䭯_x0019_千幘南彆䅓䕌⡓呌卍㌬㤷㔲착_x0018_＀＀_x0018_＀＀_x0008_＀＀_x0001_＀＀_x0001_＀＀＀＀＀＀_xDC00_䂾폺䭯_x001A_千幘南彆䅃䡓卟⡔呑ⱒ㘳㠲⤰_x0018_＀＀_x0018_＀＀_x0008_＀＀_x0001_＀＀_x0001_＀＀＀＀＀＀　䂁퐍䭯＀Ｏ千幘南䱟䅅䕓䍟䵏䥍彔剙⠲㈱㈯〰ⰶ㈱㈯〰ⰶⰬ唬䑓착_x0018_＀＀_x0018_＀＀_x0008_＀＀_x0001_＀＀_x0001_＀＀＀＀＀＀쀀䁥퐍䭯%千幘南䥟呎剟呁彅夵噁⡇㈱㈯〰ⰱⰬ唬䑓착_x0018_＀＀_x0018_＀＀_x0008_＀＀_x0001_＀＀_x0001_＀＀歑瞚슜䀝퐀䭯_x001B_千幘南彆䕎彔义⡃呌卍㌬〸㜱착_x0018_＀＀_x0018_＀＀_x0008_＀＀_x0001_＀＀_x0001_＀＀＀＀＀＀ꀀ䁧폽䭯_x0019_千幘南彆䅓䕌⡓呌卍㌬㌹㔵착_x0018_＀＀_x0018_＀＀_x0008_＀＀_x0001_＀＀_x0001_＀＀＀＀＀＀㲀䃃폼䭯_x0019_千幘南彆十䕓協儨剔㌬㔹㤹착_x0018_＀＀_x0018_＀＀_x0008_＀＀_x0001_＀＀_x0001_＀＀＀＀＀＀ी䃚폺䭯_x001A_千幘南彆䅃䡓卟⡔呑ⱒ㜳㔹⤵_x0018_＀＀_x0018_＀＀_x0008_＀＀_x0001_＀＀_x0001_＀＀＀＀＀＀＀＀䂇폹䭯_x0011_千幘浣獟獨㌨㈹㈰착_x0018_＀＀_x0018_＀＀_x0008_＀＀_x0001_＀＀_x0001_＀＀豀碵꼝쐕퐂䭯_x001C_千幘捩彡敭湡偟䥔㈨㄰ⰰ㤳〹⤳_x0018_＀＀_x0018_＀＀_x0008_＀＀_x0001_＀＀_x0001_＀＀豀碵꼝쐕퐁䭯_x001D_千幘捩彡敭湡䕟䥂⡔〲㜰㌬㈹㌶착_x0018_＀＀_x0018_＀＀_x0008_＀＀_x0001_＀＀_x0001_＀＀豀碵꼝쐕퐁䭯_x001C_千幘捩彡敭湡獟獬㈨〰ⰸ㤳㔳⤵_x0018_＀＀_x0018_＀＀_x0008_＀＀_x0001_＀＀_x0001_＀＀豀碵꼝쐕폽䭯_x001E_千幘南彆䉅呉䅄䵟乇䰨䵔ⱓ㜳㌸⤳_x0018_＀＀_x0018_＀＀_x0008_＀＀_x0001_＀＀_x0001_＀＀͝㝦ᾅ䀶폼䭯_x0019_千幘南彆十䕓協儨剔㌬㠹㐴착_x0018_＀＀_x0018_＀＀_x0008_＀＀_x0001_＀＀_x0001_＀＀＀＀＀＀가䃙폺䭯_x001A_千幘南彆䅃䡓卟⡔呑ⱒ㠳㤵⤵_x0018_＀＀_x0018_＀＀_x0008_＀＀_x0001_＀＀_x0001_＀＀＀＀＀＀ࠀ䂀퐍䭯＀Ｏ千幘南䱟䅅䕓䍟䵏䥍彔剙⠲㈱㈯〰ⰷ㈱㈯〰ⰷⰬ唬䑓착_x0018_＀＀_x0018_＀＀_x0008_＀＀_x0001_＀＀_x0001_＀＀＀＀＀＀耀䁡퐌䭯I千幘䅃偟久当剓彖佃呓ㄨ⼲〲㜰ⰬⰬ单⥄址当䕐华佉彎䕓噒䍟协⡔㈱㈯〰ⰷⰬ唬䑓착_x0018_＀＀_x0018_＀＀_x0008_＀＀_x0001_＀＀_x0001_＀＀＀＀＀＀耀䁀퐃䭯_x001C_千幘捩彡敭湡䕟卐㈨㄰ⰱ〴〲⤹_x0018_＀＀_x0018_＀＀_x0008_＀＀_x0001_＀＀_x0001_＀＀豀碵꼝쐕퐂䭯_x001C_千幘捩彡敭湡偟䥔㈨㄰ⰰ〴㐱⤷_x0018_＀＀_x0018_＀＀_x0008_＀＀_x0001_＀＀_x0001_＀＀豀碵꼝쐕퐁䭯_x001E_千幘捩彡敭湡䕟䥂䑔㈨〰ⰸ㤳㜴⤸_x0018_＀＀_x0018_＀＀_x0008_＀＀_x0001_＀＀_x0001_＀＀豀碵꼝쐕퐀䭯_x001E_千幘捩彡敭湡䕟䥂䑔㈨〰ⰴ㜳㠶⤰_x0018_＀＀_x0018_＀＀_x0008_＀＀_x0001_＀＀_x0001_＀＀豀碵꼝쐕폿䭯_x001B_千幘南彆䕎彔义⡃呌卍㌬ㄷ㐶착_x0018_＀＀_x0018_＀＀_x0008_＀＀_x0001_＀＀_x0001_＀＀＀＀＀＀쀀䁰폽䭯_x001E_千幘南彆䉅呉䅄䵟乇䰨䵔ⱓ㤳㘲⤳_x0018_＀＀_x0018_＀＀_x0008_＀＀_x0001_＀＀_x0001_＀＀◍퓵醖䀿폹䭯_x0012_千幘彐剐䍉⡅㤳㠷⤲_x0018_＀＀_x0018_＀＀_x0008_＀＀_x0001_＀＀_x0001_＀＀蔟凫麸䁂퐃䭯_x001C_千幘捩彡敭湡䕟卐㈨〰ⰶ㠳ㄷ⤷_x0018_＀＀_x0018_＀＀_x0008_＀＀_x0001_＀＀_x0001_＀＀豀碵꼝쐕퐀䭯_x001B_千幘南彆䕎彔义⡃呌卍㌬㘹㤲착_x0018_＀＀_x0018_＀＀_x0008_＀＀_x0001_＀＀_x0001_＀＀＀＀＀＀_xD800_䂕폿䭯_x001B_千幘南彆偅当䥄⡌呌卍㌬ㄷ㐳착_x0018_＀＀_x0018_＀＀_x0008_＀＀_x0001_＀＀_x0001_＀＀쨙皉刕㿡폾䭯_x001B_千幘南彆呐彘义⡃呌卍㌬㜹㈸착_x0018_＀＀_x0018_＀＀_x0008_＀＀_x0001_＀＀_x0001_＀＀＀＀＀＀㠀䂢퐍䭯＀Ｏ千幘南䱟䅅䕓䍟䵏䥍彔剙⠲㈱㈯〰ⰸ㈱㈯〰ⰸⰬ唬䑓착_x0018_＀＀_x0018_＀＀_x0008_＀＀_x0001_＀＀_x0001_＀＀＀＀＀＀耀䁚퐂䭯_x001C_千幘捩彡敭湡偟䥔㈨〰ⰹ㤳㤵⤹_x0018_＀＀_x0018_＀＀_x0008_＀＀_x0001_＀＀_x0001_＀＀豀碵꼝쐕폻䭯_x001A_千幘南彆䕄呂卟⡔呑ⱒ㤳㜴⤸_x0018_＀＀_x0018_＀＀_x0008_＀＀_x0001_＀＀_x0001_＀＀＀＀＀＀頀䂈폹䭯_x001D_千幘捩彡敭湡䕟䥂⡔〲㐰㌬㜷ㄱ착_x0018_＀＀_x0018_＀＀_x0008_＀＀_x0001_＀＀_x0001_＀＀豀碵꼝쐕퐍䭯J千幘䅃偟久当䱐乁䅟呓ㄨ⼲〲㜰ⰬⰬ单⥄址当䕐华佉彎䅖彌十䕓協ㄨ⼲〲㜰ⰬⰬ单⥄_x0018_＀＀_x0018_＀＀_x0008_＀＀_x0001_＀＀_x0001_＀＀＀＀＀＀ᰀ䂙퐃䭯_x001C_千幘捩彡敭湡䕟卐㈨〰ⰸ㤳㌲⤳_x0018_＀＀_x0018_＀＀_x0008_＀＀_x0001_＀＀_x0001_＀＀豀碵꼝쐕퐂䭯_x001C_千幘捩彡敭湡偟䥔㈨〰ⰹ㤳㐸⤴_x0018_＀＀_x0018_＀＀_x0008_＀＀_x0001_＀＀_x0001_＀＀豀碵꼝쐕퐁䭯_x001E_千幘捩彡敭湡䕟䥂䑔㈨〰ⰸ㤳㘶⤰_x0018_＀＀_x0018_＀＀_x0008_＀＀_x0001_＀＀_x0001_＀＀豀碵꼝쐕퐁䭯_x001C_千幘捩彡敭湡獟獬㈨〰ⰵ㠳㤱⤹_x0018_＀＀_x0018_＀＀_x0008_＀＀_x0001_＀＀_x0001_＀＀豀碵꼝쐕퐀䭯_x001B_千幘南彆䕎彔义⡃呌卍㌬㜸㘷착_x0018_＀＀_x0018_＀＀_x0008_＀＀_x0001_＀＀_x0001_＀＀＀＀＀＀耀䂆퐀䭯_x001B_千幘南彆䕎彔义⡃呌卍㌬㤷㘸착_x0018_＀＀_x0018_＀＀_x0008_＀＀_x0001_＀＀_x0001_＀＀＀＀＀＀ꀀ䁧폼䭯_x001C_千幘南彆䡓䑌卒䕟⡑呑ⱒ㤳㤶⤱_x0018_＀＀_x0018_＀＀_x0008_＀＀_x0001_＀＀_x0001_＀＀＀＀＀＀뢀䃁폻䭯_x001A_千幘南彆䕄呂卟⡔呑ⱒ〴ㄱ⤷_x0018_＀＀_x0018_＀＀_x0008_＀＀_x0001_＀＀_x0001_＀＀＀＀＀＀쀀䁳폻䭯_x001A_千幘南彆䕄呂䱟⡔呑ⱒ㤳〲⤲_x0018_＀＀_x0018_＀＀_x0008_＀＀_x0001_＀＀_x0001_＀＀＀＀＀＀㸀䂴퐍䭯;千幘南偟久䥓乏䅟卓呅当呏⡈㈱㈯〰⤲䍀彁䕐华偟呃佟䡔ㄨ⼲〲㈰착_x0018_＀＀_x0018_＀＀_x0008_＀＀_x0001_＀＀_x0001_＀＀豀碵꼝쐕퐌䭯'千幘䅃偟协剔呅䉟久偟䥁⡄㈱㈯〰ⰸⰬ唬䑓착_x0018_＀＀_x0018_＀＀_x0008_＀＀_x0001_＀＀_x0001_＀＀豀碵꼝쐕퐂䭯_x001C_千幘捩彡敭湡偟䥔㈨〰ⰴ㠳㜰⤷_x0018_＀＀_x0018_＀＀_x0008_＀＀_x0001_＀＀_x0001_＀＀豀碵꼝쐕퐁䭯_x001C_千幘捩彡敭湡獟獬㈨〰ⰹ㤳㌵⤸_x0018_＀＀_x0018_＀＀_x0008_＀＀_x0001_＀＀_x0001_＀＀豀碵꼝쐕퐀䭯_x001B_千幘南彆偅当䥄⡌呌卍㌬㌹㘸착_x0018_＀＀_x0018_＀＀_x0008_＀＀_x0001_＀＀_x0001_＀＀䞙惾맠䀅폽䭯_x0018_千幘南彆䉅呉䰨䵔ⱓ㜳㘴⤸_x0018_＀＀_x0018_＀＀_x0008_＀＀_x0001_＀＀_x0001_＀＀＀＀＀＀䂐폼䭯_x0019_千幘南彆十䕓協儨剔㌬ㄷ㐳착_x0018_＀＀_x0018_＀＀_x0008_＀＀_x0001_＀＀_x0001_＀＀＀＀＀＀݀䃔폻䭯_x001A_千幘南彆䕄呂卟⡔呑ⱒ㤳㘶⤰_x0018_＀＀_x0018_＀＀_x0008_＀＀_x0001_＀＀_x0001_＀＀＀＀＀＀䀀䂂퐌䭯-千幘䅃偟协剔呅啟归剔佟彂䵁剏⡔㈱㈯〰ⰴⰬ唬䑓착_x0018_＀＀_x0018_＀＀_x0008_＀＀_x0001_＀＀_x0001_＀＀豀碵꼝쐕퐁䭯_x001E_千幘捩彡敭湡䕟䥂䑔㈨〰ⰷ㤳㠰⤲_x0018_＀＀_x0018_＀＀_x0008_＀＀_x0001_＀＀_x0001_＀＀豀碵꼝쐕퐁䭯_x001E_千幘捩彡敭湡䕟䥂䑔㈨〰ⰴ㠳㌱⤸_x0018_＀＀_x0018_＀＀_x0008_＀＀_x0001_＀＀_x0001_＀＀豀碵꼝쐕퐀䭯_x001C_千幘捩彡敭湡獟獬㈨〰ⰲ㜳㌴⤷_x0018_＀＀_x0018_＀＀_x0008_＀＀_x0001_＀＀_x0001_＀＀豀碵꼝쐕퐀䭯_x001B_千幘南彆偅当䥄⡌呌卍㐬〰㔲착_x0018_＀＀_x0018_＀＀_x0008_＀＀_x0001_＀＀_x0001_＀＀ⵢԾ磀䀇폽䭯_x0018_千幘南彆䉅呉䰨䵔ⱓ㠳〵⤳_x0018_＀＀_x0018_＀＀_x0008_＀＀_x0001_＀＀_x0001_＀＀＀＀＀＀退䂔폹䭯_x0011_千幘浣獟獨㌨〸㜱착_x0018_＀＀_x0018_＀＀_x0008_＀＀_x0001_＀＀_x0001_＀＀豀碵꼝쐕폹䭯_x0012_千幘彐剐䍉⡅㜳㜰⤲_x0018_＀＀_x0018_＀＀_x0008_＀＀_x0001_＀＀_x0001_＀＀蔟凫Ẹ䀲慉䰎_x0016_千幘彐剐䍉Ņ㐠㌯⼰〲〱_x0018_＀＀_x0018_＀＀_x0008_＀＀_x0001_＀＀_x0001_＀＀晧晦٦䁌퐍䭯;千幘南偟久䥓乏䅟卓呅当充䥕ㄨ⼲〲㈰䀩䅃偟久当䍐彔充ㄨ⼲〲㈰착_x0018_＀＀_x0018_＀＀_x0008_＀＀_x0001_＀＀_x0001_＀＀＀＀＀＀耀䁋퐈䭯$千幘䅃偟久当䕂彎䅐䑉ㄨ⼲〲㤰ⰬⰬ单⥄_x0018_＀＀_x0018_＀＀_x0008_＀＀_x0001_＀＀_x0001_＀＀豀碵꼝쐕퐃䭯_x001C_千幘捩彡敭湡䕟卐㈨〰ⰵ㠳㈳⤱_x0018_＀＀_x0018_＀＀_x0008_＀＀_x0001_＀＀_x0001_＀＀豀碵꼝쐕폾䭯_x001B_千幘南彆呐彘义⡃呌卍㌬〷㈷착_x0018_＀＀_x0018_＀＀_x0008_＀＀_x0001_＀＀_x0001_＀＀＀＀＀＀쀀䁸폼䭯_x0019_千幘南彆䅓䕌⡓呌卍㌬㘶㜷착_x0018_＀＀_x0018_＀＀_x0008_＀＀_x0001_＀＀_x0001_＀＀＀＀＀＀墀䃄퐃䭯_x001C_千幘捩彡敭湡䕟卐㈨〰ⰷ㠳㌸⤷_x0018_＀＀_x0018_＀＀_x0008_＀＀_x0001_＀＀_x0001_＀＀豀碵꼝쐕퐁䭯_x001D_千幘捩彡敭湡䕟䥂⡔〲㜰㌬ㄹ㌱착_x0018_＀＀_x0018_＀＀_x0008_＀＀_x0001_＀＀_x0001_＀＀豀碵꼝쐕폽䭯_x0018_千幘南彆䉅呉䰨䵔ⱓ㘳㘸⤰_x0018_＀＀_x0018_＀＀_x0008_＀＀_x0001_＀＀_x0001_＀＀＀＀＀＀ꠀ䂈폼䭯_x0019_千幘南彆䅓䕌⡓呌卍㌬㤶㈲착_x0018_＀＀_x0018_＀＀_x0008_＀＀_x0001_＀＀_x0001_＀＀＀＀＀＀玀䃀폻䭯_x001C_千幘南彆䡓䑌卒䕟⡑呑ⱒ㘳㐳⤱_x0018_＀＀_x0018_＀＀_x0008_＀＀_x0001_＀＀_x0001_＀＀＀＀＀＀᠀䂷폹䭯_x0011_千幘浣獟獨㌨ㄷ㐶착_x0018_＀＀_x0018_＀＀_x0008_＀＀_x0001_＀＀_x0001_＀＀豀碵꼝쐕폹䭯_x001D_千幘捩彡敭湡䕟䥂⡔〲㌰㌬㤷㔵착_x0018_＀＀_x0018_＀＀_x0008_＀＀_x0001_＀＀_x0001_＀＀豀碵꼝쐕퐍䭯$千幘䅃偟久当呌䱟䅉卂ㄨ⼲〲㘰ⰬⰬ单⥄_x0018_＀＀_x0018_＀＀_x0008_＀＀_x0001_＀＀_x0001_＀＀豀碵꼝쐕퐌䭯E千幘䅃偟协剔呅䉟久佟⡂㈱㈯〰ⰸⰬ唬䑓䀩南䡟呌䍈剁彅䉐⡏㈱㈯〰ⰸⰬ唬䑓착_x0018_＀＀_x0018_＀＀_x0008_＀＀_x0001_＀＀_x0001_＀＀＀＀＀＀倀䁷퐁䭯_x001D_千幘捩彡敭湡䕟䥂⡔〲㤰㌬㘹㤲착_x0018_＀＀_x0018_＀＀_x0008_＀＀_x0001_＀＀_x0001_＀＀豀碵꼝쐕폽䭯_x001E_千幘南彆䉅呉䅄䵟乇䰨䵔ⱓ㤳ㄱ⤳_x0018_＀＀_x0018_＀＀_x0008_＀＀_x0001_＀＀_x0001_＀＀撻区吣䁀폽䭯_x0019_千幘南彆䅓䕌⡓呌卍㌬㌸㈵착_x0018_＀＀_x0018_＀＀_x0008_＀＀_x0001_＀＀_x0001_＀＀＀＀＀＀퐀䂿폼䭯_x001E_千幘南彆䉅呉䅄䵟乇䰨䵔ⱓ㘳㠵⤵_x0018_＀＀_x0018_＀＀_x0008_＀＀_x0001_＀＀_x0001_＀＀匣襋౮䀩폼䭯_x0019_千幘南彆十䕓協儨剔㌬㌹㘸착_x0018_＀＀_x0018_＀＀_x0008_＀＀_x0001_＀＀_x0001_＀＀＀＀＀＀ŀ䃙폻䭯_x001C_千幘南彆䡓䑌卒䕟⡑呑ⱒ㘳㤱⤱_x0018_＀＀_x0018_＀＀_x0008_＀＀_x0001_＀＀_x0001_＀＀＀＀＀＀䂶폹䭯_x0011_千幘浣獟獨㌨㘹㤲착_x0018_＀＀_x0018_＀＀_x0008_＀＀_x0001_＀＀_x0001_＀＀豀碵꼝쐕폹䭯_x0012_千幘彐剐䍉⡅㜳㤸⤴_x0018_＀＀_x0018_＀＀_x0008_＀＀_x0001_＀＀_x0001_＀＀＀＀＀＀䀀䀭퐍䭯)千幘䅃偟久当䵅彐佃呎䥒彂⡃㈱㈯〰ⰲⰬ唬䑓착_x0018_＀＀_x0018_＀＀_x0008_＀＀_x0001_＀＀_x0001_＀＀豀碵꼝쐕퐌䭯)千幘䅃偟协剔呅佟䡔䑁彊䉎⡁㈱㈯〰ⰵⰬ唬䑓착_x0018_＀＀_x0018_＀＀_x0008_＀＀_x0001_＀＀_x0001_＀＀豀碵꼝쐕퐂䭯_x001C_千幘捩彡敭湡䕟卐㈨〰ⰲ㜳㘱⤴_x0018_＀＀_x0018_＀＀_x0008_＀＀_x0001_＀＀_x0001_＀＀豀碵꼝쐕퐂䭯_x001C_千幘捩彡敭湡䕟卐㈨〰ⰰ㘳㠵⤵_x0018_＀＀_x0018_＀＀_x0008_＀＀_x0001_＀＀_x0001_＀＀豀碵꼝쐕폾䭯_x001B_千幘南彆䕎彔义⡃呌卍㌬㌶ㄱ착_x0018_＀＀_x0018_＀＀_x0008_＀＀_x0001_＀＀_x0001_＀＀＀＀＀＀䠀䂀폾䭯_x001B_千幘南彆呐彘义⡃呌卍㌬㠷㐹착_x0018_＀＀_x0018_＀＀_x0008_＀＀_x0001_＀＀_x0001_＀＀＀＀＀＀怀䁴폼䭯_x001E_千幘南彆䉅呉䅄䵟乇䰨䵔ⱓ㘳㌸⤰_x0018_＀＀_x0018_＀＀_x0008_＀＀_x0001_＀＀_x0001_＀＀钵偛ጔ䀮폼䭯_x0019_千幘南彆十䕓協儨剔㐬〰㔲착_x0018_＀＀_x0018_＀＀_x0008_＀＀_x0001_＀＀_x0001_＀＀＀＀＀＀ᯀ䃚폻䭯_x001C_千幘南彆䡓䑌卒䕟⡑呑ⱒ㠳㔶⤶_x0018_＀＀_x0018_＀＀_x0008_＀＀_x0001_＀＀_x0001_＀＀＀＀＀＀刀䂾폻䭯_x001A_千幘南彆䅃䡓卟⡔呑ⱒ㤳㜱⤲_x0018_＀＀_x0018_＀＀_x0008_＀＀_x0001_＀＀_x0001_＀＀＀＀＀＀䠀䂍퐂䭯_x001C_千幘捩彡敭湡䕟卐㈨〰ⰰ㘳㌸⤰_x0018_＀＀_x0018_＀＀_x0008_＀＀_x0001_＀＀_x0001_＀＀豀碵꼝쐕퐁䭯_x001E_千幘捩彡敭湡䕟䥂䑔㈨〰ⰶ㠳㠶⤶_x0018_＀＀_x0018_＀＀_x0008_＀＀_x0001_＀＀_x0001_＀＀豀碵꼝쐕퐁䭯_x001C_千幘捩彡敭湡獟獬㈨〰ⰶ㠳㘵⤴_x0018_＀＀_x0018_＀＀_x0008_＀＀_x0001_＀＀_x0001_＀＀豀碵꼝쐕폽䭯_x001E_千幘南彆䉅呉䅄䵟乇䰨䵔ⱓ㠳㘲⤰_x0018_＀＀_x0018_＀＀_x0008_＀＀_x0001_＀＀_x0001_＀＀楫_xD9F7_鷩䀵폺䭯_x001A_千幘南彆䕄呂䱟⡔呑ⱒ㠳㄰⤷_x0018_＀＀_x0018_＀＀_x0008_＀＀_x0001_＀＀_x0001_＀＀＀＀＀＀䂺폹䭯_x0011_千幘浣獟獨㌨㜸㘷착_x0018_＀＀_x0018_＀＀_x0008_＀＀_x0001_＀＀_x0001_＀＀豀碵꼝쐕폹䭯_x0011_千幘浣獟獨㌨㤷㘸착_x0018_＀＀_x0018_＀＀_x0008_＀＀_x0001_＀＀_x0001_＀＀豀碵꼝쐕퐍䭯&lt;千幘南偟久䥓乏䅟卓呅当佂䑎⡓㈱㈯〰⤸䍀彁䕐华偟呃䙟⡉㈱㈯〰⤸_x0018_＀＀_x0018_＀＀_x0008_＀＀_x0001_＀＀_x0001_＀＀＀＀＀＀耀䁆퐌䭯J千幘䅃偟协剔呅剟䅏䅟呃ㄨ⼲〲㜰ⰬⰬ单⥄址当䱈䡔䅃䕒䅟呃剟䅏ㄨ⼲〲㜰ⰬⰬ单⥄_x0018_＀＀_x0018_＀＀_x0008_＀＀_x0001_＀＀_x0001_＀＀豀碵꼝쐕퐃䭯_x001C_千幘捩彡敭湡䕟卐㈨〰ⰴ㜳㈹⤵_x0018_＀＀_x0018_＀＀_x0008_＀＀_x0001_＀＀_x0001_＀＀豀碵꼝쐕퐂䭯_x001C_千幘捩彡敭湡偟䥔㈨〰ⰷ㤳㈰⤱_x0018_＀＀_x0018_＀＀_x0008_＀＀_x0001_＀＀_x0001_＀＀豀碵꼝쐕퐂䭯_x001C_千幘捩彡敭湡偟䥔㈨〰ⰵ㠳㐴⤲_x0018_＀＀_x0018_＀＀_x0008_＀＀_x0001_＀＀_x0001_＀＀豀碵꼝쐕퐁䭯_x001D_千幘捩彡敭湡䕟䥂⡔〲ㄱ㐬㈰㤰착_x0018_＀＀_x0018_＀＀_x0008_＀＀_x0001_＀＀_x0001_＀＀豀碵꼝쐕퐀䭯_x001B_千幘南彆䕎彔义⡃呌卍㌬㐹㘱착_x0018_＀＀_x0018_＀＀_x0008_＀＀_x0001_＀＀_x0001_＀＀＀＀＀＀䂒폽䭯_x0019_千幘南彆䅓䕌⡓呌卍㌬㤹㐶착_x0018_＀＀_x0018_＀＀_x0008_＀＀_x0001_＀＀_x0001_＀＀＀＀＀＀ኀ䃅폺䭯_x001A_千幘南彆䕄呂卟⡔呑ⱒ㠳㈶⤵_x0018_＀＀_x0018_＀＀_x0008_＀＀_x0001_＀＀_x0001_＀＀＀＀＀＀뀀䂍퐍䭯(千幘䅃偟久当䅐呒䍟乏剔䉉ㄨ⼲〲㌰ⰬⰬ单⥄_x0018_＀＀_x0018_＀＀_x0008_＀＀_x0001_＀＀_x0001_＀＀豀碵꼝쐕퐁䭯_x001D_千幘捩彡敭湡䕟䥂⡔〲㘰㌬㜸㜱착_x0018_＀＀_x0018_＀＀_x0008_＀＀_x0001_＀＀_x0001_＀＀豀碵꼝쐕폻䭯_x001A_千幘南彆䅃䡓卟⡔呑ⱒ㤳㤹⤴_x0018_＀＀_x0018_＀＀_x0008_＀＀_x0001_＀＀_x0001_＀＀＀＀＀＀栀䂒폺䭯_x001A_千幘南彆䕄呂䱟⡔呑ⱒ㜳㘱⤴_x0018_＀＀_x0018_＀＀_x0008_＀＀_x0001_＀＀_x0001_＀＀＀＀＀＀ᬀ䂶퐂䭯_x001C_千幘捩彡敭湡偟䥔㈨〰ⰹ〴㈰⤵_x0018_＀＀_x0018_＀＀_x0008_＀＀_x0001_＀＀_x0001_＀＀豀碵꼝쐕퐁䭯_x001E_千幘捩彡敭湡䕟䥂䑔㈨〰ⰵ㠳〵⤳_x0018_＀＀_x0018_＀＀_x0008_＀＀_x0001_＀＀_x0001_＀＀豀碵꼝쐕퐀䭯_x001C_千幘捩彡敭湡獟獬㈨〰ⰳ㜳〸⤲_x0018_＀＀_x0018_＀＀_x0008_＀＀_x0001_＀＀_x0001_＀＀豀碵꼝쐕폽䭯_x001E_千幘南彆䉅呉䅄䵟乇䰨䵔ⱓ㤳㜸⤲_x0018_＀＀_x0018_＀＀_x0008_＀＀_x0001_＀＀_x0001_＀＀轨뗙䀿폻䭯_x001A_千幘南彆䕄呂䱟⡔呑ⱒ㤳㈶⤹_x0018_＀＀_x0018_＀＀_x0008_＀＀_x0001_＀＀_x0001_＀＀＀＀＀＀䂼폺䭯_x001A_千幘南彆䕄呂卟⡔呑ⱒ㜳㜷⤲_x0018_＀＀_x0018_＀＀_x0008_＀＀_x0001_＀＀_x0001_＀＀＀＀＀＀⠀䂀퐈䭯_x000F_千幘南䥟体䍟䑏책_x0014_＀＀_x0018_＀＀_x0004_＀＀_x0001_＀＀_x0008_＀＀单D퐁䭯_x001D_千幘捩彡敭湡䕟䥂⡔〲㠰㌬㈹㌳착_x0018_＀＀_x0018_＀＀_x0008_＀＀_x0001_＀＀_x0001_＀＀豀碵꼝쐕퐀䭯_x001C_千幘捩彡敭湡獟獬㈨〰ⰳ㜳㔶⤲_x0018_＀＀_x0018_＀＀_x0008_＀＀_x0001_＀＀_x0001_＀＀豀碵꼝쐕퐀䭯_x001B_千幘南彆偅当䥄⡌呌卍㌬㔸㌳착_x0018_＀＀_x0018_＀＀_x0008_＀＀_x0001_＀＀_x0001_＀＀尩슏⣵㿲퐍䭯'千幘䅃偟久当商䑎卟䅔啔⡓㈱㈯〰ⰲⰬ唬䑓착_x0018_＀＀_x0018_＀＀_x0008_＀＀_x0001_＀＀_x0001_＀＀豀碵꼝쐕퐀䭯_x001B_千幘南彆偅当䥄⡌呌卍㌬㌸㌸착_x0018_＀＀_x0018_＀＀_x0008_＀＀_x0001_＀＀_x0001_＀＀롒蔞凫㿨폽䭯_x0019_千幘南彆䅓䕌⡓呌卍㌬ㄸ㜰착_x0018_＀＀_x0018_＀＀_x0008_＀＀_x0001_＀＀_x0001_＀＀＀＀＀＀㰀䂾폻䭯_x001A_千幘南彆䕄呂䱟⡔呑ⱒ㠳㜷⤶_x0018_＀＀_x0018_＀＀_x0008_＀＀_x0001_＀＀_x0001_＀＀＀＀＀＀䂳폺䭯_x001A_千幘南彆䕄呂䱟⡔呑ⱒ㜳㠹⤶_x0018_＀＀_x0018_＀＀_x0008_＀＀_x0001_＀＀_x0001_＀＀＀＀＀＀䂺폺䭯_x001A_千幘南彆䅃䡓卟⡔呑ⱒ㘳〷⤷_x0018_＀＀_x0018_＀＀_x0008_＀＀_x0001_＀＀_x0001_＀＀＀＀＀＀뀀䁸퐍䭯"千幘南偟久䥓乏偟佂ㄨ⼲〲㜰ⰬⰬ单⥄_x0018_＀＀_x0018_＀＀_x0008_＀＀_x0001_＀＀_x0001_＀＀＀＀＀＀☀䂠퐂䭯_x001C_千幘捩彡敭湡偟䥔㈨〰ⰷ㠳㤹⤰_x0018_＀＀_x0018_＀＀_x0008_＀＀_x0001_＀＀_x0001_＀＀豀碵꼝쐕퐂䭯_x001C_千幘捩彡敭湡偟䥔㈨〰ⰶ㠳㈶⤵_x0018_＀＀_x0018_＀＀_x0008_＀＀_x0001_＀＀_x0001_＀＀豀碵꼝쐕퐀䭯_x001B_千幘南彆偅当䥄⡌呌卍㌬㘷〸착_x0018_＀＀_x0018_＀＀_x0008_＀＀_x0001_＀＀_x0001_＀＀롑蔞㿱폹䭯_x0012_千幘彐剐䍉⡅㜳㤴⤹_x0018_＀＀_x0018_＀＀_x0008_＀＀_x0001_＀＀_x0001_＀＀휊炣樽䀱퐍䭯(千幘䅃偟久当偐彄䕂彎佃呓ㄨ⼲〲㐰ⰬⰬ单⥄_x0018_＀＀_x0018_＀＀_x0008_＀＀_x0001_＀＀_x0001_＀＀豀碵꼝쐕퐍䭯 千幘南䕟䍘彈䅒䕔䥟䍎䍟⡆㈱㈯〰⤳_x0018_＀＀_x0018_＀＀_x0008_＀＀_x0001_＀＀_x0001_＀＀豀碵꼝쐕퐍䭯 千幘南䕟䍘彈䅒䕔ㄨ⼲〲㔰ⰬⰬ单⥄_x0018_＀＀_x0018_＀＀_x0008_＀＀_x0001_＀＀_x0001_＀＀＀＀＀＀＀＀㿰퐌䭯*千幘南䡟呌䍈剁彅塅彐呌剟䅏ㄨ⼲〲㘰ⰬⰬ单⥄_x0018_＀＀_x0018_＀＀_x0008_＀＀_x0001_＀＀_x0001_＀＀豀碵꼝쐕퐃䭯_x001C_千幘捩彡敭湡䕟卐㈨㄰ⰰ㤳㌹⤳_x0018_＀＀_x0018_＀＀_x0008_＀＀_x0001_＀＀_x0001_＀＀豀碵꼝쐕퐂䭯_x001C_千幘捩彡敭湡䕟卐㈨〰ⰱ㘳㔹⤰_x0018_＀＀_x0018_＀＀_x0008_＀＀_x0001_＀＀_x0001_＀＀豀碵꼝쐕폾䭯_x001B_千幘南彆呐彘义⡃呌卍㌬㐷㤹착_x0018_＀＀_x0018_＀＀_x0008_＀＀_x0001_＀＀_x0001_＀＀＀＀＀＀_xD800_䂂폼䭯_x001E_千幘南彆䉅呉䅄䵟乇䰨䵔ⱓ㜳㈲⤵_x0018_＀＀_x0018_＀＀_x0008_＀＀_x0001_＀＀_x0001_＀＀㿘좳䀳폼䭯_x0019_千幘南彆䅓䕌⡓呌卍㌬㐶㐶착_x0018_＀＀_x0018_＀＀_x0008_＀＀_x0001_＀＀_x0001_＀＀＀＀＀＀꜀䃄폹䭯_x0011_千幘浣獟獨㌨㌶ㄱ착_x0018_＀＀_x0018_＀＀_x0008_＀＀_x0001_＀＀_x0001_＀＀豀碵꼝쐕퐌䭯B千幘䅃偟久当佒⡁㈱㈯〰ⰸⰬ唬䑓䀩南偟久䥓乏䕟偘剟䅏ㄨ⼲〲㠰ⰬⰬ单⥄_x0018_＀＀_x0018_＀＀_x0008_＀＀_x0001_＀＀_x0001_＀＀＀＀＀＀＀＀쁢퐂䭯_x001C_千幘捩彡敭湡偟䥔㈨〰ⰸ㤳㐱⤱_x0018_＀＀_x0018_＀＀_x0008_＀＀_x0001_＀＀_x0001_＀＀豀碵꼝쐕퐁䭯_x001D_千幘捩彡敭湡䕟䥂⡔〲㔰㌬㌸ㄲ착_x0018_＀＀_x0018_＀＀_x0008_＀＀_x0001_＀＀_x0001_＀＀豀碵꼝쐕폾䭯_x0018_千幘南彆䉅呉䰨䵔ⱓ〴〲⤹_x0018_＀＀_x0018_＀＀_x0008_＀＀_x0001_＀＀_x0001_＀＀＀＀＀＀؀䂢폽䭯_x0019_千幘南彆䅓䕌⡓呌卍㌬㤸㤲착_x0018_＀＀_x0018_＀＀_x0008_＀＀_x0001_＀＀_x0001_＀＀＀＀＀＀쐀䃁폼䭯_x0019_千幘南彆十䕓協儨剔㌬㔸㌳착_x0018_＀＀_x0018_＀＀_x0008_＀＀_x0001_＀＀_x0001_＀＀＀＀＀＀ㆀ䃗폺䭯_x001A_千幘南彆䅃䡓卟⡔呑ⱒ㘳㤴⤴_x0018_＀＀_x0018_＀＀_x0008_＀＀_x0001_＀＀_x0001_＀＀＀＀＀＀堀䂃퐂䭯_x001C_千幘捩彡敭湡偟䥔㈨〰ⰳ㜳㘴⤸_x0018_＀＀_x0018_＀＀_x0008_＀＀_x0001_＀＀_x0001_＀＀豀碵꼝쐕퐁䭯_x001D_千幘捩彡敭湡䕟䥂⡔〲㜰㌬㠸㜳착_x0018_＀＀_x0018_＀＀_x0008_＀＀_x0001_＀＀_x0001_＀＀豀碵꼝쐕폼䭯_x001E_千幘南彆䉅呉䅄䵟乇䰨䵔ⱓ㘳㜳⤲_x0018_＀＀_x0018_＀＀_x0008_＀＀_x0001_＀＀_x0001_＀＀_xD9FB_敢䛸䀷폼䭯_x0019_千幘南彆十䕓協儨剔㌬㌸㌸착_x0018_＀＀_x0018_＀＀_x0008_＀＀_x0001_＀＀_x0001_＀＀＀＀＀＀ŀ䃘폹䭯_x0011_千幘浣獟獨㌨㐹㘱착_x0018_＀＀_x0018_＀＀_x0008_＀＀_x0001_＀＀_x0001_＀＀豀碵꼝쐕폹䭯_x0012_千幘彐剐䍉⡅㘳㤸⤱_x0018_＀＀_x0018_＀＀_x0008_＀＀_x0001_＀＀_x0001_＀＀_x0001_＀＀䀩퐂䭯_x001C_千幘捩彡敭湡䕟卐㈨〰ⰰ㘳㜳⤲_x0018_＀＀_x0018_＀＀_x0008_＀＀_x0001_＀＀_x0001_＀＀豀碵꼝쐕퐁䭯_x001E_千幘捩彡敭湡䕟䥂䑔㈨〰ⰸ㤳〲⤲_x0018_＀＀_x0018_＀＀_x0008_＀＀_x0001_＀＀_x0001_＀＀豀碵꼝쐕폾䭯_x001B_千幘南彆䕎彔义⡃呌卍㌬㜶㠳착_x0018_＀＀_x0018_＀＀_x0008_＀＀_x0001_＀＀_x0001_＀＀＀＀＀＀＀＀쁋폾䭯_x001B_千幘南彆呐彘义⡃呌卍㌬㠶ㄹ착_x0018_＀＀_x0018_＀＀_x0008_＀＀_x0001_＀＀_x0001_＀＀＀＀＀＀䀀䁴폾䭯_x0018_千幘南彆䉅呉䰨䵔ⱓ㤳㔷⤲_x0018_＀＀_x0018_＀＀_x0008_＀＀_x0001_＀＀_x0001_＀＀＀＀＀＀ᰀ䂦폽䭯_x001E_千幘南彆䉅呉䅄䵟乇䰨䵔ⱓ㠳㌸⤷_x0018_＀＀_x0018_＀＀_x0008_＀＀_x0001_＀＀_x0001_＀＀㨬夯똸䀻폼䭯_x0019_千幘南彆十䕓協儨剔㌬㘷〸착_x0018_＀＀_x0018_＀＀_x0008_＀＀_x0001_＀＀_x0001_＀＀＀＀＀＀痀䃔폻䭯_x001C_千幘南彆䡓䑌卒䕟⡑呑ⱒ㤳㌲⤳_x0018_＀＀_x0018_＀＀_x0008_＀＀_x0001_＀＀_x0001_＀＀＀＀＀＀케䃁폻䭯_x001A_千幘南彆䅃䡓卟⡔呑ⱒ㤳㤵⤹_x0018_＀＀_x0018_＀＀_x0008_＀＀_x0001_＀＀_x0001_＀＀＀＀＀＀鰀䂙퐌䭯T千幘䅃偟协剔呅偟䥒剏卟噒ㄨ⼲〲㜰ⰬⰬ单⥄址当䱈䡔䅃䕒啟剎䍅卟剅彖佃呓ㄨ⼲〲㜰ⰬⰬ单⥄_x0018_＀＀_x0018_＀＀_x0008_＀＀_x0001_＀＀_x0001_＀＀豀碵꼝쐕퐀䭯_x001E_千幘捩彡敭湡䕟䥂䑔㈨〰ⰴ㜳㤸⤴_x0018_＀＀_x0018_＀＀_x0008_＀＀_x0001_＀＀_x0001_＀＀豀碵꼝쐕퐀䭯_x001C_千幘捩彡敭湡獟獬㈨〰ⰴ㜳㜷⤲_x0018_＀＀_x0018_＀＀_x0008_＀＀_x0001_＀＀_x0001_＀＀豀碵꼝쐕퐀䭯_x001E_千幘捩彡敭湡䕟䥂䑔㈨〰ⰳ㜳㈵⤹_x0018_＀＀_x0018_＀＀_x0008_＀＀_x0001_＀＀_x0001_＀＀豀碵꼝쐕퐀䭯_x001B_千幘南彆䕎彔义⡃呌卍㌬ㄸ㠶착_x0018_＀＀_x0018_＀＀_x0008_＀＀_x0001_＀＀_x0001_＀＀＀＀＀＀ 䁥폻䭯_x001C_千幘南彆䡓䑌卒䕟⡑呑ⱒ㘳㔹⤰_x0018_＀＀_x0018_＀＀_x0008_＀＀_x0001_＀＀_x0001_＀＀＀＀＀＀脀䂷폻䭯_x001A_千幘南彆䅃䡓卟⡔呑ⱒ㤳㐸⤴_x0018_＀＀_x0018_＀＀_x0008_＀＀_x0001_＀＀_x0001_＀＀＀＀＀＀䠀䂇퐍䭯%千幘䅃偟久当呌䅟卓呅⡓㈱㈯〰ⰷⰬ唬䑓착_x0018_＀＀_x0018_＀＀_x0008_＀＀_x0001_＀＀_x0001_＀＀豀碵꼝쐕퐀䭯_x001B_千幘南彆偅当䥄⡌呌卍㌬ㄸ㠳착_x0018_＀＀_x0018_＀＀_x0008_＀＀_x0001_＀＀_x0001_＀＀塏Ǣ卥㿚폻䭯_x001C_千幘南彆䡓䑌卒䕟⡑呑ⱒ㜳㤵⤰_x0018_＀＀_x0018_＀＀_x0008_＀＀_x0001_＀＀_x0001_＀＀＀＀＀＀䂸폻䭯_x001A_千幘南彆䕄呂卟⡔呑ⱒ㤳〲⤲_x0018_＀＀_x0018_＀＀_x0008_＀＀_x0001_＀＀_x0001_＀＀＀＀＀＀砀䂇폺䭯_x001A_千幘南彆䕄呂䱟⡔呑ⱒ㘳ㄳ⤱_x0018_＀＀_x0018_＀＀_x0008_＀＀_x0001_＀＀_x0001_＀＀＀＀＀＀䰀䂹퐍䭯&amp;千幘䅃偟久当十彔义䅔䝎ㄨ⼲〲㐰ⰬⰬ单⥄_x0018_＀＀_x0018_＀＀_x0008_＀＀_x0001_＀＀_x0001_＀＀豀碵꼝쐕퐌䭯F千幘䅃偟协剔呅剟䅏ㄨ⼲〲㠰ⰬⰬ单⥄址当䱈䡔䅃䕒䕟偘剟䅏ㄨ⼲〲㠰ⰬⰬ单⥄_x0018_＀＀_x0018_＀＀_x0008_＀＀_x0001_＀＀_x0001_＀＀豀碵꼝쐕퐈䭯(千幘䅃偟久当䅐呒䍟乏剔䉉ㄨ⼲〲㤰ⰬⰬ单⥄_x0018_＀＀_x0018_＀＀_x0008_＀＀_x0001_＀＀_x0001_＀＀豀碵꼝쐕퐃䭯_x001C_千幘捩彡敭湡䕟卐㈨〰ⰴ㠳㔳⤲_x0018_＀＀_x0018_＀＀_x0008_＀＀_x0001_＀＀_x0001_＀＀豀碵꼝쐕폹䭯_x001D_千幘捩彡敭湡䕟䥂⡔〲㐰㌬㤷㔲착_x0018_＀＀_x0018_＀＀_x0008_＀＀_x0001_＀＀_x0001_＀＀豀碵꼝쐕퐍䭯[千幘南剟久䅔彌偏䱟䕓䕟偘ㄨ⼲〲㔰ㄬ⼲〲㔰ⰬⰬ单⥄䍀彁呒剟久彔䥍彎塅⡐㈱㈯〰ⰵ㈱㈯〰ⰵⰬ唬䑓착_x0018_＀＀_x0018_＀＀_x0008_＀＀_x0001_＀＀_x0001_＀＀＀＀＀＀堀䂀퐍䭯&lt;千幘南偟久䥓乏䅟卓呅当佂䑎⡓㈱㈯〰⤳䍀彁䕐华偟呃䙟⡉㈱㈯〰⤳_x0018_＀＀_x0018_＀＀_x0008_＀＀_x0001_＀＀_x0001_＀＀＀＀＀＀＀＀䁃퐃䭯_x001C_千幘捩彡敭湡䕟卐㈨〰ⰸ㤳㐴⤷_x0018_＀＀_x0018_＀＀_x0008_＀＀_x0001_＀＀_x0001_＀＀豀碵꼝쐕퐃䭯_x001C_千幘捩彡敭湡䕟卐㈨〰ⰶ㠳㘸⤸_x0018_＀＀_x0018_＀＀_x0008_＀＀_x0001_＀＀_x0001_＀＀豀碵꼝쐕퐀䭯_x001E_千幘捩彡敭湡䕟䥂䑔㈨〰ⰳ㜳ㄷ⤱_x0018_＀＀_x0018_＀＀_x0008_＀＀_x0001_＀＀_x0001_＀＀豀碵꼝쐕퐀䭯_x001B_千幘南彆䕎彔义⡃呌卍㌬㔷〶착_x0018_＀＀_x0018_＀＀_x0008_＀＀_x0001_＀＀_x0001_＀＀＀＀＀＀뀀䁸폼䭯_x0019_千幘南彆䅓䕌⡓呌卍㌬㈶㤱착_x0018_＀＀_x0018_＀＀_x0008_＀＀_x0001_＀＀_x0001_＀＀＀＀＀＀_xDA80_䃃폻䭯_x001A_千幘南彆䕄呂䱟⡔呑ⱒ㤳ㄴ⤶_x0018_＀＀_x0018_＀＀_x0008_＀＀_x0001_＀＀_x0001_＀＀＀＀＀＀ᘀ䂺퐍䭯＀Ｏ千幘南䱟䅅䕓䍟䵏䥍彔剙⠳㈱㈯〰ⰱ㈱㈯〰ⰱⰬ唬䑓착_x0018_＀＀_x0018_＀＀_x0008_＀＀_x0001_＀＀_x0001_＀＀＀＀＀＀耀䁣퐍䭯;千幘南偟久䥓乏䅟卓呅当充䥕ㄨ⼲〲㜰䀩䅃偟久当䍐彔充ㄨ⼲〲㜰착_x0018_＀＀_x0018_＀＀_x0008_＀＀_x0001_＀＀_x0001_＀＀＀＀＀＀＀＀䁎퐌䭯J千幘䅃偟久当佒彁䅒䕔ㄨ⼲〲㔰ⰬⰬ单⥄址当䕐华佉彎塅彐呌剟䅏ㄨ⼲〲㔰ⰬⰬ单⥄_x0018_＀＀_x0018_＀＀_x0008_＀＀_x0001_＀＀_x0001_＀＀＀＀＀＀＀＀䀡퐍䭯'千幘䅃偟久当商䑎卟䅔啔⡓㈱㈯〰ⰸⰬ唬䑓착_x0018_＀＀_x0018_＀＀_x0008_＀＀_x0001_＀＀_x0001_＀＀豀碵꼝쐕퐂䭯_x001C_千幘捩彡敭湡䕟卐㈨〰ⰱ㜳㤱⤵_x0018_＀＀_x0018_＀＀_x0008_＀＀_x0001_＀＀_x0001_＀＀豀碵꼝쐕폽䭯_x0018_千幘南彆䉅呉䰨䵔ⱓ㜳㐰⤲_x0018_＀＀_x0018_＀＀_x0008_＀＀_x0001_＀＀_x0001_＀＀＀＀＀＀_xD800_䂊폼䭯_x0019_千幘南彆十䕓協儨剔㌬ㄸ㠳착_x0018_＀＀_x0018_＀＀_x0008_＀＀_x0001_＀＀_x0001_＀＀＀＀＀＀蹀䃕폹䭯_x0012_千幘彐剐䍉⡅㘳㐶⤶_x0018_＀＀_x0018_＀＀_x0008_＀＀_x0001_＀＀_x0001_＀＀＀＀＀＀䀤퐍䭯＀Ｏ千幘南䱟䅅䕓䍟䵏䥍彔剙⠳㈱㈯〰ⰲ㈱㈯〰ⰲⰬ唬䑓착_x0018_＀＀_x0018_＀＀_x0008_＀＀_x0001_＀＀_x0001_＀＀＀＀＀＀ꀀ䁧퐌䭯%千幘䅃偟久当佃偍剟呁⡅㈱㈯〰ⰶⰬ唬䑓착_x0018_＀＀_x0018_＀＀_x0008_＀＀_x0001_＀＀_x0001_＀＀豀碵꼝쐕퐂䭯_x001C_千幘捩彡敭湡偟䥔㈨〰ⰴ㜳㌸⤳_x0018_＀＀_x0018_＀＀_x0008_＀＀_x0001_＀＀_x0001_＀＀豀碵꼝쐕퐁䭯_x001C_千幘捩彡敭湡獟獬㈨〰ⰵ㠳㤵⤵_x0018_＀＀_x0018_＀＀_x0008_＀＀_x0001_＀＀_x0001_＀＀豀碵꼝쐕폾䭯_x001B_千幘南彆呐彘义⡃呌卍㌬㘶㘴착_x0018_＀＀_x0018_＀＀_x0008_＀＀_x0001_＀＀_x0001_＀＀＀＀＀＀䀀䁞폾䭯_x0018_千幘南彆䉅呉䰨䵔ⱓ㤳〵⤷_x0018_＀＀_x0018_＀＀_x0008_＀＀_x0001_＀＀_x0001_＀＀＀＀＀＀縀䂢폽䭯_x0018_千幘南彆䉅呉䰨䵔ⱓ㠳ㄷ⤷_x0018_＀＀_x0018_＀＀_x0008_＀＀_x0001_＀＀_x0001_＀＀＀＀＀＀䂖폺䭯_x001A_千幘南彆䅃䡓卟⡔呑ⱒ㜳㌱⤴_x0018_＀＀_x0018_＀＀_x0008_＀＀_x0001_＀＀_x0001_＀＀＀＀＀＀怀䂁폹䭯_x0012_千幘彐剐䍉⡅㠳㈳⤱_x0018_＀＀_x0018_＀＀_x0008_＀＀_x0001_＀＀_x0001_＀＀㵱휊Ⴃ䀳폹䭯_x0011_千幘浣獟獨㌨㜶㠳착_x0018_＀＀_x0018_＀＀_x0008_＀＀_x0001_＀＀_x0001_＀＀豀碵꼝쐕퐍䭯＀Ｏ千幘南䱟䅅䕓䍟䵏䥍彔剙⠳㈱㈯〰ⰳ㈱㈯〰ⰳⰬ唬䑓착_x0018_＀＀_x0018_＀＀_x0008_＀＀_x0001_＀＀_x0001_＀＀＀＀＀＀怀䁤퐂䭯_x001C_千幘捩彡敭湡偟䥔㈨〰ⰸ㤳㘵⤸_x0018_＀＀_x0018_＀＀_x0008_＀＀_x0001_＀＀_x0001_＀＀豀碵꼝쐕퐁䭯_x001D_千幘捩彡敭湡䕟䥂⡔〲〱㌬㤹㌳착_x0018_＀＀_x0018_＀＀_x0008_＀＀_x0001_＀＀_x0001_＀＀豀碵꼝쐕퐁䭯_x001C_千幘捩彡敭湡獟獬㈨〰ⰹ〴㜱⤸_x0018_＀＀_x0018_＀＀_x0008_＀＀_x0001_＀＀_x0001_＀＀豀碵꼝쐕퐀䭯_x001B_千幘南彆偅当䥄⡌呌卍㌬㜹㈸착_x0018_＀＀_x0018_＀＀_x0008_＀＀_x0001_＀＀_x0001_＀＀敁ﯼ஌䀍폾䭯_x001B_千幘南彆呐彘义⡃呌卍㌬㌸ㄲ착_x0018_＀＀_x0018_＀＀_x0008_＀＀_x0001_＀＀_x0001_＀＀＀＀＀＀ꠀ䂃폽䭯_x0018_千幘南彆䉅呉䰨䵔ⱓ㜳㘸⤴_x0018_＀＀_x0018_＀＀_x0008_＀＀_x0001_＀＀_x0001_＀＀＀＀＀＀ꐀ䂑폹䭯_x0011_千幘浣獟獨㌨ㄸ㠶착_x0018_＀＀_x0018_＀＀_x0008_＀＀_x0001_＀＀_x0001_＀＀豀碵꼝쐕퐈䭯_x001F_千幘䅃偟久当呌䅟卓呅⡓ⰰⰬ唬䑓착_x0018_＀＀_x0018_＀＀_x0008_＀＀_x0001_＀＀_x0001_＀＀豀碵꼝쐕퐃䭯_x001C_千幘捩彡敭湡䕟卐㈨〰ⰷ㤳㔰⤱_x0018_＀＀_x0018_＀＀_x0008_＀＀_x0001_＀＀_x0001_＀＀豀碵꼝쐕퐃䭯_x001C_千幘捩彡敭湡䕟卐㈨〰ⰵ㠳㜴⤲_x0018_＀＀_x0018_＀＀_x0008_＀＀_x0001_＀＀_x0001_＀＀豀碵꼝쐕퐃䭯_x001C_千幘捩彡敭湡䕟卐㈨〰ⰴ㠳〱⤷_x0018_＀＀_x0018_＀＀_x0008_＀＀_x0001_＀＀_x0001_＀＀豀碵꼝쐕퐂䭯_x001C_千幘捩彡敭湡偟䥔㈨〰ⰸ㤳ㄸ⤳_x0018_＀＀_x0018_＀＀_x0008_＀＀_x0001_＀＀_x0001_＀＀豀碵꼝쐕폾䭯_x0018_千幘南彆䉅呉䰨䵔ⱓ㤳㤲⤴_x0018_＀＀_x0018_＀＀_x0008_＀＀_x0001_＀＀_x0001_＀＀＀＀＀＀☀䂡폼䭯_x001E_千幘南彆䉅呉䅄䵟乇䰨䵔ⱓ㘳㤷⤹_x0018_＀＀_x0018_＀＀_x0008_＀＀_x0001_＀＀_x0001_＀＀钵偛ጔ䀮폻䭯_x001C_千幘南彆䡓䑌卒䕟⡑呑ⱒ㜳㤱⤵_x0018_＀＀_x0018_＀＀_x0008_＀＀_x0001_＀＀_x0001_＀＀＀＀＀＀䂷폺䭯_x001A_千幘南彆䕄呂卟⡔呑ⱒ㠳㄰⤷_x0018_＀＀_x0018_＀＀_x0008_＀＀_x0001_＀＀_x0001_＀＀＀＀＀＀쀀䁺폹䭯_x0012_千幘彐剐䍉⡅㠳㤸⤸_x0018_＀＀_x0018_＀＀_x0008_＀＀_x0001_＀＀_x0001_＀＀轜鰨䁁퐍䭯＀Ｏ千幘南䱟䅅䕓䍟䵏䥍彔剙⠳㈱㈯〰ⰴ㈱㈯〰ⰴⰬ唬䑓착_x0018_＀＀_x0018_＀＀_x0008_＀＀_x0001_＀＀_x0001_＀＀＀＀＀＀䀀䁡퐂䭯_x001C_千幘捩彡敭湡䕟卐㈨〰ⰰ㘳㤷⤹_x0018_＀＀_x0018_＀＀_x0008_＀＀_x0001_＀＀_x0001_＀＀豀碵꼝쐕퐁䭯_x001E_千幘捩彡敭湡䕟䥂䑔㈨〰ⰹ㤳㤹⤴_x0018_＀＀_x0018_＀＀_x0008_＀＀_x0001_＀＀_x0001_＀＀豀碵꼝쐕퐁䭯_x001E_千幘捩彡敭湡䕟䥂䑔㈨〰ⰸ㤳㈶⤹_x0018_＀＀_x0018_＀＀_x0008_＀＀_x0001_＀＀_x0001_＀＀豀碵꼝쐕폿䭯_x001B_千幘南彆䕎彔义⡃呌卍㌬㌷㔱착_x0018_＀＀_x0018_＀＀_x0008_＀＀_x0001_＀＀_x0001_＀＀＀＀＀＀倀䁲폾䭯_x001B_千幘南彆䕎彔义⡃呌卍㌬㔶㔲착_x0018_＀＀_x0018_＀＀_x0008_＀＀_x0001_＀＀_x0001_＀＀＀＀＀＀耀䁉폾䭯_x001B_千幘南彆呐彘义⡃呌卍㌬㠸㠹착_x0018_＀＀_x0018_＀＀_x0008_＀＀_x0001_＀＀_x0001_＀＀＀＀＀＀ 䂙폻䭯_x001C_千幘南彆䡓䑌卒䕟⡑呑ⱒ㠳㌲⤰_x0018_＀＀_x0018_＀＀_x0008_＀＀_x0001_＀＀_x0001_＀＀＀＀＀＀ഀ䂺폻䭯_x001A_千幘南彆䅃䡓卟⡔呑ⱒ㤳㠳⤶_x0018_＀＀_x0018_＀＀_x0008_＀＀_x0001_＀＀_x0001_＀＀＀＀＀＀倀䂓폹䭯_x0012_千幘彐剐䍉⡅㤳㌹⤳_x0018_＀＀_x0018_＀＀_x0008_＀＀_x0001_＀＀_x0001_＀＀ꏗ㵰霊䀽폾䭯_x001B_千幘南彆呐彘义⡃呌卍㌬㤹㌳착_x0018_＀＀_x0018_＀＀_x0008_＀＀_x0001_＀＀_x0001_＀＀＀＀＀＀退䂞폻䭯_x001A_千幘南彆䅃䡓卟⡔呑ⱒ〴㈰⤵_x0018_＀＀_x0018_＀＀_x0008_＀＀_x0001_＀＀_x0001_＀＀＀＀＀＀栀䂒폺䭯_x001A_千幘南彆䕄呂卟⡔呑ⱒ㜳㘱⤴_x0018_＀＀_x0018_＀＀_x0008_＀＀_x0001_＀＀_x0001_＀＀＀＀＀＀耀䂓폹䭯_x0011_千幘浣獟獨㌨㔷〶착_x0018_＀＀_x0018_＀＀_x0008_＀＀_x0001_＀＀_x0001_＀＀豀碵꼝쐕퐍䭯＀Ｏ千幘南䱟䅅䕓䍟䵏䥍彔剙⠳㈱㈯〰ⰵ㈱㈯〰ⰵⰬ唬䑓착_x0018_＀＀_x0018_＀＀_x0008_＀＀_x0001_＀＀_x0001_＀＀＀＀＀＀＀＀䁞䮋7刣晥敲桳帣南偟久䥓乏䅟卓呅当充䥕丨⥁䍀彁䕐华偟呃䕟⡑䅎착_x0018_＀＀_x0018_＀＀_x0008_＀＀_x0001_＀＀_x0001_＀＀豀碵꼝쐕퐃䭯_x001C_千幘捩彡敭湡䕟卐㈨〰ⰹ〴㔰⤶_x0018_＀＀_x0018_＀＀_x0008_＀＀_x0001_＀＀_x0001_＀＀豀碵꼝쐕퐂䭯_x001C_千幘捩彡敭湡偟䥔㈨〰ⰵ㠳㔶⤶_x0018_＀＀_x0018_＀＀_x0008_＀＀_x0001_＀＀_x0001_＀＀豀碵꼝쐕폼䭯_x001E_千幘南彆䉅呉䅄䵟乇䰨䵔ⱓ㘳㠹⤱_x0018_＀＀_x0018_＀＀_x0008_＀＀_x0001_＀＀_x0001_＀＀灊芃뉘䀱폼䭯_x0019_千幘南彆十䕓協儨剔㌬㜹㈸착_x0018_＀＀_x0018_＀＀_x0008_＀＀_x0001_＀＀_x0001_＀＀＀＀＀＀̀䃚폻䭯_x001A_千幘南彆䕄呂卟⡔呑ⱒ㤳㈶⤹_x0018_＀＀_x0018_＀＀_x0008_＀＀_x0001_＀＀_x0001_＀＀＀＀＀＀䀀䂂폺䭯_x001A_千幘南彆䕄呂䱟⡔呑ⱒ㘳㌷⤸_x0018_＀＀_x0018_＀＀_x0008_＀＀_x0001_＀＀_x0001_＀＀＀＀＀＀頀䂸퐌䭯)千幘南䡟呌䍈剁彅䥄䍓剟呁⡅㈱㈯〰ⰵⰬ唬䑓착_x0018_＀＀_x0018_＀＀_x0008_＀＀_x0001_＀＀_x0001_＀＀＀＀＀＀＀＀䀔퐃䭯_x001C_千幘捩彡敭湡䕟卐㈨〰ⰲ㜳㘵⤰_x0018_＀＀_x0018_＀＀_x0008_＀＀_x0001_＀＀_x0001_＀＀豀碵꼝쐕퐂䭯_x001C_千幘捩彡敭湡䕟卐ㄨ㤹ⰹ㘳㠲⤰_x0018_＀＀_x0018_＀＀_x0008_＀＀_x0001_＀＀_x0001_＀＀豀碵꼝쐕퐁䭯_x001E_千幘捩彡敭湡䕟䥂䑔㈨㄰ⰰ〴〲⤹_x0018_＀＀_x0018_＀＀_x0008_＀＀_x0001_＀＀_x0001_＀＀豀碵꼝쐕폺䭯_x001A_千幘南彆䕄呂䱟⡔呑ⱒ㠳㘱⤸_x0018_＀＀_x0018_＀＀_x0008_＀＀_x0001_＀＀_x0001_＀＀＀＀＀＀䂺퐍䭯＀Ｏ千幘南䱟䅅䕓䍟䵏䥍彔剙⠳㈱㈯〰ⰶ㈱㈯〰ⰶⰬ唬䑓착_x0018_＀＀_x0018_＀＀_x0008_＀＀_x0001_＀＀_x0001_＀＀＀＀＀＀䁠퐂䭯_x001C_千幘捩彡敭湡偟䥔㈨〰ⰷ㤳㜱⤲_x0018_＀＀_x0018_＀＀_x0008_＀＀_x0001_＀＀_x0001_＀＀豀碵꼝쐕퐁䭯_x001D_千幘捩彡敭湡䕟䥂⡔〲㐰㌬㌸㈵착_x0018_＀＀_x0018_＀＀_x0008_＀＀_x0001_＀＀_x0001_＀＀豀碵꼝쐕퐁䭯_x001C_千幘捩彡敭湡獟獬㈨〰ⰶ㠳㘹⤰_x0018_＀＀_x0018_＀＀_x0008_＀＀_x0001_＀＀_x0001_＀＀豀碵꼝쐕퐁䭯_x001E_千幘捩彡敭湡䕟䥂䑔㈨〰ⰵ㠳ㄷ⤷_x0018_＀＀_x0018_＀＀_x0008_＀＀_x0001_＀＀_x0001_＀＀豀碵꼝쐕폿䭯_x001B_千幘南彆偅当䥄⡌呌卍㌬〷㈷착_x0018_＀＀_x0018_＀＀_x0008_＀＀_x0001_＀＀_x0001_＀＀쨙皉刕㿡폼䭯_x001C_千幘南彆䡓䑌卒䕟⡑呑ⱒ〴㠰⤶_x0018_＀＀_x0018_＀＀_x0008_＀＀_x0001_＀＀_x0001_＀＀＀＀＀＀䃀폻䭯_x001A_千幘南彆䕄呂卟⡔呑ⱒ㠳㜷⤶_x0018_＀＀_x0018_＀＀_x0008_＀＀_x0001_＀＀_x0001_＀＀＀＀＀＀䠀䂍폺䭯_x001A_千幘南彆䕄呂卟⡔呑ⱒ㜳㠹⤶_x0018_＀＀_x0018_＀＀_x0008_＀＀_x0001_＀＀_x0001_＀＀＀＀＀＀쀀䁺퐂䭯_x001C_千幘捩彡敭湡偟䥔㈨〰ⰲ㜳㤴⤹_x0018_＀＀_x0018_＀＀_x0008_＀＀_x0001_＀＀_x0001_＀＀豀碵꼝쐕퐁䭯_x001D_千幘捩彡敭湡䕟䥂⡔〲㠰㌬㐹㜴착_x0018_＀＀_x0018_＀＀_x0008_＀＀_x0001_＀＀_x0001_＀＀豀碵꼝쐕퐁䭯_x001D_千幘捩彡敭湡䕟䥂⡔〲㘰㌬㠸㠶착_x0018_＀＀_x0018_＀＀_x0008_＀＀_x0001_＀＀_x0001_＀＀豀碵꼝쐕퐍䭯＀Ｏ千幘南䱟䅅䕓䍟䵏䥍彔剙⠳㈱㈯〰ⰷ㈱㈯〰ⰷⰬ唬䑓착_x0018_＀＀_x0018_＀＀_x0008_＀＀_x0001_＀＀_x0001_＀＀＀＀＀＀쀀䁝퐍䭯'千幘南偟久偟协彔䕒彔䕂⡎㈱㈯〰ⰵⰬ唬䑓착_x0018_＀＀_x0018_＀＀_x0008_＀＀_x0001_＀＀_x0001_＀＀豀碵꼝쐕퐂䭯_x001C_千幘捩彡敭湡偟䥔㈨〰ⰹ㤳㠷⤲_x0018_＀＀_x0018_＀＀_x0008_＀＀_x0001_＀＀_x0001_＀＀豀碵꼝쐕퐁䭯_x001E_千幘捩彡敭湡䕟䥂䑔㈨〰ⰷ㤳㌲⤳_x0018_＀＀_x0018_＀＀_x0008_＀＀_x0001_＀＀_x0001_＀＀豀碵꼝쐕퐀䭯_x001B_千幘南彆䕎彔义⡃呌卍㐬〰㘵착_x0018_＀＀_x0018_＀＀_x0008_＀＀_x0001_＀＀_x0001_＀＀＀＀＀＀ 䂒폺䭯_x001A_千幘南彆䕄呂䱟⡔呑ⱒ㜳㘵⤰_x0018_＀＀_x0018_＀＀_x0008_＀＀_x0001_＀＀_x0001_＀＀＀＀＀＀∀䂹폹䭯_x0012_千幘彐剐䍉⡅㘳㌴⤳_x0018_＀＀_x0018_＀＀_x0008_＀＀_x0001_＀＀_x0001_＀＀＀＀＀＀　䀵퐃䭯_x001C_千幘捩彡敭湡䕟卐㈨〰ⰵ㠳㜰⤷_x0018_＀＀_x0018_＀＀_x0008_＀＀_x0001_＀＀_x0001_＀＀豀碵꼝쐕퐁䭯_x001C_千幘捩彡敭湡獟獬㈨〰ⰴ㠳㄰⤷_x0018_＀＀_x0018_＀＀_x0008_＀＀_x0001_＀＀_x0001_＀＀豀碵꼝쐕퐀䭯_x001B_千幘南彆偅当䥄⡌呌卍㌬㠷㐹착_x0018_＀＀_x0018_＀＀_x0008_＀＀_x0001_＀＀_x0001_＀＀㯍텎岑㿞폾䭯_x001B_千幘南彆呐彘义⡃呌卍㌬㐶㌳착_x0018_＀＀_x0018_＀＀_x0008_＀＀_x0001_＀＀_x0001_＀＀＀＀＀＀ꀀ䂎퐍䭯＀Ｏ千幘南䱟䅅䕓䍟䵏䥍彔剙⠳㈱㈯〰ⰸ㈱㈯〰ⰸⰬ唬䑓착_x0018_＀＀_x0018_＀＀_x0008_＀＀_x0001_＀＀_x0001_＀＀＀＀＀＀＀＀䁓퐂䭯_x001C_千幘捩彡敭湡偟䥔㈨〰ⰴ㠳㘲⤰_x0018_＀＀_x0018_＀＀_x0008_＀＀_x0001_＀＀_x0001_＀＀豀碵꼝쐕퐁䭯_x001C_千幘捩彡敭湡獟獬㈨〰ⰹ㤳㈷⤱_x0018_＀＀_x0018_＀＀_x0008_＀＀_x0001_＀＀_x0001_＀＀豀碵꼝쐕퐁䭯_x001E_千幘捩彡敭湡䕟䥂䑔㈨〰ⰹ㤳㤵⤹_x0018_＀＀_x0018_＀＀_x0008_＀＀_x0001_＀＀_x0001_＀＀豀碵꼝쐕퐁䭯_x001C_千幘捩彡敭湡獟獬㈨〰ⰷ㠳㤸⤸_x0018_＀＀_x0018_＀＀_x0008_＀＀_x0001_＀＀_x0001_＀＀豀碵꼝쐕폼䭯_x0019_千幘南彆䅓䕌⡓呌卍㌬㐷㠶착_x0018_＀＀_x0018_＀＀_x0008_＀＀_x0001_＀＀_x0001_＀＀＀＀＀＀脀䂿폼䭯_x0019_千幘南彆十䕓協儨剔㌬〷㈷착_x0018_＀＀_x0018_＀＀_x0008_＀＀_x0001_＀＀_x0001_＀＀＀＀＀＀݀䃔폹䭯_x0012_千幘彐剐䍉⡅㤳㌵⤸_x0018_＀＀_x0018_＀＀_x0008_＀＀_x0001_＀＀_x0001_＀＀尩슏ࣵ䁌폹䭯_x0012_千幘彐剐䍉⡅㠳㐷⤸_x0018_＀＀_x0018_＀＀_x0008_＀＀_x0001_＀＀_x0001_＀＀炤਽쏗䀺폹䭯_x0011_千幘浣獟獨㌨㌷㔱착_x0018_＀＀_x0018_＀＀_x0008_＀＀_x0001_＀＀_x0001_＀＀豀碵꼝쐕폹䭯_x0011_千幘浣獟獨㌨㔶㔲착_x0018_＀＀_x0018_＀＀_x0008_＀＀_x0001_＀＀_x0001_＀＀豀碵꼝쐕퐍䭯%千幘南䥟呎剟呁彅夵噁⡇㈱㈯〰ⰷⰬ唬䑓착_x0018_＀＀_x0018_＀＀_x0008_＀＀_x0001_＀＀_x0001_＀＀쒱쨃_xDCA6_䀘퐌䭯L千幘䅃偟协剔呅䥟呎䍟协⡔㈱㈯〰ⰶⰬ唬䑓䀩南䡟呌䍈剁彅义彔佃呓ㄨ⼲〲㘰ⰬⰬ单⥄_x0018_＀＀_x0018_＀＀_x0008_＀＀_x0001_＀＀_x0001_＀＀＀＀＀＀＀＀䀵퐂䭯_x001C_千幘捩彡敭湡偟䥔㈨〰ⰸ㤳㔳⤵_x0018_＀＀_x0018_＀＀_x0008_＀＀_x0001_＀＀_x0001_＀＀豀碵꼝쐕퐂䭯_x001C_千幘捩彡敭湡偟䥔㈨〰ⰶ㠳㜷⤶_x0018_＀＀_x0018_＀＀_x0008_＀＀_x0001_＀＀_x0001_＀＀豀碵꼝쐕퐁䭯_x001E_千幘捩彡敭湡䕟䥂䑔㈨〰ⰹ㤳㐸⤴_x0018_＀＀_x0018_＀＀_x0008_＀＀_x0001_＀＀_x0001_＀＀豀碵꼝쐕폾䭯_x001B_千幘南彆呐彘义⡃呌卍㌬㔹㠳착_x0018_＀＀_x0018_＀＀_x0008_＀＀_x0001_＀＀_x0001_＀＀＀＀＀＀ꈀ䂠폾䭯_x001B_千幘南彆呐彘义⡃呌卍㌬㜸㠴착_x0018_＀＀_x0018_＀＀_x0008_＀＀_x0001_＀＀_x0001_＀＀＀＀＀＀䰀䂐폽䭯_x0019_千幘南彆䅓䕌⡓呌卍㌬㔸㌰착_x0018_＀＀_x0018_＀＀_x0008_＀＀_x0001_＀＀_x0001_＀＀＀＀＀＀㊀䃀퐃䭯_x001C_千幘捩彡敭湡䕟卐㈨〰ⰳ㜳㠶⤰_x0018_＀＀_x0018_＀＀_x0008_＀＀_x0001_＀＀_x0001_＀＀豀碵꼝쐕퐃䭯_x001C_千幘捩彡敭湡䕟卐㈨〰ⰲ㜳ㄳ⤵_x0018_＀＀_x0018_＀＀_x0008_＀＀_x0001_＀＀_x0001_＀＀豀碵꼝쐕퐁䭯_x001E_千幘捩彡敭湡䕟䥂䑔㈨〰ⰴ㠳㈳⤱_x0018_＀＀_x0018_＀＀_x0008_＀＀_x0001_＀＀_x0001_＀＀豀碵꼝쐕폽䭯_x0018_千幘南彆䉅呉䰨䵔ⱓ㠳㤲⤱_x0018_＀＀_x0018_＀＀_x0008_＀＀_x0001_＀＀_x0001_＀＀＀＀＀＀谀䂐폼䭯_x001E_千幘南彆䉅呉䅄䵟乇䰨䵔ⱓ㜳㜳⤶_x0018_＀＀_x0018_＀＀_x0008_＀＀_x0001_＀＀_x0001_＀＀熤挻䀴폻䭯_x001C_千幘南彆䡓䑌卒䕟⡑呑ⱒ㠳〸⤷_x0018_＀＀_x0018_＀＀_x0008_＀＀_x0001_＀＀_x0001_＀＀＀＀＀＀⦀䃀폺䭯_x001A_千幘南彆䅃䡓卟⡔呑ⱒ㠳㌵⤳_x0018_＀＀_x0018_＀＀_x0008_＀＀_x0001_＀＀_x0001_＀＀＀＀＀＀ࠀ䂀퐌䭯,千幘䅃偟协剔呅䕟偍䍟乏剔䉉䍟ㄨ⼲〲㔰ⰬⰬ单⥄_x0018_＀＀_x0018_＀＀_x0008_＀＀_x0001_＀＀_x0001_＀＀豀碵꼝쐕퐁䭯_x001D_千幘捩彡敭湡䕟䥂⡔〲㜰㌬〹ㄵ착_x0018_＀＀_x0018_＀＀_x0008_＀＀_x0001_＀＀_x0001_＀＀豀碵꼝쐕퐁䭯_x001D_千幘捩彡敭湡䕟䥂⡔〲㔰㌬㐸㈷착_x0018_＀＀_x0018_＀＀_x0008_＀＀_x0001_＀＀_x0001_＀＀豀碵꼝쐕퐁䭯_x001D_千幘捩彡敭湡䕟䥂⡔〲㐰㌬ㄸ㜰착_x0018_＀＀_x0018_＀＀_x0008_＀＀_x0001_＀＀_x0001_＀＀豀碵꼝쐕퐁䭯_x001E_千幘捩彡敭湡䕟䥂䑔㈨〰ⰸ㤳ㄴ⤶_x0018_＀＀_x0018_＀＀_x0008_＀＀_x0001_＀＀_x0001_＀＀豀碵꼝쐕퐁䭯_x001E_千幘捩彡敭湡䕟䥂䑔㈨〰ⰶ㠳㌸⤷_x0018_＀＀_x0018_＀＀_x0008_＀＀_x0001_＀＀_x0001_＀＀豀碵꼝쐕폽䭯_x001E_千幘南彆䉅呉䅄䵟乇䰨䵔ⱓ㠳ㄴ⤱_x0018_＀＀_x0018_＀＀_x0008_＀＀_x0001_＀＀_x0001_＀＀筪퍂녓䀶폼䭯_x001E_千幘南彆䉅呉䅄䵟乇䰨䵔ⱓ㜳㈶⤱_x0018_＀＀_x0018_＀＀_x0008_＀＀_x0001_＀＀_x0001_＀＀煎뤧븭䀶폼䭯_x0019_千幘南彆䅓䕌⡓呌卍㌬㠶〶착_x0018_＀＀_x0018_＀＀_x0008_＀＀_x0001_＀＀_x0001_＀＀＀＀＀＀툀䃁폼䭯_x0019_千幘南彆十䕓協儨剔㌬㠷㐹착_x0018_＀＀_x0018_＀＀_x0008_＀＀_x0001_＀＀_x0001_＀＀＀＀＀＀槀䃕폻䭯_x001C_千幘南彆䡓䑌卒䕟⡑呑ⱒ㤳㐴⤷_x0018_＀＀_x0018_＀＀_x0008_＀＀_x0001_＀＀_x0001_＀＀＀＀＀＀䃀폺䭯_x001A_千幘南彆䅃䡓卟⡔呑ⱒ㠳㠳⤳_x0018_＀＀_x0018_＀＀_x0008_＀＀_x0001_＀＀_x0001_＀＀＀＀＀＀_xD800_䂊폺䭯_x001A_千幘南彆䕄呂卟⡔呑ⱒ㘳ㄳ⤱_x0018_＀＀_x0018_＀＀_x0008_＀＀_x0001_＀＀_x0001_＀＀＀＀＀＀䂀퐌䭯J千幘䅃偟久当䥄䍓剟呁⡅㈱㈯〰ⰷⰬ唬䑓䀩南偟久䥓乏䑟卉彃䅒䕔ㄨ⼲〲㜰ⰬⰬ单⥄_x0018_＀＀_x0018_＀＀_x0008_＀＀_x0001_＀＀_x0001_＀＀＀＀＀＀＀＀䀖퐀䭯_x001C_千幘捩彡敭湡獟獬㈨〰ⰴ㜳㠹⤶_x0018_＀＀_x0018_＀＀_x0008_＀＀_x0001_＀＀_x0001_＀＀豀碵꼝쐕폽䭯_x001E_千幘南彆䉅呉䅄䵟乇䰨䵔ⱓ㤳㔰⤱_x0018_＀＀_x0018_＀＀_x0008_＀＀_x0001_＀＀_x0001_＀＀볻襁ቮ䁀폺䭯_x001A_千幘南彆䅃䡓卟⡔呑ⱒ㜳㠶⤰_x0018_＀＀_x0018_＀＀_x0008_＀＀_x0001_＀＀_x0001_＀＀＀＀＀＀耀䁰퐂䭯_x001C_千幘捩彡敭湡偟䥔㈨〰ⰳ㜳㘸⤴_x0018_＀＀_x0018_＀＀_x0008_＀＀_x0001_＀＀_x0001_＀＀豀碵꼝쐕폻䭯_x001A_千幘南彆䕄呂卟⡔呑ⱒ㤳ㄴ⤶_x0018_＀＀_x0018_＀＀_x0008_＀＀_x0001_＀＀_x0001_＀＀＀＀＀＀怀䁭폺䭯_x001A_千幘南彆䕄呂䱟⡔呑ⱒ㜳ㄳ⤵_x0018_＀＀_x0018_＀＀_x0008_＀＀_x0001_＀＀_x0001_＀＀＀＀＀＀케䂶폺䭯_x001A_千幘南彆䕄呂䱟⡔呑ⱒ㘳㈵⤵_x0018_＀＀_x0018_＀＀_x0008_＀＀_x0001_＀＀_x0001_＀＀＀＀＀＀㐀䂸퐁䭯_x001D_千幘捩彡敭湡䕟䥂⡔〲㤰㐬〰㘵착_x0018_＀＀_x0018_＀＀_x0008_＀＀_x0001_＀＀_x0001_＀＀豀碵꼝쐕폹䭯_x0011_千幘浣獟獨㐨〰㘵착_x0018_＀＀_x0018_＀＀_x0008_＀＀_x0001_＀＀_x0001_＀＀豀碵꼝쐕퐃䭯_x001C_千幘捩彡敭湡䕟卐㈨〰ⰶ㠳㐴⤲_x0018_＀＀_x0018_＀＀_x0008_＀＀_x0001_＀＀_x0001_＀＀豀碵꼝쐕퐀䭯_x001E_千幘捩彡敭湡䕟䥂䑔㈨〰ⰳ㜳㈹⤵_x0018_＀＀_x0018_＀＀_x0008_＀＀_x0001_＀＀_x0001_＀＀豀碵꼝쐕퐀䭯_x001B_千幘南彆䕎彔义⡃呌卍㌬㔸㐶착_x0018_＀＀_x0018_＀＀_x0008_＀＀_x0001_＀＀_x0001_＀＀＀＀＀＀쀀䁿퐀䭯_x001B_千幘南彆偅当䥄⡌呌卍㌬㐷㤹착_x0018_＀＀_x0018_＀＀_x0008_＀＀_x0001_＀＀_x0001_＀＀껻︈銷㿫폹䭯_x001D_千幘捩彡敭湡䕟䥂⡔〲㈰㌬㔷〶착_x0018_＀＀_x0018_＀＀_x0008_＀＀_x0001_＀＀_x0001_＀＀豀碵꼝쐕퐍䭯(千幘南偟久䥓乏䅟卓呅当呌ㄨ⼲〲㌰ⰬⰬ单⥄_x0018_＀＀_x0018_＀＀_x0008_＀＀_x0001_＀＀_x0001_＀＀豀碵꼝쐕퐌䭯J千幘䅃偟协剔呅剟䅏䅟呃ㄨ⼲〲㘰ⰬⰬ单⥄址当䱈䡔䅃䕒䅟呃剟䅏ㄨ⼲〲㘰ⰬⰬ单⥄_x0018_＀＀_x0018_＀＀_x0008_＀＀_x0001_＀＀_x0001_＀＀豀碵꼝쐕퐃䭯_x001C_千幘捩彡敭湡䕟卐㈨〰ⰶ㤳㠰⤲_x0018_＀＀_x0018_＀＀_x0008_＀＀_x0001_＀＀_x0001_＀＀豀碵꼝쐕퐂䭯_x001C_千幘捩彡敭湡䕟卐㈨〰ⰱ㘳㘷⤹_x0018_＀＀_x0018_＀＀_x0008_＀＀_x0001_＀＀_x0001_＀＀豀碵꼝쐕폽䭯_x0018_千幘南彆䉅呉䰨䵔ⱓ㘳ㄶ⤶_x0018_＀＀_x0018_＀＀_x0008_＀＀_x0001_＀＀_x0001_＀＀＀＀＀＀堀䂄퐁䭯_x001C_千幘捩彡敭湡獟獬㈨〰ⰷ㠳㐷⤸_x0018_＀＀_x0018_＀＀_x0008_＀＀_x0001_＀＀_x0001_＀＀豀碵꼝쐕폽䭯_x0018_千幘南彆䉅呉䰨䵔ⱓ㠳㐰⤶_x0018_＀＀_x0018_＀＀_x0008_＀＀_x0001_＀＀_x0001_＀＀＀＀＀＀頀䂆폽䭯_x0018_千幘南彆䉅呉䰨䵔ⱓ㜳㔲⤶_x0018_＀＀_x0018_＀＀_x0008_＀＀_x0001_＀＀_x0001_＀＀＀＀＀＀䂎퐁䭯_x001C_千幘捩彡敭湡獟獬㈨㄰ⰰ㤳㤹⤴_x0018_＀＀_x0018_＀＀_x0008_＀＀_x0001_＀＀_x0001_＀＀豀碵꼝쐕퐁䭯_x001E_千幘捩彡敭湡䕟䥂䑔㈨〰ⰵ㠳㤲⤱_x0018_＀＀_x0018_＀＀_x0008_＀＀_x0001_＀＀_x0001_＀＀豀碵꼝쐕퐀䭯_x001C_千幘捩彡敭湡獟獬㈨〰ⰳ㜳㤵⤰_x0018_＀＀_x0018_＀＀_x0008_＀＀_x0001_＀＀_x0001_＀＀豀碵꼝쐕폿䭯_x001B_千幘南彆偅当䥄⡌呌卍㌬㠶ㄹ착_x0018_＀＀_x0018_＀＀_x0008_＀＀_x0001_＀＀_x0001_＀＀긔ᑺ㿞폺䭯_x001A_千幘南彆䅃䡓卟⡔呑ⱒ㠳㌱⤸_x0018_＀＀_x0018_＀＀_x0008_＀＀_x0001_＀＀_x0001_＀＀＀＀＀＀䁻퐍䭯 千幘南䕟䍘彈䅒䕔䥟䍎䍟⡆㈱㈯〰⤴_x0018_＀＀_x0018_＀＀_x0008_＀＀_x0001_＀＀_x0001_＀＀豀碵꼝쐕퐌䭯＀Ｏ千幘南䡟呌䍈剁彅䵁剏彔䕓噒䍟协⡔㈱㈯〰ⰷⰬ唬䑓착_x0018_＀＀_x0018_＀＀_x0008_＀＀_x0001_＀＀_x0001_＀＀＀＀＀＀＀＀쀔퐁䭯_x001D_千幘捩彡敭湡䕟䥂⡔〲㔰㌬〸㜷착_x0018_＀＀_x0018_＀＀_x0008_＀＀_x0001_＀＀_x0001_＀＀豀碵꼝쐕폼䭯_x0019_千幘南彆十䕓協儨剔㌬㐷㤹착_x0018_＀＀_x0018_＀＀_x0008_＀＀_x0001_＀＀_x0001_＀＀＀＀＀＀渀䃔폻䭯_x001A_千幘南彆䕄呂䱟⡔呑ⱒ〴㔰⤶_x0018_＀＀_x0018_＀＀_x0008_＀＀_x0001_＀＀_x0001_＀＀＀＀＀＀ﴀ䂾폹䭯_x0012_千幘彐剐䍉⡅㤳㈳⤵_x0018_＀＀_x0018_＀＀_x0008_＀＀_x0001_＀＀_x0001_＀＀＀＀＀＀耀䁄퐍䭯N千幘䅃偟久当乕䕒佃⡇㈱㈯〰ⰴⰬ唬䑓䀩南偟久䥓乏啟剎䍅卟剅彖佃呓ㄨ⼲〲㐰ⰬⰬ单⥄_x0018_＀＀_x0018_＀＀_x0008_＀＀_x0001_＀＀_x0001_＀＀＀＀＀＀＀＀䀻퐃䭯_x001C_千幘捩彡敭湡䕟卐㈨㄰ⰰ〴㜱⤸_x0018_＀＀_x0018_＀＀_x0008_＀＀_x0001_＀＀_x0001_＀＀豀碵꼝쐕퐁䭯_x001E_千幘捩彡敭湡䕟䥂䑔㈨〰ⰹ〴㈰⤵_x0018_＀＀_x0018_＀＀_x0008_＀＀_x0001_＀＀_x0001_＀＀豀碵꼝쐕폾䭯_x001B_千幘南彆呐彘义⡃呌卍㌬㌹㔲착_x0018_＀＀_x0018_＀＀_x0008_＀＀_x0001_＀＀_x0001_＀＀＀＀＀＀ᰀ䂜폽䭯_x0018_千幘南彆䉅呉䰨䵔ⱓ㠳㘸⤸_x0018_＀＀_x0018_＀＀_x0008_＀＀_x0001_＀＀_x0001_＀＀＀＀＀＀␀䂙폻䭯_x001C_千幘南彆䡓䑌卒䕟⡑呑ⱒ㘳㘷⤹_x0018_＀＀_x0018_＀＀_x0008_＀＀_x0001_＀＀_x0001_＀＀＀＀＀＀㸀䂶퐍䭯)千幘䅃偟久当䵅彐佃呎䥒彂⡃㈱㈯〰ⰸⰬ唬䑓착_x0018_＀＀_x0018_＀＀_x0008_＀＀_x0001_＀＀_x0001_＀＀豀碵꼝쐕퐃䭯_x001C_千幘捩彡敭湡䕟卐㈨〰ⰵ㠳㠶⤶_x0018_＀＀_x0018_＀＀_x0008_＀＀_x0001_＀＀_x0001_＀＀豀碵꼝쐕폾䭯_x0018_千幘南彆䉅呉䰨䵔ⱓ㤳〹⤳_x0018_＀＀_x0018_＀＀_x0008_＀＀_x0001_＀＀_x0001_＀＀＀＀＀＀舀䂣폻䭯_x001C_千幘南彆䡓䑌卒䕟⡑呑ⱒ㠳㤱⤹_x0018_＀＀_x0018_＀＀_x0008_＀＀_x0001_＀＀_x0001_＀＀＀＀＀＀ഀ䂺폹䭯_x0012_千幘彐剐䍉⡅㠳㜴⤲_x0018_＀＀_x0018_＀＀_x0008_＀＀_x0001_＀＀_x0001_＀＀㵱휊Ⴃ䀴퐌䭯&lt;千幘䅃偟久当䥄䍓剟呁⡅㈱㈯〰⤸址当䕐华佉彎䥄䍓剟呁⡅㈱㈯〰⤸_x0018_＀＀_x0018_＀＀_x0008_＀＀_x0001_＀＀_x0001_＀＀＀＀＀＀＀＀䀘퐌䭯+千幘䅃偟协剔呅偟剁彔佃呎䥒⡂㈱㈯〰ⰳⰬ唬䑓착_x0018_＀＀_x0018_＀＀_x0008_＀＀_x0001_＀＀_x0001_＀＀豀碵꼝쐕퐀䭯_x001B_千幘南彆䕎彔义⡃呌卍㌬㔷㤲착_x0018_＀＀_x0018_＀＀_x0008_＀＀_x0001_＀＀_x0001_＀＀＀＀＀＀뀀䁸폾䭯_x001B_千幘南彆呐彘义⡃呌卍㌬㐸㈷착_x0018_＀＀_x0018_＀＀_x0008_＀＀_x0001_＀＀_x0001_＀＀＀＀＀＀堀䂋폾䭯_x0018_千幘南彆䉅呉䰨䵔ⱓ〴㐱⤷_x0018_＀＀_x0018_＀＀_x0008_＀＀_x0001_＀＀_x0001_＀＀＀＀＀＀樀䂡폽䭯_x0019_千幘南彆䅓䕌⡓呌卍㐬㈰㤰착_x0018_＀＀_x0018_＀＀_x0008_＀＀_x0001_＀＀_x0001_＀＀＀＀＀＀ꢀ䃁폼䭯_x0019_千幘南彆十䕓協儨剔㌬㠶ㄹ착_x0018_＀＀_x0018_＀＀_x0008_＀＀_x0001_＀＀_x0001_＀＀＀＀＀＀ˀ䃔폺䭯_x001A_千幘南彆䕄呂卟⡔呑ⱒ㘳㌷⤸_x0018_＀＀_x0018_＀＀_x0008_＀＀_x0001_＀＀_x0001_＀＀＀＀＀＀ࠀ䂊폹䭯_x001D_千幘捩彡敭湡䕟䥂⡔〲㌰㌬㘷〸착_x0018_＀＀_x0018_＀＀_x0008_＀＀_x0001_＀＀_x0001_＀＀豀碵꼝쐕폽䭯_x001E_千幘南彆䉅呉䅄䵟乇䰨䵔ⱓ㤳㜴⤸_x0018_＀＀_x0018_＀＀_x0008_＀＀_x0001_＀＀_x0001_＀＀혤Ⳬ㧰䁀폻䭯_x001C_千幘南彆䡓䑌卒䕟⡑呑ⱒ㜳㐷⤱_x0018_＀＀_x0018_＀＀_x0008_＀＀_x0001_＀＀_x0001_＀＀＀＀＀＀대䂸폺䭯_x001A_千幘南彆䕄呂卟⡔呑ⱒ㠳㘱⤸_x0018_＀＀_x0018_＀＀_x0008_＀＀_x0001_＀＀_x0001_＀＀＀＀＀＀瀀䂉폹䭯_x0011_千幘浣獟獨㌨㔸㐶착_x0018_＀＀_x0018_＀＀_x0008_＀＀_x0001_＀＀_x0001_＀＀豀碵꼝쐕慉䰎_x0016_千幘彐剐䍉Ņ㔠㌯⼱〲〱_x0018_＀＀_x0018_＀＀_x0008_＀＀_x0001_＀＀_x0001_＀＀＀＀＀＀ 䁊퐂䭯_x001C_千幘捩彡敭湡偟䥔㈨〰ⰵ㠳㌲⤰_x0018_＀＀_x0018_＀＀_x0008_＀＀_x0001_＀＀_x0001_＀＀豀碵꼝쐕폽䭯_x001E_千幘南彆䉅呉䅄䵟乇䰨䵔ⱓ〴ㄱ⤷_x0018_＀＀_x0018_＀＀_x0008_＀＀_x0001_＀＀_x0001_＀＀厄敝뒨䁀폽䭯_x0019_千幘南彆䅓䕌⡓呌卍㌬㜹㈵착_x0018_＀＀_x0018_＀＀_x0008_＀＀_x0001_＀＀_x0001_＀＀＀＀＀＀쬀䃅퐂䭯_x001C_千幘捩彡敭湡䕟卐ㄨ㤹ⰹ㘳㤴⤴_x0018_＀＀_x0018_＀＀_x0008_＀＀_x0001_＀＀_x0001_＀＀豀碵꼝쐕퐁䭯_x001C_千幘捩彡敭湡獟獬㈨〰ⰸ㤳㔷⤲_x0018_＀＀_x0018_＀＀_x0008_＀＀_x0001_＀＀_x0001_＀＀豀碵꼝쐕퐁䭯_x001E_千幘捩彡敭湡䕟䥂䑔㈨〰ⰵ㠳㐰⤶_x0018_＀＀_x0018_＀＀_x0008_＀＀_x0001_＀＀_x0001_＀＀豀碵꼝쐕퐀䭯_x001B_千幘南彆䕎彔义⡃呌卍㌬㜷ㄱ착_x0018_＀＀_x0018_＀＀_x0008_＀＀_x0001_＀＀_x0001_＀＀＀＀＀＀退䁻폾䭯_x001B_千幘南彆偅当䥄⡌呌卍㌬㘶㘴착_x0018_＀＀_x0018_＀＀_x0008_＀＀_x0001_＀＀_x0001_＀＀픓͛╛㾈폻䭯_x001A_千幘南彆䅃䡓卟⡔呑ⱒ㤳㠷⤲_x0018_＀＀_x0018_＀＀_x0008_＀＀_x0001_＀＀_x0001_＀＀＀＀＀＀堀䂎퐂䭯_x001C_千幘捩彡敭湡偟䥔㈨〰ⰷ㤳㠳⤶_x0018_＀＀_x0018_＀＀_x0008_＀＀_x0001_＀＀_x0001_＀＀豀碵꼝쐕퐀䭯_x001B_千幘南彆䕎彔义⡃呌卍㌬ㄹㄴ착_x0018_＀＀_x0018_＀＀_x0008_＀＀_x0001_＀＀_x0001_＀＀＀＀＀＀砀䂔폽䭯_x001E_千幘南彆䉅呉䅄䵟乇䰨䵔ⱓ㤳㘶⤰_x0018_＀＀_x0018_＀＀_x0008_＀＀_x0001_＀＀_x0001_＀＀_xD884_䏄ꄘ䁀폺䭯_x001A_千幘南彆䕄呂卟⡔呑ⱒ㜳㘵⤰_x0018_＀＀_x0018_＀＀_x0008_＀＀_x0001_＀＀_x0001_＀＀＀＀＀＀ 䂉퐍䭯%千幘䅃偟久当啃归䥌䉁⡓㈱㈯〰ⰳⰬ唬䑓착_x0018_＀＀_x0018_＀＀_x0008_＀＀_x0001_＀＀_x0001_＀＀豀碵꼝쐕퐈䭯(千幘南偟久䥓乏䅟卓呅当呌ㄨ⼲〲㤰ⰬⰬ单⥄_x0018_＀＀_x0018_＀＀_x0008_＀＀_x0001_＀＀_x0001_＀＀豀碵꼝쐕퐂䭯_x001C_千幘捩彡敭湡䕟卐㈨〰ⰱ㘳㔵⤶_x0018_＀＀_x0018_＀＀_x0008_＀＀_x0001_＀＀_x0001_＀＀豀碵꼝쐕퐁䭯_x001D_千幘捩彡敭湡䕟䥂⡔〲㘰㌬㐸㈴착_x0018_＀＀_x0018_＀＀_x0008_＀＀_x0001_＀＀_x0001_＀＀豀碵꼝쐕퐁䭯_x001C_千幘捩彡敭湡獟獬㈨㄰ⰰ㤳㐸⤴_x0018_＀＀_x0018_＀＀_x0008_＀＀_x0001_＀＀_x0001_＀＀豀碵꼝쐕퐁䭯_x001E_千幘捩彡敭湡䕟䥂䑔㈨〰ⰷ㠳〸⤷_x0018_＀＀_x0018_＀＀_x0008_＀＀_x0001_＀＀_x0001_＀＀豀碵꼝쐕퐀䭯_x001B_千幘南彆偅当䥄⡌呌卍㌬㌸ㄲ착_x0018_＀＀_x0018_＀＀_x0008_＀＀_x0001_＀＀_x0001_＀＀⨆_xDFE3_屧㿭폽䭯_x0018_千幘南彆䉅呉䰨䵔ⱓ㘳〴⤳_x0018_＀＀_x0018_＀＀_x0008_＀＀_x0001_＀＀_x0001_＀＀＀＀＀＀퐀䂚퐌䭯E千幘䅃偟协剔呅䉟久佟⡂㈱㈯〰ⰹⰬ唬䑓䀩南䡟呌䍈剁彅䉐⡏㈱㈯〰ⰹⰬ唬䑓착_x0018_＀＀_x0018_＀＀_x0008_＀＀_x0001_＀＀_x0001_＀＀豀碵꼝쐕퐌䭯F千幘䅃偟协剔呅剟䅏ㄨ⼲〲㜰ⰬⰬ单⥄址当䱈䡔䅃䕒䕟偘剟䅏ㄨ⼲〲㜰ⰬⰬ单⥄_x0018_＀＀_x0018_＀＀_x0008_＀＀_x0001_＀＀_x0001_＀＀豀碵꼝쐕퐁䭯_x001D_千幘捩彡敭湡䕟䥂⡔〲㘰㌬〹㈸착_x0018_＀＀_x0018_＀＀_x0008_＀＀_x0001_＀＀_x0001_＀＀豀碵꼝쐕퐁䭯_x001E_千幘捩彡敭湡䕟䥂䑔㈨〰ⰷ㤳㐴⤷_x0018_＀＀_x0018_＀＀_x0008_＀＀_x0001_＀＀_x0001_＀＀豀碵꼝쐕퐁䭯_x001C_千幘捩彡敭湡獟獬㈨〰ⰷ㤳㈳⤵_x0018_＀＀_x0018_＀＀_x0008_＀＀_x0001_＀＀_x0001_＀＀豀碵꼝쐕폺䭯_x001A_千幘南彆䕄呂䱟⡔呑ⱒ㠳㘵⤴_x0018_＀＀_x0018_＀＀_x0008_＀＀_x0001_＀＀_x0001_＀＀＀＀＀＀ᜀ䂵폹䭯_x0012_千幘彐剐䍉⡅㜳㌴⤷_x0018_＀＀_x0018_＀＀_x0008_＀＀_x0001_＀＀_x0001_＀＀晧晦虦䀱퐀䭯_x001B_千幘南彆偅当䥄⡌呌卍㌬㠸㠹착_x0018_＀＀_x0018_＀＀_x0008_＀＀_x0001_＀＀_x0001_＀＀풪臬ꁖ䀁폾䭯_x001B_千幘南彆呐彘义⡃呌卍㌬㐷㜳착_x0018_＀＀_x0018_＀＀_x0008_＀＀_x0001_＀＀_x0001_＀＀＀＀＀＀_xD800_䂂폼䭯_x0019_千幘南彆十䕓協儨剔㌬㘶㘴착_x0018_＀＀_x0018_＀＀_x0008_＀＀_x0001_＀＀_x0001_＀＀＀＀＀＀ୀ䃔폹䭯_x0012_千幘彐剐䍉⡅㠳㜰⤷_x0018_＀＀_x0018_＀＀_x0008_＀＀_x0001_＀＀_x0001_＀＀휊炣䨽䀮폹䭯_x0012_千幘彐剐䍉⡅㜳㠲⤷_x0018_＀＀_x0018_＀＀_x0008_＀＀_x0001_＀＀_x0001_＀＀＀＀＀＀＀＀䀴퐀䭯_x001B_千幘南彆偅当䥄⡌呌卍㌬㤹㌳착_x0018_＀＀_x0018_＀＀_x0008_＀＀_x0001_＀＀_x0001_＀＀䁏愓鏃䀉폾䭯_x001B_千幘南彆呐彘义⡃呌卍㌬〸㜷착_x0018_＀＀_x0018_＀＀_x0008_＀＀_x0001_＀＀_x0001_＀＀＀＀＀＀뀀䁱폾䭯_x001B_千幘南彆呐彘义⡃呌卍㌬㈷㜸착_x0018_＀＀_x0018_＀＀_x0008_＀＀_x0001_＀＀_x0001_＀＀＀＀＀＀က䁾폼䭯_x0019_千幘南彆䅓䕌⡓呌卍㌬〷㈴착_x0018_＀＀_x0018_＀＀_x0008_＀＀_x0001_＀＀_x0001_＀＀＀＀＀＀㚀䃀폹䭯_x0011_千幘浣獟獨㌨㔷㤲착_x0018_＀＀_x0018_＀＀_x0008_＀＀_x0001_＀＀_x0001_＀＀豀碵꼝쐕퐌䭯P千幘䅃偟协剔呅偟䅌彎十彔久⡄㈱㈯〰ⰴⰬ唬䑓䀩南䡟呌䍈剁彅噆䅟卓呅ㄨ⼲〲㐰ⰬⰬ单⥄_x0018_＀＀_x0018_＀＀_x0008_＀＀_x0001_＀＀_x0001_＀＀豀碵꼝쐕퐈䭯9千幘䅃偟久当䕎彔佃呓ㄨ⼲〲㤰䀩南偟久䥓乏也偐䕟偘ㄨ⼲〲㤰착_x0018_＀＀_x0018_＀＀_x0008_＀＀_x0001_＀＀_x0001_＀＀豀碵꼝쐕퐃䭯_x001C_千幘捩彡敭湡䕟卐㈨〰ⰷ㤳〲⤲_x0018_＀＀_x0018_＀＀_x0008_＀＀_x0001_＀＀_x0001_＀＀豀碵꼝쐕퐁䭯_x001C_千幘捩彡敭湡獟獬㈨〰ⰴ㠳㘱⤸_x0018_＀＀_x0018_＀＀_x0008_＀＀_x0001_＀＀_x0001_＀＀豀碵꼝쐕폽䭯_x0019_千幘南彆䅓䕌⡓呌卍㌬㔹㜰착_x0018_＀＀_x0018_＀＀_x0008_＀＀_x0001_＀＀_x0001_＀＀＀＀＀＀需䃃폽䭯_x0019_千幘南彆䅓䕌⡓呌卍㌬㜸㜱착_x0018_＀＀_x0018_＀＀_x0008_＀＀_x0001_＀＀_x0001_＀＀＀＀＀＀픀䃀폼䭯_x0019_千幘南彆十䕓協儨剔㌬㌸ㄲ착_x0018_＀＀_x0018_＀＀_x0008_＀＀_x0001_＀＀_x0001_＀＀＀＀＀＀쭀䃗폻䭯_x001C_千幘南彆䡓䑌卒䕟⡑呑ⱒ㜳㐳⤶_x0018_＀＀_x0018_＀＀_x0008_＀＀_x0001_＀＀_x0001_＀＀＀＀＀＀＀＀䂸폻䭯_x001C_千幘南彆䡓䑌卒䕟⡑呑ⱒ㘳㔵⤶_x0018_＀＀_x0018_＀＀_x0008_＀＀_x0001_＀＀_x0001_＀＀＀＀＀＀簀䂶폺䭯_x001A_千幘南彆䅃䡓卟⡔呑ⱒ㜳㜰⤲_x0018_＀＀_x0018_＀＀_x0008_＀＀_x0001_＀＀_x0001_＀＀＀＀＀＀怀䂁퐌䭯'千幘䅃偟协剔呅䉟久偟䥁⡄㈱㈯〰ⰳⰬ唬䑓착_x0018_＀＀_x0018_＀＀_x0008_＀＀_x0001_＀＀_x0001_＀＀豀碵꼝쐕퐃䭯_x001C_千幘捩彡敭湡䕟卐㈨〰ⰳ㜳㤸⤴_x0018_＀＀_x0018_＀＀_x0008_＀＀_x0001_＀＀_x0001_＀＀豀碵꼝쐕퐃䭯_x001C_千幘捩彡敭湡䕟卐㈨〰ⰲ㜳㈵⤹_x0018_＀＀_x0018_＀＀_x0008_＀＀_x0001_＀＀_x0001_＀＀豀碵꼝쐕퐁䭯_x001D_千幘捩彡敭湡䕟䥂⡔〲〱㐬㄰㠷착_x0018_＀＀_x0018_＀＀_x0008_＀＀_x0001_＀＀_x0001_＀＀豀碵꼝쐕퐁䭯_x001C_千幘捩彡敭湡獟獬㈨〰ⰹ㤳㜸⤲_x0018_＀＀_x0018_＀＀_x0008_＀＀_x0001_＀＀_x0001_＀＀豀碵꼝쐕퐁䭯_x001C_千幘捩彡敭湡獟獬㈨〰ⰸ㤳〵⤷_x0018_＀＀_x0018_＀＀_x0008_＀＀_x0001_＀＀_x0001_＀＀豀碵꼝쐕퐍䭯Q千幘䅃偟久当䍁啃彍佃偍䥒䍎ㄨ⼲〲㐰ⰬⰬ单⥄址当佃偍归义彃䕐华䱟䅉⡂㈱㈯〰ⰴⰬ唬䑓착_x0018_＀＀_x0018_＀＀_x0008_＀＀_x0001_＀＀_x0001_＀＀＀＀＀＀䀀쁲퐌䭯+千幘䅃偟协剔呅偟剁彔佃呎䥒⡂㈱㈯〰ⰹⰬ唬䑓착_x0018_＀＀_x0018_＀＀_x0008_＀＀_x0001_＀＀_x0001_＀＀豀碵꼝쐕퐃䭯_x001C_千幘捩彡敭湡䕟卐㈨〰ⰹ㤳㘵⤸_x0018_＀＀_x0018_＀＀_x0008_＀＀_x0001_＀＀_x0001_＀＀豀碵꼝쐕퐁䭯_x001D_千幘捩彡敭湡䕟䥂⡔〲㔰㌬㘸㘸착_x0018_＀＀_x0018_＀＀_x0008_＀＀_x0001_＀＀_x0001_＀＀豀碵꼝쐕퐁䭯_x001C_千幘捩彡敭湡獟獬㈨〰ⰶ㠳㈹⤹_x0018_＀＀_x0018_＀＀_x0008_＀＀_x0001_＀＀_x0001_＀＀豀碵꼝쐕퐁䭯_x001E_千幘捩彡敭湡䕟䥂䑔㈨〰ⰶ㠳ㄴ⤱_x0018_＀＀_x0018_＀＀_x0008_＀＀_x0001_＀＀_x0001_＀＀豀碵꼝쐕폽䭯_x001E_千幘南彆䉅呉䅄䵟乇䰨䵔ⱓ㠳㈶⤵_x0018_＀＀_x0018_＀＀_x0008_＀＀_x0001_＀＀_x0001_＀＀뮋䚛鼌䀹폽䭯_x0019_千幘南彆䅓䕌⡓呌卍㌬㠷㐶착_x0018_＀＀_x0018_＀＀_x0008_＀＀_x0001_＀＀_x0001_＀＀＀＀＀＀褀䂿폼䭯_x0019_千幘南彆十䕓協儨剔㌬㠸㠹착_x0018_＀＀_x0018_＀＀_x0008_＀＀_x0001_＀＀_x0001_＀＀＀＀＀＀ր䃘폻䭯_x001C_千幘南彆䡓䑌卒䕟⡑呑ⱒ㤳㈰⤱_x0018_＀＀_x0018_＀＀_x0008_＀＀_x0001_＀＀_x0001_＀＀＀＀＀＀䃀폺䭯_x001A_千幘南彆䕄呂卟⡔呑ⱒ㜳ㄳ⤵_x0018_＀＀_x0018_＀＀_x0008_＀＀_x0001_＀＀_x0001_＀＀＀＀＀＀퐀䂓폺䭯_x001A_千幘南彆䕄呂卟⡔呑ⱒ㘳㈵⤵_x0018_＀＀_x0018_＀＀_x0008_＀＀_x0001_＀＀_x0001_＀＀＀＀＀＀_xD800_䂌폹䭯_x0011_千幘浣獟獨㌨㜷ㄱ착_x0018_＀＀_x0018_＀＀_x0008_＀＀_x0001_＀＀_x0001_＀＀豀碵꼝쐕퐌䭯#千幘䅃偟协剔呅䱟䅉⡂㈱㈯〰ⰷⰬ唬䑓착_x0018_＀＀_x0018_＀＀_x0008_＀＀_x0001_＀＀_x0001_＀＀豀碵꼝쐕퐃䭯_x001C_千幘捩彡敭湡䕟卐㈨〰ⰹ㤳ㄸ⤳_x0018_＀＀_x0018_＀＀_x0008_＀＀_x0001_＀＀_x0001_＀＀豀碵꼝쐕퐁䭯_x001E_千幘捩彡敭湡䕟䥂䑔㈨〰ⰶ㤳㔰⤱_x0018_＀＀_x0018_＀＀_x0008_＀＀_x0001_＀＀_x0001_＀＀豀碵꼝쐕폽䭯_x0019_千幘南彆䅓䕌⡓呌卍㌬㈹㐹착_x0018_＀＀_x0018_＀＀_x0008_＀＀_x0001_＀＀_x0001_＀＀＀＀＀＀ጀ䃃폼䭯_x0019_千幘南彆十䕓協儨剔㌬㤹㌳착_x0018_＀＀_x0018_＀＀_x0008_＀＀_x0001_＀＀_x0001_＀＀＀＀＀＀䃙폺䭯_x001A_千幘南彆䅃䡓卟⡔呑ⱒ㜳㤸⤴_x0018_＀＀_x0018_＀＀_x0008_＀＀_x0001_＀＀_x0001_＀＀＀＀＀＀＀＀䂇폹䭯_x0012_千幘彐剐䍉⡅〴㜱⤸_x0018_＀＀_x0018_＀＀_x0008_＀＀_x0001_＀＀_x0001_＀＀蔟凫㺸䁈폹䭯_x0011_千幘浣獟獨㌨ㄹㄴ착_x0018_＀＀_x0018_＀＀_x0008_＀＀_x0001_＀＀_x0001_＀＀豀碵꼝쐕퐍䭯$千幘䅃偟久当䕂彎䅐䑉ㄨ⼲〲㐰ⰬⰬ单⥄_x0018_＀＀_x0018_＀＀_x0008_＀＀_x0001_＀＀_x0001_＀＀豀碵꼝쐕퐌䭯(千幘南䡟呌䍈剁彅乕彆䕂⡎㈱㈯〰ⰶⰬ唬䑓⤩＀＀＀＀퐌䭯E千幘䅃偟协剔呅䉟久佟⡂㈱㈯〰ⰱⰬ唬䑓䀩南䡟呌䍈剁彅䉐⡏㈱㈯〰ⰱⰬ唬䑓착_x0018_＀＀_x0018_＀＀_x0008_＀＀_x0001_＀＀_x0001_＀＀豀碵꼝쐕퐁䭯_x001C_千幘捩彡敭湡獟獬㈨〰ⰸ㤳㤲⤴_x0018_＀＀_x0018_＀＀_x0008_＀＀_x0001_＀＀_x0001_＀＀豀碵꼝쐕폾䭯_x001B_千幘南彆呐彘义⡃呌卍㐬㄰㠷착_x0018_＀＀_x0018_＀＀_x0008_＀＀_x0001_＀＀_x0001_＀＀＀＀＀＀吀䂛폽䭯_x001E_千幘南彆䉅呉䅄䵟乇䰨䵔ⱓ㜳㜷⤲_x0018_＀＀_x0018_＀＀_x0008_＀＀_x0001_＀＀_x0001_＀＀祒庼䀵폺䭯_x001A_千幘南彆䕄呂䱟⡔呑ⱒ㜳㈵⤹_x0018_＀＀_x0018_＀＀_x0008_＀＀_x0001_＀＀_x0001_＀＀＀＀＀＀∀䂹퐂䭯_x001C_千幘捩彡敭湡偟䥔㈨㄰ⰰ〴㠰⤶_x0018_＀＀_x0018_＀＀_x0008_＀＀_x0001_＀＀_x0001_＀＀豀碵꼝쐕폾䭯_x001B_千幘南彆偅当䥄⡌呌卍㌬㐶㌳착_x0018_＀＀_x0018_＀＀_x0008_＀＀_x0001_＀＀_x0001_＀＀땴ﬕ㿛퐈䭯_x001E_千幘䅃偟久当佃偍剟呁⡅㈱㈯〰⤹_x0018_＀＀_x0018_＀＀_x0008_＀＀_x0001_＀＀_x0001_＀＀豀碵꼝쐕퐃䭯_x001C_千幘捩彡敭湡䕟卐㈨〰ⰶ㠳㔶⤶_x0018_＀＀_x0018_＀＀_x0008_＀＀_x0001_＀＀_x0001_＀＀豀碵꼝쐕퐁䭯_x001E_千幘捩彡敭湡䕟䥂䑔㈨㄰ⰰ㤳〹⤳_x0018_＀＀_x0018_＀＀_x0008_＀＀_x0001_＀＀_x0001_＀＀豀碵꼝쐕퐀䭯_x001B_千幘南彆䕎彔义⡃呌卍㌬㔹㠶착_x0018_＀＀_x0018_＀＀_x0008_＀＀_x0001_＀＀_x0001_＀＀＀＀＀＀䂔퐊䭯%千幘䅃偟久当啃归䥌䉁⡓㈱㈯〰ⰹⰬ唬䑓착_x0018_＀＀_x0018_＀＀_x0008_＀＀_x0001_＀＀_x0001_＀＀豀碵꼝쐕퐂䭯_x001C_千幘捩彡敭湡偟䥔㈨〰ⰹ㤳㌹⤳_x0018_＀＀_x0018_＀＀_x0008_＀＀_x0001_＀＀_x0001_＀＀豀碵꼝쐕퐁䭯_x001E_千幘捩彡敭湡䕟䥂䑔㈨㄰ⰰ〴㐱⤷_x0018_＀＀_x0018_＀＀_x0008_＀＀_x0001_＀＀_x0001_＀＀豀碵꼝쐕퐁䭯_x001C_千幘捩彡敭湡獟獬㈨㄰ⰰ〴㈰⤵_x0018_＀＀_x0018_＀＀_x0008_＀＀_x0001_＀＀_x0001_＀＀豀碵꼝쐕퐀䭯_x001B_千幘南彆䕎彔义⡃呌卍㌬㠹㌱착_x0018_＀＀_x0018_＀＀_x0008_＀＀_x0001_＀＀_x0001_＀＀＀＀＀＀吀䂕퐀䭯_x001B_千幘南彆偅当䥄⡌呌卍㌬㔹㠳착_x0018_＀＀_x0018_＀＀_x0008_＀＀_x0001_＀＀_x0001_＀＀ӕ적䀉퐀䭯_x001B_千幘南彆偅当䥄⡌呌卍㌬㜸㠴착_x0018_＀＀_x0018_＀＀_x0008_＀＀_x0001_＀＀_x0001_＀＀䵀嬭௫㿹폻䭯_x001C_千幘南彆䡓䑌卒䕟⡑呑ⱒ㠳㤹⤰_x0018_＀＀_x0018_＀＀_x0008_＀＀_x0001_＀＀_x0001_＀＀＀＀＀＀䃀폺䭯_x001A_千幘南彆䕄呂䱟⡔呑ⱒ㜳ㄷ⤱_x0018_＀＀_x0018_＀＀_x0008_＀＀_x0001_＀＀_x0001_＀＀＀＀＀＀缀䂹퐈䭯H千幘䅃偟久当义彔佃呓ㄨ⼲〲㤰ⰬⰬ单⥄址当䕐华佉彎义彔佃呓ㄨ⼲〲㤰ⰬⰬ单⥄_x0018_＀＀_x0018_＀＀_x0008_＀＀_x0001_＀＀_x0001_＀＀豀碵꼝쐕퐃䭯_x001C_千幘捩彡敭湡䕟卐㈨〰ⰸ㤳㜱⤲_x0018_＀＀_x0018_＀＀_x0008_＀＀_x0001_＀＀_x0001_＀＀豀碵꼝쐕퐁䭯_x001C_千幘捩彡敭湡獟獬㈨〰ⰵ㠳㌵⤳_x0018_＀＀_x0018_＀＀_x0008_＀＀_x0001_＀＀_x0001_＀＀豀碵꼝쐕폻䭯_x001A_千幘南彆䕄呂卟⡔呑ⱒ〴㔰⤶_x0018_＀＀_x0018_＀＀_x0008_＀＀_x0001_＀＀_x0001_＀＀＀＀＀＀䁳폻䭯_x001A_千幘南彆䕄呂䱟⡔呑ⱒ㤳㐱⤱_x0018_＀＀_x0018_＀＀_x0008_＀＀_x0001_＀＀_x0001_＀＀＀＀＀＀䂴퐍䭯)千幘南偟久䥓乏噟䱁䅟卓呅⡓㈱㈯〰ⰲⰬ唬䑓착_x0018_＀＀_x0018_＀＀_x0008_＀＀_x0001_＀＀_x0001_＀＀＀＀＀＀뀀䂔䮋_x001D_刣晥敲桳帣南䙟䍙〨䀩䅃䙟䍙〨착_x0014_＀＀_x0018_＀＀_x0004_＀＀_x0001_＀＀_x0008_＀＀乀A퐃䭯_x001C_千幘捩彡敭湡䕟卐㈨〰ⰳ㜳㤴⤹_x0018_＀＀_x0018_＀＀_x0008_＀＀_x0001_＀＀_x0001_＀＀豀碵꼝쐕퐁䭯_x001C_千幘捩彡敭湡獟獬㈨〰ⰵ㠳㠳⤳_x0018_＀＀_x0018_＀＀_x0008_＀＀_x0001_＀＀_x0001_＀＀豀碵꼝쐕퐀䭯_x001B_千幘南彆䕎彔义⡃呌卍㌬㤸〶착_x0018_＀＀_x0018_＀＀_x0008_＀＀_x0001_＀＀_x0001_＀＀＀＀＀＀　䂐폼䭯_x0019_千幘南彆十䕓協儨剔㌬㐶㌳착_x0018_＀＀_x0018_＀＀_x0008_＀＀_x0001_＀＀_x0001_＀＀＀＀＀＀謀䃔퐍䭯'千幘南偟久䥓乏也呅䱟䅉⡂㈱㈯〰ⰵⰬ唬䑓착_x0018_＀＀_x0018_＀＀_x0008_＀＀_x0001_＀＀_x0001_＀＀豀碵꼝쐕퐈䭯&lt;千幘䅃偟久当佒彁䅒䕔ㄨ⼲〲㤰䀩南偟久䥓乏䕟偘䱟彔佒⡁㈱㈯〰⤹_x0018_＀＀_x0018_＀＀_x0008_＀＀_x0001_＀＀_x0001_＀＀豀碵꼝쐕폽䭯_x0018_千幘南彆䉅呉䰨䵔ⱓ㜳〸⤲_x0018_＀＀_x0018_＀＀_x0008_＀＀_x0001_＀＀_x0001_＀＀＀＀＀＀ꐀ䂑퐄䭯8刣晥敲桳帣䅃偟久当佒彁䅒䕔丨⥁址当䕐华佉彎塅彐呌剟䅏丨⥁_x0018_＀＀_x0018_＀＀_x0008_＀＀_x0001_＀＀_x0001_＀＀豀碵꼝쐕퐁䭯_x001E_千幘捩彡敭湡䕟䥂䑔㈨〰ⰴ㠳㜰⤷_x0018_＀＀_x0018_＀＀_x0008_＀＀_x0001_＀＀_x0001_＀＀豀碵꼝쐕폽䭯_x0018_千幘南彆䉅呉䰨䵔ⱓ㠳㐴⤲_x0018_＀＀_x0018_＀＀_x0008_＀＀_x0001_＀＀_x0001_＀＀＀＀＀＀退䂔폽䭯_x0018_千幘南彆䉅呉䰨䵔ⱓ㜳㔶⤲_x0018_＀＀_x0018_＀＀_x0008_＀＀_x0001_＀＀_x0001_＀＀＀＀＀＀_xDC00_䂒폼䭯_x0019_千幘南彆十䕓協儨剔㌬㔹㠳착_x0018_＀＀_x0018_＀＀_x0008_＀＀_x0001_＀＀_x0001_＀＀＀＀＀＀ी䃚폼䭯_x0019_千幘南彆十䕓協儨剔㌬㜸㠴착_x0018_＀＀_x0018_＀＀_x0008_＀＀_x0001_＀＀_x0001_＀＀＀＀＀＀ꨀ䃗폺䭯_x001A_千幘南彆䅃䡓卟⡔呑ⱒ㜳㤴⤹_x0018_＀＀_x0018_＀＀_x0008_＀＀_x0001_＀＀_x0001_＀＀＀＀＀＀_xD800_䂆퐌䭯'千幘䅃偟协剔呅䉟久偟䥁⡄㈱㈯〰ⰹⰬ唬䑓착_x0018_＀＀_x0018_＀＀_x0008_＀＀_x0001_＀＀_x0001_＀＀豀碵꼝쐕퐃䭯_x001C_千幘捩彡敭湡䕟卐㈨〰ⰵ㠳㘲⤰_x0018_＀＀_x0018_＀＀_x0008_＀＀_x0001_＀＀_x0001_＀＀豀碵꼝쐕퐁䭯_x001D_千幘捩彡敭湡䕟䥂⡔〲㜰㌬㈹㈰착_x0018_＀＀_x0018_＀＀_x0008_＀＀_x0001_＀＀_x0001_＀＀豀碵꼝쐕퐀䭯_x001C_千幘捩彡敭湡獟獬㈨〰ⰲ㜳㈶⤱_x0018_＀＀_x0018_＀＀_x0008_＀＀_x0001_＀＀_x0001_＀＀豀碵꼝쐕폾䭯_x0018_千幘南彆䉅呉䰨䵔ⱓ㤳㠰⤲_x0018_＀＀_x0018_＀＀_x0008_＀＀_x0001_＀＀_x0001_＀＀＀＀＀＀鰀䂡폹䭯_x0012_千幘彐剐䍉⡅㠳㠶⤶_x0018_＀＀_x0018_＀＀_x0008_＀＀_x0001_＀＀_x0001_＀＀롒蔞凫䀸퐍䭯N千幘䅃偟久当乕䕒佃⡇㈱㈯〰ⰳⰬ唬䑓䀩南偟久䥓乏啟剎䍅卟剅彖佃呓ㄨ⼲〲㌰ⰬⰬ单⥄_x0018_＀＀_x0018_＀＀_x0008_＀＀_x0001_＀＀_x0001_＀＀＀＀＀＀＀＀䁁퐌䭯I千幘䅃偟久当剓彖佃呓ㄨ⼲〲㘰ⰬⰬ单⥄址当䕐华佉彎䕓噒䍟协⡔㈱㈯〰ⰶⰬ唬䑓착_x0018_＀＀_x0018_＀＀_x0008_＀＀_x0001_＀＀_x0001_＀＀＀＀＀＀＀＀䁂퐃䭯_x001C_千幘捩彡敭湡䕟卐㈨〰ⰷ㠳㜷⤶_x0018_＀＀_x0018_＀＀_x0008_＀＀_x0001_＀＀_x0001_＀＀豀碵꼝쐕퐁䭯_x001E_千幘捩彡敭湡䕟䥂䑔㈨〰ⰹ㤳㠷⤲_x0018_＀＀_x0018_＀＀_x0008_＀＀_x0001_＀＀_x0001_＀＀豀碵꼝쐕폿䭯_x001B_千幘南彆䕎彔义⡃呌卍㌬ㄷ㌰착_x0018_＀＀_x0018_＀＀_x0008_＀＀_x0001_＀＀_x0001_＀＀＀＀＀＀쀀䁬폾䭯_x001B_千幘南彆呐彘义⡃呌卍㌬㘸㘸착_x0018_＀＀_x0018_＀＀_x0008_＀＀_x0001_＀＀_x0001_＀＀＀＀＀＀ꀀ䂌폽䭯_x001E_千幘南彆䉅呉䅄䵟乇䰨䵔ⱓ㤳〲⤲_x0018_＀＀_x0018_＀＀_x0008_＀＀_x0001_＀＀_x0001_＀＀⤫烧⣅䁀폻䭯_x001C_千幘南彆䡓䑌卒䕟⡑呑ⱒ㘳㠲⤰_x0018_＀＀_x0018_＀＀_x0008_＀＀_x0001_＀＀_x0001_＀＀＀＀＀＀툀䂶폹䭯_x0012_千幘彐剐䍉⡅㤳㈷⤱_x0018_＀＀_x0018_＀＀_x0008_＀＀_x0001_＀＀_x0001_＀＀尩슏䣵䁋폹䭯_x001D_千幘捩彡敭湡䕟䥂⡔〲㌰㌬㠷㐹착_x0018_＀＀_x0018_＀＀_x0008_＀＀_x0001_＀＀_x0001_＀＀豀碵꼝쐕폹䭯_x001D_千幘捩彡敭湡䕟䥂⡔〲㈰㌬㔷㤲착_x0018_＀＀_x0018_＀＀_x0008_＀＀_x0001_＀＀_x0001_＀＀豀碵꼝쐕퐍䭯[千幘南剟久䅔彌偏䱟䕓䕟偘ㄨ⼲〲㐰ㄬ⼲〲㐰ⰬⰬ单⥄䍀彁呒剟久彔䥍彎塅⡐㈱㈯〰ⰴ㈱㈯〰ⰴⰬ唬䑓착_x0018_＀＀_x0018_＀＀_x0008_＀＀_x0001_＀＀_x0001_＀＀＀＀＀＀䠀䂁퐍䭯"千幘南偟久䥓乏偟佂ㄨ⼲〲㈰ⰬⰬ单⥄_x0018_＀＀_x0018_＀＀_x0008_＀＀_x0001_＀＀_x0001_＀＀＀＀＀＀㠀䂜퐌䭯-千幘䅃偟协剔呅啟归剔佟彂䵁剏⡔㈱㈯〰ⰵⰬ唬䑓착_x0018_＀＀_x0018_＀＀_x0008_＀＀_x0001_＀＀_x0001_＀＀豀碵꼝쐕퐂䭯_x001C_千幘捩彡敭湡偟䥔㈨〰ⰵ㠳㤱⤹_x0018_＀＀_x0018_＀＀_x0008_＀＀_x0001_＀＀_x0001_＀＀豀碵꼝쐕퐁䭯_x001D_千幘捩彡敭湡䕟䥂⡔〲㤰㌬㔹㠶착_x0018_＀＀_x0018_＀＀_x0008_＀＀_x0001_＀＀_x0001_＀＀豀碵꼝쐕폾䭯_x001B_千幘南彆呐彘义⡃呌卍㌬㜹ㄲ착_x0018_＀＀_x0018_＀＀_x0008_＀＀_x0001_＀＀_x0001_＀＀＀＀＀＀㠀䂢폽䭯_x0019_千幘南彆䅓䕌⡓呌卍㌬㈸ㄹ착_x0018_＀＀_x0018_＀＀_x0008_＀＀_x0001_＀＀_x0001_＀＀＀＀＀＀豈䂾폻䭯_x001C_千幘南彆䡓䑌卒䕟⡑呑ⱒ㜳㔹⤵_x0018_＀＀_x0018_＀＀_x0008_＀＀_x0001_＀＀_x0001_＀＀＀＀＀＀ꠀ䂸폺䭯_x001A_千幘南彆䅃䡓卟⡔呑ⱒ㘳㤸⤱_x0018_＀＀_x0018_＀＀_x0008_＀＀_x0001_＀＀_x0001_＀＀＀＀＀＀怀䂅폹䭯_x0011_千幘浣獟獨㌨㔹㠶착_x0018_＀＀_x0018_＀＀_x0008_＀＀_x0001_＀＀_x0001_＀＀豀碵꼝쐕퐍䭯＀Ｏ千幘南䱟䅅䕓䍟䵏䥍彔剙⠴㈱㈯〰ⰸ㈱㈯〰ⰸⰬ唬䑓착_x0018_＀＀_x0018_＀＀_x0008_＀＀_x0001_＀＀_x0001_＀＀＀＀＀＀＀＀䁓퐂䭯_x001C_千幘捩彡敭湡偟䥔㈨〰ⰹ㤳㌵⤸_x0018_＀＀_x0018_＀＀_x0008_＀＀_x0001_＀＀_x0001_＀＀豀碵꼝쐕퐁䭯_x001D_千幘捩彡敭湡䕟䥂⡔〲㤰㌬㠹㌱착_x0018_＀＀_x0018_＀＀_x0008_＀＀_x0001_＀＀_x0001_＀＀豀碵꼝쐕폾䭯_x001B_千幘南彆䕎彔义⡃呌卍㌬㈶〵착_x0018_＀＀_x0018_＀＀_x0008_＀＀_x0001_＀＀_x0001_＀＀＀＀＀＀䠀䂀폻䭯_x001C_千幘南彆䡓䑌卒䕟⡑呑ⱒ㠳㤵⤵_x0018_＀＀_x0018_＀＀_x0008_＀＀_x0001_＀＀_x0001_＀＀＀＀＀＀섀䂽폹䭯_x0011_千幘浣獟獨㌨㠹㌱착_x0018_＀＀_x0018_＀＀_x0008_＀＀_x0001_＀＀_x0001_＀＀豀碵꼝쐕퐁䭯_x001C_千幘捩彡敭湡獟獬㈨〰ⰵ㠳㌱⤸_x0018_＀＀_x0018_＀＀_x0008_＀＀_x0001_＀＀_x0001_＀＀豀碵꼝쐕퐀䭯_x001B_千幘南彆䕎彔义⡃呌卍㌬㤷㔲착_x0018_＀＀_x0018_＀＀_x0008_＀＀_x0001_＀＀_x0001_＀＀＀＀＀＀怀䁩퐃䭯_x001C_千幘捩彡敭湡䕟卐㈨〰ⰴ㜳㘸⤴_x0018_＀＀_x0018_＀＀_x0008_＀＀_x0001_＀＀_x0001_＀＀豀碵꼝쐕퐂䭯_x001C_千幘捩彡敭湡偟䥔㈨〰ⰲ㜳㌴⤷_x0018_＀＀_x0018_＀＀_x0008_＀＀_x0001_＀＀_x0001_＀＀豀碵꼝쐕퐀䭯_x001B_千幘南彆䕎彔义⡃呌卍㌬㌹㔵착_x0018_＀＀_x0018_＀＀_x0008_＀＀_x0001_＀＀_x0001_＀＀＀＀＀＀䂒폺䭯_x001A_千幘南彆䕄呂卟⡔呑ⱒ㠳㘵⤴_x0018_＀＀_x0018_＀＀_x0008_＀＀_x0001_＀＀_x0001_＀＀＀＀＀＀栀䂃폹䭯_x0011_千幘浣獟獨㌨㤸〶착_x0018_＀＀_x0018_＀＀_x0008_＀＀_x0001_＀＀_x0001_＀＀豀碵꼝쐕퐌䭯)千幘䅃偟协剔呅佟䡔䑁彊䉎⡁㈱㈯〰ⰶⰬ唬䑓착_x0018_＀＀_x0018_＀＀_x0008_＀＀_x0001_＀＀_x0001_＀＀豀碵꼝쐕퐁䭯_x001D_千幘捩彡敭湡䕟䥂⡔〲㘰㌬㘸㘵착_x0018_＀＀_x0018_＀＀_x0008_＀＀_x0001_＀＀_x0001_＀＀豀碵꼝쐕퐀䭯_x001B_千幘南彆偅当䥄⡌呌卍㌬㌹㔲착_x0018_＀＀_x0018_＀＀_x0008_＀＀_x0001_＀＀_x0001_＀＀㗼ꍙꈞ䀅폽䭯_x0018_千幘南彆䉅呉䰨䵔ⱓ㜳〴⤷_x0018_＀＀_x0018_＀＀_x0008_＀＀_x0001_＀＀_x0001_＀＀＀＀＀＀蠀䂐퐃䭯_x001C_千幘捩彡敭湡䕟卐㈨〰ⰸ㤳㤵⤹_x0018_＀＀_x0018_＀＀_x0008_＀＀_x0001_＀＀_x0001_＀＀豀碵꼝쐕퐁䭯_x001E_千幘捩彡敭湡䕟䥂䑔㈨〰ⰷ㤳㈰⤱_x0018_＀＀_x0018_＀＀_x0008_＀＀_x0001_＀＀_x0001_＀＀豀碵꼝쐕퐁䭯_x001E_千幘捩彡敭湡䕟䥂䑔㈨〰ⰵ㠳㐴⤲_x0018_＀＀_x0018_＀＀_x0008_＀＀_x0001_＀＀_x0001_＀＀豀碵꼝쐕퐀䭯_x001C_千幘捩彡敭湡獟獬㈨〰ⰳ㜳㐷⤱_x0018_＀＀_x0018_＀＀_x0008_＀＀_x0001_＀＀_x0001_＀＀豀碵꼝쐕폻䭯_x001A_千幘南彆䕄呂䱟⡔呑ⱒ㤳㘵⤸_x0018_＀＀_x0018_＀＀_x0008_＀＀_x0001_＀＀_x0001_＀＀＀＀＀＀က䂽폹䭯_x0012_千幘彐剐䍉⡅㜳㄰⤱_x0018_＀＀_x0018_＀＀_x0008_＀＀_x0001_＀＀_x0001_＀＀尩슏裵䀱퐍䭯)千幘南偟久䥓乏噟䱁䅟卓呅⡓㈱㈯〰ⰸⰬ唬䑓착_x0018_＀＀_x0018_＀＀_x0008_＀＀_x0001_＀＀_x0001_＀＀＀＀＀＀ꀀ䂔퐍䭯%千幘䅃偟久当呌䅟卓呅⡓㈱㈯〰ⰲⰬ唬䑓착_x0018_＀＀_x0018_＀＀_x0008_＀＀_x0001_＀＀_x0001_＀＀豀碵꼝쐕퐈䭯_x001A_千幘南䕟䍘彈䅒䕔䉟䱁卟⡈⤰_x0018_＀＀_x0018_＀＀_x0008_＀＀_x0001_＀＀_x0001_＀＀豀碵꼝쐕퐁䭯_x001D_千幘捩彡敭湡䕟䥂⡔〲㠰㌬ㄹ㈷착_x0018_＀＀_x0018_＀＀_x0008_＀＀_x0001_＀＀_x0001_＀＀豀碵꼝쐕퐀䭯_x001B_千幘南彆偅当䥄⡌呌卍㌬㐸㈷착_x0018_＀＀_x0018_＀＀_x0008_＀＀_x0001_＀＀_x0001_＀＀슏⣵轜㿰폾䭯_x001B_千幘南彆呐彘义⡃呌卍㌬〷ㄱ착_x0018_＀＀_x0018_＀＀_x0008_＀＀_x0001_＀＀_x0001_＀＀＀＀＀＀뀀䁳폼䭯_x0019_千幘南彆䅓䕌⡓呌卍㌬㘶㘱착_x0018_＀＀_x0018_＀＀_x0008_＀＀_x0001_＀＀_x0001_＀＀＀＀＀＀墀䃄폻䭯_x001A_千幘南彆䕄呂䱟⡔呑ⱒ㤳ㄸ⤳_x0018_＀＀_x0018_＀＀_x0008_＀＀_x0001_＀＀_x0001_＀＀＀＀＀＀堀䂽퐍䭯 千幘南䕟䍘彈䅒䕔䥟䍎䍟⡆㈱㈯〰⤵_x0018_＀＀_x0018_＀＀_x0008_＀＀_x0001_＀＀_x0001_＀＀豀碵꼝쐕퐌䭯J千幘䅃偟协剔呅剟䅏䅟呃ㄨ⼲〲㔰ⰬⰬ单⥄址当䱈䡔䅃䕒䅟呃剟䅏ㄨ⼲〲㔰ⰬⰬ单⥄_x0018_＀＀_x0018_＀＀_x0008_＀＀_x0001_＀＀_x0001_＀＀豀碵꼝쐕폽䭯_x0019_千幘南彆䅓䕌⡓呌卍㌬〸㘴착_x0018_＀＀_x0018_＀＀_x0008_＀＀_x0001_＀＀_x0001_＀＀＀＀＀＀焀䂾폽䭯_x001E_千幘南彆䉅呉䅄䵟乇䰨䵔ⱓ㠳㄰⤷_x0018_＀＀_x0018_＀＀_x0008_＀＀_x0001_＀＀_x0001_＀＀㛋으势䀱폼䭯_x0019_千幘南彆䅓䕌⡓呌卍㌬㈷㘵착_x0018_＀＀_x0018_＀＀_x0008_＀＀_x0001_＀＀_x0001_＀＀＀＀＀＀글䂿폺䭯_x001A_千幘南彆䅃䡓卟⡔呑ⱒ㘳㐶⤶_x0018_＀＀_x0018_＀＀_x0008_＀＀_x0001_＀＀_x0001_＀＀＀＀＀＀퀀䂄폹䭯_x0011_千幘浣獟獨㌨ㄷ㌰착_x0018_＀＀_x0018_＀＀_x0008_＀＀_x0001_＀＀_x0001_＀＀豀碵꼝쐕폹䭯_x001D_千幘捩彡敭湡䕟䥂⡔〲㌰㌬㐷㤹착_x0018_＀＀_x0018_＀＀_x0008_＀＀_x0001_＀＀_x0001_＀＀豀碵꼝쐕퐌䭯T千幘䅃偟协剔呅偟䥒剏卟噒ㄨ⼲〲㤰ⰬⰬ单⥄址当䱈䡔䅃䕒啟剎䍅卟剅彖佃呓ㄨ⼲〲㤰ⰬⰬ单⥄_x0018_＀＀_x0018_＀＀_x0008_＀＀_x0001_＀＀_x0001_＀＀豀碵꼝쐕퐃䭯_x001C_千幘捩彡敭湡䕟卐㈨〰ⰷ㤳ㄴ⤶_x0018_＀＀_x0018_＀＀_x0008_＀＀_x0001_＀＀_x0001_＀＀豀碵꼝쐕퐂䭯_x001C_千幘捩彡敭湡偟䥔㈨〰ⰶ㠳㘵⤴_x0018_＀＀_x0018_＀＀_x0008_＀＀_x0001_＀＀_x0001_＀＀豀碵꼝쐕폼䭯_x0019_千幘南彆十䕓協儨剔㌬㌹㔲착_x0018_＀＀_x0018_＀＀_x0008_＀＀_x0001_＀＀_x0001_＀＀＀＀＀＀節䃘폻䭯_x001A_千幘南彆䕄呂䱟⡔呑ⱒ㠳㘹⤰_x0018_＀＀_x0018_＀＀_x0008_＀＀_x0001_＀＀_x0001_＀＀＀＀＀＀휀䂱폹䭯_x0012_千幘彐剐䍉⡅㜳㌸⤳_x0018_＀＀_x0018_＀＀_x0008_＀＀_x0001_＀＀_x0001_＀＀쳍쳌䳌䀯퐃䭯_x001C_千幘捩彡敭湡䕟卐㈨㄰ⰰ㤳㜸⤲_x0018_＀＀_x0018_＀＀_x0008_＀＀_x0001_＀＀_x0001_＀＀豀碵꼝쐕퐂䭯_x001C_千幘捩彡敭湡䕟卐㈨〰ⰲ㜳〱⤳_x0018_＀＀_x0018_＀＀_x0008_＀＀_x0001_＀＀_x0001_＀＀豀碵꼝쐕폾䭯_x001B_千幘南彆呐彘义⡃呌卍㌬㠷㌳착_x0018_＀＀_x0018_＀＀_x0008_＀＀_x0001_＀＀_x0001_＀＀＀＀＀＀䂅폼䭯_x001E_千幘南彆䉅呉䅄䵟乇䰨䵔ⱓ㜳㘱⤴_x0018_＀＀_x0018_＀＀_x0008_＀＀_x0001_＀＀_x0001_＀＀㿘좳䀳폺䭯_x001A_千幘南彆䅃䡓卟⡔呑ⱒ㠳㈳⤱_x0018_＀＀_x0018_＀＀_x0008_＀＀_x0001_＀＀_x0001_＀＀＀＀＀＀ꠀ䂃폹䭯_x0012_千幘彐剐䍉⡅㤳㘲⤳_x0018_＀＀_x0018_＀＀_x0008_＀＀_x0001_＀＀_x0001_＀＀휊炣訽䁆폹䭯_x0011_千幘浣獟獨㌨㈶〵착_x0018_＀＀_x0018_＀＀_x0008_＀＀_x0001_＀＀_x0001_＀＀豀碵꼝쐕퐍䭯F千幘䅃偟久当佒彁䍁⡔㈱㈯〰ⰳⰬ唬䑓䀩南偟久䥓乏䅟呃剟䅏ㄨ⼲〲㌰ⰬⰬ单⥄_x0018_＀＀_x0018_＀＀_x0008_＀＀_x0001_＀＀_x0001_＀＀＀＀＀＀ 䁮퐌䭯J千幘䅃偟久当佒彁䅒䕔ㄨ⼲〲㠰ⰬⰬ单⥄址当䕐华佉彎塅彐呌剟䅏ㄨ⼲〲㠰ⰬⰬ单⥄_x0018_＀＀_x0018_＀＀_x0008_＀＀_x0001_＀＀_x0001_＀＀＀＀＀＀＀＀䀡퐁䭯_x001D_千幘捩彡敭湡䕟䥂⡔〲㔰㌬㈸〶착_x0018_＀＀_x0018_＀＀_x0008_＀＀_x0001_＀＀_x0001_＀＀豀碵꼝쐕퐁䭯_x001E_千幘捩彡敭湡䕟䥂䑔㈨〰ⰷ㠳㤹⤰_x0018_＀＀_x0018_＀＀_x0008_＀＀_x0001_＀＀_x0001_＀＀豀碵꼝쐕퐁䭯_x001E_千幘捩彡敭湡䕟䥂䑔㈨〰ⰶ㠳㈶⤵_x0018_＀＀_x0018_＀＀_x0008_＀＀_x0001_＀＀_x0001_＀＀豀碵꼝쐕퐁䭯_x001C_千幘捩彡敭湡獟獬㈨〰ⰶ㠳〵⤳_x0018_＀＀_x0018_＀＀_x0008_＀＀_x0001_＀＀_x0001_＀＀豀碵꼝쐕폾䭯_x001B_千幘南彆呐彘义⡃呌卍㌬㈹㌶착_x0018_＀＀_x0018_＀＀_x0008_＀＀_x0001_＀＀_x0001_＀＀＀＀＀＀ᰀ䂜폽䭯_x001E_千幘南彆䉅呉䅄䵟乇䰨䵔ⱓ㤳㈶⤹_x0018_＀＀_x0018_＀＀_x0008_＀＀_x0001_＀＀_x0001_＀＀_xD884_䏄ꄘ䁀폽䭯_x0019_千幘南彆䅓䕌⡓呌卍㌬㠸㠶착_x0018_＀＀_x0018_＀＀_x0008_＀＀_x0001_＀＀_x0001_＀＀＀＀＀＀䒀䃁폼䭯_x0019_千幘南彆十䕓協儨剔㌬㐸㈷착_x0018_＀＀_x0018_＀＀_x0008_＀＀_x0001_＀＀_x0001_＀＀＀＀＀＀脀䃘폺䭯_x001A_千幘南彆䕄呂卟⡔呑ⱒ㜳㈵⤹_x0018_＀＀_x0018_＀＀_x0008_＀＀_x0001_＀＀_x0001_＀＀＀＀＀＀ 䂉폹䭯_x0011_千幘浣獟獨㌨㤷㔲착_x0018_＀＀_x0018_＀＀_x0008_＀＀_x0001_＀＀_x0001_＀＀豀碵꼝쐕퐌䭯M千幘䅃偟协剔呅卟噒䍟协⡔㈱㈯〰ⰳⰬ唬䑓䀩南䡟呌䍈剁彅䕓噒䍟协⡔㈱㈯〰ⰳⰬ唬䑓착_x0018_＀＀_x0018_＀＀_x0008_＀＀_x0001_＀＀_x0001_＀＀＀＀＀＀＀＀䀦퐂䭯_x001C_千幘捩彡敭湡偟䥔㈨〰ⰳ㜳〸⤲_x0018_＀＀_x0018_＀＀_x0008_＀＀_x0001_＀＀_x0001_＀＀豀碵꼝쐕퐁䭯_x001D_千幘捩彡敭湡䕟䥂⡔〲㜰㌬㜸㘷착_x0018_＀＀_x0018_＀＀_x0008_＀＀_x0001_＀＀_x0001_＀＀豀碵꼝쐕폽䭯_x0019_千幘南彆䅓䕌⡓呌卍㌬㤹㌰착_x0018_＀＀_x0018_＀＀_x0008_＀＀_x0001_＀＀_x0001_＀＀＀＀＀＀ኀ䃅폻䭯_x001A_千幘南彆䅃䡓卟⡔呑ⱒ㠳㤸⤸_x0018_＀＀_x0018_＀＀_x0008_＀＀_x0001_＀＀_x0001_＀＀＀＀＀＀倀䂅폹䭯_x0011_千幘浣獟獨㌨㌹㔵착_x0018_＀＀_x0018_＀＀_x0008_＀＀_x0001_＀＀_x0001_＀＀豀碵꼝쐕퐍䭯(千幘䅃偟久当偐彄䕂彎佃呓ㄨ⼲〲㔰ⰬⰬ单⥄_x0018_＀＀_x0018_＀＀_x0008_＀＀_x0001_＀＀_x0001_＀＀豀碵꼝쐕퐍䭯 千幘南䕟䍘彈䅒䕔ㄨ⼲〲㘰ⰬⰬ单⥄_x0018_＀＀_x0018_＀＀_x0008_＀＀_x0001_＀＀_x0001_＀＀＀＀＀＀＀＀㿰퐂䭯_x001C_千幘捩彡敭湡偟䥔㈨〰ⰳ㜳㔶⤲_x0018_＀＀_x0018_＀＀_x0008_＀＀_x0001_＀＀_x0001_＀＀豀碵꼝쐕퐁䭯_x001E_千幘捩彡敭湡䕟䥂䑔㈨〰ⰸ㤳㐱⤱_x0018_＀＀_x0018_＀＀_x0008_＀＀_x0001_＀＀_x0001_＀＀豀碵꼝쐕폾䭯_x001B_千幘南彆䕎彔义⡃呌卍㌬㘶㜷착_x0018_＀＀_x0018_＀＀_x0008_＀＀_x0001_＀＀_x0001_＀＀＀＀＀＀＀＀䀔폾䭯_x0018_千幘南彆䉅呉䰨䵔ⱓ㤳㤶⤱_x0018_＀＀_x0018_＀＀_x0008_＀＀_x0001_＀＀_x0001_＀＀＀＀＀＀_xDA00_䂤폽䭯_x0019_千幘南彆䅓䕌⡓呌卍㐬㄰㜴착_x0018_＀＀_x0018_＀＀_x0008_＀＀_x0001_＀＀_x0001_＀＀＀＀＀＀妀䃂폽䭯_x001E_千幘南彆䉅呉䅄䵟乇䰨䵔ⱓ㠳㜷⤶_x0018_＀＀_x0018_＀＀_x0008_＀＀_x0001_＀＀_x0001_＀＀갻y반䀺폽䭯_x001E_千幘南彆䉅呉䅄䵟乇䰨䵔ⱓ㜳㠹⤶_x0018_＀＀_x0018_＀＀_x0008_＀＀_x0001_＀＀_x0001_＀＀㛋으势䀱폻䭯_x001C_千幘南彆䡓䑌卒䕟⡑呑ⱒ㤳㜱⤲_x0018_＀＀_x0018_＀＀_x0008_＀＀_x0001_＀＀_x0001_＀＀＀＀＀＀케䃁폻䭯_x001A_千幘南彆䅃䡓卟⡔呑ⱒ㤳㌹⤳_x0018_＀＀_x0018_＀＀_x0008_＀＀_x0001_＀＀_x0001_＀＀＀＀＀＀ꐀ䂑폺䭯_x001A_千幘南彆䕄呂䱟⡔呑ⱒ㜳〱⤳_x0018_＀＀_x0018_＀＀_x0008_＀＀_x0001_＀＀_x0001_＀＀＀＀＀＀言䂶퐃䭯_x001C_千幘捩彡敭湡䕟卐㈨〰ⰹ㤳㘹⤴_x0018_＀＀_x0018_＀＀_x0008_＀＀_x0001_＀＀_x0001_＀＀豀碵꼝쐕퐀䭯_x001E_千幘捩彡敭湡䕟䥂䑔㈨〰ⰳ㜳㘴⤸_x0018_＀＀_x0018_＀＀_x0008_＀＀_x0001_＀＀_x0001_＀＀豀碵꼝쐕퐀䭯_x001B_千幘南彆偅当䥄⡌呌卍㌬㐷㜳착_x0018_＀＀_x0018_＀＀_x0008_＀＀_x0001_＀＀_x0001_＀＀껻︈銷㿫폿䭯_x001B_千幘南彆䕎彔义⡃呌卍㌬㤶㈲착_x0018_＀＀_x0018_＀＀_x0008_＀＀_x0001_＀＀_x0001_＀＀＀＀＀＀䀀䁧폺䭯_x001A_千幘南彆䕄呂卟⡔呑ⱒ㜳ㄷ⤱_x0018_＀＀_x0018_＀＀_x0008_＀＀_x0001_＀＀_x0001_＀＀＀＀＀＀⠀䂀퐂䭯_x001C_千幘捩彡敭湡䕟卐㈨〰ⰱ㘳〷⤷_x0018_＀＀_x0018_＀＀_x0008_＀＀_x0001_＀＀_x0001_＀＀豀碵꼝쐕퐀䭯_x001B_千幘南彆䕎彔义⡃呌卍㌬㌸㈵착_x0018_＀＀_x0018_＀＀_x0008_＀＀_x0001_＀＀_x0001_＀＀＀＀＀＀䁺퐀䭯_x001B_千幘南彆偅当䥄⡌呌卍㌬〸㜷착_x0018_＀＀_x0018_＀＀_x0008_＀＀_x0001_＀＀_x0001_＀＀塏Ǣ卥㿚폿䭯_x001B_千幘南彆偅当䥄⡌呌卍㌬㈷㜸착_x0018_＀＀_x0018_＀＀_x0008_＀＀_x0001_＀＀_x0001_＀＀긔ᑺ㿦폻䭯_x001A_千幘南彆䕄呂卟⡔呑ⱒ㤳㐱⤱_x0018_＀＀_x0018_＀＀_x0008_＀＀_x0001_＀＀_x0001_＀＀＀＀＀＀쀀䂂폺䭯_x001A_千幘南彆䕄呂䱟⡔呑ⱒ㘳㔲⤰_x0018_＀＀_x0018_＀＀_x0008_＀＀_x0001_＀＀_x0001_＀＀＀＀＀＀䰀䂹퐃䭯_x001C_千幘捩彡敭湡䕟卐㈨〰ⰴ㠳㤲⤱_x0018_＀＀_x0018_＀＀_x0008_＀＀_x0001_＀＀_x0001_＀＀豀碵꼝쐕폼䭯_x001C_千幘南彆䡓䑌卒䕟⡑呑ⱒ㤳㤹⤴_x0018_＀＀_x0018_＀＀_x0008_＀＀_x0001_＀＀_x0001_＀＀＀＀＀＀綀䃀폺䭯_x001A_千幘南彆䕄呂䱟⡔呑ⱒ㜳㈹⤵_x0018_＀＀_x0018_＀＀_x0008_＀＀_x0001_＀＀_x0001_＀＀＀＀＀＀倀䂹폹䭯_x001D_千幘捩彡敭湡䕟䥂⡔〲㐰㌬㠷㐶착_x0018_＀＀_x0018_＀＀_x0008_＀＀_x0001_＀＀_x0001_＀＀豀碵꼝쐕퐃䭯_x001C_千幘捩彡敭湡䕟卐㈨〰ⰸ㤳㠳⤶_x0018_＀＀_x0018_＀＀_x0008_＀＀_x0001_＀＀_x0001_＀＀豀碵꼝쐕폻䭯_x001A_千幘南彆䕄呂䱟⡔呑ⱒ㤳㔳⤵_x0018_＀＀_x0018_＀＀_x0008_＀＀_x0001_＀＀_x0001_＀＀＀＀＀＀ᘀ䂺퐁䭯_x001D_千幘捩彡敭湡䕟䥂⡔〲㠰㌬㔹㤹착_x0018_＀＀_x0018_＀＀_x0008_＀＀_x0001_＀＀_x0001_＀＀豀碵꼝쐕퐀䭯_x001B_千幘南彆䕎彔义⡃呌卍㌬㤹㐶착_x0018_＀＀_x0018_＀＀_x0008_＀＀_x0001_＀＀_x0001_＀＀＀＀＀＀뀀䂓폽䭯_x0018_千幘南彆䉅呉䰨䵔ⱓ㘳㐳⤱_x0018_＀＀_x0018_＀＀_x0008_＀＀_x0001_＀＀_x0001_＀＀＀＀＀＀퐀䂚폼䭯_x0019_千幘南彆䅓䕌⡓呌卍㌬㐶㌰착_x0018_＀＀_x0018_＀＀_x0008_＀＀_x0001_＀＀_x0001_＀＀＀＀＀＀먀䃃폼䭯_x0019_千幘南彆十䕓協儨剔㌬㐷㜳착_x0018_＀＀_x0018_＀＀_x0008_＀＀_x0001_＀＀_x0001_＀＀＀＀＀＀渀䃔퐍䭯;千幘南偟久䥓乏䅟卓呅当剐偏ㄨ⼲〲㜰䀩䅃偟久当䍐彔䕒ㄨ⼲〲㜰착_x0018_＀＀_x0018_＀＀_x0008_＀＀_x0001_＀＀_x0001_＀＀豀碵꼝쐕퐍䭯&amp;千幘䅃偟久当十彔义䅔䝎ㄨ⼲〲㔰ⰬⰬ单⥄_x0018_＀＀_x0018_＀＀_x0008_＀＀_x0001_＀＀_x0001_＀＀豀碵꼝쐕퐁䭯_x001C_千幘捩彡敭湡獟獬㈨〰ⰷ㤳㘲⤳_x0018_＀＀_x0018_＀＀_x0008_＀＀_x0001_＀＀_x0001_＀＀豀碵꼝쐕폽䭯_x0018_千幘南彆䉅呉䰨䵔ⱓ㘳㤱⤱_x0018_＀＀_x0018_＀＀_x0008_＀＀_x0001_＀＀_x0001_＀＀＀＀＀＀栀䂛폼䭯_x0019_千幘南彆十䕓協儨剔㌬〸㜷착_x0018_＀＀_x0018_＀＀_x0008_＀＀_x0001_＀＀_x0001_＀＀＀＀＀＀蹀䃕폼䭯_x0019_千幘南彆十䕓協儨剔㌬㈷㜸착_x0018_＀＀_x0018_＀＀_x0008_＀＀_x0001_＀＀_x0001_＀＀＀＀＀＀偀䃔폻䭯_x001C_千幘南彆䡓䑌卒䕟⡑呑ⱒ㘳〷⤷_x0018_＀＀_x0018_＀＀_x0008_＀＀_x0001_＀＀_x0001_＀＀＀＀＀＀㸀䂶폺䭯_x001A_千幘南彆䅃䡓卟⡔呑ⱒ㘳㌴⤳_x0018_＀＀_x0018_＀＀_x0008_＀＀_x0001_＀＀_x0001_＀＀＀＀＀＀堀䂃폹䭯_x0012_千幘彐剐䍉⡅㤳ㄱ⤳_x0018_＀＀_x0018_＀＀_x0008_＀＀_x0001_＀＀_x0001_＀＀롑攞䁂폹䭯_x0012_千幘彐剐䍉⡅㘳㠵⤵_x0018_＀＀_x0018_＀＀_x0008_＀＀_x0001_＀＀_x0001_＀＀_x0001_＀＀　䀦퐍䭯＀Ｏ千幘南䱟䅅䕓䍟䵏䥍彔剙⠴㈱㈯〰ⰱ㈱㈯〰ⰱⰬ唬䑓착_x0018_＀＀_x0018_＀＀_x0008_＀＀_x0001_＀＀_x0001_＀＀＀＀＀＀＀＀䁞퐌䭯F千幘䅃偟协剔呅剟䅏ㄨ⼲〲㘰ⰬⰬ单⥄址当䱈䡔䅃䕒䕟偘剟䅏ㄨ⼲〲㘰ⰬⰬ单⥄_x0018_＀＀_x0018_＀＀_x0008_＀＀_x0001_＀＀_x0001_＀＀豀碵꼝쐕퐂䭯_x001C_千幘捩彡敭湡偟䥔㈨〰ⰴ㜳㜷⤲_x0018_＀＀_x0018_＀＀_x0008_＀＀_x0001_＀＀_x0001_＀＀豀碵꼝쐕퐀䭯_x001B_千幘南彆偅当䥄⡌呌卍㐬㄰㠷착_x0018_＀＀_x0018_＀＀_x0008_＀＀_x0001_＀＀_x0001_＀＀ꄷ섐䀆폾䭯_x001B_千幘南彆呐彘义⡃呌卍㌬ㄹ㌱착_x0018_＀＀_x0018_＀＀_x0008_＀＀_x0001_＀＀_x0001_＀＀＀＀＀＀᠀䂝폾䭯_x001B_千幘南彆呐彘义⡃呌卍㌬㔶㔸착_x0018_＀＀_x0018_＀＀_x0008_＀＀_x0001_＀＀_x0001_＀＀＀＀＀＀耀䁩폽䭯_x0018_千幘南彆䉅呉䰨䵔ⱓ㠳㔶⤶_x0018_＀＀_x0018_＀＀_x0008_＀＀_x0001_＀＀_x0001_＀＀＀＀＀＀ 䂕폼䭯_x001E_千幘南彆䉅呉䅄䵟乇䰨䵔ⱓ㘳ㄳ⤱_x0018_＀＀_x0018_＀＀_x0008_＀＀_x0001_＀＀_x0001_＀＀ु㑯繵䀷폹䭯_x0012_千幘彐剐䍉⡅㘳㌸⤰_x0018_＀＀_x0018_＀＀_x0008_＀＀_x0001_＀＀_x0001_＀＀_x0001_＀＀倀䀩퐂䭯_x001C_千幘捩彡敭湡䕟卐㈨〰ⰰ㘳ㄳ⤱_x0018_＀＀_x0018_＀＀_x0008_＀＀_x0001_＀＀_x0001_＀＀豀碵꼝쐕퐁䭯_x001D_千幘捩彡敭湡䕟䥂⡔〲㜰㌬㐹㘱착_x0018_＀＀_x0018_＀＀_x0008_＀＀_x0001_＀＀_x0001_＀＀豀碵꼝쐕폾䭯_x001B_千幘南彆呐彘义⡃呌卍㌬㠶〳착_x0018_＀＀_x0018_＀＀_x0008_＀＀_x0001_＀＀_x0001_＀＀＀＀＀＀䀀䁮폻䭯_x001A_千幘南彆䅃䡓卟⡔呑ⱒ㤳㌵⤸_x0018_＀＀_x0018_＀＀_x0008_＀＀_x0001_＀＀_x0001_＀＀＀＀＀＀鰀䂙폺䭯_x001A_千幘南彆䅃䡓卟⡔呑ⱒ㠳㐷⤸_x0018_＀＀_x0018_＀＀_x0008_＀＀_x0001_＀＀_x0001_＀＀＀＀＀＀퀀䂂폹䭯_x0012_千幘彐剐䍉⡅㠳㘲⤰_x0018_＀＀_x0018_＀＀_x0008_＀＀_x0001_＀＀_x0001_＀＀馚香香䀰폹䭯_x0011_千幘浣獟獨㌨㘶㜷착_x0018_＀＀_x0018_＀＀_x0008_＀＀_x0001_＀＀_x0001_＀＀豀碵꼝쐕퐍䭯＀Ｏ千幘南䱟䅅䕓䍟䵏䥍彔剙⠴㈱㈯〰ⰲ㈱㈯〰ⰲⰬ唬䑓착_x0018_＀＀_x0018_＀＀_x0008_＀＀_x0001_＀＀_x0001_＀＀＀＀＀＀ 䁥퐁䭯_x001D_千幘捩彡敭湡䕟䥂⡔〲〱㌬㠹㈷착_x0018_＀＀_x0018_＀＀_x0008_＀＀_x0001_＀＀_x0001_＀＀豀碵꼝쐕퐀䭯_x001E_千幘捩彡敭湡䕟䥂䑔㈨〰ⰴ㜳㌸⤳_x0018_＀＀_x0018_＀＀_x0008_＀＀_x0001_＀＀_x0001_＀＀豀碵꼝쐕퐀䭯_x001C_千幘捩彡敭湡獟獬㈨〰ⰴ㜳ㄷ⤱_x0018_＀＀_x0018_＀＀_x0008_＀＀_x0001_＀＀_x0001_＀＀豀碵꼝쐕퐀䭯_x001B_千幘南彆䕎彔义⡃呌卍㌬ㄸ㜰착_x0018_＀＀_x0018_＀＀_x0008_＀＀_x0001_＀＀_x0001_＀＀＀＀＀＀ 䁦폾䭯_x001B_千幘南彆呐彘义⡃呌卍㌬㈸〶착_x0018_＀＀_x0018_＀＀_x0008_＀＀_x0001_＀＀_x0001_＀＀＀＀＀＀ꠀ䂃폽䭯_x001E_千幘南彆䉅呉䅄䵟乇䰨䵔ⱓ㤳ㄴ⤶_x0018_＀＀_x0018_＀＀_x0008_＀＀_x0001_＀＀_x0001_＀＀䋴䀿폻䭯_x001C_千幘南彆䡓䑌卒䕟⡑呑ⱒ㘳㤴⤴_x0018_＀＀_x0018_＀＀_x0008_＀＀_x0001_＀＀_x0001_＀＀＀＀＀＀洀䂶폹䭯_x0011_千幘浣獟獨㌨㤶㈲착_x0018_＀＀_x0018_＀＀_x0008_＀＀_x0001_＀＀_x0001_＀＀豀碵꼝쐕퐌䭯%千幘䅃偟久当佃偍剟呁⡅㈱㈯〰ⰷⰬ唬䑓착_x0018_＀＀_x0018_＀＀_x0008_＀＀_x0001_＀＀_x0001_＀＀豀碵꼝쐕퐃䭯_x001C_千幘捩彡敭湡䕟卐㈨〰ⰴ㠳㐰⤶_x0018_＀＀_x0018_＀＀_x0008_＀＀_x0001_＀＀_x0001_＀＀豀碵꼝쐕퐂䭯_x001C_千幘捩彡敭湡偟䥔㈨〰ⰸ㤳㔷⤲_x0018_＀＀_x0018_＀＀_x0008_＀＀_x0001_＀＀_x0001_＀＀豀碵꼝쐕폹䭯_x0011_千幘浣獟獨㌨㌸㈵착_x0018_＀＀_x0018_＀＀_x0008_＀＀_x0001_＀＀_x0001_＀＀豀碵꼝쐕퐍䭯＀Ｏ千幘南䱟䅅䕓䍟䵏䥍彔剙⠴㈱㈯〰ⰳ㈱㈯〰ⰳⰬ唬䑓착_x0018_＀＀_x0018_＀＀_x0008_＀＀_x0001_＀＀_x0001_＀＀＀＀＀＀ 䁦퐍䭯;千幘南偟久䥓乏䅟卓呅当充䥕ㄨ⼲〲㠰䀩䅃偟久当䍐彔充ㄨ⼲〲㠰착_x0018_＀＀_x0018_＀＀_x0008_＀＀_x0001_＀＀_x0001_＀＀＀＀＀＀＀＀䁋퐂䭯_x001C_千幘捩彡敭湡䕟卐㈨〰ⰲ㘳㈹⤲_x0018_＀＀_x0018_＀＀_x0008_＀＀_x0001_＀＀_x0001_＀＀豀碵꼝쐕퐁䭯_x001E_千幘捩彡敭湡䕟䥂䑔㈨〰ⰸ㤳㘵⤸_x0018_＀＀_x0018_＀＀_x0008_＀＀_x0001_＀＀_x0001_＀＀豀碵꼝쐕폾䭯_x001B_千幘南彆䕎彔义⡃呌卍㌬㐶㐶착_x0018_＀＀_x0018_＀＀_x0008_＀＀_x0001_＀＀_x0001_＀＀＀＀＀＀＀＀䁧폼䭯_x0019_千幘南彆十䕓協儨剔㐬㄰㠷착_x0018_＀＀_x0018_＀＀_x0008_＀＀_x0001_＀＀_x0001_＀＀＀＀＀＀最䃚폻䭯_x001C_千幘南彆䡓䑌卒䕟⡑呑ⱒ㤳㤵⤹_x0018_＀＀_x0018_＀＀_x0008_＀＀_x0001_＀＀_x0001_＀＀＀＀＀＀ጀ䃁폹䭯_x0012_千幘彐剐䍉⡅㤳㜸⤲_x0018_＀＀_x0018_＀＀_x0008_＀＀_x0001_＀＀_x0001_＀＀䞮竡긔䀸퐍䭯%千幘南䥟呎剟呁彅夵噁⡇㈱㈯〰ⰲⰬ唬䑓착_x0018_＀＀_x0018_＀＀_x0008_＀＀_x0001_＀＀_x0001_＀＀픒荛䀝퐊䭯Q千幘䅃偟久当䍁啃彍佃偍䥒䍎ㄨ⼲〲㤰ⰬⰬ单⥄址当佃偍归义彃䕐华䱟䅉⡂㈱㈯〰ⰹⰬ唬䑓착_x0018_＀＀_x0018_＀＀_x0008_＀＀_x0001_＀＀_x0001_＀＀豀碵꼝쐕퐃䭯_x001C_千幘捩彡敭湡䕟卐㈨〰ⰶ㠳〸⤷_x0018_＀＀_x0018_＀＀_x0008_＀＀_x0001_＀＀_x0001_＀＀豀碵꼝쐕퐁䭯_x001E_千幘捩彡敭湡䕟䥂䑔㈨〰ⰸ㤳ㄸ⤳_x0018_＀＀_x0018_＀＀_x0008_＀＀_x0001_＀＀_x0001_＀＀豀碵꼝쐕퐀䭯_x001B_千幘南彆䕎彔义⡃呌卍㌬㤸㤲착_x0018_＀＀_x0018_＀＀_x0008_＀＀_x0001_＀＀_x0001_＀＀＀＀＀＀　䂐폾䭯_x001B_千幘南彆呐彘义⡃呌卍㌬㠹㈷착_x0018_＀＀_x0018_＀＀_x0008_＀＀_x0001_＀＀_x0001_＀＀＀＀＀＀쐀䂠폼䭯_x001C_千幘南彆䡓䑌卒䕟⡑呑ⱒ㤳㐸⤴_x0018_＀＀_x0018_＀＀_x0008_＀＀_x0001_＀＀_x0001_＀＀＀＀＀＀瀀䂿퐍䭯＀Ｏ千幘南䱟䅅䕓䍟䵏䥍彔剙⠴㈱㈯〰ⰴ㈱㈯〰ⰴⰬ唬䑓착_x0018_＀＀_x0018_＀＀_x0008_＀＀_x0001_＀＀_x0001_＀＀＀＀＀＀쀀䁜䮋7刣晥敲桳帣南偟久䥓乏䅟卓呅当剐偏丨⥁䍀彁䕐华偟呃剟⡅䅎착_x0018_＀＀_x0018_＀＀_x0008_＀＀_x0001_＀＀_x0001_＀＀豀碵꼝쐕퐂䭯_x001C_千幘捩彡敭湡偟䥔㈨〰ⰵ㠳㤵⤵_x0018_＀＀_x0018_＀＀_x0008_＀＀_x0001_＀＀_x0001_＀＀豀碵꼝쐕퐁䭯_x001D_千幘捩彡敭湡䕟䥂⡔〲㤰㌬㤹㐶착_x0018_＀＀_x0018_＀＀_x0008_＀＀_x0001_＀＀_x0001_＀＀豀碵꼝쐕폻䭯_x001A_千幘南彆䕄呂卟⡔呑ⱒ㤳㘵⤸_x0018_＀＀_x0018_＀＀_x0008_＀＀_x0001_＀＀_x0001_＀＀＀＀＀＀က䂈폺䭯_x001A_千幘南彆䕄呂䱟⡔呑ⱒ㘳㜶⤷_x0018_＀＀_x0018_＀＀_x0008_＀＀_x0001_＀＀_x0001_＀＀＀＀＀＀က䂸폹䭯_x0011_千幘浣獟獨㌨㤹㐶착_x0018_＀＀_x0018_＀＀_x0008_＀＀_x0001_＀＀_x0001_＀＀豀碵꼝쐕퐂䭯_x001C_千幘捩彡敭湡䕟卐㈨〰ⰱ㜳㌱⤴_x0018_＀＀_x0018_＀＀_x0008_＀＀_x0001_＀＀_x0001_＀＀豀碵꼝쐕폻䭯_x001A_千幘南彆䕄呂卟⡔呑ⱒ㤳ㄸ⤳_x0018_＀＀_x0018_＀＀_x0008_＀＀_x0001_＀＀_x0001_＀＀＀＀＀＀＀＀䁴폺䭯_x001A_千幘南彆䕄呂䱟⡔呑ⱒ㘳㈹⤲_x0018_＀＀_x0018_＀＀_x0008_＀＀_x0001_＀＀_x0001_＀＀＀＀＀＀눀䂶퐍䭯＀Ｏ千幘南䱟䅅䕓䍟䵏䥍彔剙⠴㈱㈯〰ⰵ㈱㈯〰ⰵⰬ唬䑓착_x0018_＀＀_x0018_＀＀_x0008_＀＀_x0001_＀＀_x0001_＀＀＀＀＀＀쀀䁕퐂䭯_x001C_千幘捩彡敭湡偟䥔㈨〰ⰹ〴㜱⤸_x0018_＀＀_x0018_＀＀_x0008_＀＀_x0001_＀＀_x0001_＀＀豀碵꼝쐕퐁䭯_x001D_千幘捩彡敭湡䕟䥂⡔〲㐰㌬㈸ㄹ착_x0018_＀＀_x0018_＀＀_x0008_＀＀_x0001_＀＀_x0001_＀＀豀碵꼝쐕퐁䭯_x001C_千幘捩彡敭湡獟獬㈨〰ⰷ㤳ㄱ⤳_x0018_＀＀_x0018_＀＀_x0008_＀＀_x0001_＀＀_x0001_＀＀豀碵꼝쐕퐁䭯_x001E_千幘捩彡敭湡䕟䥂䑔㈨〰ⰵ㠳㔶⤶_x0018_＀＀_x0018_＀＀_x0008_＀＀_x0001_＀＀_x0001_＀＀豀碵꼝쐕퐀䭯_x001C_千幘捩彡敭湡獟獬㈨〰ⰳ㜳㔹⤵_x0018_＀＀_x0018_＀＀_x0008_＀＀_x0001_＀＀_x0001_＀＀豀碵꼝쐕폺䭯_x001A_千幘南彆䕄呂䱟⡔呑ⱒ㠳㔳⤲_x0018_＀＀_x0018_＀＀_x0008_＀＀_x0001_＀＀_x0001_＀＀＀＀＀＀娀䂸폹䭯_x0012_千幘彐剐䍉⡅㜳㈲⤵_x0018_＀＀_x0018_＀＀_x0008_＀＀_x0001_＀＀_x0001_＀＀㌳㌳댳䀲퐌䭯G千幘䅃偟久当䕎彔佃呓ㄨ⼲〲㌰ⰬⰬ单⥄址当䕐华佉彎偎彐塅⡐㈱㈯〰ⰳⰬ唬䑓착_x0018_＀＀_x0018_＀＀_x0008_＀＀_x0001_＀＀_x0001_＀＀＀＀＀＀＀＀䀿퐁䭯_x001D_千幘捩彡敭湡䕟䥂⡔〲㠰㌬㌹㘸착_x0018_＀＀_x0018_＀＀_x0008_＀＀_x0001_＀＀_x0001_＀＀豀碵꼝쐕퐁䭯_x001C_千幘捩彡敭湡獟獬㈨〰ⰹ㤳㜴⤸_x0018_＀＀_x0018_＀＀_x0008_＀＀_x0001_＀＀_x0001_＀＀豀碵꼝쐕퐀䭯_x001B_千幘南彆偅当䥄⡌呌卍㌬㘸㘸착_x0018_＀＀_x0018_＀＀_x0008_＀＀_x0001_＀＀_x0001_＀＀롑蔞㿳폾䭯_x001B_千幘南彆呐彘义⡃呌卍㌬㈷㔲착_x0018_＀＀_x0018_＀＀_x0008_＀＀_x0001_＀＀_x0001_＀＀＀＀＀＀က䁽폻䭯_x001A_千幘南彆䕄呂卟⡔呑ⱒ㠳㘹⤰_x0018_＀＀_x0018_＀＀_x0008_＀＀_x0001_＀＀_x0001_＀＀＀＀＀＀蠀䂕퐍䭯＀Ｏ千幘南䱟䅅䕓䍟䵏䥍彔剙⠴㈱㈯〰ⰶ㈱㈯〰ⰶⰬ唬䑓착_x0018_＀＀_x0018_＀＀_x0008_＀＀_x0001_＀＀_x0001_＀＀＀＀＀＀＀＀䁛퐂䭯_x001C_千幘捩彡敭湡偟䥔㈨〰ⰸ㤳〵⤷_x0018_＀＀_x0018_＀＀_x0008_＀＀_x0001_＀＀_x0001_＀＀豀碵꼝쐕퐁䭯_x001C_千幘捩彡敭湡獟獬㈨〰ⰹ〴ㄱ⤷_x0018_＀＀_x0018_＀＀_x0008_＀＀_x0001_＀＀_x0001_＀＀豀碵꼝쐕퐁䭯_x001E_千幘捩彡敭湡䕟䥂䑔㈨〰ⰷ㤳㜱⤲_x0018_＀＀_x0018_＀＀_x0008_＀＀_x0001_＀＀_x0001_＀＀豀碵꼝쐕퐀䭯_x001B_千幘南彆偅当䥄⡌呌卍㌬㜹ㄲ착_x0018_＀＀_x0018_＀＀_x0008_＀＀_x0001_＀＀_x0001_＀＀敁ﯼ஌䀍폹䭯_x0011_千幘浣獟獨㌨ㄸ㜰착_x0018_＀＀_x0018_＀＀_x0008_＀＀_x0001_＀＀_x0001_＀＀豀碵꼝쐕폹䭯_x0012_千幘彐剐䍉⡅㘳㜳⤲_x0018_＀＀_x0018_＀＀_x0008_＀＀_x0001_＀＀_x0001_＀＀_x0001_＀＀㠀䀸퐃䭯_x001C_千幘捩彡敭湡䕟卐㈨〰ⰵ㠳ㄴ⤱_x0018_＀＀_x0018_＀＀_x0008_＀＀_x0001_＀＀_x0001_＀＀豀碵꼝쐕퐀䭯_x001E_千幘捩彡敭湡䕟䥂䑔㈨〰ⰲ㜳㤴⤹_x0018_＀＀_x0018_＀＀_x0008_＀＀_x0001_＀＀_x0001_＀＀豀碵꼝쐕폾䭯_x001B_千幘南彆䕎彔义⡃呌卍㌬㈶㤱착_x0018_＀＀_x0018_＀＀_x0008_＀＀_x0001_＀＀_x0001_＀＀＀＀＀＀저䂀폾䭯_x001B_千幘南彆呐彘义⡃呌卍㌬㌶㈷착_x0018_＀＀_x0018_＀＀_x0008_＀＀_x0001_＀＀_x0001_＀＀＀＀＀＀鐀䂒폾䭯_x0018_千幘南彆䉅呉䰨䵔ⱓ㤳㌲⤳_x0018_＀＀_x0018_＀＀_x0008_＀＀_x0001_＀＀_x0001_＀＀＀＀＀＀簀䂡폼䭯_x001E_千幘南彆䉅呉䅄䵟乇䰨䵔ⱓ㘳㌷⤸_x0018_＀＀_x0018_＀＀_x0008_＀＀_x0001_＀＀_x0001_＀＀Чꀲ䋌䀧폻䭯_x001C_千幘南彆䡓䑌卒䕟⡑呑ⱒ㜳㌱⤴_x0018_＀＀_x0018_＀＀_x0008_＀＀_x0001_＀＀_x0001_＀＀＀＀＀＀退䂷폻䭯_x001A_千幘南彆䕄呂䱟⡔呑ⱒ㤳㘹⤴_x0018_＀＀_x0018_＀＀_x0008_＀＀_x0001_＀＀_x0001_＀＀＀＀＀＀稀䂸폹䭯_x0012_千幘彐剐䍉⡅㠳㌸⤷_x0018_＀＀_x0018_＀＀_x0008_＀＀_x0001_＀＀_x0001_＀＀슏⣵὜䁁퐍䭯＀Ｏ千幘南䱟䅅䕓䍟䵏䥍彔剙⠴㈱㈯〰ⰷ㈱㈯〰ⰷⰬ唬䑓착_x0018_＀＀_x0018_＀＀_x0008_＀＀_x0001_＀＀_x0001_＀＀＀＀＀＀耀䁖퐍䭯;千幘南偟久䥓乏䅟卓呅当剐偏ㄨ⼲〲㈰䀩䅃偟久当䍐彔䕒ㄨ⼲〲㈰착_x0018_＀＀_x0018_＀＀_x0008_＀＀_x0001_＀＀_x0001_＀＀豀碵꼝쐕퐂䭯_x001C_千幘捩彡敭湡䕟卐㈨〰ⰰ㘳㌷⤸_x0018_＀＀_x0018_＀＀_x0008_＀＀_x0001_＀＀_x0001_＀＀豀碵꼝쐕퐁䭯_x001E_千幘捩彡敭湡䕟䥂䑔㈨〰ⰹ㤳㌹⤳_x0018_＀＀_x0018_＀＀_x0008_＀＀_x0001_＀＀_x0001_＀＀豀碵꼝쐕퐁䭯_x001C_千幘捩彡敭湡獟獬㈨〰ⰹ㤳㘶⤰_x0018_＀＀_x0018_＀＀_x0008_＀＀_x0001_＀＀_x0001_＀＀豀碵꼝쐕폾䭯_x001B_千幘南彆呐彘义⡃呌卍㌬㠸㜳착_x0018_＀＀_x0018_＀＀_x0008_＀＀_x0001_＀＀_x0001_＀＀＀＀＀＀저䂒폽䭯_x0018_千幘南彆䉅呉䰨䵔ⱓ㘳㔹⤰_x0018_＀＀_x0018_＀＀_x0008_＀＀_x0001_＀＀_x0001_＀＀＀＀＀＀㠀䂋폽䭯_x001E_千幘南彆䉅呉䅄䵟乇䰨䵔ⱓ㠳㘱⤸_x0018_＀＀_x0018_＀＀_x0008_＀＀_x0001_＀＀_x0001_＀＀柊䀰폽䭯_x0019_千幘南彆䅓䕌⡓呌卍㌬㠷㈰착_x0018_＀＀_x0018_＀＀_x0008_＀＀_x0001_＀＀_x0001_＀＀＀＀＀＀褀䂿폻䭯_x001A_千幘南彆䅃䡓卟⡔呑ⱒ㤳㈳⤵_x0018_＀＀_x0018_＀＀_x0008_＀＀_x0001_＀＀_x0001_＀＀＀＀＀＀䂉폹䭯_x0011_千幘浣獟獨㌨㐶㐶착_x0018_＀＀_x0018_＀＀_x0008_＀＀_x0001_＀＀_x0001_＀＀豀碵꼝쐕퐂䭯_x001C_千幘捩彡敭湡偟䥔㈨〰ⰸ㤳㤲⤴_x0018_＀＀_x0018_＀＀_x0008_＀＀_x0001_＀＀_x0001_＀＀豀碵꼝쐕퐁䭯_x001C_千幘捩彡敭湡獟獬㈨〰ⰶ㠳ㄷ⤷_x0018_＀＀_x0018_＀＀_x0008_＀＀_x0001_＀＀_x0001_＀＀豀碵꼝쐕폽䭯_x0018_千幘南彆䉅呉䰨䵔ⱓ㜳㤵⤰_x0018_＀＀_x0018_＀＀_x0008_＀＀_x0001_＀＀_x0001_＀＀＀＀＀＀䀀䂑폽䭯_x0019_千幘南彆䅓䕌⡓呌卍㌬㐸㈴착_x0018_＀＀_x0018_＀＀_x0008_＀＀_x0001_＀＀_x0001_＀＀＀＀＀＀㊀䃀폼䭯_x0019_千幘南彆䅓䕌⡓呌卍㌬㘷㈵착_x0018_＀＀_x0018_＀＀_x0008_＀＀_x0001_＀＀_x0001_＀＀＀＀＀＀_xD800_䂿폼䭯_x0019_千幘南彆十䕓協儨剔㌬㘸㘸착_x0018_＀＀_x0018_＀＀_x0008_＀＀_x0001_＀＀_x0001_＀＀＀＀＀＀畀䃗폺䭯_x001A_千幘南彆䕄呂卟⡔呑ⱒ㜳〱⤳_x0018_＀＀_x0018_＀＀_x0008_＀＀_x0001_＀＀_x0001_＀＀＀＀＀＀倀䂑폹䭯_x0011_千幘浣獟獨㌨㤸㤲착_x0018_＀＀_x0018_＀＀_x0008_＀＀_x0001_＀＀_x0001_＀＀豀碵꼝쐕퐂䭯_x001C_千幘捩彡敭湡偟䥔㈨〰ⰶ㠳㘹⤰_x0018_＀＀_x0018_＀＀_x0008_＀＀_x0001_＀＀_x0001_＀＀豀碵꼝쐕퐁䭯_x001E_千幘捩彡敭湡䕟䥂䑔㈨〰ⰴ㠳㘲⤰_x0018_＀＀_x0018_＀＀_x0008_＀＀_x0001_＀＀_x0001_＀＀豀碵꼝쐕폽䭯_x0019_千幘南彆䅓䕌⡓呌卍㌬〹㈸착_x0018_＀＀_x0018_＀＀_x0008_＀＀_x0001_＀＀_x0001_＀＀＀＀＀＀꼀䃂폼䭯_x0019_千幘南彆十䕓協儨剔㌬㜹ㄲ착_x0018_＀＀_x0018_＀＀_x0008_＀＀_x0001_＀＀_x0001_＀＀＀＀＀＀̀䃚폺䭯_x001A_千幘南彆䅃䡓卟⡔呑ⱒ㠳㜴⤲_x0018_＀＀_x0018_＀＀_x0008_＀＀_x0001_＀＀_x0001_＀＀＀＀＀＀簀䂜퐍䭯;千幘南偟久䥓乏䅟卓呅当呏⡈㈱㈯〰⤵䍀彁䕐华偟呃佟䡔ㄨ⼲〲㔰착_x0018_＀＀_x0018_＀＀_x0008_＀＀_x0001_＀＀_x0001_＀＀＀＀＀＀＀＀㿰퐌䭯＀Ｏ千幘南䡟呌䍈剁彅䵁剏彔䕓噒䍟协⡔㈱㈯〰ⰲⰬ唬䑓착_x0018_＀＀_x0018_＀＀_x0008_＀＀_x0001_＀＀_x0001_＀＀豀碵꼝쐕퐁䭯_x001D_千幘捩彡敭湡䕟䥂⡔〲㐰㌬〸㘴착_x0018_＀＀_x0018_＀＀_x0008_＀＀_x0001_＀＀_x0001_＀＀豀碵꼝쐕퐁䭯_x001E_千幘捩彡敭湡䕟䥂䑔㈨〰ⰸ㤳㔳⤵_x0018_＀＀_x0018_＀＀_x0008_＀＀_x0001_＀＀_x0001_＀＀豀碵꼝쐕퐁䭯_x001E_千幘捩彡敭湡䕟䥂䑔㈨〰ⰶ㠳㜷⤶_x0018_＀＀_x0018_＀＀_x0008_＀＀_x0001_＀＀_x0001_＀＀豀碵꼝쐕폼䭯_x001E_千幘南彆䉅呉䅄䵟乇䰨䵔ⱓ㜳㘵⤰_x0018_＀＀_x0018_＀＀_x0008_＀＀_x0001_＀＀_x0001_＀＀駽睫䀵폻䭯_x001C_千幘南彆䡓䑌卒䕟⡑呑ⱒ㤳㠳⤶_x0018_＀＀_x0018_＀＀_x0008_＀＀_x0001_＀＀_x0001_＀＀＀＀＀＀⒀䃁폺䭯_x001A_千幘南彆䕄呂䱟⡔呑ⱒ㠳〱⤷_x0018_＀＀_x0018_＀＀_x0008_＀＀_x0001_＀＀_x0001_＀＀＀＀＀＀㨀䂻폺䭯_x001A_千幘南彆䕄呂卟⡔呑ⱒ㘳㔲⤰_x0018_＀＀_x0018_＀＀_x0008_＀＀_x0001_＀＀_x0001_＀＀＀＀＀＀䂀퐍䭯%千幘南䥟呎剟呁彅夵噁⡇㈱㈯〰ⰸⰬ唬䑓착_x0018_＀＀_x0018_＀＀_x0008_＀＀_x0001_＀＀_x0001_＀＀ᘞ䵪軳䀙퐍䭯$千幘䅃偟久当呌䱟䅉卂ㄨ⼲〲㜰ⰬⰬ单⥄_x0018_＀＀_x0018_＀＀_x0008_＀＀_x0001_＀＀_x0001_＀＀豀碵꼝쐕폿䭯_x001B_千幘南彆偅当䥄⡌呌卍㌬〷ㄱ착_x0018_＀＀_x0018_＀＀_x0008_＀＀_x0001_＀＀_x0001_＀＀㬥ȶ뫱㿚폼䭯_x001C_千幘南彆䡓䑌卒䕟⡑呑ⱒ〴㈰⤵_x0018_＀＀_x0018_＀＀_x0008_＀＀_x0001_＀＀_x0001_＀＀＀＀＀＀綀䃀폺䭯_x001A_千幘南彆䕄呂卟⡔呑ⱒ㜳㈹⤵_x0018_＀＀_x0018_＀＀_x0008_＀＀_x0001_＀＀_x0001_＀＀＀＀＀＀怀䂔퐍䭯;千幘南偟久䥓乏䅟卓呅当充䥕ㄨ⼲〲㌰䀩䅃偟久当䍐彔充ㄨ⼲〲㌰착_x0018_＀＀_x0018_＀＀_x0008_＀＀_x0001_＀＀_x0001_＀＀＀＀＀＀＀＀䁎퐍䭯)千幘䅃偟久当䵅彐佃呎䥒彂⡃㈱㈯〰ⰳⰬ唬䑓착_x0018_＀＀_x0018_＀＀_x0008_＀＀_x0001_＀＀_x0001_＀＀豀碵꼝쐕퐂䭯_x001C_千幘捩彡敭湡偟䥔㈨〰ⰴ㠳㄰⤷_x0018_＀＀_x0018_＀＀_x0008_＀＀_x0001_＀＀_x0001_＀＀豀碵꼝쐕퐁䭯_x001D_千幘捩彡敭湡䕟䥂⡔〲㘰㌬㠸㜰착_x0018_＀＀_x0018_＀＀_x0008_＀＀_x0001_＀＀_x0001_＀＀豀碵꼝쐕폻䭯_x001A_千幘南彆䕄呂卟⡔呑ⱒ㤳㔳⤵_x0018_＀＀_x0018_＀＀_x0008_＀＀_x0001_＀＀_x0001_＀＀＀＀＀＀怀䁭폺䭯_x001A_千幘南彆䕄呂䱟⡔呑ⱒ㘳㘴⤴_x0018_＀＀_x0018_＀＀_x0008_＀＀_x0001_＀＀_x0001_＀＀＀＀＀＀퀀䂷퐂䭯_x001C_千幘捩彡敭湡偟䥔㈨〰ⰹ㤳㈷⤱_x0018_＀＀_x0018_＀＀_x0008_＀＀_x0001_＀＀_x0001_＀＀豀碵꼝쐕퐂䭯_x001C_千幘捩彡敭湡偟䥔㈨〰ⰷ㠳㤸⤸_x0018_＀＀_x0018_＀＀_x0008_＀＀_x0001_＀＀_x0001_＀＀豀碵꼝쐕폻䭯_x001A_千幘南彆䕄呂䱟⡔呑ⱒ㠳㈹⤹_x0018_＀＀_x0018_＀＀_x0008_＀＀_x0001_＀＀_x0001_＀＀＀＀＀＀휀䂱퐃䭯_x001C_千幘捩彡敭湡䕟卐㈨〰ⰳ㜳㌴⤷_x0018_＀＀_x0018_＀＀_x0008_＀＀_x0001_＀＀_x0001_＀＀豀碵꼝쐕퐁䭯_x001C_千幘捩彡敭湡獟獬㈨〰ⰵ㠳㈳⤱_x0018_＀＀_x0018_＀＀_x0008_＀＀_x0001_＀＀_x0001_＀＀豀碵꼝쐕퐀䭯_x001E_千幘捩彡敭湡䕟䥂䑔㈨〰ⰳ㜳㘸⤴_x0018_＀＀_x0018_＀＀_x0008_＀＀_x0001_＀＀_x0001_＀＀豀碵꼝쐕퐀䭯_x001B_千幘南彆偅当䥄⡌呌卍㌬㠷㌳착_x0018_＀＀_x0018_＀＀_x0008_＀＀_x0001_＀＀_x0001_＀＀_xD899_屼⨛㿰폹䭯_x0011_千幘浣獟獨㌨㈶㤱착_x0018_＀＀_x0018_＀＀_x0008_＀＀_x0001_＀＀_x0001_＀＀豀碵꼝쐕퐍䭯(千幘䅃偟久当䅐呒䍟乏剔䉉ㄨ⼲〲㐰ⰬⰬ单⥄_x0018_＀＀_x0018_＀＀_x0008_＀＀_x0001_＀＀_x0001_＀＀豀碵꼝쐕퐃䭯_x001C_千幘捩彡敭湡䕟卐㈨〰ⰳ㜳㠲⤷_x0018_＀＀_x0018_＀＀_x0008_＀＀_x0001_＀＀_x0001_＀＀豀碵꼝쐕퐁䭯_x001E_千幘捩彡敭湡䕟䥂䑔㈨〰ⰹ㤳㌵⤸_x0018_＀＀_x0018_＀＀_x0008_＀＀_x0001_＀＀_x0001_＀＀豀碵꼝쐕퐁䭯_x001C_千幘捩彡敭湡獟獬㈨〰ⰷ㠳㌸⤷_x0018_＀＀_x0018_＀＀_x0008_＀＀_x0001_＀＀_x0001_＀＀豀碵꼝쐕퐀䭯_x001B_千幘南彆偅当䥄⡌呌卍㌬㈹㌶착_x0018_＀＀_x0018_＀＀_x0008_＀＀_x0001_＀＀_x0001_＀＀㗼ꍙꈞ䀅폼䭯_x0019_千幘南彆䅓䕌⡓呌卍㌬㐷㜰착_x0018_＀＀_x0018_＀＀_x0008_＀＀_x0001_＀＀_x0001_＀＀＀＀＀＀焀䂿폼䭯_x0019_千幘南彆十䕓協儨剔㌬〷ㄱ착_x0018_＀＀_x0018_＀＀_x0008_＀＀_x0001_＀＀_x0001_＀＀＀＀＀＀䃓퐍䭯 千幘南䕟䍘彈䅒䕔䥟䍎䍟⡆㈱㈯〰⤶_x0018_＀＀_x0018_＀＀_x0008_＀＀_x0001_＀＀_x0001_＀＀豀碵꼝쐕퐌䭯L千幘䅃偟协剔呅䥟呎䍟协⡔㈱㈯〰ⰵⰬ唬䑓䀩南䡟呌䍈剁彅义彔佃呓ㄨ⼲〲㔰ⰬⰬ单⥄_x0018_＀＀_x0018_＀＀_x0008_＀＀_x0001_＀＀_x0001_＀＀＀＀＀＀＀＀䀸퐌䭯M千幘䅃偟协剔呅卟噒䍟协⡔㈱㈯〰ⰶⰬ唬䑓䀩南䡟呌䍈剁彅䕓噒䍟协⡔㈱㈯〰ⰶⰬ唬䑓착_x0018_＀＀_x0018_＀＀_x0008_＀＀_x0001_＀＀_x0001_＀＀＀＀＀＀＀＀䀜폽䭯_x0018_千幘南彆䉅呉䰨䵔ⱓ㜳㤱⤵_x0018_＀＀_x0018_＀＀_x0008_＀＀_x0001_＀＀_x0001_＀＀＀＀＀＀䂎폺䭯_x001A_千幘南彆䅃䡓卟⡔呑ⱒ㜳㌴⤷_x0018_＀＀_x0018_＀＀_x0008_＀＀_x0001_＀＀_x0001_＀＀＀＀＀＀_xD800_䂆폹䭯_x0012_千幘彐剐䍉⡅㘳㤷⤹_x0018_＀＀_x0018_＀＀_x0008_＀＀_x0001_＀＀_x0001_＀＀_x0001_＀＀퀀䀥퐌䭯E千幘䅃偟协剔呅䉟久佟⡂㈱㈯〰ⰲⰬ唬䑓䀩南䡟呌䍈剁彅䉐⡏㈱㈯〰ⰲⰬ唬䑓착_x0018_＀＀_x0018_＀＀_x0008_＀＀_x0001_＀＀_x0001_＀＀＀＀＀＀　䁿퐈䭯&lt;千幘南偟久䥓乏䅟卓呅当佂䑎⡓㈱㈯〰⤹䍀彁䕐华偟呃䙟⡉㈱㈯〰⤹_x0018_＀＀_x0018_＀＀_x0008_＀＀_x0001_＀＀_x0001_＀＀豀碵꼝쐕퐃䭯_x001C_千幘捩彡敭湡䕟卐㈨〰ⰸ㤳㠷⤲_x0018_＀＀_x0018_＀＀_x0008_＀＀_x0001_＀＀_x0001_＀＀豀碵꼝쐕퐂䭯_x001C_千幘捩彡敭湡偟䥔㈨〰ⰴ㜳㠹⤶_x0018_＀＀_x0018_＀＀_x0008_＀＀_x0001_＀＀_x0001_＀＀豀碵꼝쐕폾䭯_x001B_千幘南彆</t>
        </r>
      </text>
    </comment>
    <comment ref="A3" authorId="0">
      <text>
        <r>
          <rPr>
            <b/>
            <sz val="8"/>
            <color indexed="81"/>
            <rFont val="Tahoma"/>
            <family val="2"/>
          </rPr>
          <t>呐彘义⡃呌卍㌬㜶㤹착_x0018_＀＀_x0018_＀＀_x0008_＀＀_x0001_＀＀_x0001_＀＀＀＀＀＀䀀䁮폽䭯_x0018_千幘南彆䉅呉䰨䵔ⱓ㠳㌲⤰_x0018_＀＀_x0018_＀＀_x0008_＀＀_x0001_＀＀_x0001_＀＀＀＀＀＀뀀䂅폼䭯_x001E_千幘南彆䉅呉䅄䵟乇䰨䵔ⱓ㜳ㄳ⤵_x0018_＀＀_x0018_＀＀_x0008_＀＀_x0001_＀＀_x0001_＀＀ଌꔗ䀳폼䭯_x001E_千幘南彆䉅呉䅄䵟乇䰨䵔ⱓ㘳㈵⤵_x0018_＀＀_x0018_＀＀_x0008_＀＀_x0001_＀＀_x0001_＀＀匣襋౮䀩폺䭯_x001A_千幘南彆䅃䡓卟⡔呑ⱒ㠳㜰⤷_x0018_＀＀_x0018_＀＀_x0008_＀＀_x0001_＀＀_x0001_＀＀＀＀＀＀䁻폺䭯_x001A_千幘南彆䅃䡓卟⡔呑ⱒ㜳㠲⤷_x0018_＀＀_x0018_＀＀_x0008_＀＀_x0001_＀＀_x0001_＀＀＀＀＀＀倀䂃퐍䭯'千幘䅃偟久当商䑎卟䅔啔⡓㈱㈯〰ⰳⰬ唬䑓착_x0018_＀＀_x0018_＀＀_x0008_＀＀_x0001_＀＀_x0001_＀＀豀碵꼝쐕퐂䭯_x001C_千幘捩彡敭湡䕟卐㈨〰ⰰ㘳㈵⤵_x0018_＀＀_x0018_＀＀_x0008_＀＀_x0001_＀＀_x0001_＀＀豀碵꼝쐕퐁䭯_x001D_千幘捩彡敭湡䕟䥂⡔〲㔰㌬㐸ㄱ착_x0018_＀＀_x0018_＀＀_x0008_＀＀_x0001_＀＀_x0001_＀＀豀碵꼝쐕폼䭯_x0019_千幘南彆十䕓協儨剔㌬㠷㌳착_x0018_＀＀_x0018_＀＀_x0008_＀＀_x0001_＀＀_x0001_＀＀＀＀＀＀ࣀ䃕퐍䭯"千幘南偟久䥓乏偟佂ㄨ⼲〲㠰ⰬⰬ单⥄_x0018_＀＀_x0018_＀＀_x0008_＀＀_x0001_＀＀_x0001_＀＀＀＀＀＀ᰀ䂠퐌䭯J千幘䅃偟久当䥄䍓剟呁⡅㈱㈯〰ⰶⰬ唬䑓䀩南偟久䥓乏䑟卉彃䅒䕔ㄨ⼲〲㘰ⰬⰬ单⥄_x0018_＀＀_x0018_＀＀_x0008_＀＀_x0001_＀＀_x0001_＀＀＀＀＀＀＀＀䀖퐌䭯I千幘䅃偟久当剓彖佃呓ㄨ⼲〲㔰ⰬⰬ单⥄址当䕐华佉彎䕓噒䍟协⡔㈱㈯〰ⰵⰬ唬䑓착_x0018_＀＀_x0018_＀＀_x0008_＀＀_x0001_＀＀_x0001_＀＀＀＀＀＀＀＀䁁퐌䭯T千幘䅃偟协剔呅偟䥒剏卟噒ㄨ⼲〲㈰ⰬⰬ单⥄址当䱈䡔䅃䕒啟剎䍅卟剅彖佃呓ㄨ⼲〲㈰ⰬⰬ单⥄_x0018_＀＀_x0018_＀＀_x0008_＀＀_x0001_＀＀_x0001_＀＀豀碵꼝쐕퐌䭯J千幘䅃偟协剔呅剟䅏䅟呃ㄨ⼲〲㐰ⰬⰬ单⥄址当䱈䡔䅃䕒䅟呃剟䅏ㄨ⼲〲㐰ⰬⰬ单⥄_x0018_＀＀_x0018_＀＀_x0008_＀＀_x0001_＀＀_x0001_＀＀豀碵꼝쐕퐀䭯_x001C_千幘捩彡敭湡獟獬㈨〰ⰴ㜳㈹⤵_x0018_＀＀_x0018_＀＀_x0008_＀＀_x0001_＀＀_x0001_＀＀豀碵꼝쐕폼䭯_x0019_千幘南彆十䕓協儨剔㌬㈹㌶착_x0018_＀＀_x0018_＀＀_x0008_＀＀_x0001_＀＀_x0001_＀＀＀＀＀＀節䃘폺䭯_x001A_千幘南彆䕄呂䱟⡔呑ⱒ㘳ㄲ⤹_x0018_＀＀_x0018_＀＀_x0008_＀＀_x0001_＀＀_x0001_＀＀＀＀＀＀ 䂹폹䭯_x0012_千幘彐剐䍉⡅㘳㠹⤱_x0018_＀＀_x0018_＀＀_x0008_＀＀_x0001_＀＀_x0001_＀＀馚香_xD999_䀰퐌䭯*千幘南䡟呌䍈剁彅塅彐呌剟䅏ㄨ⼲〲㜰ⰬⰬ单⥄_x0018_＀＀_x0018_＀＀_x0008_＀＀_x0001_＀＀_x0001_＀＀豀碵꼝쐕폾䭯_x001B_千幘南彆呐彘义⡃呌卍㌬㤶ㄸ착_x0018_＀＀_x0018_＀＀_x0008_＀＀_x0001_＀＀_x0001_＀＀＀＀＀＀뀀䁳폻䭯_x001C_千幘南彆䡓䑌卒䕟⡑呑ⱒ㠳㌵⤳_x0018_＀＀_x0018_＀＀_x0008_＀＀_x0001_＀＀_x0001_＀＀＀＀＀＀섀䂽퐍䭯F千幘䅃偟久当佒彁䍁⡔㈱㈯〰ⰶⰬ唬䑓䀩南偟久䥓乏䅟呃剟䅏ㄨ⼲〲㘰ⰬⰬ单⥄_x0018_＀＀_x0018_＀＀_x0008_＀＀_x0001_＀＀_x0001_＀＀＀＀＀＀쀀䁘퐀䭯_x001B_千幘南彆䕎彔义⡃呌卍㌬㐷㠶착_x0018_＀＀_x0018_＀＀_x0008_＀＀_x0001_＀＀_x0001_＀＀＀＀＀＀＀＀䁷폾䭯_x0018_千幘南彆䉅呉䰨䵔ⱓ〴㠰⤶_x0018_＀＀_x0018_＀＀_x0008_＀＀_x0001_＀＀_x0001_＀＀＀＀＀＀樀䂡폻䭯_x001C_千幘南彆䡓䑌卒䕟⡑呑ⱒ㠳㠳⤳_x0018_＀＀_x0018_＀＀_x0008_＀＀_x0001_＀＀_x0001_＀＀＀＀＀＀鬀䂺폺䭯_x001A_千幘南彆䕄呂卟⡔呑ⱒ㘳㜶⤷_x0018_＀＀_x0018_＀＀_x0008_＀＀_x0001_＀＀_x0001_＀＀＀＀＀＀怀䂊퐃䭯_x001C_千幘捩彡敭湡䕟卐㈨〰ⰴ㜳〸⤲_x0018_＀＀_x0018_＀＀_x0008_＀＀_x0001_＀＀_x0001_＀＀豀碵꼝쐕퐂䭯_x001C_千幘捩彡敭湡偟䥔㈨〰ⰷ㠳㐷⤸_x0018_＀＀_x0018_＀＀_x0008_＀＀_x0001_＀＀_x0001_＀＀豀碵꼝쐕퐀䭯_x001B_千幘南彆䕎彔义⡃呌卍㌬㔸㌰착_x0018_＀＀_x0018_＀＀_x0008_＀＀_x0001_＀＀_x0001_＀＀＀＀＀＀䁼폻䭯_x001C_千幘南彆䡓䑌卒䕟⡑呑ⱒ㜳㠶⤰_x0018_＀＀_x0018_＀＀_x0008_＀＀_x0001_＀＀_x0001_＀＀＀＀＀＀愀䂸폻䭯_x001A_千幘南彆䅃䡓卟⡔呑ⱒ〴㜱⤸_x0018_＀＀_x0018_＀＀_x0008_＀＀_x0001_＀＀_x0001_＀＀＀＀＀＀ࠀ䂑폺䭯_x001A_千幘南彆䕄呂卟⡔呑ⱒ㘳㈹⤲_x0018_＀＀_x0018_＀＀_x0008_＀＀_x0001_＀＀_x0001_＀＀＀＀＀＀저䂌퐍䭯J千幘䅃偟久当䱐乁䅟呓ㄨ⼲〲㌰ⰬⰬ单⥄址当䕐华佉彎䅖彌十䕓協ㄨ⼲〲㌰ⰬⰬ单⥄_x0018_＀＀_x0018_＀＀_x0008_＀＀_x0001_＀＀_x0001_＀＀＀＀＀＀가䂖퐈䭯)千幘䅃偟久当䵅彐佃呎䥒彂⡃㈱㈯〰ⰹⰬ唬䑓착_x0018_＀＀_x0018_＀＀_x0008_＀＀_x0001_＀＀_x0001_＀＀豀碵꼝쐕퐃䭯_x001C_千幘捩彡敭湡䕟卐㈨〰ⰶ㤳㈰⤱_x0018_＀＀_x0018_＀＀_x0008_＀＀_x0001_＀＀_x0001_＀＀豀碵꼝쐕퐃䭯_x001C_千幘捩彡敭湡䕟卐㈨〰ⰴ㜳㔶⤲_x0018_＀＀_x0018_＀＀_x0008_＀＀_x0001_＀＀_x0001_＀＀豀碵꼝쐕퐂䭯_x001C_千幘捩彡敭湡偟䥔㈨㄰ⰰ㤳㤹⤴_x0018_＀＀_x0018_＀＀_x0008_＀＀_x0001_＀＀_x0001_＀＀豀碵꼝쐕퐂䭯_x001C_千幘捩彡敭湡偟䥔㈨〰ⰳ㜳㤵⤰_x0018_＀＀_x0018_＀＀_x0008_＀＀_x0001_＀＀_x0001_＀＀豀碵꼝쐕폽䭯_x001E_千幘南彆䉅呉䅄䵟乇䰨䵔ⱓ〴㔰⤶_x0018_＀＀_x0018_＀＀_x0008_＀＀_x0001_＀＀_x0001_＀＀塗밚䐙䁀폽䭯_x0019_千幘南彆䅓䕌⡓呌卍㌬㘹ㄹ착_x0018_＀＀_x0018_＀＀_x0008_＀＀_x0001_＀＀_x0001_＀＀＀＀＀＀䃄폺䭯_x001A_千幘南彆䕄呂卟⡔呑ⱒ㠳㔳⤲_x0018_＀＀_x0018_＀＀_x0008_＀＀_x0001_＀＀_x0001_＀＀＀＀＀＀䂐퐍䭯 千幘南䕟䍘彈䅒䕔䉟䱁卟⡈㈱㈯〰⤲_x0018_＀＀_x0018_＀＀_x0008_＀＀_x0001_＀＀_x0001_＀＀豀碵꼝쐕퐋䭯_x0019_千幘南䙟䍙⴨⤱䍀彁奆⡃ㄭ착_x0018_＀＀_x0018_＀＀_x0008_＀＀_x0001_＀＀_x0008_＀＀㈱㈯〰8퐈䭯F千幘䅃偟久当佒彁䍁⡔㈱㈯〰ⰹⰬ唬䑓䀩南偟久䥓乏䅟呃剟䅏ㄨ⼲〲㤰ⰬⰬ单⥄_x0018_＀＀_x0018_＀＀_x0008_＀＀_x0001_＀＀_x0001_＀＀豀碵꼝쐕퐁䭯_x001C_千幘捩彡敭湡獟獬㈨〰ⰸ㤳㤶⤱_x0018_＀＀_x0018_＀＀_x0008_＀＀_x0001_＀＀_x0001_＀＀豀碵꼝쐕퐀䭯_x001B_千幘南彆偅当䥄⡌呌卍㌬ㄹ㌱착_x0018_＀＀_x0018_＀＀_x0008_＀＀_x0001_＀＀_x0001_＀＀_xDFCE_䊄鰄䀆폾䭯_x001B_千幘南彆䕎彔义⡃呌卍㌬㠶〶착_x0018_＀＀_x0018_＀＀_x0008_＀＀_x0001_＀＀_x0001_＀＀＀＀＀＀䀀䁞폾䭯_x001B_千幘南彆偅当䥄⡌呌卍㌬㔶㔸착_x0018_＀＀_x0018_＀＀_x0008_＀＀_x0001_＀＀_x0001_＀＀㵱휊炣㾽퐍䭯%千幘䅃偟久当呌䅟卓呅⡓㈱㈯〰ⰸⰬ唬䑓착_x0018_＀＀_x0018_＀＀_x0008_＀＀_x0001_＀＀_x0001_＀＀豀碵꼝쐕퐌䭯#千幘䅃偟协剔呅䱟䅉⡂㈱㈯〰ⰲⰬ唬䑓착_x0018_＀＀_x0018_＀＀_x0008_＀＀_x0001_＀＀_x0001_＀＀豀碵꼝쐕퐁䭯_x001C_千幘捩彡敭湡獟獬㈨㄰ⰰ㤳㌹⤳_x0018_＀＀_x0018_＀＀_x0008_＀＀_x0001_＀＀_x0001_＀＀豀碵꼝쐕퐁䭯_x001E_千幘捩彡敭湡䕟䥂䑔㈨〰ⰵ㠳㌲⤰_x0018_＀＀_x0018_＀＀_x0008_＀＀_x0001_＀＀_x0001_＀＀豀碵꼝쐕폾䭯_x001B_千幘南彆偅当䥄⡌呌卍㌬㠶〳착_x0018_＀＀_x0018_＀＀_x0008_＀＀_x0001_＀＀_x0001_＀＀넱룹吶㿒퐀䭯_x001B_千幘南彆偅当䥄⡌呌卍㌬㈸〶착_x0018_＀＀_x0018_＀＀_x0008_＀＀_x0001_＀＀_x0001_＀＀⨆_xDFE3_屧㿭폻䭯_x001A_千幘南彆䕄呂卟⡔呑ⱒ㤳㘹⤴_x0018_＀＀_x0018_＀＀_x0008_＀＀_x0001_＀＀_x0001_＀＀＀＀＀＀ꀀ䁳폹䭯_x001D_千幘捩彡敭湡䕟䥂⡔〲㌰㌬㐷㜳착_x0018_＀＀_x0018_＀＀_x0008_＀＀_x0001_＀＀_x0001_＀＀豀碵꼝쐕퐃䭯_x001C_千幘捩彡敭湡䕟卐㈨㄰ⰰ〴ㄱ⤷_x0018_＀＀_x0018_＀＀_x0008_＀＀_x0001_＀＀_x0001_＀＀豀碵꼝쐕퐁䭯_x001E_千幘捩彡敭湡䕟䥂䑔㈨〰ⰷ㤳㠳⤶_x0018_＀＀_x0018_＀＀_x0008_＀＀_x0001_＀＀_x0001_＀＀豀碵꼝쐕폽䭯_x0018_千幘南彆䉅呉䰨䵔ⱓ㠳〸⤷_x0018_＀＀_x0018_＀＀_x0008_＀＀_x0001_＀＀_x0001_＀＀＀＀＀＀␀䂙폹䭯_x0012_千幘彐剐䍉⡅㜳㜳⤶_x0018_＀＀_x0018_＀＀_x0008_＀＀_x0001_＀＀_x0001_＀＀⣶轜ᗂ䀲퐃䭯_x001C_千幘捩彡敭湡䕟卐㈨〰ⰶ㠳㤹⤰_x0018_＀＀_x0018_＀＀_x0008_＀＀_x0001_＀＀_x0001_＀＀豀碵꼝쐕퐃䭯_x001C_千幘捩彡敭湡䕟卐㈨〰ⰵ㠳㈶⤵_x0018_＀＀_x0018_＀＀_x0008_＀＀_x0001_＀＀_x0001_＀＀豀碵꼝쐕폾䭯_x001B_千幘南彆呐彘义⡃呌卍㌬㌷㘷착_x0018_＀＀_x0018_＀＀_x0008_＀＀_x0001_＀＀_x0001_＀＀＀＀＀＀ꠀ䂁폾䭯_x0018_千幘南彆䉅呉䰨䵔ⱓ㤳㐴⤷_x0018_＀＀_x0018_＀＀_x0008_＀＀_x0001_＀＀_x0001_＀＀＀＀＀＀縀䂢폼䭯_x0019_千幘南彆䅓䕌⡓呌卍㌬㌶ㄴ착_x0018_＀＀_x0018_＀＀_x0008_＀＀_x0001_＀＀_x0001_＀＀＀＀＀＀먀䃃폼䭯_x0019_千幘南彆十䕓協儨剔㌬ㄹ㌱착_x0018_＀＀_x0018_＀＀_x0008_＀＀_x0001_＀＀_x0001_＀＀＀＀＀＀詀䃘폼䭯_x0019_千幘南彆十䕓協儨剔㌬㔶㔸착_x0018_＀＀_x0018_＀＀_x0008_＀＀_x0001_＀＀_x0001_＀＀＀＀＀＀㰀䃔폻䭯_x001C_千幘南彆䡓䑌卒䕟⡑呑ⱒ㠳㌱⤸_x0018_＀＀_x0018_＀＀_x0008_＀＀_x0001_＀＀_x0001_＀＀＀＀＀＀吀䂹폹䭯_x0012_千幘彐剐䍉⡅㠳ㄴ⤱_x0018_＀＀_x0018_＀＀_x0008_＀＀_x0001_＀＀_x0001_＀＀ᑺꞮ䀴폹䭯_x0012_千幘彐剐䍉⡅㜳㈶⤱_x0018_＀＀_x0018_＀＀_x0008_＀＀_x0001_＀＀_x0001_＀＀슐⣵作䀬퐍䭯%千幘䅃偟久当啃归䥌䉁⡓㈱㈯〰ⰴⰬ唬䑓착_x0018_＀＀_x0018_＀＀_x0008_＀＀_x0001_＀＀_x0001_＀＀豀碵꼝쐕퐈䭯'千幘䅃偟久当商䑎卟䅔啔⡓㈱㈯〰ⰹⰬ唬䑓착_x0018_＀＀_x0018_＀＀_x0008_＀＀_x0001_＀＀_x0001_＀＀豀碵꼝쐕퐁䭯_x001D_千幘捩彡敭湡䕟䥂⡔〲㠰㌬㜹㈸착_x0018_＀＀_x0018_＀＀_x0008_＀＀_x0001_＀＀_x0001_＀＀豀碵꼝쐕퐀䭯_x001B_千幘南彆偅当䥄⡌呌卍㌬㠹㈷착_x0018_＀＀_x0018_＀＀_x0008_＀＀_x0001_＀＀_x0001_＀＀愨饟䀋폾䭯_x001B_千幘南彆呐彘义⡃呌卍㌬㐸ㄱ착_x0018_＀＀_x0018_＀＀_x0008_＀＀_x0001_＀＀_x0001_＀＀＀＀＀＀砀䂅폾䭯_x001B_千幘南彆呐彘义⡃呌卍㌬㘷ㄲ착_x0018_＀＀_x0018_＀＀_x0008_＀＀_x0001_＀＀_x0001_＀＀＀＀＀＀렀䂇폼䭯_x0019_千幘南彆䅓䕌⡓呌卍㌬ㄶㄹ착_x0018_＀＀_x0018_＀＀_x0008_＀＀_x0001_＀＀_x0001_＀＀＀＀＀＀_xDA80_䃃폼䭯_x0019_千幘南彆十䕓協儨剔㌬㠶〳착_x0018_＀＀_x0018_＀＀_x0008_＀＀_x0001_＀＀_x0001_＀＀＀＀＀＀㣀䃔폹䭯_x0012_千幘彐剐䍉⡅㤳㔰⤱_x0018_＀＀_x0018_＀＀_x0008_＀＀_x0001_＀＀_x0001_＀＀䞮竡䁁폹䭯_x0011_千幘浣獟獨㌨㐷㠶착_x0018_＀＀_x0018_＀＀_x0008_＀＀_x0001_＀＀_x0001_＀＀豀碵꼝쐕퐍䭯&lt;千幘南偟久䥓乏䅟卓呅当佂䑎⡓㈱㈯〰⤴䍀彁䕐华偟呃䙟⡉㈱㈯〰⤴_x0018_＀＀_x0018_＀＀_x0008_＀＀_x0001_＀＀_x0001_＀＀＀＀＀＀＀＀䁄퐃䭯_x001C_千幘捩彡敭湡䕟卐㈨〰ⰷ㤳㐱⤱_x0018_＀＀_x0018_＀＀_x0008_＀＀_x0001_＀＀_x0001_＀＀豀碵꼝쐕폾䭯_x001B_千幘南彆呐彘义⡃呌卍㌬〹ㄵ착_x0018_＀＀_x0018_＀＀_x0008_＀＀_x0001_＀＀_x0001_＀＀＀＀＀＀蠀䂛폽䭯_x0019_千幘南彆䅓䕌⡓呌卍㌬㘸㘵착_x0018_＀＀_x0018_＀＀_x0008_＀＀_x0001_＀＀_x0001_＀＀＀＀＀＀부䃀폼䭯_x0019_千幘南彆十䕓協儨剔㌬㈸〶착_x0018_＀＀_x0018_＀＀_x0008_＀＀_x0001_＀＀_x0001_＀＀＀＀＀＀쭀䃗폺䭯_x001A_千幘南彆䕄呂卟⡔呑ⱒ㠳〱⤷_x0018_＀＀_x0018_＀＀_x0008_＀＀_x0001_＀＀_x0001_＀＀＀＀＀＀᠀䂂폹䭯_x0011_千幘浣獟獨㌨㔸㌰착_x0018_＀＀_x0018_＀＀_x0008_＀＀_x0001_＀＀_x0001_＀＀豀碵꼝쐕퐍䭯N千幘䅃偟久当乕䕒佃⡇㈱㈯〰ⰲⰬ唬䑓䀩南偟久䥓乏啟剎䍅卟剅彖佃呓ㄨ⼲〲㈰ⰬⰬ单⥄_x0018_＀＀_x0018_＀＀_x0008_＀＀_x0001_＀＀_x0001_＀＀＀＀＀＀＀＀䁄퐌䭯F千幘䅃偟协剔呅剟䅏ㄨ⼲〲㔰ⰬⰬ单⥄址当䱈䡔䅃䕒䕟偘剟䅏ㄨ⼲〲㔰ⰬⰬ单⥄_x0018_＀＀_x0018_＀＀_x0008_＀＀_x0001_＀＀_x0001_＀＀豀碵꼝쐕퐃䭯_x001C_千幘捩彡敭湡䕟卐㈨〰ⰲ㜳㘴⤸_x0018_＀＀_x0018_＀＀_x0008_＀＀_x0001_＀＀_x0001_＀＀豀碵꼝쐕퐁䭯_x001C_千幘捩彡敭湡獟獬㈨〰ⰴ㠳㔳⤲_x0018_＀＀_x0018_＀＀_x0008_＀＀_x0001_＀＀_x0001_＀＀豀碵꼝쐕폺䭯_x001A_千幘南彆䅃䡓卟⡔呑ⱒ㠳㠶⤶_x0018_＀＀_x0018_＀＀_x0008_＀＀_x0001_＀＀_x0001_＀＀＀＀＀＀瀀䂂퐂䭯_x001C_千幘捩彡敭湡䕟卐ㄨ㤹ⰹ㘳㌴⤳_x0018_＀＀_x0018_＀＀_x0008_＀＀_x0001_＀＀_x0001_＀＀豀碵꼝쐕퐂䭯_x001C_千幘捩彡敭湡偟䥔㈨㄰ⰰ㤳㐸⤴_x0018_＀＀_x0018_＀＀_x0008_＀＀_x0001_＀＀_x0001_＀＀豀碵꼝쐕퐁䭯_x001C_千幘捩彡敭湡獟獬㈨〰ⰶ㠳㘸⤸_x0018_＀＀_x0018_＀＀_x0008_＀＀_x0001_＀＀_x0001_＀＀豀碵꼝쐕폽䭯_x001E_千幘南彆䉅呉䅄䵟乇䰨䵔ⱓ㠳㘵⤴_x0018_＀＀_x0018_＀＀_x0008_＀＀_x0001_＀＀_x0001_＀＀⺫椀䀸폻䭯_x001A_千幘南彆䅃䡓卟⡔呑ⱒ㤳㈷⤱_x0018_＀＀_x0018_＀＀_x0008_＀＀_x0001_＀＀_x0001_＀＀＀＀＀＀堀䂎폺䭯_x001A_千幘南彆䕄呂卟⡔呑ⱒ㘳㘴⤴_x0018_＀＀_x0018_＀＀_x0008_＀＀_x0001_＀＀_x0001_＀＀＀＀＀＀瀀䂑폹䭯_x0011_千幘浣獟獨㌨㠶〶착_x0018_＀＀_x0018_＀＀_x0008_＀＀_x0001_＀＀_x0001_＀＀豀碵꼝쐕퐍䭯＀Ｏ千幘南䱟䅅䕓䍟䵏䥍彔剙⠵㈱㈯〰ⰱ㈱㈯〰ⰱⰬ唬䑓착_x0018_＀＀_x0018_＀＀_x0008_＀＀_x0001_＀＀_x0001_＀＀＀＀＀＀＀＀䁞퐃䭯_x001C_千幘捩彡敭湡䕟卐㈨〰ⰹ㤳㔷⤲_x0018_＀＀_x0018_＀＀_x0008_＀＀_x0001_＀＀_x0001_＀＀豀碵꼝쐕퐂䭯_x001C_千幘捩彡敭湡偟䥔㈨〰ⰷ㤳㈳⤵_x0018_＀＀_x0018_＀＀_x0008_＀＀_x0001_＀＀_x0001_＀＀豀碵꼝쐕폿䭯_x001B_千幘南彆偅当䥄⡌呌卍㌬㈷㔲착_x0018_＀＀_x0018_＀＀_x0008_＀＀_x0001_＀＀_x0001_＀＀ፀ썡⯓㿤폼䭯_x0019_千幘南彆十䕓協儨剔㌬㠹㈷착_x0018_＀＀_x0018_＀＀_x0008_＀＀_x0001_＀＀_x0001_＀＀＀＀＀＀가䃙폻䭯_x001A_千幘南彆䕄呂卟⡔呑ⱒ㠳㈹⤹_x0018_＀＀_x0018_＀＀_x0008_＀＀_x0001_＀＀_x0001_＀＀＀＀＀＀蠀䂕퐌䭯'千幘䅃偟协剔呅䉟久偟䥁⡄㈱㈯〰ⰴⰬ唬䑓착_x0018_＀＀_x0018_＀＀_x0008_＀＀_x0001_＀＀_x0001_＀＀豀碵꼝쐕폺䭯_x001A_千幘南彆䕄呂䱟⡔呑ⱒ㜳㘴⤸_x0018_＀＀_x0018_＀＀_x0008_＀＀_x0001_＀＀_x0001_＀＀＀＀＀＀숀䂸폹䭯_x001D_千幘捩彡敭湡䕟䥂⡔〲㐰㌬㠷㈰착_x0018_＀＀_x0018_＀＀_x0008_＀＀_x0001_＀＀_x0001_＀＀豀碵꼝쐕퐍䭯＀Ｏ千幘南䱟䅅䕓䍟䵏䥍彔剙⠵㈱㈯〰ⰲ㈱㈯〰ⰲⰬ唬䑓착_x0018_＀＀_x0018_＀＀_x0008_＀＀_x0001_＀＀_x0001_＀＀＀＀＀＀ꀀ䁦퐁䭯_x001D_千幘捩彡敭湡䕟䥂⡔〲㘰㌬〹ㄲ착_x0018_＀＀_x0018_＀＀_x0008_＀＀_x0001_＀＀_x0001_＀＀豀碵꼝쐕퐀䭯_x001B_千幘南彆䕎彔义⡃呌卍㐬㈰㤰착_x0018_＀＀_x0018_＀＀_x0008_＀＀_x0001_＀＀_x0001_＀＀＀＀＀＀ꐀ䂑폾䭯_x001B_千幘南彆偅当䥄⡌呌卍㌬㌶㈷착_x0018_＀＀_x0018_＀＀_x0008_＀＀_x0001_＀＀_x0001_＀＀◮톍⨺㿲폼䭯_x001C_千幘南彆䡓䑌卒䕟⡑呑ⱒ㤳㠷⤲_x0018_＀＀_x0018_＀＀_x0008_＀＀_x0001_＀＀_x0001_＀＀＀＀＀＀뺀䃀폺䭯_x001A_千幘南彆䕄呂䱟⡔呑ⱒ㠳〵⤳_x0018_＀＀_x0018_＀＀_x0008_＀＀_x0001_＀＀_x0001_＀＀＀＀＀＀䀀䂸퐌䭯(千幘南䡟呌䍈剁彅乕彆䕂⡎㈱㈯〰ⰹⰬ唬䑓⤩＀＀＀＀퐃䭯_x001C_千幘捩彡敭湡䕟卐㈨〰ⰶ㠳㤵⤵_x0018_＀＀_x0018_＀＀_x0008_＀＀_x0001_＀＀_x0001_＀＀豀碵꼝쐕퐂䭯_x001C_千幘捩彡敭湡偟䥔㈨〰ⰴ㠳㘱⤸_x0018_＀＀_x0018_＀＀_x0008_＀＀_x0001_＀＀_x0001_＀＀豀碵꼝쐕퐁䭯_x001C_千幘捩彡敭湡獟獬㈨〰ⰹ㤳㈶⤹_x0018_＀＀_x0018_＀＀_x0008_＀＀_x0001_＀＀_x0001_＀＀豀碵꼝쐕퐀䭯_x001B_千幘南彆偅当䥄⡌呌卍㌬㠸㜳착_x0018_＀＀_x0018_＀＀_x0008_＀＀_x0001_＀＀_x0001_＀＀ἶ蛗㿻퐍䭯＀Ｏ千幘南䱟䅅䕓䍟䵏䥍彔剙⠵㈱㈯〰ⰳ㈱㈯〰ⰳⰬ唬䑓착_x0018_＀＀_x0018_＀＀_x0008_＀＀_x0001_＀＀_x0001_＀＀＀＀＀＀ꀀ䁡퐌䭯)千幘南䡟呌䍈剁彅䥄䍓剟呁⡅㈱㈯〰ⰶⰬ唬䑓착_x0018_＀＀_x0018_＀＀_x0008_＀＀_x0001_＀＀_x0001_＀＀＀＀＀＀＀＀䀖퐂䭯_x001C_千幘捩彡敭湡䕟卐㈨〰ⰱ㜳㜰⤲_x0018_＀＀_x0018_＀＀_x0008_＀＀_x0001_＀＀_x0001_＀＀豀碵꼝쐕퐂䭯_x001C_千幘捩彡敭湡偟䥔㈨〰ⰹ㤳㜸⤲_x0018_＀＀_x0018_＀＀_x0008_＀＀_x0001_＀＀_x0001_＀＀豀碵꼝쐕퐁䭯_x001E_千幘捩彡敭湡䕟䥂䑔㈨㄰ⰰ〴㠰⤶_x0018_＀＀_x0018_＀＀_x0008_＀＀_x0001_＀＀_x0001_＀＀豀碵꼝쐕퐀䭯_x001B_千幘南彆䕎彔义⡃呌卍㌬㜹㈵착_x0018_＀＀_x0018_＀＀_x0008_＀＀_x0001_＀＀_x0001_＀＀＀＀＀＀Ⰰ䂗폽䭯_x0018_千幘南彆䉅呉䰨䵔ⱓ㘳㘷⤹_x0018_＀＀_x0018_＀＀_x0008_＀＀_x0001_＀＀_x0001_＀＀＀＀＀＀㠀䂂폼䭯_x0019_千幘南彆十䕓協儨剔㌬㈷㔲착_x0018_＀＀_x0018_＀＀_x0008_＀＀_x0001_＀＀_x0001_＀＀＀＀＀＀ᾀ䃔폺䭯_x001A_千幘南彆䕄呂䱟⡔呑ⱒ㘳㘸⤰_x0018_＀＀_x0018_＀＀_x0008_＀＀_x0001_＀＀_x0001_＀＀＀＀＀＀䂷퐌䭯H千幘䅃偟久当义彔佃呓ㄨ⼲〲㠰ⰬⰬ单⥄址当䕐华佉彎义彔佃呓ㄨ⼲〲㠰ⰬⰬ单⥄_x0018_＀＀_x0018_＀＀_x0008_＀＀_x0001_＀＀_x0001_＀＀＀＀＀＀쀀䁝퐌䭯P千幘䅃偟协剔呅偟䅌彎十彔久⡄㈱㈯〰ⰳⰬ唬䑓䀩南䡟呌䍈剁彅噆䅟卓呅ㄨ⼲〲㌰ⰬⰬ单⥄_x0018_＀＀_x0018_＀＀_x0008_＀＀_x0001_＀＀_x0001_＀＀豀碵꼝쐕퐂䭯_x001C_千幘捩彡敭湡偟䥔㈨〰ⰶ㠳㈹⤹_x0018_＀＀_x0018_＀＀_x0008_＀＀_x0001_＀＀_x0001_＀＀豀碵꼝쐕퐁䭯_x001C_千幘捩彡敭湡獟獬㈨〰ⰷ㤳㔰⤱_x0018_＀＀_x0018_＀＀_x0008_＀＀_x0001_＀＀_x0001_＀＀豀碵꼝쐕퐁䭯_x001C_千幘捩彡敭湡獟獬㈨〰ⰵ㠳㜴⤲_x0018_＀＀_x0018_＀＀_x0008_＀＀_x0001_＀＀_x0001_＀＀豀碵꼝쐕퐁䭯_x001C_千幘捩彡敭湡獟獬㈨〰ⰴ㠳〱⤷_x0018_＀＀_x0018_＀＀_x0008_＀＀_x0001_＀＀_x0001_＀＀豀碵꼝쐕폽䭯_x0018_千幘南彆䉅呉䰨䵔ⱓ㠳㤱⤹_x0018_＀＀_x0018_＀＀_x0008_＀＀_x0001_＀＀_x0001_＀＀＀＀＀＀뀀䂅폺䭯_x001A_千幘南彆䅃䡓卟⡔呑ⱒ㜳㄰⤱_x0018_＀＀_x0018_＀＀_x0008_＀＀_x0001_＀＀_x0001_＀＀＀＀＀＀栀䂃퐍䭯＀Ｏ千幘南䱟䅅䕓䍟䵏䥍彔剙⠵㈱㈯〰ⰴ㈱㈯〰ⰴⰬ唬䑓착_x0018_＀＀_x0018_＀＀_x0008_＀＀_x0001_＀＀_x0001_＀＀＀＀＀＀＀＀䁖퐌䭯G千幘䅃偟久当䕎彔佃呓ㄨ⼲〲㘰ⰬⰬ单⥄址当䕐华佉彎偎彐塅⡐㈱㈯〰ⰶⰬ唬䑓착_x0018_＀＀_x0018_＀＀_x0008_＀＀_x0001_＀＀_x0001_＀＀＀＀＀＀＀＀䁏퐃䭯_x001C_千幘捩彡敭湡䕟卐㈨〰ⰳ㜳㌸⤳_x0018_＀＀_x0018_＀＀_x0008_＀＀_x0001_＀＀_x0001_＀＀豀碵꼝쐕퐁䭯_x001D_千幘捩彡敭湡䕟䥂⡔〲〱㐬㄰㜱착_x0018_＀＀_x0018_＀＀_x0008_＀＀_x0001_＀＀_x0001_＀＀豀碵꼝쐕퐁䭯_x001C_千幘捩彡敭湡獟獬㈨㄰ⰱ〴〲⤹_x0018_＀＀_x0018_＀＀_x0008_＀＀_x0001_＀＀_x0001_＀＀豀碵꼝쐕폼䭯_x001E_千幘南彆䉅呉䅄䵟乇䰨䵔ⱓ㜳㈵⤹_x0018_＀＀_x0018_＀＀_x0008_＀＀_x0001_＀＀_x0001_＀＀駽睫䀵폼䭯_x0019_千幘南彆十䕓協儨剔㌬㌶㈷착_x0018_＀＀_x0018_＀＀_x0008_＀＀_x0001_＀＀_x0001_＀＀＀＀＀＀激䃔폺䭯_x001A_千幘南彆䕄呂卟⡔呑ⱒ㘳ㄲ⤹_x0018_＀＀_x0018_＀＀_x0008_＀＀_x0001_＀＀_x0001_＀＀＀＀＀＀䁱퐍䭯'千幘南偟久偟协彔䕒彔䕂⡎㈱㈯〰ⰶⰬ唬䑓착_x0018_＀＀_x0018_＀＀_x0008_＀＀_x0001_＀＀_x0001_＀＀＀＀＀＀倀䂋퐃䭯_x001C_千幘捩彡敭湡䕟卐㈨〰ⰹ㤳〵⤷_x0018_＀＀_x0018_＀＀_x0008_＀＀_x0001_＀＀_x0001_＀＀豀碵꼝쐕퐁䭯_x001D_千幘捩彡敭湡䕟䥂⡔〲㘰㌬㤸〹착_x0018_＀＀_x0018_＀＀_x0008_＀＀_x0001_＀＀_x0001_＀＀豀碵꼝쐕퐁䭯_x001D_千幘捩彡敭湡䕟䥂⡔〲㔰㌬㘸㔲착_x0018_＀＀_x0018_＀＀_x0008_＀＀_x0001_＀＀_x0001_＀＀豀碵꼝쐕폽䭯_x0018_千幘南彆䉅呉䰨䵔ⱓ㜳㐷⤱_x0018_＀＀_x0018_＀＀_x0008_＀＀_x0001_＀＀_x0001_＀＀＀＀＀＀䂑폼䭯_x0019_千幘南彆十䕓協儨剔㌬㠸㜳착_x0018_＀＀_x0018_＀＀_x0008_＀＀_x0001_＀＀_x0001_＀＀＀＀＀＀_xD8C0_䃗폹䭯_x0012_千幘彐剐䍉⡅㤳㜴⤸_x0018_＀＀_x0018_＀＀_x0008_＀＀_x0001_＀＀_x0001_＀＀ᑻ䞮㫡䁈퐍䭯＀Ｏ千幘南䱟䅅䕓䍟䵏䥍彔剙⠵㈱㈯〰ⰵ㈱㈯〰ⰵⰬ唬䑓착_x0018_＀＀_x0018_＀＀_x0008_＀＀_x0001_＀＀_x0001_＀＀＀＀＀＀쀀䁒퐁䭯_x001E_千幘捩彡敭湡䕟䥂䑔㈨〰ⰹ〴㜱⤸_x0018_＀＀_x0018_＀＀_x0008_＀＀_x0001_＀＀_x0001_＀＀豀碵꼝쐕폾䭯_x001B_千幘南彆呐彘义⡃呌卍㌬㐹㠷착_x0018_＀＀_x0018_＀＀_x0008_＀＀_x0001_＀＀_x0001_＀＀＀＀＀＀砀䂞폽䭯_x0019_千幘南彆䅓䕌⡓呌卍㌬㈹㌳착_x0018_＀＀_x0018_＀＀_x0008_＀＀_x0001_＀＀_x0001_＀＀＀＀＀＀_xDC80_䃂폻䭯_x001C_千幘南彆䡓䑌卒䕟⡑呑ⱒ㜳㜰⤲_x0018_＀＀_x0018_＀＀_x0008_＀＀_x0001_＀＀_x0001_＀＀＀＀＀＀退䂷폺䭯_x001A_千幘南彆䅃䡓卟⡔呑ⱒ㜳㌸⤳_x0018_＀＀_x0018_＀＀_x0008_＀＀_x0001_＀＀_x0001_＀＀＀＀＀＀瀀䁳폹䭯_x0012_千幘彐剐䍉⡅〴ㄱ⤷_x0018_＀＀_x0018_＀＀_x0008_＀＀_x0001_＀＀_x0001_＀＀ꏗ㵰ᜊ䁅퐍䭯)千幘南偟久䥓乏噟䱁䅟卓呅⡓㈱㈯〰ⰳⰬ唬䑓착_x0018_＀＀_x0018_＀＀_x0008_＀＀_x0001_＀＀_x0001_＀＀＀＀＀＀가䂖퐈䭯G千幘䅃偟久当䕎彔佃呓ㄨ⼲〲㤰ⰬⰬ单⥄址当䕐华佉彎偎彐塅⡐㈱㈯〰ⰹⰬ唬䑓착_x0018_＀＀_x0018_＀＀_x0008_＀＀_x0001_＀＀_x0001_＀＀豀碵꼝쐕퐁䭯_x001D_千幘捩彡敭湡䕟䥂⡔〲㜰㌬ㄹㄴ착_x0018_＀＀_x0018_＀＀_x0008_＀＀_x0001_＀＀_x0001_＀＀豀碵꼝쐕퐁䭯_x001C_千幘捩彡敭湡獟獬㈨〰ⰸ㤳㌲⤳_x0018_＀＀_x0018_＀＀_x0008_＀＀_x0001_＀＀_x0001_＀＀豀碵꼝쐕퐀䭯_x001C_千幘捩彡敭湡獟獬㈨〰ⰲ㜳㘵⤰_x0018_＀＀_x0018_＀＀_x0008_＀＀_x0001_＀＀_x0001_＀＀豀碵꼝쐕폾䭯_x001B_千幘南彆呐彘义⡃呌卍㐬㄰㜱착_x0018_＀＀_x0018_＀＀_x0008_＀＀_x0001_＀＀_x0001_＀＀＀＀＀＀␀䂚폼䭯_x001E_千幘南彆䉅呉䅄䵟乇䰨䵔ⱓ㜳ㄷ⤱_x0018_＀＀_x0018_＀＀_x0008_＀＀_x0001_＀＀_x0001_＀＀祒庼䀵폼䭯_x0019_千幘南彆䅓䕌⡓呌卍㌬㤶〵착_x0018_＀＀_x0018_＀＀_x0008_＀＀_x0001_＀＀_x0001_＀＀＀＀＀＀玀䃀폻䭯_x001A_千幘南彆䅃䡓卟⡔呑ⱒ㤳㘲⤳_x0018_＀＀_x0018_＀＀_x0008_＀＀_x0001_＀＀_x0001_＀＀＀＀＀＀䂉퐍䭯＀Ｏ千幘南䱟䅅䕓䍟䵏䥍彔剙⠵㈱㈯〰ⰶ㈱㈯〰ⰶⰬ唬䑓착_x0018_＀＀_x0018_＀＀_x0008_＀＀_x0001_＀＀_x0001_＀＀＀＀＀＀쀀䁒퐍䭯'千幘南偟久䥓乏也呅䱟䅉⡂㈱㈯〰ⰶⰬ唬䑓착_x0018_＀＀_x0018_＀＀_x0008_＀＀_x0001_＀＀_x0001_＀＀豀碵꼝쐕퐌䭯(千幘南䡟呌䍈剁彅乕彆䕂⡎㈱㈯〰ⰲⰬ唬䑓⤩＀＀＀＀퐂䭯_x001C_千幘捩彡敭湡偟䥔㈨㄰ⰰ〴㈰⤵_x0018_＀＀_x0018_＀＀_x0008_＀＀_x0001_＀＀_x0001_＀＀豀碵꼝쐕폿䭯_x001B_千幘南彆䕎彔义⡃呌卍㌬〷㈴착_x0018_＀＀_x0018_＀＀_x0008_＀＀_x0001_＀＀_x0001_＀＀＀＀＀＀ 䁦폽䭯_x001E_千幘南彆䉅呉䅄䵟乇䰨䵔ⱓ㤳㐱⤱_x0018_＀＀_x0018_＀＀_x0008_＀＀_x0001_＀＀_x0001_＀＀撻区吣䁀폼䭯_x0019_千幘南彆䅓䕌⡓呌卍㌬㔷〹착_x0018_＀＀_x0018_＀＀_x0008_＀＀_x0001_＀＀_x0001_＀＀＀＀＀＀ꔀ䂿폹䭯_x0011_千幘浣獟獨㐨㈰㤰착_x0018_＀＀_x0018_＀＀_x0008_＀＀_x0001_＀＀_x0001_＀＀豀碵꼝쐕폹䭯_x0012_千幘彐剐䍉⡅㤳㘶⤰_x0018_＀＀_x0018_＀＀_x0008_＀＀_x0001_＀＀_x0001_＀＀롑䁐폹䭯_x001D_千幘捩彡敭湡䕟䥂⡔〲㈰㌬㐷㠶착_x0018_＀＀_x0018_＀＀_x0008_＀＀_x0001_＀＀_x0001_＀＀豀碵꼝쐕퐃䭯_x001C_千幘捩彡敭湡䕟卐㈨〰ⰷ㠳㘹⤰_x0018_＀＀_x0018_＀＀_x0008_＀＀_x0001_＀＀_x0001_＀＀豀碵꼝쐕퐂䭯_x001C_千幘捩彡敭湡偟䥔㈨〰ⰵ㠳㌵⤳_x0018_＀＀_x0018_＀＀_x0008_＀＀_x0001_＀＀_x0001_＀＀豀碵꼝쐕퐀䭯_x001B_千幘南彆䕎彔义⡃呌卍㌬㔹㜰착_x0018_＀＀_x0018_＀＀_x0008_＀＀_x0001_＀＀_x0001_＀＀＀＀＀＀⠀䂓퐀䭯_x001B_千幘南彆䕎彔义⡃呌卍㌬㜸㜱착_x0018_＀＀_x0018_＀＀_x0008_＀＀_x0001_＀＀_x0001_＀＀＀＀＀＀耀䂆폾䭯_x001B_千幘南彆呐彘义⡃呌卍㌬㘹〶착_x0018_＀＀_x0018_＀＀_x0008_＀＀_x0001_＀＀_x0001_＀＀＀＀＀＀　䂡폻䭯_x001C_千幘南彆䡓䑌卒䕟⡑呑ⱒ㜳㤸⤴_x0018_＀＀_x0018_＀＀_x0008_＀＀_x0001_＀＀_x0001_＀＀＀＀＀＀ꠀ䂸퐍䭯＀Ｏ千幘南䱟䅅䕓䍟䵏䥍彔剙⠵㈱㈯〰ⰷ㈱㈯〰ⰷⰬ唬䑓착_x0018_＀＀_x0018_＀＀_x0008_＀＀_x0001_＀＀_x0001_＀＀＀＀＀＀쀀䁒퐌䭯,千幘䅃偟协剔呅䕟偍䍟乏剔䉉䍟ㄨ⼲〲㘰ⰬⰬ单⥄_x0018_＀＀_x0018_＀＀_x0008_＀＀_x0001_＀＀_x0001_＀＀豀碵꼝쐕퐂䭯_x001C_千幘捩彡敭湡偟䥔㈨〰ⰵ㠳㠳⤳_x0018_＀＀_x0018_＀＀_x0008_＀＀_x0001_＀＀_x0001_＀＀豀碵꼝쐕퐁䭯_x001D_千幘捩彡敭湡䕟䥂⡔〲㤰㌬㜹㈵착_x0018_＀＀_x0018_＀＀_x0008_＀＀_x0001_＀＀_x0001_＀＀豀碵꼝쐕폹䭯_x0011_千幘浣獟獨㌨㜹㈵착_x0018_＀＀_x0018_＀＀_x0008_＀＀_x0001_＀＀_x0001_＀＀豀碵꼝쐕퐁䭯_x001E_千幘捩彡敭湡䕟䥂䑔㈨〰ⰵ㠳㤱⤹_x0018_＀＀_x0018_＀＀_x0008_＀＀_x0001_＀＀_x0001_＀＀豀碵꼝쐕퐁䭯_x001C_千幘捩彡敭湡獟獬㈨〰ⰵ㠳㜰⤷_x0018_＀＀_x0018_＀＀_x0008_＀＀_x0001_＀＀_x0001_＀＀豀碵꼝쐕퐀䭯_x001B_千幘南彆䕎彔义⡃呌卍㌬㠷㐶착_x0018_＀＀_x0018_＀＀_x0008_＀＀_x0001_＀＀_x0001_＀＀＀＀＀＀က䁻폾䭯_x001B_千幘南彆偅当䥄⡌呌卍㌬㜶㤹착_x0018_＀＀_x0018_＀＀_x0008_＀＀_x0001_＀＀_x0001_＀＀넱룹吶㿒퐍䭯＀Ｏ千幘南䱟䅅䕓䍟䵏䥍彔剙⠵㈱㈯〰ⰸ㈱㈯〰ⰸⰬ唬䑓착_x0018_＀＀_x0018_＀＀_x0008_＀＀_x0001_＀＀_x0001_＀＀＀＀＀＀＀＀䁐퐃䭯_x001C_千幘捩彡敭湡䕟卐㈨〰ⰵ㠳㄰⤷_x0018_＀＀_x0018_＀＀_x0008_＀＀_x0001_＀＀_x0001_＀＀豀碵꼝쐕퐀䭯_x001B_千幘南彆䕎彔义⡃呌卍㌬㈹㐹착_x0018_＀＀_x0018_＀＀_x0008_＀＀_x0001_＀＀_x0001_＀＀＀＀＀＀尀䂓퐂䭯_x001C_千幘捩彡敭湡偟䥔㈨〰ⰲ㜳㈶⤱_x0018_＀＀_x0018_＀＀_x0008_＀＀_x0001_＀＀_x0001_＀＀豀碵꼝쐕퐁䭯_x001D_千幘捩彡敭湡䕟䥂⡔〲㘰㌬㔸㔹착_x0018_＀＀_x0018_＀＀_x0008_＀＀_x0001_＀＀_x0001_＀＀豀碵꼝쐕폽䭯_x0018_千幘南彆䉅呉䰨䵔ⱓ㜳㐳⤶_x0018_＀＀_x0018_＀＀_x0008_＀＀_x0001_＀＀_x0001_＀＀＀＀＀＀蠀䂐폽䭯_x0018_千幘南彆䉅呉䰨䵔ⱓ㘳㔵⤶_x0018_＀＀_x0018_＀＀_x0008_＀＀_x0001_＀＀_x0001_＀＀＀＀＀＀䂆폻䭯_x001A_千幘南彆䕄呂䱟⡔呑ⱒ〴〲⤹_x0018_＀＀_x0018_＀＀_x0008_＀＀_x0001_＀＀_x0001_＀＀＀＀＀＀휀䂾퐍䭯 千幘南䕟䍘彈䅒䕔䥟䍎䍟⡆㈱㈯〰⤷_x0018_＀＀_x0018_＀＀_x0008_＀＀_x0001_＀＀_x0001_＀＀豀碵꼝쐕퐀䭯_x001C_千幘捩彡敭湡獟獬㈨〰ⰳ㜳㠶⤰_x0018_＀＀_x0018_＀＀_x0008_＀＀_x0001_＀＀_x0001_＀＀豀碵꼝쐕퐀䭯_x001E_千幘捩彡敭湡䕟䥂䑔㈨〰ⰲ㜳㌴⤷_x0018_＀＀_x0018_＀＀_x0008_＀＀_x0001_＀＀_x0001_＀＀豀碵꼝쐕폿䭯_x001B_千幘南彆偅当䥄⡌呌卍㌬㤶ㄸ착_x0018_＀＀_x0018_＀＀_x0008_＀＀_x0001_＀＀_x0001_＀＀㬥ȶ뫱㿚퐍䭯(千幘南偟久䥓乏䅟卓呅当呌ㄨ⼲〲㐰ⰬⰬ单⥄_x0018_＀＀_x0018_＀＀_x0008_＀＀_x0001_＀＀_x0001_＀＀豀碵꼝쐕폾䭯_x0018_千幘南彆䉅呉䰨䵔ⱓ㤳㈰⤱_x0018_＀＀_x0018_＀＀_x0008_＀＀_x0001_＀＀_x0001_＀＀＀＀＀＀퐀䂠폼䭯_x0019_千幘南彆十䕓協儨剔㌬㜶㤹착_x0018_＀＀_x0018_＀＀_x0008_＀＀_x0001_＀＀_x0001_＀＀＀＀＀＀㣀䃔폻䭯_x001A_千幘南彆䕄呂䱟⡔呑ⱒ㤳㔷⤲_x0018_＀＀_x0018_＀＀_x0008_＀＀_x0001_＀＀_x0001_＀＀＀＀＀＀윀䂼폹䭯_x0012_千幘彐剐䍉⡅㠳㈶⤵_x0018_＀＀_x0018_＀＀_x0008_＀＀_x0001_＀＀_x0001_＀＀ਾꏗ㵰䀷퐈䭯_x001B_千幘坍呟塁剟呁⡅低ⱗⰬ刢≐착_x0018_＀＀_x0018_＀＀_x0008_＀＀_x0001_＀＀_x0001_＀＀蜖뼳랚䁁䮋8刣晥敲桳帣南偟久䥓乏䅟卓呅当佂䑎⡓䅎䀩䅃偟久当䍐彔䥆丨⥁_x0018_＀＀_x0018_＀＀_x0008_＀＀_x0001_＀＀_x0001_＀＀豀碵꼝쐕퐂䭯_x001C_千幘捩彡敭湡䕟卐㈨〰ⰱ㘳㤸⤱_x0018_＀＀_x0018_＀＀_x0008_＀＀_x0001_＀＀_x0001_＀＀豀碵꼝쐕퐁䭯_x001E_千幘捩彡敭湡䕟䥂䑔㈨〰ⰹ㤳㈷⤱_x0018_＀＀_x0018_＀＀_x0008_＀＀_x0001_＀＀_x0001_＀＀豀碵꼝쐕폾䭯_x001B_千幘南彆呐彘义⡃呌卍㌬㘸㔲착_x0018_＀＀_x0018_＀＀_x0008_＀＀_x0001_＀＀_x0001_＀＀＀＀＀＀ꀀ䂌폼䭯_x0019_千幘南彆䅓䕌⡓呌卍㌬ㄷ㔹착_x0018_＀＀_x0018_＀＀_x0008_＀＀_x0001_＀＀_x0001_＀＀＀＀＀＀퐀䂿폻䭯_x001A_千幘南彆䅃䡓卟⡔呑ⱒ㤳ㄱ⤳_x0018_＀＀_x0018_＀＀_x0008_＀＀_x0001_＀＀_x0001_＀＀＀＀＀＀ 䂌폺䭯_x001A_千幘南彆䅃䡓卟⡔呑ⱒ㘳㠵⤵_x0018_＀＀_x0018_＀＀_x0008_＀＀_x0001_＀＀_x0001_＀＀＀＀＀＀瀀䂎폹䭯_x0011_千幘浣獟獨㌨〷㈴착_x0018_＀＀_x0018_＀＀_x0008_＀＀_x0001_＀＀_x0001_＀＀豀碵꼝쐕폹䭯_x001D_千幘捩彡敭湡䕟䥂⡔〲㌰㌬㠷㌳착_x0018_＀＀_x0018_＀＀_x0008_＀＀_x0001_＀＀_x0001_＀＀豀碵꼝쐕퐍䭯J千幘䅃偟久当䱐乁䅟呓ㄨ⼲〲㘰ⰬⰬ单⥄址当䕐华佉彎䅖彌十䕓協ㄨ⼲〲㘰ⰬⰬ单⥄_x0018_＀＀_x0018_＀＀_x0008_＀＀_x0001_＀＀_x0001_＀＀＀＀＀＀鰀䂗퐃䭯_x001C_千幘捩彡敭湡䕟卐㈨〰ⰷ㤳㔳⤵_x0018_＀＀_x0018_＀＀_x0008_＀＀_x0001_＀＀_x0001_＀＀豀碵꼝쐕퐂䭯_x001C_千幘捩彡敭湡偟䥔㈨〰ⰵ㠳㌱⤸_x0018_＀＀_x0018_＀＀_x0008_＀＀_x0001_＀＀_x0001_＀＀豀碵꼝쐕퐁䭯_x001D_千幘捩彡敭湡䕟䥂⡔〲㤰㌬㔹㜰착_x0018_＀＀_x0018_＀＀_x0008_＀＀_x0001_＀＀_x0001_＀＀豀碵꼝쐕폽䭯_x0019_千幘南彆䅓䕌⡓呌卍㌬㈸〳착_x0018_＀＀_x0018_＀＀_x0008_＀＀_x0001_＀＀_x0001_＀＀＀＀＀＀需䂾폻䭯_x001C_千幘南彆䡓䑌卒䕟⡑呑ⱒ㜳㤴⤹_x0018_＀＀_x0018_＀＀_x0008_＀＀_x0001_＀＀_x0001_＀＀＀＀＀＀簀䂸폺䭯_x001A_千幘南彆䅃䡓卟⡔呑ⱒ㘳㌸⤰_x0018_＀＀_x0018_＀＀_x0008_＀＀_x0001_＀＀_x0001_＀＀＀＀＀＀⠀䂋폹䭯_x0011_千幘浣獟獨㌨㔹㜰착_x0018_＀＀_x0018_＀＀_x0008_＀＀_x0001_＀＀_x0001_＀＀豀碵꼝쐕폹䭯_x0011_千幘浣獟獨㌨㜸㜱착_x0018_＀＀_x0018_＀＀_x0008_＀＀_x0001_＀＀_x0001_＀＀豀碵꼝쐕폹䭯_x0012_千幘彐剐䍉⡅㜳㜷⤲_x0018_＀＀_x0018_＀＀_x0008_＀＀_x0001_＀＀_x0001_＀＀＀＀＀＀怀䀰퐌䭯＀Ｏ千幘南䡟呌䍈剁彅䵁剏彔䕓噒䍟协⡔㈱㈯〰ⰸⰬ唬䑓착_x0018_＀＀_x0018_＀＀_x0008_＀＀_x0001_＀＀_x0001_＀＀＀＀＀＀＀＀쀀퐂䭯_x001C_千幘捩彡敭湡䕟卐㈨〰ⰲ㜳㐰⤲_x0018_＀＀_x0018_＀＀_x0008_＀＀_x0001_＀＀_x0001_＀＀豀碵꼝쐕폾䭯_x001B_千幘南彆呐彘义⡃呌卍㌬㜷㈷착_x0018_＀＀_x0018_＀＀_x0008_＀＀_x0001_＀＀_x0001_＀＀＀＀＀＀䠀䂆폼䭯_x0019_千幘南彆十䕓協儨剔㌬㤶ㄸ착_x0018_＀＀_x0018_＀＀_x0008_＀＀_x0001_＀＀_x0001_＀＀＀＀＀＀䃓폺䭯_x001A_千幘南彆䅃䡓卟⡔呑ⱒ㠳㘲⤰_x0018_＀＀_x0018_＀＀_x0008_＀＀_x0001_＀＀_x0001_＀＀＀＀＀＀ꠀ䂃퐁䭯_x001E_千幘捩彡敭湡䕟䥂䑔㈨〰ⰶ㠳㘵⤴_x0018_＀＀_x0018_＀＀_x0008_＀＀_x0001_＀＀_x0001_＀＀豀碵꼝쐕퐁䭯_x001C_千幘捩彡敭湡獟獬㈨〰ⰶ㠳㐴⤲_x0018_＀＀_x0018_＀＀_x0008_＀＀_x0001_＀＀_x0001_＀＀豀碵꼝쐕폽䭯_x001E_千幘南彆䉅呉䅄䵟乇䰨䵔ⱓ㤳㘵⤸_x0018_＀＀_x0018_＀＀_x0008_＀＀_x0001_＀＀_x0001_＀＀㘾럥䁀폺䭯_x001A_千幘南彆䕄呂卟⡔呑ⱒ㜳㘴⤸_x0018_＀＀_x0018_＀＀_x0008_＀＀_x0001_＀＀_x0001_＀＀＀＀＀＀䀀䂌폹䭯_x0011_千幘浣獟獨㌨㠷㐶착_x0018_＀＀_x0018_＀＀_x0008_＀＀_x0001_＀＀_x0001_＀＀豀碵꼝쐕퐂䭯_x001C_千幘捩彡敭湡偟䥔㈨〰ⰳ㜳㐷⤱_x0018_＀＀_x0018_＀＀_x0008_＀＀_x0001_＀＀_x0001_＀＀豀碵꼝쐕퐁䭯_x001C_千幘捩彡敭湡獟獬㈨〰ⰶ㤳㠰⤲_x0018_＀＀_x0018_＀＀_x0008_＀＀_x0001_＀＀_x0001_＀＀豀碵꼝쐕폽䭯_x0018_千幘南彆䉅呉䰨䵔ⱓ㠳㤹⤰_x0018_＀＀_x0018_＀＀_x0008_＀＀_x0001_＀＀_x0001_＀＀＀＀＀＀퐀䂠폽䭯_x001E_千幘南彆䉅呉䅄䵟乇䰨䵔ⱓ㤳ㄸ⤳_x0018_＀＀_x0018_＀＀_x0008_＀＀_x0001_＀＀_x0001_＀＀轨뗙䀿폻䭯_x001C_千幘南彆䡓䑌卒䕟⡑呑ⱒ㘳㤸⤱_x0018_＀＀_x0018_＀＀_x0008_＀＀_x0001_＀＀_x0001_＀＀＀＀＀＀脀䂷폺䭯_x001A_千幘南彆䕄呂卟⡔呑ⱒ㠳〵⤳_x0018_＀＀_x0018_＀＀_x0008_＀＀_x0001_＀＀_x0001_＀＀＀＀＀＀頀䂌폹䭯_x0011_千幘浣獟獨㌨㈹㐹착_x0018_＀＀_x0018_＀＀_x0008_＀＀_x0001_＀＀_x0001_＀＀豀碵꼝쐕퐌䭯+千幘䅃偟协剔呅偟剁彔佃呎䥒⡂㈱㈯〰ⰴⰬ唬䑓착_x0018_＀＀_x0018_＀＀_x0008_＀＀_x0001_＀＀_x0001_＀＀豀碵꼝쐕퐁䭯_x001D_千幘捩彡敭湡䕟䥂⡔〲㜰㌬㤸〶착_x0018_＀＀_x0018_＀＀_x0008_＀＀_x0001_＀＀_x0001_＀＀豀碵꼝쐕폽䭯_x0019_千幘南彆䅓䕌⡓呌卍㐬〰㘸착_x0018_＀＀_x0018_＀＀_x0008_＀＀_x0001_＀＀_x0001_＀＀＀＀＀＀妀䃂폻䭯_x001A_千幘南彆䅃䡓卟⡔呑ⱒ㤳㜸⤲_x0018_＀＀_x0018_＀＀_x0008_＀＀_x0001_＀＀_x0001_＀＀＀＀＀＀䠀䂇폺䭯_x001A_千幘南彆䕄呂䱟⡔呑ⱒ㜳㐰⤲_x0018_＀＀_x0018_＀＀_x0008_＀＀_x0001_＀＀_x0001_＀＀＀＀＀＀䐀䂸퐍䭯 千幘南䕟䍘彈䅒䕔䉟䱁卟⡈㈱㈯〰⤳_x0018_＀＀_x0018_＀＀_x0008_＀＀_x0001_＀＀_x0001_＀＀豀碵꼝쐕퐃䭯_x001C_千幘捩彡敭湡䕟卐㈨〰ⰸ㤳㌵⤸_x0018_＀＀_x0018_＀＀_x0008_＀＀_x0001_＀＀_x0001_＀＀豀碵꼝쐕퐀䭯_x001E_千幘捩彡敭湡䕟䥂䑔㈨〰ⰳ㜳〸⤲_x0018_＀＀_x0018_＀＀_x0008_＀＀_x0001_＀＀_x0001_＀＀豀碵꼝쐕폿䭯_x001B_千幘南彆偅当䥄⡌呌卍㌬㌷㘷착_x0018_＀＀_x0018_＀＀_x0008_＀＀_x0001_＀＀_x0001_＀＀쑈䢔鞢㿩폽䭯_x001E_千幘南彆䉅呉䅄䵟乇䰨䵔ⱓ㠳㘹⤰_x0018_＀＀_x0018_＀＀_x0008_＀＀_x0001_＀＀_x0001_＀＀껲⯧嶍䀿폻䭯_x001A_千幘南彆䕄呂䱟⡔呑ⱒ㤳〵⤷_x0018_＀＀_x0018_＀＀_x0008_＀＀_x0001_＀＀_x0001_＀＀＀＀＀＀䘀䂹폺䭯_x001A_千幘南彆䕄呂䱟⡔呑ⱒ㠳ㄷ⤷_x0018_＀＀_x0018_＀＀_x0008_＀＀_x0001_＀＀_x0001_＀＀＀＀＀＀䂳폺䭯_x001A_千幘南彆䕄呂卟⡔呑ⱒ㘳㘸⤰_x0018_＀＀_x0018_＀＀_x0008_＀＀_x0001_＀＀_x0001_＀＀＀＀＀＀쀀䂂퐂䭯_x001C_千幘捩彡敭湡䕟卐㈨〰ⰱ㘳㐶⤶_x0018_＀＀_x0018_＀＀_x0008_＀＀_x0001_＀＀_x0001_＀＀豀碵꼝쐕퐀䭯_x001E_千幘捩彡敭湡䕟䥂䑔㈨〰ⰳ㜳㔶⤲_x0018_＀＀_x0018_＀＀_x0008_＀＀_x0001_＀＀_x0001_＀＀豀碵꼝쐕퐀䭯_x001B_千幘南彆偅当䥄⡌呌卍㌬㐸ㄱ착_x0018_＀＀_x0018_＀＀_x0008_＀＀_x0001_＀＀_x0001_＀＀롒蔞凫㿨퐀䭯_x001B_千幘南彆䕎彔义⡃呌卍㌬㈸ㄹ착_x0018_＀＀_x0018_＀＀_x0008_＀＀_x0001_＀＀_x0001_＀＀＀＀＀＀뀀䁸퐀䭯_x001B_千幘南彆偅当䥄⡌呌卍㌬㘷ㄲ착_x0018_＀＀_x0018_＀＀_x0008_＀＀_x0001_＀＀_x0001_＀＀롑蔞㿱퐁䭯_x001C_千幘捩彡敭湡獟獬㈨㄰ⰰ〴㜱⤸_x0018_＀＀_x0018_＀＀_x0008_＀＀_x0001_＀＀_x0001_＀＀豀碵꼝쐕퐀䭯_x001B_千幘南彆偅当䥄⡌呌卍㌬〹ㄵ착_x0018_＀＀_x0018_＀＀_x0008_＀＀_x0001_＀＀_x0001_＀＀쨄岦鷡䀄폺䭯_x001A_千幘南彆䕄呂䱟⡔呑ⱒ㜳㘸⤴_x0018_＀＀_x0018_＀＀_x0008_＀＀_x0001_＀＀_x0001_＀＀＀＀＀＀㰀䂸퐍䭯[千幘南剟久䅔彌偏䱟䕓䕟偘ㄨ⼲〲㌰ㄬ⼲〲㌰ⰬⰬ单⥄䍀彁呒剟久彔䥍彎塅⡐㈱㈯〰ⰳ㈱㈯〰ⰳⰬ唬䑓착_x0018_＀＀_x0018_＀＀_x0008_＀＀_x0001_＀＀_x0001_＀＀＀＀＀＀뀀䂁퐂䭯_x001C_千幘捩彡敭湡偟䥔㈨〰ⰶ㠳〵⤳_x0018_＀＀_x0018_＀＀_x0008_＀＀_x0001_＀＀_x0001_＀＀豀碵꼝쐕퐁䭯_x001C_千幘捩彡敭湡獟獬㈨〰ⰵ㠳㠶⤶_x0018_＀＀_x0018_＀＀_x0008_＀＀_x0001_＀＀_x0001_＀＀豀碵꼝쐕폻䭯_x001A_千幘南彆䕄呂䱟⡔呑ⱒ㤳㤲⤴_x0018_＀＀_x0018_＀＀_x0008_＀＀_x0001_＀＀_x0001_＀＀＀＀＀＀眀䂶폺䭯_x001A_千幘南彆䅃䡓卟⡔呑ⱒ㜳㈲⤵_x0018_＀＀_x0018_＀＀_x0008_＀＀_x0001_＀＀_x0001_＀＀＀＀＀＀耀䂂폽䭯_x0018_千幘南彆䉅呉䰨䵔ⱓ㘳㠲⤰_x0018_＀＀_x0018_＀＀_x0008_＀＀_x0001_＀＀_x0001_＀＀＀＀＀＀砀䂛폼䭯_x001E_千幘南彆䉅呉䅄䵟乇䰨䵔ⱓ㜳〱⤳_x0018_＀＀_x0018_＀＀_x0008_＀＀_x0001_＀＀_x0001_＀＀ᬕ〤@䀳폼䭯_x0019_千幘南彆十䕓協儨剔㌬㌷㘷착_x0018_＀＀_x0018_＀＀_x0008_＀＀_x0001_＀＀_x0001_＀＀＀＀＀＀媀䃔폹䭯_x0012_千幘彐剐䍉⡅㤳〲⤲_x0018_＀＀_x0018_＀＀_x0008_＀＀_x0001_＀＀_x0001_＀＀⣶轜闂䁅폾䭯_x001B_千幘南彆呐彘义⡃呌卍㌬㈹㈰착_x0018_＀＀_x0018_＀＀_x0008_＀＀_x0001_＀＀_x0001_＀＀＀＀＀＀퐀䂜폽䭯_x0018_千幘南彆䉅呉䰨䵔ⱓ㜳㔹⤵_x0018_＀＀_x0018_＀＀_x0008_＀＀_x0001_＀＀_x0001_＀＀＀＀＀＀堀䂇폽䭯_x0019_千幘南彆䅓䕌⡓呌卍㌬㠸㜰착_x0018_＀＀_x0018_＀＀_x0008_＀＀_x0001_＀＀_x0001_＀＀＀＀＀＀䒀䃁폼䭯_x0019_千幘南彆十䕓協儨剔㌬㐸ㄱ착_x0018_＀＀_x0018_＀＀_x0008_＀＀_x0001_＀＀_x0001_＀＀＀＀＀＀ŀ䃘폼䭯_x0019_千幘南彆十䕓協儨剔㌬㘷ㄲ착_x0018_＀＀_x0018_＀＀_x0008_＀＀_x0001_＀＀_x0001_＀＀＀＀＀＀痀䃔폻䭯_x001C_千幘南彆䡓䑌卒䕟⡑呑ⱒ㘳㐶⤶_x0018_＀＀_x0018_＀＀_x0008_＀＀_x0001_＀＀_x0001_＀＀＀＀＀＀䬀䂶폺䭯_x001A_千幘南彆䅃䡓卟⡔呑ⱒ㘳㜳⤲_x0018_＀＀_x0018_＀＀_x0008_＀＀_x0001_＀＀_x0001_＀＀＀＀＀＀⠀䂁퐌䭯B千幘䅃偟久当佒⡁㈱㈯〰ⰴⰬ唬䑓䀩南偟久䥓乏䕟偘剟䅏ㄨ⼲〲㐰ⰬⰬ单⥄_x0018_＀＀_x0018_＀＀_x0008_＀＀_x0001_＀＀_x0001_＀＀＀＀＀＀䀀쁠䮋7刣晥敲桳帣南偟久䥓乏䅟卓呅当呏⡈䅎䀩䅃偟久当䍐彔呏⡈䅎착_x0018_＀＀_x0018_＀＀_x0008_＀＀_x0001_＀＀_x0001_＀＀豀碵꼝쐕폽䭯_x0018_千幘南彆䉅呉䰨䵔ⱓ㠳㤵⤵_x0018_＀＀_x0018_＀＀_x0008_＀＀_x0001_＀＀_x0001_＀＀＀＀＀＀က䂔폽䭯_x0019_千幘南彆䅓䕌⡓呌卍㌬㐹㜴착_x0018_＀＀_x0018_＀＀_x0008_＀＀_x0001_＀＀_x0001_＀＀＀＀＀＀需䃃폼䭯_x001E_千幘南彆䉅呉䅄䵟乇䰨䵔ⱓ㘳㔲⤰_x0018_＀＀_x0018_＀＀_x0008_＀＀_x0001_＀＀_x0001_＀＀ु㑯繵䀷폼䭯_x0019_千幘南彆十䕓協儨剔㌬〹ㄵ착_x0018_＀＀_x0018_＀＀_x0008_＀＀_x0001_＀＀_x0001_＀＀＀＀＀＀䨀䃘폻䭯_x001A_千幘南彆䅃䡓卟⡔呑ⱒ㠳㌸⤷_x0018_＀＀_x0018_＀＀_x0008_＀＀_x0001_＀＀_x0001_＀＀＀＀＀＀䠀䂆퐂䭯_x001C_千幘捩彡敭湡䕟卐㈨〰ⰰ㘳㔲⤰_x0018_＀＀_x0018_＀＀_x0008_＀＀_x0001_＀＀_x0001_＀＀豀碵꼝쐕퐁䭯_x001D_千幘捩彡敭湡䕟䥂⡔〲㜰㌬㌹㔵착_x0018_＀＀_x0018_＀＀_x0008_＀＀_x0001_＀＀_x0001_＀＀豀碵꼝쐕퐁䭯_x001C_千幘捩彡敭湡獟獬㈨〰ⰸ㤳㐴⤷_x0018_＀＀_x0018_＀＀_x0008_＀＀_x0001_＀＀_x0001_＀＀豀碵꼝쐕폾䭯_x001B_千幘南彆䕎彔义⡃呌卍㌬㘶㘱착_x0018_＀＀_x0018_＀＀_x0008_＀＀_x0001_＀＀_x0001_＀＀＀＀＀＀＀＀䀔폽䭯_x001E_千幘南彆䉅呉䅄䵟乇䰨䵔ⱓ㜳㈹⤵_x0018_＀＀_x0018_＀＀_x0008_＀＀_x0001_＀＀_x0001_＀＀煫땷䀱폻䭯_x001C_千幘南彆䡓䑌卒䕟⡑呑ⱒ㠳㈳⤱_x0018_＀＀_x0018_＀＀_x0008_＀＀_x0001_＀＀_x0001_＀＀＀＀＀＀됀䂺퐃䭯_x001C_千幘捩彡敭湡䕟卐㈨〰ⰹ㤳〹⤳_x0018_＀＀_x0018_＀＀_x0008_＀＀_x0001_＀＀_x0001_＀＀豀碵꼝쐕퐀䭯_x001E_千幘捩彡敭湡䕟䥂䑔㈨〰ⰴ㜳㜷⤲_x0018_＀＀_x0018_＀＀_x0008_＀＀_x0001_＀＀_x0001_＀＀豀碵꼝쐕퐀䭯_x001B_千幘南彆䕎彔义⡃呌卍㌬〸㘴착_x0018_＀＀_x0018_＀＀_x0008_＀＀_x0001_＀＀_x0001_＀＀＀＀＀＀ꀀ䁧폿䭯_x001B_千幘南彆䕎彔义⡃呌卍㌬㈷㘵착_x0018_＀＀_x0018_＀＀_x0008_＀＀_x0001_＀＀_x0001_＀＀＀＀＀＀倀䁲폽䭯_x001E_千幘南彆䉅呉䅄䵟乇䰨䵔ⱓ㤳㔳⤵_x0018_＀＀_x0018_＀＀_x0008_＀＀_x0001_＀＀_x0001_＀＀䋴䀿퐌䭯B千幘䅃偟久当佒⡁㈱㈯〰ⰷⰬ唬䑓䀩南偟久䥓乏䕟偘剟䅏ㄨ⼲〲㜰ⰬⰬ单⥄_x0018_＀＀_x0018_＀＀_x0008_＀＀_x0001_＀＀_x0001_＀＀＀＀＀＀耀쁝퐃䭯_x001C_千幘捩彡敭湡䕟卐㈨〰ⰹ〴㐱⤷_x0018_＀＀_x0018_＀＀_x0008_＀＀_x0001_＀＀_x0001_＀＀豀碵꼝쐕퐂䭯_x001C_千幘捩彡敭湡偟䥔㈨〰ⰸ㤳㤶⤱_x0018_＀＀_x0018_＀＀_x0008_＀＀_x0001_＀＀_x0001_＀＀豀碵꼝쐕폻䭯_x001C_千幘南彆䡓䑌卒䕟⡑呑ⱒ㠳㤸⤸_x0018_＀＀_x0018_＀＀_x0008_＀＀_x0001_＀＀_x0001_＀＀＀＀＀＀춀䃀폹䭯_x0011_千幘浣獟獨㌨㈸ㄹ착_x0018_＀＀_x0018_＀＀_x0008_＀＀_x0001_＀＀_x0001_＀＀豀碵꼝쐕鮺䯂_x0016_千幘彐剐䍉Ņ㈠㈯⼸〲〱_x0018_＀＀_x0018_＀＀_x0008_＀＀_x0001_＀＀_x0001_＀＀ᑻ䞮뫡䁇퐌䭯F千幘䅃偟协剔呅剟䅏ㄨ⼲〲㐰ⰬⰬ单⥄址当䱈䡔䅃䕒䕟偘剟䅏ㄨ⼲〲㐰ⰬⰬ单⥄_x0018_＀＀_x0018_＀＀_x0008_＀＀_x0001_＀＀_x0001_＀＀豀碵꼝쐕퐃䭯_x001C_千幘捩彡敭湡䕟卐㈨〰ⰴ㠳㌲⤰_x0018_＀＀_x0018_＀＀_x0008_＀＀_x0001_＀＀_x0001_＀＀豀碵꼝쐕폼䭯_x001C_千幘南彆䡓䑌卒䕟⡑呑ⱒ㤳㌹⤳_x0018_＀＀_x0018_＀＀_x0008_＀＀_x0001_＀＀_x0001_＀＀＀＀＀＀䂿퐌䭯#千幘䅃偟协剔呅䱟䅉⡂㈱㈯〰ⰸⰬ唬䑓착_x0018_＀＀_x0018_＀＀_x0008_＀＀_x0001_＀＀_x0001_＀＀豀碵꼝쐕퐃䭯_x001C_千幘捩彡敭湡䕟卐㈨〰ⰸ㤳㈳⤵_x0018_＀＀_x0018_＀＀_x0008_＀＀_x0001_＀＀_x0001_＀＀豀碵꼝쐕퐂䭯_x001C_千幘捩彡敭湡偟䥔㈨〰ⰷ㤳㘲⤳_x0018_＀＀_x0018_＀＀_x0008_＀＀_x0001_＀＀_x0001_＀＀豀碵꼝쐕퐁䭯_x001E_千幘捩彡敭湡䕟䥂䑔㈨〰ⰸ㤳㔷⤲_x0018_＀＀_x0018_＀＀_x0008_＀＀_x0001_＀＀_x0001_＀＀豀碵꼝쐕퐀䭯_x001B_千幘南彆䕎彔义⡃呌卍㌬㠸㠶착_x0018_＀＀_x0018_＀＀_x0008_＀＀_x0001_＀＀_x0001_＀＀＀＀＀＀堀䂉폻䭯_x001A_千幘南彆䕄呂卟⡔呑ⱒ〴〲⤹_x0018_＀＀_x0018_＀＀_x0008_＀＀_x0001_＀＀_x0001_＀＀＀＀＀＀䀀䁜퐍䭯$千幘䅃偟久当䕂彎䅐䑉ㄨ⼲〲㔰ⰬⰬ单⥄_x0018_＀＀_x0018_＀＀_x0008_＀＀_x0001_＀＀_x0001_＀＀豀碵꼝쐕퐁䭯_x001D_千幘捩彡敭湡䕟䥂⡔〲㠰㌬㔹㠳착_x0018_＀＀_x0018_＀＀_x0008_＀＀_x0001_＀＀_x0001_＀＀豀碵꼝쐕퐀䭯_x001B_千幘南彆䕎彔义⡃呌卍㌬㤹㌰착_x0018_＀＀_x0018_＀＀_x0008_＀＀_x0001_＀＀_x0001_＀＀＀＀＀＀뀀䂓폹䭯_x0012_千幘彐剐䍉⡅㠳㄰⤷_x0018_＀＀_x0018_＀＀_x0008_＀＀_x0001_＀＀_x0001_＀＀슐⣵轜䀯퐁䭯_x001C_千幘捩彡敭湡獟獬㈨〰ⰷ㤳〲⤲_x0018_＀＀_x0018_＀＀_x0008_＀＀_x0001_＀＀_x0001_＀＀豀碵꼝쐕퐀䭯_x001B_千幘南彆䕎彔义⡃呌卍㐬㄰㜴착_x0018_＀＀_x0018_＀＀_x0008_＀＀_x0001_＀＀_x0001_＀＀＀＀＀＀밀䂐퐀䭯_x001B_千幘南彆偅当䥄⡌呌卍㌬㐹㠷착_x0018_＀＀_x0018_＀＀_x0008_＀＀_x0001_＀＀_x0001_＀＀嚂졠ᛪ䀇폾䭯_x001B_千幘南彆呐彘义⡃呌卍㌬〸㜱착_x0018_＀＀_x0018_＀＀_x0008_＀＀_x0001_＀＀_x0001_＀＀＀＀＀＀က䁳폻䭯_x001A_千幘南彆䕄呂卟⡔呑ⱒ㤳㔷⤲_x0018_＀＀_x0018_＀＀_x0008_＀＀_x0001_＀＀_x0001_＀＀＀＀＀＀䂀퐍䭯%千幘南䥟呎剟呁彅夵噁⡇㈱㈯〰ⰳⰬ唬䑓착_x0018_＀＀_x0018_＀＀_x0008_＀＀_x0001_＀＀_x0001_＀＀尽ﱲ䀛퐍䭯Q千幘䅃偟久当䍁啃彍佃偍䥒䍎ㄨ⼲〲㈰ⰬⰬ单⥄址当佃偍归义彃䕐华䱟䅉⡂㈱㈯〰ⰲⰬ唬䑓착_x0018_＀＀_x0018_＀＀_x0008_＀＀_x0001_＀＀_x0001_＀＀豀碵꼝쐕퐍䭯$千幘䅃偟久当呌䱟䅉卂ㄨ⼲〲㈰ⰬⰬ单⥄_x0018_＀＀_x0018_＀＀_x0008_＀＀_x0001_＀＀_x0001_＀＀豀碵꼝쐕퐃䭯_x001C_千幘捩彡敭湡䕟卐㈨〰ⰵ㠳㘱⤸_x0018_＀＀_x0018_＀＀_x0008_＀＀_x0001_＀＀_x0001_＀＀豀碵꼝쐕퐂䭯_x001C_千幘捩彡敭湡偟䥔㈨〰ⰴ㜳ㄷ⤱_x0018_＀＀_x0018_＀＀_x0008_＀＀_x0001_＀＀_x0001_＀＀豀碵꼝쐕퐁䭯_x001E_千幘捩彡敭湡䕟䥂䑔㈨〰ⰵ㠳㤵⤵_x0018_＀＀_x0018_＀＀_x0008_＀＀_x0001_＀＀_x0001_＀＀豀碵꼝쐕퐀䭯_x001C_千幘捩彡敭湡獟獬㈨〰ⰳ㜳㤸⤴_x0018_＀＀_x0018_＀＀_x0008_＀＀_x0001_＀＀_x0001_＀＀豀碵꼝쐕퐀䭯_x001C_千幘捩彡敭湡獟獬㈨〰ⰲ㜳㈵⤹_x0018_＀＀_x0018_＀＀_x0008_＀＀_x0001_＀＀_x0001_＀＀豀碵꼝쐕퐀䭯_x001B_千幘南彆偅当䥄⡌呌卍㐬㄰㜱착_x0018_＀＀_x0018_＀＀_x0008_＀＀_x0001_＀＀_x0001_＀＀눃믗鸿䀅폺䭯_x001A_千幘南彆䕄呂䱟⡔呑ⱒ㠳㤲⤱_x0018_＀＀_x0018_＀＀_x0008_＀＀_x0001_＀＀_x0001_＀＀＀＀＀＀렀䂻폹䭯_x0012_千幘彐剐䍉⡅㜳㘱⤴_x0018_＀＀_x0018_＀＀_x0008_＀＀_x0001_＀＀_x0001_＀＀＀＀＀＀耀䀯폾䭯_x001B_千幘南彆呐彘义⡃呌卍㌬ㄷ㐶착_x0018_＀＀_x0018_＀＀_x0008_＀＀_x0001_＀＀_x0001_＀＀＀＀＀＀က䁽폼䭯_x0019_千幘南彆䅓䕌⡓呌卍㌬㜶㤶착_x0018_＀＀_x0018_＀＀_x0008_＀＀_x0001_＀＀_x0001_＀＀＀＀＀＀莀䃃폹䭯_x0012_千幘彐剐䍉⡅㤳㈶⤹_x0018_＀＀_x0018_＀＀_x0008_＀＀_x0001_＀＀_x0001_＀＀ᑺ枮䁏폹䭯_x0011_千幘浣獟獨㌨㘶㘱착_x0018_＀＀_x0018_＀＀_x0008_＀＀_x0001_＀＀_x0001_＀＀豀碵꼝쐕퐌䭯G千幘䅃偟协剔呅䍟协⡔㈱㈯〰ⰹⰬ唬䑓䀩南䡟呌䍈剁彅偎彐塅⡐㈱㈯〰ⰹⰬ唬䑓착_x0018_＀＀_x0018_＀＀_x0008_＀＀_x0001_＀＀_x0001_＀＀豀碵꼝쐕퐃䭯_x001C_千幘捩彡敭湡䕟卐㈨〰ⰷ㠳㈹⤹_x0018_＀＀_x0018_＀＀_x0008_＀＀_x0001_＀＀_x0001_＀＀豀碵꼝쐕퐁䭯_x001C_千幘捩彡敭湡獟獬㈨〰ⰹ〴㔰⤶_x0018_＀＀_x0018_＀＀_x0008_＀＀_x0001_＀＀_x0001_＀＀豀碵꼝쐕퐀䭯_x001B_千幘南彆偅当䥄⡌呌卍㌬㘹〶착_x0018_＀＀_x0018_＀＀_x0008_＀＀_x0001_＀＀_x0001_＀＀ἶ蛗䀊폾䭯_x001B_千幘南彆呐彘义⡃呌卍㌬㘹㤲착_x0018_＀＀_x0018_＀＀_x0008_＀＀_x0001_＀＀_x0001_＀＀＀＀＀＀　䂡폽䭯_x0019_千幘南彆䅓䕌⡓呌卍㌬ㄸ㤹착_x0018_＀＀_x0018_＀＀_x0008_＀＀_x0001_＀＀_x0001_＀＀＀＀＀＀需䂾폻䭯_x001C_千幘南彆䡓䑌卒䕟⡑呑ⱒ㘳㌴⤳_x0018_＀＀_x0018_＀＀_x0008_＀＀_x0001_＀＀_x0001_＀＀＀＀＀＀洀䂶폺䭯_x001A_千幘南彆䅃䡓卟⡔呑ⱒ㘳㤷⤹_x0018_＀＀_x0018_＀＀_x0008_＀＀_x0001_＀＀_x0001_＀＀＀＀＀＀⠀䂋폹䭯_x0011_千幘浣獟獨㌨〸㘴착_x0018_＀＀_x0018_＀＀_x0008_＀＀_x0001_＀＀_x0001_＀＀豀碵꼝쐕폹䭯_x0011_千幘浣獟獨㌨㈷㘵착_x0018_＀＀_x0018_＀＀_x0008_＀＀_x0001_＀＀_x0001_＀＀豀碵꼝쐕퐌䭯H千幘䅃偟久当义彔佃呓ㄨ⼲〲㜰ⰬⰬ单⥄址当䕐华佉彎义彔佃呓ㄨ⼲〲㜰ⰬⰬ单⥄_x0018_＀＀_x0018_＀＀_x0008_＀＀_x0001_＀＀_x0001_＀＀＀＀＀＀쀀䁜䮋!刣晥敲桳帣南䕟䍘彈䅒䕔䉟䱁卟⡈䅎착_x0018_＀＀_x0018_＀＀_x0008_＀＀_x0001_＀＀_x0001_＀＀豀碵꼝쐕폾䭯_x0018_千幘南彆䉅呉䰨䵔ⱓ㤳㜱⤲_x0018_＀＀_x0018_＀＀_x0008_＀＀_x0001_＀＀_x0001_＀＀＀＀＀＀簀䂡폼䭯_x001E_千幘南彆䉅呉䅄䵟乇䰨䵔ⱓ㘳㜶⤷_x0018_＀＀_x0018_＀＀_x0008_＀＀_x0001_＀＀_x0001_＀＀ꪚꮂ_xFFFF_ￍ䀧폼䭯_x0019_千幘南彆十䕓協儨剔㌬㐹㠷착_x0018_＀＀_x0018_＀＀_x0008_＀＀_x0001_＀＀_x0001_＀＀＀＀＀＀䃘폹䭯_x0012_千幘彐剐䍉⡅㠳㜷⤶_x0018_＀＀_x0018_＀＀_x0008_＀＀_x0001_＀＀_x0001_＀＀㵱휊낣䀻폹䭯_x0012_千幘彐剐䍉⡅㜳㠹⤶_x0018_＀＀_x0018_＀＀_x0008_＀＀_x0001_＀＀_x0001_＀＀Ẹ䀱퐂䭯_x001C_千幘捩彡敭湡䕟卐㈨〰ⰲ㜳㔲⤶_x0018_＀＀_x0018_＀＀_x0008_＀＀_x0001_＀＀_x0001_＀＀豀碵꼝쐕퐂䭯_x001C_千幘捩彡敭湡䕟卐㈨〰ⰰ㘳㜶⤷_x0018_＀＀_x0018_＀＀_x0008_＀＀_x0001_＀＀_x0001_＀＀豀碵꼝쐕퐁䭯_x001E_千幘捩彡敭湡䕟䥂䑔㈨〰ⰹ㤳㜸⤲_x0018_＀＀_x0018_＀＀_x0008_＀＀_x0001_＀＀_x0001_＀＀豀碵꼝쐕퐁䭯_x001E_千幘捩彡敭湡䕟䥂䑔㈨〰ⰸ㤳〵⤷_x0018_＀＀_x0018_＀＀_x0008_＀＀_x0001_＀＀_x0001_＀＀豀碵꼝쐕폾䭯_x001B_千幘南彆䕎彔义⡃呌卍㌬㐶㌰착_x0018_＀＀_x0018_＀＀_x0008_＀＀_x0001_＀＀_x0001_＀＀＀＀＀＀䀀䁾폾䭯_x001B_千幘南彆呐彘义⡃呌卍㌬㜸㘷착_x0018_＀＀_x0018_＀＀_x0008_＀＀_x0001_＀＀_x0001_＀＀＀＀＀＀䰀䂐폾䭯_x001B_千幘南彆呐彘义⡃呌卍㌬㤷㘸착_x0018_＀＀_x0018_＀＀_x0008_＀＀_x0001_＀＀_x0001_＀＀＀＀＀＀က䁳폼䭯_x0019_千幘南彆䅓䕌⡓呌卍㌬㜷ㄴ착_x0018_＀＀_x0018_＀＀_x0008_＀＀_x0001_＀＀_x0001_＀＀＀＀＀＀؀䃀폼䭯_x001E_千幘南彆䉅呉䅄䵟乇䰨䵔ⱓ㘳㈹⤲_x0018_＀＀_x0018_＀＀_x0008_＀＀_x0001_＀＀_x0001_＀＀汩幇盎䀱폼䭯_x0019_千幘南彆十䕓協儨剔㐬㄰㜱착_x0018_＀＀_x0018_＀＀_x0008_＀＀_x0001_＀＀_x0001_＀＀＀＀＀＀挀䃚폻䭯_x001C_千幘南彆䡓䑌卒䕟⡑呑ⱒ㤳㌵⤸_x0018_＀＀_x0018_＀＀_x0008_＀＀_x0001_＀＀_x0001_＀＀＀＀＀＀ጀ䃁폻䭯_x001C_千幘南彆䡓䑌卒䕟⡑呑ⱒ㠳㐷⤸_x0018_＀＀_x0018_＀＀_x0008_＀＀_x0001_＀＀_x0001_＀＀＀＀＀＀ሀ䂿퐁䭯_x001C_千幘捩彡敭湡獟獬㈨〰ⰶ㠳㔶⤶_x0018_＀＀_x0018_＀＀_x0008_＀＀_x0001_＀＀_x0001_＀＀豀碵꼝쐕폽䭯_x001E_千幘南彆䉅呉䅄䵟乇䰨䵔ⱓ㠳㔳⤲_x0018_＀＀_x0018_＀＀_x0008_＀＀_x0001_＀＀_x0001_＀＀筪퍂녓䀶폺䭯_x001A_千幘南彆䕄呂卟⡔呑ⱒ㜳㐰⤲_x0018_＀＀_x0018_＀＀_x0008_＀＀_x0001_＀＀_x0001_＀＀＀＀＀＀퀀䂄폺䭯_x001A_千幘南彆䅃䡓卟⡔呑ⱒ㘳㠹⤱_x0018_＀＀_x0018_＀＀_x0008_＀＀_x0001_＀＀_x0001_＀＀＀＀＀＀栀䂃폹䭯_x0011_千幘浣獟獨㌨㠸㠶착_x0018_＀＀_x0018_＀＀_x0008_＀＀_x0001_＀＀_x0001_＀＀豀碵꼝쐕퐌䭯M千幘䅃偟协剔呅卟噒䍟协⡔㈱㈯〰ⰹⰬ唬䑓䀩南䡟呌䍈剁彅䕓噒䍟协⡔㈱㈯〰ⰹⰬ唬䑓착_x0018_＀＀_x0018_＀＀_x0008_＀＀_x0001_＀＀_x0001_＀＀豀碵꼝쐕퐂䭯_x001C_千幘捩彡敭湡偟䥔㈨〰ⰷ㤳ㄱ⤳_x0018_＀＀_x0018_＀＀_x0008_＀＀_x0001_＀＀_x0001_＀＀豀碵꼝쐕퐂䭯_x001C_千幘捩彡敭湡偟䥔㈨〰ⰳ㜳㔹⤵_x0018_＀＀_x0018_＀＀_x0008_＀＀_x0001_＀＀_x0001_＀＀豀碵꼝쐕퐁䭯_x001D_千幘捩彡敭湡䕟䥂⡔〲㤰㌬㤹㌰착_x0018_＀＀_x0018_＀＀_x0008_＀＀_x0001_＀＀_x0001_＀＀豀碵꼝쐕폾䭯_x0018_千幘南彆䉅呉䰨䵔ⱓ㤳㤹⤴_x0018_＀＀_x0018_＀＀_x0008_＀＀_x0001_＀＀_x0001_＀＀＀＀＀＀簀䂢폼䭯_x0019_千幘南彆十䕓協儨剔㌬㘹〶착_x0018_＀＀_x0018_＀＀_x0008_＀＀_x0001_＀＀_x0001_＀＀＀＀＀＀⤀䃚폻䭯_x001A_千幘南彆䕄呂卟⡔呑ⱒ㤳〵⤷_x0018_＀＀_x0018_＀＀_x0008_＀＀_x0001_＀＀_x0001_＀＀＀＀＀＀頀䂈폺䭯_x001A_千幘南彆䕄呂卟⡔呑ⱒ㠳ㄷ⤷_x0018_＀＀_x0018_＀＀_x0008_＀＀_x0001_＀＀_x0001_＀＀＀＀＀＀䠀䂍폺䭯_x001A_千幘南彆䕄呂䱟⡔呑ⱒ㘳ㄶ⤶_x0018_＀＀_x0018_＀＀_x0008_＀＀_x0001_＀＀_x0001_＀＀＀＀＀＀က䂸폹䭯_x0011_千幘浣獟獨㌨㤹㌰착_x0018_＀＀_x0018_＀＀_x0008_＀＀_x0001_＀＀_x0001_＀＀豀碵꼝쐕퐂䭯_x001C_千幘捩彡敭湡偟䥔㈨〰ⰹ㤳㜴⤸_x0018_＀＀_x0018_＀＀_x0008_＀＀_x0001_＀＀_x0001_＀＀豀碵꼝쐕퐁䭯_x001D_千幘捩彡敭湡䕟䥂⡔〲㤰㐬㄰㜴착_x0018_＀＀_x0018_＀＀_x0008_＀＀_x0001_＀＀_x0001_＀＀豀碵꼝쐕퐁䭯_x001E_千幘捩彡敭湡䕟䥂䑔㈨〰ⰸ㤳㤲⤴_x0018_＀＀_x0018_＀＀_x0008_＀＀_x0001_＀＀_x0001_＀＀豀碵꼝쐕폺䭯_x001A_千幘南彆䕄呂䱟⡔呑ⱒ㠳㐰⤶_x0018_＀＀_x0018_＀＀_x0008_＀＀_x0001_＀＀_x0001_＀＀＀＀＀＀䂺폺䭯_x001A_千幘南彆䕄呂䱟⡔呑ⱒ㜳㔲⤶_x0018_＀＀_x0018_＀＀_x0008_＀＀_x0001_＀＀_x0001_＀＀＀＀＀＀케䂶폹䭯_x0011_千幘浣獟獨㐨㄰㜴착_x0018_＀＀_x0018_＀＀_x0008_＀＀_x0001_＀＀_x0001_＀＀豀碵꼝쐕慉䰎_x0016_千幘彐剐䍉Ņ㘠㌯⼰〲〱_x0018_＀＀_x0018_＀＀_x0008_＀＀_x0001_＀＀_x0001_＀＀硬ꕺ䌬䁈퐍䭯"千幘南偟久䥓乏偟佂ㄨ⼲〲㌰ⰬⰬ单⥄_x0018_＀＀_x0018_＀＀_x0008_＀＀_x0001_＀＀_x0001_＀＀＀＀＀＀䂝퐌䭯-千幘䅃偟协剔呅啟归剔佟彂䵁剏⡔㈱㈯〰ⰶⰬ唬䑓착_x0018_＀＀_x0018_＀＀_x0008_＀＀_x0001_＀＀_x0001_＀＀豀碵꼝쐕퐈䭯_x0017_千幘南䙟䍙〨䀩䅃䙟䍙〨착_x0018_＀＀_x0018_＀＀_x0008_＀＀_x0001_＀＀_x0008_＀＀㈱㈯〰9퐃䭯_x001C_千幘捩彡敭湡䕟卐㈨〰ⰶ㠳㌵⤳_x0018_＀＀_x0018_＀＀_x0008_＀＀_x0001_＀＀_x0001_＀＀豀碵꼝쐕퐂䭯_x001C_千幘捩彡敭湡偟䥔㈨〰ⰹ〴ㄱ⤷_x0018_＀＀_x0018_＀＀_x0008_＀＀_x0001_＀＀_x0001_＀＀豀碵꼝쐕퐁䭯_x001D_千幘捩彡敭湡䕟䥂⡔〲㐰㌬㈸〳착_x0018_＀＀_x0018_＀＀_x0008_＀＀_x0001_＀＀_x0001_＀＀豀碵꼝쐕퐁䭯_x001E_千幘捩彡敭湡䕟䥂䑔㈨〰ⰶ㠳㘹⤰_x0018_＀＀_x0018_＀＀_x0008_＀＀_x0001_＀＀_x0001_＀＀豀碵꼝쐕퐀䭯_x001C_千幘捩彡敭湡獟獬㈨〰ⰳ㜳㤴⤹_x0018_＀＀_x0018_＀＀_x0008_＀＀_x0001_＀＀_x0001_＀＀豀碵꼝쐕폽䭯_x001E_千幘南彆䉅呉䅄䵟乇䰨䵔ⱓ㤳㘹⤴_x0018_＀＀_x0018_＀＀_x0008_＀＀_x0001_＀＀_x0001_＀＀픬ト誘䀿폺䭯_x001A_千幘南彆䕄呂卟⡔呑ⱒ㜳㘸⤴_x0018_＀＀_x0018_＀＀_x0008_＀＀_x0001_＀＀_x0001_＀＀＀＀＀＀⠀䂔퐌䭯*千幘南䡟呌䍈剁彅塅彐呌剟䅏ㄨ⼲〲㈰ⰬⰬ单⥄_x0018_＀＀_x0018_＀＀_x0008_＀＀_x0001_＀＀_x0001_＀＀豀碵꼝쐕퐃䭯_x001C_千幘捩彡敭湡䕟卐㈨〰ⰶ㠳㠳⤳_x0018_＀＀_x0018_＀＀_x0008_＀＀_x0001_＀＀_x0001_＀＀豀碵꼝쐕퐁䭯_x001D_千幘捩彡敭湡䕟䥂⡔〲㠰㌬㌹㔲착_x0018_＀＀_x0018_＀＀_x0008_＀＀_x0001_＀＀_x0001_＀＀豀碵꼝쐕퐀䭯_x001B_千幘南彆偅当䥄⡌呌卍㌬㘸㔲착_x0018_＀＀_x0018_＀＀_x0008_＀＀_x0001_＀＀_x0001_＀＀롑蔞㿳폽䭯_x0018_千幘南彆䉅呉䰨䵔ⱓ㘳〷⤷_x0018_＀＀_x0018_＀＀_x0008_＀＀_x0001_＀＀_x0001_＀＀＀＀＀＀㠀䂂폻䭯_x001A_千幘南彆䕄呂卟⡔呑ⱒ㤳㤲⤴_x0018_＀＀_x0018_＀＀_x0008_＀＀_x0001_＀＀_x0001_＀＀＀＀＀＀쀀䁭퐂䭯_x001C_千幘捩彡敭湡偟䥔㈨㄰ⰱ〴〲⤹_x0018_＀＀_x0018_＀＀_x0008_＀＀_x0001_＀＀_x0001_＀＀豀碵꼝쐕퐂䭯_x001C_千幘捩彡敭湡偟䥔㈨〰ⰹ㤳㘶⤰_x0018_＀＀_x0018_＀＀_x0008_＀＀_x0001_＀＀_x0001_＀＀豀碵꼝쐕폻䭯_x001A_千幘南彆䕄呂䱟⡔呑ⱒ㠳㘸⤸_x0018_＀＀_x0018_＀＀_x0008_＀＀_x0001_＀＀_x0001_＀＀＀＀＀＀딀䂳폹䭯_x0012_千幘彐剐䍉⡅㘳ㄳ⤱_x0018_＀＀_x0018_＀＀_x0008_＀＀_x0001_＀＀_x0001_＀＀_x0001_＀＀砀䀷퐍䭯 千幘南䕟䍘彈䅒䕔䥟䍎䍟⡆㈱㈯〰⤸_x0018_＀＀_x0018_＀＀_x0008_＀＀_x0001_＀＀_x0001_＀＀豀碵꼝쐕퐍䭯$千幘䅃偟久当呌䱟䅉卂ㄨ⼲〲㠰ⰬⰬ单⥄_x0018_＀＀_x0018_＀＀_x0008_＀＀_x0001_＀＀_x0001_＀＀豀碵꼝쐕퐌䭯T千幘䅃偟协剔呅偟䥒剏卟噒ㄨ⼲〲㐰ⰬⰬ单⥄址当䱈䡔䅃䕒啟剎䍅卟剅彖佃呓ㄨ⼲〲㐰ⰬⰬ单⥄_x0018_＀＀_x0018_＀＀_x0008_＀＀_x0001_＀＀_x0001_＀＀＀＀＀＀＀＀쀳퐃䭯_x001C_千幘捩彡敭湡䕟卐㈨〰ⰳ㜳㜳⤶_x0018_＀＀_x0018_＀＀_x0008_＀＀_x0001_＀＀_x0001_＀＀豀碵꼝쐕퐂䭯_x001C_千幘捩彡敭湡偟䥔㈨〰ⰶ㠳ㄷ⤷_x0018_＀＀_x0018_＀＀_x0008_＀＀_x0001_＀＀_x0001_＀＀豀碵꼝쐕퐁䭯_x001C_千幘捩彡敭湡獟獬㈨〰ⰵ㠳㘲⤰_x0018_＀＀_x0018_＀＀_x0008_＀＀_x0001_＀＀_x0001_＀＀豀碵꼝쐕퐁䭯_x001E_千幘捩彡敭湡䕟䥂䑔㈨〰ⰴ㠳㄰⤷_x0018_＀＀_x0018_＀＀_x0008_＀＀_x0001_＀＀_x0001_＀＀豀碵꼝쐕퐀䭯_x001B_千幘南彆偅当䥄⡌呌卍㌬㜷㈷착_x0018_＀＀_x0018_＀＀_x0008_＀＀_x0001_＀＀_x0001_＀＀_xD9D3_礨㿰폾䭯_x001B_千幘南彆呐彘义⡃呌卍㌬㌶ㄱ착_x0018_＀＀_x0018_＀＀_x0008_＀＀_x0001_＀＀_x0001_＀＀＀＀＀＀㰀䂓폻䭯_x001A_千幘南彆䕄呂䱟⡔呑ⱒ㤳〹⤳_x0018_＀＀_x0018_＀＀_x0008_＀＀_x0001_＀＀_x0001_＀＀＀＀＀＀稀䂸퐍䭯)千幘䅃偟久当䵅彐佃呎䥒彂⡃㈱㈯〰ⰴⰬ唬䑓착_x0018_＀＀_x0018_＀＀_x0008_＀＀_x0001_＀＀_x0001_＀＀豀碵꼝쐕퐌䭯)千幘䅃偟协剔呅佟䡔䑁彊䉎⡁㈱㈯〰ⰷⰬ唬䑓착_x0018_＀＀_x0018_＀＀_x0008_＀＀_x0001_＀＀_x0001_＀＀豀碵꼝쐕퐃䭯_x001C_千幘捩彡敭湡䕟卐㈨〰ⰳ㜳㈶⤱_x0018_＀＀_x0018_＀＀_x0008_＀＀_x0001_＀＀_x0001_＀＀豀碵꼝쐕퐁䭯_x001D_千幘捩彡敭湡䕟䥂⡔〲㔰㌬ㄸ㠶착_x0018_＀＀_x0018_＀＀_x0008_＀＀_x0001_＀＀_x0001_＀＀豀碵꼝쐕퐁䭯_x001E_千幘捩彡敭湡䕟䥂䑔㈨〰ⰷ㠳㤸⤸_x0018_＀＀_x0018_＀＀_x0008_＀＀_x0001_＀＀_x0001_＀＀豀碵꼝쐕퐁䭯_x001C_千幘捩彡敭湡獟獬㈨〰ⰷ㠳㜷⤶_x0018_＀＀_x0018_＀＀_x0008_＀＀_x0001_＀＀_x0001_＀＀豀碵꼝쐕폽䭯_x0018_千幘南彆䉅呉䰨䵔ⱓ㘳㤴⤴_x0018_＀＀_x0018_＀＀_x0008_＀＀_x0001_＀＀_x0001_＀＀＀＀＀＀쐀䂗폽䭯_x001E_千幘南彆䉅呉䅄䵟乇䰨䵔ⱓ㠳〱⤷_x0018_＀＀_x0018_＀＀_x0008_＀＀_x0001_＀＀_x0001_＀＀ꭔ长倊䀱폼䭯_x0019_千幘南彆䅓䕌⡓呌卍㌬㌷㘴착_x0018_＀＀_x0018_＀＀_x0008_＀＀_x0001_＀＀_x0001_＀＀＀＀＀＀焀䂿폼䭯_x0019_千幘南彆䅓䕌⡓呌卍㌬㔶㘵착_x0018_＀＀_x0018_＀＀_x0008_＀＀_x0001_＀＀_x0001_＀＀＀＀＀＀ᶀ䃅폻䭯_x001A_千幘南彆䕄呂䱟⡔呑ⱒ〴㐱⤷_x0018_＀＀_x0018_＀＀_x0008_＀＀_x0001_＀＀_x0001_＀＀＀＀＀＀䂾폹䭯_x0012_千幘彐剐䍉⡅㤳ㄴ⤶_x0018_＀＀_x0018_＀＀_x0008_＀＀_x0001_＀＀_x0001_＀＀＀＀＀＀＀＀䁅폹䭯_x0011_千幘浣獟獨㌨㐶㌰착_x0018_＀＀_x0018_＀＀_x0008_＀＀_x0001_＀＀_x0001_＀＀豀碵꼝쐕퐂䭯_x001C_千幘捩彡敭湡偟䥔㈨〰ⰸ㤳㌲⤳_x0018_＀＀_x0018_＀＀_x0008_＀＀_x0001_＀＀_x0001_＀＀豀碵꼝쐕폾䭯_x001B_千幘南彆呐彘义⡃呌卍㌬㐹㘱착_x0018_＀＀_x0018_＀＀_x0008_＀＀_x0001_＀＀_x0001_＀＀＀＀＀＀ﰀ䂜폼䭯_x0019_千幘南彆十䕓協儨剔㌬㘸㔲착_x0018_＀＀_x0018_＀＀_x0008_＀＀_x0001_＀＀_x0001_＀＀＀＀＀＀畀䃗폺䭯_x001A_千幘南彆䅃䡓卟⡔呑ⱒ㜳㜳⤶_x0018_＀＀_x0018_＀＀_x0008_＀＀_x0001_＀＀_x0001_＀＀＀＀＀＀栀䂈퐍䭯;千幘南偟久䥓乏䅟卓呅当呏⡈㈱㈯〰⤸䍀彁䕐华偟呃佟䡔ㄨ⼲〲㠰착_x0018_＀＀_x0018_＀＀_x0008_＀＀_x0001_＀＀_x0001_＀＀＀＀＀＀＀＀㿰퐍䭯%千幘䅃偟久当呌䅟卓呅⡓㈱㈯〰ⰳⰬ唬䑓착_x0018_＀＀_x0018_＀＀_x0008_＀＀_x0001_＀＀_x0001_＀＀豀碵꼝쐕퐁䭯_x001D_千幘捩彡敭湡䕟䥂⡔〲㜰㌬㤸㤲착_x0018_＀＀_x0018_＀＀_x0008_＀＀_x0001_＀＀_x0001_＀＀豀碵꼝쐕폾䭯_x0018_千幘南彆䉅呉䰨䵔ⱓ㤳㤵⤹_x0018_＀＀_x0018_＀＀_x0008_＀＀_x0001_＀＀_x0001_＀＀＀＀＀＀ఀ䂤폽䭯_x0019_千幘南彆䅓䕌⡓呌卍㌬〹ㄲ착_x0018_＀＀_x0018_＀＀_x0008_＀＀_x0001_＀＀_x0001_＀＀＀＀＀＀嚀䃂폼䭯_x001E_千幘南彆䉅呉䅄䵟乇䰨䵔ⱓ㘳㘴⤴_x0018_＀＀_x0018_＀＀_x0008_＀＀_x0001_＀＀_x0001_＀＀芊篴䀴폺䭯_x001A_千幘南彆䅃䡓卟⡔呑ⱒ㠳ㄴ⤱_x0018_＀＀_x0018_＀＀_x0008_＀＀_x0001_＀＀_x0001_＀＀＀＀＀＀_xD800_䂊폺䭯_x001A_千幘南彆䅃䡓卟⡔呑ⱒ㜳㈶⤱_x0018_＀＀_x0018_＀＀_x0008_＀＀_x0001_＀＀_x0001_＀＀＀＀＀＀耀䁰퐍䭯(千幘䅃偟久当䅐呒䍟乏剔䉉ㄨ⼲〲㔰ⰬⰬ单⥄_x0018_＀＀_x0018_＀＀_x0008_＀＀_x0001_＀＀_x0001_＀＀豀碵꼝쐕퐂䭯_x001C_千幘捩彡敭湡䕟卐㈨〰ⰰ㘳㘴⤴_x0018_＀＀_x0018_＀＀_x0008_＀＀_x0001_＀＀_x0001_＀＀豀碵꼝쐕폾䭯_x0018_千幘南彆䉅呉䰨䵔ⱓ㤳㐸⤴_x0018_＀＀_x0018_＀＀_x0008_＀＀_x0001_＀＀_x0001_＀＀＀＀＀＀툀䂤폽䭯_x001E_千幘南彆䉅呉䅄䵟乇䰨䵔ⱓ㠳㈹⤹_x0018_＀＀_x0018_＀＀_x0008_＀＀_x0001_＀＀_x0001_＀＀껲⯧嶍䀿폼䭯_x0019_千幘南彆十䕓協儨剔㌬㜷㈷착_x0018_＀＀_x0018_＀＀_x0008_＀＀_x0001_＀＀_x0001_＀＀＀＀＀＀矀䃔폻䭯_x001C_千幘南彆䡓䑌卒䕟⡑呑ⱒ㤳㈳⤵_x0018_＀＀_x0018_＀＀_x0008_＀＀_x0001_＀＀_x0001_＀＀＀＀＀＀ఀ䃂폻䭯_x001A_千幘南彆䅃䡓卟⡔呑ⱒ㤳㔰⤱_x0018_＀＀_x0018_＀＀_x0008_＀＀_x0001_＀＀_x0001_＀＀＀＀＀＀ꀀ䂄퐌䭯J千幘䅃偟协剔呅剟䅏䅟呃ㄨ⼲〲㌰ⰬⰬ单⥄址当䱈䡔䅃䕒䅟呃剟䅏ㄨ⼲〲㌰ⰬⰬ单⥄_x0018_＀＀_x0018_＀＀_x0008_＀＀_x0001_＀＀_x0001_＀＀豀碵꼝쐕퐁䭯_x001E_千幘捩彡敭湡䕟䥂䑔㈨〰ⰴ㜳㠹⤶_x0018_＀＀_x0018_＀＀_x0008_＀＀_x0001_＀＀_x0001_＀＀豀碵꼝쐕퐀䭯_x001C_千幘捩彡敭湡獟獬㈨〰ⰴ㜳㘸⤴_x0018_＀＀_x0018_＀＀_x0008_＀＀_x0001_＀＀_x0001_＀＀豀碵꼝쐕퐃䭯_x001C_千幘捩彡敭湡䕟卐㈨〰ⰴ㠳㤱⤹_x0018_＀＀_x0018_＀＀_x0008_＀＀_x0001_＀＀_x0001_＀＀豀碵꼝쐕퐂䭯_x001C_千幘捩彡敭湡偟䥔㈨〰ⰵ㠳㈳⤱_x0018_＀＀_x0018_＀＀_x0008_＀＀_x0001_＀＀_x0001_＀＀豀碵꼝쐕폻䭯_x001C_千幘南彆䡓䑌卒䕟⡑呑ⱒ㠳㜴⤲_x0018_＀＀_x0018_＀＀_x0008_＀＀_x0001_＀＀_x0001_＀＀＀＀＀＀䀀䂽폺䭯_x001A_千幘南彆䕄呂䱟⡔呑ⱒ㘳〴⤳_x0018_＀＀_x0018_＀＀_x0008_＀＀_x0001_＀＀_x0001_＀＀＀＀＀＀鬀䂹퐍䭯'千幘䅃偟久当商䑎卟䅔啔⡓㈱㈯〰ⰴⰬ唬䑓착_x0018_＀＀_x0018_＀＀_x0008_＀＀_x0001_＀＀_x0001_＀＀豀碵꼝쐕퐂䭯_x001C_千幘捩彡敭湡偟䥔㈨〰ⰷ㠳㌸⤷_x0018_＀＀_x0018_＀＀_x0008_＀＀_x0001_＀＀_x0001_＀＀豀碵꼝쐕퐀䭯_x001B_千幘南彆䕎彔义⡃呌卍㌬㠷㈰착_x0018_＀＀_x0018_＀＀_x0008_＀＀_x0001_＀＀_x0001_＀＀＀＀＀＀က䁻퐍䭯 千幘南䕟䍘彈䅒䕔䉟䱁卟⡈㈱㈯〰⤴_x0018_＀＀_x0018_＀＀_x0008_＀＀_x0001_＀＀_x0001_＀＀豀碵꼝쐕퐌䭯%千幘䅃偟久当佃偍剟呁⡅㈱㈯〰ⰲⰬ唬䑓착_x0018_＀＀_x0018_＀＀_x0008_＀＀_x0001_＀＀_x0001_＀＀豀碵꼝쐕퐃䭯_x001C_千幘捩彡敭湡䕟卐㈨〰ⰴ㜳㐷⤱_x0018_＀＀_x0018_＀＀_x0008_＀＀_x0001_＀＀_x0001_＀＀豀碵꼝쐕퐀䭯_x001B_千幘南彆䕎彔义⡃呌卍㌬㐸㈴착_x0018_＀＀_x0018_＀＀_x0008_＀＀_x0001_＀＀_x0001_＀＀＀＀＀＀䁼퐀䭯_x001B_千幘南彆䕎彔义⡃呌卍㌬㘷㈵착_x0018_＀＀_x0018_＀＀_x0008_＀＀_x0001_＀＀_x0001_＀＀＀＀＀＀　䁽폽䭯_x0019_千幘南彆䅓䕌⡓呌卍㌬㤸〹착_x0018_＀＀_x0018_＀＀_x0008_＀＀_x0001_＀＀_x0001_＀＀＀＀＀＀嚀䃂퐍䭯(千幘䅃偟久当偐彄䕂彎佃呓ㄨ⼲〲㘰ⰬⰬ单⥄_x0018_＀＀_x0018_＀＀_x0008_＀＀_x0001_＀＀_x0001_＀＀豀碵꼝쐕퐍䭯 千幘南䕟䍘彈䅒䕔ㄨ⼲〲㜰ⰬⰬ单⥄_x0018_＀＀_x0018_＀＀_x0008_＀＀_x0001_＀＀_x0001_＀＀＀＀＀＀＀＀㿰퐌䭯*千幘南䡟呌䍈剁彅塅彐呌剟䅏ㄨ⼲〲㠰ⰬⰬ单⥄_x0018_＀＀_x0018_＀＀_x0008_＀＀_x0001_＀＀_x0001_＀＀豀碵꼝쐕퐁䭯_x001D_千幘捩彡敭湡䕟䥂⡔〲㘰㌬㔸㌳착_x0018_＀＀_x0018_＀＀_x0008_＀＀_x0001_＀＀_x0001_＀＀豀碵꼝쐕퐀䭯_x001B_千幘南彆偅当䥄⡌呌卍㌬㈹㈰착_x0018_＀＀_x0018_＀＀_x0008_＀＀_x0001_＀＀_x0001_＀＀뜂躩䀆퐀䭯_x001B_千幘南彆䕎彔义⡃呌卍㌬〹㈸착_x0018_＀＀_x0018_＀＀_x0008_＀＀_x0001_＀＀_x0001_＀＀＀＀＀＀砀䂔폺䭯_x001A_千幘南彆䕄呂卟⡔呑ⱒ㠳㤲⤱_x0018_＀＀_x0018_＀＀_x0008_＀＀_x0001_＀＀_x0001_＀＀＀＀＀＀쀀䁱퐌䭯L千幘䅃偟协剔呅䥟呎䍟协⡔㈱㈯〰ⰴⰬ唬䑓䀩南䡟呌䍈剁彅义彔佃呓ㄨ⼲〲㐰ⰬⰬ单⥄_x0018_＀＀_x0018_＀＀_x0008_＀＀_x0001_＀＀_x0001_＀＀＀＀＀＀＀＀䀹퐁䭯_x001D_千幘捩彡敭湡䕟䥂⡔〲㘰㌬㌸㌸착_x0018_＀＀_x0018_＀＀_x0008_＀＀_x0001_＀＀_x0001_＀＀豀碵꼝쐕퐁䭯_x001C_千幘捩彡敭湡獟獬㈨〰ⰷ㤳ㄴ⤶_x0018_＀＀_x0018_＀＀_x0008_＀＀_x0001_＀＀_x0001_＀＀豀碵꼝쐕퐁䭯_x001E_千幘捩彡敭湡䕟䥂䑔㈨〰ⰷ㠳㐷⤸_x0018_＀＀_x0018_＀＀_x0008_＀＀_x0001_＀＀_x0001_＀＀豀碵꼝쐕폽䭯_x0018_千幘南彆䉅呉䰨䵔ⱓ㜳㌱⤴_x0018_＀＀_x0018_＀＀_x0008_＀＀_x0001_＀＀_x0001_＀＀＀＀＀＀㠀䂍폼䭯_x001E_千幘南彆䉅呉䅄䵟乇䰨䵔ⱓ㘳ㄲ⤹_x0018_＀＀_x0018_＀＀_x0008_＀＀_x0001_＀＀_x0001_＀＀𥳐玸珹䀷폹䭯_x0012_千幘彐剐䍉⡅㘳㌷⤸_x0018_＀＀_x0018_＀＀_x0008_＀＀_x0001_＀＀_x0001_＀＀_x0001_＀＀퀀䀨퐌䭯P千幘䅃偟协剔呅偟䅌彎十彔久⡄㈱㈯〰ⰹⰬ唬䑓䀩南䡟呌䍈剁彅噆䅟卓呅ㄨ⼲〲㤰ⰬⰬ单⥄_x0018_＀＀_x0018_＀＀_x0008_＀＀_x0001_＀＀_x0001_＀＀豀碵꼝쐕퐃䭯_x001C_千幘捩彡敭湡䕟卐㈨〰ⰸ㤳㈷⤱_x0018_＀＀_x0018_＀＀_x0008_＀＀_x0001_＀＀_x0001_＀＀豀碵꼝쐕퐂䭯_x001C_千幘捩彡敭湡䕟卐㈨〰ⰰ㘳ㄲ⤹_x0018_＀＀_x0018_＀＀_x0008_＀＀_x0001_＀＀_x0001_＀＀豀碵꼝쐕퐂䭯_x001C_千幘捩彡敭湡偟䥔㈨〰ⰴ㜳㈹⤵_x0018_＀＀_x0018_＀＀_x0008_＀＀_x0001_＀＀_x0001_＀＀豀碵꼝쐕퐁䭯_x001E_千幘捩彡敭湡䕟䥂䑔㈨㄰ⰰ㤳㤹⤴_x0018_＀＀_x0018_＀＀_x0008_＀＀_x0001_＀＀_x0001_＀＀豀碵꼝쐕퐁䭯_x001C_千幘捩彡敭湡獟獬㈨㄰ⰰ㤳㜸⤲_x0018_＀＀_x0018_＀＀_x0008_＀＀_x0001_＀＀_x0001_＀＀豀碵꼝쐕퐀䭯_x001E_千幘捩彡敭湡䕟䥂䑔㈨〰ⰳ㜳㤵⤰_x0018_＀＀_x0018_＀＀_x0008_＀＀_x0001_＀＀_x0001_＀＀豀碵꼝쐕폾䭯_x001B_千幘南彆呐彘义⡃呌卍㌬㜶㠳착_x0018_＀＀_x0018_＀＀_x0008_＀＀_x0001_＀＀_x0001_＀＀＀＀＀＀耀䁅폹䭯_x0012_千幘彐剐䍉⡅㠳㘱⤸_x0018_＀＀_x0018_＀＀_x0008_＀＀_x0001_＀＀_x0001_＀＀尨抏䀰폾䭯_x001B_千幘南彆呐彘义⡃呌卍㌬ㄸ㠶착_x0018_＀＀_x0018_＀＀_x0008_＀＀_x0001_＀＀_x0001_＀＀＀＀＀＀뀀䁰퐌䭯J千幘䅃偟久当䥄䍓剟呁⡅㈱㈯〰ⰵⰬ唬䑓䀩南偟久䥓乏䑟卉彃䅒䕔ㄨ⼲〲㔰ⰬⰬ单⥄_x0018_＀＀_x0018_＀＀_x0008_＀＀_x0001_＀＀_x0001_＀＀＀＀＀＀＀＀䀕퐌䭯I千幘䅃偟久当剓彖佃呓ㄨ⼲〲㐰ⰬⰬ单⥄址当䕐华佉彎䕓噒䍟协⡔㈱㈯〰ⰴⰬ唬䑓착_x0018_＀＀_x0018_＀＀_x0008_＀＀_x0001_＀＀_x0001_＀＀＀＀＀＀耀䁂퐃䭯_x001C_千幘捩彡敭湡䕟卐㈨㄰ⰰ〴㔰⤶_x0018_＀＀_x0018_＀＀_x0008_＀＀_x0001_＀＀_x0001_＀＀豀碵꼝쐕폼䭯_x0019_千幘南彆十䕓協儨剔㌬㈹㈰착_x0018_＀＀_x0018_＀＀_x0008_＀＀_x0001_＀＀_x0001_＀＀＀＀＀＀址䃘폻䭯_x001C_千幘南彆䡓䑌卒䕟⡑呑ⱒ㜳㌴⤷_x0018_＀＀_x0018_＀＀_x0008_＀＀_x0001_＀＀_x0001_＀＀＀＀＀＀簀䂸폹䭯_x001D_千幘捩彡敭湡䕟䥂⡔〲㌰㌬㘷ㄲ착_x0018_＀＀_x0018_＀＀_x0008_＀＀_x0001_＀＀_x0001_＀＀豀碵꼝쐕퐊䭯%千幘䅃偟久当呌䅟卓呅⡓㈱㈯〰ⰹⰬ唬䑓착_x0018_＀＀_x0018_＀＀_x0008_＀＀_x0001_＀＀_x0001_＀＀豀碵꼝쐕퐃䭯_x001C_千幘捩彡敭湡䕟卐㈨〰ⰵ㠳㘵⤴_x0018_＀＀_x0018_＀＀_x0008_＀＀_x0001_＀＀_x0001_＀＀豀碵꼝쐕폾䭯_x0018_千幘南彆䉅呉䰨䵔ⱓ㤳㠳⤶_x0018_＀＀_x0018_＀＀_x0008_＀＀_x0001_＀＀_x0001_＀＀＀＀＀＀ꀀ䂡폼䭯_x0019_千幘南彆䅓䕌⡓呌卍㌬㈶〸착_x0018_＀＀_x0018_＀＀_x0008_＀＀_x0001_＀＀_x0001_＀＀＀＀＀＀윀䃃폻䭯_x001C_千幘南彆䡓䑌卒䕟⡑呑ⱒ㠳㜰⤷_x0018_＀＀_x0018_＀＀_x0008_＀＀_x0001_＀＀_x0001_＀＀＀＀＀＀吀䂹폻䭯_x001C_千幘南彆䡓䑌卒䕟⡑呑ⱒ㜳㠲⤷_x0018_＀＀_x0018_＀＀_x0008_＀＀_x0001_＀＀_x0001_＀＀＀＀＀＀䂷폹䭯_x0012_千幘彐剐䍉⡅㜳㘵⤰_x0018_＀＀_x0018_＀＀_x0008_＀＀_x0001_＀＀_x0001_＀＀馚香香䀫퐍䭯&amp;千幘䅃偟久当十彔义䅔䝎ㄨ⼲〲㘰ⰬⰬ单⥄_x0018_＀＀_x0018_＀＀_x0008_＀＀_x0001_＀＀_x0001_＀＀豀碵꼝쐕폿䭯_x001B_千幘南彆䕎彔义⡃呌卍㌬㐷㜰착_x0018_＀＀_x0018_＀＀_x0008_＀＀_x0001_＀＀_x0001_＀＀＀＀＀＀倀䁵폾䭯_x001B_千幘南彆呐彘义⡃呌卍㌬㔷〶착_x0018_＀＀_x0018_＀＀_x0008_＀＀_x0001_＀＀_x0001_＀＀＀＀＀＀⠀䂄폾䭯_x0018_千幘南彆䉅呉䰨䵔ⱓ〴㈰⤵_x0018_＀＀_x0018_＀＀_x0008_＀＀_x0001_＀＀_x0001_＀＀＀＀＀＀簀䂢폽䭯_x0019_千幘南彆䅓䕌⡓呌卍㌬㤷㔵착_x0018_＀＀_x0018_＀＀_x0008_＀＀_x0001_＀＀_x0001_＀＀＀＀＀＀_xDC00_䂾폻䭯_x001A_千幘南彆䅃䡓卟⡔呑ⱒ㤳㜴⤸_x0018_＀＀_x0018_＀＀_x0008_＀＀_x0001_＀＀_x0001_＀＀＀＀＀＀倀䂆폺䭯_x001A_千幘南彆䕄呂卟⡔呑ⱒ㘳ㄶ⤶_x0018_＀＀_x0018_＀＀_x0008_＀＀_x0001_＀＀_x0001_＀＀＀＀＀＀怀䂊폹䭯_x0011_千幘浣獟獨㌨㠷㈰착_x0018_＀＀_x0018_＀＀_x0008_＀＀_x0001_＀＀_x0001_＀＀豀碵꼝쐕폽䭯_x0019_千幘南彆䅓䕌⡓呌卍㌬㔸㔹착_x0018_＀＀_x0018_＀＀_x0008_＀＀_x0001_＀＀_x0001_＀＀＀＀＀＀甀䃀폻䭯_x001A_千幘南彆䅃䡓卟⡔呑ⱒ〴ㄱ⤷_x0018_＀＀_x0018_＀＀_x0008_＀＀_x0001_＀＀_x0001_＀＀＀＀＀＀ꐀ䂔폺䭯_x001A_千幘南彆䕄呂卟⡔呑ⱒ㠳㐰⤶_x0018_＀＀_x0018_＀＀_x0008_＀＀_x0001_＀＀_x0001_＀＀＀＀＀＀쀀䁺폺䭯_x001A_千幘南彆䕄呂卟⡔呑ⱒ㜳㔲⤶_x0018_＀＀_x0018_＀＀_x0008_＀＀_x0001_＀＀_x0001_＀＀＀＀＀＀퐀䂓폹䭯_x0011_千幘浣獟獨㌨㐸㈴착_x0018_＀＀_x0018_＀＀_x0008_＀＀_x0001_＀＀_x0001_＀＀豀碵꼝쐕폹䭯_x0011_千幘浣獟獨㌨㘷㈵착_x0018_＀＀_x0018_＀＀_x0008_＀＀_x0001_＀＀_x0001_＀＀豀碵꼝쐕퐂䭯_x001C_千幘捩彡敭湡偟䥔㈨㄰ⰰ㤳㌹⤳_x0018_＀＀_x0018_＀＀_x0008_＀＀_x0001_＀＀_x0001_＀＀豀碵꼝쐕퐁䭯_x001C_千幘捩彡敭湡獟獬㈨〰ⰴ㠳㤲⤱_x0018_＀＀_x0018_＀＀_x0008_＀＀_x0001_＀＀_x0001_＀＀豀碵꼝쐕퐀䭯_x001B_千幘南彆偅当䥄⡌呌卍㌬〸㜱착_x0018_＀＀_x0018_＀＀_x0008_＀＀_x0001_＀＀_x0001_＀＀尩슏⣵㿜폹䭯_x0011_千幘浣獟獨㌨〹㈸착_x0018_＀＀_x0018_＀＀_x0008_＀＀_x0001_＀＀_x0001_＀＀豀碵꼝쐕퐍䭯;千幘南偟久䥓乏䅟卓呅当剐偏ㄨ⼲〲㠰䀩䅃偟久当䍐彔䕒ㄨ⼲〲㠰착_x0018_＀＀_x0018_＀＀_x0008_＀＀_x0001_＀＀_x0001_＀＀豀碵꼝쐕퐌䭯E千幘䅃偟协剔呅䉟久佟⡂㈱㈯〰ⰳⰬ唬䑓䀩南䡟呌䍈剁彅䉐⡏㈱㈯〰ⰳⰬ唬䑓착_x0018_＀＀_x0018_＀＀_x0008_＀＀_x0001_＀＀_x0001_＀＀＀＀＀＀ࠀ䂀퐂䭯_x001C_千幘捩彡敭湡䕟卐ㄨ㤹ⰹ㘳㜳⤲_x0018_＀＀_x0018_＀＀_x0008_＀＀_x0001_＀＀_x0001_＀＀豀碵꼝쐕퐁䭯_x001D_千幘捩彡敭湡䕟䥂⡔〲㐰㌬ㄸ㤹착_x0018_＀＀_x0018_＀＀_x0008_＀＀_x0001_＀＀_x0001_＀＀豀碵꼝쐕폻䭯_x001A_千幘南彆䅃䡓卟⡔呑ⱒ㤳㘶⤰_x0018_＀＀_x0018_＀＀_x0008_＀＀_x0001_＀＀_x0001_＀＀＀＀＀＀᐀䂗퐌䭯%千幘䅃偟久当佃偍剟呁⡅㈱㈯〰ⰸⰬ唬䑓착_x0018_＀＀_x0018_＀＀_x0008_＀＀_x0001_＀＀_x0001_＀＀豀碵꼝쐕퐃䭯_x001C_千幘捩彡敭湡䕟卐㈨〰ⰹ㤳㤶⤱_x0018_＀＀_x0018_＀＀_x0008_＀＀_x0001_＀＀_x0001_＀＀豀碵꼝쐕폿䭯_x001B_千幘南彆偅当䥄⡌呌卍㌬ㄷ㐶착_x0018_＀＀_x0018_＀＀_x0008_＀＀_x0001_＀＀_x0001_＀＀ፀ썡⯓㿤폼䭯_x001C_千幘南彆䡓䑌卒䕟⡑呑ⱒ〴㜱⤸_x0018_＀＀_x0018_＀＀_x0008_＀＀_x0001_＀＀_x0001_＀＀＀＀＀＀一䃁폻䭯_x001A_千幘南彆䕄呂卟⡔呑ⱒ㠳㘸⤸_x0018_＀＀_x0018_＀＀_x0008_＀＀_x0001_＀＀_x0001_＀＀＀＀＀＀ꀀ䂌퐁䭯_x001E_千幘捩彡敭湡䕟䥂䑔㈨㄰ⰰ㤳㐸⤴_x0018_＀＀_x0018_＀＀_x0008_＀＀_x0001_＀＀_x0001_＀＀豀碵꼝쐕퐀䭯_x001B_千幘南彆偅当䥄⡌呌卍㌬㘹㤲착_x0018_＀＀_x0018_＀＀_x0008_＀＀_x0001_＀＀_x0001_＀＀ἶ蛗䀊폻䭯_x001A_千幘南彆䕄呂卟⡔呑ⱒ㤳〹⤳_x0018_＀＀_x0018_＀＀_x0008_＀＀_x0001_＀＀_x0001_＀＀＀＀＀＀ꀀ䁳폺䭯_x001A_千幘南彆䕄呂䱟⡔呑ⱒ㜳〸⤲_x0018_＀＀_x0018_＀＀_x0008_＀＀_x0001_＀＀_x0001_＀＀＀＀＀＀㰀䂸폹䭯_x001D_千幘捩彡敭湡䕟䥂⡔〲㐰㌬㜷ㄴ착_x0018_＀＀_x0018_＀＀_x0008_＀＀_x0001_＀＀_x0001_＀＀豀碵꼝쐕퐌䭯F千幘䅃偟协剔呅剟䅏ㄨ⼲〲㌰ⰬⰬ单⥄址当䱈䡔䅃䕒䕟偘剟䅏ㄨ⼲〲㌰ⰬⰬ单⥄_x0018_＀＀_x0018_＀＀_x0008_＀＀_x0001_＀＀_x0001_＀＀豀碵꼝쐕퐃䭯_x001C_千幘捩彡敭湡䕟卐㈨〰ⰸ㤳㘲⤳_x0018_＀＀_x0018_＀＀_x0008_＀＀_x0001_＀＀_x0001_＀＀豀碵꼝쐕퐁䭯_x001E_千幘捩彡敭湡䕟䥂䑔㈨〰ⰷ㤳㈳⤵_x0018_＀＀_x0018_＀＀_x0008_＀＀_x0001_＀＀_x0001_＀＀豀碵꼝쐕폼䭯_x0019_千幘南彆十䕓協儨剔㌬〸㜱착_x0018_＀＀_x0018_＀＀_x0008_＀＀_x0001_＀＀_x0001_＀＀＀＀＀＀䀀䃕폻䭯_x001A_千幘南彆䕄呂卟⡔呑ⱒ〴㐱⤷_x0018_＀＀_x0018_＀＀_x0008_＀＀_x0001_＀＀_x0001_＀＀＀＀＀＀쀀䁳폺䭯_x001A_千幘南彆䕄呂䱟⡔呑ⱒ㠳㐴⤲_x0018_＀＀_x0018_＀＀_x0008_＀＀_x0001_＀＀_x0001_＀＀＀＀＀＀䀀䂸폺䭯_x001A_千幘南彆䕄呂䱟⡔呑ⱒ㜳㔶⤲_x0018_＀＀_x0018_＀＀_x0008_＀＀_x0001_＀＀_x0001_＀＀＀＀＀＀眀䂹폹䭯_x0012_千幘彐剐䍉⡅㜳ㄳ⤵_x0018_＀＀_x0018_＀＀_x0008_＀＀_x0001_＀＀_x0001_＀＀蔟凫_xDEB8_䀲폹䭯_x0012_千幘彐剐䍉⡅㘳㈵⤵_x0018_＀＀_x0018_＀＀_x0008_＀＀_x0001_＀＀_x0001_＀＀＀＀＀＀怀䀯퐄䭯8刣晥敲桳帣䅃偟久当䥄䍓剟呁⡅䅎䀩南偟久䥓乏䑟卉彃䅒䕔丨⥁_x0018_＀＀_x0018_＀＀_x0008_＀＀_x0001_＀＀_x0001_＀＀豀碵꼝쐕퐁䭯_x001C_千幘捩彡敭湡獟獬㈨〰ⰹ㤳㘵⤸_x0018_＀＀_x0018_＀＀_x0008_＀＀_x0001_＀＀_x0001_＀＀豀碵꼝쐕퐀䭯_x001B_千幘南彆偅当䥄⡌呌卍㌬㜸㘷착_x0018_＀＀_x0018_＀＀_x0008_＀＀_x0001_＀＀_x0001_＀＀䵀嬭௫㿹퐀䭯_x001B_千幘南彆偅当䥄⡌呌卍㌬㤷㘸착_x0018_＀＀_x0018_＀＀_x0008_＀＀_x0001_＀＀_x0001_＀＀尩슏⣵㿜폾䭯_x001B_千幘南彆呐彘义⡃呌卍㌬㌷㔱착_x0018_＀＀_x0018_＀＀_x0008_＀＀_x0001_＀＀_x0001_＀＀＀＀＀＀က䁾폾䭯_x001B_千幘南彆呐彘义⡃呌卍㌬㔶㔲착_x0018_＀＀_x0018_＀＀_x0008_＀＀_x0001_＀＀_x0001_＀＀＀＀＀＀耀䁩폻䭯_x001A_千幘南彆䕄呂䱟⡔呑ⱒ㤳㠰⤲_x0018_＀＀_x0018_＀＀_x0008_＀＀_x0001_＀＀_x0001_＀＀＀＀＀＀䂴퐈䭯;千幘南偟久䥓乏䅟卓呅当充䥕ㄨ⼲〲㤰䀩䅃偟久当䍐彔充ㄨ⼲〲㤰착_x0018_＀＀_x0018_＀＀_x0008_＀＀_x0001_＀＀_x0001_＀＀豀碵꼝쐕퐂䭯_x001C_千幘捩彡敭湡偟䥔㈨〰ⰴ㠳㔳⤲_x0018_＀＀_x0018_＀＀_x0008_＀＀_x0001_＀＀_x0001_＀＀豀碵꼝쐕퐁䭯_x001D_千幘捩彡敭湡䕟䥂⡔〲㠰㌬㜹ㄲ착_x0018_＀＀_x0018_＀＀_x0008_＀＀_x0001_＀＀_x0001_＀＀豀碵꼝쐕퐁䭯_x001C_千幘捩彡敭湡獟獬㈨〰ⰹ㤳ㄸ⤳_x0018_＀＀_x0018_＀＀_x0008_＀＀_x0001_＀＀_x0001_＀＀豀碵꼝쐕퐀䭯_x001B_千幘南彆䕎彔义⡃呌卍㌬㘹ㄹ착_x0018_＀＀_x0018_＀＀_x0008_＀＀_x0001_＀＀_x0001_＀＀＀＀＀＀_xD800_䂕폼䭯_x0019_千幘南彆十䕓協儨剔㌬ㄷ㐶착_x0018_＀＀_x0018_＀＀_x0008_＀＀_x0001_＀＀_x0001_＀＀＀＀＀＀ᾀ䃔폹䭯_x0011_千幘浣獟獨㌨㐷㜰착_x0018_＀＀_x0018_＀＀_x0008_＀＀_x0001_＀＀_x0001_＀＀豀碵꼝쐕퐂䭯_x001C_千幘捩彡敭湡偟䥔㈨〰ⰸ㤳㐴⤷_x0018_＀＀_x0018_＀＀_x0008_＀＀_x0001_＀＀_x0001_＀＀豀碵꼝쐕퐂䭯_x001C_千幘捩彡敭湡偟䥔㈨〰ⰶ㠳㘸⤸_x0018_＀＀_x0018_＀＀_x0008_＀＀_x0001_＀＀_x0001_＀＀豀碵꼝쐕퐁䭯_x001E_千幘捩彡敭湡䕟䥂䑔㈨〰ⰴ㠳㘱⤸_x0018_＀＀_x0018_＀＀_x0008_＀＀_x0001_＀＀_x0001_＀＀豀碵꼝쐕퐁䭯_x001C_千幘捩彡敭湡獟獬㈨〰ⰴ㠳㐰⤶_x0018_＀＀_x0018_＀＀_x0008_＀＀_x0001_＀＀_x0001_＀＀豀碵꼝쐕폽䭯_x0018_千幘南彆䉅呉䰨䵔ⱓ㠳㌵⤳_x0018_＀＀_x0018_＀＀_x0008_＀＀_x0001_＀＀_x0001_＀＀＀＀＀＀က䂔폼䭯_x0019_千幘南彆十䕓協儨剔㌬㘹㤲착_x0018_＀＀_x0018_＀＀_x0008_＀＀_x0001_＀＀_x0001_＀＀＀＀＀＀⤀䃚퐍䭯Q千幘䅃偟久当䍁啃彍佃偍䥒䍎ㄨ⼲〲㜰ⰬⰬ单⥄址当佃偍归义彃䕐华䱟䅉⡂㈱㈯〰ⰷⰬ唬䑓착_x0018_＀＀_x0018_＀＀_x0008_＀＀_x0001_＀＀_x0001_＀＀＀＀＀＀倀쁴퐌䭯J千幘䅃偟久当佒彁䅒䕔ㄨ⼲〲㐰ⰬⰬ单⥄址当䕐华佉彎塅彐呌剟䅏ㄨ⼲〲㐰ⰬⰬ单⥄_x0018_＀＀_x0018_＀＀_x0008_＀＀_x0001_＀＀_x0001_＀＀＀＀＀＀＀＀䀡퐈䭯C千幘䅃偟久当剐䩏佟䱂ㄨ⼲〲㤰ⰬⰬ单⥄址当䕐华佉彎䉐⡏㈱㈯〰ⰹⰬ唬䑓착_x0018_＀＀_x0018_＀＀_x0008_＀＀_x0001_＀＀_x0001_＀＀豀碵꼝쐕䮋_x0015_刣晥敲桳帣南䥟体䍟䑏책_x0014_＀＀_x0018_＀＀_x0004_＀＀_x0001_＀＀_x0008_＀＀乀A퐃䭯_x001C_千幘捩彡敭湡䕟卐㈨〰ⰳ㜳㜷⤲_x0018_＀＀_x0018_＀＀_x0008_＀＀_x0001_＀＀_x0001_＀＀豀碵꼝쐕퐃䭯_x001C_千幘捩彡敭湡䕟卐㈨〰ⰲ㜳〴⤷_x0018_＀＀_x0018_＀＀_x0008_＀＀_x0001_＀＀_x0001_＀＀豀碵꼝쐕퐁䭯_x001D_千幘捩彡敭湡䕟䥂⡔〲〱㐬〰㘵착_x0018_＀＀_x0018_＀＀_x0008_＀＀_x0001_＀＀_x0001_＀＀豀碵꼝쐕폽䭯_x0018_千幘南彆䉅呉䰨䵔ⱓ㠳㠳⤳_x0018_＀＀_x0018_＀＀_x0008_＀＀_x0001_＀＀_x0001_＀＀＀＀＀＀蠀䂑폼䭯_x001E_千幘南彆䉅呉䅄䵟乇䰨䵔ⱓ㜳㘴⤸_x0018_＀＀_x0018_＀＀_x0008_＀＀_x0001_＀＀_x0001_＀＀톨徳ス䀵폺䭯_x001A_千幘南彆䅃䡓卟⡔呑ⱒ㠳㈶⤵_x0018_＀＀_x0018_＀＀_x0008_＀＀_x0001_＀＀_x0001_＀＀＀＀＀＀瀀䂂퐌䭯)千幘南䡟呌䍈剁彅䥄䍓剟呁⡅㈱㈯〰ⰷⰬ唬䑓착_x0018_＀＀_x0018_＀＀_x0008_＀＀_x0001_＀＀_x0001_＀＀＀＀＀＀耀䀗퐁䭯_x001D_千幘捩彡敭湡䕟䥂⡔〲㔰㌬㔸㐶착_x0018_＀＀_x0018_＀＀_x0008_＀＀_x0001_＀＀_x0001_＀＀豀碵꼝쐕퐁䭯_x001E_千幘捩彡敭湡䕟䥂䑔㈨〰ⰶ㠳㈹⤹_x0018_＀＀_x0018_＀＀_x0008_＀＀_x0001_＀＀_x0001_＀＀豀碵꼝쐕퐁䭯_x001C_千幘捩彡敭湡獟獬㈨〰ⰶ㠳〸⤷_x0018_＀＀_x0018_＀＀_x0008_＀＀_x0001_＀＀_x0001_＀＀豀碵꼝쐕폽䭯_x0018_千幘南彆䉅呉䰨䵔ⱓ㜳㠶⤰_x0018_＀＀_x0018_＀＀_x0008_＀＀_x0001_＀＀_x0001_＀＀＀＀＀＀_xDC00_䂒폽䭯_x001E_千幘南彆䉅呉䅄䵟乇䰨䵔ⱓ㠳〵⤳_x0018_＀＀_x0018_＀＀_x0008_＀＀_x0001_＀＀_x0001_＀＀蠊蒕⑅䀹폼䭯_x0019_千幘南彆十䕓協儨剔㌬㜸㘷착_x0018_＀＀_x0018_＀＀_x0008_＀＀_x0001_＀＀_x0001_＀＀＀＀＀＀ꨀ䃗폼䭯_x0019_千幘南彆十䕓協儨剔㌬㤷㘸착_x0018_＀＀_x0018_＀＀_x0008_＀＀_x0001_＀＀_x0001_＀＀＀＀＀＀䀀䃕폺䭯_x001A_千幘南彆䕄呂卟⡔呑ⱒ㘳〴⤳_x0018_＀＀_x0018_＀＀_x0008_＀＀_x0001_＀＀_x0001_＀＀＀＀＀＀倀䂅퐍䭯;千幘南偟久䥓乏䅟卓呅当呏⡈㈱㈯〰⤳䍀彁䕐华偟呃佟䡔ㄨ⼲〲㌰착_x0018_＀＀_x0018_＀＀_x0008_＀＀_x0001_＀＀_x0001_＀＀＀＀＀＀＀＀䀀퐌䭯G千幘䅃偟协剔呅䍟协⡔㈱㈯〰ⰸⰬ唬䑓䀩南䡟呌䍈剁彅偎彐塅⡐㈱㈯〰ⰸⰬ唬䑓착_x0018_＀＀_x0018_＀＀_x0008_＀＀_x0001_＀＀_x0001_＀＀＀＀＀＀＀＀䀿폽䭯_x0019_千幘南彆䅓䕌⡓呌卍㌬ㄹ㈷착_x0018_＀＀_x0018_＀＀_x0008_＀＀_x0001_＀＀_x0001_＀＀＀＀＀＀_xDC80_䃂폺䭯_x001A_千幘南彆䅃䡓卟⡔呑ⱒ㜳㜷⤲_x0018_＀＀_x0018_＀＀_x0008_＀＀_x0001_＀＀_x0001_＀＀＀＀＀＀怀䁲폹䭯_x0012_千幘彐剐䍉⡅〴㔰⤶_x0018_＀＀_x0018_＀＀_x0008_＀＀_x0001_＀＀_x0001_＀＀＀＀＀＀䀀䁅퐌䭯H千幘䅃偟久当义彔佃呓ㄨ⼲〲㘰ⰬⰬ单⥄址当䕐华佉彎义彔佃呓ㄨ⼲〲㘰ⰬⰬ单⥄_x0018_＀＀_x0018_＀＀_x0008_＀＀_x0001_＀＀_x0001_＀＀＀＀＀＀䀀䁚퐂䭯_x001C_千幘捩彡敭湡偟䥔㈨〰ⰹ㤳㈶⤹_x0018_＀＀_x0018_＀＀_x0008_＀＀_x0001_＀＀_x0001_＀＀豀碵꼝쐕퐁䭯_x001C_千幘捩彡敭湡獟獬㈨〰ⰸ㤳㜱⤲_x0018_＀＀_x0018_＀＀_x0008_＀＀_x0001_＀＀_x0001_＀＀豀碵꼝쐕폾䭯_x001B_千幘南彆䕎彔义⡃呌卍㌬㌶ㄴ착_x0018_＀＀_x0018_＀＀_x0008_＀＀_x0001_＀＀_x0001_＀＀＀＀＀＀䀀䁾폾䭯_x001B_千幘南彆呐彘义⡃呌卍㐬〰㘵착_x0018_＀＀_x0018_＀＀_x0008_＀＀_x0001_＀＀_x0001_＀＀＀＀＀＀氀䂜폼䭯_x001E_千幘南彆䉅呉䅄䵟乇䰨䵔ⱓ㘳㘸⤰_x0018_＀＀_x0018_＀＀_x0008_＀＀_x0001_＀＀_x0001_＀＀钵偛ጔ䀮폻䭯_x001C_千幘南彆䡓䑌卒䕟⡑呑ⱒ㠳㠶⤶_x0018_＀＀_x0018_＀＀_x0008_＀＀_x0001_＀＀_x0001_＀＀＀＀＀＀刀䂾폺䭯_x001A_千幘南彆䕄呂䱟⡔呑ⱒ㜳〴⤷_x0018_＀＀_x0018_＀＀_x0008_＀＀_x0001_＀＀_x0001_＀＀＀＀＀＀_xD900_䂸퐍䭯'千幘南偟久偟协彔䕒彔䕂⡎㈱㈯〰ⰷⰬ唬䑓착_x0018_＀＀_x0018_＀＀_x0008_＀＀_x0001_＀＀_x0001_＀＀＀＀＀＀䀀䂁퐂䭯_x001C_千幘捩彡敭湡䕟卐㈨〰ⰰ㘳㘸⤰_x0018_＀＀_x0018_＀＀_x0008_＀＀_x0001_＀＀_x0001_＀＀豀碵꼝쐕폾䭯_x001B_千幘南彆偅当䥄⡌呌卍㌬㌶ㄱ착_x0018_＀＀_x0018_＀＀_x0008_＀＀_x0001_＀＀_x0001_＀＀饰旓넱㿳폾䭯_x001B_千幘南彆䕎彔义⡃呌卍㌬ㄶㄹ착_x0018_＀＀_x0018_＀＀_x0008_＀＀_x0001_＀＀_x0001_＀＀＀＀＀＀저䂀폼䭯_x001C_千幘南彆䡓䑌卒䕟⡑呑ⱒ㤳㈷⤱_x0018_＀＀_x0018_＀＀_x0008_＀＀_x0001_＀＀_x0001_＀＀＀＀＀＀뺀䃀퐍䭯[千幘南剟久䅔彌偏䱟䕓䕟偘ㄨ⼲〲㈰ㄬ⼲〲㈰ⰬⰬ单⥄䍀彁呒剟久彔䥍彎塅⡐㈱㈯〰ⰲ㈱㈯〰ⰲⰬ唬䑓착_x0018_＀＀_x0018_＀＀_x0008_＀＀_x0001_＀＀_x0001_＀＀＀＀＀＀저䂂퐃䭯_x001C_千幘捩彡敭湡䕟卐㈨〰ⰸ㤳ㄱ⤳_x0018_＀＀_x0018_＀＀_x0008_＀＀_x0001_＀＀_x0001_＀＀豀碵꼝쐕퐃䭯_x001C_千幘捩彡敭湡䕟卐㈨〰ⰴ㜳㔹⤵_x0018_＀＀_x0018_＀＀_x0008_＀＀_x0001_＀＀_x0001_＀＀豀碵꼝쐕퐂䭯_x001C_千幘捩彡敭湡偟䥔㈨〰ⰷ㤳㔰⤱_x0018_＀＀_x0018_＀＀_x0008_＀＀_x0001_＀＀_x0001_＀＀豀碵꼝쐕퐂䭯_x001C_千幘捩彡敭湡偟䥔㈨〰ⰵ㠳㜴⤲_x0018_＀＀_x0018_＀＀_x0008_＀＀_x0001_＀＀_x0001_＀＀豀碵꼝쐕퐂䭯_x001C_千幘捩彡敭湡偟䥔㈨〰ⰴ㠳〱⤷_x0018_＀＀_x0018_＀＀_x0008_＀＀_x0001_＀＀_x0001_＀＀豀碵꼝쐕퐀䭯_x001B_千幘南彆䕎彔义⡃呌卍㌬㘸㘵착_x0018_＀＀_x0018_＀＀_x0008_＀＀_x0001_＀＀_x0001_＀＀＀＀＀＀⠀䂁폽䭯_x0019_千幘南彆䅓䕌⡓呌卍㌬㤹㐹착_x0018_＀＀_x0018_＀＀_x0008_＀＀_x0001_＀＀_x0001_＀＀＀＀＀＀ꦀ䃃퐍䭯;千幘南偟久䥓乏䅟卓呅当剐偏ㄨ⼲〲㌰䀩䅃偟久当䍐彔䕒ㄨ⼲〲㌰착_x0018_＀＀_x0018_＀＀_x0008_＀＀_x0001_＀＀_x0001_＀＀豀碵꼝쐕퐌䭯(千幘南䡟呌䍈剁彅乕彆䕂⡎㈱㈯〰ⰵⰬ唬䑓⤩＀＀＀＀퐌䭯＀Ｏ千幘南䡟呌䍈剁彅䵁剏彔䕓噒䍟协⡔㈱㈯〰ⰳⰬ唬䑓착_x0018_＀＀_x0018_＀＀_x0008_＀＀_x0001_＀＀_x0001_＀＀豀碵꼝쐕퐈䭯J千幘䅃偟久当䱐乁䅟呓ㄨ⼲〲㤰ⰬⰬ单⥄址当䕐华佉彎䅖彌十䕓協ㄨ⼲〲㤰ⰬⰬ单⥄_x0018_＀＀_x0018_＀＀_x0008_＀＀_x0001_＀＀_x0001_＀＀豀碵꼝쐕퐂䭯_x001C_千幘捩彡敭湡䕟卐㈨〰ⰱ㜳㄰⤱_x0018_＀＀_x0018_＀＀_x0008_＀＀_x0001_＀＀_x0001_＀＀豀碵꼝쐕퐁䭯_x001D_千幘捩彡敭湡䕟䥂⡔〲㤰㌬㘹ㄹ착_x0018_＀＀_x0018_＀＀_x0008_＀＀_x0001_＀＀_x0001_＀＀豀碵꼝쐕퐁䭯_x001E_千幘捩彡敭湡䕟䥂䑔㈨㄰ⰰ〴㈰⤵_x0018_＀＀_x0018_＀＀_x0008_＀＀_x0001_＀＀_x0001_＀＀豀碵꼝쐕퐀䭯_x001B_千幘南彆偅当䥄⡌呌卍㌬㐹㘱착_x0018_＀＀_x0018_＀＀_x0008_＀＀_x0001_＀＀_x0001_＀＀䞙惾맠䀅폹䭯_x0011_千幘浣獟獨㌨㘹ㄹ착_x0018_＀＀_x0018_＀＀_x0008_＀＀_x0001_＀＀_x0001_＀＀豀碵꼝쐕퐍䭯%千幘南䥟呎剟呁彅夵噁⡇㈱㈯〰ⰹⰬ唬䑓착_x0018_＀＀_x0018_＀＀_x0008_＀＀_x0001_＀＀_x0001_＀＀㎜뒢堷䀚퐌䭯P千幘䅃偟协剔呅偟䅌彎十彔久⡄㈱㈯〰ⰲⰬ唬䑓䀩南䡟呌䍈剁彅噆䅟卓呅ㄨ⼲〲㈰ⰬⰬ单⥄_x0018_＀＀_x0018_＀＀_x0008_＀＀_x0001_＀＀_x0001_＀＀豀碵꼝쐕퐁䭯_x001E_千幘捩彡敭湡䕟䥂䑔㈨〰ⰵ㠳㌵⤳_x0018_＀＀_x0018_＀＀_x0008_＀＀_x0001_＀＀_x0001_＀＀豀碵꼝쐕퐁䭯_x001C_千幘捩彡敭湡獟獬㈨〰ⰵ㠳ㄴ⤱_x0018_＀＀_x0018_＀＀_x0008_＀＀_x0001_＀＀_x0001_＀＀豀碵꼝쐕폽䭯_x0018_千幘南彆䉅呉䰨䵔ⱓ㠳㌱⤸_x0018_＀＀_x0018_＀＀_x0008_＀＀_x0001_＀＀_x0001_＀＀＀＀＀＀က䂆퐁䭯_x001D_千幘捩彡敭湡䕟䥂⡔〲㠰㌬㈹㌶착_x0018_＀＀_x0018_＀＀_x0008_＀＀_x0001_＀＀_x0001_＀＀豀碵꼝쐕퐁䭯_x001E_千幘捩彡敭湡䕟䥂䑔㈨〰ⰵ㠳㠳⤳_x0018_＀＀_x0018_＀＀_x0008_＀＀_x0001_＀＀_x0001_＀＀豀碵꼝쐕폼䭯_x0019_千幘南彆䅓䕌⡓呌卍㌬㜶㜰착_x0018_＀＀_x0018_＀＀_x0008_＀＀_x0001_＀＀_x0001_＀＀＀＀＀＀莀䃃폼䭯_x0019_千幘南彆十䕓協儨剔㌬㌶ㄱ착_x0018_＀＀_x0018_＀＀_x0008_＀＀_x0001_＀＀_x0001_＀＀＀＀＀＀ᅀ䃔퐌䭯,千幘䅃偟协剔呅䕟偍䍟乏剔䉉䍟ㄨ⼲〲㜰ⰬⰬ单⥄_x0018_＀＀_x0018_＀＀_x0008_＀＀_x0001_＀＀_x0001_＀＀豀碵꼝쐕䮋 刣晥敲桳帣南䕟䍘彈䅒䕔䥟䍎䍟⡆⤰_x0018_＀＀_x0018_＀＀_x0008_＀＀_x0001_＀＀_x0001_＀＀豀碵꼝쐕퐂䭯_x001C_千幘捩彡敭湡偟䥔㈨〰ⰲ㜳㘵⤰_x0018_＀＀_x0018_＀＀_x0008_＀＀_x0001_＀＀_x0001_＀＀豀碵꼝쐕퐁䭯_x001E_千幘捩彡敭湡䕟䥂䑔㈨〰ⰹ㤳㜴⤸_x0018_＀＀_x0018_＀＀_x0008_＀＀_x0001_＀＀_x0001_＀＀豀碵꼝쐕퐁䭯_x001E_千幘捩彡敭湡䕟䥂䑔㈨〰ⰹ〴ㄱ⤷_x0018_＀＀_x0018_＀＀_x0008_＀＀_x0001_＀＀_x0001_＀＀豀碵꼝쐕폼䭯_x0019_千幘南彆十䕓協儨剔㌬㐹㘱착_x0018_＀＀_x0018_＀＀_x0008_＀＀_x0001_＀＀_x0001_＀＀＀＀＀＀ŀ䃙폻䭯_x001C_千幘南彆䡓䑌卒䕟⡑呑ⱒ㜳㄰⤱_x0018_＀＀_x0018_＀＀_x0008_＀＀_x0001_＀＀_x0001_＀＀＀＀＀＀堀䂷퐍䭯;千幘南偟久䥓乏䅟卓呅当充䥕ㄨ⼲〲㐰䀩䅃偟久当䍐彔充ㄨ⼲〲㐰착_x0018_＀＀_x0018_＀＀_x0008_＀＀_x0001_＀＀_x0001_＀＀＀＀＀＀耀䁍鮺䯂_x0016_千幘彐剐䍉Ņㄠ㌯⼱〲〱_x0018_＀＀_x0018_＀＀_x0008_＀＀_x0001_＀＀_x0001_＀＀䞮竡渔䁅퐀䭯_x001E_千幘捩彡敭湡䕟䥂䑔㈨〰ⰲ㜳㈶⤱_x0018_＀＀_x0018_＀＀_x0008_＀＀_x0001_＀＀_x0001_＀＀豀碵꼝쐕폼䭯_x0019_千幘南彆䅓䕌⡓呌卍㌬㐶㐹착_x0018_＀＀_x0018_＀＀_x0008_＀＀_x0001_＀＀_x0001_＀＀＀＀＀＀꜀䃄폻䭯_x001A_千幘南彆䕄呂䱟⡔呑ⱒ㤳㤶⤱_x0018_＀＀_x0018_＀＀_x0008_＀＀_x0001_＀＀_x0001_＀＀＀＀＀＀䂼폻䭯_x001A_千幘南彆䅃䡓卟⡔呑ⱒ㤳〲⤲_x0018_＀＀_x0018_＀＀_x0008_＀＀_x0001_＀＀_x0001_＀＀＀＀＀＀䠀䂍폹䭯_x0012_千幘彐剐䍉⡅㠳㘵⤴_x0018_＀＀_x0018_＀＀_x0008_＀＀_x0001_＀＀_x0001_＀＀롑씞䀶폹䭯_x0011_千幘浣獟獨㌨㌶ㄴ착_x0018_＀＀_x0018_＀＀_x0008_＀＀_x0001_＀＀_x0001_＀＀豀碵꼝쐕퐁䭯_x001E_千幘捩彡敭湡䕟䥂䑔㈨〰ⰹ㤳㘶⤰_x0018_＀＀_x0018_＀＀_x0008_＀＀_x0001_＀＀_x0001_＀＀豀碵꼝쐕폾䭯_x001B_千幘南彆呐彘义⡃呌卍㌬㔸㐶착_x0018_＀＀_x0018_＀＀_x0008_＀＀_x0001_＀＀_x0001_＀＀＀＀＀＀倀䂊폹䭯_x0011_千幘浣獟獨㌨ㄶㄹ착_x0018_＀＀_x0018_＀＀_x0008_＀＀_x0001_＀＀_x0001_＀＀豀碵꼝쐕폹䭯_x001D_千幘捩彡敭湡䕟䥂⡔〲㌰㌬㜷㈷착_x0018_＀＀_x0018_＀＀_x0008_＀＀_x0001_＀＀_x0001_＀＀豀碵꼝쐕퐃䭯_x001C_千幘捩彡敭湡䕟卐㈨〰ⰷ㤳㤲⤴_x0018_＀＀_x0018_＀＀_x0008_＀＀_x0001_＀＀_x0001_＀＀豀碵꼝쐕퐂䭯_x001C_千幘捩彡敭湡偟䥔㈨〰ⰵ㠳㜰⤷_x0018_＀＀_x0018_＀＀_x0008_＀＀_x0001_＀＀_x0001_＀＀豀碵꼝쐕폽䭯_x0019_千幘南彆䅓䕌⡓呌卍㌬㔹㤹착_x0018_＀＀_x0018_＀＀_x0008_＀＀_x0001_＀＀_x0001_＀＀＀＀＀＀⢀䃄폻䭯_x001C_千幘南彆䡓䑌卒䕟⡑呑ⱒ㜳㌸⤳_x0018_＀＀_x0018_＀＀_x0008_＀＀_x0001_＀＀_x0001_＀＀＀＀＀＀␀䂹폹䭯_x0011_千幘浣獟獨㌨㘸㘵착_x0018_＀＀_x0018_＀＀_x0008_＀＀_x0001_＀＀_x0001_＀＀豀碵꼝쐕퐍䭯(千幘南偟久䥓乏䅟卓呅当呌ㄨ⼲〲㔰ⰬⰬ单⥄_x0018_＀＀_x0018_＀＀_x0008_＀＀_x0001_＀＀_x0001_＀＀豀碵꼝쐕퐁䭯_x001C_千幘捩彡敭湡獟獬㈨〰ⰸ㤳㤵⤹_x0018_＀＀_x0018_＀＀_x0008_＀＀_x0001_＀＀_x0001_＀＀豀碵꼝쐕폾䭯_x0018_千幘南彆䉅呉䰨䵔ⱓ㤳㠷⤲_x0018_＀＀_x0018_＀＀_x0008_＀＀_x0001_＀＀_x0001_＀＀＀＀＀＀ᰀ䂦폽䭯_x001E_千幘南彆䉅呉䅄䵟乇䰨䵔ⱓ〴〲⤹_x0018_＀＀_x0018_＀＀_x0008_＀＀_x0001_＀＀_x0001_＀＀ﻗ줟䁁폽䭯_x0019_千幘南彆䅓䕌⡓呌卍㌬㠹㐴착_x0018_＀＀_x0018_＀＀_x0008_＀＀_x0001_＀＀_x0001_＀＀＀＀＀＀ﮀ䃅폻䭯_x001C_千幘南彆䡓䑌卒䕟⡑呑ⱒ㤳㘲⤳_x0018_＀＀_x0018_＀＀_x0008_＀＀_x0001_＀＀_x0001_＀＀＀＀＀＀ఀ䃂퐁䭯_x001E_千幘捩彡敭湡䕟䥂䑔㈨〰ⰵ㠳㌱⤸_x0018_＀＀_x0018_＀＀_x0008_＀＀_x0001_＀＀_x0001_＀＀豀碵꼝쐕퐀䭯_x001C_千幘捩彡敭湡獟獬㈨〰ⰳ㜳㌴⤷_x0018_＀＀_x0018_＀＀_x0008_＀＀_x0001_＀＀_x0001_＀＀豀碵꼝쐕폾䭯_x001B_千幘南彆偅当䥄⡌呌卍㌬㜶㠳착_x0018_＀＀_x0018_＀＀_x0008_＀＀_x0001_＀＀_x0001_＀＀䶔승岻뿀폺䭯_x001A_千幘南彆䕄呂卟⡔呑ⱒ㜳〸⤲_x0018_＀＀_x0018_＀＀_x0008_＀＀_x0001_＀＀_x0001_＀＀＀＀＀＀⠀䂔퐍䭯 千幘南䕟䍘彈䅒䕔䉟䱁卟⡈㈱㈯〰⤵_x0018_＀＀_x0018_＀＀_x0008_＀＀_x0001_＀＀_x0001_＀＀豀碵꼝쐕퐌䭯J千幘䅃偟协剔呅剟䅏䅟呃ㄨ⼲〲㈰ⰬⰬ单⥄址当䱈䡔䅃䕒䅟呃剟䅏ㄨ⼲〲㈰ⰬⰬ单⥄_x0018_＀＀_x0018_＀＀_x0008_＀＀_x0001_＀＀_x0001_＀＀豀碵꼝쐕퐈䭯&lt;千幘䅃偟久当䥄䍓剟呁⡅㈱㈯〰⤹址当䕐华佉彎䥄䍓剟呁⡅㈱㈯〰⤹_x0018_＀＀_x0018_＀＀_x0008_＀＀_x0001_＀＀_x0001_＀＀豀碵꼝쐕퐂䭯_x001C_千幘捩彡敭湡偟䥔㈨〰ⰳ㜳㠶⤰_x0018_＀＀_x0018_＀＀_x0008_＀＀_x0001_＀＀_x0001_＀＀豀碵꼝쐕퐀䭯_x001B_千幘南彆䕎彔义⡃呌卍㌬㈹㌳착_x0018_＀＀_x0018_＀＀_x0008_＀＀_x0001_＀＀_x0001_＀＀＀＀＀＀搀䂔퐀䭯_x001B_千幘南彆偅当䥄⡌呌卍㌬ㄸ㠶착_x0018_＀＀_x0018_＀＀_x0008_＀＀_x0001_＀＀_x0001_＀＀䆉⋐㿙폽䭯_x001E_千幘南彆䉅呉䅄䵟乇䰨䵔ⱓ㤳㔷⤲_x0018_＀＀_x0018_＀＀_x0008_＀＀_x0001_＀＀_x0001_＀＀ꎭ簓뉐䁀폺䭯_x001A_千幘南彆䕄呂卟⡔呑ⱒ㠳㐴⤲_x0018_＀＀_x0018_＀＀_x0008_＀＀_x0001_＀＀_x0001_＀＀＀＀＀＀頀䂌폺䭯_x001A_千幘南彆䕄呂卟⡔呑ⱒ㜳㔶⤲_x0018_＀＀_x0018_＀＀_x0008_＀＀_x0001_＀＀_x0001_＀＀＀＀＀＀뀀䂀폺䭯_x001A_千幘南彆䕄呂䱟⡔呑ⱒ㘳㐳⤱_x0018_＀＀_x0018_＀＀_x0008_＀＀_x0001_＀＀_x0001_＀＀＀＀＀＀鬀䂹퐌䭯＀Ｏ千幘南䡟呌䍈剁彅䵁剏彔䕓噒䍟协⡔㈱㈯〰ⰹⰬ唬䑓착_x0018_＀＀_x0018_＀＀_x0008_＀＀_x0001_＀＀_x0001_＀＀豀碵꼝쐕퐁䭯_x001D_千幘捩彡敭湡䕟䥂⡔〲㠰㌬ㄹ㌱착_x0018_＀＀_x0018_＀＀_x0008_＀＀_x0001_＀＀_x0001_＀＀豀碵꼝쐕폿䭯_x001B_千幘南彆䕎彔义⡃呌卍㌬㤶〵착_x0018_＀＀_x0018_＀＀_x0008_＀＀_x0001_＀＀_x0001_＀＀＀＀＀＀䀀䁧폻䭯_x001A_千幘南彆䕄呂卟⡔呑ⱒ㤳㠰⤲_x0018_＀＀_x0018_＀＀_x0008_＀＀_x0001_＀＀_x0001_＀＀＀＀＀＀쀀䂂폺䭯_x001A_千幘南彆䕄呂䱟⡔呑ⱒ㘳㤱⤱_x0018_＀＀_x0018_＀＀_x0008_＀＀_x0001_＀＀_x0001_＀＀＀＀＀＀ 䂹폹䭯_x001D_千幘捩彡敭湡䕟䥂⡔〲㐰㌬㤷㔵착_x0018_＀＀_x0018_＀＀_x0008_＀＀_x0001_＀＀_x0001_＀＀豀碵꼝쐕퐃䭯_x001C_千幘捩彡敭湡䕟卐㈨〰ⰶ㠳㤸⤸_x0018_＀＀_x0018_＀＀_x0008_＀＀_x0001_＀＀_x0001_＀＀豀碵꼝쐕퐀䭯_x001E_千幘捩彡敭湡䕟䥂䑔㈨〰ⰳ㜳㐷⤱_x0018_＀＀_x0018_＀＀_x0008_＀＀_x0001_＀＀_x0001_＀＀豀碵꼝쐕퐀䭯_x001B_千幘南彆䕎彔义⡃呌卍㌬㔷〹착_x0018_＀＀_x0018_＀＀_x0008_＀＀_x0001_＀＀_x0001_＀＀＀＀＀＀뀀䁸폺䭯_x001A_千幘南彆䕄呂䱟⡔呑ⱒ㠳㔶⤶_x0018_＀＀_x0018_＀＀_x0008_＀＀_x0001_＀＀_x0001_＀＀＀＀＀＀숀䂳폹䭯_x0012_千幘彐剐䍉⡅㜳㈵⤹_x0018_＀＀_x0018_＀＀_x0008_＀＀_x0001_＀＀_x0001_＀＀竡긔慇䀪퐂䭯_x001C_千幘捩彡敭湡䕟卐㈨〰ⰱ㘳㠵⤵_x0018_＀＀_x0018_＀＀_x0008_＀＀_x0001_＀＀_x0001_＀＀豀碵꼝쐕퐀䭯_x001B_千幘南彆偅当䥄⡌呌卍㌬㔷〶착_x0018_＀＀_x0018_＀＀_x0008_＀＀_x0001_＀＀_x0001_＀＀쭨ᒹ镗㿭폾䭯_x001B_千幘南彆呐彘义⡃呌卍㌬㔷㤲착_x0018_＀＀_x0018_＀＀_x0008_＀＀_x0001_＀＀_x0001_＀＀＀＀＀＀⠀䂄폼䭯_x0019_千幘南彆十䕓協儨剔㌬㜶㠳착_x0018_＀＀_x0018_＀＀_x0008_＀＀_x0001_＀＀_x0001_＀＀＀＀＀＀䃓폺䭯_x001A_千幘南彆䅃䡓卟⡔呑ⱒ㠳㄰⤷_x0018_＀＀_x0018_＀＀_x0008_＀＀_x0001_＀＀_x0001_＀＀＀＀＀＀＀＀䁷퐌䭯+千幘䅃偟协剔呅偟剁彔佃呎䥒⡂㈱㈯〰ⰵⰬ唬䑓착_x0018_＀＀_x0018_＀＀_x0008_＀＀_x0001_＀＀_x0001_＀＀豀碵꼝쐕퐂䭯_x001C_千幘捩彡敭湡䕟卐㈨〰ⰱ㘳㌸⤰_x0018_＀＀_x0018_＀＀_x0008_＀＀_x0001_＀＀_x0001_＀＀豀碵꼝쐕폽䭯_x0018_千幘南彆䉅呉䰨䵔ⱓ㜳㜰⤲_x0018_＀＀_x0018_＀＀_x0008_＀＀_x0001_＀＀_x0001_＀＀＀＀＀＀㠀䂍폼䭯_x0019_千幘南彆䅓䕌⡓呌卍㌬ㄷ㐳착_x0018_＀＀_x0018_＀＀_x0008_＀＀_x0001_＀＀_x0001_＀＀＀＀＀＀䂿폼䭯_x0019_千幘南彆十䕓協儨剔㌬ㄸ㠶착_x0018_＀＀_x0018_＀＀_x0008_＀＀_x0001_＀＀_x0001_＀＀＀＀＀＀䃕퐌䭯#千幘䅃偟协剔呅䱟䅉⡂㈱㈯〰ⰳⰬ唬䑓착_x0018_＀＀_x0018_＀＀_x0008_＀＀_x0001_＀＀_x0001_＀＀豀碵꼝쐕퐂䭯_x001C_千幘捩彡敭湡偟䥔㈨〰ⰶ㠳㐴⤲_x0018_＀＀_x0018_＀＀_x0008_＀＀_x0001_＀＀_x0001_＀＀豀碵꼝쐕폺䭯_x001A_千幘南彆䅃䡓卟⡔呑ⱒ㜳㘱⤴_x0018_＀＀_x0018_＀＀_x0008_＀＀_x0001_＀＀_x0001_＀＀＀＀＀＀耀䂂폹䭯_x0012_千幘彐剐䍉⡅㜳ㄷ⤱_x0018_＀＀_x0018_＀＀_x0008_＀＀_x0001_＀＀_x0001_＀＀롑蔞䀬퐃䭯_x001C_千幘捩彡敭湡䕟卐㈨〰ⰳ㜳㠹⤶_x0018_＀＀_x0018_＀＀_x0008_＀＀_x0001_＀＀_x0001_＀＀豀碵꼝쐕퐂䭯_x001C_千幘捩彡敭湡偟䥔㈨〰ⰶ㤳㠰⤲_x0018_＀＀_x0018_＀＀_x0008_＀＀_x0001_＀＀_x0001_＀＀豀碵꼝쐕퐁䭯_x001C_千幘捩彡敭湡獟獬㈨〰ⰹ㤳㘹⤴_x0018_＀＀_x0018_＀＀_x0008_＀＀_x0001_＀＀_x0001_＀＀豀碵꼝쐕폾䭯_x001B_千幘南彆呐彘义⡃呌卍㌬㜷ㄱ착_x0018_＀＀_x0018_＀＀_x0008_＀＀_x0001_＀＀_x0001_＀＀＀＀＀＀䠀䂆폼䭯_x001E_千幘南彆䉅呉䅄䵟乇䰨䵔ⱓ㜳㐰⤲_x0018_＀＀_x0018_＀＀_x0008_＀＀_x0001_＀＀_x0001_＀＀灊芃뉘䀱폻䭯_x001A_千幘南彆䅃䡓卟⡔呑ⱒ㤳㈶⤹_x0018_＀＀_x0018_＀＀_x0008_＀＀_x0001_＀＀_x0001_＀＀＀＀＀＀᐀䂗폹䭯_x0012_千幘彐剐䍉⡅㤳㐱⤱_x0018_＀＀_x0018_＀＀_x0008_＀＀_x0001_＀＀_x0001_＀＀슏⣵콜䁂퐁䭯_x001E_千幘捩彡敭湡䕟䥂䑔㈨〰ⰶ㠳〵⤳_x0018_＀＀_x0018_＀＀_x0008_＀＀_x0001_＀＀_x0001_＀＀豀碵꼝쐕퐀䭯_x001C_千幘捩彡敭湡獟獬㈨〰ⰴ㜳〸⤲_x0018_＀＀_x0018_＀＀_x0008_＀＀_x0001_＀＀_x0001_＀＀豀碵꼝쐕폾䭯_x001B_千幘南彆呐彘义⡃呌卍㌬ㄹㄴ착_x0018_＀＀_x0018_＀＀_x0008_＀＀_x0001_＀＀_x0001_＀＀＀＀＀＀᠀䂝폽䭯_x0018_千幘南彆䉅呉䰨䵔ⱓ㜳㤸⤴_x0018_＀＀_x0018_＀＀_x0008_＀＀_x0001_＀＀_x0001_＀＀＀＀＀＀堀䂇폽䭯_x001E_千幘南彆䉅呉䅄䵟乇䰨䵔ⱓ㤳〵⤷_x0018_＀＀_x0018_＀＀_x0008_＀＀_x0001_＀＀_x0001_＀＀혤Ⳬ㧰䁀폽䭯_x001E_千幘南彆䉅呉䅄䵟乇䰨䵔ⱓ㠳ㄷ⤷_x0018_＀＀_x0018_＀＀_x0008_＀＀_x0001_＀＀_x0001_＀＀갻y반䀺폼䭯_x0019_千幘南彆十䕓協儨剔㌬㔷〶착_x0018_＀＀_x0018_＀＀_x0008_＀＀_x0001_＀＀_x0001_＀＀＀＀＀＀血䃔폻䭯_x001C_千幘南彆䡓䑌卒䕟⡑呑ⱒ㤳ㄱ⤳_x0018_＀＀_x0018_＀＀_x0008_＀＀_x0001_＀＀_x0001_＀＀＀＀＀＀眀䃁폻䭯_x001C_千幘南彆䡓䑌卒䕟⡑呑ⱒ㘳㠵⤵_x0018_＀＀_x0018_＀＀_x0008_＀＀_x0001_＀＀_x0001_＀＀＀＀＀＀簀䂶폺䭯_x001A_千幘南彆䕄呂卟⡔呑ⱒ㜳〴⤷_x0018_＀＀_x0018_＀＀_x0008_＀＀_x0001_＀＀_x0001_＀＀＀＀＀＀쀀䂍퐁䭯_x001C_千幘捩彡敭湡獟獬㈨〰ⰶ㤳㈰⤱_x0018_＀＀_x0018_＀＀_x0008_＀＀_x0001_＀＀_x0001_＀＀豀碵꼝쐕퐀䭯_x001C_千幘捩彡敭湡獟獬㈨〰ⰴ㜳㔶⤲_x0018_＀＀_x0018_＀＀_x0008_＀＀_x0001_＀＀_x0001_＀＀豀碵꼝쐕폽䭯_x0019_千幘南彆䅓䕌⡓呌卍㌬㌹㘸착_x0018_＀＀_x0018_＀＀_x0008_＀＀_x0001_＀＀_x0001_＀＀＀＀＀＀㲀䃃폻䭯_x001C_千幘南彆䡓䑌卒䕟⡑呑ⱒ㘳㌸⤰_x0018_＀＀_x0018_＀＀_x0008_＀＀_x0001_＀＀_x0001_＀＀＀＀＀＀鴀䂷폺䭯_x001A_千幘南彆䅃䡓卟⡔呑ⱒ㠳㜷⤶_x0018_＀＀_x0018_＀＀_x0008_＀＀_x0001_＀＀_x0001_＀＀＀＀＀＀퀀䂂폺䭯_x001A_千幘南彆䅃䡓卟⡔呑ⱒ㜳㠹⤶_x0018_＀＀_x0018_＀＀_x0008_＀＀_x0001_＀＀_x0001_＀＀＀＀＀＀＀＀䁷폹䭯_x0011_千幘浣獟獨㌨㈹㌳착_x0018_＀＀_x0018_＀＀_x0008_＀＀_x0001_＀＀_x0001_＀＀豀碵꼝쐕퐍䭯%千幘䅃偟久当啃归䥌䉁⡓㈱㈯〰ⰵⰬ唬䑓착_x0018_＀＀_x0018_＀＀_x0008_＀＀_x0001_＀＀_x0001_＀＀豀碵꼝쐕퐁䭯_x001D_千幘捩彡敭湡䕟䥂⡔〲㜰㌬㈹㐹착_x0018_＀＀_x0018_＀＀_x0008_＀＀_x0001_＀＀_x0001_＀＀豀碵꼝쐕퐁䭯_x001C_千幘捩彡敭湡獟獬㈨〰ⰸ㤳㠳⤶_x0018_＀＀_x0018_＀＀_x0008_＀＀_x0001_＀＀_x0001_＀＀豀碵꼝쐕폽䭯_x0019_千幘南彆䅓䕌⡓呌卍㐬〰㔲착_x0018_＀＀_x0018_＀＀_x0008_＀＀_x0001_＀＀_x0001_＀＀＀＀＀＀ꦀ䃃폽䭯_x001E_千幘南彆䉅呉䅄䵟乇䰨䵔ⱓ㜳㘸⤴_x0018_＀＀_x0018_＀＀_x0008_＀＀_x0001_＀＀_x0001_＀＀͝㝦ᾅ䀶폻䭯_x001C_千幘南彆䡓䑌卒䕟⡑呑ⱒ㠳㘲⤰_x0018_＀＀_x0018_＀＀_x0008_＀＀_x0001_＀＀_x0001_＀＀＀＀＀＀됀䂺폹䭯_x0011_千幘浣獟獨㌨㤶〵착_x0018_＀＀_x0018_＀＀_x0008_＀＀_x0001_＀＀_x0001_＀＀豀碵꼝쐕퐂䭯_x001C_千幘捩彡敭湡偟䥔㈨㄰ⰰ〴㜱⤸_x0018_＀＀_x0018_＀＀_x0008_＀＀_x0001_＀＀_x0001_＀＀豀碵꼝쐕폿䭯_x001B_千幘南彆偅当䥄⡌呌卍㌬㌷㔱착_x0018_＀＀_x0018_＀＀_x0008_＀＀_x0001_＀＀_x0001_＀＀긔ᑺ㿦폿䭯_x001B_千幘南彆䕎彔义⡃呌卍㌬ㄷ㔹착_x0018_＀＀_x0018_＀＀_x0008_＀＀_x0001_＀＀_x0001_＀＀＀＀＀＀쀀䁰폾䭯_x001B_千幘南彆偅当䥄⡌呌卍㌬㔶㔲착_x0018_＀＀_x0018_＀＀_x0008_＀＀_x0001_＀＀_x0001_＀＀㵱휊炣㾽폽䭯_x001E_千幘南彆䉅呉䅄䵟乇䰨䵔ⱓ㤳㤲⤴_x0018_＀＀_x0018_＀＀_x0008_＀＀_x0001_＀＀_x0001_＀＀◍퓵醖䀿폹䭯_x0011_千幘浣獟獨㌨㔷〹착_x0018_＀＀_x0018_＀＀_x0008_＀＀_x0001_＀＀_x0001_＀＀豀碵꼝쐕퐃䭯_x001C_千幘捩彡敭湡䕟卐㈨〰ⰹ〴㠰⤶_x0018_＀＀_x0018_＀＀_x0008_＀＀_x0001_＀＀_x0001_＀＀豀碵꼝쐕퐃䭯_x001C_千幘捩彡敭湡䕟卐㈨〰ⰶ㠳㐷⤸_x0018_＀＀_x0018_＀＀_x0008_＀＀_x0001_＀＀_x0001_＀＀豀碵꼝쐕퐂䭯_x001C_千幘捩彡敭湡䕟卐㈨〰ⰲ㘳㔹⤰_x0018_＀＀_x0018_＀＀_x0008_＀＀_x0001_＀＀_x0001_＀＀豀碵꼝쐕퐂䭯_x001C_千幘捩彡敭湡偟䥔㈨〰ⰵ㠳㠶⤶_x0018_＀＀_x0018_＀＀_x0008_＀＀_x0001_＀＀_x0001_＀＀豀碵꼝쐕퐀䭯_x001B_千幘南彆䕎彔义⡃呌卍㌬㈸〳착_x0018_＀＀_x0018_＀＀_x0008_＀＀_x0001_＀＀_x0001_＀＀＀＀＀＀ 䁥퐃䭯_x001C_千幘捩彡敭湡䕟卐㈨〰ⰲ㜳㤵⤰_x0018_＀＀_x0018_＀＀_x0008_＀＀_x0001_＀＀_x0001_＀＀豀碵꼝쐕퐂䭯_x001C_千幘捩彡敭湡䕟卐㈨〰ⰱ㜳㈲⤵_x0018_＀＀_x0018_＀＀_x0008_＀＀_x0001_＀＀_x0001_＀＀豀碵꼝쐕퐁䭯_x001C_千幘捩彡敭湡獟獬㈨㄰ⰰ〴ㄱ⤷_x0018_＀＀_x0018_＀＀_x0008_＀＀_x0001_＀＀_x0001_＀＀豀碵꼝쐕폼䭯_x001C_千幘南彆䡓䑌卒䕟⡑呑ⱒ㤳㜸⤲_x0018_＀＀_x0018_＀＀_x0008_＀＀_x0001_＀＀_x0001_＀＀＀＀＀＀瀀䂿퐍䭯&lt;千幘南偟久䥓乏䅟卓呅当佂䑎⡓㈱㈯〰⤵䍀彁䕐华偟呃䙟⡉㈱㈯〰⤵_x0018_＀＀_x0018_＀＀_x0008_＀＀_x0001_＀＀_x0001_＀＀＀＀＀＀耀䁃퐌䭯J千幘䅃偟久当佒彁䅒䕔ㄨ⼲〲㜰ⰬⰬ单⥄址当䕐华佉彎塅彐呌剟䅏ㄨ⼲〲㜰ⰬⰬ单⥄_x0018_＀＀_x0018_＀＀_x0008_＀＀_x0001_＀＀_x0001_＀＀＀＀＀＀＀＀䀡䮋1刣晥敲桳帣南䍟問呎奒也䵁⡅⤰䍀彁佃䥟䍎剏彐呃奒〨착_x0014_＀＀_x0018_＀＀_x0004_＀＀_x0001_＀＀_x0008_＀＀乀A퐁䭯_x001E_千幘捩彡敭湡䕟䥂䑔㈨〰ⰸ㤳㤶⤱_x0018_＀＀_x0018_＀＀_x0008_＀＀_x0001_＀＀_x0001_＀＀豀碵꼝쐕퐁䭯_x001C_千幘捩彡敭湡獟獬㈨〰ⰶ㠳㤹⤰_x0018_＀＀_x0018_＀＀_x0008_＀＀_x0001_＀＀_x0001_＀＀豀碵꼝쐕퐁䭯_x001C_千幘捩彡敭湡獟獬㈨〰ⰵ㠳㈶⤵_x0018_＀＀_x0018_＀＀_x0008_＀＀_x0001_＀＀_x0001_＀＀豀碵꼝쐕폻䭯_x001A_千幘南彆䕄呂䱟⡔呑ⱒ㤳㌲⤳_x0018_＀＀_x0018_＀＀_x0008_＀＀_x0001_＀＀_x0001_＀＀＀＀＀＀㸀䂴퐌䭯'千幘䅃偟协剔呅䉟久偟䥁⡄㈱㈯〰ⰵⰬ唬䑓착_x0018_＀＀_x0018_＀＀_x0008_＀＀_x0001_＀＀_x0001_＀＀豀碵꼝쐕퐌䭯M千幘䅃偟协剔呅卟噒䍟协⡔㈱㈯〰ⰲⰬ唬䑓䀩南䡟呌䍈剁彅䕓噒䍟协⡔㈱㈯〰ⰲⰬ唬䑓착_x0018_＀＀_x0018_＀＀_x0008_＀＀_x0001_＀＀_x0001_＀＀＀＀＀＀＀＀䀦퐁䭯_x001D_千幘捩彡敭湡䕟䥂⡔〲㘰㌬㠸㠹착_x0018_＀＀_x0018_＀＀_x0008_＀＀_x0001_＀＀_x0001_＀＀豀碵꼝쐕폼䭯_x0019_千幘南彆十䕓協儨剔㌬㌷㔱착_x0018_＀＀_x0018_＀＀_x0008_＀＀_x0001_＀＀_x0001_＀＀＀＀＀＀偀䃔폼䭯_x0019_千幘南彆十䕓協儨剔㌬㔶㔲착_x0018_＀＀_x0018_＀＀_x0008_＀＀_x0001_＀＀_x0001_＀＀＀＀＀＀㰀䃔폺䭯_x001A_千幘南彆䕄呂䱟⡔呑ⱒ㘳㔹⤰_x0018_＀＀_x0018_＀＀_x0008_＀＀_x0001_＀＀_x0001_＀＀＀＀＀＀눀䂶퐄䭯_x001F_刣晥敲桳帣䅃偟久当佃偍剟呁⡅䅎착_x0018_＀＀_x0018_＀＀_x0008_＀＀_x0001_＀＀_x0001_＀＀豀碵꼝쐕퐁䭯_x001E_千幘捩彡敭湡䕟䥂䑔㈨〰ⰷ㤳㘲⤳_x0018_＀＀_x0018_＀＀_x0008_＀＀_x0001_＀＀_x0001_＀＀豀碵꼝쐕퐁䭯_x001C_千幘捩彡敭湡獟獬㈨〰ⰷ㤳㐱⤱_x0018_＀＀_x0018_＀＀_x0008_＀＀_x0001_＀＀_x0001_＀＀豀碵꼝쐕퐀䭯_x001B_千幘南彆䕎彔义⡃呌卍㐬〰㘸착_x0018_＀＀_x0018_＀＀_x0008_＀＀_x0001_＀＀_x0001_＀＀＀＀＀＀밀䂐폽䭯_x0018_千幘南彆䉅呉䰨䵔ⱓ㜳㤴⤹_x0018_＀＀_x0018_＀＀_x0008_＀＀_x0001_＀＀_x0001_＀＀＀＀＀＀䂐폻䭯_x001A_千幘南彆䕄呂卟⡔呑ⱒ㤳㤶⤱_x0018_＀＀_x0018_＀＀_x0008_＀＀_x0001_＀＀_x0001_＀＀＀＀＀＀䀀䂂폺䭯_x001A_千幘南彆䕄呂䱟⡔呑ⱒ㜳㤵⤰_x0018_＀＀_x0018_＀＀_x0008_＀＀_x0001_＀＀_x0001_＀＀＀＀＀＀∀䂹폺䭯_x001A_千幘南彆䅃䡓卟⡔呑ⱒ㘳ㄳ⤱_x0018_＀＀_x0018_＀＀_x0008_＀＀_x0001_＀＀_x0001_＀＀＀＀＀＀　䂁퐌䭯#千幘䅃偟协剔呅䱟䅉⡂㈱㈯〰ⰹⰬ唬䑓착_x0018_＀＀_x0018_＀＀_x0008_＀＀_x0001_＀＀_x0001_＀＀豀碵꼝쐕퐀䭯_x001C_千幘捩彡敭湡獟獬㈨〰ⰲ㜳㘴⤸_x0018_＀＀_x0018_＀＀_x0008_＀＀_x0001_＀＀_x0001_＀＀豀碵꼝쐕퐀䭯_x001B_千幘南彆偅当䥄⡌呌卍㐬〰㘵착_x0018_＀＀_x0018_＀＀_x0008_＀＀_x0001_＀＀_x0001_＀＀ⵢԾ磀䀇폻䭯_x001C_千幘南彆䡓䑌卒䕟⡑呑ⱒ㜳㈲⤵_x0018_＀＀_x0018_＀＀_x0008_＀＀_x0001_＀＀_x0001_＀＀＀＀＀＀䂷퐍䭯$千幘䅃偟久当䕂彎䅐䑉ㄨ⼲〲㘰ⰬⰬ单⥄_x0018_＀＀_x0018_＀＀_x0008_＀＀_x0001_＀＀_x0001_＀＀豀碵꼝쐕퐃䭯_x001C_千幘捩彡敭湡䕟卐㈨〰ⰵ㠳㔳⤲_x0018_＀＀_x0018_＀＀_x0008_＀＀_x0001_＀＀_x0001_＀＀豀碵꼝쐕폻䭯_x001A_千幘南彆䅃䡓卟⡔呑ⱒ㤳ㄴ⤶_x0018_＀＀_x0018_＀＀_x0008_＀＀_x0001_＀＀_x0001_＀＀＀＀＀＀倀䂓폹䭯_x0012_千幘彐剐䍉⡅㤳㘵⤸_x0018_＀＀_x0018_＀＀_x0008_＀＀_x0001_＀＀_x0001_＀＀馚香禙䁏퐃䭯_x001C_千幘捩彡敭湡䕟卐㈨〰ⰷ㠳㘸⤸_x0018_＀＀_x0018_＀＀_x0008_＀＀_x0001_＀＀_x0001_＀＀豀碵꼝쐕퐀䭯_x001E_千幘捩彡敭湡䕟䥂䑔㈨〰ⰴ㜳ㄷ⤱_x0018_＀＀_x0018_＀＀_x0008_＀＀_x0001_＀＀_x0001_＀＀豀碵꼝쐕폾䭯_x001B_千幘南彆呐彘义⡃呌卍㌬㔹㠶착_x0018_＀＀_x0018_＀＀_x0008_＀＀_x0001_＀＀_x0001_＀＀＀＀＀＀ꈀ䂠폽䭯_x0018_千幘南彆䉅呉䰨䵔ⱓ㘳㤸⤱_x0018_＀＀_x0018_＀＀_x0008_＀＀_x0001_＀＀_x0001_＀＀＀＀＀＀㠀䂋폽䭯_x0019_千幘南彆䅓䕌⡓呌卍㌬㔸㌳착_x0018_＀＀_x0018_＀＀_x0008_＀＀_x0001_＀＀_x0001_＀＀＀＀＀＀甀䃀폻䭯_x001C_千幘南彆䡓䑌卒䕟⡑呑ⱒ㘳㜳⤲_x0018_＀＀_x0018_＀＀_x0008_＀＀_x0001_＀＀_x0001_＀＀＀＀＀＀᠀䂷폹䭯_x0012_千幘彐剐䍉⡅㤳ㄸ⤳_x0018_＀＀_x0018_＀＀_x0008_＀＀_x0001_＀＀_x0001_＀＀轜㰨䁀폹䭯_x0011_千幘浣獟獨㌨ㄷ㔹착_x0018_＀＀_x0018_＀＀_x0008_＀＀_x0001_＀＀_x0001_＀＀豀碵꼝쐕폹䭯_x001D_千幘捩彡敭湡䕟䥂⡔〲㌰㌬㤷㘸착_x0018_＀＀_x0018_＀＀_x0008_＀＀_x0001_＀＀_x0001_＀＀豀碵꼝쐕폾䭯_x001B_千幘南彆呐彘义⡃呌卍㌬㠹㌱착_x0018_＀＀_x0018_＀＀_x0008_＀＀_x0001_＀＀_x0001_＀＀＀＀＀＀쐀䂠폽䭯_x0019_千幘南彆䅓䕌⡓呌卍㌬㌸㌸착_x0018_＀＀_x0018_＀＀_x0008_＀＀_x0001_＀＀_x0001_＀＀＀＀＀＀퐀䂿폻䭯_x001C_千幘南彆䡓䑌卒䕟⡑呑ⱒ㠳㌸⤷_x0018_＀＀_x0018_＀＀_x0008_＀＀_x0001_＀＀_x0001_＀＀＀＀＀＀⦀䃀폹䭯_x0011_千幘浣獟獨㌨㈸〳착_x0018_＀＀_x0018_＀＀_x0008_＀＀_x0001_＀＀_x0001_＀＀豀碵꼝쐕퐌䭯)千幘䅃偟协剔呅佟䡔䑁彊䉎⡁㈱㈯〰ⰲⰬ唬䑓착_x0018_＀＀_x0018_＀＀_x0008_＀＀_x0001_＀＀_x0001_＀＀豀碵꼝쐕퐂䭯_x001C_千幘捩彡敭湡䕟卐㈨〰ⰲ㜳㤱⤵_x0018_＀＀_x0018_＀＀_x0008_＀＀_x0001_＀＀_x0001_＀＀豀碵꼝쐕폼䭯_x0019_千幘南彆䅓䕌⡓呌卍㌬㘷〸착_x0018_＀＀_x0018_＀＀_x0008_＀＀_x0001_＀＀_x0001_＀＀＀＀＀＀_xD800_䂿폼䭯_x0019_千幘南彆十䕓協儨剔㐬〰㘵착_x0018_＀＀_x0018_＀＀_x0008_＀＀_x0001_＀＀_x0001_＀＀＀＀＀＀ᯀ䃚폺䭯_x001A_千幘南彆䕄呂卟⡔呑ⱒ㘳㐳⤱_x0018_＀＀_x0018_＀＀_x0008_＀＀_x0001_＀＀_x0001_＀＀＀＀＀＀倀䂅폹䭯_x0012_千幘彐剐䍉⡅㠳㘹⤰_x0018_＀＀_x0018_＀＀_x0008_＀＀_x0001_＀＀_x0001_＀＀Ẹ㡑䀾퐂䭯_x001C_千幘捩彡敭湡偟䥔㈨〰ⰷ㤳〲⤲_x0018_＀＀_x0018_＀＀_x0008_＀＀_x0001_＀＀_x0001_＀＀豀碵꼝쐕퐁䭯_x001C_千幘捩彡敭湡獟獬㈨〰ⰶ㠳㤵⤵_x0018_＀＀_x0018_＀＀_x0008_＀＀_x0001_＀＀_x0001_＀＀豀碵꼝쐕퐀䭯_x001B_千幘南彆䕎彔义⡃呌卍㌬㠸㜰착_x0018_＀＀_x0018_＀＀_x0008_＀＀_x0001_＀＀_x0001_＀＀＀＀＀＀堀䂉폾䭯_x001B_千幘南彆呐彘义⡃呌卍㌬㤸〶착_x0018_＀＀_x0018_＀＀_x0008_＀＀_x0001_＀＀_x0001_＀＀＀＀＀＀ 䂙폽䭯_x001E_千幘南彆䉅呉䅄䵟乇䰨䵔ⱓ㠳㤲⤱_x0018_＀＀_x0018_＀＀_x0008_＀＀_x0001_＀＀_x0001_＀＀楫_xD9F7_鷩䀵폺䭯_x001A_千幘南彆䕄呂卟⡔呑ⱒ㘳㤱⤱_x0018_＀＀_x0018_＀＀_x0008_＀＀_x0001_＀＀_x0001_＀＀＀＀＀＀䁱퐍䭯)千幘南偟久䥓乏噟䱁䅟卓呅⡓㈱㈯〰ⰴⰬ唬䑓착_x0018_＀＀_x0018_＀＀_x0008_＀＀_x0001_＀＀_x0001_＀＀＀＀＀＀저䂖퐌䭯C千幘䅃偟久当剐䩏佟䱂ㄨ⼲〲㠰ⰬⰬ单⥄址当䕐华佉彎䉐⡏㈱㈯〰ⰸⰬ唬䑓착_x0018_＀＀_x0018_＀＀_x0008_＀＀_x0001_＀＀_x0001_＀＀＀＀＀＀ᰀ䂠퐌䭯T千幘䅃偟协剔呅偟䥒剏卟噒ㄨ⼲〲㘰ⰬⰬ单⥄址当䱈䡔䅃䕒啟剎䍅卟剅彖佃呓ㄨ⼲〲㘰ⰬⰬ单⥄_x0018_＀＀_x0018_＀＀_x0008_＀＀_x0001_＀＀_x0001_＀＀豀碵꼝쐕퐌䭯G千幘䅃偟协剔呅䍟协⡔㈱㈯〰ⰷⰬ唬䑓䀩南䡟呌䍈剁彅偎彐塅⡐㈱㈯〰ⰷⰬ唬䑓착_x0018_＀＀_x0018_＀＀_x0008_＀＀_x0001_＀＀_x0001_＀＀＀＀＀＀＀＀䀹퐂䭯_x001C_千幘捩彡敭湡偟䥔㈨〰ⰳ㜳㤸⤴_x0018_＀＀_x0018_＀＀_x0008_＀＀_x0001_＀＀_x0001_＀＀豀碵꼝쐕퐂䭯_x001C_千幘捩彡敭湡偟䥔㈨〰ⰲ㜳㈵⤹_x0018_＀＀_x0018_＀＀_x0008_＀＀_x0001_＀＀_x0001_＀＀豀碵꼝쐕퐀䭯_x001B_千幘南彆䕎彔义⡃呌卍㌬㐹㜴착_x0018_＀＀_x0018_＀＀_x0008_＀＀_x0001_＀＀_x0001_＀＀＀＀＀＀⠀䂓폺䭯_x001A_千幘南彆䕄呂卟⡔呑ⱒ㠳㔶⤶_x0018_＀＀_x0018_＀＀_x0008_＀＀_x0001_＀＀_x0001_＀＀＀＀＀＀뀀䂍퐍䭯'千幘南偟久䥓乏也呅䱟䅉⡂㈱㈯〰ⰷⰬ唬䑓착_x0018_＀＀_x0018_＀＀_x0008_＀＀_x0001_＀＀_x0001_＀＀豀碵꼝쐕퐌䭯H千幘䅃偟久当义彔佃呓ㄨ⼲〲㔰ⰬⰬ单⥄址当䕐华佉彎义彔佃呓ㄨ⼲〲㔰ⰬⰬ单⥄_x0018_＀＀_x0018_＀＀_x0008_＀＀_x0001_＀＀_x0001_＀＀＀＀＀＀쀀䁚퐁䭯_x001D_千幘捩彡敭湡䕟䥂⡔〲㤰㐬〰㘸착_x0018_＀＀_x0018_＀＀_x0008_＀＀_x0001_＀＀_x0001_＀＀豀碵꼝쐕퐁䭯_x001D_千幘捩彡敭湡䕟䥂⡔〲㘰㌬㜸㠴착_x0018_＀＀_x0018_＀＀_x0008_＀＀_x0001_＀＀_x0001_＀＀豀碵꼝쐕폺䭯_x001A_千幘南彆䕄呂䱟⡔呑ⱒ㜳㤱⤵_x0018_＀＀_x0018_＀＀_x0008_＀＀_x0001_＀＀_x0001_＀＀＀＀＀＀ᬀ䂶폹䭯_x0011_千幘浣獟獨㐨〰㘸착_x0018_＀＀_x0018_＀＀_x0008_＀＀_x0001_＀＀_x0001_＀＀豀碵꼝쐕퐃䭯_x001C_千幘捩彡敭湡䕟卐㈨〰ⰶ㠳㜴⤲_x0018_＀＀_x0018_＀＀_x0008_＀＀_x0001_＀＀_x0001_＀＀豀碵꼝쐕퐃䭯_x001C_千幘捩彡敭湡䕟卐㈨〰ⰵ㠳〱⤷_x0018_＀＀_x0018_＀＀_x0008_＀＀_x0001_＀＀_x0001_＀＀豀碵꼝쐕퐂䭯_x001C_千幘捩彡敭湡偟䥔㈨〰ⰹ〴㔰⤶_x0018_＀＀_x0018_＀＀_x0008_＀＀_x0001_＀＀_x0001_＀＀豀碵꼝쐕퐁䭯_x001E_千幘捩彡敭湡䕟䥂䑔㈨〰ⰷ㤳ㄱ⤳_x0018_＀＀_x0018_＀＀_x0008_＀＀_x0001_＀＀_x0001_＀＀豀碵꼝쐕퐀䭯_x001E_千幘捩彡敭湡䕟䥂䑔㈨〰ⰳ㜳㔹⤵_x0018_＀＀_x0018_＀＀_x0008_＀＀_x0001_＀＀_x0001_＀＀豀碵꼝쐕퐀䭯_x001C_千幘捩彡敭湡獟獬㈨〰ⰳ㜳㌸⤳_x0018_＀＀_x0018_＀＀_x0008_＀＀_x0001_＀＀_x0001_＀＀豀碵꼝쐕폺䭯_x001A_千幘南彆䕄呂䱟⡔呑ⱒ㠳㌲⤰_x0018_＀＀_x0018_＀＀_x0008_＀＀_x0001_＀＀_x0001_＀＀＀＀＀＀䂺폹䭯_x0012_千幘彐剐䍉⡅㜳〱⤳_x0018_＀＀_x0018_＀＀_x0008_＀＀_x0001_＀＀_x0001_＀＀슏⣵轜䀳폹䭯_x001D_千幘捩彡敭湡䕟䥂⡔〲㈰㌬㔷〹착_x0018_＀＀_x0018_＀＀_x0008_＀＀_x0001_＀＀_x0001_＀＀豀碵꼝쐕퐂䭯_x001C_千幘捩彡敭湡䕟卐㈨〰ⰱ㘳㤷⤹_x0018_＀＀_x0018_＀＀_x0008_＀＀_x0001_＀＀_x0001_＀＀豀碵꼝쐕퐁䭯_x001E_千幘捩彡敭湡䕟䥂䑔㈨〰ⰹ㤳㈶⤹_x0018_＀＀_x0018_＀＀_x0008_＀＀_x0001_＀＀_x0001_＀＀豀碵꼝쐕퐀䭯_x001B_千幘南彆偅当䥄⡌呌卍㌬㔸㐶착_x0018_＀＀_x0018_＀＀_x0008_＀＀_x0001_＀＀_x0001_＀＀尩슏⣵㿲폾䭯_x001B_千幘南彆呐彘义⡃呌卍㌬ㄷ㌰착_x0018_＀＀_x0018_＀＀_x0008_＀＀_x0001_＀＀_x0001_＀＀＀＀＀＀쀀䁸폽䭯_x0018_千幘南彆䉅呉䰨䵔ⱓ㘳㐶⤶_x0018_＀＀_x0018_＀＀_x0008_＀＀_x0001_＀＀_x0001_＀＀＀＀＀＀堀䂄폽䭯_x0019_千幘南彆䅓䕌⡓呌卍㌬ㄸ㠳착_x0018_＀＀_x0018_＀＀_x0008_＀＀_x0001_＀＀_x0001_＀＀＀＀＀＀㰀䂾폺䭯_x001A_千幘南彆䅃䡓卟⡔呑ⱒ㘳㌷⤸_x0018_＀＀_x0018_＀＀_x0008_＀＀_x0001_＀＀_x0001_＀＀＀＀＀＀뀀䁸폹䭯_x0012_千幘彐剐䍉⡅㘳㔲⤰_x0018_＀＀_x0018_＀＀_x0008_＀＀_x0001_＀＀_x0001_＀＀＀＀＀＀砀䀳퐍䭯"千幘南偟久䥓乏偟佂ㄨ⼲〲㐰ⰬⰬ单⥄_x0018_＀＀_x0018_＀＀_x0008_＀＀_x0001_＀＀_x0001_＀＀＀＀＀＀吀䂞퐂䭯_x001C_千幘捩彡敭湡偟䥔㈨〰ⰶ㠳㔶⤶_x0018_＀＀_x0018_＀＀_x0008_＀＀_x0001_＀＀_x0001_＀＀豀碵꼝쐕폾䭯_x001B_千幘南彆呐彘义⡃呌卍㌬㈶〵착_x0018_＀＀_x0018_＀＀_x0008_＀＀_x0001_＀＀_x0001_＀＀＀＀＀＀㰀䂓폽䭯_x0018_千幘南彆䉅呉䰨䵔ⱓ㠳㈳⤱_x0018_＀＀_x0018_＀＀_x0008_＀＀_x0001_＀＀_x0001_＀＀＀＀＀＀谀䂐폼䭯_x001E_千幘南彆䉅呉䅄䵟乇䰨䵔ⱓ㘳ㄶ⤶_x0018_＀＀_x0018_＀＀_x0008_＀＀_x0001_＀＀_x0001_＀＀ꪚꮂ_xFFFF_ￍ䀧폺䭯_x001A_千幘南彆䅃䡓卟⡔呑ⱒ㠳㘱⤸_x0018_＀＀_x0018_＀＀_x0008_＀＀_x0001_＀＀_x0001_＀＀＀＀＀＀쀀䂆폹䭯_x0012_千幘彐剐䍉⡅㜳㈹⤵_x0018_＀＀_x0018_＀＀_x0008_＀＀_x0001_＀＀_x0001_＀＀롒蔞퇫䀯퐍䭯 千幘南䕟䍘彈䅒䕔ㄨ⼲〲㈰ⰬⰬ单⥄_x0018_＀＀_x0018_＀＀_x0008_＀＀_x0001_＀＀_x0001_＀＀＀＀＀＀＀＀㿰퐍䭯C千幘䅃偟久当剐䩏佟䱂ㄨ⼲〲㜰ⰬⰬ单⥄址当䕐华佉彎䉐⡏㈱㈯〰ⰷⰬ唬䑓착_x0018_＀＀_x0018_＀＀_x0008_＀＀_x0001_＀＀_x0001_＀＀＀＀＀＀☀䂠퐌䭯E千幘䅃偟协剔呅䉟久佟⡂㈱㈯〰ⰴⰬ唬䑓䀩南䡟呌䍈剁彅䉐⡏㈱㈯〰ⰴⰬ唬䑓착_x0018_＀＀_x0018_＀＀_x0008_＀＀_x0001_＀＀_x0001_＀＀＀＀＀＀퀀䁿퐃䭯_x001C_千幘捩彡敭湡䕟卐㈨㄰ⰰ㤳㘹⤴_x0018_＀＀_x0018_＀＀_x0008_＀＀_x0001_＀＀_x0001_＀＀豀碵꼝쐕퐃䭯_x001C_千幘捩彡敭湡䕟卐㈨〰ⰳ㜳㘵⤰_x0018_＀＀_x0018_＀＀_x0008_＀＀_x0001_＀＀_x0001_＀＀豀碵꼝쐕퐂䭯_x001C_千幘捩彡敭湡䕟卐㈨〰ⰱ㘳㠹⤱_x0018_＀＀_x0018_＀＀_x0008_＀＀_x0001_＀＀_x0001_＀＀豀碵꼝쐕퐂䭯_x001C_千幘捩彡敭湡䕟卐㈨〰ⰰ㘳ㄶ⤶_x0018_＀＀_x0018_＀＀_x0008_＀＀_x0001_＀＀_x0001_＀＀豀碵꼝쐕퐁䭯_x001E_千幘捩彡敭湡䕟䥂䑔㈨㄰ⰱ〴〲⤹_x0018_＀＀_x0018_＀＀_x0008_＀＀_x0001_＀＀_x0001_＀＀豀碵꼝쐕폾䭯_x001B_千幘南彆呐彘义⡃呌卍㌬㤷㔲착_x0018_＀＀_x0018_＀＀_x0008_＀＀_x0001_＀＀_x0001_＀＀＀＀＀＀怀䁴폽䭯_x001E_千幘南彆䉅呉䅄䵟乇䰨䵔ⱓ㠳㐰⤶_x0018_＀＀_x0018_＀＀_x0008_＀＀_x0001_＀＀_x0001_＀＀㛋으势䀱폼䭯_x001E_千幘南彆䉅呉䅄䵟乇䰨䵔ⱓ㜳㔲⤶_x0018_＀＀_x0018_＀＀_x0008_＀＀_x0001_＀＀_x0001_＀＀ଌꔗ䀳폻䭯_x001A_千幘南彆䕄呂䱟⡔呑ⱒ〴㠰⤶_x0018_＀＀_x0018_＀＀_x0008_＀＀_x0001_＀＀_x0001_＀＀＀＀＀＀䂾폹䭯_x0012_千幘彐剐䍉⡅㤳㔳⤵_x0018_＀＀_x0018_＀＀_x0008_＀＀_x0001_＀＀_x0001_＀＀ਾꏗ嵰䁅퐌䭯G千幘䅃偟久当䕎彔佃呓ㄨ⼲〲㈰ⰬⰬ单⥄址当䕐华佉彎偎彐塅⡐㈱㈯〰ⰲⰬ唬䑓착_x0018_＀＀_x0018_＀＀_x0008_＀＀_x0001_＀＀_x0001_＀＀＀＀＀＀＀＀䀈퐂䭯_x001C_千幘捩彡敭湡偟䥔㈨〰ⰸ㤳㜱⤲_x0018_＀＀_x0018_＀＀_x0008_＀＀_x0001_＀＀_x0001_＀＀豀碵꼝쐕퐁䭯_x001D_千幘</t>
        </r>
      </text>
    </comment>
    <comment ref="A4" authorId="0">
      <text>
        <r>
          <rPr>
            <b/>
            <sz val="8"/>
            <color indexed="81"/>
            <rFont val="Tahoma"/>
            <family val="2"/>
          </rPr>
          <t>捩彡敭湡䕟䥂⡔〲㔰㌬㌸㈵착_x0018_＀＀_x0018_＀＀_x0008_＀＀_x0001_＀＀_x0001_＀＀豀碵꼝쐕퐁䭯_x001C_千幘捩彡敭湡獟獬㈨〰ⰷ㠳㘹⤰_x0018_＀＀_x0018_＀＀_x0008_＀＀_x0001_＀＀_x0001_＀＀豀碵꼝쐕퐁䭯_x001E_千幘捩彡敭湡䕟䥂䑔㈨〰ⰶ㠳ㄷ⤷_x0018_＀＀_x0018_＀＀_x0008_＀＀_x0001_＀＀_x0001_＀＀豀碵꼝쐕폾䭯_x001B_千幘南彆呐彘义⡃呌卍㌬㌹㔵착_x0018_＀＀_x0018_＀＀_x0008_＀＀_x0001_＀＀_x0001_＀＀＀＀＀＀ﰀ䂜폽䭯_x0018_千幘南彆䉅呉䰨䵔ⱓ㠳㤸⤸_x0018_＀＀_x0018_＀＀_x0008_＀＀_x0001_＀＀_x0001_＀＀＀＀＀＀䰀䂟폼䭯_x0019_千幘南彆十䕓協儨剔㌬㔸㐶착_x0018_＀＀_x0018_＀＀_x0008_＀＀_x0001_＀＀_x0001_＀＀＀＀＀＀ㆀ䃗폻䭯_x001C_千幘南彆䡓䑌卒䕟⡑呑ⱒ㘳㤷⤹_x0018_＀＀_x0018_＀＀_x0008_＀＀_x0001_＀＀_x0001_＀＀＀＀＀＀鴀䂷폹䭯_x0011_千幘浣獟獨㌨㠸㜰착_x0018_＀＀_x0018_＀＀_x0008_＀＀_x0001_＀＀_x0001_＀＀豀碵꼝쐕퐂䭯_x001C_千幘捩彡敭湡偟䥔㈨〰ⰳ㜳㤴⤹_x0018_＀＀_x0018_＀＀_x0008_＀＀_x0001_＀＀_x0001_＀＀豀碵꼝쐕퐁䭯_x001D_千幘捩彡敭湡䕟䥂⡔〲㜰㌬㠸㠶착_x0018_＀＀_x0018_＀＀_x0008_＀＀_x0001_＀＀_x0001_＀＀豀碵꼝쐕폾䭯_x0018_千幘南彆䉅呉䰨䵔ⱓ㤳㌹⤳_x0018_＀＀_x0018_＀＀_x0008_＀＀_x0001_＀＀_x0001_＀＀＀＀＀＀舀䂣폺䭯_x001A_千幘南彆䅃䡓卟⡔呑ⱒ㜳㘵⤰_x0018_＀＀_x0018_＀＀_x0008_＀＀_x0001_＀＀_x0001_＀＀＀＀＀＀怀䁺폹䭯_x0011_千幘浣獟獨㌨㐹㜴착_x0018_＀＀_x0018_＀＀_x0008_＀＀_x0001_＀＀_x0001_＀＀豀碵꼝쐕퐁䭯_x001E_千幘捩彡敭湡䕟䥂䑔㈨〰ⰸ㤳㌲⤳_x0018_＀＀_x0018_＀＀_x0008_＀＀_x0001_＀＀_x0001_＀＀豀碵꼝쐕폾䭯_x001B_千幘南彆䕎彔义⡃呌卍㌬㜶㤶착_x0018_＀＀_x0018_＀＀_x0008_＀＀_x0001_＀＀_x0001_＀＀＀＀＀＀＀＀쁋폽䭯_x001E_千幘南彆䉅呉䅄䵟乇䰨䵔ⱓ㠳㘸⤸_x0018_＀＀_x0018_＀＀_x0008_＀＀_x0001_＀＀_x0001_＀＀㨬夯똸䀻퐁䭯_x001C_千幘捩彡敭湡獟獬㈨〰ⰵ㠳㄰⤷_x0018_＀＀_x0018_＀＀_x0008_＀＀_x0001_＀＀_x0001_＀＀豀碵꼝쐕퐀䭯_x001B_千幘南彆䕎彔义⡃呌卍㌬ㄸ㤹착_x0018_＀＀_x0018_＀＀_x0008_＀＀_x0001_＀＀_x0001_＀＀＀＀＀＀ 䁥퐀䭯_x001B_千幘南彆偅当䥄⡌呌卍㌬㔷㤲착_x0018_＀＀_x0018_＀＀_x0008_＀＀_x0001_＀＀_x0001_＀＀쭨ᒹ镗㿭폽䭯_x001E_千幘南彆䉅呉䅄䵟乇䰨䵔ⱓ㤳〹⤳_x0018_＀＀_x0018_＀＀_x0008_＀＀_x0001_＀＀_x0001_＀＀픬ト誘䀿폻䭯_x001C_千幘南彆䡓䑌卒䕟⡑呑ⱒ㘳㠹⤱_x0018_＀＀_x0018_＀＀_x0008_＀＀_x0001_＀＀_x0001_＀＀＀＀＀＀堀䂷퐍䭯 千幘南䕟䍘彈䅒䕔䉟䱁卟⡈㈱㈯〰⤶_x0018_＀＀_x0018_＀＀_x0008_＀＀_x0001_＀＀_x0001_＀＀豀碵꼝쐕퐍䭯%千幘䅃偟久当呌䅟卓呅⡓㈱㈯〰ⰴⰬ唬䑓착_x0018_＀＀_x0018_＀＀_x0008_＀＀_x0001_＀＀_x0001_＀＀豀碵꼝쐕퐂䭯_x001C_千幘捩彡敭湡偟䥔㈨〰ⰵ㠳㘲⤰_x0018_＀＀_x0018_＀＀_x0008_＀＀_x0001_＀＀_x0001_＀＀豀碵꼝쐕폽䭯_x001E_千幘南彆䉅呉䅄䵟乇䰨䵔ⱓ〴㐱⤷_x0018_＀＀_x0018_＀＀_x0008_＀＀_x0001_＀＀_x0001_＀＀厄敝뒨䁀폽䭯_x0019_千幘南彆䅓䕌⡓呌卍㌬㜹㈸착_x0018_＀＀_x0018_＀＀_x0008_＀＀_x0001_＀＀_x0001_＀＀＀＀＀＀쬀䃅폻䭯_x001A_千幘南彆䕄呂卟⡔呑ⱒ㤳㌲⤳_x0018_＀＀_x0018_＀＀_x0008_＀＀_x0001_＀＀_x0001_＀＀＀＀＀＀砀䂇퐂䭯_x001C_千幘捩彡敭湡偟䥔㈨〰ⰷ㠳㜷⤶_x0018_＀＀_x0018_＀＀_x0008_＀＀_x0001_＀＀_x0001_＀＀豀碵꼝쐕퐁䭯_x001C_千幘捩彡敭湡獟獬㈨〰ⰸ㤳㠷⤲_x0018_＀＀_x0018_＀＀_x0008_＀＀_x0001_＀＀_x0001_＀＀豀碵꼝쐕퐀䭯_x001B_千幘南彆䕎彔义⡃呌卍㌬㜷ㄴ착_x0018_＀＀_x0018_＀＀_x0008_＀＀_x0001_＀＀_x0001_＀＀＀＀＀＀退䁻폻䭯_x001A_千幘南彆䕄呂䱟⡔呑ⱒ㠳〸⤷_x0018_＀＀_x0018_＀＀_x0008_＀＀_x0001_＀＀_x0001_＀＀＀＀＀＀딀䂳폺䭯_x001A_千幘南彆䕄呂卟⡔呑ⱒ㘳㔹⤰_x0018_＀＀_x0018_＀＀_x0008_＀＀_x0001_＀＀_x0001_＀＀＀＀＀＀저䂌퐃䭯_x001C_千幘捩彡敭湡䕟卐㈨〰ⰸ㤳㜴⤸_x0018_＀＀_x0018_＀＀_x0008_＀＀_x0001_＀＀_x0001_＀＀豀碵꼝쐕퐃䭯_x001C_千幘捩彡敭湡䕟卐㈨〰ⰴ㜳㠶⤰_x0018_＀＀_x0018_＀＀_x0008_＀＀_x0001_＀＀_x0001_＀＀豀碵꼝쐕퐃䭯_x001C_千幘捩彡敭湡䕟卐㈨〰ⰳ㜳ㄳ⤵_x0018_＀＀_x0018_＀＀_x0008_＀＀_x0001_＀＀_x0001_＀＀豀碵꼝쐕퐁䭯_x001E_千幘捩彡敭湡䕟䥂䑔㈨〰ⰵ㠳㈳⤱_x0018_＀＀_x0018_＀＀_x0008_＀＀_x0001_＀＀_x0001_＀＀豀碵꼝쐕퐀䭯_x001B_千幘南彆偅当䥄⡌呌卍㌬㜷ㄱ착_x0018_＀＀_x0018_＀＀_x0008_＀＀_x0001_＀＀_x0001_＀＀_xD9D3_礨㿰폻䭯_x001A_千幘南彆䕄呂䱟⡔呑ⱒ㤳㐴⤷_x0018_＀＀_x0018_＀＀_x0008_＀＀_x0001_＀＀_x0001_＀＀＀＀＀＀䘀䂹폺䭯_x001A_千幘南彆䕄呂卟⡔呑ⱒ㜳㤵⤰_x0018_＀＀_x0018_＀＀_x0008_＀＀_x0001_＀＀_x0001_＀＀＀＀＀＀ 䂉퐁䭯_x001D_千幘捩彡敭湡䕟䥂⡔〲㘰㌬㐸㈷착_x0018_＀＀_x0018_＀＀_x0008_＀＀_x0001_＀＀_x0001_＀＀豀碵꼝쐕퐁䭯_x001D_千幘捩彡敭湡䕟䥂⡔〲㔰㌬ㄸ㜰착_x0018_＀＀_x0018_＀＀_x0008_＀＀_x0001_＀＀_x0001_＀＀豀碵꼝쐕퐁䭯_x001E_千幘捩彡敭湡䕟䥂䑔㈨〰ⰷ㠳㌸⤷_x0018_＀＀_x0018_＀＀_x0008_＀＀_x0001_＀＀_x0001_＀＀豀碵꼝쐕퐀䭯_x001B_千幘南彆偅当䥄⡌呌卍㌬ㄹㄴ착_x0018_＀＀_x0018_＀＀_x0008_＀＀_x0001_＀＀_x0001_＀＀_xDFCE_䊄鰄䀆폽䭯_x0018_千幘南彆䉅呉䰨䵔ⱓ㘳㌴⤳_x0018_＀＀_x0018_＀＀_x0008_＀＀_x0001_＀＀_x0001_＀＀＀＀＀＀쐀䂗폼䭯_x0019_千幘南彆十䕓協儨剔㌬㔷㤲착_x0018_＀＀_x0018_＀＀_x0008_＀＀_x0001_＀＀_x0001_＀＀＀＀＀＀血䃔퐁䭯_x001C_千幘捩彡敭湡獟獬㈨〰ⰷ㤳㔳⤵_x0018_＀＀_x0018_＀＀_x0008_＀＀_x0001_＀＀_x0001_＀＀豀碵꼝쐕폺䭯_x001A_千幘南彆䅃䡓卟⡔呑ⱒ㜳ㄳ⤵_x0018_＀＀_x0018_＀＀_x0008_＀＀_x0001_＀＀_x0001_＀＀＀＀＀＀倀䂃폺䭯_x001A_千幘南彆䅃䡓卟⡔呑ⱒ㘳㈵⤵_x0018_＀＀_x0018_＀＀_x0008_＀＀_x0001_＀＀_x0001_＀＀＀＀＀＀瀀䂎폹䭯_x0012_千幘彐剐䍉⡅㘳㜶⤷_x0018_＀＀_x0018_＀＀_x0008_＀＀_x0001_＀＀_x0001_＀＀＀＀＀＀쀀䀥퐌䭯%千幘䅃偟久当佃偍剟呁⡅㈱㈯〰ⰳⰬ唬䑓착_x0018_＀＀_x0018_＀＀_x0008_＀＀_x0001_＀＀_x0001_＀＀豀碵꼝쐕퐃䭯_x001C_千幘捩彡敭湡䕟卐㈨〰ⰸ㤳㘶⤰_x0018_＀＀_x0018_＀＀_x0008_＀＀_x0001_＀＀_x0001_＀＀豀碵꼝쐕퐂䭯_x001C_千幘捩彡敭湡偟䥔㈨〰ⰴ㜳㘸⤴_x0018_＀＀_x0018_＀＀_x0008_＀＀_x0001_＀＀_x0001_＀＀豀碵꼝쐕폾䭯_x001B_千幘南彆呐彘义⡃呌卍㌬㘶㜷착_x0018_＀＀_x0018_＀＀_x0008_＀＀_x0001_＀＀_x0001_＀＀＀＀＀＀䀀䁞폾䭯_x0018_千幘南彆䉅呉䰨䵔ⱓ㤳㌵⤸_x0018_＀＀_x0018_＀＀_x0008_＀＀_x0001_＀＀_x0001_＀＀＀＀＀＀ఀ䂤폽䭯_x0018_千幘南彆䉅呉䰨䵔ⱓ㠳㐷⤸_x0018_＀＀_x0018_＀＀_x0008_＀＀_x0001_＀＀_x0001_＀＀＀＀＀＀䂖폼䭯_x001E_千幘南彆䉅呉䅄䵟乇䰨䵔ⱓ㘳〴⤳_x0018_＀＀_x0018_＀＀_x0008_＀＀_x0001_＀＀_x0001_＀＀_xD9FB_敢䛸䀷폹䭯_x0012_千幘彐剐䍉⡅㘳㈹⤲_x0018_＀＀_x0018_＀＀_x0008_＀＀_x0001_＀＀_x0001_＀＀＀＀＀＀耀䀮퐍䭯(千幘䅃偟久当偐彄䕂彎佃呓ㄨ⼲〲㜰ⰬⰬ单⥄_x0018_＀＀_x0018_＀＀_x0008_＀＀_x0001_＀＀_x0001_＀＀豀碵꼝쐕퐍䭯 千幘南䕟䍘彈䅒䕔ㄨ⼲〲㠰ⰬⰬ单⥄_x0018_＀＀_x0018_＀＀_x0008_＀＀_x0001_＀＀_x0001_＀＀＀＀＀＀＀＀㿰퐂䭯_x001C_千幘捩彡敭湡䕟卐㈨〰ⰰ㘳〴⤳_x0018_＀＀_x0018_＀＀_x0008_＀＀_x0001_＀＀_x0001_＀＀豀碵꼝쐕폾䭯_x001B_千幘南彆呐彘义⡃呌卍㌬㤶㈲착_x0018_＀＀_x0018_＀＀_x0008_＀＀_x0001_＀＀_x0001_＀＀＀＀＀＀䀀䁴폼䭯_x0019_千幘南彆䅓䕌⡓呌卍㌬〷㈷착_x0018_＀＀_x0018_＀＀_x0008_＀＀_x0001_＀＀_x0001_＀＀＀＀＀＀䂿폼䭯_x0019_千幘南彆十䕓協儨剔㌬㜷ㄱ착_x0018_＀＀_x0018_＀＀_x0008_＀＀_x0001_＀＀_x0001_＀＀＀＀＀＀矀䃔폹䭯_x0012_千幘彐剐䍉⡅㠳㔳⤲_x0018_＀＀_x0018_＀＀_x0008_＀＀_x0001_＀＀_x0001_＀＀휊炣਽䀴폹䭯_x0011_千幘浣獟獨㌨㜶㤶착_x0018_＀＀_x0018_＀＀_x0008_＀＀_x0001_＀＀_x0001_＀＀豀碵꼝쐕퐂䭯_x001C_千幘捩彡敭湡偟䥔㈨〰ⰸ㤳㤵⤹_x0018_＀＀_x0018_＀＀_x0008_＀＀_x0001_＀＀_x0001_＀＀豀碵꼝쐕퐁䭯_x001D_千幘捩彡敭湡䕟䥂⡔〲〱㌬㤹㐶착_x0018_＀＀_x0018_＀＀_x0008_＀＀_x0001_＀＀_x0001_＀＀豀碵꼝쐕퐀䭯_x001E_千幘捩彡敭湡䕟䥂䑔㈨〰ⰴ㜳㈹⤵_x0018_＀＀_x0018_＀＀_x0008_＀＀_x0001_＀＀_x0001_＀＀豀碵꼝쐕폾䭯_x001B_千幘南彆呐彘义⡃呌卍㌬㌸㈵착_x0018_＀＀_x0018_＀＀_x0008_＀＀_x0001_＀＀_x0001_＀＀＀＀＀＀砀䂅폼䭯_x0019_千幘南彆十䕓協儨剔㌬ㄹㄴ착_x0018_＀＀_x0018_＀＀_x0008_＀＀_x0001_＀＀_x0001_＀＀＀＀＀＀詀䃘폻䭯_x001C_千幘南彆䡓䑌卒䕟⡑呑ⱒ㜳㜳⤶_x0018_＀＀_x0018_＀＀_x0008_＀＀_x0001_＀＀_x0001_＀＀＀＀＀＀＀＀䂸폹䭯_x0011_千幘浣獟獨㌨ㄸ㤹착_x0018_＀＀_x0018_＀＀_x0008_＀＀_x0001_＀＀_x0001_＀＀豀碵꼝쐕폹䭯_x001D_千幘捩彡敭湡䕟䥂⡔〲㌰㌬㔷〶착_x0018_＀＀_x0018_＀＀_x0008_＀＀_x0001_＀＀_x0001_＀＀豀碵꼝쐕퐃䭯_x001C_千幘捩彡敭湡䕟卐㈨〰ⰷ㤳㠰⤲_x0018_＀＀_x0018_＀＀_x0008_＀＀_x0001_＀＀_x0001_＀＀豀碵꼝쐕퐃䭯_x001C_千幘捩彡敭湡䕟卐㈨〰ⰴ㠳㌱⤸_x0018_＀＀_x0018_＀＀_x0008_＀＀_x0001_＀＀_x0001_＀＀豀碵꼝쐕폻䭯_x001C_千幘南彆䡓䑌卒䕟⡑呑ⱒ㠳ㄴ⤱_x0018_＀＀_x0018_＀＀_x0008_＀＀_x0001_＀＀_x0001_＀＀＀＀＀＀鬀䂺폻䭯_x001C_千幘南彆䡓䑌卒䕟⡑呑ⱒ㜳㈶⤱_x0018_＀＀_x0018_＀＀_x0008_＀＀_x0001_＀＀_x0001_＀＀＀＀＀＀愀䂸폿䭯_x001B_千幘南彆䕎彔义⡃呌卍㌬㌷㘴착_x0018_＀＀_x0018_＀＀_x0008_＀＀_x0001_＀＀_x0001_＀＀＀＀＀＀倀䁵폾䭯_x001B_千幘南彆䕎彔义⡃呌卍㌬㔶㘵착_x0018_＀＀_x0018_＀＀_x0008_＀＀_x0001_＀＀_x0001_＀＀＀＀＀＀耀䁉폽䭯_x0019_千幘南彆䅓䕌⡓呌卍㌬㠷㐹착_x0018_＀＀_x0018_＀＀_x0008_＀＀_x0001_＀＀_x0001_＀＀＀＀＀＀_xDC00_䂾폻䭯_x001C_千幘南彆䡓䑌卒䕟⡑呑ⱒ㤳㔰⤱_x0018_＀＀_x0018_＀＀_x0008_＀＀_x0001_＀＀_x0001_＀＀＀＀＀＀䃀폹䭯_x0012_千幘彐剐䍉⡅㤳㘹⤴_x0018_＀＀_x0018_＀＀_x0008_＀＀_x0001_＀＀_x0001_＀＀尨슏䀿폹䭯_x0011_千幘浣獟獨㌨㜷ㄴ착_x0018_＀＀_x0018_＀＀_x0008_＀＀_x0001_＀＀_x0001_＀＀豀碵꼝쐕퐍䭯F千幘䅃偟久当佒彁䍁⡔㈱㈯〰ⰲⰬ唬䑓䀩南偟久䥓乏䅟呃剟䅏ㄨ⼲〲㈰ⰬⰬ单⥄_x0018_＀＀_x0018_＀＀_x0008_＀＀_x0001_＀＀_x0001_＀＀＀＀＀＀＀＀쁈퐌䭯M千幘䅃偟协剔呅卟噒䍟协⡔㈱㈯〰ⰵⰬ唬䑓䀩南䡟呌䍈剁彅䕓噒䍟协⡔㈱㈯〰ⰵⰬ唬䑓착_x0018_＀＀_x0018_＀＀_x0008_＀＀_x0001_＀＀_x0001_＀＀＀＀＀＀＀＀䀠퐂䭯_x001C_千幘捩彡敭湡偟䥔㈨〰ⰷ㤳ㄴ⤶_x0018_＀＀_x0018_＀＀_x0008_＀＀_x0001_＀＀_x0001_＀＀豀碵꼝쐕폾䭯_x001B_千幘南彆呐彘义⡃呌卍㌬㤹㐶착_x0018_＀＀_x0018_＀＀_x0008_＀＀_x0001_＀＀_x0001_＀＀＀＀＀＀退䂞폻䭯_x001A_千幘南彆䅃䡓卟⡔呑ⱒ〴㔰⤶_x0018_＀＀_x0018_＀＀_x0008_＀＀_x0001_＀＀_x0001_＀＀＀＀＀＀栀䂒폺䭯_x001A_千幘南彆䕄呂卟⡔呑ⱒ㜳㤱⤵_x0018_＀＀_x0018_＀＀_x0008_＀＀_x0001_＀＀_x0001_＀＀＀＀＀＀耀䂓퐂䭯_x001C_千幘捩彡敭湡偟䥔㈨㄰ⰰ㤳㜸⤲_x0018_＀＀_x0018_＀＀_x0008_＀＀_x0001_＀＀_x0001_＀＀豀碵꼝쐕퐀䭯_x001B_千幘南彆䕎彔义⡃呌卍㌬〹ㄲ착_x0018_＀＀_x0018_＀＀_x0008_＀＀_x0001_＀＀_x0001_＀＀＀＀＀＀쀀䂒폺䭯_x001A_千幘南彆䕄呂卟⡔呑ⱒ㠳㌲⤰_x0018_＀＀_x0018_＀＀_x0008_＀＀_x0001_＀＀_x0001_＀＀＀＀＀＀瀀䂉폺䭯_x001A_千幘南彆䕄呂䱟⡔呑ⱒ㘳㘷⤹_x0018_＀＀_x0018_＀＀_x0008_＀＀_x0001_＀＀_x0001_＀＀＀＀＀＀頀䂸퐍䭯&amp;千幘䅃偟久当十彔义䅔䝎ㄨ⼲〲㜰ⰬⰬ单⥄_x0018_＀＀_x0018_＀＀_x0008_＀＀_x0001_＀＀_x0001_＀＀豀碵꼝쐕퐌䭯L千幘䅃偟协剔呅䥟呎䍟协⡔㈱㈯〰ⰳⰬ唬䑓䀩南䡟呌䍈剁彅义彔佃呓ㄨ⼲〲㌰ⰬⰬ单⥄_x0018_＀＀_x0018_＀＀_x0008_＀＀_x0001_＀＀_x0001_＀＀＀＀＀＀＀＀䀹폺䭯_x001A_千幘南彆䕄呂䱟⡔呑ⱒ㠳㤱⤹_x0018_＀＀_x0018_＀＀_x0008_＀＀_x0001_＀＀_x0001_＀＀＀＀＀＀䂺퐍䭯F千幘䅃偟久当佒彁䍁⡔㈱㈯〰ⰵⰬ唬䑓䀩南偟久䥓乏䅟呃剟䅏ㄨ⼲〲㔰ⰬⰬ单⥄_x0018_＀＀_x0018_＀＀_x0008_＀＀_x0001_＀＀_x0001_＀＀＀＀＀＀䀀䁪퐌䭯P千幘䅃偟协剔呅偟䅌彎十彔久⡄㈱㈯〰ⰸⰬ唬䑓䀩南䡟呌䍈剁彅噆䅟卓呅ㄨ⼲〲㠰ⰬⰬ单⥄_x0018_＀＀_x0018_＀＀_x0008_＀＀_x0001_＀＀_x0001_＀＀豀碵꼝쐕퐃䭯_x001C_千幘捩彡敭湡䕟卐㈨〰ⰶ㠳㠶⤶_x0018_＀＀_x0018_＀＀_x0008_＀＀_x0001_＀＀_x0001_＀＀豀碵꼝쐕퐁䭯_x001E_千幘捩彡敭湡䕟䥂䑔㈨㄰ⰰ㤳㌹⤳_x0018_＀＀_x0018_＀＀_x0008_＀＀_x0001_＀＀_x0001_＀＀豀碵꼝쐕폹䭯_x0012_千幘彐剐䍉⡅㠳〱⤷_x0018_＀＀_x0018_＀＀_x0008_＀＀_x0001_＀＀_x0001_＀＀尨슏䀮퐁䭯_x001D_千幘捩彡敭湡䕟䥂⡔〲㠰㌬㐹㠷착_x0018_＀＀_x0018_＀＀_x0008_＀＀_x0001_＀＀_x0001_＀＀豀碵꼝쐕퐀䭯_x001B_千幘南彆偅当䥄⡌呌卍㌬㔹㠶착_x0018_＀＀_x0018_＀＀_x0008_＀＀_x0001_＀＀_x0001_＀＀ӕ적䀉폾䭯_x001B_千幘南彆呐彘义⡃呌卍㌬ㄸ㜰착_x0018_＀＀_x0018_＀＀_x0008_＀＀_x0001_＀＀_x0001_＀＀＀＀＀＀뀀䁱폺䭯_x001A_千幘南彆䕄呂䱟⡔呑ⱒ㜳㐷⤱_x0018_＀＀_x0018_＀＀_x0008_＀＀_x0001_＀＀_x0001_＀＀＀＀＀＀缀䂹폹䭯_x001D_千幘捩彡敭湡䕟䥂⡔〲㐰㌬㘷〸착_x0018_＀＀_x0018_＀＀_x0008_＀＀_x0001_＀＀_x0001_＀＀豀碵꼝쐕퐍䭯'千幘南偟久偟协彔䕒彔䕂⡎㈱㈯〰ⰲⰬ唬䑓착_x0018_＀＀_x0018_＀＀_x0008_＀＀_x0001_＀＀_x0001_＀＀豀碵꼝쐕퐌䭯J千幘䅃偟久当䥄䍓剟呁⡅㈱㈯〰ⰴⰬ唬䑓䀩南偟久䥓乏䑟卉彃䅒䕔ㄨ⼲〲㐰ⰬⰬ单⥄_x0018_＀＀_x0018_＀＀_x0008_＀＀_x0001_＀＀_x0001_＀＀＀＀＀＀＀＀䀗퐌䭯I千幘䅃偟久当剓彖佃呓ㄨ⼲〲㌰ⰬⰬ单⥄址当䕐华佉彎䕓噒䍟协⡔㈱㈯〰ⰳⰬ唬䑓착_x0018_＀＀_x0018_＀＀_x0008_＀＀_x0001_＀＀_x0001_＀＀＀＀＀＀＀＀䁃퐌䭯F千幘䅃偟协剔呅剟䅏ㄨ⼲〲㈰ⰬⰬ单⥄址当䱈䡔䅃䕒䕟偘剟䅏ㄨ⼲〲㈰ⰬⰬ单⥄_x0018_＀＀_x0018_＀＀_x0008_＀＀_x0001_＀＀_x0001_＀＀豀碵꼝쐕퐀䭯_x001B_千幘南彆偅当䥄⡌呌卍㌬㠹㌱착_x0018_＀＀_x0018_＀＀_x0008_＀＀_x0001_＀＀_x0001_＀＀愨饟䀋폻䭯_x001A_千幘南彆䕄呂卟⡔呑ⱒ〴㠰⤶_x0018_＀＀_x0018_＀＀_x0008_＀＀_x0001_＀＀_x0001_＀＀＀＀＀＀쀀䁳폹䭯_x0012_千幘彐剐䍉⡅㘳㘴⤴_x0018_＀＀_x0018_＀＀_x0008_＀＀_x0001_＀＀_x0001_＀＀＀＀＀＀瀀䀴퐃䭯_x001C_千幘捩彡敭湡䕟卐㈨〰ⰵ㠳〵⤳_x0018_＀＀_x0018_＀＀_x0008_＀＀_x0001_＀＀_x0001_＀＀豀碵꼝쐕퐀䭯_x001B_千幘南彆䕎彔义⡃呌卍㌬㤸〹착_x0018_＀＀_x0018_＀＀_x0008_＀＀_x0001_＀＀_x0001_＀＀＀＀＀＀쀀䂒폾䭯_x001B_千幘南彆呐彘义⡃呌卍㌬㐶㐶착_x0018_＀＀_x0018_＀＀_x0008_＀＀_x0001_＀＀_x0001_＀＀＀＀＀＀ꀀ䂎폾䭯_x0018_千幘南彆䉅呉䰨䵔ⱓ㤳㈳⤵_x0018_＀＀_x0018_＀＀_x0008_＀＀_x0001_＀＀_x0001_＀＀＀＀＀＀☀䂡폹䭯_x0012_千幘彐剐䍉⡅㠳㈹⤹_x0018_＀＀_x0018_＀＀_x0008_＀＀_x0001_＀＀_x0001_＀＀ꏗ㵰圊䀾퐍䭯J千幘䅃偟久当䱐乁䅟呓ㄨ⼲〲㈰ⰬⰬ单⥄址当䕐华佉彎䅖彌十䕓協ㄨ⼲〲㈰ⰬⰬ单⥄_x0018_＀＀_x0018_＀＀_x0008_＀＀_x0001_＀＀_x0001_＀＀＀＀＀＀뀀䂔퐂䭯_x001C_千幘捩彡敭湡偟䥔㈨〰ⰴ㠳㤲⤱_x0018_＀＀_x0018_＀＀_x0008_＀＀_x0001_＀＀_x0001_＀＀豀碵꼝쐕퐁䭯_x001D_千幘捩彡敭湡䕟䥂⡔〲㠰㌬㘹〶착_x0018_＀＀_x0018_＀＀_x0008_＀＀_x0001_＀＀_x0001_＀＀豀碵꼝쐕퐁䭯_x001C_千幘捩彡敭湡獟獬㈨〰ⰹ㤳㔷⤲_x0018_＀＀_x0018_＀＀_x0008_＀＀_x0001_＀＀_x0001_＀＀豀碵꼝쐕퐀䭯_x001B_千幘南彆偅当䥄⡌呌卍㌬㤸〶착_x0018_＀＀_x0018_＀＀_x0008_＀＀_x0001_＀＀_x0001_＀＀풪臬ꁖ䀁폾䭯_x001B_千幘南彆呐彘义⡃呌卍㌬㤸㤲착_x0018_＀＀_x0018_＀＀_x0008_＀＀_x0001_＀＀_x0001_＀＀＀＀＀＀ 䂙폼䭯_x0019_千幘南彆䅓䕌⡓呌卍㌬㐷㤹착_x0018_＀＀_x0018_＀＀_x0008_＀＀_x0001_＀＀_x0001_＀＀＀＀＀＀脀䂿폹䭯_x0011_千幘浣獟獨㌨㌷㘴착_x0018_＀＀_x0018_＀＀_x0008_＀＀_x0001_＀＀_x0001_＀＀豀碵꼝쐕폹䭯_x0011_千幘浣獟獨㌨㔶㘵착_x0018_＀＀_x0018_＀＀_x0008_＀＀_x0001_＀＀_x0001_＀＀豀碵꼝쐕퐍䭯%千幘南䥟呎剟呁彅夵噁⡇㈱㈯〰ⰴⰬ唬䑓착_x0018_＀＀_x0018_＀＀_x0008_＀＀_x0001_＀＀_x0001_＀＀┱푥䀚퐍䭯$千幘䅃偟久当呌䱟䅉卂ㄨ⼲〲㌰ⰬⰬ单⥄_x0018_＀＀_x0018_＀＀_x0008_＀＀_x0001_＀＀_x0001_＀＀豀碵꼝쐕퐂䭯_x001C_千幘捩彡敭湡偟䥔㈨〰ⰸ㤳㠳⤶_x0018_＀＀_x0018_＀＀_x0008_＀＀_x0001_＀＀_x0001_＀＀豀碵꼝쐕폽䭯_x0018_千幘南彆䉅呉䰨䵔ⱓ㠳㜴⤲_x0018_＀＀_x0018_＀＀_x0008_＀＀_x0001_＀＀_x0001_＀＀＀＀＀＀退䂔폼䭯_x0019_千幘南彆十䕓協儨剔㌬㔹㠶착_x0018_＀＀_x0018_＀＀_x0008_＀＀_x0001_＀＀_x0001_＀＀＀＀＀＀ी䃚퐃䭯_x001C_千幘捩彡敭湡䕟卐㈨〰ⰲ㜳㐳⤶_x0018_＀＀_x0018_＀＀_x0008_＀＀_x0001_＀＀_x0001_＀＀豀碵꼝쐕퐁䭯_x001E_千幘捩彡敭湡䕟䥂䑔㈨〰ⰴ㠳㔳⤲_x0018_＀＀_x0018_＀＀_x0008_＀＀_x0001_＀＀_x0001_＀＀豀碵꼝쐕퐁䭯_x001C_千幘捩彡敭湡獟獬㈨〰ⰴ㠳㌲⤰_x0018_＀＀_x0018_＀＀_x0008_＀＀_x0001_＀＀_x0001_＀＀豀碵꼝쐕폽䭯_x001E_千幘南彆䉅呉䅄䵟乇䰨䵔ⱓ㜳〸⤲_x0018_＀＀_x0018_＀＀_x0008_＀＀_x0001_＀＀_x0001_＀＀͝㝦ᾅ䀶폼䭯_x0019_千幘南彆十䕓協儨剔㌬㠹㌱착_x0018_＀＀_x0018_＀＀_x0008_＀＀_x0001_＀＀_x0001_＀＀＀＀＀＀가䃙폺䭯_x001A_千幘南彆䅃䡓卟⡔呑ⱒ㠳㘵⤴_x0018_＀＀_x0018_＀＀_x0008_＀＀_x0001_＀＀_x0001_＀＀＀＀＀＀ࠀ䂀폹䭯_x0011_千幘浣獟獨㌨〹ㄲ착_x0018_＀＀_x0018_＀＀_x0008_＀＀_x0001_＀＀_x0001_＀＀豀碵꼝쐕퐂䭯_x001C_千幘捩彡敭湡䕟卐ㄨ㤹ⰹ㘳ㄳ⤱_x0018_＀＀_x0018_＀＀_x0008_＀＀_x0001_＀＀_x0001_＀＀豀碵꼝쐕퐁䭯_x001D_千幘捩彡敭湡䕟䥂⡔〲㜰㌬〹㈸착_x0018_＀＀_x0018_＀＀_x0008_＀＀_x0001_＀＀_x0001_＀＀豀碵꼝쐕퐁䭯_x001D_千幘捩彡敭湡䕟䥂⡔〲㐰㌬ㄸ㠳착_x0018_＀＀_x0018_＀＀_x0008_＀＀_x0001_＀＀_x0001_＀＀豀碵꼝쐕퐁䭯_x001E_千幘捩彡敭湡䕟䥂䑔㈨〰ⰸ㤳㐴⤷_x0018_＀＀_x0018_＀＀_x0008_＀＀_x0001_＀＀_x0001_＀＀豀碵꼝쐕퐁䭯_x001E_千幘捩彡敭湡䕟䥂䑔㈨〰ⰶ㠳㘸⤸_x0018_＀＀_x0018_＀＀_x0008_＀＀_x0001_＀＀_x0001_＀＀豀碵꼝쐕폽䭯_x001E_千幘南彆䉅呉䅄䵟乇䰨䵔ⱓ㠳㐴⤲_x0018_＀＀_x0018_＀＀_x0008_＀＀_x0001_＀＀_x0001_＀＀蠊蒕⑅䀹폼䭯_x001E_千幘南彆䉅呉䅄䵟乇䰨䵔ⱓ㜳㔶⤲_x0018_＀＀_x0018_＀＀_x0008_＀＀_x0001_＀＀_x0001_＀＀煎뤧븭䀶폼䭯_x0019_千幘南彆䅓䕌⡓呌卍㌬㠶ㄹ착_x0018_＀＀_x0018_＀＀_x0008_＀＀_x0001_＀＀_x0001_＀＀＀＀＀＀玀䃀폻䭯_x001C_千幘南彆䡓䑌卒䕟⡑呑ⱒ㤳㜴⤸_x0018_＀＀_x0018_＀＀_x0008_＀＀_x0001_＀＀_x0001_＀＀＀＀＀＀䃀폿䭯_x001B_千幘南彆偅当䥄⡌呌卍㌬ㄷ㌰착_x0018_＀＀_x0018_＀＀_x0008_＀＀_x0001_＀＀_x0001_＀＀쨙皉刕㿡폽䭯_x001E_千幘南彆䉅呉䅄䵟乇䰨䵔ⱓ㤳㠰⤲_x0018_＀＀_x0018_＀＀_x0008_＀＀_x0001_＀＀_x0001_＀＀撻区吣䁀폼䭯_x0019_千幘南彆十䕓協儨剔㌬㤸〶착_x0018_＀＀_x0018_＀＀_x0008_＀＀_x0001_＀＀_x0001_＀＀＀＀＀＀ր䃘폼䭯_x001C_千幘南彆䡓䑌卒䕟⡑呑ⱒ〴ㄱ⤷_x0018_＀＀_x0018_＀＀_x0008_＀＀_x0001_＀＀_x0001_＀＀＀＀＀＀䃀폻䭯_x001A_千幘南彆䕄呂卟⡔呑ⱒ㠳〸⤷_x0018_＀＀_x0018_＀＀_x0008_＀＀_x0001_＀＀_x0001_＀＀＀＀＀＀ꀀ䂌퐂䭯_x001C_千幘捩彡敭湡偟䥔㈨〰ⰹ㤳㘵⤸_x0018_＀＀_x0018_＀＀_x0008_＀＀_x0001_＀＀_x0001_＀＀豀碵꼝쐕폾䭯_x001B_千幘南彆䕎彔义⡃呌卍㌬㈶〸착_x0018_＀＀_x0018_＀＀_x0008_＀＀_x0001_＀＀_x0001_＀＀＀＀＀＀䠀䂀폻䭯_x001A_千幘南彆䕄呂卟⡔呑ⱒ㤳㐴⤷_x0018_＀＀_x0018_＀＀_x0008_＀＀_x0001_＀＀_x0001_＀＀＀＀＀＀頀䂈폺䭯_x001A_千幘南彆䕄呂䱟⡔呑ⱒ㜳㐳⤶_x0018_＀＀_x0018_＀＀_x0008_＀＀_x0001_＀＀_x0001_＀＀＀＀＀＀_xD900_䂸폺䭯_x001A_千幘南彆䕄呂䱟⡔呑ⱒ㘳㔵⤶_x0018_＀＀_x0018_＀＀_x0008_＀＀_x0001_＀＀_x0001_＀＀＀＀＀＀㐀䂸폹䭯_x0012_千幘彐剐䍉⡅㘳ㄲ⤹_x0018_＀＀_x0018_＀＀_x0008_＀＀_x0001_＀＀_x0001_＀＀＀＀＀＀ꀀ䀳퐃䭯_x001C_千幘捩彡敭湡䕟卐㈨〰ⰸ㤳〲⤲_x0018_＀＀_x0018_＀＀_x0008_＀＀_x0001_＀＀_x0001_＀＀豀碵꼝쐕퐂䭯_x001C_千幘捩彡敭湡偟䥔㈨〰ⰹ㤳ㄸ⤳_x0018_＀＀_x0018_＀＀_x0008_＀＀_x0001_＀＀_x0001_＀＀豀碵꼝쐕퐁䭯_x001C_千幘捩彡敭湡獟獬㈨〰ⰵ㠳㘱⤸_x0018_＀＀_x0018_＀＀_x0008_＀＀_x0001_＀＀_x0001_＀＀豀碵꼝쐕퐀䭯_x001B_千幘南彆䕎彔义⡃呌卍㌬㤷㔵착_x0018_＀＀_x0018_＀＀_x0008_＀＀_x0001_＀＀_x0001_＀＀＀＀＀＀怀䁩폾䭯_x001B_千幘南彆偅当䥄⡌呌卍㌬㈶〵착_x0018_＀＀_x0018_＀＀_x0008_＀＀_x0001_＀＀_x0001_＀＀饰旓넱㿳폾䭯_x001B_千幘南彆呐彘义⡃呌卍㌬㈶㤱착_x0018_＀＀_x0018_＀＀_x0008_＀＀_x0001_＀＀_x0001_＀＀＀＀＀＀倀䂓폼䭯_x001C_千幘南彆䡓䑌卒䕟⡑呑ⱒ㤳㘶⤰_x0018_＀＀_x0018_＀＀_x0008_＀＀_x0001_＀＀_x0001_＀＀＀＀＀＀뢀䃁퐃䭯_x001C_千幘捩彡敭湡䕟卐㈨〰ⰴ㜳㤸⤴_x0018_＀＀_x0018_＀＀_x0008_＀＀_x0001_＀＀_x0001_＀＀豀碵꼝쐕퐃䭯_x001C_千幘捩彡敭湡䕟卐㈨〰ⰳ㜳㈵⤹_x0018_＀＀_x0018_＀＀_x0008_＀＀_x0001_＀＀_x0001_＀＀豀碵꼝쐕퐂䭯_x001C_千幘捩彡敭湡偟䥔㈨〰ⰴ㠳㐰⤶_x0018_＀＀_x0018_＀＀_x0008_＀＀_x0001_＀＀_x0001_＀＀豀碵꼝쐕퐁䭯_x001C_千幘捩彡敭湡獟獬㈨〰ⰹ㤳〵⤷_x0018_＀＀_x0018_＀＀_x0008_＀＀_x0001_＀＀_x0001_＀＀豀碵꼝쐕퐀䭯_x001B_千幘南彆䕎彔义⡃呌卍㌬㔸㔹착_x0018_＀＀_x0018_＀＀_x0008_＀＀_x0001_＀＀_x0001_＀＀＀＀＀＀쀀䁿퐀䭯_x001B_千幘南彆偅当䥄⡌呌卍㌬㤷㔲착_x0018_＀＀_x0018_＀＀_x0008_＀＀_x0001_＀＀_x0001_＀＀㯍텎岑㿞폻䭯_x001A_千幘南彆䕄呂䱟⡔呑ⱒ㤳㈰⤱_x0018_＀＀_x0018_＀＀_x0008_＀＀_x0001_＀＀_x0001_＀＀＀＀＀＀䤀䂳폹䭯_x0011_千幘浣獟獨㌨㤸〹착_x0018_＀＀_x0018_＀＀_x0008_＀＀_x0001_＀＀_x0001_＀＀豀碵꼝쐕퐌䭯G千幘䅃偟协剔呅䍟协⡔㈱㈯〰ⰶⰬ唬䑓䀩南䡟呌䍈剁彅偎彐塅⡐㈱㈯〰ⰶⰬ唬䑓착_x0018_＀＀_x0018_＀＀_x0008_＀＀_x0001_＀＀_x0001_＀＀＀＀＀＀＀＀䀾퐁䭯_x001D_千幘捩彡敭湡䕟䥂⡔〲㘰㌬㘸㘸착_x0018_＀＀_x0018_＀＀_x0008_＀＀_x0001_＀＀_x0001_＀＀豀碵꼝쐕퐁䭯_x001C_千幘捩彡敭湡獟獬㈨〰ⰷ㠳㈹⤹_x0018_＀＀_x0018_＀＀_x0008_＀＀_x0001_＀＀_x0001_＀＀豀碵꼝쐕퐀䭯_x001B_千幘南彆偅当䥄⡌呌卍㌬㌹㔵착_x0018_＀＀_x0018_＀＀_x0008_＀＀_x0001_＀＀_x0001_＀＀䞙惾맠䀅폽䭯_x0018_千幘南彆䉅呉䰨䵔ⱓ㜳㌴⤷_x0018_＀＀_x0018_＀＀_x0008_＀＀_x0001_＀＀_x0001_＀＀＀＀＀＀䂐폼䭯_x0019_千幘南彆十䕓協儨剔㌬ㄷ㌰착_x0018_＀＀_x0018_＀＀_x0008_＀＀_x0001_＀＀_x0001_＀＀＀＀＀＀݀䃔퐍䭯Q千幘䅃偟久当䍁啃彍佃偍䥒䍎ㄨ⼲〲㔰ⰬⰬ单⥄址当佃偍归义彃䕐华䱟䅉⡂㈱㈯〰ⰵⰬ唬䑓착_x0018_＀＀_x0018_＀＀_x0008_＀＀_x0001_＀＀_x0001_＀＀＀＀＀＀　쁳퐌䭯H千幘䅃偟久当义彔佃呓ㄨ⼲〲㐰ⰬⰬ单⥄址当䕐华佉彎义彔佃呓ㄨ⼲〲㐰ⰬⰬ单⥄_x0018_＀＀_x0018_＀＀_x0008_＀＀_x0001_＀＀_x0001_＀＀＀＀＀＀쀀䁛퐌䭯-千幘䅃偟协剔呅啟归剔佟彂䵁剏⡔㈱㈯〰ⰷⰬ唬䑓착_x0018_＀＀_x0018_＀＀_x0008_＀＀_x0001_＀＀_x0001_＀＀豀碵꼝쐕퐂䭯_x001C_千幘捩彡敭湡偟䥔㈨〰ⰶ㠳〸⤷_x0018_＀＀_x0018_＀＀_x0008_＀＀_x0001_＀＀_x0001_＀＀豀碵꼝쐕퐁䭯_x001E_千幘捩彡敭湡䕟䥂䑔㈨〰ⰷ㤳㔰⤱_x0018_＀＀_x0018_＀＀_x0008_＀＀_x0001_＀＀_x0001_＀＀豀碵꼝쐕퐁䭯_x001E_千幘捩彡敭湡䕟䥂䑔㈨〰ⰵ㠳㜴⤲_x0018_＀＀_x0018_＀＀_x0008_＀＀_x0001_＀＀_x0001_＀＀豀碵꼝쐕퐁䭯_x001E_千幘捩彡敭湡䕟䥂䑔㈨〰ⰴ㠳〱⤷_x0018_＀＀_x0018_＀＀_x0008_＀＀_x0001_＀＀_x0001_＀＀豀碵꼝쐕폽䭯_x0018_千幘南彆䉅呉䰨䵔ⱓ㠳㜰⤷_x0018_＀＀_x0018_＀＀_x0008_＀＀_x0001_＀＀_x0001_＀＀＀＀＀＀က䂆폽䭯_x0018_千幘南彆䉅呉䰨䵔ⱓ㜳㠲⤷_x0018_＀＀_x0018_＀＀_x0008_＀＀_x0001_＀＀_x0001_＀＀＀＀＀＀䂎폺䭯_x001A_千幘南彆䅃䡓卟⡔呑ⱒ㜳㈵⤹_x0018_＀＀_x0018_＀＀_x0008_＀＀_x0001_＀＀_x0001_＀＀＀＀＀＀怀䁺퐌䭯(千幘南䡟呌䍈剁彅乕彆䕂⡎㈱㈯〰ⰸⰬ唬䑓⤩＀＀＀＀퐌䭯*千幘南䡟呌䍈剁彅塅彐呌剟䅏ㄨ⼲〲㌰ⰬⰬ单⥄_x0018_＀＀_x0018_＀＀_x0008_＀＀_x0001_＀＀_x0001_＀＀豀碵꼝쐕퐃䭯_x001C_千幘捩彡敭湡䕟卐㈨〰ⰳ㜳ㄷ⤱_x0018_＀＀_x0018_＀＀_x0008_＀＀_x0001_＀＀_x0001_＀＀豀碵꼝쐕폼䭯_x001E_千幘南彆䉅呉䅄䵟乇䰨䵔ⱓ㜳〴⤷_x0018_＀＀_x0018_＀＀_x0008_＀＀_x0001_＀＀_x0001_＀＀熤挻䀴폼䭯_x0019_千幘南彆䅓䕌⡓呌卍㌬㘶㘴착_x0018_＀＀_x0018_＀＀_x0008_＀＀_x0001_＀＀_x0001_＀＀＀＀＀＀墀䃄폼䭯_x0019_千幘南彆十䕓協儨剔㌬㈶〵착_x0018_＀＀_x0018_＀＀_x0008_＀＀_x0001_＀＀_x0001_＀＀＀＀＀＀ᅀ䃔퐍䭯;千幘南偟久䥓乏䅟卓呅当呏⡈㈱㈯〰⤶䍀彁䕐华偟呃佟䡔ㄨ⼲〲㘰착_x0018_＀＀_x0018_＀＀_x0008_＀＀_x0001_＀＀_x0001_＀＀＀＀＀＀＀＀㿰퐌䭯＀Ｏ千幘南䡟呌䍈剁彅䵁剏彔䕓噒䍟协⡔㈱㈯〰ⰴⰬ唬䑓착_x0018_＀＀_x0018_＀＀_x0008_＀＀_x0001_＀＀_x0001_＀＀豀碵꼝쐕퐈䭯_x000F_千幘南䍟剕䕒䍎챙_x001C_＀＀_x0018_＀＀_x000C_＀＀_x0001_＀＀_x0008_＀＀⹕⹓䐠汯慬r퐁䭯_x001D_千幘捩彡敭湡䕟䥂⡔〲㔰㌬㔸㌰착_x0018_＀＀_x0018_＀＀_x0008_＀＀_x0001_＀＀_x0001_＀＀豀碵꼝쐕폼䭯_x0019_千幘南彆十䕓協儨剔㌬㤷㔲착_x0018_＀＀_x0018_＀＀_x0008_＀＀_x0001_＀＀_x0001_＀＀＀＀＀＀槀䃕퐊䭯$千幘䅃偟久当呌䱟䅉卂ㄨ⼲〲㤰ⰬⰬ单⥄_x0018_＀＀_x0018_＀＀_x0008_＀＀_x0001_＀＀_x0001_＀＀豀碵꼝쐕퐁䭯_x001E_千幘捩彡敭湡䕟䥂䑔㈨〰ⰹ〴㔰⤶_x0018_＀＀_x0018_＀＀_x0008_＀＀_x0001_＀＀_x0001_＀＀豀碵꼝쐕폽䭯_x0019_千幘南彆䅓䕌⡓呌卍㌬㌸ㄲ착_x0018_＀＀_x0018_＀＀_x0008_＀＀_x0001_＀＀_x0001_＀＀＀＀＀＀豈䂾폼䭯_x0019_千幘南彆十䕓協儨剔㌬㌹㔵착_x0018_＀＀_x0018_＀＀_x0008_＀＀_x0001_＀＀_x0001_＀＀＀＀＀＀ŀ䃙폻䭯_x001A_千幘南彆䕄呂䱟⡔呑ⱒ㠳㤹⤰_x0018_＀＀_x0018_＀＀_x0008_＀＀_x0001_＀＀_x0001_＀＀＀＀＀＀䤀䂳폺䭯_x001A_千幘南彆䅃䡓卟⡔呑ⱒ㜳ㄷ⤱_x0018_＀＀_x0018_＀＀_x0008_＀＀_x0001_＀＀_x0001_＀＀＀＀＀＀怀䁲퐍䭯)千幘䅃偟久当䵅彐佃呎䥒彂⡃㈱㈯〰ⰵⰬ唬䑓착_x0018_＀＀_x0018_＀＀_x0008_＀＀_x0001_＀＀_x0001_＀＀豀碵꼝쐕퐌䭯)千幘䅃偟协剔呅佟䡔䑁彊䉎⡁㈱㈯〰ⰸⰬ唬䑓착_x0018_＀＀_x0018_＀＀_x0008_＀＀_x0001_＀＀_x0001_＀＀豀碵꼝쐕퐀䭯_x001E_千幘捩彡敭湡䕟䥂䑔㈨〰ⰲ㜳㘵⤰_x0018_＀＀_x0018_＀＀_x0008_＀＀_x0001_＀＀_x0001_＀＀豀碵꼝쐕폻䭯_x001C_千幘南彆䡓䑌卒䕟⡑呑ⱒ㠳㈶⤵_x0018_＀＀_x0018_＀＀_x0008_＀＀_x0001_＀＀_x0001_＀＀＀＀＀＀刀䂾폻䭯_x001A_千幘南彆䅃䡓卟⡔呑ⱒ㤳㐱⤱_x0018_＀＀_x0018_＀＀_x0008_＀＀_x0001_＀＀_x0001_＀＀＀＀＀＀ 䂌폹䭯_x0011_千幘浣獟獨㌨㈶〸착_x0018_＀＀_x0018_＀＀_x0008_＀＀_x0001_＀＀_x0001_＀＀豀碵꼝쐕퐌䭯G千幘䅃偟久当䕎彔佃呓ㄨ⼲〲㔰ⰬⰬ单⥄址当䕐华佉彎偎彐塅⡐㈱㈯〰ⰵⰬ唬䑓착_x0018_＀＀_x0018_＀＀_x0008_＀＀_x0001_＀＀_x0001_＀＀＀＀＀＀＀＀䁇퐁䭯_x001C_千幘捩彡敭湡獟獬㈨〰ⰶ㠳㌵⤳_x0018_＀＀_x0018_＀＀_x0008_＀＀_x0001_＀＀_x0001_＀＀豀碵꼝쐕폾䭯_x0018_千幘南彆䉅呉䰨䵔ⱓ〴㜱⤸_x0018_＀＀_x0018_＀＀_x0008_＀＀_x0001_＀＀_x0001_＀＀＀＀＀＀؀䂢폽䭯_x0019_千幘南彆䅓䕌⡓呌卍㌬㠸㠹착_x0018_＀＀_x0018_＀＀_x0008_＀＀_x0001_＀＀_x0001_＀＀＀＀＀＀쐀䃁폺䭯_x001A_千幘南彆䕄呂卟⡔呑ⱒ㘳㘷⤹_x0018_＀＀_x0018_＀＀_x0008_＀＀_x0001_＀＀_x0001_＀＀＀＀＀＀ࠀ䂊폹䭯_x0011_千幘浣獟獨㌨㤷㔵착_x0018_＀＀_x0018_＀＀_x0008_＀＀_x0001_＀＀_x0001_＀＀豀碵꼝쐕퐂䭯_x001C_千幘捩彡敭湡偟䥔㈨〰ⰵ㠳ㄴ⤱_x0018_＀＀_x0018_＀＀_x0008_＀＀_x0001_＀＀_x0001_＀＀豀碵꼝쐕퐁䭯_x001C_千幘捩彡敭湡獟獬㈨〰ⰶ㠳㠳⤳_x0018_＀＀_x0018_＀＀_x0008_＀＀_x0001_＀＀_x0001_＀＀豀碵꼝쐕폽䭯_x0019_千幘南彆䅓䕌⡓呌卍㌬㤹㌳착_x0018_＀＀_x0018_＀＀_x0008_＀＀_x0001_＀＀_x0001_＀＀＀＀＀＀ኀ䃅폻䭯_x001C_千幘南彆䡓䑌卒䕟⡑呑ⱒ㜳㜷⤲_x0018_＀＀_x0018_＀＀_x0008_＀＀_x0001_＀＀_x0001_＀＀＀＀＀＀대䂸폺䭯_x001A_千幘南彆䕄呂卟⡔呑ⱒ㠳㤱⤹_x0018_＀＀_x0018_＀＀_x0008_＀＀_x0001_＀＀_x0001_＀＀＀＀＀＀瀀䂉폹䭯_x0011_千幘浣獟獨㌨㔸㔹착_x0018_＀＀_x0018_＀＀_x0008_＀＀_x0001_＀＀_x0001_＀＀豀碵꼝쐕퐍䭯 千幘南䕟䍘彈䅒䕔䉟䱁卟⡈㈱㈯〰⤷_x0018_＀＀_x0018_＀＀_x0008_＀＀_x0001_＀＀_x0001_＀＀豀碵꼝쐕퐍䭯C千幘䅃偟久当剐䩏佟䱂ㄨ⼲〲㘰ⰬⰬ单⥄址当䕐华佉彎䉐⡏㈱㈯〰ⰶⰬ唬䑓착_x0018_＀＀_x0018_＀＀_x0008_＀＀_x0001_＀＀_x0001_＀＀＀＀＀＀㘀䂠퐍䭯(千幘䅃偟久当䅐呒䍟乏剔䉉ㄨ⼲〲㘰ⰬⰬ单⥄_x0018_＀＀_x0018_＀＀_x0008_＀＀_x0001_＀＀_x0001_＀＀豀碵꼝쐕퐌䭯P千幘䅃偟协剔呅偟䅌彎十彔久⡄㈱㈯〰ⰱⰬ唬䑓䀩南䡟呌䍈剁彅噆䅟卓呅ㄨ⼲〲㄰ⰬⰬ单⥄_x0018_＀＀_x0018_＀＀_x0008_＀＀_x0001_＀＀_x0001_＀＀豀碵꼝쐕퐃䭯_x001C_千幘捩彡敭湡䕟卐㈨〰ⰹ㤳㤹⤴_x0018_＀＀_x0018_＀＀_x0008_＀＀_x0001_＀＀_x0001_＀＀豀碵꼝쐕퐃䭯_x001C_千幘捩彡敭湡䕟卐㈨〰ⰸ㤳㈶⤹_x0018_＀＀_x0018_＀＀_x0008_＀＀_x0001_＀＀_x0001_＀＀豀碵꼝쐕퐁䭯_x001E_千幘捩彡敭湡䕟䥂䑔㈨〰ⰵ㠳㜰⤷_x0018_＀＀_x0018_＀＀_x0008_＀＀_x0001_＀＀_x0001_＀＀豀碵꼝쐕폾䭯_x001B_千幘南彆偅当䥄⡌呌卍㌬㘶㜷착_x0018_＀＀_x0018_＀＀_x0008_＀＀_x0001_＀＀_x0001_＀＀픓͛╛㾈폺䭯_x001A_千幘南彆䕄呂卟⡔呑ⱒ㜳㐷⤱_x0018_＀＀_x0018_＀＀_x0008_＀＀_x0001_＀＀_x0001_＀＀＀＀＀＀⠀䂀퐁䭯_x001D_千幘捩彡敭湡䕟䥂⡔〲㠰㌬㈹㈰착_x0018_＀＀_x0018_＀＀_x0008_＀＀_x0001_＀＀_x0001_＀＀豀碵꼝쐕퐀䭯_x001C_千幘捩彡敭湡獟獬㈨〰ⰳ㜳㈶⤱_x0018_＀＀_x0018_＀＀_x0008_＀＀_x0001_＀＀_x0001_＀＀豀碵꼝쐕퐀䭯_x001B_千幘南彆䕎彔义⡃呌卍㌬ㄹ㈷착_x0018_＀＀_x0018_＀＀_x0008_＀＀_x0001_＀＀_x0001_＀＀＀＀＀＀搀䂔폿䭯_x001B_千幘南彆偅当䥄⡌呌卍㌬㤶㈲착_x0018_＀＀_x0018_＀＀_x0008_＀＀_x0001_＀＀_x0001_＀＀긔ᑺ㿞폽䭯_x001E_千幘南彆䉅呉䅄䵟乇䰨䵔ⱓ㤳㤶⤱_x0018_＀＀_x0018_＀＀_x0008_＀＀_x0001_＀＀_x0001_＀＀_xD884_䏄ꄘ䁀폺䭯_x001A_千幘南彆䕄呂䱟⡔呑ⱒ㘳㠲⤰_x0018_＀＀_x0018_＀＀_x0008_＀＀_x0001_＀＀_x0001_＀＀＀＀＀＀䰀䂹퐍䭯'千幘䅃偟久当商䑎卟䅔啔⡓㈱㈯〰ⰵⰬ唬䑓착_x0018_＀＀_x0018_＀＀_x0008_＀＀_x0001_＀＀_x0001_＀＀豀碵꼝쐕퐀䭯_x001B_千幘南彆偅当䥄⡌呌卍㌬㌸㈵착_x0018_＀＀_x0018_＀＀_x0008_＀＀_x0001_＀＀_x0001_＀＀롒蔞凫㿨폺䭯_x001A_千幘南彆䕄呂䱟⡔呑ⱒ㜳㔹⤵_x0018_＀＀_x0018_＀＀_x0008_＀＀_x0001_＀＀_x0001_＀＀＀＀＀＀倀䂹폹䭯_x001D_千幘捩彡敭湡䕟䥂⡔〲㐰㌬㠷㐹착_x0018_＀＀_x0018_＀＀_x0008_＀＀_x0001_＀＀_x0001_＀＀豀碵꼝쐕폹䭯_x001D_千幘捩彡敭湡䕟䥂⡔〲㌰㌬㔷㤲착_x0018_＀＀_x0018_＀＀_x0008_＀＀_x0001_＀＀_x0001_＀＀豀碵꼝쐕퐃䭯_x001C_千幘捩彡敭湡䕟卐㈨㄰ⰰ〴〲⤹_x0018_＀＀_x0018_＀＀_x0008_＀＀_x0001_＀＀_x0001_＀＀豀碵꼝쐕퐀䭯_x001E_千幘捩彡敭湡䕟䥂䑔㈨〰ⰳ㜳㠶⤰_x0018_＀＀_x0018_＀＀_x0008_＀＀_x0001_＀＀_x0001_＀＀豀碵꼝쐕폺䭯_x001A_千幘南彆䕄呂䱟⡔呑ⱒ㠳㤵⤵_x0018_＀＀_x0018_＀＀_x0008_＀＀_x0001_＀＀_x0001_＀＀＀＀＀＀ᜀ䂵폹䭯_x0012_千幘彐剐䍉⡅㜳㘴⤸_x0018_＀＀_x0018_＀＀_x0008_＀＀_x0001_＀＀_x0001_＀＀尩슏䣵䀱퐌䭯*千幘南䡟呌䍈剁彅塅彐呌剟䅏ㄨ⼲〲㤰ⰬⰬ单⥄_x0018_＀＀_x0018_＀＀_x0008_＀＀_x0001_＀＀_x0001_＀＀豀碵꼝쐕퐃䭯_x001C_千幘捩彡敭湡䕟卐㈨〰ⰵ㠳ㄷ⤷_x0018_＀＀_x0018_＀＀_x0008_＀＀_x0001_＀＀_x0001_＀＀豀碵꼝쐕퐀䭯_x001B_千幘南彆䕎彔义⡃呌卍㌬㤹㐹착_x0018_＀＀_x0018_＀＀_x0008_＀＀_x0001_＀＀_x0001_＀＀＀＀＀＀ 䂒폾䭯_x001B_千幘南彆呐彘义⡃呌卍㌬㐷㠶착_x0018_＀＀_x0018_＀＀_x0008_＀＀_x0001_＀＀_x0001_＀＀＀＀＀＀_xD800_䂂폼䭯_x0019_千幘南彆䅓䕌⡓呌卍㌬㐶㌳착_x0018_＀＀_x0018_＀＀_x0008_＀＀_x0001_＀＀_x0001_＀＀＀＀＀＀꜀䃄폼䭯_x0019_千幘南彆十䕓協儨剔㌬㘶㜷착_x0018_＀＀_x0018_＀＀_x0008_＀＀_x0001_＀＀_x0001_＀＀＀＀＀＀ୀ䃔폹䭯_x0012_千幘彐剐䍉⡅㠳〵⤳_x0018_＀＀_x0018_＀＀_x0008_＀＀_x0001_＀＀_x0001_＀＀휊炣쨽䀴퐍䭯C千幘䅃偟久当剐䩏佟䱂ㄨ⼲〲㔰ⰬⰬ单⥄址当䕐华佉彎䉐⡏㈱㈯〰ⰵⰬ唬䑓착_x0018_＀＀_x0018_＀＀_x0008_＀＀_x0001_＀＀_x0001_＀＀＀＀＀＀㰀䂠퐀䭯_x001B_千幘南彆偅当䥄⡌呌卍㌬㤹㐶착_x0018_＀＀_x0018_＀＀_x0008_＀＀_x0001_＀＀_x0001_＀＀䁏愓鏃䀉폾䭯_x001B_千幘南彆呐彘义⡃呌卍㌬㔸㌰착_x0018_＀＀_x0018_＀＀_x0008_＀＀_x0001_＀＀_x0001_＀＀＀＀＀＀堀䂋폼䭯_x0019_千幘南彆十䕓協儨剔㌬㤶㈲착_x0018_＀＀_x0018_＀＀_x0008_＀＀_x0001_＀＀_x0001_＀＀＀＀＀＀ˀ䃔폹䭯_x001D_千幘捩彡敭湡䕟䥂⡔〲㌰㌬㜷ㄱ착_x0018_＀＀_x0018_＀＀_x0008_＀＀_x0001_＀＀_x0001_＀＀豀碵꼝쐕퐍䭯[千幘南剟久䅔彌偏䱟䕓䕟偘ㄨ⼲〲㄰ㄬ⼲〲㄰ⰬⰬ单⥄䍀彁呒剟久彔䥍彎塅⡐㈱㈯〰ⰱ㈱㈯〰ⰱⰬ唬䑓착_x0018_＀＀_x0018_＀＀_x0008_＀＀_x0001_＀＀_x0001_＀＀＀＀＀＀退䂃퐃䭯_x001C_千幘捩彡敭湡䕟卐㈨〰ⰷ㤳㌲⤳_x0018_＀＀_x0018_＀＀_x0008_＀＀_x0001_＀＀_x0001_＀＀豀碵꼝쐕퐂䭯_x001C_千幘捩彡敭湡偟䥔㈨〰ⰳ㜳㌴⤷_x0018_＀＀_x0018_＀＀_x0008_＀＀_x0001_＀＀_x0001_＀＀豀碵꼝쐕퐁䭯_x001C_千幘捩彡敭湡獟獬㈨〰ⰴ㠳㤱⤹_x0018_＀＀_x0018_＀＀_x0008_＀＀_x0001_＀＀_x0001_＀＀豀碵꼝쐕폽䭯_x0018_千幘南彆䉅呉䰨䵔ⱓ㠳㠶⤶_x0018_＀＀_x0018_＀＀_x0008_＀＀_x0001_＀＀_x0001_＀＀＀＀＀＀ 䂕폽䭯_x0019_千幘南彆䅓䕌⡓呌卍㌬㔹㠳착_x0018_＀＀_x0018_＀＀_x0008_＀＀_x0001_＀＀_x0001_＀＀＀＀＀＀⢀䃄폽䭯_x0019_千幘南彆䅓䕌⡓呌卍㌬㜸㠴착_x0018_＀＀_x0018_＀＀_x0008_＀＀_x0001_＀＀_x0001_＀＀＀＀＀＀픀䃀폼䭯_x001E_千幘南彆䉅呉䅄䵟乇䰨䵔ⱓ㘳㐳⤱_x0018_＀＀_x0018_＀＀_x0008_＀＀_x0001_＀＀_x0001_＀＀_xD9FB_敢䛸䀷폼䭯_x0019_千幘南彆十䕓協儨剔㌬㌸㈵착_x0018_＀＀_x0018_＀＀_x0008_＀＀_x0001_＀＀_x0001_＀＀＀＀＀＀ŀ䃘폹䭯_x0012_千幘彐剐䍉⡅㘳㘸⤰_x0018_＀＀_x0018_＀＀_x0008_＀＀_x0001_＀＀_x0001_＀＀_x0001_＀＀䀩퐅䭯_x001F_刣晥敲桳帣南䙟䍙⴨⤱䍀彁奆⡃ㄭ착_x0014_＀＀_x0018_＀＀_x0004_＀＀_x0001_＀＀_x0008_＀＀乀A퐂䭯_x001C_千幘捩彡敭湡䕟卐㈨〰ⰰ㘳㐳⤱_x0018_＀＀_x0018_＀＀_x0008_＀＀_x0001_＀＀_x0001_＀＀豀碵꼝쐕퐁䭯_x001C_千幘捩彡敭湡獟獬㈨〰ⰸ㤳㌵⤸_x0018_＀＀_x0018_＀＀_x0008_＀＀_x0001_＀＀_x0001_＀＀豀碵꼝쐕폾䭯_x001B_千幘南彆䕎彔义⡃呌卍㌬㜶㜰착_x0018_＀＀_x0018_＀＀_x0008_＀＀_x0001_＀＀_x0001_＀＀＀＀＀＀＀＀쁋폾䭯_x001B_千幘南彆呐彘义⡃呌卍㌬㠶〶착_x0018_＀＀_x0018_＀＀_x0008_＀＀_x0001_＀＀_x0001_＀＀＀＀＀＀䀀䁮폾䭯_x0018_千幘南彆䉅呉䰨䵔ⱓ㤳㈷⤱_x0018_＀＀_x0018_＀＀_x0008_＀＀_x0001_＀＀_x0001_＀＀＀＀＀＀ᰀ䂦폼䭯_x001E_千幘南彆䉅呉䅄䵟乇䰨䵔ⱓ㘳㤱⤱_x0018_＀＀_x0018_＀＀_x0008_＀＀_x0001_＀＀_x0001_＀＀𥳐玸珹䀷폻䭯_x001C_千幘南彆䡓䑌卒䕟⡑呑ⱒ㤳〲⤲_x0018_＀＀_x0018_＀＀_x0008_＀＀_x0001_＀＀_x0001_＀＀＀＀＀＀케䃁폻䭯_x001A_千幘南彆䅃䡓卟⡔呑ⱒ㤳㘵⤸_x0018_＀＀_x0018_＀＀_x0008_＀＀_x0001_＀＀_x0001_＀＀＀＀＀＀鰀䂙퐃䭯_x001C_千幘捩彡敭湡䕟卐㈨〰ⰹ㤳㤵⤹_x0018_＀＀_x0018_＀＀_x0008_＀＀_x0001_＀＀_x0001_＀＀豀碵꼝쐕퐂䭯_x001C_千幘捩彡敭湡䕟卐ㄨ㤹ⰹ㘳㈵⤵_x0018_＀＀_x0018_＀＀_x0008_＀＀_x0001_＀＀_x0001_＀＀豀碵꼝쐕퐂䭯_x001C_千幘捩彡敭湡䕟卐㈨〰ⰰ㘳㤱⤱_x0018_＀＀_x0018_＀＀_x0008_＀＀_x0001_＀＀_x0001_＀＀豀碵꼝쐕퐁䭯_x001E_千幘捩彡敭湡䕟䥂䑔㈨〰ⰶ㠳㐴⤲_x0018_＀＀_x0018_＀＀_x0008_＀＀_x0001_＀＀_x0001_＀＀豀碵꼝쐕퐀䭯_x001C_千幘捩彡敭湡獟獬㈨〰ⰴ㜳㐷⤱_x0018_＀＀_x0018_＀＀_x0008_＀＀_x0001_＀＀_x0001_＀＀豀碵꼝쐕폽䭯_x001E_千幘南彆䉅呉䅄䵟乇䰨䵔ⱓ㠳㔶⤶_x0018_＀＀_x0018_＀＀_x0008_＀＀_x0001_＀＀_x0001_＀＀뮋䚛鼌䀹폻䭯_x001A_千幘南彆䅃䡓卟⡔呑ⱒ㤳ㄸ⤳_x0018_＀＀_x0018_＀＀_x0008_＀＀_x0001_＀＀_x0001_＀＀＀＀＀＀䠀䂇폺䭯_x001A_千幘南彆䕄呂卟⡔呑ⱒ㜳㐳⤶_x0018_＀＀_x0018_＀＀_x0008_＀＀_x0001_＀＀_x0001_＀＀＀＀＀＀쀀䂍폺䭯_x001A_千幘南彆䕄呂卟⡔呑ⱒ㘳㔵⤶_x0018_＀＀_x0018_＀＀_x0008_＀＀_x0001_＀＀_x0001_＀＀＀＀＀＀_xD800_䂌퐌䭯#千幘䅃偟协剔呅䱟䅉⡂㈱㈯〰ⰴⰬ唬䑓착_x0018_＀＀_x0018_＀＀_x0008_＀＀_x0001_＀＀_x0001_＀＀豀碵꼝쐕퐃䭯_x001C_千幘捩彡敭湡䕟卐㈨〰ⰹ㤳㐸⤴_x0018_＀＀_x0018_＀＀_x0008_＀＀_x0001_＀＀_x0001_＀＀豀碵꼝쐕퐂䭯_x001C_千幘捩彡敭湡偟䥔㈨〰ⰸ㤳㠷⤲_x0018_＀＀_x0018_＀＀_x0008_＀＀_x0001_＀＀_x0001_＀＀豀碵꼝쐕퐁䭯_x001E_千幘捩彡敭湡䕟䥂䑔㈨〰ⰶ㤳㠰⤲_x0018_＀＀_x0018_＀＀_x0008_＀＀_x0001_＀＀_x0001_＀＀豀碵꼝쐕퐀䭯_x001B_千幘南彆偅当䥄⡌呌卍㌬ㄸ㜰착_x0018_＀＀_x0018_＀＀_x0008_＀＀_x0001_＀＀_x0001_＀＀塏Ǣ卥㿚폼䭯_x0019_千幘南彆十䕓協儨剔㌬㤹㐶착_x0018_＀＀_x0018_＀＀_x0008_＀＀_x0001_＀＀_x0001_＀＀＀＀＀＀䃙폹䭯_x0011_千幘浣獟獨㌨ㄹ㈷착_x0018_＀＀_x0018_＀＀_x0008_＀＀_x0001_＀＀_x0001_＀＀豀碵꼝쐕퐌䭯)千幘南䡟呌䍈剁彅䥄䍓剟呁⡅㈱㈯〰ⰲⰬ唬䑓착_x0018_＀＀_x0018_＀＀_x0008_＀＀_x0001_＀＀_x0001_＀＀＀＀＀＀＀＀䀖퐃䭯_x001C_千幘捩彡敭湡䕟卐㈨〰ⰴ㠳㈳⤱_x0018_＀＀_x0018_＀＀_x0008_＀＀_x0001_＀＀_x0001_＀＀豀碵꼝쐕폾䭯_x001B_千幘南彆䕎彔义⡃呌卍㌬㐶㐹착_x0018_＀＀_x0018_＀＀_x0008_＀＀_x0001_＀＀_x0001_＀＀＀＀＀＀＀＀䁧폻䭯_x001A_千幘南彆䕄呂卟⡔呑ⱒ㤳㈰⤱_x0018_＀＀_x0018_＀＀_x0008_＀＀_x0001_＀＀_x0001_＀＀＀＀＀＀렀䂐폻䭯_x001A_千幘南彆䅃䡓卟⡔呑ⱒ㠳㘹⤰_x0018_＀＀_x0018_＀＀_x0008_＀＀_x0001_＀＀_x0001_＀＀＀＀＀＀倀䂅퐃䭯_x001C_千幘捩彡敭湡䕟卐㈨〰ⰸ㤳ㄴ⤶_x0018_＀＀_x0018_＀＀_x0008_＀＀_x0001_＀＀_x0001_＀＀豀碵꼝쐕퐃䭯_x001C_千幘捩彡敭湡䕟卐㈨〰ⰶ㠳㌸⤷_x0018_＀＀_x0018_＀＀_x0008_＀＀_x0001_＀＀_x0001_＀＀豀碵꼝쐕폾䭯_x001B_千幘南彆偅当䥄⡌呌卍㌬㐶㐶착_x0018_＀＀_x0018_＀＀_x0008_＀＀_x0001_＀＀_x0001_＀＀땴ﬕ㿛퐌䭯E千幘䅃偟协剔呅䉟久佟⡂㈱㈯〰ⰵⰬ唬䑓䀩南䡟呌䍈剁彅䉐⡏㈱㈯〰ⰵⰬ唬䑓착_x0018_＀＀_x0018_＀＀_x0008_＀＀_x0001_＀＀_x0001_＀＀＀＀＀＀쀀䁻퐁䭯_x001D_千幘捩彡敭湡䕟䥂⡔〲㤰㌬㤹㐹착_x0018_＀＀_x0018_＀＀_x0008_＀＀_x0001_＀＀_x0001_＀＀豀碵꼝쐕퐁䭯_x001D_千幘捩彡敭湡䕟䥂⡔〲㠰㌬㘹㤲착_x0018_＀＀_x0018_＀＀_x0008_＀＀_x0001_＀＀_x0001_＀＀豀碵꼝쐕퐀䭯_x001B_千幘南彆䕎彔义⡃呌卍㌬㔹㤹착_x0018_＀＀_x0018_＀＀_x0008_＀＀_x0001_＀＀_x0001_＀＀＀＀＀＀䂔퐀䭯_x001B_千幘南彆偅当䥄⡌呌卍㌬㤸㤲착_x0018_＀＀_x0018_＀＀_x0008_＀＀_x0001_＀＀_x0001_＀＀풪臬ꁖ䀁폹䭯_x0011_千幘浣獟獨㌨㤹㐹착_x0018_＀＀_x0018_＀＀_x0008_＀＀_x0001_＀＀_x0001_＀＀豀碵꼝쐕퐍䭯%千幘䅃偟久当啃归䥌䉁⡓㈱㈯〰ⰶⰬ唬䑓착_x0018_＀＀_x0018_＀＀_x0008_＀＀_x0001_＀＀_x0001_＀＀豀碵꼝쐕퐂䭯_x001C_千幘捩彡敭湡䕟卐㈨〰ⰱ㜳㘱⤴_x0018_＀＀_x0018_＀＀_x0008_＀＀_x0001_＀＀_x0001_＀＀豀碵꼝쐕퐂䭯_x001C_千幘捩彡敭湡偟䥔㈨〰ⰹ㤳㘹⤴_x0018_＀＀_x0018_＀＀_x0008_＀＀_x0001_＀＀_x0001_＀＀豀碵꼝쐕퐁䭯_x001E_千幘捩彡敭湡䕟䥂䑔㈨㄰ⰰ〴㜱⤸_x0018_＀＀_x0018_＀＀_x0008_＀＀_x0001_＀＀_x0001_＀＀豀碵꼝쐕퐁䭯_x001C_千幘捩彡敭湡獟獬㈨㄰ⰰ〴㔰⤶_x0018_＀＀_x0018_＀＀_x0008_＀＀_x0001_＀＀_x0001_＀＀豀碵꼝쐕퐀䭯_x001B_千幘南彆䕎彔义⡃呌卍㌬㠹㐴착_x0018_＀＀_x0018_＀＀_x0008_＀＀_x0001_＀＀_x0001_＀＀＀＀＀＀吀䂕폽䭯_x0018_千幘南彆䉅呉䰨䵔ⱓ㜳㄰⤱_x0018_＀＀_x0018_＀＀_x0008_＀＀_x0001_＀＀_x0001_＀＀＀＀＀＀_xD800_䂊폼䭯_x0019_千幘南彆十䕓協儨剔㌬ㄸ㜰착_x0018_＀＀_x0018_＀＀_x0008_＀＀_x0001_＀＀_x0001_＀＀＀＀＀＀蹀䃕퐍䭯F千幘䅃偟久当佒彁䍁⡔㈱㈯〰ⰸⰬ唬䑓䀩南偟久䥓乏䅟呃剟䅏ㄨ⼲〲㠰ⰬⰬ单⥄_x0018_＀＀_x0018_＀＀_x0008_＀＀_x0001_＀＀_x0001_＀＀＀＀＀＀ 쁽퐂䭯_x001C_千幘捩彡敭湡偟䥔㈨〰ⰴ㜳〸⤲_x0018_＀＀_x0018_＀＀_x0008_＀＀_x0001_＀＀_x0001_＀＀豀碵꼝쐕퐁䭯_x001E_千幘捩彡敭湡䕟䥂䑔㈨〰ⰵ㠳㠶⤶_x0018_＀＀_x0018_＀＀_x0008_＀＀_x0001_＀＀_x0001_＀＀豀碵꼝쐕퐁䭯_x001C_千幘捩彡敭湡獟獬㈨〰ⰵ㠳㘵⤴_x0018_＀＀_x0018_＀＀_x0008_＀＀_x0001_＀＀_x0001_＀＀豀碵꼝쐕폻䭯_x001A_千幘南彆䕄呂䱟⡔呑ⱒ㤳㜱⤲_x0018_＀＀_x0018_＀＀_x0008_＀＀_x0001_＀＀_x0001_＀＀＀＀＀＀㸀䂴폺䭯_x001A_千幘南彆䅃䡓卟⡔呑ⱒ㜳〱⤳_x0018_＀＀_x0018_＀＀_x0008_＀＀_x0001_＀＀_x0001_＀＀＀＀＀＀怀䂁퐃䭯_x001C_千幘捩彡敭湡䕟卐㈨〰ⰳ㜳㈹⤵_x0018_＀＀_x0018_＀＀_x0008_＀＀_x0001_＀＀_x0001_＀＀豀碵꼝쐕퐂䭯_x001C_千幘捩彡敭湡偟䥔㈨〰ⰶ㤳㈰⤱_x0018_＀＀_x0018_＀＀_x0008_＀＀_x0001_＀＀_x0001_＀＀豀碵꼝쐕퐂䭯_x001C_千幘捩彡敭湡偟䥔㈨〰ⰴ㜳㔶⤲_x0018_＀＀_x0018_＀＀_x0008_＀＀_x0001_＀＀_x0001_＀＀豀碵꼝쐕퐁䭯_x001D_千幘捩彡敭湡䕟䥂⡔〲〱㐬㈰㤰착_x0018_＀＀_x0018_＀＀_x0008_＀＀_x0001_＀＀_x0001_＀＀豀碵꼝쐕퐁䭯_x001C_千幘捩彡敭湡獟獬㈨〰ⰹ㤳〹⤳_x0018_＀＀_x0018_＀＀_x0008_＀＀_x0001_＀＀_x0001_＀＀豀碵꼝쐕폼䭯_x0019_千幘南彆十䕓協儨剔㌬㐶㐶착_x0018_＀＀_x0018_＀＀_x0008_＀＀_x0001_＀＀_x0001_＀＀＀＀＀＀謀䃔폻䭯_x001C_千幘南彆䡓䑌卒䕟⡑呑ⱒ㠳㄰⤷_x0018_＀＀_x0018_＀＀_x0008_＀＀_x0001_＀＀_x0001_＀＀＀＀＀＀㔀䂹폻䭯_x001A_千幘南彆䕄呂卟⡔呑ⱒ㠳㤹⤰_x0018_＀＀_x0018_＀＀_x0008_＀＀_x0001_＀＀_x0001_＀＀＀＀＀＀렀䂐폹䭯_x0011_千幘浣獟獨㌨㜶㜰착_x0018_＀＀_x0018_＀＀_x0008_＀＀_x0001_＀＀_x0001_＀＀豀碵꼝쐕퐍䭯'千幘南偟久䥓乏也呅䱟䅉⡂㈱㈯〰ⰲⰬ唬䑓착_x0018_＀＀_x0018_＀＀_x0008_＀＀_x0001_＀＀_x0001_＀＀豀碵꼝쐕퐈䭯;千幘南偟久䥓乏䅟卓呅当剐偏ㄨ⼲〲㤰䀩䅃偟久当䍐彔䕒ㄨ⼲〲㤰착_x0018_＀＀_x0018_＀＀_x0008_＀＀_x0001_＀＀_x0001_＀＀豀碵꼝쐕퐁䭯_x001D_千幘捩彡敭湡䕟䥂⡔〲㔰㌬㜸㜱착_x0018_＀＀_x0018_＀＀_x0008_＀＀_x0001_＀＀_x0001_＀＀豀碵꼝쐕퐁䭯_x001C_千幘捩彡敭湡獟獬㈨〰ⰹ〴㐱⤷_x0018_＀＀_x0018_＀＀_x0008_＀＀_x0001_＀＀_x0001_＀＀豀碵꼝쐕폽䭯_x0018_千幘南彆䉅呉䰨䵔ⱓ㜳㌸⤳_x0018_＀＀_x0018_＀＀_x0008_＀＀_x0001_＀＀_x0001_＀＀＀＀＀＀ꐀ䂑폼䭯_x0019_千幘南彆十䕓協儨剔㌬㤸㤲착_x0018_＀＀_x0018_＀＀_x0008_＀＀_x0001_＀＀_x0001_＀＀＀＀＀＀ր䃘폺䭯_x001A_千幘南彆䅃䡓卟⡔呑ⱒ㘳㔲⤰_x0018_＀＀_x0018_＀＀_x0008_＀＀_x0001_＀＀_x0001_＀＀＀＀＀＀　䂁폾䭯_x0018_千幘南彆䉅呉䰨䵔ⱓ㤳㘲⤳_x0018_＀＀_x0018_＀＀_x0008_＀＀_x0001_＀＀_x0001_＀＀＀＀＀＀☀䂡폽䭯_x0019_千幘南彆䅓䕌⡓呌卍㌬㌹㔲착_x0018_＀＀_x0018_＀＀_x0008_＀＀_x0001_＀＀_x0001_＀＀＀＀＀＀ጀ䃃폻䭯_x001C_千幘南彆䡓䑌卒䕟⡑呑ⱒ㜳㘱⤴_x0018_＀＀_x0018_＀＀_x0008_＀＀_x0001_＀＀_x0001_＀＀＀＀＀＀䂷폻䭯_x001A_千幘南彆䕄呂䱟⡔呑ⱒ㤳㤹⤴_x0018_＀＀_x0018_＀＀_x0008_＀＀_x0001_＀＀_x0001_＀＀＀＀＀＀ﴀ䂾폺䭯_x001A_千幘南彆䅃䡓卟⡔呑ⱒ㜳㈹⤵_x0018_＀＀_x0018_＀＀_x0008_＀＀_x0001_＀＀_x0001_＀＀＀＀＀＀＀＀䂇폹䭯_x0012_千幘彐剐䍉⡅〴〲⤹_x0018_＀＀_x0018_＀＀_x0008_＀＀_x0001_＀＀_x0001_＀＀䞮竡渔䁅퐌䭯T千幘䅃偟协剔呅偟䥒剏卟噒ㄨ⼲〲㠰ⰬⰬ单⥄址当䱈䡔䅃䕒啟剎䍅卟剅彖佃呓ㄨ⼲〲㠰ⰬⰬ单⥄_x0018_＀＀_x0018_＀＀_x0008_＀＀_x0001_＀＀_x0001_＀＀豀碵꼝쐕퐌䭯,千幘䅃偟协剔呅䕟偍䍟乏剔䉉䍟ㄨ⼲〲㈰ⰬⰬ单⥄_x0018_＀＀_x0018_＀＀_x0008_＀＀_x0001_＀＀_x0001_＀＀豀碵꼝쐕퐃䭯_x001C_千幘捩彡敭湡䕟卐㈨〰ⰵ㠳㤲⤱_x0018_＀＀_x0018_＀＀_x0008_＀＀_x0001_＀＀_x0001_＀＀豀碵꼝쐕퐁䭯_x001D_千幘捩彡敭湡䕟䥂⡔〲㜰㌬㈹㌳착_x0018_＀＀_x0018_＀＀_x0008_＀＀_x0001_＀＀_x0001_＀＀豀碵꼝쐕퐁䭯_x001C_千幘捩彡敭湡獟獬㈨〰ⰸ㤳㈳⤵_x0018_＀＀_x0018_＀＀_x0008_＀＀_x0001_＀＀_x0001_＀＀豀碵꼝쐕폾䭯_x001B_千幘南彆偅当䥄⡌呌卍㌬㈶㤱착_x0018_＀＀_x0018_＀＀_x0008_＀＀_x0001_＀＀_x0001_＀＀긔ᑺ㿴폾䭯_x001B_千幘南彆呐彘义⡃呌卍㐬㈰㤰착_x0018_＀＀_x0018_＀＀_x0008_＀＀_x0001_＀＀_x0001_＀＀＀＀＀＀吀䂛폼䭯_x001C_千幘南彆䡓䑌卒䕟⡑呑ⱒ㤳㈶⤹_x0018_＀＀_x0018_＀＀_x0008_＀＀_x0001_＀＀_x0001_＀＀＀＀＀＀뢀䃁폻䭯_x001A_千幘南彆䅃䡓卟⡔呑ⱒ㤳㔳⤵_x0018_＀＀_x0018_＀＀_x0008_＀＀_x0001_＀＀_x0001_＀＀＀＀＀＀倀䂓폹䭯_x0011_千幘浣獟獨㌨㐶㐹착_x0018_＀＀_x0018_＀＀_x0008_＀＀_x0001_＀＀_x0001_＀＀豀碵꼝쐕퐂䭯_x001C_千幘捩彡敭湡偟䥔㈨㄰ⰰ〴ㄱ⤷_x0018_＀＀_x0018_＀＀_x0008_＀＀_x0001_＀＀_x0001_＀＀豀碵꼝쐕폿䭯_x001B_千幘南彆䕎彔义⡃呌卍㌬ㄷ㐳착_x0018_＀＀_x0018_＀＀_x0008_＀＀_x0001_＀＀_x0001_＀＀＀＀＀＀쀀䁬폽䭯_x001E_千幘南彆䉅呉䅄䵟乇䰨䵔ⱓ㤳㌲⤳_x0018_＀＀_x0018_＀＀_x0008_＀＀_x0001_＀＀_x0001_＀＀⤫烧⣅䁀폽䭯_x0019_千幘南彆䅓䕌⡓呌卍㌬㐸㈷착_x0018_＀＀_x0018_＀＀_x0008_＀＀_x0001_＀＀_x0001_＀＀＀＀＀＀㊀䃀폹䭯_x0012_千幘彐剐䍉⡅㤳㔷⤲_x0018_＀＀_x0018_＀＀_x0008_＀＀_x0001_＀＀_x0001_＀＀轜_xDC28_䁆퐃䭯_x001C_千幘捩彡敭湡䕟卐㈨〰ⰹ〴㈰⤵_x0018_＀＀_x0018_＀＀_x0008_＀＀_x0001_＀＀_x0001_＀＀豀碵꼝쐕퐂䭯_x001C_千幘捩彡敭湡偟䥔㈨〰ⰶ㠳㤹⤰_x0018_＀＀_x0018_＀＀_x0008_＀＀_x0001_＀＀_x0001_＀＀豀碵꼝쐕퐂䭯_x001C_千幘捩彡敭湡偟䥔㈨〰ⰵ㠳㈶⤵_x0018_＀＀_x0018_＀＀_x0008_＀＀_x0001_＀＀_x0001_＀＀豀碵꼝쐕퐁䭯_x001D_千幘捩彡敭湡䕟䥂⡔〲㤰㌬㔹㤹착_x0018_＀＀_x0018_＀＀_x0008_＀＀_x0001_＀＀_x0001_＀＀豀碵꼝쐕폾䭯_x001B_千幘南彆呐彘义⡃呌卍㌬㜹㈵착_x0018_＀＀_x0018_＀＀_x0008_＀＀_x0001_＀＀_x0001_＀＀＀＀＀＀㠀䂢폼䭯_x001E_千幘南彆䉅呉䅄䵟乇䰨䵔ⱓ㘳㔹⤰_x0018_＀＀_x0018_＀＀_x0008_＀＀_x0001_＀＀_x0001_＀＀汩幇盎䀱폻䭯_x001C_千幘南彆䡓䑌卒䕟⡑呑ⱒ㠳㜷⤶_x0018_＀＀_x0018_＀＀_x0008_＀＀_x0001_＀＀_x0001_＀＀＀＀＀＀ሀ䂿폻䭯_x001C_千幘南彆䡓䑌卒䕟⡑呑ⱒ㜳㠹⤶_x0018_＀＀_x0018_＀＀_x0008_＀＀_x0001_＀＀_x0001_＀＀＀＀＀＀㔀䂹폺䭯_x001A_千幘南彆䕄呂䱟⡔呑ⱒ㘳〷⤷_x0018_＀＀_x0018_＀＀_x0008_＀＀_x0001_＀＀_x0001_＀＀＀＀＀＀頀䂸폹䭯_x0011_千幘浣獟獨㌨㔹㤹착_x0018_＀＀_x0018_＀＀_x0008_＀＀_x0001_＀＀_x0001_＀＀豀碵꼝쐕퐌䭯B千幘䅃偟久当佒⡁㈱㈯〰ⰳⰬ唬䑓䀩南偟久䥓乏䕟偘剟䅏ㄨ⼲〲㌰ⰬⰬ单⥄_x0018_＀＀_x0018_＀＀_x0008_＀＀_x0001_＀＀_x0001_＀＀＀＀＀＀ 쁡퐌䭯)千幘南䡟呌䍈剁彅䥄䍓剟呁⡅㈱㈯〰ⰸⰬ唬䑓착_x0018_＀＀_x0018_＀＀_x0008_＀＀_x0001_＀＀_x0001_＀＀＀＀＀＀＀＀䀗퐁䭯_x001D_千幘捩彡敭湡䕟䥂⡔〲㤰㌬㠹㐴착_x0018_＀＀_x0018_＀＀_x0008_＀＀_x0001_＀＀_x0001_＀＀豀碵꼝쐕폼䭯_x001E_千幘南彆䉅呉䅄䵟乇䰨䵔ⱓ㜳㤵⤰_x0018_＀＀_x0018_＀＀_x0008_＀＀_x0001_＀＀_x0001_＀＀駽睫䀵폺䭯_x001A_千幘南彆䕄呂卟⡔呑ⱒ㘳㠲⤰_x0018_＀＀_x0018_＀＀_x0008_＀＀_x0001_＀＀_x0001_＀＀＀＀＀＀䂀폹䭯_x0011_千幘浣獟獨㌨㠹㐴착_x0018_＀＀_x0018_＀＀_x0008_＀＀_x0001_＀＀_x0001_＀＀豀碵꼝쐕퐂䭯_x001C_千幘捩彡敭湡偟䥔㈨〰ⰷ㤳㐱⤱_x0018_＀＀_x0018_＀＀_x0008_＀＀_x0001_＀＀_x0001_＀＀豀碵꼝쐕퐁䭯_x001D_千幘捩彡敭湡䕟䥂⡔〲㐰㌬㌸ㄲ착_x0018_＀＀_x0018_＀＀_x0008_＀＀_x0001_＀＀_x0001_＀＀豀碵꼝쐕폼䭯_x0019_千幘南彆十䕓協儨剔㌬㈶㤱착_x0018_＀＀_x0018_＀＀_x0008_＀＀_x0001_＀＀_x0001_＀＀＀＀＀＀䃓폺䭯_x001A_千幘南彆䕄呂卟⡔呑ⱒ㜳㔹⤵_x0018_＀＀_x0018_＀＀_x0008_＀＀_x0001_＀＀_x0001_＀＀＀＀＀＀怀䂔퐂䭯_x001C_千幘捩彡敭湡偟䥔㈨〰ⰲ㜳㘴⤸_x0018_＀＀_x0018_＀＀_x0008_＀＀_x0001_＀＀_x0001_＀＀豀碵꼝쐕퐁䭯_x001D_千幘捩彡敭湡䕟䥂⡔〲㠰㌬㐹㘱착_x0018_＀＀_x0018_＀＀_x0008_＀＀_x0001_＀＀_x0001_＀＀豀碵꼝쐕퐁䭯_x001D_千幘捩彡敭湡䕟䥂⡔〲㘰㌬㠸㜳착_x0018_＀＀_x0018_＀＀_x0008_＀＀_x0001_＀＀_x0001_＀＀豀碵꼝쐕퐀䭯_x001B_千幘南彆䕎彔义⡃呌卍㌬㌹㘸착_x0018_＀＀_x0018_＀＀_x0008_＀＀_x0001_＀＀_x0001_＀＀＀＀＀＀䂒폺䭯_x001A_千幘南彆䕄呂卟⡔呑ⱒ㠳㤵⤵_x0018_＀＀_x0018_＀＀_x0008_＀＀_x0001_＀＀_x0001_＀＀＀＀＀＀栀䂃폺䭯_x001A_千幘南彆䕄呂䱟⡔呑ⱒ㘳㤴⤴_x0018_＀＀_x0018_＀＀_x0008_＀＀_x0001_＀＀_x0001_＀＀＀＀＀＀퀀䂷퐍䭯'千幘南偟久偟协彔䕒彔䕂⡎㈱㈯〰ⰸⰬ唬䑓착_x0018_＀＀_x0018_＀＀_x0008_＀＀_x0001_＀＀_x0001_＀＀＀＀＀＀鐀䂐퐈䭯N千幘䅃偟久当乕䕒佃⡇㈱㈯〰ⰹⰬ唬䑓䀩南偟久䥓乏啟剎䍅卟剅彖佃呓ㄨ⼲〲㤰ⰬⰬ单⥄_x0018_＀＀_x0018_＀＀_x0008_＀＀_x0001_＀＀_x0001_＀＀豀碵꼝쐕퐁䭯_x001E_千幘捩彡敭湡䕟䥂䑔㈨〰ⰷ㤳〲⤲_x0018_＀＀_x0018_＀＀_x0008_＀＀_x0001_＀＀_x0001_＀＀豀碵꼝쐕퐀䭯_x001B_千幘南彆䕎彔义⡃呌卍㐬〰㔲착_x0018_＀＀_x0018_＀＀_x0008_＀＀_x0001_＀＀_x0001_＀＀＀＀＀＀ 䂒퐍䭯[千幘南剟久䅔彌偏䱟䕓䕟偘ㄨ⼲〲㠰ㄬ⼲〲㠰ⰬⰬ单⥄䍀彁呒剟久彔䥍彎塅⡐㈱㈯〰ⰸ㈱㈯〰ⰸⰬ唬䑓착_x0018_＀＀_x0018_＀＀_x0008_＀＀_x0001_＀＀_x0001_＀＀＀＀＀＀耀䁺퐃䭯_x001C_千幘捩彡敭湡䕟卐㈨〰ⰵ㠳㐰⤶_x0018_＀＀_x0018_＀＀_x0008_＀＀_x0001_＀＀_x0001_＀＀豀碵꼝쐕퐀䭯_x001E_千幘捩彡敭湡䕟䥂䑔㈨〰ⰳ㜳㤸⤴_x0018_＀＀_x0018_＀＀_x0008_＀＀_x0001_＀＀_x0001_＀＀豀碵꼝쐕퐀䭯_x001C_千幘捩彡敭湡獟獬㈨〰ⰳ㜳㜷⤲_x0018_＀＀_x0018_＀＀_x0008_＀＀_x0001_＀＀_x0001_＀＀豀碵꼝쐕퐀䭯_x001E_千幘捩彡敭湡䕟䥂䑔㈨〰ⰲ㜳㈵⤹_x0018_＀＀_x0018_＀＀_x0008_＀＀_x0001_＀＀_x0001_＀＀豀碵꼝쐕폻䭯_x001A_千幘南彆䕄呂䱟⡔呑ⱒ㤳㤵⤹_x0018_＀＀_x0018_＀＀_x0008_＀＀_x0001_＀＀_x0001_＀＀＀＀＀＀က䂽폹䭯_x0012_千幘彐剐䍉⡅㜳㐰⤲_x0018_＀＀_x0018_＀＀_x0008_＀＀_x0001_＀＀_x0001_＀＀馚香香䀲퐍䭯)千幘南偟久䥓乏噟䱁䅟卓呅⡓㈱㈯〰ⰵⰬ唬䑓착_x0018_＀＀_x0018_＀＀_x0008_＀＀_x0001_＀＀_x0001_＀＀＀＀＀＀＀＀䂘퐁䭯_x001E_千幘捩彡敭湡䕟䥂䑔㈨〰ⰹ㤳㘵⤸_x0018_＀＀_x0018_＀＀_x0008_＀＀_x0001_＀＀_x0001_＀＀豀碵꼝쐕폾䭯_x001B_千幘南彆呐彘义⡃呌卍㌬〷㈴착_x0018_＀＀_x0018_＀＀_x0008_＀＀_x0001_＀＀_x0001_＀＀＀＀＀＀뀀䁳폾䭯_x0018_千幘南彆䉅呉䰨䵔ⱓ㤳ㄱ⤳_x0018_＀＀_x0018_＀＀_x0008_＀＀_x0001_＀＀_x0001_＀＀＀＀＀＀鰀䂡폽䭯_x0018_千幘南彆䉅呉䰨䵔ⱓ㘳㠵⤵_x0018_＀＀_x0018_＀＀_x0008_＀＀_x0001_＀＀_x0001_＀＀＀＀＀＀䂆폼䭯_x0019_千幘南彆䅓䕌⡓呌卍㌬㐷㜳착_x0018_＀＀_x0018_＀＀_x0008_＀＀_x0001_＀＀_x0001_＀＀＀＀＀＀脀䂿폻䭯_x001A_千幘南彆䕄呂䱟⡔呑ⱒ㤳㐸⤴_x0018_＀＀_x0018_＀＀_x0008_＀＀_x0001_＀＀_x0001_＀＀＀＀＀＀堀䂽폹䭯_x0012_千幘彐剐䍉⡅㤳〵⤷_x0018_＀＀_x0018_＀＀_x0008_＀＀_x0001_＀＀_x0001_＀＀尨䊏䁈폹䭯_x0012_千幘彐剐䍉⡅㠳ㄷ⤷_x0018_＀＀_x0018_＀＀_x0008_＀＀_x0001_＀＀_x0001_＀＀尨抏䀹퐍䭯'千幘南偟久䥓乏也呅䱟䅉⡂㈱㈯〰ⰸⰬ唬䑓착_x0018_＀＀_x0018_＀＀_x0008_＀＀_x0001_＀＀_x0001_＀＀豀碵꼝쐕퐌䭯G千幘䅃偟协剔呅䍟协⡔㈱㈯〰ⰵⰬ唬䑓䀩南䡟呌䍈剁彅偎彐塅⡐㈱㈯〰ⰵⰬ唬䑓착_x0018_＀＀_x0018_＀＀_x0008_＀＀_x0001_＀＀_x0001_＀＀＀＀＀＀＀＀䁄퐃䭯_x001C_千幘捩彡敭湡䕟卐㈨〰ⰷ㠳〸⤷_x0018_＀＀_x0018_＀＀_x0008_＀＀_x0001_＀＀_x0001_＀＀豀碵꼝쐕퐁䭯_x001E_千幘捩彡敭湡䕟䥂䑔㈨〰ⰹ㤳ㄸ⤳_x0018_＀＀_x0018_＀＀_x0008_＀＀_x0001_＀＀_x0001_＀＀豀碵꼝쐕폾䭯_x001B_千幘南彆呐彘义⡃呌卍㌬㔹㜰착_x0018_＀＀_x0018_＀＀_x0008_＀＀_x0001_＀＀_x0001_＀＀＀＀＀＀砀䂞폾䭯_x001B_千幘南彆呐彘义⡃呌卍㌬㜸㜱착_x0018_＀＀_x0018_＀＀_x0008_＀＀_x0001_＀＀_x0001_＀＀＀＀＀＀䰀䂐폽䭯_x0018_千幘南彆䉅呉䰨䵔ⱓ㘳㌸⤰_x0018_＀＀_x0018_＀＀_x0008_＀＀_x0001_＀＀_x0001_＀＀＀＀＀＀ꠀ䂈폽䭯_x0019_千幘南彆䅓䕌⡓呌卍㌬〸㜷착_x0018_＀＀_x0018_＀＀_x0008_＀＀_x0001_＀＀_x0001_＀＀＀＀＀＀㰀䂾폼䭯_x0019_千幘南彆䅓䕌⡓呌卍㌬㈷㜸착_x0018_＀＀_x0018_＀＀_x0008_＀＀_x0001_＀＀_x0001_＀＀＀＀＀＀글䂿폻䭯_x001C_千幘南彆䡓䑌卒䕟⡑呑ⱒ㘳ㄳ⤱_x0018_＀＀_x0018_＀＀_x0008_＀＀_x0001_＀＀_x0001_＀＀＀＀＀＀툀䂶폺䭯_x001A_千幘南彆䅃䡓卟⡔呑ⱒ㘳㜶⤷_x0018_＀＀_x0018_＀＀_x0008_＀＀_x0001_＀＀_x0001_＀＀＀＀＀＀퀀䂄폹䭯_x0011_千幘浣獟獨㌨ㄷ㐳착_x0018_＀＀_x0018_＀＀_x0008_＀＀_x0001_＀＀_x0001_＀＀豀碵꼝쐕폹䭯_x001D_千幘捩彡敭湡䕟䥂⡔〲㌰㌬㤷㔲착_x0018_＀＀_x0018_＀＀_x0008_＀＀_x0001_＀＀_x0001_＀＀豀碵꼝쐕퐌䭯H千幘䅃偟久当义彔佃呓ㄨ⼲〲㌰ⰬⰬ单⥄址当䕐华佉彎义彔佃呓ㄨ⼲〲㌰ⰬⰬ单⥄_x0018_＀＀_x0018_＀＀_x0008_＀＀_x0001_＀＀_x0001_＀＀＀＀＀＀䀀䁜퐃䭯_x001C_千幘捩彡敭湡䕟卐㈨〰ⰷ㤳㐴⤷_x0018_＀＀_x0018_＀＀_x0008_＀＀_x0001_＀＀_x0001_＀＀豀碵꼝쐕퐂䭯_x001C_千幘捩彡敭湡偟䥔㈨〰ⰶ㠳㤵⤵_x0018_＀＀_x0018_＀＀_x0008_＀＀_x0001_＀＀_x0001_＀＀豀碵꼝쐕폽䭯_x0018_千幘南彆䉅呉䰨䵔ⱓ㠳㘲⤰_x0018_＀＀_x0018_＀＀_x0008_＀＀_x0001_＀＀_x0001_＀＀＀＀＀＀谀䂐폺䭯_x001A_千幘南彆䅃䡓卟⡔呑ⱒ㘳㈹⤲_x0018_＀＀_x0018_＀＀_x0008_＀＀_x0001_＀＀_x0001_＀＀＀＀＀＀怀䂅폹䭯_x0012_千幘彐剐䍉⡅㜳㘸⤴_x0018_＀＀_x0018_＀＀_x0008_＀＀_x0001_＀＀_x0001_＀＀炤਽⏗䀰퐍䭯;千幘南偟久䥓乏䅟卓呅当剐偏ㄨ⼲〲㐰䀩䅃偟久当䍐彔䕒ㄨ⼲〲㐰착_x0018_＀＀_x0018_＀＀_x0008_＀＀_x0001_＀＀_x0001_＀＀豀碵꼝쐕퐌䭯,千幘䅃偟协剔呅䕟偍䍟乏剔䉉䍟ㄨ⼲〲㠰ⰬⰬ单⥄_x0018_＀＀_x0018_＀＀_x0008_＀＀_x0001_＀＀_x0001_＀＀豀碵꼝쐕퐂䭯_x001C_千幘捩彡敭湡䕟卐㈨〰ⰲ㜳㌱⤴_x0018_＀＀_x0018_＀＀_x0008_＀＀_x0001_＀＀_x0001_＀＀豀碵꼝쐕폾䭯_x001B_千幘南彆呐彘义⡃呌卍㌬㠷㐶착_x0018_＀＀_x0018_＀＀_x0008_＀＀_x0001_＀＀_x0001_＀＀＀＀＀＀䂅폼䭯_x001E_千幘南彆䉅呉䅄䵟乇䰨䵔ⱓ㜳㤱⤵_x0018_＀＀_x0018_＀＀_x0008_＀＀_x0001_＀＀_x0001_＀＀㿘좳䀳폻䭯_x001C_千幘南彆䡓䑌卒䕟⡑呑ⱒ㤳ㄴ⤶_x0018_＀＀_x0018_＀＀_x0008_＀＀_x0001_＀＀_x0001_＀＀＀＀＀＀⒀䃁폺䭯_x001A_千幘南彆䅃䡓卟⡔呑ⱒ㠳㔳⤲_x0018_＀＀_x0018_＀＀_x0008_＀＀_x0001_＀＀_x0001_＀＀＀＀＀＀_xD800_䂊폹䭯_x0012_千幘彐剐䍉⡅㤳㤲⤴_x0018_＀＀_x0018_＀＀_x0008_＀＀_x0001_＀＀_x0001_＀＀긕둺䁇퐁䭯_x001D_千幘捩彡敭湡䕟䥂⡔〲㔰㌬㈸ㄹ착_x0018_＀＀_x0018_＀＀_x0008_＀＀_x0001_＀＀_x0001_＀＀豀碵꼝쐕퐁䭯_x001E_千幘捩彡敭湡䕟䥂䑔㈨〰ⰶ㠳㔶⤶_x0018_＀＀_x0018_＀＀_x0008_＀＀_x0001_＀＀_x0001_＀＀豀碵꼝쐕퐀䭯_x001C_千幘捩彡敭湡獟獬㈨〰ⰴ㜳㔹⤵_x0018_＀＀_x0018_＀＀_x0008_＀＀_x0001_＀＀_x0001_＀＀豀碵꼝쐕폾䭯_x001B_千幘南彆呐彘义⡃呌卍㌬㈹㐹착_x0018_＀＀_x0018_＀＀_x0008_＀＀_x0001_＀＀_x0001_＀＀＀＀＀＀ᰀ䂜폽䭯_x001E_千幘南彆䉅呉䅄䵟乇䰨䵔ⱓ㠳㌲⤰_x0018_＀＀_x0018_＀＀_x0008_＀＀_x0001_＀＀_x0001_＀＀柊䀰퐂䭯_x001C_千幘捩彡敭湡偟䥔㈨〰ⰳ㜳㌸⤳_x0018_＀＀_x0018_＀＀_x0008_＀＀_x0001_＀＀_x0001_＀＀豀碵꼝쐕폾䭯_x0018_千幘南彆䉅呉䰨䵔ⱓ㤳㜸⤲_x0018_＀＀_x0018_＀＀_x0008_＀＀_x0001_＀＀_x0001_＀＀＀＀＀＀툀䂤폹䭯_x0011_千幘浣獟獨㌨㌹㘸착_x0018_＀＀_x0018_＀＀_x0008_＀＀_x0001_＀＀_x0001_＀＀豀碵꼝쐕퐍䭯 千幘南䕟䍘彈䅒䕔䉟䱁卟⡈㈱㈯〰⤸_x0018_＀＀_x0018_＀＀_x0008_＀＀_x0001_＀＀_x0001_＀＀豀碵꼝쐕퐌䭯G千幘䅃偟久当䕎彔佃呓ㄨ⼲〲㠰ⰬⰬ单⥄址当䕐华佉彎偎彐塅⡐㈱㈯〰ⰸⰬ唬䑓착_x0018_＀＀_x0018_＀＀_x0008_＀＀_x0001_＀＀_x0001_＀＀＀＀＀＀耀䁀퐁䭯_x001D_千幘捩彡敭湡䕟䥂⡔〲㤰㐬〰㔲착_x0018_＀＀_x0018_＀＀_x0008_＀＀_x0001_＀＀_x0001_＀＀豀碵꼝쐕퐁䭯_x001E_千幘捩彡敭湡䕟䥂䑔㈨〰ⰸ㤳㜱⤲_x0018_＀＀_x0018_＀＀_x0008_＀＀_x0001_＀＀_x0001_＀＀豀碵꼝쐕폽䭯_x0019_千幘南彆䅓䕌⡓呌卍㐬㄰㠷착_x0018_＀＀_x0018_＀＀_x0008_＀＀_x0001_＀＀_x0001_＀＀＀＀＀＀ꢀ䃁폻䭯_x001A_千幘南彆䅃䡓卟⡔呑ⱒ㤳㘹⤴_x0018_＀＀_x0018_＀＀_x0008_＀＀_x0001_＀＀_x0001_＀＀＀＀＀＀ꐀ䂑폺䭯_x001A_千幘南彆䕄呂䱟⡔呑ⱒ㜳㌱⤴_x0018_＀＀_x0018_＀＀_x0008_＀＀_x0001_＀＀_x0001_＀＀＀＀＀＀言䂶폹䭯_x0011_千幘浣獟獨㐨〰㔲착_x0018_＀＀_x0018_＀＀_x0008_＀＀_x0001_＀＀_x0001_＀＀豀碵꼝쐕퐃䭯_x001C_千幘捩彡敭湡䕟卐㈨〰ⰶ㠳ㄴ⤱_x0018_＀＀_x0018_＀＀_x0008_＀＀_x0001_＀＀_x0001_＀＀豀碵꼝쐕퐀䭯_x001E_千幘捩彡敭湡䕟䥂䑔㈨〰ⰳ㜳㤴⤹_x0018_＀＀_x0018_＀＀_x0008_＀＀_x0001_＀＀_x0001_＀＀豀碵꼝쐕퐀䭯_x001B_千幘南彆䕎彔义⡃呌卍㌬㔸㌳착_x0018_＀＀_x0018_＀＀_x0008_＀＀_x0001_＀＀_x0001_＀＀＀＀＀＀쀀䁿퐀䭯_x001B_千幘南彆偅当䥄⡌呌卍㌬㐷㠶착_x0018_＀＀_x0018_＀＀_x0008_＀＀_x0001_＀＀_x0001_＀＀껻︈銷㿫퐍䭯;千幘南偟久䥓乏䅟卓呅当充䥕ㄨ⼲〲㔰䀩䅃偟久当䍐彔充ㄨ⼲〲㔰착_x0018_＀＀_x0018_＀＀_x0008_＀＀_x0001_＀＀_x0001_＀＀＀＀＀＀＀＀䁎퐍䭯(千幘南偟久䥓乏䅟卓呅当呌ㄨ⼲〲㘰ⰬⰬ单⥄_x0018_＀＀_x0018_＀＀_x0008_＀＀_x0001_＀＀_x0001_＀＀豀碵꼝쐕퐃䭯_x001C_千幘捩彡敭湡䕟卐㈨〰ⰶ㤳㔰⤱_x0018_＀＀_x0018_＀＀_x0008_＀＀_x0001_＀＀_x0001_＀＀豀碵꼝쐕퐂䭯_x001C_千幘捩彡敭湡䕟卐㈨〰ⰱ㘳㌷⤸_x0018_＀＀_x0018_＀＀_x0008_＀＀_x0001_＀＀_x0001_＀＀豀碵꼝쐕퐀䭯_x001B_千幘南彆偅当䥄⡌呌卍㌬㔸㌰착_x0018_＀＀_x0018_＀＀_x0008_＀＀_x0001_＀＀_x0001_＀＀슏⣵轜㿰퐀䭯_x001B_千幘南彆䕎彔义⡃呌卍㌬㌸㌸착_x0018_＀＀_x0018_＀＀_x0008_＀＀_x0001_＀＀_x0001_＀＀＀＀＀＀䁺폽䭯_x001E_千幘南彆䉅呉䅄䵟乇䰨䵔ⱓ〴㠰⤶_x0018_＀＀_x0018_＀＀_x0008_＀＀_x0001_＀＀_x0001_＀＀厄敝뒨䁀폻䭯_x001A_千幘南彆䕄呂卟⡔呑ⱒ㤳㜱⤲_x0018_＀＀_x0018_＀＀_x0008_＀＀_x0001_＀＀_x0001_＀＀＀＀＀＀砀䂇퐀䭯_x001B_千幘南彆䕎彔义⡃呌卍㌬㘷〸착_x0018_＀＀_x0018_＀＀_x0008_＀＀_x0001_＀＀_x0001_＀＀＀＀＀＀　䁽폽䭯_x0018_千幘南彆䉅呉䰨䵔ⱓ㜳㈲⤵_x0018_＀＀_x0018_＀＀_x0008_＀＀_x0001_＀＀_x0001_＀＀＀＀＀＀䂎퐂䭯_x001C_千幘捩彡敭湡偟䥔㈨〰ⰷ㠳㘹⤰_x0018_＀＀_x0018_＀＀_x0008_＀＀_x0001_＀＀_x0001_＀＀豀碵꼝쐕퐁䭯_x001E_千幘捩彡敭湡䕟䥂䑔㈨〰ⰵ㠳㘲⤰_x0018_＀＀_x0018_＀＀_x0008_＀＀_x0001_＀＀_x0001_＀＀豀碵꼝쐕폾䭯_x001B_千幘南彆偅当䥄⡌呌卍㌬㠶〶착_x0018_＀＀_x0018_＀＀_x0008_＀＀_x0001_＀＀_x0001_＀＀넱룹吶㿒폻䭯_x001A_千幘南彆䕄呂䱟⡔呑ⱒ㤳㠳⤶_x0018_＀＀_x0018_＀＀_x0008_＀＀_x0001_＀＀_x0001_＀＀＀＀＀＀ᘀ䂺폺䭯_x001A_千幘南彆䅃䡓卟⡔呑ⱒ㠳〱⤷_x0018_＀＀_x0018_＀＀_x0008_＀＀_x0001_＀＀_x0001_＀＀＀＀＀＀䁻퐌䭯M千幘䅃偟协剔呅卟噒䍟协⡔㈱㈯〰ⰸⰬ唬䑓䀩南䡟呌䍈剁彅䕓噒䍟协⡔㈱㈯〰ⰸⰬ唬䑓착_x0018_＀＀_x0018_＀＀_x0008_＀＀_x0001_＀＀_x0001_＀＀＀＀＀＀＀＀䀔퐃䭯_x001C_千幘捩彡敭湡䕟卐㈨㄰ⰰ㤳〹⤳_x0018_＀＀_x0018_＀＀_x0008_＀＀_x0001_＀＀_x0001_＀＀豀碵꼝쐕퐁䭯_x001D_千幘捩彡敭湡䕟䥂⡔〲㔰㌬〸㘴착_x0018_＀＀_x0018_＀＀_x0008_＀＀_x0001_＀＀_x0001_＀＀豀碵꼝쐕퐁䭯_x001E_千幘捩彡敭湡䕟䥂䑔㈨〰ⰷ㠳㜷⤶_x0018_＀＀_x0018_＀＀_x0008_＀＀_x0001_＀＀_x0001_＀＀豀碵꼝쐕폽䭯_x0018_千幘南彆䉅呉䰨䵔ⱓ㘳㜳⤲_x0018_＀＀_x0018_＀＀_x0008_＀＀_x0001_＀＀_x0001_＀＀＀＀＀＀퐀䂚폼䭯_x0019_千幘南彆十䕓協儨剔㌬㐷㠶착_x0018_＀＀_x0018_＀＀_x0008_＀＀_x0001_＀＀_x0001_＀＀＀＀＀＀渀䃔폻䭯_x001A_千幘南彆䕄呂䱟⡔呑ⱒ〴㈰⤵_x0018_＀＀_x0018_＀＀_x0008_＀＀_x0001_＀＀_x0001_＀＀＀＀＀＀ﴀ䂾폻䭯_x001A_千幘南彆䕄呂卟⡔呑ⱒ㤳㤹⤴_x0018_＀＀_x0018_＀＀_x0008_＀＀_x0001_＀＀_x0001_＀＀＀＀＀＀䁳퐃䭯_x001C_千幘捩彡敭湡䕟卐㈨㄰ⰰ〴㐱⤷_x0018_＀＀_x0018_＀＀_x0008_＀＀_x0001_＀＀_x0001_＀＀豀碵꼝쐕퐁䭯_x001C_千幘捩彡敭湡獟獬㈨〰ⰷ㤳㤲⤴_x0018_＀＀_x0018_＀＀_x0008_＀＀_x0001_＀＀_x0001_＀＀豀碵꼝쐕폽䭯_x0018_千幘南彆䉅呉䰨䵔ⱓ㠳㌸⤷_x0018_＀＀_x0018_＀＀_x0008_＀＀_x0001_＀＀_x0001_＀＀＀＀＀＀␀䂙폼䭯_x0019_千幘南彆十䕓協儨剔㌬㔸㌰착_x0018_＀＀_x0018_＀＀_x0008_＀＀_x0001_＀＀_x0001_＀＀＀＀＀＀脀䃘폻䭯_x001C_千幘南彆䡓䑌卒䕟⡑呑ⱒ㘳㌷⤸_x0018_＀＀_x0018_＀＀_x0008_＀＀_x0001_＀＀_x0001_＀＀＀＀＀＀㸀䂶폺䭯_x001A_千幘南彆䅃䡓卟⡔呑ⱒ㘳㘴⤴_x0018_＀＀_x0018_＀＀_x0008_＀＀_x0001_＀＀_x0001_＀＀＀＀＀＀堀䂃퐂䭯_x001C_千幘捩彡敭湡偟䥔㈨〰ⰵ㠳㄰⤷_x0018_＀＀_x0018_＀＀_x0008_＀＀_x0001_＀＀_x0001_＀＀豀碵꼝쐕퐁䭯_x001D_千幘捩彡敭湡䕟䥂⡔〲㜰㌬㠸㜰착_x0018_＀＀_x0018_＀＀_x0008_＀＀_x0001_＀＀_x0001_＀＀豀碵꼝쐕폻䭯_x001C_千幘南彆䡓䑌卒䕟⡑呑ⱒ㠳㘱⤸_x0018_＀＀_x0018_＀＀_x0008_＀＀_x0001_＀＀_x0001_＀＀＀＀＀＀ഀ䂺폻䭯_x001A_千幘南彆䅃䡓卟⡔呑ⱒ㠳㈹⤹_x0018_＀＀_x0018_＀＀_x0008_＀＀_x0001_＀＀_x0001_＀＀＀＀＀＀倀䂅퐌䭯+千幘䅃偟协剔呅偟剁彔佃呎䥒⡂㈱㈯〰ⰶⰬ唬䑓착_x0018_＀＀_x0018_＀＀_x0008_＀＀_x0001_＀＀_x0001_＀＀豀碵꼝쐕퐁䭯_x001D_千幘捩彡敭湡䕟䥂⡔〲㜰㌬㐹㜴착_x0018_＀＀_x0018_＀＀_x0008_＀＀_x0001_＀＀_x0001_＀＀豀碵꼝쐕폽䭯_x001E_千幘南彆䉅呉䅄䵟乇䰨䵔ⱓ㠳〸⤷_x0018_＀＀_x0018_＀＀_x0008_＀＀_x0001_＀＀_x0001_＀＀㨬夯똸䀻폼䭯_x0019_千幘南彆十䕓協儨剔㌬㠶〶착_x0018_＀＀_x0018_＀＀_x0008_＀＀_x0001_＀＀_x0001_＀＀＀＀＀＀㣀䃔폺䭯_x001A_千幘南彆䕄呂卟⡔呑ⱒ㘳〷⤷_x0018_＀＀_x0018_＀＀_x0008_＀＀_x0001_＀＀_x0001_＀＀＀＀＀＀ࠀ䂊폹䭯_x0012_千幘彐剐䍉⡅㠳㤲⤱_x0018_＀＀_x0018_＀＀_x0008_＀＀_x0001_＀＀_x0001_＀＀＀＀＀＀䀀䀲퐀䭯_x001E_千幘捩彡敭湡䕟䥂䑔㈨〰ⰴ㜳㘸⤴_x0018_＀＀_x0018_＀＀_x0008_＀＀_x0001_＀＀_x0001_＀＀豀碵꼝쐕퐀䭯_x001B_千幘南彆䕎彔义⡃呌卍㌬ㄸ㠳착_x0018_＀＀_x0018_＀＀_x0008_＀＀_x0001_＀＀_x0001_＀＀＀＀＀＀ 䁦폾䭯_x001B_千幘南彆呐彘义⡃呌卍㌬㈸ㄹ착_x0018_＀＀_x0018_＀＀_x0008_＀＀_x0001_＀＀_x0001_＀＀＀＀＀＀ꠀ䂃폽䭯_x001E_千幘南彆䉅呉䅄䵟乇䰨䵔ⱓ㤳㐴⤷_x0018_＀＀_x0018_＀＀_x0008_＀＀_x0001_＀＀_x0001_＀＀혤Ⳬ㧰䁀폽䭯_x0019_千幘南彆䅓䕌⡓呌卍㌬㘸㘸착_x0018_＀＀_x0018_＀＀_x0008_＀＀_x0001_＀＀_x0001_＀＀＀＀＀＀부䃀폹䭯_x0011_千幘浣獟獨㌨㔸㌳착_x0018_＀＀_x0018_＀＀_x0008_＀＀_x0001_＀＀_x0001_＀＀豀碵꼝쐕퐃䭯_x001C_千幘捩彡敭湡䕟卐㈨〰ⰴ㠳㜰⤷_x0018_＀＀_x0018_＀＀_x0008_＀＀_x0001_＀＀_x0001_＀＀豀碵꼝쐕폽䭯_x0019_千幘南彆䅓䕌⡓呌卍㌬㜹ㄲ착_x0018_＀＀_x0018_＀＀_x0008_＀＀_x0001_＀＀_x0001_＀＀＀＀＀＀쬀䃅폻䭯_x001C_千幘南彆䡓䑌卒䕟⡑呑ⱒ㜳㘵⤰_x0018_＀＀_x0018_＀＀_x0008_＀＀_x0001_＀＀_x0001_＀＀＀＀＀＀䂸폹䭯_x0011_千幘浣獟獨㌨㌸㌸착_x0018_＀＀_x0018_＀＀_x0008_＀＀_x0001_＀＀_x0001_＀＀豀碵꼝쐕퐍䭯C千幘䅃偟久当剐䩏佟䱂ㄨ⼲〲㐰ⰬⰬ单⥄址当䕐华佉彎䉐⡏㈱㈯〰ⰴⰬ唬䑓착_x0018_＀＀_x0018_＀＀_x0008_＀＀_x0001_＀＀_x0001_＀＀＀＀＀＀吀䂞퐁䭯_x001C_千幘捩彡敭湡獟獬㈨〰ⰸ㤳㈷⤱_x0018_＀＀_x0018_＀＀_x0008_＀＀_x0001_＀＀_x0001_＀＀豀碵꼝쐕퐁䭯_x001E_千幘捩彡敭湡䕟䥂䑔㈨〰ⰸ㤳㤵⤹_x0018_＀＀_x0018_＀＀_x0008_＀＀_x0001_＀＀_x0001_＀＀豀碵꼝쐕퐁䭯_x001C_千幘捩彡敭湡獟獬㈨〰ⰶ㠳㤸⤸_x0018_＀＀_x0018_＀＀_x0008_＀＀_x0001_＀＀_x0001_＀＀豀碵꼝쐕폺䭯_x001A_千幘南彆䕄呂卟⡔呑ⱒ㘳㤴⤴_x0018_＀＀_x0018_＀＀_x0008_＀＀_x0001_＀＀_x0001_＀＀＀＀＀＀瀀䂑폹䭯_x0011_千幘浣獟獨㌨㘷〸착_x0018_＀＀_x0018_＀＀_x0008_＀＀_x0001_＀＀_x0001_＀＀豀碵꼝쐕퐍䭯J千幘䅃偟久当䱐乁䅟呓ㄨ⼲〲㔰ⰬⰬ单⥄址当䕐华佉彎䅖彌十䕓協ㄨ⼲〲㔰ⰬⰬ单⥄_x0018_＀＀_x0018_＀＀_x0008_＀＀_x0001_＀＀_x0001_＀＀＀＀＀＀＀＀䂘퐃䭯_x001C_千幘捩彡敭湡䕟卐㈨〰ⰹ㤳㠷⤲_x0018_＀＀_x0018_＀＀_x0008_＀＀_x0001_＀＀_x0001_＀＀豀碵꼝쐕퐂䭯_x001C_千幘捩彡敭湡偟䥔㈨〰ⰷ㤳㔳⤵_x0018_＀＀_x0018_＀＀_x0008_＀＀_x0001_＀＀_x0001_＀＀豀碵꼝쐕퐁䭯_x001D_千幘捩彡敭湡䕟䥂⡔〲㘰㌬㐸ㄱ착_x0018_＀＀_x0018_＀＀_x0008_＀＀_x0001_＀＀_x0001_＀＀豀碵꼝쐕폻䭯_x001A_千幘南彆䕄呂卟⡔呑ⱒ㤳㤵⤹_x0018_＀＀_x0018_＀＀_x0008_＀＀_x0001_＀＀_x0001_＀＀＀＀＀＀က䂈폺䭯_x001A_千幘南彆䅃䡓卟⡔呑ⱒ㘳ㄲ⤹_x0018_＀＀_x0018_＀＀_x0008_＀＀_x0001_＀＀_x0001_＀＀＀＀＀＀ꠀ䂀퐁䭯_x001D_千幘捩彡敭湡䕟䥂⡔〲㘰㌬〹ㄵ착_x0018_＀＀_x0018_＀＀_x0008_＀＀_x0001_＀＀_x0001_＀＀豀碵꼝쐕퐁䭯_x001E_千幘捩彡敭湡䕟䥂䑔㈨〰ⰷ㤳ㄴ⤶_x0018_＀＀_x0018_＀＀_x0008_＀＀_x0001_＀＀_x0001_＀＀豀碵꼝쐕폻䭯_x001A_千幘南彆䕄呂卟⡔呑ⱒ㤳㐸⤴_x0018_＀＀_x0018_＀＀_x0008_＀＀_x0001_＀＀_x0001_＀＀＀＀＀＀＀＀䁴폺䭯_x001A_千幘南彆䕄呂䱟⡔呑ⱒ㠳㌵⤳_x0018_＀＀_x0018_＀＀_x0008_＀＀_x0001_＀＀_x0001_＀＀＀＀＀＀ᜀ䂵폹䭯_x0012_千幘彐剐䍉⡅㘳ㄶ⤶_x0018_＀＀_x0018_＀＀_x0008_＀＀_x0001_＀＀_x0001_＀＀＀＀＀＀耀䀧퐁䭯_x001E_千幘捩彡敭湡䕟䥂䑔㈨㄰ⰰ㤳㜸⤲_x0018_＀＀_x0018_＀＀_x0008_＀＀_x0001_＀＀_x0001_＀＀豀碵꼝쐕퐀䭯_x001C_千幘捩彡敭湡獟獬㈨〰ⰳ㜳㠹⤶_x0018_＀＀_x0018_＀＀_x0008_＀＀_x0001_＀＀_x0001_＀＀豀碵꼝쐕퐀䭯_x001B_千幘南彆偅当䥄⡌呌卍㐬㈰㤰착_x0018_＀＀_x0018_＀＀_x0008_＀＀_x0001_＀＀_x0001_＀＀ꄷ섐䀆폾䭯_x001B_千幘南彆呐彘义⡃呌卍㌬㘶㘱착_x0018_＀＀_x0018_＀＀_x0008_＀＀_x0001_＀＀_x0001_＀＀＀＀＀＀䀀䁞폺䭯_x001A_千幘南彆䕄呂䱟⡔呑ⱒ㠳㠳⤳_x0018_＀＀_x0018_＀＀_x0008_＀＀_x0001_＀＀_x0001_＀＀＀＀＀＀娀䂸폹䭯_x0012_千幘彐剐䍉⡅㠳㐰⤶_x0018_＀＀_x0018_＀＀_x0008_＀＀_x0001_＀＀_x0001_＀＀ᑺ螮䀯폹䭯_x0012_千幘彐剐䍉⡅㜳㔲⤶_x0018_＀＀_x0018_＀＀_x0008_＀＀_x0001_＀＀_x0001_＀＀晧晦虦䀱퐀䭯_x001B_千幘南彆䕎彔义⡃呌卍㌬㜹㈸착_x0018_＀＀_x0018_＀＀_x0008_＀＀_x0001_＀＀_x0001_＀＀＀＀＀＀Ⰰ䂗폾䭯_x001B_千幘南彆呐彘义⡃呌卍㌬〸㘴착_x0018_＀＀_x0018_＀＀_x0008_＀＀_x0001_＀＀_x0001_＀＀＀＀＀＀က䁳폾䭯_x001B_千幘南彆呐彘义⡃呌卍㌬㈷㘵착_x0018_＀＀_x0018_＀＀_x0008_＀＀_x0001_＀＀_x0001_＀＀＀＀＀＀က䁾폽䭯_x0018_千幘南彆䉅呉䰨䵔ⱓ㘳㤷⤹_x0018_＀＀_x0018_＀＀_x0008_＀＀_x0001_＀＀_x0001_＀＀＀＀＀＀ꠀ䂈폼䭯_x0019_千幘南彆䅓䕌⡓呌卍㌬〷ㄱ착_x0018_＀＀_x0018_＀＀_x0008_＀＀_x0001_＀＀_x0001_＀＀＀＀＀＀㚀䃀폺䭯_x001A_千幘南彆䕄呂䱟⡔呑ⱒ㜳㠶⤰_x0018_＀＀_x0018_＀＀_x0008_＀＀_x0001_＀＀_x0001_＀＀＀＀＀＀眀䂹퐍䭯C千幘䅃偟久当剐䩏佟䱂ㄨ⼲〲㌰ⰬⰬ单⥄址当䕐华佉彎䉐⡏㈱㈯〰ⰳⰬ唬䑓착_x0018_＀＀_x0018_＀＀_x0008_＀＀_x0001_＀＀_x0001_＀＀＀＀＀＀䂝퐂䭯_x001C_千幘捩彡敭湡偟䥔㈨〰ⰸ㤳㌵⤸_x0018_＀＀_x0018_＀＀_x0008_＀＀_x0001_＀＀_x0001_＀＀豀碵꼝쐕퐁䭯_x001D_千幘捩彡敭湡䕟䥂⡔〲〱㌬㤹㌰착_x0018_＀＀_x0018_＀＀_x0008_＀＀_x0001_＀＀_x0001_＀＀豀碵꼝쐕퐀䭯_x001B_千幘南彆偅当䥄⡌呌卍㌬㜹㈵착_x0018_＀＀_x0018_＀＀_x0008_＀＀_x0001_＀＀_x0001_＀＀敁ﯼ஌䀍폻䭯_x001C_千幘南彆䡓䑌卒䕟⡑呑ⱒ㜳ㄳ⤵_x0018_＀＀_x0018_＀＀_x0008_＀＀_x0001_＀＀_x0001_＀＀＀＀＀＀䂷폻䭯_x001C_千幘南彆䡓䑌卒䕟⡑呑ⱒ㘳㈵⤵_x0018_＀＀_x0018_＀＀_x0008_＀＀_x0001_＀＀_x0001_＀＀＀＀＀＀簀䂶폹䭯_x0011_千幘浣獟獨㌨ㄸ㠳착_x0018_＀＀_x0018_＀＀_x0008_＀＀_x0001_＀＀_x0001_＀＀豀碵꼝쐕퐌䭯'千幘䅃偟协剔呅䉟久偟䥁⡄㈱㈯〰ⰶⰬ唬䑓착_x0018_＀＀_x0018_＀＀_x0008_＀＀_x0001_＀＀_x0001_＀＀豀碵꼝쐕퐃䭯_x001C_千幘捩彡敭湡䕟卐㈨〰ⰷ㤳㈰⤱_x0018_＀＀_x0018_＀＀_x0008_＀＀_x0001_＀＀_x0001_＀＀豀碵꼝쐕퐃䭯_x001C_千幘捩彡敭湡䕟卐㈨〰ⰵ㠳㐴⤲_x0018_＀＀_x0018_＀＀_x0008_＀＀_x0001_＀＀_x0001_＀＀豀碵꼝쐕퐁䭯_x001D_千幘捩彡敭湡䕟䥂⡔〲〱㐬㄰㜴착_x0018_＀＀_x0018_＀＀_x0008_＀＀_x0001_＀＀_x0001_＀＀豀碵꼝쐕폼䭯_x001E_千幘南彆䉅呉䅄䵟乇䰨䵔ⱓ㘳㘷⤹_x0018_＀＀_x0018_＀＀_x0008_＀＀_x0001_＀＀_x0001_＀＀Чꀲ䋌䀧폹䭯_x0012_千幘彐剐䍉⡅㠳㘸⤸_x0018_＀＀_x0018_＀＀_x0008_＀＀_x0001_＀＀_x0001_＀＀ᑻ䞮뫡䁀퐂䭯_x001C_千幘捩彡敭湡䕟卐㈨〰ⰰ㘳㘷⤹_x0018_＀＀_x0018_＀＀_x0008_＀＀_x0001_＀＀_x0001_＀＀豀碵꼝쐕퐁䭯_x001E_千幘捩彡敭湡䕟䥂䑔㈨〰ⰹ㤳㘹⤴_x0018_＀＀_x0018_＀＀_x0008_＀＀_x0001_＀＀_x0001_＀＀豀碵꼝쐕퐁䭯_x001C_千幘捩彡敭湡獟獬㈨〰ⰹ㤳㤶⤱_x0018_＀＀_x0018_＀＀_x0008_＀＀_x0001_＀＀_x0001_＀＀豀碵꼝쐕폾䭯_x001B_千幘南彆呐彘义⡃呌卍㌬㠸㠶착_x0018_＀＀_x0018_＀＀_x0008_＀＀_x0001_＀＀_x0001_＀＀＀＀＀＀저䂒폽䭯_x0018_千幘南彆䉅呉䰨䵔ⱓ㘳㠹⤱_x0018_＀＀_x0018_＀＀_x0008_＀＀_x0001_＀＀_x0001_＀＀＀＀＀＀_xD800_䂊폽䭯_x001E_千幘南彆䉅呉䅄䵟乇䰨䵔ⱓ㠳㤱⤹_x0018_＀＀_x0018_＀＀_x0008_＀＀_x0001_＀＀_x0001_＀＀柊䀰폽䭯_x0019_千幘南彆䅓䕌⡓呌卍㌬㠷㌳착_x0018_＀＀_x0018_＀＀_x0008_＀＀_x0001_＀＀_x0001_＀＀＀＀＀＀褀䂿폼䭯_x0019_千幘南彆十䕓協儨剔㐬㈰㤰착_x0018_＀＀_x0018_＀＀_x0008_＀＀_x0001_＀＀_x0001_＀＀＀＀＀＀最䃚폹䭯_x0012_千幘彐剐䍉⡅㤳〹⤳_x0018_＀＀_x0018_＀＀_x0008_＀＀_x0001_＀＀_x0001_＀＀馚香_xD999_䀹퐍䭯&lt;千幘南偟久䥓乏䅟卓呅当佂䑎⡓㈱㈯〰⤶䍀彁䕐华偟呃䙟⡉㈱㈯〰⤶_x0018_＀＀_x0018_＀＀_x0008_＀＀_x0001_＀＀_x0001_＀＀＀＀＀＀耀䁃퐌䭯-千幘䅃偟协剔呅啟归剔佟彂䵁剏⡔㈱㈯〰ⰲⰬ唬䑓착_x0018_＀＀_x0018_＀＀_x0008_＀＀_x0001_＀＀_x0001_＀＀豀碵꼝쐕퐁䭯_x001C_千幘捩彡敭湡獟獬㈨〰ⰶ㠳㐷⤸_x0018_＀＀_x0018_＀＀_x0008_＀＀_x0001_＀＀_x0001_＀＀豀碵꼝쐕폾䭯_x001B_千幘南彆呐彘义⡃呌卍㌬㤹㌰착_x0018_＀＀_x0018_＀＀_x0008_＀＀_x0001_＀＀_x0001_＀＀＀＀＀＀退䂞폽䭯_x0019_千幘南彆䅓䕌⡓呌卍㌬㈹㌶착_x0018_＀＀_x0018_＀＀_x0008_＀＀_x0001_＀＀_x0001_＀＀＀＀＀＀ጀ䃃폺䭯_x001A_千幘南彆䕄呂卟⡔呑ⱒ㜳㌱⤴_x0018_＀＀_x0018_＀＀_x0008_＀＀_x0001_＀＀_x0001_＀＀＀＀＀＀倀䂑폹䭯_x0012_千幘彐剐䍉⡅〴㐱⤷_x0018_＀＀_x0018_＀＀_x0008_＀＀_x0001_＀＀_x0001_＀＀ਾꏗ뵰䁇퐍䭯$千幘䅃偟久当䕂彎䅐䑉ㄨ⼲〲㜰ⰬⰬ单⥄_x0018_＀＀_x0018_＀＀_x0008_＀＀_x0001_＀＀_x0001_＀＀豀碵꼝쐕퐁䭯_x001C_千幘捩彡敭湡獟獬㈨〰ⰸ㤳㘲⤳_x0018_＀＀_x0018_＀＀_x0008_＀＀_x0001_＀＀_x0001_＀＀豀碵꼝쐕퐁䭯_x001E_千幘捩彡敭湡䕟䥂䑔㈨〰ⰴ㠳㤲⤱_x0018_＀＀_x0018_＀＀_x0008_＀＀_x0001_＀＀_x0001_＀＀豀碵꼝쐕퐀䭯_x001C_千幘捩彡敭湡獟獬㈨〰ⰲ㜳㤵⤰_x0018_＀＀_x0018_＀＀_x0008_＀＀_x0001_＀＀_x0001_＀＀豀碵꼝쐕폾䭯_x001B_千幘南彆呐彘义⡃呌卍㐬㄰㜴착_x0018_＀＀_x0018_＀＀_x0008_＀＀_x0001_＀＀_x0001_＀＀＀＀＀＀␀䂚폽䭯_x001E_千幘南彆䉅呉䅄䵟乇䰨䵔ⱓ㜳㐷⤱_x0018_＀＀_x0018_＀＀_x0008_＀＀_x0001_＀＀_x0001_＀＀祒庼䀵폼䭯_x0019_千幘南彆十䕓協儨剔㌬㜹㈵착_x0018_＀＀_x0018_＀＀_x0008_＀＀_x0001_＀＀_x0001_＀＀＀＀＀＀̀䃚퐌䭯L千幘䅃偟协剔呅䥟呎䍟协⡔㈱㈯〰ⰲⰬ唬䑓䀩南䡟呌䍈剁彅义彔佃呓ㄨ⼲〲㈰ⰬⰬ单⥄_x0018_＀＀_x0018_＀＀_x0008_＀＀_x0001_＀＀_x0001_＀＀＀＀＀＀＀＀䀽퐂䭯_x001C_千幘捩彡敭湡䕟卐ㄨ㤹ⰹ㘳㔲⤰_x0018_＀＀_x0018_＀＀_x0008_＀＀_x0001_＀＀_x0001_＀＀豀碵꼝쐕퐁䭯_x001D_千幘捩彡敭湡䕟䥂⡔〲㐰㌬〸㜷착_x0018_＀＀_x0018_＀＀_x0008_＀＀_x0001_＀＀_x0001_＀＀豀碵꼝쐕퐁䭯_x001E_千幘捩彡敭湡䕟䥂䑔㈨〰ⰸ㤳㠳⤶_x0018_＀＀_x0018_＀＀_x0008_＀＀_x0001_＀＀_x0001_＀＀豀碵꼝쐕폿䭯_x001B_千幘南彆䕎彔义⡃呌卍㌬〷㈷착_x0018_＀＀_x0018_＀＀_x0008_＀＀_x0001_＀＀_x0001_＀＀＀＀＀＀쀀䁬폺䭯_x001A_千幘南彆䕄呂䱟⡔呑ⱒ㠳㌱⤸_x0018_＀＀_x0018_＀＀_x0008_＀＀_x0001_＀＀_x0001_＀＀＀＀＀＀㨀䂻퐍䭯%千幘南䥟呎剟呁彅夵噁⡇㈱㈯〰ⰵⰬ唬䑓착_x0018_＀＀_x0018_＀＀_x0008_＀＀_x0001_＀＀_x0001_＀＀퉟괘䀙퐍䭯$千幘䅃偟久当呌䱟䅉卂ㄨ⼲〲㐰ⰬⰬ单⥄_x0018_＀＀_x0018_＀＀_x0008_＀＀_x0001_＀＀_x0001_＀＀豀碵꼝쐕퐍䭯C千幘䅃偟久当剐䩏佟䱂ㄨ⼲〲㈰ⰬⰬ单⥄址当䕐华佉彎䉐⡏㈱㈯〰ⰲⰬ唬䑓착_x0018_＀＀_x0018_＀＀_x0008_＀＀_x0001_＀＀_x0001_＀＀＀＀＀＀㠀䂜퐌䭯P千幘䅃偟协剔呅偟䅌彎十彔久⡄㈱㈯〰ⰷⰬ唬䑓䀩南䡟呌䍈剁彅噆䅟卓呅ㄨ⼲〲㜰ⰬⰬ单⥄_x0018_＀＀_x0018_＀＀_x0008_＀＀_x0001_＀＀_x0001_＀＀豀碵꼝쐕퐃䭯_x001C_千幘捩彡敭湡䕟卐㈨〰ⰷ㠳㤹⤰_x0018_＀＀_x0018_＀＀_x0008_＀＀_x0001_＀＀_x0001_＀＀豀碵꼝쐕퐃䭯_x001C_千幘捩彡敭湡䕟卐㈨〰ⰶ㠳㈶⤵_x0018_＀＀_x0018_＀＀_x0008_＀＀_x0001_＀＀_x0001_＀＀豀碵꼝쐕폿䭯_x001B_千幘南彆偅当䥄⡌呌卍㌬〷㈴착_x0018_＀＀_x0018_＀＀_x0008_＀＀_x0001_＀＀_x0001_＀＀㬥ȶ뫱㿚폼䭯_x001C_千幘南彆䡓䑌卒䕟⡑呑ⱒ〴㔰⤶_x0018_＀＀_x0018_＀＀_x0008_＀＀_x0001_＀＀_x0001_＀＀＀＀＀＀綀䃀퐌䭯B千幘䅃偟久当佒⡁㈱㈯〰ⰶⰬ唬䑓䀩南偟久䥓乏䕟偘剟䅏ㄨ⼲〲㘰ⰬⰬ单⥄_x0018_＀＀_x0018_＀＀_x0008_＀＀_x0001_＀＀_x0001_＀＀＀＀＀＀䀀쁝퐌䭯)千幘䅃偟协剔呅佟䡔䑁彊䉎⡁㈱㈯〰ⰳⰬ唬䑓착_x0018_＀＀_x0018_＀＀_x0008_＀＀_x0001_＀＀_x0001_＀＀豀碵꼝쐕퐁䭯_x001D_千幘捩彡敭湡䕟䥂⡔〲㤰㌬㜹㈸착_x0018_＀＀_x0018_＀＀_x0008_＀＀_x0001_＀＀_x0001_＀＀豀碵꼝쐕퐀䭯_x001B_千幘南彆偅当䥄⡌呌卍㌬㔹㜰착_x0018_＀＀_x0018_＀＀_x0008_＀＀_x0001_＀＀_x0001_＀＀嚂졠ᛪ䀇퐀䭯_x001B_千幘南彆偅当䥄⡌呌卍㌬㜸㜱착_x0018_＀＀_x0018_＀＀_x0008_＀＀_x0001_＀＀_x0001_＀＀䵀嬭௫㿹폻䭯_x001A_千幘南彆䕄呂卟⡔呑ⱒ㤳㠳⤶_x0018_＀＀_x0018_＀＀_x0008_＀＀_x0001_＀＀_x0001_＀＀＀＀＀＀怀䁭폹䭯_x0011_千幘浣獟獨㌨㜹㈸착_x0018_＀＀_x0018_＀＀_x0008_＀＀_x0001_＀＀_x0001_＀＀豀碵꼝쐕퐌䭯J千幘䅃偟久当䥄䍓剟呁⡅㈱㈯〰ⰳⰬ唬䑓䀩南偟久䥓乏䑟卉彃䅒䕔ㄨ⼲〲㌰ⰬⰬ单⥄_x0018_＀＀_x0018_＀＀_x0008_＀＀_x0001_＀＀_x0001_＀＀＀＀＀＀＀＀䀘퐌䭯I千幘䅃偟久当剓彖佃呓ㄨ⼲〲㈰ⰬⰬ单⥄址当䕐华佉彎䕓噒䍟协⡔㈱㈯〰ⰲⰬ唬䑓착_x0018_＀＀_x0018_＀＀_x0008_＀＀_x0001_＀＀_x0001_＀＀＀＀＀＀＀＀䁄퐃䭯_x001C_千幘捩彡敭湡䕟卐㈨〰ⰸ㤳㐱⤱_x0018_＀＀_x0018_＀＀_x0008_＀＀_x0001_＀＀_x0001_＀＀豀碵꼝쐕퐂䭯_x001C_千幘捩彡敭湡偟䥔㈨〰ⰹ㤳㔷⤲_x0018_＀＀_x0018_＀＀_x0008_＀＀_x0001_＀＀_x0001_＀＀豀碵꼝쐕퐀䭯_x001B_千幘南彆䕎彔义⡃呌卍㌬㠷㐹착_x0018_＀＀_x0018_＀＀_x0008_＀＀_x0001_＀＀_x0001_＀＀＀＀＀＀怀䁩폻䭯_x001A_千幘南彆䕄呂卟⡔呑ⱒ〴㈰⤵_x0018_＀＀_x0018_＀＀_x0008_＀＀_x0001_＀＀_x0001_＀＀＀＀＀＀䁳폹䭯_x0012_千幘彐剐䍉⡅㘳〴⤳_x0018_＀＀_x0018_＀＀_x0008_＀＀_x0001_＀＀_x0001_＀＀_x0001_＀＀_xD800_䀵퐃䭯_x001C_千幘捩彡敭湡䕟卐㈨〰ⰳ㜳㘴⤸_x0018_＀＀_x0018_＀＀_x0008_＀＀_x0001_＀＀_x0001_＀＀豀碵꼝쐕퐁䭯_x001C_千幘捩彡敭湡獟獬㈨〰ⰵ㠳㔳⤲_x0018_＀＀_x0018_＀＀_x0008_＀＀_x0001_＀＀_x0001_＀＀豀碵꼝쐕퐀䭯_x001B_千幘南彆偅当䥄⡌呌卍㌬㠷㐶착_x0018_＀＀_x0018_＀＀_x0008_＀＀_x0001_＀＀_x0001_＀＀_xD899_屼⨛㿰폾䭯_x001B_千幘南彆呐彘义⡃呌卍㌬㐶㌰착_x0018_＀＀_x0018_＀＀_x0008_＀＀_x0001_＀＀_x0001_＀＀＀＀＀＀鐀䂒퐂䭯_x001C_千幘捩彡敭湡偟䥔㈨〰ⰴ㠳㌲⤰_x0018_＀＀_x0018_＀＀_x0008_＀＀_x0001_＀＀_x0001_＀＀豀碵꼝쐕퐁䭯_x001C_千幘捩彡敭湡獟獬㈨〰ⰷ㠳㘸⤸_x0018_＀＀_x0018_＀＀_x0008_＀＀_x0001_＀＀_x0001_＀＀豀碵꼝쐕퐀䭯_x001B_千幘南彆偅当䥄⡌呌卍㌬㈹㐹착_x0018_＀＀_x0018_＀＀_x0008_＀＀_x0001_＀＀_x0001_＀＀㗼ꍙꈞ䀅폽䭯_x0018_千幘南彆䉅呉䰨䵔ⱓ㜳㜳⤶_x0018_＀＀_x0018_＀＀_x0008_＀＀_x0001_＀＀_x0001_＀＀＀＀＀＀蠀䂐폼䭯_x0019_千幘南彆十䕓協儨剔㌬〷㈴착_x0018_＀＀_x0018_＀＀_x0008_＀＀_x0001_＀＀_x0001_＀＀＀＀＀＀䃓퐂䭯_x001C_千幘捩彡敭湡偟䥔㈨〰ⰸ㤳㈳⤵_x0018_＀＀_x0018_＀＀_x0008_＀＀_x0001_＀＀_x0001_＀＀豀碵꼝쐕퐁䭯_x001E_千幘捩彡敭湡䕟䥂䑔㈨〰ⰴ㠳㐰⤶_x0018_＀＀_x0018_＀＀_x0008_＀＀_x0001_＀＀_x0001_＀＀豀碵꼝쐕폽䭯_x0018_千幘南彆䉅呉䰨䵔ⱓ㠳ㄴ⤱_x0018_＀＀_x0018_＀＀_x0008_＀＀_x0001_＀＀_x0001_＀＀＀＀＀＀蠀䂑폽䭯_x0018_千幘南彆䉅呉䰨䵔ⱓ㜳㈶⤱_x0018_＀＀_x0018_＀＀_x0008_＀＀_x0001_＀＀_x0001_＀＀＀＀＀＀_xDC00_䂒폼䭯_x0019_千幘南彆十䕓協儨剔㌬㔹㜰착_x0018_＀＀_x0018_＀＀_x0008_＀＀_x0001_＀＀_x0001_＀＀＀＀＀＀䃘폼䭯_x0019_千幘南彆十䕓協儨剔㌬㜸㜱착_x0018_＀＀_x0018_＀＀_x0008_＀＀_x0001_＀＀_x0001_＀＀＀＀＀＀ꨀ䃗폺䭯_x001A_千幘南彆䅃䡓卟⡔呑ⱒ㜳㘴⤸_x0018_＀＀_x0018_＀＀_x0008_＀＀_x0001_＀＀_x0001_＀＀＀＀＀＀_xD800_䂆폾䭯_x0018_千幘南彆䉅呉䰨䵔ⱓ㤳㔰⤱_x0018_＀＀_x0018_＀＀_x0008_＀＀_x0001_＀＀_x0001_＀＀＀＀＀＀퐀䂠폽䭯_x0019_千幘南彆䅓䕌⡓呌卍㌬ㄹ㌱착_x0018_＀＀_x0018_＀＀_x0008_＀＀_x0001_＀＀_x0001_＀＀＀＀＀＀꼀䃂폼䭯_x001E_千幘南彆䉅呉䅄䵟乇䰨䵔ⱓ㜳㐳⤶_x0018_＀＀_x0018_＀＀_x0008_＀＀_x0001_＀＀_x0001_＀＀熤挻䀴폼䭯_x0019_千幘南彆䅓䕌⡓呌卍㌬㔶㔸착_x0018_＀＀_x0018_＀＀_x0008_＀＀_x0001_＀＀_x0001_＀＀＀＀＀＀ᶀ䃅폼䭯_x001E_千幘南彆䉅呉䅄䵟乇䰨䵔ⱓ㘳㔵⤶_x0018_＀＀_x0018_＀＀_x0008_＀＀_x0001_＀＀_x0001_＀＀匣襋౮䀩폻䭯_x001A_千幘南彆䕄呂䱟⡔呑ⱒ㤳㠷⤲_x0018_＀＀_x0018_＀＀_x0008_＀＀_x0001_＀＀_x0001_＀＀＀＀＀＀윀䂼폺䭯_x001A_千幘南彆䅃䡓卟⡔呑ⱒ㠳〵⤳_x0018_＀＀_x0018_＀＀_x0008_＀＀_x0001_＀＀_x0001_＀＀＀＀＀＀簀䂜퐌䭯M千幘䅃偟久当剐佉归剓⡖㈱㈯〰ⰸⰬ唬䑓䀩南偟久䥓乏偟归䕓噒䍟协⡔㈱㈯〰ⰸⰬ唬䑓착_x0018_＀＀_x0018_＀＀_x0008_＀＀_x0001_＀＀_x0001_＀＀＀＀＀＀＀＀䀈퐂䭯_x001C_千幘捩彡敭湡䕟卐㈨〰ⰰ㘳㔵⤶_x0018_＀＀_x0018_＀＀_x0008_＀＀_x0001_＀＀_x0001_＀＀豀碵꼝쐕퐁䭯_x001D_千幘捩彡敭湡䕟䥂⡔〲㜰㌬〹ㄲ착_x0018_＀＀_x0018_＀＀_x0008_＀＀_x0001_＀＀_x0001_＀＀豀碵꼝쐕퐁䭯_x001D_千幘捩彡敭湡䕟䥂⡔〲㔰㌬㐸㈴착_x0018_＀＀_x0018_＀＀_x0008_＀＀_x0001_＀＀_x0001_＀＀豀碵꼝쐕퐁䭯_x001C_千幘捩彡敭湡獟獬㈨〰ⰸ㤳ㄱ⤳_x0018_＀＀_x0018_＀＀_x0008_＀＀_x0001_＀＀_x0001_＀＀豀碵꼝쐕퐁䭯_x001E_千幘捩彡敭湡䕟䥂䑔㈨〰ⰶ㠳〸⤷_x0018_＀＀_x0018_＀＀_x0008_＀＀_x0001_＀＀_x0001_＀＀豀碵꼝쐕폼䭯_x0019_千幘南彆䅓䕌⡓呌卍㌬㠶〳착_x0018_＀＀_x0018_＀＀_x0008_＀＀_x0001_＀＀_x0001_＀＀＀＀＀＀툀䃁폼䭯_x0019_千幘南彆十䕓協儨剔㌬㠷㐶착_x0018_＀＀_x0018_＀＀_x0008_＀＀_x0001_＀＀_x0001_＀＀＀＀＀＀ࣀ䃕폹䭯_x0011_千幘浣獟獨㌨〷㈷착_x0018_＀＀_x0018_＀＀_x0008_＀＀_x0001_＀＀_x0001_＀＀豀碵꼝쐕퐍䭯"千幘南偟久䥓乏偟佂ㄨ⼲〲㔰ⰬⰬ单⥄_x0018_＀＀_x0018_＀＀_x0008_＀＀_x0001_＀＀_x0001_＀＀＀＀＀＀㰀䂠퐌䭯-千幘䅃偟协剔呅啟归剔佟彂䵁剏⡔㈱㈯〰ⰸⰬ唬䑓착_x0018_＀＀_x0018_＀＀_x0008_＀＀_x0001_＀＀_x0001_＀＀豀碵꼝쐕퐂䭯_x001C_千幘捩彡敭湡偟䥔㈨〰ⰵ㠳㘱⤸_x0018_＀＀_x0018_＀＀_x0008_＀＀_x0001_＀＀_x0001_＀＀豀碵꼝쐕폽䭯_x001E_千幘南彆䉅呉䅄䵟乇䰨䵔ⱓ㤳㈰⤱_x0018_＀＀_x0018_＀＀_x0008_＀＀_x0001_＀＀_x0001_＀＀볻襁ቮ䁀폽䭯_x0019_千幘南彆䅓䕌⡓呌卍㌬㈸〶착_x0018_＀＀_x0018_＀＀_x0008_＀＀_x0001_＀＀_x0001_＀＀＀＀＀＀豈䂾폼䭯_x0019_千幘南彆十䕓協儨剔㌬㈹㐹착_x0018_＀＀_x0018_＀＀_x0008_＀＀_x0001_＀＀_x0001_＀＀＀＀＀＀節䃘폺䭯_x001A_千幘南彆䅃䡓卟⡔呑ⱒ㘳㘸⤰_x0018_＀＀_x0018_＀＀_x0008_＀＀_x0001_＀＀_x0001_＀＀＀＀＀＀⠀䂋퐍䭯(千幘䅃偟久当偐彄䕂彎佃呓ㄨ⼲〲㈰ⰬⰬ单⥄_x0018_＀＀_x0018_＀＀_x0008_＀＀_x0001_＀＀_x0001_＀＀豀碵꼝쐕퐍䭯 千幘南䕟䍘彈䅒䕔ㄨ⼲〲㌰ⰬⰬ单⥄_x0018_＀＀_x0018_＀＀_x0008_＀＀_x0001_＀＀_x0001_＀＀＀＀＀＀＀＀㿰퐌䭯H千幘䅃偟久当义彔佃呓ㄨ⼲〲㈰ⰬⰬ单⥄址当䕐华佉彎义彔佃呓ㄨ⼲〲㈰ⰬⰬ单⥄_x0018_＀＀_x0018_＀＀_x0008_＀＀_x0001_＀＀_x0001_＀＀＀＀＀＀쀀䁝퐌䭯*千幘南䡟呌䍈剁彅塅彐呌剟䅏ㄨ⼲〲㐰ⰬⰬ单⥄_x0018_＀＀_x0018_＀＀_x0008_＀＀_x0001_＀＀_x0001_＀＀豀碵꼝쐕퐈䭯M千幘䅃偟久当剐佉归剓⡖㈱㈯〰ⰹⰬ唬䑓䀩南偟久䥓乏偟归䕓噒䍟协⡔㈱㈯〰ⰹⰬ唬䑓착_x0018_＀＀_x0018_＀＀_x0008_＀＀_x0001_＀＀_x0001_＀＀豀碵꼝쐕暚䭴_x0018_刣晥敲桳帣南䥟体䍟䑏⡅⤰_x0014_＀＀_x0018_＀＀_x0004_＀＀_x0001_＀＀_x0008_＀＀乀A퐂䭯_x001C_千幘捩彡敭湡䕟卐㈨〰ⰲ㜳㜰⤲_x0018_＀＀_x0018_＀＀_x0008_＀＀_x0001_＀＀_x0001_＀＀豀碵꼝쐕퐂䭯_x001C_千幘捩彡敭湡偟䥔㈨〰ⰹ㤳〵⤷_x0018_＀＀_x0018_＀＀_x0008_＀＀_x0001_＀＀_x0001_＀＀豀碵꼝쐕폻䭯_x001C_千幘南彆䡓䑌卒䕟⡑呑ⱒ㠳㘵⤴_x0018_＀＀_x0018_＀＀_x0008_＀＀_x0001_＀＀_x0001_＀＀＀＀＀＀섀䂽퐌䭯L千幘䅃偟协剔呅䥟呎䍟协⡔㈱㈯〰ⰹⰬ唬䑓䀩南䡟呌䍈剁彅义彔佃呓ㄨ⼲〲㤰ⰬⰬ单⥄_x0018_＀＀_x0018_＀＀_x0008_＀＀_x0001_＀＀_x0001_＀＀豀碵꼝쐕퐂䭯_x001C_千幘捩彡敭湡偟䥔㈨〰ⰷ㠳㈹⤹_x0018_＀＀_x0018_＀＀_x0008_＀＀_x0001_＀＀_x0001_＀＀豀碵꼝쐕퐁䭯_x001C_千幘捩彡敭湡獟獬㈨〰ⰶ㠳㜴⤲_x0018_＀＀_x0018_＀＀_x0008_＀＀_x0001_＀＀_x0001_＀＀豀碵꼝쐕퐁䭯_x001C_千幘捩彡敭湡獟獬㈨〰ⰵ㠳〱⤷_x0018_＀＀_x0018_＀＀_x0008_＀＀_x0001_＀＀_x0001_＀＀豀碵꼝쐕퐀䭯_x001B_千幘南彆䕎彔义⡃呌卍㌬㐷㤹착_x0018_＀＀_x0018_＀＀_x0008_＀＀_x0001_＀＀_x0001_＀＀＀＀＀＀＀＀䁷폹䭯_x0011_千幘浣獟獨㌨㠷㐹착_x0018_＀＀_x0018_＀＀_x0008_＀＀_x0001_＀＀_x0001_＀＀豀碵꼝쐕퐃䭯_x001C_千幘捩彡敭湡䕟卐㈨〰ⰴ㜳㌸⤳_x0018_＀＀_x0018_＀＀_x0008_＀＀_x0001_＀＀_x0001_＀＀豀碵꼝쐕폽䭯_x0019_千幘南彆䅓䕌⡓呌卍㌬㠹㈷착_x0018_＀＀_x0018_＀＀_x0008_＀＀_x0001_＀＀_x0001_＀＀＀＀＀＀ﮀ䃅폺䭯_x001A_千幘南彆䕄呂卟⡔呑ⱒ㠳㌵⤳_x0018_＀＀_x0018_＀＀_x0008_＀＀_x0001_＀＀_x0001_＀＀＀＀＀＀栀䂃퐌䭯J千幘䅃偟久当佒彁䅒䕔ㄨ⼲〲㌰ⰬⰬ单⥄址当䕐华佉彎塅彐呌剟䅏ㄨ⼲〲㌰ⰬⰬ单⥄_x0018_＀＀_x0018_＀＀_x0008_＀＀_x0001_＀＀_x0001_＀＀쳍쳌쳌䀡퐌䭯)千幘䅃偟协剔呅佟䡔䑁彊䉎⡁㈱㈯〰ⰹⰬ唬䑓착_x0018_＀＀_x0018_＀＀_x0008_＀＀_x0001_＀＀_x0001_＀＀豀碵꼝쐕퐁䭯_x001D_千幘捩彡敭湡䕟䥂⡔〲㜰㌬㤸〹착_x0018_＀＀_x0018_＀＀_x0008_＀＀_x0001_＀＀_x0001_＀＀豀碵꼝쐕퐁䭯_x001D_千幘捩彡敭湡䕟䥂⡔〲㘰㌬㘸㔲착_x0018_＀＀_x0018_＀＀_x0008_＀＀_x0001_＀＀_x0001_＀＀豀碵꼝쐕폺䭯_x001A_千幘南彆䕄呂卟⡔呑ⱒ㠳㠳⤳_x0018_＀＀_x0018_＀＀_x0008_＀＀_x0001_＀＀_x0001_＀＀＀＀＀＀䂐폺䭯_x001A_千幘南彆䕄呂䱟⡔呑ⱒ㜳㜰⤲_x0018_＀＀_x0018_＀＀_x0008_＀＀_x0001_＀＀_x0001_＀＀＀＀＀＀言䂶퐈䭯I千幘䅃偟久当剓彖佃呓ㄨ⼲〲㤰ⰬⰬ单⥄址当䕐华佉彎䕓噒䍟协⡔㈱㈯〰ⰹⰬ唬䑓착_x0018_＀＀_x0018_＀＀_x0008_＀＀_x0001_＀＀_x0001_＀＀豀碵꼝쐕퐃䭯_x001C_千幘捩彡敭湡䕟卐㈨〰ⰸ㤳㘵⤸_x0018_＀＀_x0018_＀＀_x0008_＀＀_x0001_＀＀_x0001_＀＀豀碵꼝쐕퐁䭯_x001E_千幘捩彡敭湡䕟䥂䑔㈨〰ⰵ㠳ㄴ⤱_x0018_＀＀_x0018_＀＀_x0008_＀＀_x0001_＀＀_x0001_＀＀豀碵꼝쐕폾䭯_x001B_千幘南彆䕎彔义⡃呌卍㌬㠶ㄹ착_x0018_＀＀_x0018_＀＀_x0008_＀＀_x0001_＀＀_x0001_＀＀＀＀＀＀䀀䁧폽䭯_x001E_千幘南彆䉅呉䅄䵟乇䰨䵔ⱓ㠳㤹⤰_x0018_＀＀_x0018_＀＀_x0008_＀＀_x0001_＀＀_x0001_＀＀볻襁ቮ䁀폺䭯_x001A_千幘南彆䕄呂卟⡔呑ⱒ㜳㠶⤰_x0018_＀＀_x0018_＀＀_x0008_＀＀_x0001_＀＀_x0001_＀＀＀＀＀＀뀀䂀퐍䭯%千幘䅃偟久当呌䅟卓呅⡓㈱㈯〰ⰵⰬ唬䑓착_x0018_＀＀_x0018_＀＀_x0008_＀＀_x0001_＀＀_x0001_＀＀豀碵꼝쐕퐃䭯_x001C_千幘捩彡敭湡䕟卐㈨〰ⰸ㤳ㄸ⤳_x0018_＀＀_x0018_＀＀_x0008_＀＀_x0001_＀＀_x0001_＀＀豀碵꼝쐕퐁䭯_x001D_千幘捩彡敭湡䕟䥂⡔〲㠰㌬ㄹㄴ착_x0018_＀＀_x0018_＀＀_x0008_＀＀_x0001_＀＀_x0001_＀＀豀碵꼝쐕퐁䭯_x001C_千幘捩彡敭湡獟獬㈨㄰ⰰ㤳㘹⤴_x0018_＀＀_x0018_＀＀_x0008_＀＀_x0001_＀＀_x0001_＀＀豀碵꼝쐕퐀䭯_x001C_千幘捩彡敭湡獟獬㈨〰ⰳ㜳㘵⤰_x0018_＀＀_x0018_＀＀_x0008_＀＀_x0001_＀＀_x0001_＀＀豀碵꼝쐕퐍䭯&amp;千幘䅃偟久当十彔义䅔䝎ㄨ⼲〲㈰ⰬⰬ单⥄_x0018_＀＀_x0018_＀＀_x0008_＀＀_x0001_＀＀_x0001_＀＀豀碵꼝쐕퐍䭯(千幘䅃偟久当䅐呒䍟乏剔䉉ㄨ⼲〲㜰ⰬⰬ单⥄_x0018_＀＀_x0018_＀＀_x0008_＀＀_x0001_＀＀_x0001_＀＀豀碵꼝쐕퐌䭯(千幘南䡟呌䍈剁彅乕彆䕂⡎㈱㈯〰ⰴⰬ唬䑓⤩＀＀＀＀퐀䭯_x001B_千幘南彆偅当䥄⡌呌卍㌬㈸ㄹ착_x0018_＀＀_x0018_＀＀_x0008_＀＀_x0001_＀＀_x0001_＀＀⨆_xDFE3_屧㿭폼䭯_x0019_千幘南彆䅓䕌⡓呌卍㌬㈷㔲착_x0018_＀＀_x0018_＀＀_x0008_＀＀_x0001_＀＀_x0001_＀＀＀＀＀＀퐀䂿폺䭯_x001A_千幘南彆䕄呂䱟⡔呑ⱒ㜳㤸⤴_x0018_＀＀_x0018_＀＀_x0008_＀＀_x0001_＀＀_x0001_＀＀＀＀＀＀倀䂹폹䭯_x001D_千幘捩彡敭湡䕟䥂⡔〲㌰㌬㐷㠶착_x0018_＀＀_x0018_＀＀_x0008_＀＀_x0001_＀＀_x0001_＀＀豀碵꼝쐕퐂䭯_x001C_千幘捩彡敭湡偟䥔㈨〰ⰶ㠳㌵⤳_x0018_＀＀_x0018_＀＀_x0008_＀＀_x0001_＀＀_x0001_＀＀豀碵꼝쐕폻䭯_x001C_千幘南彆䡓䑌卒䕟⡑呑ⱒ㜳㈵⤹_x0018_＀＀_x0018_＀＀_x0008_＀＀_x0001_＀＀_x0001_＀＀＀＀＀＀䂸폹䭯_x0012_千幘彐剐䍉⡅㜳〸⤲_x0018_＀＀_x0018_＀＀_x0008_＀＀_x0001_＀＀_x0001_＀＀ꏗ㵰ᜊ䀮퐃䭯_x001C_千幘捩彡敭湡䕟卐㈨〰ⰵ㠳㔶⤶_x0018_＀＀_x0018_＀＀_x0008_＀＀_x0001_＀＀_x0001_＀＀豀碵꼝쐕퐂䭯_x001C_千幘捩彡敭湡偟䥔㈨〰ⰶ㠳㠳⤳_x0018_＀＀_x0018_＀＀_x0008_＀＀_x0001_＀＀_x0001_＀＀豀碵꼝쐕폾䭯_x001B_千幘南彆呐彘义⡃呌卍㌬㠷㈰착_x0018_＀＀_x0018_＀＀_x0008_＀＀_x0001_＀＀_x0001_＀＀＀＀＀＀䂅폾䭯_x0018_千幘南彆䉅呉䰨䵔ⱓ㤳㜴⤸_x0018_＀＀_x0018_＀＀_x0008_＀＀_x0001_＀＀_x0001_＀＀＀＀＀＀縀䂢폼䭯_x0019_千幘南彆䅓䕌⡓呌卍㌬㌶㈷착_x0018_＀＀_x0018_＀＀_x0008_＀＀_x0001_＀＀_x0001_＀＀＀＀＀＀먀䃃폹䭯_x0012_千幘彐剐䍉⡅㠳㐴⤲_x0018_＀＀_x0018_＀＀_x0008_＀＀_x0001_＀＀_x0001_＀＀㌳㌳팳䀴폹䭯_x0012_千幘彐剐䍉⡅㜳㔶⤲_x0018_＀＀_x0018_＀＀_x0008_＀＀_x0001_＀＀_x0001_＀＀ᑺޮ䀬퐍䭯'千幘䅃偟久当商䑎卟䅔啔⡓㈱㈯〰ⰶⰬ唬䑓착_x0018_＀＀_x0018_＀＀_x0008_＀＀_x0001_＀＀_x0001_＀＀豀碵꼝쐕퐍䭯J千幘䅃偟久当䱐乁䅟呓ㄨ⼲〲㠰ⰬⰬ单⥄址当䕐华佉彎䅖彌十䕓協ㄨ⼲〲㠰ⰬⰬ单⥄_x0018_＀＀_x0018_＀＀_x0008_＀＀_x0001_＀＀_x0001_＀＀＀＀＀＀ꀀ䂔폾䭯_x001B_千幘南彆呐彘义⡃呌卍㌬㐸㈴착_x0018_＀＀_x0018_＀＀_x0008_＀＀_x0001_＀＀_x0001_＀＀＀＀＀＀堀䂋폾䭯_x001B_千幘南彆呐彘义⡃呌卍㌬㘷㈵착_x0018_＀＀_x0018_＀＀_x0008_＀＀_x0001_＀＀_x0001_＀＀＀＀＀＀렀䂇폾䭯_x0018_千幘南彆䉅呉䰨䵔ⱓ〴ㄱ⤷_x0018_＀＀_x0018_＀＀_x0008_＀＀_x0001_＀＀_x0001_＀＀＀＀＀＀樀䂡폽䭯_x0019_千幘南彆䅓䕌⡓呌卍㌬㠸㜳착_x0018_＀＀_x0018_＀＀_x0008_＀＀_x0001_＀＀_x0001_＀＀＀＀＀＀䒀䃁폹䭯_x0012_千幘彐剐䍉⡅㤳㠰⤲_x0018_＀＀_x0018_＀＀_x0008_＀＀_x0001_＀＀_x0001_＀＀ꏗ㵰㜊䁁폹䭯_x0011_千幘浣獟獨㌨㐷㤹착_x0018_＀＀_x0018_＀＀_x0008_＀＀_x0001_＀＀_x0001_＀＀豀碵꼝쐕</t>
        </r>
      </text>
    </comment>
  </commentList>
</comments>
</file>

<file path=xl/sharedStrings.xml><?xml version="1.0" encoding="utf-8"?>
<sst xmlns="http://schemas.openxmlformats.org/spreadsheetml/2006/main" count="1637" uniqueCount="1196">
  <si>
    <t>% of Revenue ex-Fuel Surcharge - Actual/Forecast</t>
  </si>
  <si>
    <t>% of Revenue ex-Fuel Surcharge - Regression</t>
  </si>
  <si>
    <t>2 Month Lag</t>
  </si>
  <si>
    <t>Pension Contributions, Net of Tax</t>
  </si>
  <si>
    <t>Trade Receivables</t>
  </si>
  <si>
    <t>Inventories</t>
  </si>
  <si>
    <t>Two-Month Lag Period</t>
  </si>
  <si>
    <t>ZAV(TF.FN.PensionPlanDiscountRateWtdAvg(period=FY0,sdate=#1,edate=#2,frq=FY))/100</t>
  </si>
  <si>
    <t>Week Applied</t>
  </si>
  <si>
    <t>Basis Week</t>
  </si>
  <si>
    <t>National On-Highway Diesel</t>
  </si>
  <si>
    <t>Fuel Surcharge</t>
  </si>
  <si>
    <t>FSC No Lag</t>
  </si>
  <si>
    <t>At Least</t>
  </si>
  <si>
    <t>But Less Than</t>
  </si>
  <si>
    <t>Rate</t>
  </si>
  <si>
    <t>Fuel Expense</t>
  </si>
  <si>
    <t>QTR</t>
  </si>
  <si>
    <t>% of Total Rev</t>
  </si>
  <si>
    <t>% of Total Op Expenses</t>
  </si>
  <si>
    <t>Accrural Net Share Issuance</t>
  </si>
  <si>
    <t>Total RTMs / GTMs</t>
  </si>
  <si>
    <t>Quarter</t>
  </si>
  <si>
    <t>CSX</t>
  </si>
  <si>
    <t>YoY $ Total Mix Impact on Rev</t>
  </si>
  <si>
    <t>Debt Issuance/(Paydown)</t>
  </si>
  <si>
    <t>Period:</t>
  </si>
  <si>
    <t>On-Highway Diesel</t>
  </si>
  <si>
    <t>Month</t>
  </si>
  <si>
    <t>0.36</t>
  </si>
  <si>
    <t>Discount Rate (Liability Rate)</t>
  </si>
  <si>
    <t>Effect of Exchange Rate on Cash</t>
  </si>
  <si>
    <t>Other Amortization</t>
  </si>
  <si>
    <t>Other Current Assets</t>
  </si>
  <si>
    <t>Shareholders' Equity</t>
  </si>
  <si>
    <t>Net Property and Equipment</t>
  </si>
  <si>
    <t>YoY $MM RTM Mix Impact on Rev</t>
  </si>
  <si>
    <t># of Carloads per Avg. Employee</t>
  </si>
  <si>
    <t>ZAV(TF.FN.PensionPlanInterestCost(period=FY0,sdate=#1,edate=#2,frq=FY,curn=#3,scale=6))</t>
  </si>
  <si>
    <t>ZAV(TF.FN.PensionPlanExpectedReturnOnPlanAssets(period=FY0,sdate=#1,edate=#2,frq=FY,curn=#3,scale=6))</t>
  </si>
  <si>
    <t>ZAV(TF.FN.HealthcarePlanFairValueOfPlanAssets(period=FY0,sdate=#1,frq=FY,curn=#2,scale=6))</t>
  </si>
  <si>
    <t>Contract Logistics Revenue</t>
  </si>
  <si>
    <t>Retained Earnings</t>
  </si>
  <si>
    <t>MSA12397</t>
  </si>
  <si>
    <t>1Q14:30-35% payout ratio on TTM basis</t>
  </si>
  <si>
    <t>MW Ticker (with .N, .O extension)</t>
  </si>
  <si>
    <t>Company Name</t>
  </si>
  <si>
    <t>Csx Corp</t>
  </si>
  <si>
    <t>Sedol</t>
  </si>
  <si>
    <t>Step 1</t>
  </si>
  <si>
    <t>: Thinking about Assumptions</t>
  </si>
  <si>
    <t>Discount Rate</t>
  </si>
  <si>
    <t>TOTAL OPERATING EXPENSES</t>
  </si>
  <si>
    <t>CSX.N,mscalc:factsetIdCalc</t>
  </si>
  <si>
    <t xml:space="preserve">b </t>
  </si>
  <si>
    <t>Projected Benefit Obligations (PBO) - BOP</t>
  </si>
  <si>
    <t>ZAV(TF.FN.PensionPlanProjectedBenefitObligation(period=FY0,sdate=#1,frq=FY,curn=#2,scale=6))</t>
  </si>
  <si>
    <t>Actuarial Losses / (Gains)</t>
  </si>
  <si>
    <t>Projected Benefit Obligations (PBO) - EOP</t>
  </si>
  <si>
    <t>Coal Revenue per Ton Detail</t>
  </si>
  <si>
    <t>Export Coal Revenue/Ton</t>
  </si>
  <si>
    <t>Implied Revenue/Ton for Non-Export Coal</t>
  </si>
  <si>
    <t>ZAV(TF.FN.PensionPlanProjectedBenefitObligation(period=FY0,sdate=#1,edate=#2,frq=FY,curn=#3,scale=6))</t>
  </si>
  <si>
    <t>Plan Assets - BOP</t>
  </si>
  <si>
    <t>Actual Return</t>
  </si>
  <si>
    <t>ZAV(TF.FN.PensionPlanServiceAmmortizationOfPriorServiceCosts(period=FY0,sdate=#1,edate=#2,frq=FY,curn=#3,scale=6))</t>
  </si>
  <si>
    <t>Statutory Tax Rate</t>
  </si>
  <si>
    <t>Index</t>
  </si>
  <si>
    <t>Total Chg. in Equity</t>
  </si>
  <si>
    <t>4Q12</t>
  </si>
  <si>
    <t>ZAV(TF.FN.HealthcarePlanServiceAmmortizationOfPriorServiceCosts(period=FY0,sdate=#1,edate=#2,frq=FY,curn=#3,scale=6))</t>
  </si>
  <si>
    <t>ZAV(TF.FN.HealthcarePlanInterestCost(period=FY0,sdate=#1,edate=#2,frq=FY,curn=#3,scale=6))</t>
  </si>
  <si>
    <t>drop down link</t>
  </si>
  <si>
    <t>ZAV(TF.FN.HealthcarePlanExpectedReturnOnPlanAssets(period=FY0,sdate=#1,edate=#2,frq=FY,curn=#3,scale=6))</t>
  </si>
  <si>
    <t>Increase / (Decrease) in AOCI from actuarial gains/losses</t>
  </si>
  <si>
    <t xml:space="preserve">NOTE:  Each model is structured differently, so the location to integrate the changes below (into either the BS or CFS) will depend on the model. Guidance for the typical model is described in column A.  </t>
  </si>
  <si>
    <t>Change in Assets</t>
  </si>
  <si>
    <t>(Decrease) in cash from contributions</t>
  </si>
  <si>
    <t>Increase (decrease) in cash from reversal of non-cash pension expense (benefit)</t>
  </si>
  <si>
    <t>Increase (decrease) in DTA from higher/lower funded status</t>
  </si>
  <si>
    <t>Total change in Assets</t>
  </si>
  <si>
    <t>Change in Liabilities &amp; Equity</t>
  </si>
  <si>
    <t>Increase / (Decrease) in Pension Obligation</t>
  </si>
  <si>
    <t>ZAV(TF.FN.HealthcarePlanExpectedLTRateReturnOnAssets(period=FY0,sdate=#1,edate=#2,frq=FY))/100</t>
  </si>
  <si>
    <t xml:space="preserve">   Year-to-Year Pt. Chg.</t>
  </si>
  <si>
    <t>2015E</t>
  </si>
  <si>
    <t>ZAV(TF.FN.HealthcarePlanProjectedBenefitObligation(period=FY0,sdate=#1,edate=#2,frq=FY,curn=#3,scale=6))</t>
  </si>
  <si>
    <t>PBO</t>
  </si>
  <si>
    <t>OPEB</t>
  </si>
  <si>
    <t>Deferred Tax Asset/(Liability)</t>
  </si>
  <si>
    <t>Reversal of non-cash OPEB expense(benefit)</t>
  </si>
  <si>
    <t>(Decrease) in cash from contributions / benefit payments</t>
  </si>
  <si>
    <t>Net Income Before Extraordinary Items</t>
  </si>
  <si>
    <t>Net Income and EPS</t>
  </si>
  <si>
    <t>RTM/Carload (Millions/Carload)</t>
  </si>
  <si>
    <t>Net of Tax Disc. Ops./Extrordinary Item #1</t>
  </si>
  <si>
    <t>YoY Chg in Real Estate Gains</t>
  </si>
  <si>
    <t>Minerals + Waste (Prev. EM)</t>
  </si>
  <si>
    <t>2016E</t>
  </si>
  <si>
    <t>Period</t>
  </si>
  <si>
    <t xml:space="preserve">   Equity</t>
  </si>
  <si>
    <t xml:space="preserve">   Fixed Income</t>
  </si>
  <si>
    <t>Operating Revenue</t>
  </si>
  <si>
    <t>Depreciation and Amortization</t>
  </si>
  <si>
    <t>Other</t>
  </si>
  <si>
    <t>Assumed Share Creep (annualized)</t>
  </si>
  <si>
    <t># of Employees (average figure)</t>
  </si>
  <si>
    <t>ZAV(TF.FN.PensionPlanFairValueOfPlanAssets(period=FY0,sdate=#1,frq=FY,curn=#2,scale=6))</t>
  </si>
  <si>
    <t>ZAV(TF.FN.PensionPlanActualReturnOnPlanAssets(period=FY0,sdate=#1,edate=#2,frq=FY,curn=#3,scale=6))</t>
  </si>
  <si>
    <t>ZAV(TF.FN.PensionPlanFairValueOfPlanAssets(period=FY0,sdate=#1,edate=#2,frq=FY,curn=#3,scale=6))</t>
  </si>
  <si>
    <t>COMMENTS</t>
  </si>
  <si>
    <t>ZAV(TF.FN.PensionPlanPctEquities(period=FY0,sdate=#1,edate=#2,frq=FY))/100</t>
  </si>
  <si>
    <t>ZAV(TF.FN.PensionPlanPctBonds(period=FY0,sdate=#1,edate=#2,frq=FY))/100</t>
  </si>
  <si>
    <t>ZAV(TF.FN.PensionPlanPctProperty(period=FY0,sdate=#1,edate=#2,frq=FY))/100</t>
  </si>
  <si>
    <t>ZAV(TF.FN.PensionPlanPctOther(period=FY0,sdate=#1,edate=#2,frq=FY))/100</t>
  </si>
  <si>
    <t>MW Ccy</t>
  </si>
  <si>
    <t>TR ISO Ccy</t>
  </si>
  <si>
    <t>BPN</t>
  </si>
  <si>
    <t>Not Available</t>
  </si>
  <si>
    <t>Disc. Ops./Extrordinary Items Net of Tax</t>
  </si>
  <si>
    <t>1QA</t>
  </si>
  <si>
    <t>2QA</t>
  </si>
  <si>
    <t>Service Cost</t>
  </si>
  <si>
    <t>Other Income/(Expense)</t>
  </si>
  <si>
    <t>Prior Service Costs</t>
  </si>
  <si>
    <t>Interest Cost</t>
  </si>
  <si>
    <t>Fuel Price for Surcharge Calculation (60 day lag)</t>
  </si>
  <si>
    <t>Metals Revenue</t>
  </si>
  <si>
    <t>Food &amp; Consumer Revenue</t>
  </si>
  <si>
    <t>Chemicals Revenue</t>
  </si>
  <si>
    <t>Carloads YoY Growth</t>
  </si>
  <si>
    <t>Total Carloads</t>
  </si>
  <si>
    <t>Domestic Utility Tonnage</t>
  </si>
  <si>
    <t>Materials Supplies and Other</t>
  </si>
  <si>
    <t>Total Coal, Coke, and Ore Tons</t>
  </si>
  <si>
    <t>On-Highway Diesel Price Per Gal. ex Taxes etc.</t>
  </si>
  <si>
    <t>Agricultural Products Revenue</t>
  </si>
  <si>
    <t>Merchandise Revenue</t>
  </si>
  <si>
    <t>CSX Stock Price</t>
  </si>
  <si>
    <t>JMD</t>
  </si>
  <si>
    <t>JPY Japanese Yen</t>
  </si>
  <si>
    <t>¥</t>
  </si>
  <si>
    <t>JPY</t>
  </si>
  <si>
    <t>KES Kenyan Shilling</t>
  </si>
  <si>
    <t>KES</t>
  </si>
  <si>
    <t>64</t>
  </si>
  <si>
    <t>Total RTMs / Carload</t>
  </si>
  <si>
    <t>Total Current Assets</t>
  </si>
  <si>
    <t>Operating Ratio ex-Fuel Surcharge</t>
  </si>
  <si>
    <t>Op. Ratio Impact of Fuel Lag</t>
  </si>
  <si>
    <t>HKD Hong Kong Dollar</t>
  </si>
  <si>
    <t>AUD Australian Dollar</t>
  </si>
  <si>
    <t>ARS Argentinian Pesos</t>
  </si>
  <si>
    <t>Ar$</t>
  </si>
  <si>
    <t>ARS</t>
  </si>
  <si>
    <t>Minerals + Waste (Prev. Emerging Markets)</t>
  </si>
  <si>
    <t>Agricultural Products</t>
  </si>
  <si>
    <t>Automotive</t>
  </si>
  <si>
    <t>Phosphates &amp; Fertilizer</t>
  </si>
  <si>
    <t xml:space="preserve">Forest Products </t>
  </si>
  <si>
    <t xml:space="preserve">Metals </t>
  </si>
  <si>
    <t xml:space="preserve">Chemicals </t>
  </si>
  <si>
    <t xml:space="preserve">Food &amp; Consumer </t>
  </si>
  <si>
    <t>Domestic Coke, Iron Ore and Other Tonnage</t>
  </si>
  <si>
    <t>YoY Chg in Net Casualty &amp; Other</t>
  </si>
  <si>
    <t>SGD Singapore Dollar</t>
  </si>
  <si>
    <t>S$</t>
  </si>
  <si>
    <t>SGD</t>
  </si>
  <si>
    <t>THB Thailand Baht</t>
  </si>
  <si>
    <t>Bt</t>
  </si>
  <si>
    <t>THB</t>
  </si>
  <si>
    <t>TND Tunisian Dinar</t>
  </si>
  <si>
    <t>TND</t>
  </si>
  <si>
    <t>TRY Turkish Lira</t>
  </si>
  <si>
    <t>YTL</t>
  </si>
  <si>
    <t>TRY</t>
  </si>
  <si>
    <t>TWD New Taiwan Dollar</t>
  </si>
  <si>
    <t>NT$</t>
  </si>
  <si>
    <t>TWD</t>
  </si>
  <si>
    <t>UAH Ukrainian Hryvnia</t>
  </si>
  <si>
    <t>UAH</t>
  </si>
  <si>
    <t>USD American Dollar</t>
  </si>
  <si>
    <t>$</t>
  </si>
  <si>
    <t>% of Book Taxes</t>
  </si>
  <si>
    <t>CFO</t>
  </si>
  <si>
    <t>Cash Flow From Investing</t>
  </si>
  <si>
    <t>Net Asset (Acquisitions)/Sales</t>
  </si>
  <si>
    <t>CFI</t>
  </si>
  <si>
    <t>Cash Flow From Financing</t>
  </si>
  <si>
    <t>CFF</t>
  </si>
  <si>
    <t>Date</t>
  </si>
  <si>
    <t>Fuel Surcharge as % of Rev ex FS</t>
  </si>
  <si>
    <t>Current Stock Price</t>
  </si>
  <si>
    <t>AED UAE Dirham</t>
  </si>
  <si>
    <t>AED</t>
  </si>
  <si>
    <t>Pretax Margin</t>
  </si>
  <si>
    <t>Traffic by Commodity - Units</t>
  </si>
  <si>
    <t>Total Liabilities and Equity</t>
  </si>
  <si>
    <t>Gallons per Thousand GTMs</t>
  </si>
  <si>
    <t>KYD</t>
  </si>
  <si>
    <t>LKR Sri Lankan Rupee</t>
  </si>
  <si>
    <t>LKR</t>
  </si>
  <si>
    <t>MAD Moroccan Dirham</t>
  </si>
  <si>
    <t>MAD</t>
  </si>
  <si>
    <t>IDR Indonesian Rupiah</t>
  </si>
  <si>
    <t>Rp</t>
  </si>
  <si>
    <t>IDR</t>
  </si>
  <si>
    <t>ILS Israeli shekel</t>
  </si>
  <si>
    <t>ILS</t>
  </si>
  <si>
    <t>INR Indian Rupee</t>
  </si>
  <si>
    <t>Rs.</t>
  </si>
  <si>
    <t>INR</t>
  </si>
  <si>
    <t>IQD Iraqi Dinar</t>
  </si>
  <si>
    <t>IQD</t>
  </si>
  <si>
    <t>IRR Iranian Rial</t>
  </si>
  <si>
    <t>IRR</t>
  </si>
  <si>
    <t>ISK Iceland Krona</t>
  </si>
  <si>
    <t>kr</t>
  </si>
  <si>
    <t>ISK</t>
  </si>
  <si>
    <t>JMD Jamaican Dollars</t>
  </si>
  <si>
    <t>Yield Impact of Mix/Other</t>
  </si>
  <si>
    <t>Other Fuel Expense</t>
  </si>
  <si>
    <t>% of Fuel Expense ex-Other</t>
  </si>
  <si>
    <t>Cash and Cash Equivalents</t>
  </si>
  <si>
    <t>CSX.N,mstag:statutoryTaxRate,2007FY,,FYR</t>
  </si>
  <si>
    <t>CSX.N,mstag:statutoryTaxRate,2009FY,,FYR</t>
  </si>
  <si>
    <t>CSX.N,mstag:statutoryTaxRate,2014FY,,FYR</t>
  </si>
  <si>
    <t>NA</t>
  </si>
  <si>
    <t>MYR Malaysian Ringgit</t>
  </si>
  <si>
    <t>RM</t>
  </si>
  <si>
    <t>MYR</t>
  </si>
  <si>
    <t>YoY crude</t>
  </si>
  <si>
    <t>Total Intermodal Units</t>
  </si>
  <si>
    <t>Revenue Per Carload</t>
  </si>
  <si>
    <t>D&amp;A</t>
  </si>
  <si>
    <t>Combined Time Series</t>
  </si>
  <si>
    <t>Averaged Data</t>
  </si>
  <si>
    <t>Period End Data</t>
  </si>
  <si>
    <t>NZ$</t>
  </si>
  <si>
    <t>TotalChg. in Debt</t>
  </si>
  <si>
    <t>Chg. in Cash</t>
  </si>
  <si>
    <t>VEB Venezuelan Bolivar</t>
  </si>
  <si>
    <t>VEB</t>
  </si>
  <si>
    <t>ZAR South African rand</t>
  </si>
  <si>
    <t>ZAR</t>
  </si>
  <si>
    <t>US GAAP</t>
  </si>
  <si>
    <t>CSX.N,mstag:bearCaseValueEstimatePerShare</t>
  </si>
  <si>
    <t>80</t>
  </si>
  <si>
    <t>46</t>
  </si>
  <si>
    <t>Funding Level (%)</t>
  </si>
  <si>
    <t>Expected Return on Plan Assets</t>
  </si>
  <si>
    <t>CSX.N,mstag:statutoryTaxRate,2005FY,,FYR</t>
  </si>
  <si>
    <t>CSX.N,mstag:statutoryTaxRate,2011FY,,FYR</t>
  </si>
  <si>
    <t>Net of Tax Disc. Ops./Extrordinary Item #2</t>
  </si>
  <si>
    <t>,mscalc:closePriceCurrencyCalc</t>
  </si>
  <si>
    <t>,mscalc:sedolCodeCalc</t>
  </si>
  <si>
    <t>,mscalc:targetPrice,,,,USD</t>
  </si>
  <si>
    <t>CSX.N,mscalc:defaultCurrencyCalc</t>
  </si>
  <si>
    <t>CSX.N,mscalc:closePriceCurrencyCalc</t>
  </si>
  <si>
    <t>CSX.N,mscalc:sedolCodeCalc</t>
  </si>
  <si>
    <t>2160753</t>
  </si>
  <si>
    <t>Same-Store Sales Price Growth</t>
  </si>
  <si>
    <t>Revenue Per Carload ex. FS Rev</t>
  </si>
  <si>
    <t>R$</t>
  </si>
  <si>
    <t>BRL</t>
  </si>
  <si>
    <t>CAD Canadian Dollars</t>
  </si>
  <si>
    <t>C$</t>
  </si>
  <si>
    <t>CAD</t>
  </si>
  <si>
    <t>CHF Swiss Francs</t>
  </si>
  <si>
    <t>SFr</t>
  </si>
  <si>
    <t>Actual Return on Plan Assets</t>
  </si>
  <si>
    <t>2008A</t>
  </si>
  <si>
    <t>2009A</t>
  </si>
  <si>
    <t>2010A</t>
  </si>
  <si>
    <t>4QE</t>
  </si>
  <si>
    <t>Acct Payables</t>
  </si>
  <si>
    <t>Cash Dividend Paid</t>
  </si>
  <si>
    <t>Year over Year Chg.</t>
  </si>
  <si>
    <t>CSX Corporation</t>
  </si>
  <si>
    <t xml:space="preserve">Total Current Liabilities </t>
  </si>
  <si>
    <t>Long-term Debt</t>
  </si>
  <si>
    <t>Total Coal Carloads (thousands / mmt)</t>
  </si>
  <si>
    <t>MSO Expense per Carload</t>
  </si>
  <si>
    <t>Regression</t>
  </si>
  <si>
    <t>Error</t>
  </si>
  <si>
    <t>1Q12</t>
  </si>
  <si>
    <t>NZD New Zealand Dollars</t>
  </si>
  <si>
    <t>CSX.N,mscalc:targetPrice,,,,USD</t>
  </si>
  <si>
    <t>Other ST Liabilities</t>
  </si>
  <si>
    <t>Other LT Liabilities</t>
  </si>
  <si>
    <t>Other Assets</t>
  </si>
  <si>
    <t>Liabilities</t>
  </si>
  <si>
    <t>Basic shares, end of period</t>
  </si>
  <si>
    <t>Year</t>
  </si>
  <si>
    <t>Published On-Highway Diesel Price per Gal.</t>
  </si>
  <si>
    <t>CNI.N,mstag:revenueNet,2011FY,,FYR,,,IN-PROGRESS</t>
  </si>
  <si>
    <t>Cash Flow From Operations</t>
  </si>
  <si>
    <t>PLN Polish Zloty</t>
  </si>
  <si>
    <t>zł</t>
  </si>
  <si>
    <t>YoY Chg in Incentive Comp</t>
  </si>
  <si>
    <t>2000A</t>
  </si>
  <si>
    <t>2001A</t>
  </si>
  <si>
    <t>2002A</t>
  </si>
  <si>
    <t>2003A</t>
  </si>
  <si>
    <t>2004A</t>
  </si>
  <si>
    <t>2005A</t>
  </si>
  <si>
    <t>2006A</t>
  </si>
  <si>
    <t>2007A</t>
  </si>
  <si>
    <t>Fuel Surcharge Revenue Collected</t>
  </si>
  <si>
    <t>Other Railroad Revenue</t>
  </si>
  <si>
    <t>Total Railroad Revenues</t>
  </si>
  <si>
    <t>Revenue</t>
  </si>
  <si>
    <t>66</t>
  </si>
  <si>
    <t xml:space="preserve">   Incremental Margin</t>
  </si>
  <si>
    <t>Coal Carloads</t>
  </si>
  <si>
    <t>Operating Ratio</t>
  </si>
  <si>
    <t>COST PER CARLOAD EXCLUDING FUEL</t>
  </si>
  <si>
    <t>COST PER CARLOAD</t>
  </si>
  <si>
    <t>Balance Sheet</t>
  </si>
  <si>
    <t>Cash</t>
  </si>
  <si>
    <t>ST Debt</t>
  </si>
  <si>
    <t>Total Assets</t>
  </si>
  <si>
    <t>Reported</t>
  </si>
  <si>
    <t>No Lag</t>
  </si>
  <si>
    <t>Total FSC as % of Total Rev (ex FSC)</t>
  </si>
  <si>
    <t>4Q11</t>
  </si>
  <si>
    <t>2011A</t>
  </si>
  <si>
    <t>2012A</t>
  </si>
  <si>
    <t>Accrued Dividends</t>
  </si>
  <si>
    <t>Unrecorded goodwill from Poolings and accum amortization</t>
  </si>
  <si>
    <t>Q as % of Yr</t>
  </si>
  <si>
    <t>YoY Chg in Inflation</t>
  </si>
  <si>
    <t>ZAV(TF.FN.HealthcarePlanFairValueOfPlanAssets(period=FY0,sdate=#1,edate=#2,frq=FY,curn=#3,scale=6))</t>
  </si>
  <si>
    <t>USD</t>
  </si>
  <si>
    <t>Count</t>
  </si>
  <si>
    <t>Yield Impact of Fuel Surcharge</t>
  </si>
  <si>
    <t>Seq. % Chg</t>
  </si>
  <si>
    <t>Seq. Pt. Chg</t>
  </si>
  <si>
    <t>Research</t>
  </si>
  <si>
    <t>US GAAP: Voluntary Pension Accounting</t>
  </si>
  <si>
    <t>Recognized Actuarial (Gains) / Loss</t>
  </si>
  <si>
    <t>Donot Delete this tag</t>
  </si>
  <si>
    <t>Amortization of Actuarial (Gain) / Loss</t>
  </si>
  <si>
    <t>mstag:netActuarialGainLossRecognizedPensions</t>
  </si>
  <si>
    <t>GAAP Pension Expense / (Benefit)</t>
  </si>
  <si>
    <t>ZAV(TF.FN.PensionPlanNetPeriodicIncExp(period=FY0,sdate=#1,edate=#2,frq=FY,curn=#3,scale=6))</t>
  </si>
  <si>
    <t>Plan Asset Allocation (%)</t>
  </si>
  <si>
    <t>Pension Fund Status</t>
  </si>
  <si>
    <t>Company Contributions</t>
  </si>
  <si>
    <t>Market cap</t>
  </si>
  <si>
    <t>Funded Status</t>
  </si>
  <si>
    <t>Fair Value of Plan Assets - EOP</t>
  </si>
  <si>
    <t>% of Market cap</t>
  </si>
  <si>
    <t>Funding level</t>
  </si>
  <si>
    <t>Deferred Tax Asset/(Liability) on Pensions</t>
  </si>
  <si>
    <t xml:space="preserve">c </t>
  </si>
  <si>
    <t>Reversal of non-cash pension expense(benefit)</t>
  </si>
  <si>
    <t>Step 3</t>
  </si>
  <si>
    <t>: Integration in Main Model</t>
  </si>
  <si>
    <t>Expected Return on Plan Assets (EROA)</t>
  </si>
  <si>
    <t>BoP Start Yr</t>
  </si>
  <si>
    <t>TimeSrs Start Yr</t>
  </si>
  <si>
    <t>TimSrs End Yr</t>
  </si>
  <si>
    <t>Step 2</t>
  </si>
  <si>
    <t>: Forecasting Financial Statements</t>
  </si>
  <si>
    <t>Yr diff. MW vs TR</t>
  </si>
  <si>
    <t>Last historical Yr</t>
  </si>
  <si>
    <t xml:space="preserve">a </t>
  </si>
  <si>
    <t>MW FYE Month</t>
  </si>
  <si>
    <t>MW FYE</t>
  </si>
  <si>
    <t>ZAV(TF.FN.PensionPlanServiceCosts(period=FY0,sdate=#1,edate=#2,frq=FY,curn=#3,scale=6))</t>
  </si>
  <si>
    <t>TR FYE</t>
  </si>
  <si>
    <t>% Change in PBO for each 100 bps change in Interest Rate</t>
  </si>
  <si>
    <t>Contract Logistics Expenses</t>
  </si>
  <si>
    <t>Other Operating Revenue</t>
  </si>
  <si>
    <t>Other Operating Expenses</t>
  </si>
  <si>
    <t>Fuel Price Assumption</t>
  </si>
  <si>
    <t>CSX.N,mscalc:companyName</t>
  </si>
  <si>
    <t>RA.N,mscalc:companyName</t>
  </si>
  <si>
    <t>Railamerica, Inc.</t>
  </si>
  <si>
    <t>UNP.N,mscalc:companyName</t>
  </si>
  <si>
    <t>Union Pacific Corp.</t>
  </si>
  <si>
    <t>ZAV(TF.FN.HealthcarePlanActualReturnOnPlanAssets(period=FY0,sdate=#1,edate=#2,frq=FY,curn=#3,scale=6))</t>
  </si>
  <si>
    <t>Chg. in WC</t>
  </si>
  <si>
    <t>Other Chg. in Equity</t>
  </si>
  <si>
    <t>Total Change in Liabilities &amp; Equity</t>
  </si>
  <si>
    <t>Step 4</t>
  </si>
  <si>
    <t>: Thinking about Pensions in Valuation</t>
  </si>
  <si>
    <t xml:space="preserve">    Metric</t>
  </si>
  <si>
    <t>Calculating Economic Pension Cost</t>
  </si>
  <si>
    <t>Interest on Net Underfunding</t>
  </si>
  <si>
    <t>Total Economic Pension Cost</t>
  </si>
  <si>
    <t>Avg. Diluted Shares Outstanding</t>
  </si>
  <si>
    <t>Impact on EPS</t>
  </si>
  <si>
    <t>ZAV(TF.RF.DiscountRatePostRetir(period=FY0,sdate=#1,edate=#2,frq=FY))</t>
  </si>
  <si>
    <t>ZAV(TF.FN.HealthcarePlanServiceCosts(period=FY0,sdate=#1,edate=#2,frq=FY,curn=#3,scale=6))</t>
  </si>
  <si>
    <t xml:space="preserve">Average Remaining Working Life </t>
  </si>
  <si>
    <t>Control tool for last reported year</t>
  </si>
  <si>
    <t>GAAP OPEB Expense / (Benefit)</t>
  </si>
  <si>
    <t>ZAV(TF.FN.HealthcarePlanNetPeriodicIncExp(period=FY0,sdate=#1,edate=#2,frq=FY,curn=#3,scale=6))</t>
  </si>
  <si>
    <t>ZAV(TF.FN.HealthcarePlanProjectedBenefitObligation(period=FY0,sdate=#1,frq=FY,curn=#2,scale=6))</t>
  </si>
  <si>
    <t>Capital Expenditures</t>
  </si>
  <si>
    <t>Total Carloads ex-Intermodal</t>
  </si>
  <si>
    <t>3QA</t>
  </si>
  <si>
    <t>4QA</t>
  </si>
  <si>
    <t xml:space="preserve">Other </t>
  </si>
  <si>
    <t>CSX.N,mstag:bullCaseValueEstimatePerShare</t>
  </si>
  <si>
    <t>CSX.N,mstag:met_12monthIntrinsicValueEstimate</t>
  </si>
  <si>
    <t>Container Shipping Revenue</t>
  </si>
  <si>
    <t>Container Shipping Expenses</t>
  </si>
  <si>
    <t>Increase (decrease) in cash from reversal of non-cash OPEB expense (benefit)</t>
  </si>
  <si>
    <t>Increase / (Decrease) in OPEB Obligation</t>
  </si>
  <si>
    <t>Free Cash Flow</t>
  </si>
  <si>
    <t>Gallons Consumed (millions)</t>
  </si>
  <si>
    <t>% of Total Costs</t>
  </si>
  <si>
    <t>Coal Revenue</t>
  </si>
  <si>
    <t>Income Statement</t>
  </si>
  <si>
    <t>Operating Summary</t>
  </si>
  <si>
    <t>EPS Reconciliation</t>
  </si>
  <si>
    <t>Other Income / (Expense)</t>
  </si>
  <si>
    <t>Compensation and Benefits</t>
  </si>
  <si>
    <t>Fuel</t>
  </si>
  <si>
    <t>EBITDA</t>
  </si>
  <si>
    <t>CSX.N,mstag:statutoryTaxRate,2006FY,,FYR</t>
  </si>
  <si>
    <t>CSX.N,mstag:statutoryTaxRate,2012FY,,FYR</t>
  </si>
  <si>
    <t>Seq. Growth</t>
  </si>
  <si>
    <t>Seq. % Chg.</t>
  </si>
  <si>
    <t>Net Issuance/(Buybacks)</t>
  </si>
  <si>
    <t>Total Gross Ton Miles (GTMs)</t>
  </si>
  <si>
    <t>Other Stats</t>
  </si>
  <si>
    <t>Operating Expenses</t>
  </si>
  <si>
    <t>Equipment Rents</t>
  </si>
  <si>
    <t>Rev/RTM (Cents)</t>
  </si>
  <si>
    <t>HK$</t>
  </si>
  <si>
    <t>HKD</t>
  </si>
  <si>
    <t>HUF Hungarian forint</t>
  </si>
  <si>
    <t>Ft</t>
  </si>
  <si>
    <t>HUF</t>
  </si>
  <si>
    <t>Benefits Paid</t>
  </si>
  <si>
    <t>Less Highway Tax, Purchasing, &amp; Geographic Discount</t>
  </si>
  <si>
    <t>Avg Cash</t>
  </si>
  <si>
    <t>Common Stock and Additional Paid In Capital</t>
  </si>
  <si>
    <t>Total Shareholder's Equity</t>
  </si>
  <si>
    <t>Check</t>
  </si>
  <si>
    <t>Interest Expense</t>
  </si>
  <si>
    <t>Pretax Income</t>
  </si>
  <si>
    <t>Tax Rate</t>
  </si>
  <si>
    <t>Provision For Taxes</t>
  </si>
  <si>
    <t>Revenue Segment Details</t>
  </si>
  <si>
    <t>% of Total Revenue</t>
  </si>
  <si>
    <t>Net Income</t>
  </si>
  <si>
    <t>2Q12</t>
  </si>
  <si>
    <t>Per Share Effect of Extra Item</t>
  </si>
  <si>
    <t xml:space="preserve">   Year over Year Change</t>
  </si>
  <si>
    <t>Coal</t>
  </si>
  <si>
    <t>Intermodal</t>
  </si>
  <si>
    <t>Merchandise</t>
  </si>
  <si>
    <t>Total Coal Revenue/Ton</t>
  </si>
  <si>
    <t>Tonnage Detail</t>
  </si>
  <si>
    <t>Cash Flow Statement</t>
  </si>
  <si>
    <t>CSX.N,mstag:revenueNet,2009FY,,FYR,,,IN-PROGRESS</t>
  </si>
  <si>
    <t>CSX.N,mscalc:targetPrice</t>
  </si>
  <si>
    <t>Total Liabilities</t>
  </si>
  <si>
    <t xml:space="preserve">   Year over Year Chg.</t>
  </si>
  <si>
    <t xml:space="preserve">   Year over Year Pt. Chg.</t>
  </si>
  <si>
    <t>YoY % Chg.</t>
  </si>
  <si>
    <t>YoY % Chg. (Yield)</t>
  </si>
  <si>
    <t>YoY % Chg. (Yield) ex Fuel Surcharge</t>
  </si>
  <si>
    <t>YoY % Chg. (Yield) ex Fuel Surcharge &amp; Mix/Other</t>
  </si>
  <si>
    <t>YoY $ Chg. in Surcharge Revenue for Yield Impact</t>
  </si>
  <si>
    <t>Short Term Investments</t>
  </si>
  <si>
    <t>Debt</t>
  </si>
  <si>
    <t>Total Revenue Ton Miles (RTMs)</t>
  </si>
  <si>
    <t>Carloads (Thousands)</t>
  </si>
  <si>
    <t>Pension Contributions, net of I.S. expense</t>
  </si>
  <si>
    <t>FX gains/(losses) on Long-term Debt</t>
  </si>
  <si>
    <t>Ending Cash</t>
  </si>
  <si>
    <t>Assets</t>
  </si>
  <si>
    <t>Deferred Income Taxes</t>
  </si>
  <si>
    <t>CLP Chilean Pesos</t>
  </si>
  <si>
    <t>CLP</t>
  </si>
  <si>
    <t>CNY Chinese Renminbi Yuan</t>
  </si>
  <si>
    <t>Rmb</t>
  </si>
  <si>
    <t>CNY</t>
  </si>
  <si>
    <t>COP Colombian Peso</t>
  </si>
  <si>
    <t>COP</t>
  </si>
  <si>
    <t>CZK Czech Krona</t>
  </si>
  <si>
    <t>Kcs</t>
  </si>
  <si>
    <t>CZK</t>
  </si>
  <si>
    <t>DKK Danish Krone</t>
  </si>
  <si>
    <t>DKr</t>
  </si>
  <si>
    <t>DKK</t>
  </si>
  <si>
    <t>DZD Algerian Dinar</t>
  </si>
  <si>
    <t>DZD</t>
  </si>
  <si>
    <t>EGP Egyptian Pound</t>
  </si>
  <si>
    <t>EGP</t>
  </si>
  <si>
    <t>EUR Euro</t>
  </si>
  <si>
    <t>€</t>
  </si>
  <si>
    <t>EUR</t>
  </si>
  <si>
    <t>GBp British Pence</t>
  </si>
  <si>
    <t>p</t>
  </si>
  <si>
    <t>GBP British Pound</t>
  </si>
  <si>
    <t>₤</t>
  </si>
  <si>
    <t>GBP</t>
  </si>
  <si>
    <t>Extraordinary/One-Time Charges/Expenses</t>
  </si>
  <si>
    <t>CSX.N,mstag:statutoryTaxRate,2003FY,,FYR</t>
  </si>
  <si>
    <t>CSX.N,mstag:statutoryTaxRate,2004FY,,FYR</t>
  </si>
  <si>
    <t>CSX.N,mstag:statutoryTaxRate,2010FY,,FYR</t>
  </si>
  <si>
    <t>Total Chem.</t>
  </si>
  <si>
    <t>Min. Growth</t>
  </si>
  <si>
    <t>CSX.N,mstag:revenueNet,2010FY,,FYR,,,IN-PROGRESS</t>
  </si>
  <si>
    <t xml:space="preserve">   Real Estate</t>
  </si>
  <si>
    <t xml:space="preserve">   Other</t>
  </si>
  <si>
    <t>Total</t>
  </si>
  <si>
    <t>Other Chg. in Debt</t>
  </si>
  <si>
    <t>Conrail Op Fee, Rents &amp; Svcs.</t>
  </si>
  <si>
    <t xml:space="preserve"> </t>
  </si>
  <si>
    <t>CHF</t>
  </si>
  <si>
    <t>A$</t>
  </si>
  <si>
    <t>AUD</t>
  </si>
  <si>
    <t>BGL Bulgarian levs</t>
  </si>
  <si>
    <t>BGL</t>
  </si>
  <si>
    <t>BMD Bermudan Dollars</t>
  </si>
  <si>
    <t>BMD</t>
  </si>
  <si>
    <t>BRL Brazilian Real</t>
  </si>
  <si>
    <t>Intermodal Revenue</t>
  </si>
  <si>
    <t>KSU.N,mscalc:companyName</t>
  </si>
  <si>
    <t>Kansas City Southern</t>
  </si>
  <si>
    <t>$BJ$2</t>
  </si>
  <si>
    <t>Avg. Stock Price Assumption (for repurchase calculation)</t>
  </si>
  <si>
    <t>Net Interest Expense</t>
  </si>
  <si>
    <t>Automotive Revenue</t>
  </si>
  <si>
    <t>2013A</t>
  </si>
  <si>
    <t>Currency</t>
  </si>
  <si>
    <t>Forest Products Revenue</t>
  </si>
  <si>
    <t>OPERATING STATISTICS</t>
  </si>
  <si>
    <t>ZAV(TF.FN.PensionPlanExpectedLTRateReturnOnAssets(period=FY0,sdate=#1,edate=#2,frq=FY))/100</t>
  </si>
  <si>
    <t>3Q12</t>
  </si>
  <si>
    <t>This sheet contains Factset binary data for use with this workbook's =FDS codes.  Modifying the worksheet's contents may damage the workbook's =FDS functionality.</t>
  </si>
  <si>
    <t>Avg Quarterly</t>
  </si>
  <si>
    <t>Avg Annual</t>
  </si>
  <si>
    <t>Expenses</t>
  </si>
  <si>
    <t>OPEB Contributions, Net of Tax</t>
  </si>
  <si>
    <t>CSX.N,mstag:statutoryTaxRate,2008FY,,FYR</t>
  </si>
  <si>
    <t>CSX.N,mstag:statutoryTaxRate,2013FY,,FYR</t>
  </si>
  <si>
    <t>Net Income After Disc. Ops./Extra Item</t>
  </si>
  <si>
    <t>Dividends Per Share</t>
  </si>
  <si>
    <t>Key Metrics</t>
  </si>
  <si>
    <t>Total Debt</t>
  </si>
  <si>
    <t>Total Equity</t>
  </si>
  <si>
    <t>Total Invested Capital</t>
  </si>
  <si>
    <t>Net Debt</t>
  </si>
  <si>
    <t>LTM Revenue</t>
  </si>
  <si>
    <t>LTM Operating Income</t>
  </si>
  <si>
    <t>LTM Pre-tax Income</t>
  </si>
  <si>
    <t>LTM Net Income</t>
  </si>
  <si>
    <t>LTM EBITDA</t>
  </si>
  <si>
    <t>Dupont</t>
  </si>
  <si>
    <t>Asset Turnover</t>
  </si>
  <si>
    <t>Net Margin</t>
  </si>
  <si>
    <t>ROA</t>
  </si>
  <si>
    <t>Leverage (Assets / Equity)</t>
  </si>
  <si>
    <t>Leverage (Net Debt / EBITDA)</t>
  </si>
  <si>
    <t>ROE</t>
  </si>
  <si>
    <t>ROIC</t>
  </si>
  <si>
    <t>Margin Analysis</t>
  </si>
  <si>
    <t>Operating Margin</t>
  </si>
  <si>
    <t>MXN Mexican Pesos (new)</t>
  </si>
  <si>
    <t>M$</t>
  </si>
  <si>
    <t>MXN</t>
  </si>
  <si>
    <t>NOK Norwegian Krone</t>
  </si>
  <si>
    <t>NKr</t>
  </si>
  <si>
    <t>NOK</t>
  </si>
  <si>
    <t>NZD</t>
  </si>
  <si>
    <t>OMR Rial Omani</t>
  </si>
  <si>
    <t>OMR</t>
  </si>
  <si>
    <t>PAB Panamanian Balboa</t>
  </si>
  <si>
    <t>PAB</t>
  </si>
  <si>
    <t>PEN Peruvian PEN</t>
  </si>
  <si>
    <t>PEN</t>
  </si>
  <si>
    <t>PHP Philippino Peso</t>
  </si>
  <si>
    <t>PP</t>
  </si>
  <si>
    <t>PHP</t>
  </si>
  <si>
    <t>PKR Pakistani Rupee</t>
  </si>
  <si>
    <t>PKR</t>
  </si>
  <si>
    <t>1Q</t>
  </si>
  <si>
    <t>2Q</t>
  </si>
  <si>
    <t>3Q</t>
  </si>
  <si>
    <t>4Q</t>
  </si>
  <si>
    <t>Avg</t>
  </si>
  <si>
    <t>Quarterly</t>
  </si>
  <si>
    <t>Annual</t>
  </si>
  <si>
    <t>Quarter Index</t>
  </si>
  <si>
    <t>Year Index</t>
  </si>
  <si>
    <t>mstag:netActuarialGainLossRecognizedOpeb</t>
  </si>
  <si>
    <t>Period End Stock Price ($)</t>
  </si>
  <si>
    <t>Seq. Chg. ($)</t>
  </si>
  <si>
    <t>Basic shares, period average</t>
  </si>
  <si>
    <t>Diluted shares, period average</t>
  </si>
  <si>
    <t>Total Freight Revenue</t>
  </si>
  <si>
    <t>Stock Price Assumptions</t>
  </si>
  <si>
    <t>Divident Payout Ratio</t>
  </si>
  <si>
    <t>Operating Income</t>
  </si>
  <si>
    <t>Forecast</t>
  </si>
  <si>
    <t>3Q11: Historically, cash ~$500m, aiming to stay around there</t>
  </si>
  <si>
    <t>YoY $ Other Mix Impact on Rev</t>
  </si>
  <si>
    <t>Operating Income Impact of YoY Fuel Cost Less Fuel Surch</t>
  </si>
  <si>
    <t>Total Export Tonnage</t>
  </si>
  <si>
    <t>Implied Interest Rate and Forward Interest Rate Assumption</t>
  </si>
  <si>
    <t>Interest Income Forecast</t>
  </si>
  <si>
    <t>Avg Debt</t>
  </si>
  <si>
    <t>Interest Expense Forecast</t>
  </si>
  <si>
    <t>Beginning Cash</t>
  </si>
  <si>
    <t>27</t>
  </si>
  <si>
    <t>KRW South Korean Won</t>
  </si>
  <si>
    <t>₩</t>
  </si>
  <si>
    <t>KRW</t>
  </si>
  <si>
    <t>KWD Kuwaiti Dinar</t>
  </si>
  <si>
    <t>KWD</t>
  </si>
  <si>
    <t>KYD Cayman Dollars</t>
  </si>
  <si>
    <t>Avg CSX Stock Price</t>
  </si>
  <si>
    <t>Interest Income</t>
  </si>
  <si>
    <t>PLN</t>
  </si>
  <si>
    <t>RUB Russian Rouble</t>
  </si>
  <si>
    <t>RUB</t>
  </si>
  <si>
    <t>SAR Saudi Riyal</t>
  </si>
  <si>
    <t>SAR</t>
  </si>
  <si>
    <t>SEK Swedish Krona</t>
  </si>
  <si>
    <t>SKr</t>
  </si>
  <si>
    <t>SEK</t>
  </si>
  <si>
    <t>2Q13: 9m truckload oppty in intermodal, LOH over 550 miles</t>
  </si>
  <si>
    <t xml:space="preserve">  </t>
  </si>
  <si>
    <t>Actual</t>
  </si>
  <si>
    <t>Difference</t>
  </si>
  <si>
    <t>Modelware Requirements</t>
  </si>
  <si>
    <t>YoY Chg in Other Items (incl. Pension)</t>
  </si>
  <si>
    <t>Fully-Diluted EPS (Morgan Stanley Adjusted)</t>
  </si>
  <si>
    <t>Company-Reported EPS (GAAP)</t>
  </si>
  <si>
    <t>2017E</t>
  </si>
  <si>
    <t>% of Freight Revenue</t>
  </si>
  <si>
    <t>YoY Chg in Volume</t>
  </si>
  <si>
    <t>fixed/variable contracts; stronger vols = lower RPU and vice versa</t>
  </si>
  <si>
    <t>CSX.N,mscalc:fiscalYearEndMonth</t>
  </si>
  <si>
    <t>CSX.N,mscalc:lastActualYearAsPerYearEndCalc</t>
  </si>
  <si>
    <t>CSX.N,mstag:statutoryTaxRate,2009FY,,FYE</t>
  </si>
  <si>
    <t>CSX.N,mstag:statutoryTaxRate,2013FY,,FYE</t>
  </si>
  <si>
    <t>CSX.N,mstag:statutoryTaxRate,2019FY,,FYE</t>
  </si>
  <si>
    <t>CSX.N,mstag:statutoryTaxRate,2011FY,,FYE</t>
  </si>
  <si>
    <t>CSX.N,mstag:statutoryTaxRate,2014FY,,FYE</t>
  </si>
  <si>
    <t>CSX.N,mstag:statutoryTaxRate,2012FY,,FYE</t>
  </si>
  <si>
    <t>CSX.N,mstag:statutoryTaxRate,2018FY,,FYE</t>
  </si>
  <si>
    <t>CSX.N,mstag:statutoryTaxRate,2020FY,,FYE</t>
  </si>
  <si>
    <t>CSX.N,mstag:statutoryTaxRate,2015FY,,FYE</t>
  </si>
  <si>
    <t>CSX.N,mstag:statutoryTaxRate,2016FY,,FYE</t>
  </si>
  <si>
    <t>CSX.N,mstag:statutoryTaxRate,2007FY,,FYE</t>
  </si>
  <si>
    <t>CSX.N,mstag:statutoryTaxRate,2023FY,,FYE</t>
  </si>
  <si>
    <t>CSX.N,mstag:statutoryTaxRate,2017FY,,FYE</t>
  </si>
  <si>
    <t>CSX.N,mstag:statutoryTaxRate,2021FY,,FYE</t>
  </si>
  <si>
    <t>CSX.N,mstag:statutoryTaxRate,2010FY,,FYE</t>
  </si>
  <si>
    <t>CSX.N,mstag:statutoryTaxRate,2022FY,,FYE</t>
  </si>
  <si>
    <t>CSX.N,mstag:statutoryTaxRate,2008FY,,FYE</t>
  </si>
  <si>
    <t>YoY</t>
  </si>
  <si>
    <t>Total Domestic Coal</t>
  </si>
  <si>
    <t>1Q15:30-40% payout ratio going forward</t>
  </si>
  <si>
    <t>2014A</t>
  </si>
  <si>
    <t>YoY Chg in Inflation + Volume</t>
  </si>
  <si>
    <t>Comp &amp; Benefits ex. Incentive Comp &amp; Other</t>
  </si>
  <si>
    <t>Cost / Avg. Employee (ex. Incentive Comp &amp; Other)</t>
  </si>
  <si>
    <t>1Q15: Target Low 2x's debt/ebitda going forward</t>
  </si>
  <si>
    <t xml:space="preserve">1Q15: YoY declines in ex coal pricing end in 2Q15; domestic coal RPU impacted by </t>
  </si>
  <si>
    <t>2018E</t>
  </si>
  <si>
    <t>1QE</t>
  </si>
  <si>
    <t>2QE</t>
  </si>
  <si>
    <t>30</t>
  </si>
  <si>
    <t>4Q15: took some pricing actions in 4Q in the export coal market</t>
  </si>
  <si>
    <t>CSX.O</t>
  </si>
  <si>
    <t>CSX.O,mscalc:defaultCurrencyCalc</t>
  </si>
  <si>
    <t>CSX.O,mscalc:sedolCodeCalc</t>
  </si>
  <si>
    <t>CSX.O,mscalc:closePriceCurrencyCalc</t>
  </si>
  <si>
    <t>CSX.O,mscalc:targetPrice,,,,USD</t>
  </si>
  <si>
    <t>Period-End Date</t>
  </si>
  <si>
    <t>(USD millions)</t>
  </si>
  <si>
    <t>Discounted cash flow analysis</t>
  </si>
  <si>
    <t>Gross Revenue</t>
  </si>
  <si>
    <t>% change Y/Y</t>
  </si>
  <si>
    <t>Adj. EBIT</t>
  </si>
  <si>
    <t>Adj. EBITDA</t>
  </si>
  <si>
    <t>(-) Cash taxes</t>
  </si>
  <si>
    <t>(+/-) Changes in working capital / other</t>
  </si>
  <si>
    <t>(-) Net Capex</t>
  </si>
  <si>
    <t>Unlevered free cash flow</t>
  </si>
  <si>
    <t>% of Revenue</t>
  </si>
  <si>
    <t>YoY Growth</t>
  </si>
  <si>
    <t>Adj. EBIT Margin</t>
  </si>
  <si>
    <t>D&amp;A as % of Sales</t>
  </si>
  <si>
    <t>Net Capex as % of Sales</t>
  </si>
  <si>
    <t>NPV Calculations</t>
  </si>
  <si>
    <t>Year for 1-year forward value</t>
  </si>
  <si>
    <t>Discounted cash flows</t>
  </si>
  <si>
    <t>Perpetual Growth</t>
  </si>
  <si>
    <t>Fair value</t>
  </si>
  <si>
    <t>PV of FCF</t>
  </si>
  <si>
    <t>Equity Value: WACC vs. Perpetual Growth Rate</t>
  </si>
  <si>
    <t>NPV of terminal value</t>
  </si>
  <si>
    <t>Enterprise value</t>
  </si>
  <si>
    <t>Equity value</t>
  </si>
  <si>
    <t>Equity Value per Share: WACC vs. Perpetual Growth Rate</t>
  </si>
  <si>
    <t>Equity fair value per share</t>
  </si>
  <si>
    <t>Implied terminal EBITDA multiple</t>
  </si>
  <si>
    <t>DCF valuation assumptions</t>
  </si>
  <si>
    <t>Valuation date</t>
  </si>
  <si>
    <t>1-year</t>
  </si>
  <si>
    <t>Risk Free Rate</t>
  </si>
  <si>
    <t>Adj. Beta</t>
  </si>
  <si>
    <t>Market Risk Premium</t>
  </si>
  <si>
    <t>Cost of Equity</t>
  </si>
  <si>
    <t>Cost of Debt</t>
  </si>
  <si>
    <t>Long-Term Debt / Total Cap.</t>
  </si>
  <si>
    <t>WACC</t>
  </si>
  <si>
    <t>Perpetual growth rate</t>
  </si>
  <si>
    <t>Pricing YoY impact will be the same thru 3Q16, and then will start to comp against lower levels</t>
  </si>
  <si>
    <t>R^2</t>
  </si>
  <si>
    <t>Slope</t>
  </si>
  <si>
    <t>Earnings Variance</t>
  </si>
  <si>
    <t>MSe</t>
  </si>
  <si>
    <t>vs. MSe</t>
  </si>
  <si>
    <t>Bps Diff</t>
  </si>
  <si>
    <t>1Q16: Share repurchase $250-260 per quarter</t>
  </si>
  <si>
    <t>% of capex</t>
  </si>
  <si>
    <t>% of net PP&amp;E</t>
  </si>
  <si>
    <t>Implied PE</t>
  </si>
  <si>
    <t>Current</t>
  </si>
  <si>
    <t>Marginal Cash Tax-Rate</t>
  </si>
  <si>
    <t>Tax Rate for WACC</t>
  </si>
  <si>
    <t>D&amp;A % of Capex</t>
  </si>
  <si>
    <t>1Q16: Other revs should run at $80-$90M/qtr (ex. liquidated damages)</t>
  </si>
  <si>
    <t>Negative</t>
  </si>
  <si>
    <t>Full PTC by 2018</t>
  </si>
  <si>
    <t>9/7/16: competitve NG price $3.50 - threshold for delivering coal into Eastern coal power plant</t>
  </si>
  <si>
    <t>9/7/16: NAPP is $4.00, CAPP is $4.50</t>
  </si>
  <si>
    <t>All-in</t>
  </si>
  <si>
    <t>Dom Coal</t>
  </si>
  <si>
    <t>Export Coal</t>
  </si>
  <si>
    <t>Merch/Ag/Int</t>
  </si>
  <si>
    <t>2019E</t>
  </si>
  <si>
    <t>2Q16: $800M of share repo left (announced April 2015, 2 year program)</t>
  </si>
  <si>
    <t>Intercept</t>
  </si>
  <si>
    <t>Agricultural &amp; Food Products</t>
  </si>
  <si>
    <t>Fertilizer</t>
  </si>
  <si>
    <t>Metals + Equipment</t>
  </si>
  <si>
    <t>Minerals</t>
  </si>
  <si>
    <t>Chemicals (Includes Waste)</t>
  </si>
  <si>
    <t>Metals</t>
  </si>
  <si>
    <t>Equipment</t>
  </si>
  <si>
    <t>Chemicals</t>
  </si>
  <si>
    <t>Waste</t>
  </si>
  <si>
    <t>*YoY comps prior to 2015 are not comparable</t>
  </si>
  <si>
    <t>Food Products Revenue</t>
  </si>
  <si>
    <t>Agricultural &amp; Food Products Revenue</t>
  </si>
  <si>
    <t>Phosphates Revenue</t>
  </si>
  <si>
    <t>*Purple numbers have been restated</t>
  </si>
  <si>
    <t>3Q16: 4Q incentive comp $40M headwind; assume more normalized level in 2017</t>
  </si>
  <si>
    <t>3Q16: Achieved $340M efficiency gains YTD, targeting ~$400M</t>
  </si>
  <si>
    <t>FY</t>
  </si>
  <si>
    <t xml:space="preserve">12/8/16 IR: Int exp up seq and YoY. Gradually see int exp decrease seq in 2017 </t>
  </si>
  <si>
    <t>(more noticeable decrease starting May 2017)</t>
  </si>
  <si>
    <t xml:space="preserve">Valuation </t>
  </si>
  <si>
    <t>%</t>
  </si>
  <si>
    <t>4Q16: efficiency savings helping offset inflation</t>
  </si>
  <si>
    <t>4Q16: Other revs usually ~$360M annually; 4Q seasonally higher</t>
  </si>
  <si>
    <t>4Q16: 1Q17 headcount expected to be down slightly seq</t>
  </si>
  <si>
    <t xml:space="preserve">4Q16: 1Q labor inflation ~$35m </t>
  </si>
  <si>
    <t>CSX.N,mstag:statutoryTaxRate,2024FY,,FYE</t>
  </si>
  <si>
    <t>$BD$2</t>
  </si>
  <si>
    <t xml:space="preserve">4Q16: D&amp;A up $10M in 1Q17 YoY </t>
  </si>
  <si>
    <t>4Q16: Target $150M+ efficiency gains in FY17</t>
  </si>
  <si>
    <t xml:space="preserve">2/21/17: Reduce 1000 mgmt positions. At least $175M annualized savings. </t>
  </si>
  <si>
    <t xml:space="preserve">Substantially completed by mid-March. </t>
  </si>
  <si>
    <t>Pretax charge at least $160M (vast majority in 1Q, some in 2Q &amp; 3Q).</t>
  </si>
  <si>
    <t>1Q17: Natural attrition ~9%</t>
  </si>
  <si>
    <t>2020E</t>
  </si>
  <si>
    <t>1Q17</t>
  </si>
  <si>
    <t>1Q17: Mid-60s OR in 2017, low 60s in 2018. No structural reasons why CSX can't have industry best margins</t>
  </si>
  <si>
    <t>1Q17: Will exceed record efficiency gains in FY17 ($427M in 2016)</t>
  </si>
  <si>
    <t>2Q17: 3Q MS&amp;O should decline seq ex. 2Q condemnation</t>
  </si>
  <si>
    <t>2Q17: Equipment rents shouldn't change much, car hire should decrease</t>
  </si>
  <si>
    <t>2Q17: May see a lot of real estate gains going forward, not incl in OR guid</t>
  </si>
  <si>
    <t>Assume ~$20m efficiency gains in Equipment in FY17</t>
  </si>
  <si>
    <t>2Q17</t>
  </si>
  <si>
    <t xml:space="preserve">Assume ~$275m efficiency gains in Comp &amp; Benefits in FY17 </t>
  </si>
  <si>
    <t>(Incl.some of ~$130M from mgmt reductions)</t>
  </si>
  <si>
    <t xml:space="preserve">Assume ~$130m efficiency gains in MS&amp;O in FY17 </t>
  </si>
  <si>
    <t>9/7/17: Completed $1.3B of $1.5B share buyback program, will finish by end of 3Q17</t>
  </si>
  <si>
    <t>3Q17</t>
  </si>
  <si>
    <t>4/20/17: $1B share repurchase program over 12 months</t>
  </si>
  <si>
    <t>10/25/17: Announce $1.5B share buyback program</t>
  </si>
  <si>
    <t>(-) Debt (YE18)</t>
  </si>
  <si>
    <t>(+) Cash (YE18)</t>
  </si>
  <si>
    <t>Fully Diluted Shares (2018)</t>
  </si>
  <si>
    <t>1Q18</t>
  </si>
  <si>
    <t>Equity Earnings of Affiliates</t>
  </si>
  <si>
    <t>4Q17: FSR will not contribute 2-3% to revenue growth in 2018</t>
  </si>
  <si>
    <t>4Q17: Step down in OR every year for next 3 years</t>
  </si>
  <si>
    <t>should start to go back to normal levels of 16-17% of revenue in 2017 for core capex ex. PTC</t>
  </si>
  <si>
    <t>NTM PT</t>
  </si>
  <si>
    <t>NTM NTM EPS</t>
  </si>
  <si>
    <t>4Q17: $460M efficiency gains in 2017</t>
  </si>
  <si>
    <t>4Q17: $10-15M per quarter going fwd (subsidiaries revalued DTLs)</t>
  </si>
  <si>
    <t>4Q17: Stopped providing domestic coal details</t>
  </si>
  <si>
    <t>2/12/18: Share buyback of $5B by end of 1Q19</t>
  </si>
  <si>
    <t>3/1/18: Mid to high 30s export coal in 2018</t>
  </si>
  <si>
    <t>3/1/18: 18-22% cash tax rate</t>
  </si>
  <si>
    <t>3/1/18: 2% Merch rev growth in 2018; 4% CAGR 2018-20</t>
  </si>
  <si>
    <t>3/1/18: Reiterate rev up slightly yoy in 2018; 4% CAGR in 2019/20</t>
  </si>
  <si>
    <t>3/1/18: Gal/KGTMs 0.94-0.96 in 2020</t>
  </si>
  <si>
    <t xml:space="preserve">3/1/18: D&amp;A continue to increase but at slower pace </t>
  </si>
  <si>
    <t>3/1/18: $1.6B capex 2018-20 average</t>
  </si>
  <si>
    <t>3/1/18: FCF $8.5B cumulative 2018-20</t>
  </si>
  <si>
    <t>3/1/18: Expect Eastern US utility demand to be stable 2018-20</t>
  </si>
  <si>
    <t>3/1/18: 5% IM rev growth in 2018; 8% CAGR 2018-20</t>
  </si>
  <si>
    <t>$800M potential upside</t>
  </si>
  <si>
    <t>3/1/18: full year 60% OR by 2020</t>
  </si>
  <si>
    <t>51</t>
  </si>
  <si>
    <t>YoY % Change</t>
  </si>
  <si>
    <t>% of Total Carloads</t>
  </si>
  <si>
    <t>1Q18: high end of $10-15M per quarter going fwd</t>
  </si>
  <si>
    <t>1Q18: Still expect ~25% tax rate for 2018</t>
  </si>
  <si>
    <t>#Refresh#</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</si>
  <si>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</si>
  <si>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</si>
  <si>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</si>
  <si>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</si>
  <si>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</si>
  <si>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</si>
  <si>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</si>
  <si>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Ravi Shanker</t>
  </si>
  <si>
    <t>Date: 17 Apr 2018</t>
  </si>
  <si>
    <t>Ticker: CSX.O</t>
  </si>
  <si>
    <t>Stock Rating: Underweight</t>
  </si>
  <si>
    <t>Industry: Freight Transportation</t>
  </si>
  <si>
    <t>Industry View: In-Line</t>
  </si>
  <si>
    <t>Price as of 17 Apr 2018: 46.57</t>
  </si>
  <si>
    <t>Target Price: 48</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</si>
  <si>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</si>
  <si>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</si>
  <si>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</si>
  <si>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</si>
  <si>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CSX Corporation.</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</si>
  <si>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</si>
  <si>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</si>
  <si>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</si>
  <si>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</si>
  <si>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</si>
  <si>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</si>
  <si>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</si>
  <si>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</si>
  <si>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</si>
  <si>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</si>
  <si>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</si>
  <si>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</si>
  <si>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</si>
  <si>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</si>
  <si>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</si>
  <si>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</si>
  <si>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</si>
  <si>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</si>
  <si>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</si>
  <si>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</si>
  <si>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</si>
  <si>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</si>
  <si>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</si>
  <si>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</si>
  <si>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</si>
  <si>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</si>
  <si>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</si>
  <si>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</si>
  <si>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</si>
  <si>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</si>
  <si>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</si>
  <si>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</si>
  <si>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</si>
  <si>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</si>
  <si>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</si>
  <si>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</si>
  <si>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</si>
  <si>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</si>
  <si>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</si>
  <si>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</si>
  <si>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</si>
  <si>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</si>
  <si>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</si>
  <si>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</si>
  <si>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</si>
  <si>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</si>
  <si>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</si>
  <si>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</si>
  <si>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</si>
  <si>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</si>
  <si>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</si>
  <si>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</si>
  <si>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</si>
  <si>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</si>
  <si>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</si>
  <si>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</si>
  <si>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</si>
  <si>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</si>
  <si>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</si>
  <si>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</si>
  <si>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</si>
  <si>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</si>
  <si>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</si>
  <si>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</si>
  <si>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</si>
  <si>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</si>
  <si>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</si>
  <si>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</si>
  <si>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</si>
  <si>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</si>
  <si>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</si>
  <si>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</si>
  <si>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</si>
  <si>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</si>
  <si>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</si>
  <si>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</si>
  <si>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</si>
  <si>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</si>
  <si>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</si>
  <si>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</si>
  <si>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</si>
  <si>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</si>
  <si>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</si>
  <si>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</si>
  <si>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</si>
  <si>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</si>
  <si>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</si>
  <si>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</si>
  <si>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</si>
  <si>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</si>
  <si>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</si>
  <si>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</si>
  <si>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</si>
  <si>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</si>
  <si>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</si>
  <si>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</si>
  <si>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</si>
  <si>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</si>
  <si>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</si>
  <si>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</si>
  <si>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</si>
  <si>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</si>
  <si>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</si>
  <si>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</si>
  <si>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</si>
  <si>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</si>
  <si>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</si>
  <si>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</si>
  <si>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</si>
  <si>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</si>
  <si>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</si>
  <si>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</si>
  <si>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</si>
  <si>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</si>
  <si>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</si>
  <si>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</si>
  <si>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</si>
  <si>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</si>
  <si>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</si>
  <si>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</si>
  <si>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</si>
  <si>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</si>
  <si>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</si>
  <si>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</si>
  <si>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</si>
  <si>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</si>
  <si>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</si>
  <si>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</si>
  <si>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</si>
  <si>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</si>
  <si>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</si>
  <si>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</si>
  <si>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</si>
  <si>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</si>
  <si>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</si>
  <si>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</si>
  <si>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</si>
  <si>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</si>
  <si>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</si>
  <si>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</si>
  <si>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</si>
  <si>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</si>
  <si>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</si>
  <si>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</si>
  <si>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</si>
  <si>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</si>
  <si>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</si>
  <si>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</si>
  <si>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</si>
  <si>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</si>
  <si>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</si>
  <si>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</si>
  <si>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</si>
  <si>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</si>
  <si>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</si>
  <si>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</si>
  <si>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</si>
  <si>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</si>
  <si>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</si>
  <si>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</si>
  <si>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</si>
  <si>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</si>
  <si>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</si>
  <si>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</si>
  <si>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</si>
  <si>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</si>
  <si>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</si>
  <si>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</si>
  <si>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</si>
  <si>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</si>
  <si>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</si>
  <si>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</si>
  <si>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</si>
  <si>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</si>
  <si>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</si>
  <si>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</si>
  <si>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CSX Corporation.</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</si>
  <si>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</si>
  <si>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</si>
  <si>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</si>
  <si>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</si>
  <si>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</si>
  <si>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</si>
  <si>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</si>
  <si>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</si>
  <si>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</si>
  <si>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</si>
  <si>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</si>
  <si>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</si>
  <si>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</si>
  <si>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</si>
  <si>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</si>
  <si>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</si>
  <si>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</si>
  <si>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</si>
  <si>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</si>
  <si>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</si>
  <si>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</si>
  <si>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</si>
  <si>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</si>
  <si>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</si>
  <si>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</si>
  <si>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</si>
  <si>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</si>
  <si>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</si>
  <si>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</si>
  <si>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</si>
  <si>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</si>
  <si>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</si>
  <si>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</si>
  <si>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</si>
  <si>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</si>
  <si>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</si>
  <si>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</si>
  <si>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</si>
  <si>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</si>
  <si>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</si>
  <si>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</si>
  <si>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</si>
  <si>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</si>
  <si>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</si>
  <si>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</si>
  <si>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</si>
  <si>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</si>
  <si>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</si>
  <si>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</si>
  <si>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</si>
  <si>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</si>
  <si>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</si>
  <si>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</si>
  <si>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</si>
  <si>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</si>
  <si>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</si>
  <si>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</si>
  <si>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</si>
  <si>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</si>
  <si>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</si>
  <si>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</si>
  <si>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</si>
  <si>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</si>
  <si>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</si>
  <si>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</si>
  <si>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</si>
  <si>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</si>
  <si>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</si>
  <si>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CSX Corporation.</t>
  </si>
  <si>
    <t>Within the last 12 months, Morgan Stanley has provided or is providing investment banking services to,</t>
  </si>
  <si>
    <t>or has an investment banking client relationship with, the following company: CSX Corporation.</t>
  </si>
  <si>
    <t>Within the last 12 months, Morgan Stanley has received compensation for products and services other than</t>
  </si>
  <si>
    <t>investment banking services from CSX Corporation.</t>
  </si>
  <si>
    <t>In the next 3 months, Morgan Stanley expects to receive or intends to seek compensation for investment</t>
  </si>
  <si>
    <t>banking services from CSX Corporation.</t>
  </si>
  <si>
    <t>Within the last 12 months, Morgan Stanley has received compensation for investment banking services from</t>
  </si>
  <si>
    <t>CSX Corporation.</t>
  </si>
  <si>
    <t>Within the last 12 months, Morgan Stanley managed or co-managed a public offering (or 144A offering) of</t>
  </si>
  <si>
    <t>securities of CSX Corporation.</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</si>
  <si>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</si>
  <si>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</si>
  <si>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</si>
  <si>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</si>
  <si>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</si>
  <si>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Ravi Shanker.</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</si>
  <si>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</si>
  <si>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</si>
  <si>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</si>
  <si>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</si>
  <si>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</si>
  <si>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</si>
  <si>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</si>
  <si>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</si>
  <si>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</si>
  <si>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</si>
  <si>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</si>
  <si>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</si>
  <si>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</si>
  <si>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</si>
  <si>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</si>
  <si>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</si>
  <si>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</si>
  <si>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</si>
  <si>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</si>
  <si>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</si>
  <si>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</si>
  <si>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</si>
  <si>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</si>
  <si>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</si>
  <si>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</si>
  <si>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</si>
  <si>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</si>
  <si>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</si>
  <si>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</si>
  <si>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</si>
  <si>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</si>
  <si>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</si>
  <si>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</si>
  <si>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</si>
  <si>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</si>
  <si>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</si>
  <si>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</si>
  <si>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</si>
  <si>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</si>
  <si>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</si>
  <si>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</si>
  <si>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</si>
  <si>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</si>
  <si>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</si>
  <si>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</si>
  <si>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</si>
  <si>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</si>
  <si>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</si>
  <si>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</si>
  <si>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</si>
  <si>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</si>
  <si>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</si>
  <si>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</si>
  <si>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</si>
  <si>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</si>
  <si>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</si>
  <si>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</si>
  <si>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</si>
  <si>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</si>
  <si>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</si>
  <si>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</si>
  <si>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</si>
  <si>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</si>
  <si>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</si>
  <si>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</si>
  <si>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</si>
  <si>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</si>
  <si>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</si>
  <si>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Underweight / In-Line</t>
  </si>
  <si>
    <t>Quarterly Update</t>
  </si>
  <si>
    <t>NorthAmerica</t>
  </si>
  <si>
    <t>diahuang</t>
  </si>
  <si>
    <t>L:\FREIGHT\Csx\CSX.Model.new.xlsm</t>
  </si>
  <si>
    <t>[BRO MSA]</t>
  </si>
  <si>
    <t>[PRODUCT MODEL]</t>
  </si>
  <si>
    <t>[EMAIL_ALERT YES]</t>
  </si>
  <si>
    <t>[DISCIPLINE Company]</t>
  </si>
  <si>
    <t>[SUPPRESSED NO]</t>
  </si>
  <si>
    <t>[DOCDAT 2018-04-17]</t>
  </si>
  <si>
    <t>[DOCTIME 23:46]</t>
  </si>
  <si>
    <t>[PSYM CSX.O(S&amp;P) (None)]</t>
  </si>
  <si>
    <t>[COU 1]</t>
  </si>
  <si>
    <t>[ANA ]</t>
  </si>
  <si>
    <t>[HL CSX.O Model]</t>
  </si>
  <si>
    <t>[IND TRUCKG]</t>
  </si>
  <si>
    <t>[PANA MSA12397]</t>
  </si>
</sst>
</file>

<file path=xl/styles.xml><?xml version="1.0" encoding="utf-8"?>
<styleSheet xmlns="http://schemas.openxmlformats.org/spreadsheetml/2006/main" xmlns:mc="http://schemas.openxmlformats.org/markup-compatibility/2006" xmlns:x14ac="http://schemas.microsoft.com/office/spreadsheetml/2009/9/ac" mc:Ignorable="x14ac">
  <numFmts count="52">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_-* #,##0.00_-;\-* #,##0.00_-;_-* &quot;-&quot;??_-;_-@_-"/>
    <numFmt numFmtId="165" formatCode="0.0%"/>
    <numFmt numFmtId="166" formatCode="0.0"/>
    <numFmt numFmtId="167" formatCode="&quot;$&quot;#,##0"/>
    <numFmt numFmtId="168" formatCode="&quot;$&quot;#,##0.00"/>
    <numFmt numFmtId="170" formatCode="[$-409]mmm\-yy;@"/>
    <numFmt numFmtId="171" formatCode="&quot;$&quot;#,##0.0_);\(&quot;$&quot;#,##0.0\)"/>
    <numFmt numFmtId="172" formatCode="_(* #,##0_);_(* \(#,##0\);_(* &quot;-&quot;??_);_(@_)"/>
    <numFmt numFmtId="173" formatCode="#,##0.0"/>
    <numFmt numFmtId="176" formatCode="_(* #,##0.0000_);_(* \(#,##0.0000\);_(* &quot;-&quot;??_);_(@_)"/>
    <numFmt numFmtId="177" formatCode="#,##0;\(#,##0\)"/>
    <numFmt numFmtId="178" formatCode="&quot;$&quot;#,##0.0_);[Red]\(&quot;$&quot;#,##0.0\)"/>
    <numFmt numFmtId="179" formatCode="&quot;FY&quot;yy"/>
    <numFmt numFmtId="180" formatCode="&quot;Q&quot;0&quot;A&quot;"/>
    <numFmt numFmtId="181" formatCode="&quot;Q&quot;0&quot;E&quot;"/>
    <numFmt numFmtId="191" formatCode="0.0\x"/>
    <numFmt numFmtId="196" formatCode="&quot;$&quot;#,##0.0"/>
    <numFmt numFmtId="197" formatCode="0.000"/>
    <numFmt numFmtId="198" formatCode="&quot;$&quot;#,##0.000"/>
    <numFmt numFmtId="199" formatCode="m/d/yy;@"/>
    <numFmt numFmtId="200" formatCode="#,##0.0%_);\(#,##0.0%\)"/>
    <numFmt numFmtId="201" formatCode="0.00\x"/>
    <numFmt numFmtId="202" formatCode="#,##0&quot;&quot;;\(#,##0\)&quot;&quot;"/>
    <numFmt numFmtId="203" formatCode="mm/dd/yy;@"/>
    <numFmt numFmtId="204" formatCode="#,##0&quot; e&quot;;\(#,##0\)&quot; e&quot;"/>
    <numFmt numFmtId="205" formatCode="#,##0.000"/>
    <numFmt numFmtId="206" formatCode="m/d/yy_);;@_)"/>
    <numFmt numFmtId="207" formatCode="yyyy_);;;@_)"/>
    <numFmt numFmtId="208" formatCode="yyyy&quot;E&quot;_);;;@_)"/>
    <numFmt numFmtId="209" formatCode="[$$-409]#,##0_);\([$$-409]#,##0\);[$$-409]\-\-_);@_)"/>
    <numFmt numFmtId="210" formatCode="#,##0.0%_);\(#,##0.0%\);\-\-\%_);@_)"/>
    <numFmt numFmtId="211" formatCode="0.0%_);\(0.0%\);&quot;–&quot;_)"/>
    <numFmt numFmtId="212" formatCode="#,##0_);\(#,##0\);\-\-_);@_)"/>
    <numFmt numFmtId="213" formatCode="[$$-409]#,##0.00_);\([$$-409]#,##0.00\);[$$-409]\-\-_);@_)"/>
    <numFmt numFmtId="214" formatCode="mmm\-yy_);;;@_)"/>
    <numFmt numFmtId="215" formatCode="#,##0.0\x_);\(#,##0.0\x\);\-\-\x_);@_)"/>
    <numFmt numFmtId="216" formatCode="#,##0.00_);\(#,##0.00\);\–_);&quot;–&quot;_)"/>
    <numFmt numFmtId="217" formatCode="#,##0_);\(#,##0\);\–_);&quot;–&quot;_)"/>
    <numFmt numFmtId="218" formatCode="#,##0.0_);\(#,##0.0\);\–_);&quot;–&quot;_)"/>
    <numFmt numFmtId="219" formatCode="&quot;$&quot;#,##0_);\(&quot;$&quot;#,##0\);\–_);&quot;–&quot;_)"/>
    <numFmt numFmtId="220" formatCode="#,##0%_);\(#,##0%\);\-\-\%_);@_)"/>
    <numFmt numFmtId="221" formatCode="_(&quot;$&quot;* #,##0_);_(&quot;$&quot;* \(#,##0\);_(&quot;$&quot;* &quot;-&quot;??_);_(@_)"/>
    <numFmt numFmtId="222" formatCode="0.000000000000000000%"/>
    <numFmt numFmtId="223" formatCode="_(&quot;$&quot;* #,##0.00000000000_);_(&quot;$&quot;* \(#,##0.00000000000\);_(&quot;$&quot;* &quot;-&quot;??_);_(@_)"/>
    <numFmt numFmtId="224" formatCode="&quot;$&quot;#,##0.0_);\(&quot;$&quot;#,##0.0\);\–_);&quot;–&quot;_)"/>
    <numFmt numFmtId="230" formatCode="mm/dd/yy\ hh:mm"/>
  </numFmts>
  <fonts count="127" x14ac:knownFonts="1">
    <font>
      <sz val="10"/>
      <name val="Arial"/>
    </font>
    <font>
      <b/>
      <sz val="10"/>
      <name val="Arial"/>
      <family val="2"/>
    </font>
    <font>
      <i/>
      <sz val="10"/>
      <name val="Arial"/>
      <family val="2"/>
    </font>
    <font>
      <sz val="10"/>
      <name val="Arial"/>
      <family val="2"/>
    </font>
    <font>
      <sz val="8"/>
      <color indexed="12"/>
      <name val="Arial"/>
      <family val="2"/>
    </font>
    <font>
      <sz val="10"/>
      <name val="Arial"/>
      <family val="2"/>
    </font>
    <font>
      <sz val="10"/>
      <name val="MS Sans Serif"/>
      <family val="2"/>
    </font>
    <font>
      <b/>
      <sz val="10"/>
      <color indexed="8"/>
      <name val="Times New Roman"/>
      <family val="1"/>
    </font>
    <font>
      <sz val="8"/>
      <name val="Arial"/>
      <family val="2"/>
    </font>
    <font>
      <b/>
      <sz val="8"/>
      <name val="Arial"/>
      <family val="2"/>
    </font>
    <font>
      <b/>
      <sz val="10"/>
      <name val="Arial"/>
      <family val="2"/>
    </font>
    <font>
      <sz val="10"/>
      <color indexed="8"/>
      <name val="Arial"/>
      <family val="2"/>
    </font>
    <font>
      <sz val="8"/>
      <name val="Arial"/>
      <family val="2"/>
    </font>
    <font>
      <sz val="9"/>
      <name val="Times New Roman"/>
      <family val="1"/>
    </font>
    <font>
      <sz val="10"/>
      <color indexed="8"/>
      <name val="Times New Roman"/>
      <family val="1"/>
    </font>
    <font>
      <i/>
      <sz val="8"/>
      <name val="Times New Roman"/>
      <family val="1"/>
    </font>
    <font>
      <b/>
      <sz val="9"/>
      <name val="Arial"/>
      <family val="2"/>
    </font>
    <font>
      <sz val="10"/>
      <name val="Helv"/>
    </font>
    <font>
      <sz val="10"/>
      <name val="Times New Roman"/>
      <family val="1"/>
    </font>
    <font>
      <sz val="9"/>
      <name val="Times New Roman"/>
      <family val="1"/>
    </font>
    <font>
      <sz val="10"/>
      <name val="Courier"/>
      <family val="3"/>
    </font>
    <font>
      <b/>
      <sz val="10"/>
      <color indexed="8"/>
      <name val="Arial"/>
      <family val="2"/>
    </font>
    <font>
      <b/>
      <sz val="10"/>
      <color indexed="9"/>
      <name val="Arial"/>
      <family val="2"/>
    </font>
    <font>
      <b/>
      <i/>
      <sz val="10"/>
      <name val="Arial"/>
      <family val="2"/>
    </font>
    <font>
      <sz val="10"/>
      <color indexed="12"/>
      <name val="Arial"/>
      <family val="2"/>
    </font>
    <font>
      <i/>
      <sz val="10"/>
      <name val="Arial"/>
      <family val="2"/>
    </font>
    <font>
      <sz val="9"/>
      <name val="Arial"/>
      <family val="2"/>
    </font>
    <font>
      <sz val="9"/>
      <color indexed="8"/>
      <name val="Arial"/>
      <family val="2"/>
    </font>
    <font>
      <b/>
      <i/>
      <sz val="9"/>
      <name val="Arial"/>
      <family val="2"/>
    </font>
    <font>
      <b/>
      <sz val="10"/>
      <color indexed="12"/>
      <name val="Arial"/>
      <family val="2"/>
    </font>
    <font>
      <b/>
      <sz val="9"/>
      <color indexed="12"/>
      <name val="Arial"/>
      <family val="2"/>
    </font>
    <font>
      <i/>
      <sz val="9"/>
      <name val="Arial"/>
      <family val="2"/>
    </font>
    <font>
      <b/>
      <sz val="10"/>
      <color indexed="10"/>
      <name val="Arial"/>
      <family val="2"/>
    </font>
    <font>
      <b/>
      <sz val="9"/>
      <color indexed="10"/>
      <name val="Arial"/>
      <family val="2"/>
    </font>
    <font>
      <b/>
      <i/>
      <sz val="10"/>
      <color indexed="8"/>
      <name val="Arial"/>
      <family val="2"/>
    </font>
    <font>
      <sz val="10"/>
      <color indexed="10"/>
      <name val="Arial"/>
      <family val="2"/>
    </font>
    <font>
      <sz val="10"/>
      <color indexed="22"/>
      <name val="Arial"/>
      <family val="2"/>
    </font>
    <font>
      <sz val="9"/>
      <color indexed="22"/>
      <name val="Arial"/>
      <family val="2"/>
    </font>
    <font>
      <b/>
      <sz val="10"/>
      <color indexed="22"/>
      <name val="Arial"/>
      <family val="2"/>
    </font>
    <font>
      <sz val="9"/>
      <color indexed="10"/>
      <name val="Arial"/>
      <family val="2"/>
    </font>
    <font>
      <b/>
      <sz val="12"/>
      <color indexed="9"/>
      <name val="Arial"/>
      <family val="2"/>
    </font>
    <font>
      <b/>
      <i/>
      <sz val="10"/>
      <color indexed="10"/>
      <name val="Arial"/>
      <family val="2"/>
    </font>
    <font>
      <sz val="10"/>
      <color indexed="12"/>
      <name val="Arial"/>
      <family val="2"/>
    </font>
    <font>
      <sz val="11"/>
      <name val="Arial"/>
      <family val="2"/>
    </font>
    <font>
      <sz val="8"/>
      <color indexed="81"/>
      <name val="Tahoma"/>
      <family val="2"/>
    </font>
    <font>
      <b/>
      <sz val="8"/>
      <color indexed="81"/>
      <name val="Tahoma"/>
      <family val="2"/>
    </font>
    <font>
      <i/>
      <sz val="10"/>
      <color indexed="8"/>
      <name val="Arial"/>
      <family val="2"/>
    </font>
    <font>
      <sz val="8"/>
      <color indexed="9"/>
      <name val="Arial"/>
      <family val="2"/>
    </font>
    <font>
      <sz val="10"/>
      <color indexed="9"/>
      <name val="Arial"/>
      <family val="2"/>
    </font>
    <font>
      <i/>
      <sz val="10"/>
      <color indexed="12"/>
      <name val="Arial"/>
      <family val="2"/>
    </font>
    <font>
      <u/>
      <sz val="8"/>
      <color indexed="81"/>
      <name val="Tahoma"/>
      <family val="2"/>
    </font>
    <font>
      <sz val="10"/>
      <color indexed="9"/>
      <name val="Arial"/>
      <family val="2"/>
    </font>
    <font>
      <i/>
      <sz val="8"/>
      <name val="Arial"/>
      <family val="2"/>
    </font>
    <font>
      <b/>
      <sz val="8"/>
      <color indexed="17"/>
      <name val="Arial"/>
      <family val="2"/>
    </font>
    <font>
      <b/>
      <sz val="8"/>
      <color indexed="12"/>
      <name val="Arial"/>
      <family val="2"/>
    </font>
    <font>
      <i/>
      <sz val="9"/>
      <color indexed="8"/>
      <name val="Arial"/>
      <family val="2"/>
    </font>
    <font>
      <b/>
      <i/>
      <sz val="10"/>
      <color indexed="12"/>
      <name val="Arial"/>
      <family val="2"/>
    </font>
    <font>
      <b/>
      <sz val="14"/>
      <color indexed="9"/>
      <name val="Arial"/>
      <family val="2"/>
    </font>
    <font>
      <b/>
      <sz val="9"/>
      <color indexed="9"/>
      <name val="Arial"/>
      <family val="2"/>
    </font>
    <font>
      <sz val="10"/>
      <name val="Courier"/>
      <family val="3"/>
    </font>
    <font>
      <i/>
      <sz val="8"/>
      <color indexed="12"/>
      <name val="Arial"/>
      <family val="2"/>
    </font>
    <font>
      <b/>
      <i/>
      <sz val="8"/>
      <color indexed="12"/>
      <name val="Arial"/>
      <family val="2"/>
    </font>
    <font>
      <b/>
      <i/>
      <sz val="8"/>
      <color indexed="12"/>
      <name val="Times New Roman"/>
      <family val="1"/>
    </font>
    <font>
      <b/>
      <sz val="9"/>
      <color indexed="8"/>
      <name val="Arial"/>
      <family val="2"/>
    </font>
    <font>
      <sz val="10"/>
      <color indexed="8"/>
      <name val="Arial"/>
      <family val="2"/>
    </font>
    <font>
      <b/>
      <sz val="6.25"/>
      <name val="Verdana"/>
      <family val="2"/>
    </font>
    <font>
      <sz val="9"/>
      <color indexed="9"/>
      <name val="Verdana"/>
      <family val="2"/>
    </font>
    <font>
      <b/>
      <sz val="9"/>
      <color indexed="9"/>
      <name val="Verdana"/>
      <family val="2"/>
    </font>
    <font>
      <b/>
      <sz val="8"/>
      <color indexed="16"/>
      <name val="Verdana"/>
      <family val="2"/>
    </font>
    <font>
      <sz val="8"/>
      <name val="Verdana"/>
      <family val="2"/>
    </font>
    <font>
      <sz val="8"/>
      <color indexed="22"/>
      <name val="Verdana"/>
      <family val="2"/>
    </font>
    <font>
      <sz val="8"/>
      <color indexed="9"/>
      <name val="Verdana"/>
      <family val="2"/>
    </font>
    <font>
      <b/>
      <sz val="7"/>
      <name val="Verdana"/>
      <family val="2"/>
    </font>
    <font>
      <sz val="10"/>
      <name val="Verdana"/>
      <family val="2"/>
    </font>
    <font>
      <b/>
      <sz val="10"/>
      <name val="Verdana"/>
      <family val="2"/>
    </font>
    <font>
      <sz val="8"/>
      <color indexed="60"/>
      <name val="Verdana"/>
      <family val="2"/>
    </font>
    <font>
      <b/>
      <sz val="8"/>
      <color indexed="9"/>
      <name val="Verdana"/>
      <family val="2"/>
    </font>
    <font>
      <sz val="8"/>
      <color indexed="16"/>
      <name val="Verdana"/>
      <family val="2"/>
    </font>
    <font>
      <b/>
      <i/>
      <sz val="9"/>
      <color indexed="16"/>
      <name val="Verdana"/>
      <family val="2"/>
    </font>
    <font>
      <b/>
      <i/>
      <sz val="9"/>
      <color indexed="56"/>
      <name val="Verdana"/>
      <family val="2"/>
    </font>
    <font>
      <b/>
      <sz val="9"/>
      <name val="Verdana"/>
      <family val="2"/>
    </font>
    <font>
      <b/>
      <sz val="8"/>
      <name val="Verdana"/>
      <family val="2"/>
    </font>
    <font>
      <sz val="10"/>
      <color indexed="9"/>
      <name val="Verdana"/>
      <family val="2"/>
    </font>
    <font>
      <b/>
      <i/>
      <sz val="8"/>
      <color indexed="13"/>
      <name val="Verdana"/>
      <family val="2"/>
    </font>
    <font>
      <b/>
      <i/>
      <sz val="8"/>
      <color indexed="16"/>
      <name val="Verdana"/>
      <family val="2"/>
    </font>
    <font>
      <sz val="10"/>
      <color indexed="10"/>
      <name val="Verdana"/>
      <family val="2"/>
    </font>
    <font>
      <i/>
      <sz val="8"/>
      <color indexed="60"/>
      <name val="Verdana"/>
      <family val="2"/>
    </font>
    <font>
      <i/>
      <sz val="8"/>
      <color indexed="10"/>
      <name val="Verdana"/>
      <family val="2"/>
    </font>
    <font>
      <sz val="8"/>
      <color indexed="10"/>
      <name val="Verdana"/>
      <family val="2"/>
    </font>
    <font>
      <b/>
      <sz val="9"/>
      <color indexed="16"/>
      <name val="Verdana"/>
      <family val="2"/>
    </font>
    <font>
      <b/>
      <sz val="9"/>
      <color indexed="56"/>
      <name val="Verdana"/>
      <family val="2"/>
    </font>
    <font>
      <i/>
      <sz val="8"/>
      <color indexed="53"/>
      <name val="Verdana"/>
      <family val="2"/>
    </font>
    <font>
      <sz val="8"/>
      <color indexed="53"/>
      <name val="Verdana"/>
      <family val="2"/>
    </font>
    <font>
      <b/>
      <sz val="10"/>
      <color indexed="56"/>
      <name val="Verdana"/>
      <family val="2"/>
    </font>
    <font>
      <sz val="10"/>
      <name val="Arial"/>
      <family val="2"/>
    </font>
    <font>
      <sz val="8"/>
      <name val="Arial"/>
      <family val="2"/>
    </font>
    <font>
      <sz val="10"/>
      <color indexed="60"/>
      <name val="Arial"/>
      <family val="2"/>
    </font>
    <font>
      <sz val="9"/>
      <name val="Times New Roman"/>
      <family val="1"/>
    </font>
    <font>
      <sz val="9"/>
      <color indexed="81"/>
      <name val="Tahoma"/>
      <family val="2"/>
    </font>
    <font>
      <b/>
      <sz val="9"/>
      <color indexed="81"/>
      <name val="Tahoma"/>
      <family val="2"/>
    </font>
    <font>
      <sz val="10"/>
      <name val="Arial"/>
      <family val="2"/>
    </font>
    <font>
      <sz val="10"/>
      <name val="Arial"/>
      <family val="2"/>
    </font>
    <font>
      <sz val="8"/>
      <color indexed="8"/>
      <name val="Arial"/>
      <family val="2"/>
    </font>
    <font>
      <b/>
      <u val="singleAccounting"/>
      <sz val="8"/>
      <name val="Arial"/>
      <family val="2"/>
    </font>
    <font>
      <sz val="10"/>
      <color indexed="59"/>
      <name val="Arial"/>
      <family val="2"/>
    </font>
    <font>
      <i/>
      <sz val="10"/>
      <color indexed="59"/>
      <name val="Arial"/>
      <family val="2"/>
    </font>
    <font>
      <b/>
      <sz val="8"/>
      <color indexed="62"/>
      <name val="Arial"/>
      <family val="2"/>
    </font>
    <font>
      <sz val="10"/>
      <color indexed="62"/>
      <name val="Arial"/>
      <family val="2"/>
    </font>
    <font>
      <b/>
      <sz val="10"/>
      <color indexed="81"/>
      <name val="Tahoma"/>
      <family val="2"/>
    </font>
    <font>
      <sz val="10"/>
      <color indexed="81"/>
      <name val="Tahoma"/>
      <family val="2"/>
    </font>
    <font>
      <sz val="11"/>
      <color theme="1"/>
      <name val="Calibri"/>
      <family val="2"/>
      <scheme val="minor"/>
    </font>
    <font>
      <sz val="10"/>
      <color rgb="FF0000FF"/>
      <name val="Arial"/>
      <family val="2"/>
    </font>
    <font>
      <b/>
      <sz val="10"/>
      <color rgb="FF0000FF"/>
      <name val="Arial"/>
      <family val="2"/>
    </font>
    <font>
      <sz val="10"/>
      <color rgb="FFC0C0C0"/>
      <name val="Arial"/>
      <family val="2"/>
    </font>
    <font>
      <sz val="10"/>
      <color rgb="FFFF0000"/>
      <name val="Arial"/>
      <family val="2"/>
    </font>
    <font>
      <sz val="10"/>
      <color rgb="FF000000"/>
      <name val="Arial"/>
      <family val="2"/>
    </font>
    <font>
      <b/>
      <sz val="10"/>
      <color rgb="FF000000"/>
      <name val="Arial"/>
      <family val="2"/>
    </font>
    <font>
      <b/>
      <sz val="10"/>
      <color rgb="FF008000"/>
      <name val="Arial"/>
      <family val="2"/>
    </font>
    <font>
      <i/>
      <sz val="10"/>
      <color rgb="FF7030A0"/>
      <name val="Arial"/>
      <family val="2"/>
    </font>
    <font>
      <b/>
      <i/>
      <sz val="10"/>
      <color indexed="9"/>
      <name val="Arial"/>
      <family val="2"/>
    </font>
    <font>
      <sz val="9"/>
      <color rgb="FF7030A0"/>
      <name val="Arial"/>
      <family val="2"/>
    </font>
    <font>
      <sz val="9"/>
      <color rgb="FFFF0000"/>
      <name val="Arial"/>
      <family val="2"/>
    </font>
    <font>
      <sz val="10"/>
      <color rgb="FFFFFF00"/>
      <name val="Arial"/>
      <family val="2"/>
    </font>
    <font>
      <sz val="10"/>
      <color rgb="FF00B050"/>
      <name val="Arial"/>
      <family val="2"/>
    </font>
    <font>
      <b/>
      <sz val="10"/>
      <color rgb="FFFF0000"/>
      <name val="Arial"/>
      <family val="2"/>
    </font>
    <font>
      <sz val="10"/>
      <color rgb="FF7030A0"/>
      <name val="Arial"/>
      <family val="2"/>
    </font>
    <font>
      <b/>
      <sz val="12"/>
      <color rgb="FF000080"/>
      <name val="Arial"/>
      <family val="2"/>
    </font>
  </fonts>
  <fills count="22">
    <fill>
      <patternFill patternType="none"/>
    </fill>
    <fill>
      <patternFill patternType="gray125"/>
    </fill>
    <fill>
      <patternFill patternType="solid">
        <fgColor indexed="43"/>
        <bgColor indexed="64"/>
      </patternFill>
    </fill>
    <fill>
      <patternFill patternType="solid">
        <fgColor indexed="9"/>
        <bgColor indexed="64"/>
      </patternFill>
    </fill>
    <fill>
      <patternFill patternType="solid">
        <fgColor indexed="40"/>
        <bgColor indexed="64"/>
      </patternFill>
    </fill>
    <fill>
      <patternFill patternType="solid">
        <fgColor indexed="22"/>
        <bgColor indexed="64"/>
      </patternFill>
    </fill>
    <fill>
      <patternFill patternType="solid">
        <fgColor indexed="18"/>
        <bgColor indexed="64"/>
      </patternFill>
    </fill>
    <fill>
      <patternFill patternType="solid">
        <fgColor indexed="48"/>
        <bgColor indexed="64"/>
      </patternFill>
    </fill>
    <fill>
      <patternFill patternType="solid">
        <fgColor indexed="8"/>
        <bgColor indexed="64"/>
      </patternFill>
    </fill>
    <fill>
      <patternFill patternType="solid">
        <fgColor indexed="42"/>
        <bgColor indexed="64"/>
      </patternFill>
    </fill>
    <fill>
      <patternFill patternType="solid">
        <fgColor indexed="16"/>
        <bgColor indexed="64"/>
      </patternFill>
    </fill>
    <fill>
      <patternFill patternType="solid">
        <fgColor indexed="12"/>
        <bgColor indexed="64"/>
      </patternFill>
    </fill>
    <fill>
      <patternFill patternType="solid">
        <fgColor indexed="56"/>
        <bgColor indexed="64"/>
      </patternFill>
    </fill>
    <fill>
      <patternFill patternType="solid">
        <fgColor theme="0"/>
        <bgColor indexed="64"/>
      </patternFill>
    </fill>
    <fill>
      <patternFill patternType="solid">
        <fgColor rgb="FFFFFF00"/>
        <bgColor indexed="64"/>
      </patternFill>
    </fill>
    <fill>
      <patternFill patternType="solid">
        <fgColor rgb="FF92D050"/>
        <bgColor indexed="64"/>
      </patternFill>
    </fill>
    <fill>
      <patternFill patternType="solid">
        <fgColor theme="0" tint="-0.249977111117893"/>
        <bgColor indexed="64"/>
      </patternFill>
    </fill>
    <fill>
      <patternFill patternType="solid">
        <fgColor rgb="FF000080"/>
        <bgColor indexed="64"/>
      </patternFill>
    </fill>
    <fill>
      <patternFill patternType="solid">
        <fgColor rgb="FFC0C0C0"/>
        <bgColor indexed="64"/>
      </patternFill>
    </fill>
    <fill>
      <patternFill patternType="solid">
        <fgColor rgb="FFFFC000"/>
        <bgColor indexed="64"/>
      </patternFill>
    </fill>
    <fill>
      <patternFill patternType="solid">
        <fgColor theme="5" tint="0.79998168889431442"/>
        <bgColor indexed="64"/>
      </patternFill>
    </fill>
    <fill>
      <patternFill patternType="solid">
        <fgColor indexed="65"/>
        <bgColor indexed="64"/>
      </patternFill>
    </fill>
  </fills>
  <borders count="102">
    <border>
      <left/>
      <right/>
      <top/>
      <bottom/>
      <diagonal/>
    </border>
    <border>
      <left/>
      <right/>
      <top/>
      <bottom style="thin">
        <color indexed="8"/>
      </bottom>
      <diagonal/>
    </border>
    <border>
      <left style="thin">
        <color indexed="64"/>
      </left>
      <right style="thin">
        <color indexed="64"/>
      </right>
      <top style="thin">
        <color indexed="64"/>
      </top>
      <bottom style="thin">
        <color indexed="64"/>
      </bottom>
      <diagonal/>
    </border>
    <border>
      <left style="medium">
        <color indexed="8"/>
      </left>
      <right style="medium">
        <color indexed="8"/>
      </right>
      <top/>
      <bottom/>
      <diagonal/>
    </border>
    <border>
      <left/>
      <right style="medium">
        <color indexed="64"/>
      </right>
      <top/>
      <bottom/>
      <diagonal/>
    </border>
    <border>
      <left/>
      <right/>
      <top style="dotted">
        <color indexed="64"/>
      </top>
      <bottom style="dotted">
        <color indexed="64"/>
      </bottom>
      <diagonal/>
    </border>
    <border>
      <left style="medium">
        <color indexed="8"/>
      </left>
      <right style="medium">
        <color indexed="8"/>
      </right>
      <top style="dotted">
        <color indexed="64"/>
      </top>
      <bottom style="dotted">
        <color indexed="64"/>
      </bottom>
      <diagonal/>
    </border>
    <border>
      <left style="medium">
        <color indexed="8"/>
      </left>
      <right style="medium">
        <color indexed="8"/>
      </right>
      <top style="dashed">
        <color indexed="64"/>
      </top>
      <bottom style="hair">
        <color indexed="64"/>
      </bottom>
      <diagonal/>
    </border>
    <border>
      <left/>
      <right/>
      <top style="dashed">
        <color indexed="64"/>
      </top>
      <bottom style="hair">
        <color indexed="64"/>
      </bottom>
      <diagonal/>
    </border>
    <border>
      <left style="medium">
        <color indexed="8"/>
      </left>
      <right style="medium">
        <color indexed="8"/>
      </right>
      <top style="dashed">
        <color indexed="64"/>
      </top>
      <bottom/>
      <diagonal/>
    </border>
    <border>
      <left/>
      <right/>
      <top style="dashed">
        <color indexed="64"/>
      </top>
      <bottom/>
      <diagonal/>
    </border>
    <border>
      <left/>
      <right/>
      <top style="hair">
        <color indexed="64"/>
      </top>
      <bottom/>
      <diagonal/>
    </border>
    <border>
      <left style="medium">
        <color indexed="8"/>
      </left>
      <right style="medium">
        <color indexed="8"/>
      </right>
      <top style="hair">
        <color indexed="64"/>
      </top>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right/>
      <top style="hair">
        <color indexed="64"/>
      </top>
      <bottom style="hair">
        <color indexed="64"/>
      </bottom>
      <diagonal/>
    </border>
    <border>
      <left style="medium">
        <color indexed="8"/>
      </left>
      <right style="medium">
        <color indexed="8"/>
      </right>
      <top style="hair">
        <color indexed="64"/>
      </top>
      <bottom style="hair">
        <color indexed="64"/>
      </bottom>
      <diagonal/>
    </border>
    <border>
      <left/>
      <right/>
      <top/>
      <bottom style="dashed">
        <color indexed="64"/>
      </bottom>
      <diagonal/>
    </border>
    <border>
      <left/>
      <right/>
      <top style="thin">
        <color indexed="64"/>
      </top>
      <bottom/>
      <diagonal/>
    </border>
    <border>
      <left style="medium">
        <color indexed="8"/>
      </left>
      <right style="medium">
        <color indexed="8"/>
      </right>
      <top style="thin">
        <color indexed="64"/>
      </top>
      <bottom/>
      <diagonal/>
    </border>
    <border>
      <left/>
      <right/>
      <top style="thin">
        <color indexed="8"/>
      </top>
      <bottom/>
      <diagonal/>
    </border>
    <border>
      <left style="medium">
        <color indexed="8"/>
      </left>
      <right style="medium">
        <color indexed="8"/>
      </right>
      <top style="thin">
        <color indexed="8"/>
      </top>
      <bottom/>
      <diagonal/>
    </border>
    <border>
      <left/>
      <right style="dashed">
        <color indexed="64"/>
      </right>
      <top/>
      <bottom/>
      <diagonal/>
    </border>
    <border>
      <left/>
      <right/>
      <top/>
      <bottom style="thin">
        <color indexed="64"/>
      </bottom>
      <diagonal/>
    </border>
    <border>
      <left/>
      <right style="medium">
        <color indexed="64"/>
      </right>
      <top style="thin">
        <color indexed="64"/>
      </top>
      <bottom/>
      <diagonal/>
    </border>
    <border>
      <left/>
      <right style="medium">
        <color indexed="64"/>
      </right>
      <top style="dotted">
        <color indexed="64"/>
      </top>
      <bottom style="dotted">
        <color indexed="64"/>
      </bottom>
      <diagonal/>
    </border>
    <border>
      <left/>
      <right style="medium">
        <color indexed="64"/>
      </right>
      <top style="dashed">
        <color indexed="64"/>
      </top>
      <bottom style="hair">
        <color indexed="64"/>
      </bottom>
      <diagonal/>
    </border>
    <border>
      <left/>
      <right style="medium">
        <color indexed="64"/>
      </right>
      <top style="dashed">
        <color indexed="64"/>
      </top>
      <bottom/>
      <diagonal/>
    </border>
    <border>
      <left/>
      <right style="medium">
        <color indexed="64"/>
      </right>
      <top style="hair">
        <color indexed="64"/>
      </top>
      <bottom/>
      <diagonal/>
    </border>
    <border>
      <left/>
      <right style="medium">
        <color indexed="64"/>
      </right>
      <top style="hair">
        <color indexed="64"/>
      </top>
      <bottom style="hair">
        <color indexed="64"/>
      </bottom>
      <diagonal/>
    </border>
    <border>
      <left style="medium">
        <color indexed="8"/>
      </left>
      <right style="medium">
        <color indexed="64"/>
      </right>
      <top/>
      <bottom/>
      <diagonal/>
    </border>
    <border>
      <left style="medium">
        <color indexed="64"/>
      </left>
      <right style="medium">
        <color indexed="64"/>
      </right>
      <top/>
      <bottom/>
      <diagonal/>
    </border>
    <border>
      <left/>
      <right style="medium">
        <color indexed="8"/>
      </right>
      <top/>
      <bottom/>
      <diagonal/>
    </border>
    <border>
      <left style="medium">
        <color indexed="8"/>
      </left>
      <right style="medium">
        <color indexed="64"/>
      </right>
      <top style="hair">
        <color indexed="64"/>
      </top>
      <bottom style="hair">
        <color indexed="64"/>
      </bottom>
      <diagonal/>
    </border>
    <border>
      <left style="medium">
        <color indexed="8"/>
      </left>
      <right style="medium">
        <color indexed="64"/>
      </right>
      <top/>
      <bottom style="hair">
        <color indexed="64"/>
      </bottom>
      <diagonal/>
    </border>
    <border>
      <left style="medium">
        <color indexed="8"/>
      </left>
      <right style="medium">
        <color indexed="64"/>
      </right>
      <top style="thin">
        <color indexed="64"/>
      </top>
      <bottom/>
      <diagonal/>
    </border>
    <border>
      <left/>
      <right style="medium">
        <color indexed="64"/>
      </right>
      <top/>
      <bottom style="thin">
        <color indexed="64"/>
      </bottom>
      <diagonal/>
    </border>
    <border>
      <left style="medium">
        <color indexed="8"/>
      </left>
      <right style="medium">
        <color indexed="8"/>
      </right>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style="dashed">
        <color indexed="64"/>
      </top>
      <bottom style="dashed">
        <color indexed="64"/>
      </bottom>
      <diagonal/>
    </border>
    <border>
      <left style="medium">
        <color indexed="8"/>
      </left>
      <right/>
      <top/>
      <bottom/>
      <diagonal/>
    </border>
    <border>
      <left style="medium">
        <color indexed="8"/>
      </left>
      <right/>
      <top style="thin">
        <color indexed="64"/>
      </top>
      <bottom style="thin">
        <color indexed="64"/>
      </bottom>
      <diagonal/>
    </border>
    <border>
      <left/>
      <right style="medium">
        <color indexed="64"/>
      </right>
      <top/>
      <bottom style="dashed">
        <color indexed="8"/>
      </bottom>
      <diagonal/>
    </border>
    <border>
      <left/>
      <right/>
      <top/>
      <bottom style="dashed">
        <color indexed="8"/>
      </bottom>
      <diagonal/>
    </border>
    <border>
      <left style="medium">
        <color indexed="8"/>
      </left>
      <right style="medium">
        <color indexed="8"/>
      </right>
      <top/>
      <bottom style="dashed">
        <color indexed="8"/>
      </bottom>
      <diagonal/>
    </border>
    <border>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thin">
        <color indexed="16"/>
      </left>
      <right/>
      <top/>
      <bottom/>
      <diagonal/>
    </border>
    <border>
      <left/>
      <right style="thin">
        <color indexed="12"/>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style="thin">
        <color indexed="8"/>
      </top>
      <bottom style="thin">
        <color indexed="8"/>
      </bottom>
      <diagonal/>
    </border>
    <border>
      <left style="thin">
        <color indexed="64"/>
      </left>
      <right style="thin">
        <color indexed="64"/>
      </right>
      <top/>
      <bottom style="thin">
        <color indexed="64"/>
      </bottom>
      <diagonal/>
    </border>
    <border>
      <left/>
      <right/>
      <top/>
      <bottom style="medium">
        <color indexed="8"/>
      </bottom>
      <diagonal/>
    </border>
    <border>
      <left style="hair">
        <color indexed="64"/>
      </left>
      <right style="hair">
        <color indexed="64"/>
      </right>
      <top/>
      <bottom/>
      <diagonal/>
    </border>
    <border>
      <left style="hair">
        <color indexed="64"/>
      </left>
      <right style="hair">
        <color indexed="64"/>
      </right>
      <top style="thin">
        <color indexed="64"/>
      </top>
      <bottom/>
      <diagonal/>
    </border>
    <border>
      <left style="thin">
        <color indexed="64"/>
      </left>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right style="thin">
        <color indexed="64"/>
      </right>
      <top style="hair">
        <color indexed="64"/>
      </top>
      <bottom style="hair">
        <color indexed="64"/>
      </bottom>
      <diagonal/>
    </border>
    <border>
      <left style="hair">
        <color indexed="64"/>
      </left>
      <right style="hair">
        <color indexed="64"/>
      </right>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thin">
        <color indexed="64"/>
      </right>
      <top style="dotted">
        <color indexed="64"/>
      </top>
      <bottom style="dotted">
        <color indexed="64"/>
      </bottom>
      <diagonal/>
    </border>
    <border>
      <left/>
      <right style="thin">
        <color indexed="64"/>
      </right>
      <top style="dashed">
        <color indexed="64"/>
      </top>
      <bottom style="hair">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ashed">
        <color indexed="64"/>
      </top>
      <bottom style="hair">
        <color indexed="64"/>
      </bottom>
      <diagonal/>
    </border>
    <border>
      <left style="thin">
        <color indexed="64"/>
      </left>
      <right style="thin">
        <color indexed="64"/>
      </right>
      <top style="dashed">
        <color indexed="64"/>
      </top>
      <bottom/>
      <diagonal/>
    </border>
    <border>
      <left style="thin">
        <color indexed="64"/>
      </left>
      <right style="thin">
        <color indexed="64"/>
      </right>
      <top style="hair">
        <color indexed="64"/>
      </top>
      <bottom/>
      <diagonal/>
    </border>
    <border>
      <left style="thin">
        <color indexed="64"/>
      </left>
      <right style="thin">
        <color indexed="64"/>
      </right>
      <top/>
      <bottom style="dashed">
        <color indexed="8"/>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8"/>
      </top>
      <bottom style="thin">
        <color indexed="8"/>
      </bottom>
      <diagonal/>
    </border>
    <border>
      <left/>
      <right style="thin">
        <color indexed="64"/>
      </right>
      <top/>
      <bottom style="dotted">
        <color indexed="64"/>
      </bottom>
      <diagonal/>
    </border>
    <border>
      <left style="thin">
        <color indexed="64"/>
      </left>
      <right style="thin">
        <color indexed="64"/>
      </right>
      <top/>
      <bottom style="dotted">
        <color indexed="64"/>
      </bottom>
      <diagonal/>
    </border>
    <border>
      <left style="medium">
        <color rgb="FF000000"/>
      </left>
      <right style="medium">
        <color rgb="FF000000"/>
      </right>
      <top/>
      <bottom/>
      <diagonal/>
    </border>
    <border>
      <left/>
      <right style="thin">
        <color indexed="64"/>
      </right>
      <top/>
      <bottom style="thin">
        <color rgb="FF000000"/>
      </bottom>
      <diagonal/>
    </border>
    <border>
      <left/>
      <right style="thin">
        <color indexed="64"/>
      </right>
      <top style="thin">
        <color rgb="FF000000"/>
      </top>
      <bottom style="thin">
        <color rgb="FF000000"/>
      </bottom>
      <diagonal/>
    </border>
    <border>
      <left style="thin">
        <color rgb="FF000000"/>
      </left>
      <right style="thin">
        <color rgb="FF000000"/>
      </right>
      <top/>
      <bottom/>
      <diagonal/>
    </border>
    <border>
      <left/>
      <right style="thin">
        <color auto="1"/>
      </right>
      <top/>
      <bottom/>
      <diagonal/>
    </border>
    <border>
      <left/>
      <right style="thin">
        <color indexed="64"/>
      </right>
      <top style="dotted">
        <color indexed="64"/>
      </top>
      <bottom/>
      <diagonal/>
    </border>
    <border>
      <left/>
      <right style="thin">
        <color auto="1"/>
      </right>
      <top style="dashed">
        <color indexed="64"/>
      </top>
      <bottom/>
      <diagonal/>
    </border>
    <border>
      <left/>
      <right style="thin">
        <color auto="1"/>
      </right>
      <top style="hair">
        <color indexed="64"/>
      </top>
      <bottom/>
      <diagonal/>
    </border>
    <border>
      <left/>
      <right style="thin">
        <color auto="1"/>
      </right>
      <top/>
      <bottom style="dashed">
        <color indexed="8"/>
      </bottom>
      <diagonal/>
    </border>
    <border>
      <left/>
      <right style="thin">
        <color auto="1"/>
      </right>
      <top style="thin">
        <color indexed="8"/>
      </top>
      <bottom style="thin">
        <color indexed="8"/>
      </bottom>
      <diagonal/>
    </border>
    <border>
      <left/>
      <right style="medium">
        <color auto="1"/>
      </right>
      <top/>
      <bottom/>
      <diagonal/>
    </border>
    <border>
      <left style="medium">
        <color rgb="FF000000"/>
      </left>
      <right style="medium">
        <color rgb="FF000000"/>
      </right>
      <top style="dashed">
        <color indexed="8"/>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70">
    <xf numFmtId="0" fontId="0"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applyNumberFormat="0" applyFill="0" applyBorder="0" applyAlignment="0" applyProtection="0"/>
    <xf numFmtId="0" fontId="3"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7" fillId="0" borderId="0"/>
    <xf numFmtId="0" fontId="7" fillId="0" borderId="0"/>
    <xf numFmtId="0" fontId="7" fillId="0" borderId="0"/>
    <xf numFmtId="0" fontId="7" fillId="0" borderId="0"/>
    <xf numFmtId="0" fontId="7" fillId="0" borderId="0"/>
    <xf numFmtId="0" fontId="7" fillId="0" borderId="0"/>
    <xf numFmtId="43" fontId="3" fillId="0" borderId="0" applyFont="0" applyFill="0" applyBorder="0" applyAlignment="0" applyProtection="0"/>
    <xf numFmtId="4" fontId="17" fillId="0" borderId="0" applyFont="0" applyFill="0" applyBorder="0" applyAlignment="0" applyProtection="0"/>
    <xf numFmtId="164" fontId="3" fillId="0" borderId="0" applyFont="0" applyFill="0" applyBorder="0" applyAlignment="0" applyProtection="0"/>
    <xf numFmtId="44" fontId="3" fillId="0" borderId="0" applyFont="0" applyFill="0" applyBorder="0" applyAlignment="0" applyProtection="0"/>
    <xf numFmtId="44" fontId="100" fillId="0" borderId="0" applyFont="0" applyFill="0" applyBorder="0" applyAlignment="0" applyProtection="0"/>
    <xf numFmtId="44" fontId="101" fillId="0" borderId="0" applyFont="0" applyFill="0" applyBorder="0" applyAlignment="0" applyProtection="0"/>
    <xf numFmtId="8" fontId="17" fillId="0" borderId="0" applyFont="0" applyFill="0" applyBorder="0" applyAlignment="0" applyProtection="0"/>
    <xf numFmtId="0" fontId="3" fillId="0" borderId="0"/>
    <xf numFmtId="0" fontId="110" fillId="0" borderId="0"/>
    <xf numFmtId="0" fontId="3" fillId="0" borderId="0"/>
    <xf numFmtId="0" fontId="19" fillId="0" borderId="0"/>
    <xf numFmtId="0" fontId="3" fillId="0" borderId="0"/>
    <xf numFmtId="0" fontId="3" fillId="0" borderId="0"/>
    <xf numFmtId="0" fontId="3" fillId="0" borderId="0"/>
    <xf numFmtId="0" fontId="59" fillId="0" borderId="0"/>
    <xf numFmtId="0" fontId="5" fillId="0" borderId="0"/>
    <xf numFmtId="0" fontId="18" fillId="0" borderId="0"/>
    <xf numFmtId="0" fontId="20" fillId="0" borderId="0"/>
    <xf numFmtId="0" fontId="5" fillId="0" borderId="0">
      <alignment wrapText="1"/>
    </xf>
    <xf numFmtId="0" fontId="13" fillId="0" borderId="0">
      <alignment vertical="center"/>
    </xf>
    <xf numFmtId="9" fontId="3" fillId="0" borderId="0" applyFont="0" applyFill="0" applyBorder="0" applyAlignment="0" applyProtection="0"/>
    <xf numFmtId="0" fontId="3" fillId="2" borderId="0" applyNumberFormat="0" applyFon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1">
      <alignment horizontal="centerContinuous"/>
    </xf>
    <xf numFmtId="0" fontId="14" fillId="0" borderId="1">
      <alignment horizontal="centerContinuous"/>
    </xf>
    <xf numFmtId="0" fontId="14" fillId="0" borderId="1">
      <alignment horizontal="centerContinuous"/>
    </xf>
    <xf numFmtId="0" fontId="14" fillId="0" borderId="1">
      <alignment horizontal="centerContinuous"/>
    </xf>
    <xf numFmtId="0" fontId="14" fillId="0" borderId="1">
      <alignment horizontal="centerContinuous"/>
    </xf>
    <xf numFmtId="0" fontId="14" fillId="0" borderId="1">
      <alignment horizontal="centerContinuous"/>
    </xf>
    <xf numFmtId="0" fontId="15" fillId="0" borderId="1"/>
    <xf numFmtId="0" fontId="5" fillId="0" borderId="0" applyNumberFormat="0" applyFill="0" applyBorder="0" applyAlignment="0" applyProtection="0"/>
    <xf numFmtId="0" fontId="3" fillId="0" borderId="0" applyNumberFormat="0" applyFill="0" applyBorder="0" applyAlignment="0" applyProtection="0"/>
    <xf numFmtId="0" fontId="3" fillId="0" borderId="0">
      <alignment vertical="top"/>
    </xf>
    <xf numFmtId="0" fontId="8" fillId="3" borderId="2" applyNumberFormat="0" applyProtection="0">
      <alignment wrapText="1"/>
    </xf>
    <xf numFmtId="9" fontId="3" fillId="0" borderId="0" applyFont="0" applyFill="0" applyBorder="0" applyAlignment="0" applyProtection="0"/>
    <xf numFmtId="0" fontId="20" fillId="0" borderId="0"/>
  </cellStyleXfs>
  <cellXfs count="2092">
    <xf numFmtId="0" fontId="0" fillId="0" borderId="0" xfId="0"/>
    <xf numFmtId="1" fontId="5" fillId="3" borderId="0" xfId="0" applyNumberFormat="1" applyFont="1" applyFill="1" applyBorder="1"/>
    <xf numFmtId="1" fontId="5" fillId="3" borderId="3" xfId="0" applyNumberFormat="1" applyFont="1" applyFill="1" applyBorder="1"/>
    <xf numFmtId="9" fontId="5" fillId="3" borderId="4" xfId="0" applyNumberFormat="1" applyFont="1" applyFill="1" applyBorder="1" applyAlignment="1">
      <alignment horizontal="left" indent="1"/>
    </xf>
    <xf numFmtId="9" fontId="5" fillId="3" borderId="3" xfId="49" applyNumberFormat="1" applyFont="1" applyFill="1" applyBorder="1"/>
    <xf numFmtId="9" fontId="5" fillId="3" borderId="0" xfId="49" applyNumberFormat="1" applyFont="1" applyFill="1" applyBorder="1"/>
    <xf numFmtId="9" fontId="5" fillId="3" borderId="0" xfId="0" applyNumberFormat="1" applyFont="1" applyFill="1" applyBorder="1"/>
    <xf numFmtId="0" fontId="5" fillId="3" borderId="4" xfId="0" applyFont="1" applyFill="1" applyBorder="1"/>
    <xf numFmtId="167" fontId="5" fillId="3" borderId="0" xfId="0" applyNumberFormat="1" applyFont="1" applyFill="1" applyBorder="1"/>
    <xf numFmtId="165" fontId="5" fillId="3" borderId="3" xfId="49" applyNumberFormat="1" applyFont="1" applyFill="1" applyBorder="1"/>
    <xf numFmtId="165" fontId="5" fillId="3" borderId="0" xfId="49" applyNumberFormat="1" applyFont="1" applyFill="1" applyBorder="1"/>
    <xf numFmtId="3" fontId="10" fillId="3" borderId="0" xfId="0" applyNumberFormat="1" applyFont="1" applyFill="1" applyBorder="1"/>
    <xf numFmtId="0" fontId="23" fillId="3" borderId="0" xfId="0" applyFont="1" applyFill="1" applyBorder="1"/>
    <xf numFmtId="166" fontId="23" fillId="3" borderId="0" xfId="0" applyNumberFormat="1" applyFont="1" applyFill="1" applyBorder="1"/>
    <xf numFmtId="165" fontId="11" fillId="3" borderId="0" xfId="49" applyNumberFormat="1" applyFont="1" applyFill="1" applyBorder="1"/>
    <xf numFmtId="165" fontId="11" fillId="3" borderId="3" xfId="49" applyNumberFormat="1" applyFont="1" applyFill="1" applyBorder="1"/>
    <xf numFmtId="165" fontId="24" fillId="3" borderId="3" xfId="49" applyNumberFormat="1" applyFont="1" applyFill="1" applyBorder="1"/>
    <xf numFmtId="3" fontId="10" fillId="3" borderId="3" xfId="0" applyNumberFormat="1" applyFont="1" applyFill="1" applyBorder="1"/>
    <xf numFmtId="167" fontId="10" fillId="4" borderId="4" xfId="0" applyNumberFormat="1" applyFont="1" applyFill="1" applyBorder="1"/>
    <xf numFmtId="167" fontId="10" fillId="4" borderId="0" xfId="0" applyNumberFormat="1" applyFont="1" applyFill="1" applyBorder="1"/>
    <xf numFmtId="167" fontId="10" fillId="4" borderId="3" xfId="0" applyNumberFormat="1" applyFont="1" applyFill="1" applyBorder="1"/>
    <xf numFmtId="9" fontId="10" fillId="3" borderId="0" xfId="0" applyNumberFormat="1" applyFont="1" applyFill="1" applyBorder="1"/>
    <xf numFmtId="167" fontId="5" fillId="3" borderId="4" xfId="0" applyNumberFormat="1" applyFont="1" applyFill="1" applyBorder="1"/>
    <xf numFmtId="3" fontId="11" fillId="3" borderId="0" xfId="0" applyNumberFormat="1" applyFont="1" applyFill="1" applyBorder="1" applyAlignment="1" applyProtection="1">
      <alignment vertical="top"/>
    </xf>
    <xf numFmtId="3" fontId="11" fillId="3" borderId="3" xfId="0" applyNumberFormat="1" applyFont="1" applyFill="1" applyBorder="1" applyAlignment="1" applyProtection="1">
      <alignment vertical="top"/>
    </xf>
    <xf numFmtId="3" fontId="11" fillId="3" borderId="0" xfId="0" applyNumberFormat="1" applyFont="1" applyFill="1" applyBorder="1" applyAlignment="1">
      <alignment vertical="top"/>
    </xf>
    <xf numFmtId="9" fontId="5" fillId="3" borderId="0" xfId="32" applyNumberFormat="1" applyFont="1" applyFill="1" applyBorder="1" applyAlignment="1">
      <alignment vertical="top"/>
    </xf>
    <xf numFmtId="167" fontId="10" fillId="3" borderId="5" xfId="0" applyNumberFormat="1" applyFont="1" applyFill="1" applyBorder="1"/>
    <xf numFmtId="167" fontId="10" fillId="3" borderId="6" xfId="0" applyNumberFormat="1" applyFont="1" applyFill="1" applyBorder="1"/>
    <xf numFmtId="0" fontId="5" fillId="3" borderId="4" xfId="0" applyFont="1" applyFill="1" applyBorder="1" applyAlignment="1">
      <alignment horizontal="left" indent="1"/>
    </xf>
    <xf numFmtId="0" fontId="5" fillId="3" borderId="0" xfId="0" applyFont="1" applyFill="1" applyBorder="1"/>
    <xf numFmtId="166" fontId="5" fillId="3" borderId="0" xfId="0" applyNumberFormat="1" applyFont="1" applyFill="1" applyBorder="1"/>
    <xf numFmtId="165" fontId="5" fillId="3" borderId="7" xfId="49" applyNumberFormat="1" applyFont="1" applyFill="1" applyBorder="1"/>
    <xf numFmtId="165" fontId="5" fillId="3" borderId="8" xfId="49" applyNumberFormat="1" applyFont="1" applyFill="1" applyBorder="1"/>
    <xf numFmtId="178" fontId="5" fillId="3" borderId="8" xfId="32" applyNumberFormat="1" applyFont="1" applyFill="1" applyBorder="1" applyAlignment="1">
      <alignment vertical="top"/>
    </xf>
    <xf numFmtId="166" fontId="26" fillId="3" borderId="8" xfId="0" applyNumberFormat="1" applyFont="1" applyFill="1" applyBorder="1"/>
    <xf numFmtId="0" fontId="26" fillId="3" borderId="8" xfId="0" applyFont="1" applyFill="1" applyBorder="1"/>
    <xf numFmtId="167" fontId="5" fillId="3" borderId="4" xfId="0" applyNumberFormat="1" applyFont="1" applyFill="1" applyBorder="1" applyAlignment="1">
      <alignment horizontal="left" indent="1"/>
    </xf>
    <xf numFmtId="167" fontId="5" fillId="3" borderId="3" xfId="0" applyNumberFormat="1" applyFont="1" applyFill="1" applyBorder="1"/>
    <xf numFmtId="167" fontId="26" fillId="3" borderId="0" xfId="0" applyNumberFormat="1" applyFont="1" applyFill="1" applyBorder="1"/>
    <xf numFmtId="9" fontId="16" fillId="3" borderId="0" xfId="0" applyNumberFormat="1" applyFont="1" applyFill="1" applyBorder="1"/>
    <xf numFmtId="3" fontId="27" fillId="3" borderId="0" xfId="0" applyNumberFormat="1" applyFont="1" applyFill="1" applyBorder="1" applyAlignment="1">
      <alignment vertical="top"/>
    </xf>
    <xf numFmtId="9" fontId="26" fillId="3" borderId="0" xfId="0" applyNumberFormat="1" applyFont="1" applyFill="1" applyBorder="1"/>
    <xf numFmtId="167" fontId="16" fillId="3" borderId="5" xfId="0" applyNumberFormat="1" applyFont="1" applyFill="1" applyBorder="1"/>
    <xf numFmtId="166" fontId="26" fillId="3" borderId="0" xfId="0" applyNumberFormat="1" applyFont="1" applyFill="1" applyBorder="1"/>
    <xf numFmtId="0" fontId="26" fillId="3" borderId="0" xfId="0" applyFont="1" applyFill="1" applyBorder="1"/>
    <xf numFmtId="165" fontId="5" fillId="3" borderId="9" xfId="49" applyNumberFormat="1" applyFont="1" applyFill="1" applyBorder="1"/>
    <xf numFmtId="165" fontId="5" fillId="3" borderId="10" xfId="49" applyNumberFormat="1" applyFont="1" applyFill="1" applyBorder="1"/>
    <xf numFmtId="178" fontId="5" fillId="3" borderId="10" xfId="32" applyNumberFormat="1" applyFont="1" applyFill="1" applyBorder="1" applyAlignment="1">
      <alignment vertical="top"/>
    </xf>
    <xf numFmtId="166" fontId="26" fillId="3" borderId="10" xfId="0" applyNumberFormat="1" applyFont="1" applyFill="1" applyBorder="1"/>
    <xf numFmtId="0" fontId="26" fillId="3" borderId="10" xfId="0" applyFont="1" applyFill="1" applyBorder="1"/>
    <xf numFmtId="167" fontId="5" fillId="3" borderId="11" xfId="0" applyNumberFormat="1" applyFont="1" applyFill="1" applyBorder="1"/>
    <xf numFmtId="167" fontId="5" fillId="3" borderId="12" xfId="0" applyNumberFormat="1" applyFont="1" applyFill="1" applyBorder="1"/>
    <xf numFmtId="167" fontId="26" fillId="3" borderId="11" xfId="0" applyNumberFormat="1" applyFont="1" applyFill="1" applyBorder="1"/>
    <xf numFmtId="165" fontId="5" fillId="3" borderId="3" xfId="0" applyNumberFormat="1" applyFont="1" applyFill="1" applyBorder="1"/>
    <xf numFmtId="165" fontId="5" fillId="3" borderId="0" xfId="0" applyNumberFormat="1" applyFont="1" applyFill="1" applyBorder="1"/>
    <xf numFmtId="165" fontId="23" fillId="3" borderId="8" xfId="0" applyNumberFormat="1" applyFont="1" applyFill="1" applyBorder="1"/>
    <xf numFmtId="165" fontId="23" fillId="3" borderId="7" xfId="0" applyNumberFormat="1" applyFont="1" applyFill="1" applyBorder="1"/>
    <xf numFmtId="165" fontId="28" fillId="3" borderId="8" xfId="0" applyNumberFormat="1" applyFont="1" applyFill="1" applyBorder="1"/>
    <xf numFmtId="168" fontId="5" fillId="3" borderId="0" xfId="0" applyNumberFormat="1" applyFont="1" applyFill="1" applyBorder="1"/>
    <xf numFmtId="168" fontId="5" fillId="3" borderId="3" xfId="49" applyNumberFormat="1" applyFont="1" applyFill="1" applyBorder="1"/>
    <xf numFmtId="168" fontId="5" fillId="3" borderId="0" xfId="49" applyNumberFormat="1" applyFont="1" applyFill="1" applyBorder="1"/>
    <xf numFmtId="168" fontId="26" fillId="3" borderId="0" xfId="0" applyNumberFormat="1" applyFont="1" applyFill="1" applyBorder="1"/>
    <xf numFmtId="167" fontId="5" fillId="3" borderId="0" xfId="49" applyNumberFormat="1" applyFont="1" applyFill="1" applyBorder="1"/>
    <xf numFmtId="167" fontId="5" fillId="3" borderId="3" xfId="49" applyNumberFormat="1" applyFont="1" applyFill="1" applyBorder="1"/>
    <xf numFmtId="167" fontId="5" fillId="3" borderId="3" xfId="49" applyNumberFormat="1" applyFont="1" applyFill="1" applyBorder="1" applyAlignment="1"/>
    <xf numFmtId="167" fontId="5" fillId="3" borderId="0" xfId="49" applyNumberFormat="1" applyFont="1" applyFill="1" applyBorder="1" applyAlignment="1"/>
    <xf numFmtId="167" fontId="26" fillId="3" borderId="0" xfId="0" applyNumberFormat="1" applyFont="1" applyFill="1" applyBorder="1" applyAlignment="1"/>
    <xf numFmtId="0" fontId="10" fillId="5" borderId="4" xfId="0" applyFont="1" applyFill="1" applyBorder="1"/>
    <xf numFmtId="166" fontId="10" fillId="5" borderId="0" xfId="0" applyNumberFormat="1" applyFont="1" applyFill="1" applyBorder="1"/>
    <xf numFmtId="166" fontId="16" fillId="5" borderId="0" xfId="0" applyNumberFormat="1" applyFont="1" applyFill="1" applyBorder="1"/>
    <xf numFmtId="0" fontId="16" fillId="5" borderId="0" xfId="0" applyFont="1" applyFill="1" applyBorder="1"/>
    <xf numFmtId="167" fontId="10" fillId="4" borderId="0" xfId="29" applyNumberFormat="1" applyFont="1" applyFill="1" applyBorder="1"/>
    <xf numFmtId="167" fontId="10" fillId="4" borderId="3" xfId="29" applyNumberFormat="1" applyFont="1" applyFill="1" applyBorder="1"/>
    <xf numFmtId="167" fontId="16" fillId="4" borderId="0" xfId="29" applyNumberFormat="1" applyFont="1" applyFill="1" applyBorder="1"/>
    <xf numFmtId="9" fontId="11" fillId="3" borderId="3" xfId="49" applyNumberFormat="1" applyFont="1" applyFill="1" applyBorder="1"/>
    <xf numFmtId="9" fontId="11" fillId="3" borderId="0" xfId="0" applyNumberFormat="1" applyFont="1" applyFill="1" applyBorder="1"/>
    <xf numFmtId="9" fontId="11" fillId="3" borderId="0" xfId="49" applyNumberFormat="1" applyFont="1" applyFill="1" applyBorder="1"/>
    <xf numFmtId="9" fontId="11" fillId="0" borderId="0" xfId="49" applyNumberFormat="1" applyFont="1" applyFill="1" applyBorder="1" applyAlignment="1" applyProtection="1">
      <alignment vertical="top"/>
    </xf>
    <xf numFmtId="9" fontId="11" fillId="0" borderId="3" xfId="49" applyNumberFormat="1" applyFont="1" applyFill="1" applyBorder="1" applyAlignment="1" applyProtection="1">
      <alignment vertical="top"/>
    </xf>
    <xf numFmtId="166" fontId="10" fillId="3" borderId="0" xfId="0" applyNumberFormat="1" applyFont="1" applyFill="1" applyBorder="1"/>
    <xf numFmtId="165" fontId="24" fillId="3" borderId="0" xfId="49" applyNumberFormat="1" applyFont="1" applyFill="1" applyBorder="1"/>
    <xf numFmtId="166" fontId="30" fillId="3" borderId="0" xfId="0" applyNumberFormat="1" applyFont="1" applyFill="1" applyBorder="1"/>
    <xf numFmtId="166" fontId="16" fillId="3" borderId="0" xfId="0" applyNumberFormat="1" applyFont="1" applyFill="1" applyBorder="1"/>
    <xf numFmtId="0" fontId="16" fillId="3" borderId="0" xfId="0" applyFont="1" applyFill="1" applyBorder="1"/>
    <xf numFmtId="167" fontId="5" fillId="3" borderId="8" xfId="0" applyNumberFormat="1" applyFont="1" applyFill="1" applyBorder="1"/>
    <xf numFmtId="167" fontId="5" fillId="3" borderId="7" xfId="0" applyNumberFormat="1" applyFont="1" applyFill="1" applyBorder="1"/>
    <xf numFmtId="167" fontId="26" fillId="3" borderId="8" xfId="0" applyNumberFormat="1" applyFont="1" applyFill="1" applyBorder="1"/>
    <xf numFmtId="0" fontId="5" fillId="0" borderId="4" xfId="0" applyFont="1" applyBorder="1" applyAlignment="1">
      <alignment horizontal="left" vertical="top" indent="1"/>
    </xf>
    <xf numFmtId="166" fontId="11" fillId="3" borderId="0" xfId="0" applyNumberFormat="1" applyFont="1" applyFill="1" applyBorder="1"/>
    <xf numFmtId="165" fontId="11" fillId="0" borderId="0" xfId="49" applyNumberFormat="1" applyFont="1" applyFill="1" applyBorder="1" applyAlignment="1" applyProtection="1">
      <alignment vertical="top"/>
    </xf>
    <xf numFmtId="165" fontId="11" fillId="0" borderId="3" xfId="49" applyNumberFormat="1" applyFont="1" applyFill="1" applyBorder="1" applyAlignment="1" applyProtection="1">
      <alignment vertical="top"/>
    </xf>
    <xf numFmtId="168" fontId="5" fillId="3" borderId="0" xfId="0" applyNumberFormat="1" applyFont="1" applyFill="1" applyAlignment="1">
      <alignment vertical="top"/>
    </xf>
    <xf numFmtId="167" fontId="5" fillId="3" borderId="0" xfId="0" applyNumberFormat="1" applyFont="1" applyFill="1" applyBorder="1" applyAlignment="1">
      <alignment vertical="top"/>
    </xf>
    <xf numFmtId="167" fontId="5" fillId="0" borderId="0" xfId="0" applyNumberFormat="1" applyFont="1" applyFill="1" applyBorder="1"/>
    <xf numFmtId="172" fontId="5" fillId="3" borderId="8" xfId="29" applyNumberFormat="1" applyFont="1" applyFill="1" applyBorder="1"/>
    <xf numFmtId="172" fontId="5" fillId="3" borderId="7" xfId="29" applyNumberFormat="1" applyFont="1" applyFill="1" applyBorder="1"/>
    <xf numFmtId="172" fontId="26" fillId="3" borderId="8" xfId="29" applyNumberFormat="1" applyFont="1" applyFill="1" applyBorder="1"/>
    <xf numFmtId="43" fontId="11" fillId="3" borderId="3" xfId="29" applyNumberFormat="1" applyFont="1" applyFill="1" applyBorder="1"/>
    <xf numFmtId="43" fontId="11" fillId="3" borderId="0" xfId="29" applyNumberFormat="1" applyFont="1" applyFill="1" applyBorder="1"/>
    <xf numFmtId="172" fontId="27" fillId="3" borderId="0" xfId="29" applyNumberFormat="1" applyFont="1" applyFill="1" applyBorder="1"/>
    <xf numFmtId="1" fontId="11" fillId="3" borderId="3" xfId="29" applyNumberFormat="1" applyFont="1" applyFill="1" applyBorder="1" applyProtection="1"/>
    <xf numFmtId="1" fontId="26" fillId="3" borderId="0" xfId="0" applyNumberFormat="1" applyFont="1" applyFill="1" applyBorder="1"/>
    <xf numFmtId="167" fontId="10" fillId="3" borderId="0" xfId="0" applyNumberFormat="1" applyFont="1" applyFill="1" applyBorder="1"/>
    <xf numFmtId="1" fontId="16" fillId="3" borderId="0" xfId="0" applyNumberFormat="1" applyFont="1" applyFill="1" applyBorder="1"/>
    <xf numFmtId="0" fontId="10" fillId="5" borderId="4" xfId="0" applyFont="1" applyFill="1" applyBorder="1" applyAlignment="1">
      <alignment vertical="top"/>
    </xf>
    <xf numFmtId="165" fontId="5" fillId="5" borderId="3" xfId="49" applyNumberFormat="1" applyFont="1" applyFill="1" applyBorder="1"/>
    <xf numFmtId="165" fontId="5" fillId="5" borderId="0" xfId="49" applyNumberFormat="1" applyFont="1" applyFill="1" applyBorder="1"/>
    <xf numFmtId="165" fontId="10" fillId="5" borderId="0" xfId="0" applyNumberFormat="1" applyFont="1" applyFill="1" applyBorder="1"/>
    <xf numFmtId="167" fontId="10" fillId="5" borderId="4" xfId="0" applyNumberFormat="1" applyFont="1" applyFill="1" applyBorder="1"/>
    <xf numFmtId="167" fontId="10" fillId="5" borderId="0" xfId="0" applyNumberFormat="1" applyFont="1" applyFill="1" applyBorder="1"/>
    <xf numFmtId="167" fontId="10" fillId="5" borderId="3" xfId="49" applyNumberFormat="1" applyFont="1" applyFill="1" applyBorder="1"/>
    <xf numFmtId="167" fontId="10" fillId="5" borderId="0" xfId="49" applyNumberFormat="1" applyFont="1" applyFill="1" applyBorder="1"/>
    <xf numFmtId="167" fontId="16" fillId="5" borderId="0" xfId="0" applyNumberFormat="1" applyFont="1" applyFill="1" applyBorder="1"/>
    <xf numFmtId="167" fontId="11" fillId="3" borderId="0" xfId="29" applyNumberFormat="1" applyFont="1" applyFill="1" applyBorder="1" applyProtection="1"/>
    <xf numFmtId="167" fontId="11" fillId="3" borderId="3" xfId="29" applyNumberFormat="1" applyFont="1" applyFill="1" applyBorder="1" applyProtection="1"/>
    <xf numFmtId="167" fontId="5" fillId="3" borderId="0" xfId="29" applyNumberFormat="1" applyFont="1" applyFill="1" applyBorder="1"/>
    <xf numFmtId="167" fontId="24" fillId="3" borderId="3" xfId="29" applyNumberFormat="1" applyFont="1" applyFill="1" applyBorder="1" applyProtection="1">
      <protection locked="0"/>
    </xf>
    <xf numFmtId="9" fontId="11" fillId="3" borderId="3" xfId="0" applyNumberFormat="1" applyFont="1" applyFill="1" applyBorder="1" applyProtection="1"/>
    <xf numFmtId="9" fontId="26" fillId="3" borderId="0" xfId="0" applyNumberFormat="1" applyFont="1" applyFill="1"/>
    <xf numFmtId="167" fontId="26" fillId="3" borderId="0" xfId="29" applyNumberFormat="1" applyFont="1" applyFill="1" applyBorder="1"/>
    <xf numFmtId="173" fontId="11" fillId="3" borderId="4" xfId="29" applyNumberFormat="1" applyFont="1" applyFill="1" applyBorder="1" applyAlignment="1" applyProtection="1"/>
    <xf numFmtId="165" fontId="5" fillId="3" borderId="3" xfId="49" applyNumberFormat="1" applyFont="1" applyFill="1" applyBorder="1" applyAlignment="1" applyProtection="1">
      <alignment horizontal="right"/>
    </xf>
    <xf numFmtId="173" fontId="5" fillId="3" borderId="0" xfId="29" applyNumberFormat="1" applyFont="1" applyFill="1" applyBorder="1"/>
    <xf numFmtId="165" fontId="24" fillId="3" borderId="3" xfId="49" applyNumberFormat="1" applyFont="1" applyFill="1" applyBorder="1" applyAlignment="1" applyProtection="1">
      <alignment horizontal="right"/>
    </xf>
    <xf numFmtId="173" fontId="26" fillId="3" borderId="0" xfId="29" applyNumberFormat="1" applyFont="1" applyFill="1"/>
    <xf numFmtId="168" fontId="21" fillId="3" borderId="0" xfId="0" applyNumberFormat="1" applyFont="1" applyFill="1" applyBorder="1"/>
    <xf numFmtId="168" fontId="21" fillId="3" borderId="3" xfId="0" applyNumberFormat="1" applyFont="1" applyFill="1" applyBorder="1"/>
    <xf numFmtId="168" fontId="29" fillId="3" borderId="0" xfId="0" applyNumberFormat="1" applyFont="1" applyFill="1" applyBorder="1"/>
    <xf numFmtId="9" fontId="5" fillId="3" borderId="0" xfId="0" applyNumberFormat="1" applyFont="1" applyFill="1" applyBorder="1" applyAlignment="1">
      <alignment vertical="top"/>
    </xf>
    <xf numFmtId="167" fontId="5" fillId="3" borderId="3" xfId="32" applyNumberFormat="1" applyFont="1" applyFill="1" applyBorder="1" applyAlignment="1">
      <alignment vertical="top"/>
    </xf>
    <xf numFmtId="167" fontId="5" fillId="3" borderId="0" xfId="32" applyNumberFormat="1" applyFont="1" applyFill="1" applyBorder="1" applyAlignment="1">
      <alignment vertical="top"/>
    </xf>
    <xf numFmtId="165" fontId="22" fillId="6" borderId="13" xfId="49" applyNumberFormat="1" applyFont="1" applyFill="1" applyBorder="1" applyAlignment="1" applyProtection="1">
      <alignment horizontal="left"/>
    </xf>
    <xf numFmtId="165" fontId="11" fillId="6" borderId="3" xfId="29" applyNumberFormat="1" applyFont="1" applyFill="1" applyBorder="1" applyAlignment="1">
      <alignment vertical="top"/>
    </xf>
    <xf numFmtId="165" fontId="11" fillId="6" borderId="0" xfId="29" applyNumberFormat="1" applyFont="1" applyFill="1" applyBorder="1" applyAlignment="1">
      <alignment vertical="top"/>
    </xf>
    <xf numFmtId="165" fontId="32" fillId="6" borderId="0" xfId="0" applyNumberFormat="1" applyFont="1" applyFill="1" applyBorder="1" applyAlignment="1">
      <alignment vertical="top"/>
    </xf>
    <xf numFmtId="168" fontId="33" fillId="6" borderId="0" xfId="0" applyNumberFormat="1" applyFont="1" applyFill="1" applyBorder="1" applyAlignment="1">
      <alignment vertical="top"/>
    </xf>
    <xf numFmtId="5" fontId="5" fillId="3" borderId="3" xfId="46" applyNumberFormat="1" applyFont="1" applyFill="1" applyBorder="1"/>
    <xf numFmtId="5" fontId="5" fillId="3" borderId="0" xfId="46" applyNumberFormat="1" applyFont="1" applyFill="1"/>
    <xf numFmtId="5" fontId="26" fillId="3" borderId="0" xfId="46" applyNumberFormat="1" applyFont="1" applyFill="1"/>
    <xf numFmtId="5" fontId="24" fillId="3" borderId="3" xfId="46" applyNumberFormat="1" applyFont="1" applyFill="1" applyBorder="1"/>
    <xf numFmtId="5" fontId="5" fillId="3" borderId="0" xfId="0" applyNumberFormat="1" applyFont="1" applyFill="1" applyBorder="1"/>
    <xf numFmtId="5" fontId="5" fillId="3" borderId="3" xfId="0" applyNumberFormat="1" applyFont="1" applyFill="1" applyBorder="1"/>
    <xf numFmtId="5" fontId="26" fillId="3" borderId="0" xfId="0" applyNumberFormat="1" applyFont="1" applyFill="1" applyBorder="1"/>
    <xf numFmtId="9" fontId="5" fillId="3" borderId="0" xfId="46" applyNumberFormat="1" applyFont="1" applyFill="1"/>
    <xf numFmtId="9" fontId="24" fillId="3" borderId="0" xfId="46" applyNumberFormat="1" applyFont="1" applyFill="1"/>
    <xf numFmtId="9" fontId="26" fillId="3" borderId="0" xfId="46" applyNumberFormat="1" applyFont="1" applyFill="1"/>
    <xf numFmtId="0" fontId="10" fillId="3" borderId="13" xfId="46" applyFont="1" applyFill="1" applyBorder="1"/>
    <xf numFmtId="0" fontId="10" fillId="3" borderId="14" xfId="46" applyFont="1" applyFill="1" applyBorder="1"/>
    <xf numFmtId="167" fontId="10" fillId="3" borderId="15" xfId="46" applyNumberFormat="1" applyFont="1" applyFill="1" applyBorder="1"/>
    <xf numFmtId="0" fontId="16" fillId="3" borderId="14" xfId="46" applyFont="1" applyFill="1" applyBorder="1"/>
    <xf numFmtId="0" fontId="5" fillId="3" borderId="0" xfId="46" applyFont="1" applyFill="1" applyBorder="1"/>
    <xf numFmtId="0" fontId="5" fillId="3" borderId="0" xfId="46" applyFont="1" applyFill="1"/>
    <xf numFmtId="0" fontId="24" fillId="3" borderId="3" xfId="46" applyFont="1" applyFill="1" applyBorder="1"/>
    <xf numFmtId="0" fontId="24" fillId="3" borderId="0" xfId="46" applyFont="1" applyFill="1"/>
    <xf numFmtId="168" fontId="33" fillId="3" borderId="0" xfId="0" applyNumberFormat="1" applyFont="1" applyFill="1" applyBorder="1" applyAlignment="1">
      <alignment vertical="top"/>
    </xf>
    <xf numFmtId="167" fontId="5" fillId="3" borderId="3" xfId="46" applyNumberFormat="1" applyFont="1" applyFill="1" applyBorder="1"/>
    <xf numFmtId="167" fontId="5" fillId="3" borderId="0" xfId="46" applyNumberFormat="1" applyFont="1" applyFill="1"/>
    <xf numFmtId="0" fontId="26" fillId="3" borderId="0" xfId="46" applyFont="1" applyFill="1"/>
    <xf numFmtId="0" fontId="26" fillId="3" borderId="0" xfId="46" applyFont="1" applyFill="1" applyBorder="1"/>
    <xf numFmtId="165" fontId="40" fillId="6" borderId="13" xfId="49" applyNumberFormat="1" applyFont="1" applyFill="1" applyBorder="1" applyAlignment="1" applyProtection="1">
      <alignment horizontal="left"/>
    </xf>
    <xf numFmtId="167" fontId="10" fillId="3" borderId="3" xfId="46" applyNumberFormat="1" applyFont="1" applyFill="1" applyBorder="1"/>
    <xf numFmtId="167" fontId="24" fillId="3" borderId="3" xfId="46" applyNumberFormat="1" applyFont="1" applyFill="1" applyBorder="1"/>
    <xf numFmtId="5" fontId="11" fillId="3" borderId="4" xfId="0" applyNumberFormat="1" applyFont="1" applyFill="1" applyBorder="1" applyAlignment="1" applyProtection="1">
      <alignment horizontal="left" indent="1"/>
      <protection locked="0"/>
    </xf>
    <xf numFmtId="168" fontId="39" fillId="3" borderId="0" xfId="0" applyNumberFormat="1" applyFont="1" applyFill="1" applyBorder="1" applyAlignment="1">
      <alignment vertical="top"/>
    </xf>
    <xf numFmtId="0" fontId="5" fillId="3" borderId="3" xfId="0" applyFont="1" applyFill="1" applyBorder="1"/>
    <xf numFmtId="9" fontId="5" fillId="3" borderId="4" xfId="0" applyNumberFormat="1" applyFont="1" applyFill="1" applyBorder="1" applyAlignment="1">
      <alignment horizontal="left" indent="2"/>
    </xf>
    <xf numFmtId="168" fontId="5" fillId="3" borderId="3" xfId="0" applyNumberFormat="1" applyFont="1" applyFill="1" applyBorder="1"/>
    <xf numFmtId="168" fontId="11" fillId="3" borderId="3" xfId="49" applyNumberFormat="1" applyFont="1" applyFill="1" applyBorder="1"/>
    <xf numFmtId="168" fontId="27" fillId="3" borderId="0" xfId="0" applyNumberFormat="1" applyFont="1" applyFill="1" applyBorder="1"/>
    <xf numFmtId="167" fontId="24" fillId="3" borderId="0" xfId="32" applyNumberFormat="1" applyFont="1" applyFill="1" applyBorder="1" applyAlignment="1">
      <alignment vertical="top"/>
    </xf>
    <xf numFmtId="0" fontId="10" fillId="3" borderId="16" xfId="0" applyFont="1" applyFill="1" applyBorder="1"/>
    <xf numFmtId="3" fontId="5" fillId="3" borderId="17" xfId="29" applyNumberFormat="1" applyFont="1" applyFill="1" applyBorder="1"/>
    <xf numFmtId="3" fontId="5" fillId="3" borderId="16" xfId="30" applyNumberFormat="1" applyFont="1" applyFill="1" applyBorder="1" applyProtection="1"/>
    <xf numFmtId="3" fontId="11" fillId="3" borderId="16" xfId="29" applyNumberFormat="1" applyFont="1" applyFill="1" applyBorder="1"/>
    <xf numFmtId="167" fontId="16" fillId="3" borderId="0" xfId="0" applyNumberFormat="1" applyFont="1" applyFill="1" applyBorder="1"/>
    <xf numFmtId="167" fontId="11" fillId="3" borderId="0" xfId="0" applyNumberFormat="1" applyFont="1" applyFill="1" applyBorder="1"/>
    <xf numFmtId="167" fontId="11" fillId="3" borderId="0" xfId="0" applyNumberFormat="1" applyFont="1" applyFill="1" applyBorder="1" applyAlignment="1">
      <alignment horizontal="left"/>
    </xf>
    <xf numFmtId="9" fontId="5" fillId="3" borderId="4" xfId="0" applyNumberFormat="1" applyFont="1" applyFill="1" applyBorder="1" applyAlignment="1">
      <alignment horizontal="left" indent="3"/>
    </xf>
    <xf numFmtId="167" fontId="5" fillId="3" borderId="17" xfId="49" applyNumberFormat="1" applyFont="1" applyFill="1" applyBorder="1" applyAlignment="1"/>
    <xf numFmtId="167" fontId="5" fillId="3" borderId="16" xfId="49" applyNumberFormat="1" applyFont="1" applyFill="1" applyBorder="1" applyAlignment="1"/>
    <xf numFmtId="167" fontId="26" fillId="3" borderId="16" xfId="0" applyNumberFormat="1" applyFont="1" applyFill="1" applyBorder="1" applyAlignment="1"/>
    <xf numFmtId="167" fontId="11" fillId="3" borderId="0" xfId="49" applyNumberFormat="1" applyFont="1" applyFill="1" applyBorder="1"/>
    <xf numFmtId="167" fontId="11" fillId="3" borderId="3" xfId="49" applyNumberFormat="1" applyFont="1" applyFill="1" applyBorder="1"/>
    <xf numFmtId="167" fontId="11" fillId="3" borderId="0" xfId="32" applyNumberFormat="1" applyFont="1" applyFill="1" applyBorder="1" applyAlignment="1">
      <alignment vertical="top"/>
    </xf>
    <xf numFmtId="165" fontId="10" fillId="3" borderId="0" xfId="0" applyNumberFormat="1" applyFont="1" applyFill="1" applyBorder="1"/>
    <xf numFmtId="165" fontId="16" fillId="3" borderId="0" xfId="0" applyNumberFormat="1" applyFont="1" applyFill="1" applyBorder="1"/>
    <xf numFmtId="9" fontId="5" fillId="3" borderId="8" xfId="0" applyNumberFormat="1" applyFont="1" applyFill="1" applyBorder="1"/>
    <xf numFmtId="168" fontId="5" fillId="3" borderId="7" xfId="0" applyNumberFormat="1" applyFont="1" applyFill="1" applyBorder="1"/>
    <xf numFmtId="168" fontId="5" fillId="3" borderId="8" xfId="0" applyNumberFormat="1" applyFont="1" applyFill="1" applyBorder="1"/>
    <xf numFmtId="9" fontId="26" fillId="3" borderId="8" xfId="0" applyNumberFormat="1" applyFont="1" applyFill="1" applyBorder="1"/>
    <xf numFmtId="168" fontId="5" fillId="3" borderId="3" xfId="0" applyNumberFormat="1" applyFont="1" applyFill="1" applyBorder="1" applyAlignment="1">
      <alignment vertical="top"/>
    </xf>
    <xf numFmtId="168" fontId="24" fillId="3" borderId="0" xfId="0" applyNumberFormat="1" applyFont="1" applyFill="1" applyBorder="1" applyAlignment="1">
      <alignment vertical="top"/>
    </xf>
    <xf numFmtId="168" fontId="24" fillId="3" borderId="3" xfId="0" applyNumberFormat="1" applyFont="1" applyFill="1" applyBorder="1" applyAlignment="1">
      <alignment vertical="top"/>
    </xf>
    <xf numFmtId="0" fontId="24" fillId="3" borderId="0" xfId="0" applyFont="1" applyFill="1" applyBorder="1" applyAlignment="1">
      <alignment vertical="top"/>
    </xf>
    <xf numFmtId="0" fontId="26" fillId="3" borderId="0" xfId="0" applyFont="1" applyFill="1" applyAlignment="1">
      <alignment vertical="top"/>
    </xf>
    <xf numFmtId="9" fontId="24" fillId="3" borderId="0" xfId="0" applyNumberFormat="1" applyFont="1" applyFill="1" applyBorder="1"/>
    <xf numFmtId="167" fontId="5" fillId="3" borderId="7" xfId="49" applyNumberFormat="1" applyFont="1" applyFill="1" applyBorder="1"/>
    <xf numFmtId="167" fontId="5" fillId="3" borderId="8" xfId="49" applyNumberFormat="1" applyFont="1" applyFill="1" applyBorder="1"/>
    <xf numFmtId="167" fontId="11" fillId="3" borderId="8" xfId="49" applyNumberFormat="1" applyFont="1" applyFill="1" applyBorder="1"/>
    <xf numFmtId="167" fontId="11" fillId="3" borderId="7" xfId="49" applyNumberFormat="1" applyFont="1" applyFill="1" applyBorder="1"/>
    <xf numFmtId="167" fontId="11" fillId="3" borderId="8" xfId="0" applyNumberFormat="1" applyFont="1" applyFill="1" applyBorder="1"/>
    <xf numFmtId="0" fontId="5" fillId="0" borderId="0" xfId="0" applyNumberFormat="1" applyFont="1" applyFill="1" applyBorder="1" applyAlignment="1">
      <alignment horizontal="left"/>
    </xf>
    <xf numFmtId="0" fontId="0" fillId="0" borderId="0" xfId="0" applyFill="1" applyBorder="1"/>
    <xf numFmtId="49" fontId="0" fillId="0" borderId="0" xfId="0" applyNumberFormat="1"/>
    <xf numFmtId="0" fontId="5" fillId="5" borderId="0" xfId="0" applyFont="1" applyFill="1" applyBorder="1"/>
    <xf numFmtId="0" fontId="5" fillId="5" borderId="3" xfId="0" applyFont="1" applyFill="1" applyBorder="1"/>
    <xf numFmtId="0" fontId="26" fillId="5" borderId="0" xfId="0" applyFont="1" applyFill="1" applyBorder="1"/>
    <xf numFmtId="165" fontId="11" fillId="3" borderId="0" xfId="0" applyNumberFormat="1" applyFont="1" applyFill="1" applyBorder="1"/>
    <xf numFmtId="168" fontId="5" fillId="3" borderId="18" xfId="0" applyNumberFormat="1" applyFont="1" applyFill="1" applyBorder="1"/>
    <xf numFmtId="166" fontId="5" fillId="3" borderId="0" xfId="49" applyNumberFormat="1" applyFont="1" applyFill="1" applyBorder="1"/>
    <xf numFmtId="166" fontId="5" fillId="3" borderId="3" xfId="49" applyNumberFormat="1" applyFont="1" applyFill="1" applyBorder="1"/>
    <xf numFmtId="166" fontId="11" fillId="3" borderId="3" xfId="49" applyNumberFormat="1" applyFont="1" applyFill="1" applyBorder="1"/>
    <xf numFmtId="171" fontId="10" fillId="5" borderId="4" xfId="0" applyNumberFormat="1" applyFont="1" applyFill="1" applyBorder="1"/>
    <xf numFmtId="5" fontId="5" fillId="3" borderId="4" xfId="0" applyNumberFormat="1" applyFont="1" applyFill="1" applyBorder="1"/>
    <xf numFmtId="5" fontId="11" fillId="3" borderId="4" xfId="0" applyNumberFormat="1" applyFont="1" applyFill="1" applyBorder="1"/>
    <xf numFmtId="167" fontId="25" fillId="3" borderId="4" xfId="0" applyNumberFormat="1" applyFont="1" applyFill="1" applyBorder="1"/>
    <xf numFmtId="167" fontId="25" fillId="3" borderId="0" xfId="0" applyNumberFormat="1" applyFont="1" applyFill="1" applyBorder="1"/>
    <xf numFmtId="167" fontId="25" fillId="3" borderId="3" xfId="32" applyNumberFormat="1" applyFont="1" applyFill="1" applyBorder="1"/>
    <xf numFmtId="167" fontId="31" fillId="3" borderId="0" xfId="0" applyNumberFormat="1" applyFont="1" applyFill="1" applyBorder="1"/>
    <xf numFmtId="167" fontId="11" fillId="3" borderId="3" xfId="46" applyNumberFormat="1" applyFont="1" applyFill="1" applyBorder="1"/>
    <xf numFmtId="0" fontId="11" fillId="3" borderId="0" xfId="46" applyFont="1" applyFill="1"/>
    <xf numFmtId="167" fontId="55" fillId="3" borderId="0" xfId="0" applyNumberFormat="1" applyFont="1" applyFill="1" applyBorder="1" applyAlignment="1">
      <alignment vertical="top"/>
    </xf>
    <xf numFmtId="3" fontId="10" fillId="3" borderId="19" xfId="0" applyNumberFormat="1" applyFont="1" applyFill="1" applyBorder="1"/>
    <xf numFmtId="3" fontId="10" fillId="3" borderId="20" xfId="0" applyNumberFormat="1" applyFont="1" applyFill="1" applyBorder="1"/>
    <xf numFmtId="165" fontId="10" fillId="3" borderId="3" xfId="0" applyNumberFormat="1" applyFont="1" applyFill="1" applyBorder="1"/>
    <xf numFmtId="9" fontId="24" fillId="3" borderId="3" xfId="49" applyNumberFormat="1" applyFont="1" applyFill="1" applyBorder="1"/>
    <xf numFmtId="165" fontId="26" fillId="3" borderId="0" xfId="0" applyNumberFormat="1" applyFont="1" applyFill="1" applyBorder="1"/>
    <xf numFmtId="3" fontId="5" fillId="3" borderId="0" xfId="0" applyNumberFormat="1" applyFont="1" applyFill="1" applyBorder="1"/>
    <xf numFmtId="3" fontId="5" fillId="3" borderId="3" xfId="29" applyNumberFormat="1" applyFont="1" applyFill="1" applyBorder="1"/>
    <xf numFmtId="3" fontId="11" fillId="3" borderId="0" xfId="0" applyNumberFormat="1" applyFont="1" applyFill="1" applyBorder="1"/>
    <xf numFmtId="3" fontId="5" fillId="3" borderId="3" xfId="0" applyNumberFormat="1" applyFont="1" applyFill="1" applyBorder="1"/>
    <xf numFmtId="168" fontId="5" fillId="0" borderId="0" xfId="0" applyNumberFormat="1" applyFont="1" applyFill="1" applyBorder="1"/>
    <xf numFmtId="165" fontId="11" fillId="3" borderId="0" xfId="29" applyNumberFormat="1" applyFont="1" applyFill="1" applyBorder="1" applyProtection="1"/>
    <xf numFmtId="165" fontId="11" fillId="3" borderId="3" xfId="49" applyNumberFormat="1" applyFont="1" applyFill="1" applyBorder="1" applyAlignment="1" applyProtection="1">
      <alignment horizontal="right"/>
    </xf>
    <xf numFmtId="167" fontId="10" fillId="3" borderId="0" xfId="46" applyNumberFormat="1" applyFont="1" applyFill="1"/>
    <xf numFmtId="165" fontId="11" fillId="3" borderId="0" xfId="29" applyNumberFormat="1" applyFont="1" applyFill="1" applyBorder="1" applyAlignment="1">
      <alignment vertical="top"/>
    </xf>
    <xf numFmtId="167" fontId="33" fillId="3" borderId="0" xfId="0" applyNumberFormat="1" applyFont="1" applyFill="1" applyBorder="1" applyAlignment="1">
      <alignment vertical="top"/>
    </xf>
    <xf numFmtId="165" fontId="11" fillId="3" borderId="3" xfId="29" applyNumberFormat="1" applyFont="1" applyFill="1" applyBorder="1" applyAlignment="1">
      <alignment vertical="top"/>
    </xf>
    <xf numFmtId="165" fontId="24" fillId="3" borderId="3" xfId="29" applyNumberFormat="1" applyFont="1" applyFill="1" applyBorder="1" applyAlignment="1">
      <alignment vertical="top"/>
    </xf>
    <xf numFmtId="167" fontId="11" fillId="3" borderId="0" xfId="29" applyNumberFormat="1" applyFont="1" applyFill="1" applyBorder="1" applyAlignment="1">
      <alignment vertical="top"/>
    </xf>
    <xf numFmtId="167" fontId="11" fillId="3" borderId="3" xfId="29" applyNumberFormat="1" applyFont="1" applyFill="1" applyBorder="1" applyAlignment="1">
      <alignment vertical="top"/>
    </xf>
    <xf numFmtId="167" fontId="32" fillId="3" borderId="0" xfId="0" applyNumberFormat="1" applyFont="1" applyFill="1" applyBorder="1" applyAlignment="1">
      <alignment vertical="top"/>
    </xf>
    <xf numFmtId="167" fontId="39" fillId="3" borderId="0" xfId="0" applyNumberFormat="1" applyFont="1" applyFill="1" applyBorder="1" applyAlignment="1">
      <alignment vertical="top"/>
    </xf>
    <xf numFmtId="167" fontId="11" fillId="3" borderId="4" xfId="0" applyNumberFormat="1" applyFont="1" applyFill="1" applyBorder="1" applyAlignment="1" applyProtection="1">
      <alignment horizontal="left" indent="1"/>
    </xf>
    <xf numFmtId="167" fontId="41" fillId="3" borderId="4" xfId="29" applyNumberFormat="1" applyFont="1" applyFill="1" applyBorder="1" applyAlignment="1">
      <alignment horizontal="left"/>
    </xf>
    <xf numFmtId="165" fontId="32" fillId="3" borderId="0" xfId="0" applyNumberFormat="1" applyFont="1" applyFill="1" applyBorder="1" applyAlignment="1">
      <alignment vertical="top"/>
    </xf>
    <xf numFmtId="43" fontId="11" fillId="3" borderId="0" xfId="29" applyFont="1" applyFill="1" applyBorder="1" applyAlignment="1">
      <alignment vertical="top"/>
    </xf>
    <xf numFmtId="0" fontId="5" fillId="3" borderId="4" xfId="0" applyFont="1" applyFill="1" applyBorder="1" applyAlignment="1">
      <alignment horizontal="left" vertical="top" indent="1"/>
    </xf>
    <xf numFmtId="9" fontId="11" fillId="3" borderId="4" xfId="0" applyNumberFormat="1" applyFont="1" applyFill="1" applyBorder="1" applyAlignment="1" applyProtection="1">
      <alignment horizontal="left"/>
    </xf>
    <xf numFmtId="9" fontId="11" fillId="3" borderId="0" xfId="49" applyNumberFormat="1" applyFont="1" applyFill="1" applyBorder="1" applyProtection="1"/>
    <xf numFmtId="9" fontId="11" fillId="3" borderId="3" xfId="49" applyNumberFormat="1" applyFont="1" applyFill="1" applyBorder="1" applyProtection="1"/>
    <xf numFmtId="173" fontId="21" fillId="3" borderId="4" xfId="29" applyNumberFormat="1" applyFont="1" applyFill="1" applyBorder="1" applyAlignment="1" applyProtection="1">
      <alignment horizontal="left"/>
    </xf>
    <xf numFmtId="4" fontId="24" fillId="3" borderId="0" xfId="29" applyNumberFormat="1" applyFont="1" applyFill="1" applyBorder="1" applyProtection="1"/>
    <xf numFmtId="173" fontId="24" fillId="3" borderId="0" xfId="29" applyNumberFormat="1" applyFont="1" applyFill="1" applyBorder="1" applyProtection="1"/>
    <xf numFmtId="173" fontId="11" fillId="3" borderId="0" xfId="29" applyNumberFormat="1" applyFont="1" applyFill="1" applyBorder="1" applyProtection="1"/>
    <xf numFmtId="165" fontId="24" fillId="3" borderId="3" xfId="49" applyNumberFormat="1" applyFont="1" applyFill="1" applyBorder="1" applyProtection="1"/>
    <xf numFmtId="173" fontId="26" fillId="3" borderId="0" xfId="29" applyNumberFormat="1" applyFont="1" applyFill="1" applyBorder="1"/>
    <xf numFmtId="167" fontId="11" fillId="3" borderId="4" xfId="0" applyNumberFormat="1" applyFont="1" applyFill="1" applyBorder="1"/>
    <xf numFmtId="167" fontId="11" fillId="3" borderId="3" xfId="0" applyNumberFormat="1" applyFont="1" applyFill="1" applyBorder="1"/>
    <xf numFmtId="168" fontId="11" fillId="3" borderId="4" xfId="0" applyNumberFormat="1" applyFont="1" applyFill="1" applyBorder="1"/>
    <xf numFmtId="168" fontId="11" fillId="3" borderId="0" xfId="0" applyNumberFormat="1" applyFont="1" applyFill="1" applyBorder="1"/>
    <xf numFmtId="168" fontId="36" fillId="3" borderId="0" xfId="0" applyNumberFormat="1" applyFont="1" applyFill="1" applyBorder="1"/>
    <xf numFmtId="7" fontId="10" fillId="3" borderId="4" xfId="0" applyNumberFormat="1" applyFont="1" applyFill="1" applyBorder="1"/>
    <xf numFmtId="7" fontId="16" fillId="3" borderId="0" xfId="0" applyNumberFormat="1" applyFont="1" applyFill="1"/>
    <xf numFmtId="0" fontId="10" fillId="3" borderId="4" xfId="0" applyFont="1" applyFill="1" applyBorder="1"/>
    <xf numFmtId="168" fontId="24" fillId="3" borderId="3" xfId="0" applyNumberFormat="1" applyFont="1" applyFill="1" applyBorder="1"/>
    <xf numFmtId="9" fontId="5" fillId="3" borderId="4" xfId="0" applyNumberFormat="1" applyFont="1" applyFill="1" applyBorder="1" applyAlignment="1">
      <alignment horizontal="left" vertical="top" indent="1"/>
    </xf>
    <xf numFmtId="9" fontId="5" fillId="3" borderId="0" xfId="49" applyNumberFormat="1" applyFont="1" applyFill="1" applyBorder="1" applyAlignment="1">
      <alignment vertical="top"/>
    </xf>
    <xf numFmtId="9" fontId="5" fillId="3" borderId="3" xfId="32" applyNumberFormat="1" applyFont="1" applyFill="1" applyBorder="1" applyAlignment="1">
      <alignment vertical="top"/>
    </xf>
    <xf numFmtId="9" fontId="5" fillId="3" borderId="3" xfId="49" applyNumberFormat="1" applyFont="1" applyFill="1" applyBorder="1" applyAlignment="1">
      <alignment vertical="top"/>
    </xf>
    <xf numFmtId="9" fontId="33" fillId="3" borderId="0" xfId="0" applyNumberFormat="1" applyFont="1" applyFill="1" applyBorder="1" applyAlignment="1">
      <alignment vertical="top"/>
    </xf>
    <xf numFmtId="0" fontId="5" fillId="3" borderId="0" xfId="0" applyFont="1" applyFill="1" applyBorder="1" applyAlignment="1">
      <alignment vertical="top"/>
    </xf>
    <xf numFmtId="165" fontId="5" fillId="3" borderId="3" xfId="49" applyNumberFormat="1" applyFont="1" applyFill="1" applyBorder="1" applyAlignment="1">
      <alignment vertical="top"/>
    </xf>
    <xf numFmtId="167" fontId="46" fillId="3" borderId="4" xfId="0" applyNumberFormat="1" applyFont="1" applyFill="1" applyBorder="1" applyAlignment="1">
      <alignment vertical="top"/>
    </xf>
    <xf numFmtId="167" fontId="46" fillId="3" borderId="0" xfId="0" applyNumberFormat="1" applyFont="1" applyFill="1" applyBorder="1" applyAlignment="1">
      <alignment vertical="top"/>
    </xf>
    <xf numFmtId="167" fontId="46" fillId="3" borderId="3" xfId="0" applyNumberFormat="1" applyFont="1" applyFill="1" applyBorder="1" applyAlignment="1">
      <alignment vertical="top"/>
    </xf>
    <xf numFmtId="167" fontId="46" fillId="3" borderId="0" xfId="32" applyNumberFormat="1" applyFont="1" applyFill="1" applyBorder="1" applyAlignment="1">
      <alignment vertical="top"/>
    </xf>
    <xf numFmtId="167" fontId="46" fillId="3" borderId="3" xfId="32" applyNumberFormat="1" applyFont="1" applyFill="1" applyBorder="1" applyAlignment="1">
      <alignment vertical="top"/>
    </xf>
    <xf numFmtId="167" fontId="5" fillId="3" borderId="4" xfId="0" applyNumberFormat="1" applyFont="1" applyFill="1" applyBorder="1" applyAlignment="1">
      <alignment horizontal="left" vertical="top" indent="1"/>
    </xf>
    <xf numFmtId="167" fontId="26" fillId="3" borderId="0" xfId="0" applyNumberFormat="1" applyFont="1" applyFill="1" applyAlignment="1">
      <alignment vertical="top"/>
    </xf>
    <xf numFmtId="9" fontId="26" fillId="3" borderId="0" xfId="0" applyNumberFormat="1" applyFont="1" applyFill="1" applyAlignment="1">
      <alignment vertical="top"/>
    </xf>
    <xf numFmtId="167" fontId="10" fillId="3" borderId="3" xfId="0" applyNumberFormat="1" applyFont="1" applyFill="1" applyBorder="1"/>
    <xf numFmtId="166" fontId="5" fillId="3" borderId="3" xfId="0" applyNumberFormat="1" applyFont="1" applyFill="1" applyBorder="1"/>
    <xf numFmtId="167" fontId="10" fillId="3" borderId="3" xfId="29" applyNumberFormat="1" applyFont="1" applyFill="1" applyBorder="1"/>
    <xf numFmtId="167" fontId="32" fillId="3" borderId="0" xfId="49" applyNumberFormat="1" applyFont="1" applyFill="1" applyBorder="1"/>
    <xf numFmtId="167" fontId="32" fillId="3" borderId="3" xfId="49" applyNumberFormat="1" applyFont="1" applyFill="1" applyBorder="1"/>
    <xf numFmtId="167" fontId="32" fillId="3" borderId="3" xfId="29" applyNumberFormat="1" applyFont="1" applyFill="1" applyBorder="1"/>
    <xf numFmtId="167" fontId="32" fillId="3" borderId="0" xfId="0" applyNumberFormat="1" applyFont="1" applyFill="1" applyBorder="1"/>
    <xf numFmtId="167" fontId="33" fillId="3" borderId="0" xfId="0" applyNumberFormat="1" applyFont="1" applyFill="1" applyBorder="1"/>
    <xf numFmtId="165" fontId="11" fillId="3" borderId="3" xfId="49" applyNumberFormat="1" applyFont="1" applyFill="1" applyBorder="1" applyProtection="1"/>
    <xf numFmtId="165" fontId="24" fillId="3" borderId="0" xfId="29" applyNumberFormat="1" applyFont="1" applyFill="1" applyBorder="1" applyProtection="1">
      <protection locked="0"/>
    </xf>
    <xf numFmtId="165" fontId="5" fillId="3" borderId="0" xfId="29" applyNumberFormat="1" applyFont="1" applyFill="1" applyBorder="1"/>
    <xf numFmtId="167" fontId="11" fillId="3" borderId="0" xfId="0" applyNumberFormat="1" applyFont="1" applyFill="1" applyBorder="1" applyProtection="1"/>
    <xf numFmtId="167" fontId="11" fillId="3" borderId="3" xfId="0" applyNumberFormat="1" applyFont="1" applyFill="1" applyBorder="1" applyProtection="1"/>
    <xf numFmtId="167" fontId="10" fillId="3" borderId="0" xfId="49" applyNumberFormat="1" applyFont="1" applyFill="1" applyBorder="1"/>
    <xf numFmtId="167" fontId="26" fillId="3" borderId="0" xfId="0" applyNumberFormat="1" applyFont="1" applyFill="1"/>
    <xf numFmtId="167" fontId="5" fillId="3" borderId="0" xfId="0" applyNumberFormat="1" applyFont="1" applyFill="1" applyBorder="1" applyProtection="1"/>
    <xf numFmtId="9" fontId="11" fillId="3" borderId="0" xfId="0" applyNumberFormat="1" applyFont="1" applyFill="1" applyBorder="1" applyProtection="1"/>
    <xf numFmtId="1" fontId="11" fillId="3" borderId="4" xfId="0" applyNumberFormat="1" applyFont="1" applyFill="1" applyBorder="1" applyAlignment="1" applyProtection="1"/>
    <xf numFmtId="1" fontId="11" fillId="3" borderId="0" xfId="0" applyNumberFormat="1" applyFont="1" applyFill="1" applyBorder="1" applyProtection="1"/>
    <xf numFmtId="1" fontId="11" fillId="3" borderId="3" xfId="0" applyNumberFormat="1" applyFont="1" applyFill="1" applyBorder="1" applyAlignment="1" applyProtection="1">
      <alignment horizontal="right"/>
    </xf>
    <xf numFmtId="1" fontId="11" fillId="3" borderId="3" xfId="0" applyNumberFormat="1" applyFont="1" applyFill="1" applyBorder="1" applyProtection="1"/>
    <xf numFmtId="1" fontId="11" fillId="3" borderId="4" xfId="29" applyNumberFormat="1" applyFont="1" applyFill="1" applyBorder="1" applyAlignment="1" applyProtection="1"/>
    <xf numFmtId="1" fontId="11" fillId="3" borderId="0" xfId="29" applyNumberFormat="1" applyFont="1" applyFill="1" applyBorder="1" applyProtection="1"/>
    <xf numFmtId="1" fontId="5" fillId="3" borderId="0" xfId="29" applyNumberFormat="1" applyFont="1" applyFill="1" applyBorder="1"/>
    <xf numFmtId="1" fontId="26" fillId="3" borderId="0" xfId="29" applyNumberFormat="1" applyFont="1" applyFill="1" applyBorder="1"/>
    <xf numFmtId="1" fontId="21" fillId="3" borderId="4" xfId="29" applyNumberFormat="1" applyFont="1" applyFill="1" applyBorder="1" applyAlignment="1" applyProtection="1"/>
    <xf numFmtId="1" fontId="10" fillId="3" borderId="0" xfId="29" applyNumberFormat="1" applyFont="1" applyFill="1" applyBorder="1" applyProtection="1"/>
    <xf numFmtId="1" fontId="21" fillId="3" borderId="3" xfId="0" applyNumberFormat="1" applyFont="1" applyFill="1" applyBorder="1" applyAlignment="1" applyProtection="1">
      <alignment horizontal="right"/>
    </xf>
    <xf numFmtId="1" fontId="10" fillId="3" borderId="0" xfId="29" applyNumberFormat="1" applyFont="1" applyFill="1" applyBorder="1"/>
    <xf numFmtId="1" fontId="21" fillId="3" borderId="3" xfId="29" applyNumberFormat="1" applyFont="1" applyFill="1" applyBorder="1" applyProtection="1"/>
    <xf numFmtId="1" fontId="16" fillId="3" borderId="0" xfId="29" applyNumberFormat="1" applyFont="1" applyFill="1" applyBorder="1"/>
    <xf numFmtId="5" fontId="11" fillId="3" borderId="4" xfId="0" applyNumberFormat="1" applyFont="1" applyFill="1" applyBorder="1" applyAlignment="1" applyProtection="1">
      <alignment horizontal="left" indent="2"/>
      <protection locked="0"/>
    </xf>
    <xf numFmtId="167" fontId="26" fillId="3" borderId="0" xfId="46" applyNumberFormat="1" applyFont="1" applyFill="1"/>
    <xf numFmtId="165" fontId="24" fillId="3" borderId="0" xfId="0" applyNumberFormat="1" applyFont="1" applyFill="1" applyBorder="1" applyAlignment="1" applyProtection="1">
      <alignment vertical="top"/>
    </xf>
    <xf numFmtId="178" fontId="5" fillId="3" borderId="0" xfId="32" applyNumberFormat="1" applyFont="1" applyFill="1" applyBorder="1" applyAlignment="1">
      <alignment vertical="top"/>
    </xf>
    <xf numFmtId="165" fontId="24" fillId="3" borderId="3" xfId="0" applyNumberFormat="1" applyFont="1" applyFill="1" applyBorder="1" applyAlignment="1" applyProtection="1">
      <alignment vertical="top"/>
    </xf>
    <xf numFmtId="165" fontId="5" fillId="3" borderId="0" xfId="0" applyNumberFormat="1" applyFont="1" applyFill="1" applyBorder="1" applyAlignment="1">
      <alignment vertical="top"/>
    </xf>
    <xf numFmtId="165" fontId="24" fillId="3" borderId="8" xfId="0" applyNumberFormat="1" applyFont="1" applyFill="1" applyBorder="1" applyAlignment="1" applyProtection="1">
      <alignment vertical="top"/>
    </xf>
    <xf numFmtId="165" fontId="24" fillId="3" borderId="7" xfId="0" applyNumberFormat="1" applyFont="1" applyFill="1" applyBorder="1" applyAlignment="1" applyProtection="1">
      <alignment vertical="top"/>
    </xf>
    <xf numFmtId="165" fontId="5" fillId="3" borderId="8" xfId="0" applyNumberFormat="1" applyFont="1" applyFill="1" applyBorder="1" applyAlignment="1">
      <alignment vertical="top"/>
    </xf>
    <xf numFmtId="166" fontId="24" fillId="3" borderId="0" xfId="0" applyNumberFormat="1" applyFont="1" applyFill="1" applyBorder="1" applyAlignment="1" applyProtection="1">
      <alignment vertical="top"/>
    </xf>
    <xf numFmtId="166" fontId="24" fillId="3" borderId="3" xfId="0" applyNumberFormat="1" applyFont="1" applyFill="1" applyBorder="1" applyAlignment="1" applyProtection="1">
      <alignment vertical="top"/>
    </xf>
    <xf numFmtId="166" fontId="24" fillId="3" borderId="0" xfId="0" applyNumberFormat="1" applyFont="1" applyFill="1" applyBorder="1" applyAlignment="1">
      <alignment vertical="top"/>
    </xf>
    <xf numFmtId="165" fontId="5" fillId="3" borderId="0" xfId="49" applyNumberFormat="1" applyFont="1" applyFill="1" applyBorder="1" applyAlignment="1" applyProtection="1">
      <alignment vertical="top"/>
    </xf>
    <xf numFmtId="0" fontId="26" fillId="3" borderId="0" xfId="0" applyFont="1" applyFill="1" applyBorder="1" applyAlignment="1">
      <alignment vertical="top"/>
    </xf>
    <xf numFmtId="165" fontId="23" fillId="3" borderId="8" xfId="0" applyNumberFormat="1" applyFont="1" applyFill="1" applyBorder="1" applyAlignment="1" applyProtection="1">
      <alignment vertical="top"/>
    </xf>
    <xf numFmtId="2" fontId="11" fillId="3" borderId="0" xfId="0" applyNumberFormat="1" applyFont="1" applyFill="1" applyBorder="1" applyAlignment="1" applyProtection="1">
      <alignment vertical="top"/>
    </xf>
    <xf numFmtId="2" fontId="11" fillId="3" borderId="3" xfId="0" applyNumberFormat="1" applyFont="1" applyFill="1" applyBorder="1" applyAlignment="1" applyProtection="1">
      <alignment vertical="top"/>
    </xf>
    <xf numFmtId="2" fontId="11" fillId="3" borderId="0" xfId="0" applyNumberFormat="1" applyFont="1" applyFill="1" applyBorder="1" applyAlignment="1">
      <alignment vertical="top"/>
    </xf>
    <xf numFmtId="2" fontId="27" fillId="3" borderId="0" xfId="0" applyNumberFormat="1" applyFont="1" applyFill="1" applyBorder="1" applyAlignment="1">
      <alignment vertical="top"/>
    </xf>
    <xf numFmtId="167" fontId="5" fillId="3" borderId="16" xfId="32" applyNumberFormat="1" applyFont="1" applyFill="1" applyBorder="1" applyAlignment="1">
      <alignment vertical="top"/>
    </xf>
    <xf numFmtId="167" fontId="5" fillId="0" borderId="0" xfId="49" applyNumberFormat="1" applyFont="1" applyFill="1" applyBorder="1" applyAlignment="1"/>
    <xf numFmtId="9" fontId="11" fillId="0" borderId="0" xfId="49" applyNumberFormat="1" applyFont="1" applyFill="1" applyBorder="1" applyProtection="1"/>
    <xf numFmtId="9" fontId="10" fillId="3" borderId="3" xfId="0" applyNumberFormat="1" applyFont="1" applyFill="1" applyBorder="1"/>
    <xf numFmtId="166" fontId="11" fillId="3" borderId="0" xfId="49" applyNumberFormat="1" applyFont="1" applyFill="1" applyBorder="1"/>
    <xf numFmtId="166" fontId="34" fillId="3" borderId="0" xfId="0" applyNumberFormat="1" applyFont="1" applyFill="1" applyBorder="1"/>
    <xf numFmtId="3" fontId="21" fillId="3" borderId="3" xfId="0" applyNumberFormat="1" applyFont="1" applyFill="1" applyBorder="1"/>
    <xf numFmtId="3" fontId="21" fillId="3" borderId="0" xfId="0" applyNumberFormat="1" applyFont="1" applyFill="1" applyBorder="1"/>
    <xf numFmtId="9" fontId="11" fillId="3" borderId="0" xfId="49" applyNumberFormat="1" applyFont="1" applyFill="1" applyBorder="1" applyAlignment="1" applyProtection="1">
      <alignment vertical="top"/>
    </xf>
    <xf numFmtId="165" fontId="11" fillId="3" borderId="0" xfId="49" applyNumberFormat="1" applyFont="1" applyFill="1" applyBorder="1" applyAlignment="1" applyProtection="1">
      <alignment vertical="top"/>
    </xf>
    <xf numFmtId="9" fontId="25" fillId="3" borderId="0" xfId="0" applyNumberFormat="1" applyFont="1" applyFill="1" applyBorder="1"/>
    <xf numFmtId="9" fontId="25" fillId="3" borderId="3" xfId="49" applyNumberFormat="1" applyFont="1" applyFill="1" applyBorder="1"/>
    <xf numFmtId="9" fontId="25" fillId="3" borderId="0" xfId="49" applyNumberFormat="1" applyFont="1" applyFill="1" applyBorder="1"/>
    <xf numFmtId="9" fontId="31" fillId="3" borderId="0" xfId="0" applyNumberFormat="1" applyFont="1" applyFill="1" applyBorder="1"/>
    <xf numFmtId="9" fontId="11" fillId="3" borderId="3" xfId="49" applyNumberFormat="1" applyFont="1" applyFill="1" applyBorder="1" applyAlignment="1" applyProtection="1">
      <alignment vertical="top"/>
    </xf>
    <xf numFmtId="165" fontId="10" fillId="3" borderId="16" xfId="49" applyNumberFormat="1" applyFont="1" applyFill="1" applyBorder="1"/>
    <xf numFmtId="0" fontId="22" fillId="6" borderId="4" xfId="42" applyFont="1" applyFill="1" applyBorder="1"/>
    <xf numFmtId="165" fontId="22" fillId="6" borderId="0" xfId="49" applyNumberFormat="1" applyFont="1" applyFill="1" applyBorder="1"/>
    <xf numFmtId="165" fontId="22" fillId="6" borderId="3" xfId="49" applyNumberFormat="1" applyFont="1" applyFill="1" applyBorder="1"/>
    <xf numFmtId="0" fontId="22" fillId="6" borderId="3" xfId="0" applyFont="1" applyFill="1" applyBorder="1"/>
    <xf numFmtId="0" fontId="22" fillId="6" borderId="0" xfId="0" applyFont="1" applyFill="1" applyBorder="1"/>
    <xf numFmtId="0" fontId="51" fillId="6" borderId="0" xfId="0" applyFont="1" applyFill="1" applyBorder="1"/>
    <xf numFmtId="166" fontId="5" fillId="5" borderId="0" xfId="0" applyNumberFormat="1" applyFont="1" applyFill="1" applyBorder="1"/>
    <xf numFmtId="167" fontId="5" fillId="5" borderId="0" xfId="0" applyNumberFormat="1" applyFont="1" applyFill="1" applyBorder="1"/>
    <xf numFmtId="167" fontId="34" fillId="3" borderId="0" xfId="29" applyNumberFormat="1" applyFont="1" applyFill="1" applyBorder="1" applyProtection="1"/>
    <xf numFmtId="167" fontId="34" fillId="3" borderId="3" xfId="29" applyNumberFormat="1" applyFont="1" applyFill="1" applyBorder="1" applyProtection="1"/>
    <xf numFmtId="167" fontId="23" fillId="3" borderId="0" xfId="0" applyNumberFormat="1" applyFont="1" applyFill="1" applyBorder="1"/>
    <xf numFmtId="167" fontId="23" fillId="3" borderId="3" xfId="49" applyNumberFormat="1" applyFont="1" applyFill="1" applyBorder="1"/>
    <xf numFmtId="167" fontId="28" fillId="3" borderId="0" xfId="0" applyNumberFormat="1" applyFont="1" applyFill="1" applyBorder="1"/>
    <xf numFmtId="167" fontId="34" fillId="0" borderId="0" xfId="29" applyNumberFormat="1" applyFont="1" applyFill="1" applyBorder="1" applyProtection="1"/>
    <xf numFmtId="167" fontId="28" fillId="3" borderId="0" xfId="29" applyNumberFormat="1" applyFont="1" applyFill="1"/>
    <xf numFmtId="167" fontId="5" fillId="3" borderId="3" xfId="29" applyNumberFormat="1" applyFont="1" applyFill="1" applyBorder="1"/>
    <xf numFmtId="165" fontId="10" fillId="3" borderId="0" xfId="49" applyNumberFormat="1" applyFont="1" applyFill="1" applyBorder="1"/>
    <xf numFmtId="165" fontId="10" fillId="3" borderId="3" xfId="49" applyNumberFormat="1" applyFont="1" applyFill="1" applyBorder="1"/>
    <xf numFmtId="168" fontId="11" fillId="5" borderId="4" xfId="29" applyNumberFormat="1" applyFont="1" applyFill="1" applyBorder="1" applyAlignment="1" applyProtection="1"/>
    <xf numFmtId="168" fontId="24" fillId="5" borderId="0" xfId="29" applyNumberFormat="1" applyFont="1" applyFill="1" applyBorder="1" applyProtection="1"/>
    <xf numFmtId="168" fontId="11" fillId="5" borderId="0" xfId="29" applyNumberFormat="1" applyFont="1" applyFill="1" applyBorder="1" applyProtection="1"/>
    <xf numFmtId="168" fontId="24" fillId="5" borderId="3" xfId="49" applyNumberFormat="1" applyFont="1" applyFill="1" applyBorder="1" applyAlignment="1" applyProtection="1">
      <alignment horizontal="right"/>
    </xf>
    <xf numFmtId="168" fontId="5" fillId="5" borderId="0" xfId="29" applyNumberFormat="1" applyFont="1" applyFill="1" applyBorder="1"/>
    <xf numFmtId="168" fontId="26" fillId="5" borderId="0" xfId="29" applyNumberFormat="1" applyFont="1" applyFill="1"/>
    <xf numFmtId="166" fontId="5" fillId="3" borderId="0" xfId="41" applyNumberFormat="1" applyFont="1" applyFill="1" applyBorder="1"/>
    <xf numFmtId="166" fontId="5" fillId="3" borderId="3" xfId="41" applyNumberFormat="1" applyFont="1" applyFill="1" applyBorder="1"/>
    <xf numFmtId="166" fontId="26" fillId="3" borderId="0" xfId="41" applyNumberFormat="1" applyFont="1" applyFill="1" applyBorder="1"/>
    <xf numFmtId="0" fontId="26" fillId="3" borderId="0" xfId="41" applyFont="1" applyFill="1" applyBorder="1"/>
    <xf numFmtId="168" fontId="11" fillId="3" borderId="3" xfId="0" applyNumberFormat="1" applyFont="1" applyFill="1" applyBorder="1"/>
    <xf numFmtId="168" fontId="10" fillId="3" borderId="0" xfId="0" applyNumberFormat="1" applyFont="1" applyFill="1" applyBorder="1"/>
    <xf numFmtId="168" fontId="16" fillId="3" borderId="0" xfId="0" applyNumberFormat="1" applyFont="1" applyFill="1" applyBorder="1"/>
    <xf numFmtId="9" fontId="25" fillId="0" borderId="0" xfId="49" applyNumberFormat="1" applyFont="1" applyFill="1" applyBorder="1"/>
    <xf numFmtId="167" fontId="5" fillId="3" borderId="5" xfId="0" applyNumberFormat="1" applyFont="1" applyFill="1" applyBorder="1"/>
    <xf numFmtId="167" fontId="5" fillId="3" borderId="6" xfId="0" applyNumberFormat="1" applyFont="1" applyFill="1" applyBorder="1"/>
    <xf numFmtId="167" fontId="26" fillId="3" borderId="5" xfId="0" applyNumberFormat="1" applyFont="1" applyFill="1" applyBorder="1"/>
    <xf numFmtId="165" fontId="5" fillId="3" borderId="4" xfId="0" applyNumberFormat="1" applyFont="1" applyFill="1" applyBorder="1" applyAlignment="1">
      <alignment horizontal="left" indent="2"/>
    </xf>
    <xf numFmtId="0" fontId="22" fillId="6" borderId="4" xfId="0" applyFont="1" applyFill="1" applyBorder="1"/>
    <xf numFmtId="180" fontId="22" fillId="6" borderId="21" xfId="0" applyNumberFormat="1" applyFont="1" applyFill="1" applyBorder="1" applyAlignment="1" applyProtection="1">
      <alignment horizontal="center"/>
    </xf>
    <xf numFmtId="179" fontId="22" fillId="6" borderId="22" xfId="0" applyNumberFormat="1" applyFont="1" applyFill="1" applyBorder="1" applyAlignment="1" applyProtection="1">
      <alignment horizontal="center"/>
    </xf>
    <xf numFmtId="181" fontId="22" fillId="6" borderId="21" xfId="0" applyNumberFormat="1" applyFont="1" applyFill="1" applyBorder="1" applyAlignment="1" applyProtection="1">
      <alignment horizontal="center"/>
    </xf>
    <xf numFmtId="181" fontId="22" fillId="6" borderId="22" xfId="0" applyNumberFormat="1" applyFont="1" applyFill="1" applyBorder="1" applyAlignment="1" applyProtection="1">
      <alignment horizontal="center"/>
    </xf>
    <xf numFmtId="17" fontId="22" fillId="6" borderId="0" xfId="0" applyNumberFormat="1" applyFont="1" applyFill="1" applyBorder="1" applyAlignment="1" applyProtection="1">
      <alignment horizontal="center"/>
    </xf>
    <xf numFmtId="0" fontId="22" fillId="6" borderId="3" xfId="0" quotePrefix="1" applyNumberFormat="1" applyFont="1" applyFill="1" applyBorder="1" applyAlignment="1" applyProtection="1">
      <alignment horizontal="center"/>
    </xf>
    <xf numFmtId="0" fontId="22" fillId="7" borderId="4" xfId="42" applyFont="1" applyFill="1" applyBorder="1"/>
    <xf numFmtId="165" fontId="22" fillId="7" borderId="0" xfId="49" applyNumberFormat="1" applyFont="1" applyFill="1" applyBorder="1"/>
    <xf numFmtId="165" fontId="22" fillId="7" borderId="3" xfId="49" applyNumberFormat="1" applyFont="1" applyFill="1" applyBorder="1"/>
    <xf numFmtId="0" fontId="22" fillId="7" borderId="3" xfId="0" applyFont="1" applyFill="1" applyBorder="1"/>
    <xf numFmtId="0" fontId="22" fillId="7" borderId="0" xfId="0" applyFont="1" applyFill="1" applyBorder="1"/>
    <xf numFmtId="3" fontId="10" fillId="5" borderId="4" xfId="0" applyNumberFormat="1" applyFont="1" applyFill="1" applyBorder="1"/>
    <xf numFmtId="3" fontId="10" fillId="5" borderId="0" xfId="0" applyNumberFormat="1" applyFont="1" applyFill="1" applyBorder="1"/>
    <xf numFmtId="3" fontId="10" fillId="5" borderId="3" xfId="0" applyNumberFormat="1" applyFont="1" applyFill="1" applyBorder="1"/>
    <xf numFmtId="3" fontId="5" fillId="5" borderId="0" xfId="0" applyNumberFormat="1" applyFont="1" applyFill="1" applyBorder="1"/>
    <xf numFmtId="2" fontId="10" fillId="5" borderId="4" xfId="0" applyNumberFormat="1" applyFont="1" applyFill="1" applyBorder="1"/>
    <xf numFmtId="2" fontId="10" fillId="5" borderId="0" xfId="0" applyNumberFormat="1" applyFont="1" applyFill="1" applyBorder="1"/>
    <xf numFmtId="2" fontId="10" fillId="5" borderId="3" xfId="0" applyNumberFormat="1" applyFont="1" applyFill="1" applyBorder="1"/>
    <xf numFmtId="2" fontId="5" fillId="5" borderId="0" xfId="0" applyNumberFormat="1" applyFont="1" applyFill="1" applyBorder="1"/>
    <xf numFmtId="167" fontId="10" fillId="5" borderId="3" xfId="0" applyNumberFormat="1" applyFont="1" applyFill="1" applyBorder="1"/>
    <xf numFmtId="167" fontId="29" fillId="5" borderId="0" xfId="0" applyNumberFormat="1" applyFont="1" applyFill="1" applyBorder="1"/>
    <xf numFmtId="167" fontId="10" fillId="5" borderId="3" xfId="29" applyNumberFormat="1" applyFont="1" applyFill="1" applyBorder="1"/>
    <xf numFmtId="167" fontId="10" fillId="5" borderId="0" xfId="29" applyNumberFormat="1" applyFont="1" applyFill="1" applyBorder="1"/>
    <xf numFmtId="167" fontId="16" fillId="5" borderId="0" xfId="29" applyNumberFormat="1" applyFont="1" applyFill="1" applyBorder="1"/>
    <xf numFmtId="167" fontId="5" fillId="5" borderId="0" xfId="29" applyNumberFormat="1" applyFont="1" applyFill="1" applyBorder="1"/>
    <xf numFmtId="6" fontId="10" fillId="5" borderId="0" xfId="35" applyNumberFormat="1" applyFont="1" applyFill="1" applyBorder="1" applyProtection="1"/>
    <xf numFmtId="167" fontId="10" fillId="5" borderId="0" xfId="39" applyNumberFormat="1" applyFont="1" applyFill="1" applyBorder="1" applyProtection="1"/>
    <xf numFmtId="165" fontId="10" fillId="5" borderId="0" xfId="49" applyNumberFormat="1" applyFont="1" applyFill="1" applyBorder="1"/>
    <xf numFmtId="165" fontId="10" fillId="5" borderId="3" xfId="49" applyNumberFormat="1" applyFont="1" applyFill="1" applyBorder="1"/>
    <xf numFmtId="0" fontId="22" fillId="7" borderId="4" xfId="0" applyFont="1" applyFill="1" applyBorder="1" applyAlignment="1">
      <alignment vertical="top"/>
    </xf>
    <xf numFmtId="165" fontId="51" fillId="7" borderId="0" xfId="49" applyNumberFormat="1" applyFont="1" applyFill="1" applyBorder="1"/>
    <xf numFmtId="165" fontId="51" fillId="7" borderId="3" xfId="49" applyNumberFormat="1" applyFont="1" applyFill="1" applyBorder="1"/>
    <xf numFmtId="165" fontId="22" fillId="7" borderId="0" xfId="0" applyNumberFormat="1" applyFont="1" applyFill="1" applyBorder="1"/>
    <xf numFmtId="166" fontId="58" fillId="7" borderId="0" xfId="0" applyNumberFormat="1" applyFont="1" applyFill="1" applyBorder="1"/>
    <xf numFmtId="0" fontId="58" fillId="7" borderId="0" xfId="0" applyFont="1" applyFill="1" applyBorder="1"/>
    <xf numFmtId="167" fontId="51" fillId="5" borderId="0" xfId="0" applyNumberFormat="1" applyFont="1" applyFill="1" applyBorder="1"/>
    <xf numFmtId="167" fontId="22" fillId="7" borderId="4" xfId="0" applyNumberFormat="1" applyFont="1" applyFill="1" applyBorder="1"/>
    <xf numFmtId="167" fontId="22" fillId="7" borderId="0" xfId="49" applyNumberFormat="1" applyFont="1" applyFill="1" applyBorder="1"/>
    <xf numFmtId="167" fontId="22" fillId="7" borderId="3" xfId="49" applyNumberFormat="1" applyFont="1" applyFill="1" applyBorder="1"/>
    <xf numFmtId="167" fontId="22" fillId="7" borderId="0" xfId="0" applyNumberFormat="1" applyFont="1" applyFill="1" applyBorder="1"/>
    <xf numFmtId="167" fontId="58" fillId="7" borderId="0" xfId="0" applyNumberFormat="1" applyFont="1" applyFill="1" applyBorder="1"/>
    <xf numFmtId="37" fontId="22" fillId="7" borderId="4" xfId="0" applyNumberFormat="1" applyFont="1" applyFill="1" applyBorder="1" applyAlignment="1" applyProtection="1">
      <alignment horizontal="left"/>
      <protection locked="0"/>
    </xf>
    <xf numFmtId="165" fontId="51" fillId="7" borderId="0" xfId="29" applyNumberFormat="1" applyFont="1" applyFill="1" applyBorder="1" applyAlignment="1">
      <alignment vertical="top"/>
    </xf>
    <xf numFmtId="165" fontId="51" fillId="7" borderId="3" xfId="29" applyNumberFormat="1" applyFont="1" applyFill="1" applyBorder="1" applyAlignment="1">
      <alignment vertical="top"/>
    </xf>
    <xf numFmtId="165" fontId="22" fillId="7" borderId="0" xfId="0" applyNumberFormat="1" applyFont="1" applyFill="1" applyBorder="1" applyAlignment="1">
      <alignment vertical="top"/>
    </xf>
    <xf numFmtId="168" fontId="58" fillId="7" borderId="0" xfId="0" applyNumberFormat="1" applyFont="1" applyFill="1" applyBorder="1" applyAlignment="1">
      <alignment vertical="top"/>
    </xf>
    <xf numFmtId="0" fontId="51" fillId="5" borderId="0" xfId="0" applyFont="1" applyFill="1" applyBorder="1"/>
    <xf numFmtId="165" fontId="5" fillId="5" borderId="0" xfId="0" applyNumberFormat="1" applyFont="1" applyFill="1" applyBorder="1"/>
    <xf numFmtId="9" fontId="5" fillId="5" borderId="0" xfId="0" applyNumberFormat="1" applyFont="1" applyFill="1" applyBorder="1"/>
    <xf numFmtId="166" fontId="11" fillId="5" borderId="0" xfId="0" applyNumberFormat="1" applyFont="1" applyFill="1" applyBorder="1"/>
    <xf numFmtId="3" fontId="11" fillId="5" borderId="0" xfId="0" applyNumberFormat="1" applyFont="1" applyFill="1" applyBorder="1" applyAlignment="1">
      <alignment vertical="top"/>
    </xf>
    <xf numFmtId="1" fontId="5" fillId="5" borderId="0" xfId="0" applyNumberFormat="1" applyFont="1" applyFill="1" applyBorder="1"/>
    <xf numFmtId="0" fontId="5" fillId="5" borderId="0" xfId="0" applyFont="1" applyFill="1" applyBorder="1" applyAlignment="1">
      <alignment vertical="top"/>
    </xf>
    <xf numFmtId="168" fontId="5" fillId="5" borderId="0" xfId="0" applyNumberFormat="1" applyFont="1" applyFill="1" applyBorder="1"/>
    <xf numFmtId="168" fontId="11" fillId="5" borderId="0" xfId="0" applyNumberFormat="1" applyFont="1" applyFill="1" applyBorder="1"/>
    <xf numFmtId="2" fontId="11" fillId="5" borderId="0" xfId="0" applyNumberFormat="1" applyFont="1" applyFill="1" applyBorder="1" applyAlignment="1">
      <alignment vertical="top"/>
    </xf>
    <xf numFmtId="167" fontId="5" fillId="5" borderId="0" xfId="0" applyNumberFormat="1" applyFont="1" applyFill="1" applyBorder="1" applyAlignment="1"/>
    <xf numFmtId="172" fontId="11" fillId="5" borderId="0" xfId="29" applyNumberFormat="1" applyFont="1" applyFill="1" applyBorder="1"/>
    <xf numFmtId="1" fontId="5" fillId="5" borderId="0" xfId="0" applyNumberFormat="1" applyFont="1" applyFill="1" applyBorder="1" applyAlignment="1">
      <alignment horizontal="right"/>
    </xf>
    <xf numFmtId="166" fontId="5" fillId="5" borderId="0" xfId="0" applyNumberFormat="1" applyFont="1" applyFill="1" applyBorder="1" applyAlignment="1">
      <alignment horizontal="right"/>
    </xf>
    <xf numFmtId="9" fontId="5" fillId="5" borderId="0" xfId="49" applyFont="1" applyFill="1" applyBorder="1"/>
    <xf numFmtId="166" fontId="51" fillId="5" borderId="0" xfId="0" applyNumberFormat="1" applyFont="1" applyFill="1" applyBorder="1"/>
    <xf numFmtId="9" fontId="25" fillId="5" borderId="0" xfId="0" applyNumberFormat="1" applyFont="1" applyFill="1" applyBorder="1"/>
    <xf numFmtId="167" fontId="25" fillId="5" borderId="0" xfId="0" applyNumberFormat="1" applyFont="1" applyFill="1" applyBorder="1"/>
    <xf numFmtId="167" fontId="35" fillId="5" borderId="0" xfId="0" applyNumberFormat="1" applyFont="1" applyFill="1" applyBorder="1"/>
    <xf numFmtId="1" fontId="5" fillId="5" borderId="0" xfId="29" applyNumberFormat="1" applyFont="1" applyFill="1" applyBorder="1"/>
    <xf numFmtId="173" fontId="5" fillId="5" borderId="0" xfId="29" applyNumberFormat="1" applyFont="1" applyFill="1" applyBorder="1"/>
    <xf numFmtId="167" fontId="11" fillId="5" borderId="0" xfId="0" applyNumberFormat="1" applyFont="1" applyFill="1" applyBorder="1"/>
    <xf numFmtId="9" fontId="35" fillId="5" borderId="0" xfId="0" applyNumberFormat="1" applyFont="1" applyFill="1" applyBorder="1" applyAlignment="1">
      <alignment vertical="top"/>
    </xf>
    <xf numFmtId="168" fontId="35" fillId="5" borderId="0" xfId="0" applyNumberFormat="1" applyFont="1" applyFill="1" applyBorder="1" applyAlignment="1">
      <alignment vertical="top"/>
    </xf>
    <xf numFmtId="167" fontId="46" fillId="5" borderId="0" xfId="0" applyNumberFormat="1" applyFont="1" applyFill="1" applyBorder="1" applyAlignment="1">
      <alignment vertical="top"/>
    </xf>
    <xf numFmtId="168" fontId="51" fillId="5" borderId="0" xfId="0" applyNumberFormat="1" applyFont="1" applyFill="1" applyBorder="1" applyAlignment="1">
      <alignment vertical="top"/>
    </xf>
    <xf numFmtId="5" fontId="5" fillId="5" borderId="0" xfId="0" applyNumberFormat="1" applyFont="1" applyFill="1" applyBorder="1"/>
    <xf numFmtId="0" fontId="5" fillId="5" borderId="0" xfId="46" applyFont="1" applyFill="1" applyBorder="1"/>
    <xf numFmtId="167" fontId="35" fillId="5" borderId="0" xfId="0" applyNumberFormat="1" applyFont="1" applyFill="1" applyBorder="1" applyAlignment="1">
      <alignment vertical="top"/>
    </xf>
    <xf numFmtId="0" fontId="4" fillId="6" borderId="0" xfId="43" applyFont="1" applyFill="1" applyBorder="1" applyAlignment="1">
      <alignment horizontal="center"/>
    </xf>
    <xf numFmtId="0" fontId="54" fillId="6" borderId="0" xfId="43" applyFont="1" applyFill="1" applyBorder="1" applyAlignment="1">
      <alignment horizontal="center"/>
    </xf>
    <xf numFmtId="0" fontId="54" fillId="6" borderId="0" xfId="0" applyNumberFormat="1" applyFont="1" applyFill="1" applyBorder="1" applyAlignment="1" applyProtection="1">
      <alignment horizontal="right"/>
    </xf>
    <xf numFmtId="196" fontId="54" fillId="6" borderId="0" xfId="43" applyNumberFormat="1" applyFont="1" applyFill="1" applyBorder="1"/>
    <xf numFmtId="165" fontId="4" fillId="6" borderId="0" xfId="0" applyNumberFormat="1" applyFont="1" applyFill="1" applyBorder="1" applyAlignment="1" applyProtection="1"/>
    <xf numFmtId="196" fontId="60" fillId="6" borderId="0" xfId="49" applyNumberFormat="1" applyFont="1" applyFill="1" applyBorder="1" applyAlignment="1" applyProtection="1"/>
    <xf numFmtId="165" fontId="60" fillId="6" borderId="0" xfId="0" applyNumberFormat="1" applyFont="1" applyFill="1" applyBorder="1" applyAlignment="1" applyProtection="1"/>
    <xf numFmtId="196" fontId="61" fillId="6" borderId="0" xfId="0" applyNumberFormat="1" applyFont="1" applyFill="1" applyBorder="1" applyAlignment="1" applyProtection="1"/>
    <xf numFmtId="165" fontId="60" fillId="6" borderId="0" xfId="49" applyNumberFormat="1" applyFont="1" applyFill="1" applyBorder="1" applyAlignment="1" applyProtection="1"/>
    <xf numFmtId="167" fontId="61" fillId="6" borderId="0" xfId="0" applyNumberFormat="1" applyFont="1" applyFill="1" applyBorder="1" applyAlignment="1" applyProtection="1"/>
    <xf numFmtId="1" fontId="60" fillId="6" borderId="0" xfId="0" applyNumberFormat="1" applyFont="1" applyFill="1" applyBorder="1" applyAlignment="1" applyProtection="1"/>
    <xf numFmtId="0" fontId="60" fillId="6" borderId="0" xfId="0" applyNumberFormat="1" applyFont="1" applyFill="1" applyBorder="1" applyAlignment="1" applyProtection="1"/>
    <xf numFmtId="166" fontId="62" fillId="6" borderId="0" xfId="49" applyNumberFormat="1" applyFont="1" applyFill="1" applyBorder="1" applyAlignment="1" applyProtection="1">
      <alignment horizontal="right"/>
    </xf>
    <xf numFmtId="167" fontId="60" fillId="6" borderId="0" xfId="49" applyNumberFormat="1" applyFont="1" applyFill="1" applyBorder="1" applyAlignment="1" applyProtection="1"/>
    <xf numFmtId="168" fontId="60" fillId="6" borderId="0" xfId="49" applyNumberFormat="1" applyFont="1" applyFill="1" applyBorder="1" applyAlignment="1" applyProtection="1"/>
    <xf numFmtId="196" fontId="60" fillId="6" borderId="0" xfId="0" applyNumberFormat="1" applyFont="1" applyFill="1" applyBorder="1" applyAlignment="1" applyProtection="1"/>
    <xf numFmtId="0" fontId="62" fillId="6" borderId="0" xfId="0" applyNumberFormat="1" applyFont="1" applyFill="1" applyBorder="1" applyAlignment="1" applyProtection="1">
      <alignment horizontal="right"/>
    </xf>
    <xf numFmtId="0" fontId="61" fillId="6" borderId="0" xfId="0" applyNumberFormat="1" applyFont="1" applyFill="1" applyBorder="1" applyAlignment="1" applyProtection="1">
      <alignment horizontal="right"/>
    </xf>
    <xf numFmtId="165" fontId="61" fillId="6" borderId="0" xfId="0" applyNumberFormat="1" applyFont="1" applyFill="1" applyBorder="1" applyAlignment="1" applyProtection="1"/>
    <xf numFmtId="196" fontId="60" fillId="6" borderId="0" xfId="43" applyNumberFormat="1" applyFont="1" applyFill="1" applyBorder="1"/>
    <xf numFmtId="167" fontId="61" fillId="6" borderId="0" xfId="43" applyNumberFormat="1" applyFont="1" applyFill="1" applyBorder="1"/>
    <xf numFmtId="165" fontId="61" fillId="6" borderId="0" xfId="43" applyNumberFormat="1" applyFont="1" applyFill="1" applyBorder="1"/>
    <xf numFmtId="0" fontId="54" fillId="6" borderId="0" xfId="0" applyFont="1" applyFill="1" applyBorder="1"/>
    <xf numFmtId="9" fontId="4" fillId="6" borderId="0" xfId="0" applyNumberFormat="1" applyFont="1" applyFill="1" applyBorder="1" applyAlignment="1" applyProtection="1"/>
    <xf numFmtId="165" fontId="54" fillId="6" borderId="0" xfId="49" applyNumberFormat="1" applyFont="1" applyFill="1" applyBorder="1"/>
    <xf numFmtId="196" fontId="61" fillId="6" borderId="0" xfId="49" applyNumberFormat="1" applyFont="1" applyFill="1" applyBorder="1"/>
    <xf numFmtId="196" fontId="54" fillId="6" borderId="0" xfId="49" applyNumberFormat="1" applyFont="1" applyFill="1" applyBorder="1"/>
    <xf numFmtId="165" fontId="61" fillId="6" borderId="0" xfId="49" applyNumberFormat="1" applyFont="1" applyFill="1" applyBorder="1"/>
    <xf numFmtId="165" fontId="4" fillId="6" borderId="0" xfId="49" applyNumberFormat="1" applyFont="1" applyFill="1" applyBorder="1"/>
    <xf numFmtId="0" fontId="4" fillId="6" borderId="0" xfId="0" applyNumberFormat="1" applyFont="1" applyFill="1" applyBorder="1" applyAlignment="1" applyProtection="1"/>
    <xf numFmtId="196" fontId="4" fillId="6" borderId="0" xfId="0" applyNumberFormat="1" applyFont="1" applyFill="1" applyBorder="1" applyAlignment="1" applyProtection="1"/>
    <xf numFmtId="168" fontId="61" fillId="6" borderId="0" xfId="43" applyNumberFormat="1" applyFont="1" applyFill="1" applyBorder="1"/>
    <xf numFmtId="0" fontId="4" fillId="6" borderId="0" xfId="43" applyFont="1" applyFill="1" applyBorder="1"/>
    <xf numFmtId="165" fontId="54" fillId="6" borderId="0" xfId="0" applyNumberFormat="1" applyFont="1" applyFill="1" applyBorder="1" applyAlignment="1" applyProtection="1"/>
    <xf numFmtId="0" fontId="12" fillId="6" borderId="0" xfId="0" applyFont="1" applyFill="1" applyBorder="1"/>
    <xf numFmtId="167" fontId="49" fillId="3" borderId="3" xfId="32" applyNumberFormat="1" applyFont="1" applyFill="1" applyBorder="1"/>
    <xf numFmtId="167" fontId="49" fillId="3" borderId="0" xfId="0" applyNumberFormat="1" applyFont="1" applyFill="1" applyBorder="1"/>
    <xf numFmtId="167" fontId="5" fillId="0" borderId="0" xfId="49" applyNumberFormat="1" applyFont="1" applyFill="1" applyBorder="1"/>
    <xf numFmtId="165" fontId="11" fillId="3" borderId="3" xfId="49" applyNumberFormat="1" applyFont="1" applyFill="1" applyBorder="1" applyAlignment="1" applyProtection="1">
      <alignment vertical="top"/>
    </xf>
    <xf numFmtId="166" fontId="24" fillId="3" borderId="0" xfId="49" applyNumberFormat="1" applyFont="1" applyFill="1" applyBorder="1"/>
    <xf numFmtId="166" fontId="24" fillId="3" borderId="3" xfId="49" applyNumberFormat="1" applyFont="1" applyFill="1" applyBorder="1"/>
    <xf numFmtId="167" fontId="11" fillId="3" borderId="0" xfId="49" applyNumberFormat="1" applyFont="1" applyFill="1" applyBorder="1" applyAlignment="1" applyProtection="1">
      <alignment vertical="top"/>
    </xf>
    <xf numFmtId="3" fontId="5" fillId="3" borderId="17" xfId="30" applyNumberFormat="1" applyFont="1" applyFill="1" applyBorder="1" applyProtection="1"/>
    <xf numFmtId="165" fontId="24" fillId="3" borderId="0" xfId="0" applyNumberFormat="1" applyFont="1" applyFill="1" applyBorder="1"/>
    <xf numFmtId="0" fontId="8" fillId="0" borderId="0" xfId="44" applyFont="1" applyAlignment="1">
      <alignment horizontal="left"/>
    </xf>
    <xf numFmtId="0" fontId="8" fillId="0" borderId="0" xfId="44" applyFont="1"/>
    <xf numFmtId="0" fontId="9" fillId="0" borderId="0" xfId="44" applyFont="1" applyAlignment="1">
      <alignment horizontal="center"/>
    </xf>
    <xf numFmtId="0" fontId="8" fillId="0" borderId="0" xfId="44" applyFont="1" applyBorder="1"/>
    <xf numFmtId="0" fontId="9" fillId="0" borderId="0" xfId="44" applyFont="1"/>
    <xf numFmtId="0" fontId="8" fillId="0" borderId="0" xfId="44" applyFont="1" applyAlignment="1">
      <alignment horizontal="right"/>
    </xf>
    <xf numFmtId="0" fontId="8" fillId="0" borderId="23" xfId="44" applyFont="1" applyBorder="1" applyAlignment="1">
      <alignment horizontal="right"/>
    </xf>
    <xf numFmtId="0" fontId="5" fillId="0" borderId="0" xfId="44"/>
    <xf numFmtId="0" fontId="8" fillId="0" borderId="24" xfId="44" applyFont="1" applyBorder="1"/>
    <xf numFmtId="0" fontId="9" fillId="0" borderId="24" xfId="44" applyFont="1" applyBorder="1" applyAlignment="1">
      <alignment horizontal="right"/>
    </xf>
    <xf numFmtId="0" fontId="9" fillId="0" borderId="24" xfId="44" applyFont="1" applyBorder="1" applyAlignment="1">
      <alignment horizontal="left" wrapText="1"/>
    </xf>
    <xf numFmtId="0" fontId="9" fillId="0" borderId="24" xfId="44" applyFont="1" applyBorder="1" applyAlignment="1">
      <alignment horizontal="center" wrapText="1"/>
    </xf>
    <xf numFmtId="0" fontId="9" fillId="0" borderId="24" xfId="44" applyFont="1" applyBorder="1" applyAlignment="1">
      <alignment horizontal="right" wrapText="1"/>
    </xf>
    <xf numFmtId="170" fontId="8" fillId="0" borderId="0" xfId="44" applyNumberFormat="1" applyFont="1" applyAlignment="1">
      <alignment horizontal="left"/>
    </xf>
    <xf numFmtId="199" fontId="8" fillId="0" borderId="0" xfId="47" applyNumberFormat="1" applyFont="1" applyAlignment="1">
      <alignment horizontal="left" wrapText="1"/>
    </xf>
    <xf numFmtId="199" fontId="54" fillId="0" borderId="0" xfId="47" applyNumberFormat="1" applyFont="1" applyAlignment="1">
      <alignment horizontal="left" wrapText="1"/>
    </xf>
    <xf numFmtId="197" fontId="9" fillId="0" borderId="0" xfId="44" applyNumberFormat="1" applyFont="1" applyAlignment="1">
      <alignment horizontal="center"/>
    </xf>
    <xf numFmtId="197" fontId="8" fillId="0" borderId="0" xfId="44" applyNumberFormat="1" applyFont="1" applyAlignment="1">
      <alignment horizontal="center"/>
    </xf>
    <xf numFmtId="198" fontId="8" fillId="0" borderId="0" xfId="44" applyNumberFormat="1" applyFont="1" applyBorder="1"/>
    <xf numFmtId="198" fontId="8" fillId="0" borderId="23" xfId="44" applyNumberFormat="1" applyFont="1" applyBorder="1"/>
    <xf numFmtId="198" fontId="8" fillId="0" borderId="0" xfId="44" applyNumberFormat="1" applyFont="1"/>
    <xf numFmtId="0" fontId="8" fillId="0" borderId="23" xfId="44" applyFont="1" applyBorder="1"/>
    <xf numFmtId="3" fontId="8" fillId="0" borderId="0" xfId="44" applyNumberFormat="1" applyFont="1"/>
    <xf numFmtId="165" fontId="8" fillId="0" borderId="0" xfId="49" applyNumberFormat="1" applyFont="1"/>
    <xf numFmtId="0" fontId="9" fillId="0" borderId="0" xfId="44" applyFont="1" applyBorder="1"/>
    <xf numFmtId="165" fontId="8" fillId="0" borderId="0" xfId="49" applyNumberFormat="1" applyFont="1" applyBorder="1"/>
    <xf numFmtId="165" fontId="4" fillId="0" borderId="0" xfId="49" applyNumberFormat="1" applyFont="1" applyBorder="1"/>
    <xf numFmtId="198" fontId="9" fillId="0" borderId="0" xfId="44" applyNumberFormat="1" applyFont="1"/>
    <xf numFmtId="165" fontId="8" fillId="0" borderId="0" xfId="44" applyNumberFormat="1" applyFont="1"/>
    <xf numFmtId="197" fontId="53" fillId="0" borderId="0" xfId="44" applyNumberFormat="1" applyFont="1" applyAlignment="1">
      <alignment horizontal="center"/>
    </xf>
    <xf numFmtId="0" fontId="3" fillId="6" borderId="0" xfId="40" applyFill="1"/>
    <xf numFmtId="0" fontId="3" fillId="8" borderId="0" xfId="40" applyFill="1"/>
    <xf numFmtId="0" fontId="3" fillId="0" borderId="0" xfId="40"/>
    <xf numFmtId="0" fontId="16" fillId="5" borderId="24" xfId="40" applyFont="1" applyFill="1" applyBorder="1" applyAlignment="1">
      <alignment horizontal="center" wrapText="1"/>
    </xf>
    <xf numFmtId="0" fontId="10" fillId="5" borderId="0" xfId="40" applyFont="1" applyFill="1"/>
    <xf numFmtId="170" fontId="26" fillId="0" borderId="0" xfId="40" applyNumberFormat="1" applyFont="1" applyAlignment="1">
      <alignment horizontal="center"/>
    </xf>
    <xf numFmtId="2" fontId="3" fillId="0" borderId="0" xfId="40" applyNumberFormat="1" applyFill="1" applyAlignment="1">
      <alignment horizontal="center"/>
    </xf>
    <xf numFmtId="0" fontId="10" fillId="4" borderId="0" xfId="40" applyFont="1" applyFill="1"/>
    <xf numFmtId="0" fontId="3" fillId="4" borderId="0" xfId="40" applyFill="1"/>
    <xf numFmtId="0" fontId="10" fillId="0" borderId="0" xfId="40" applyFont="1"/>
    <xf numFmtId="0" fontId="5" fillId="0" borderId="0" xfId="40" applyFont="1"/>
    <xf numFmtId="0" fontId="10" fillId="9" borderId="0" xfId="40" applyFont="1" applyFill="1"/>
    <xf numFmtId="168" fontId="3" fillId="0" borderId="0" xfId="40" applyNumberFormat="1"/>
    <xf numFmtId="0" fontId="10" fillId="0" borderId="0" xfId="40" applyNumberFormat="1" applyFont="1"/>
    <xf numFmtId="1" fontId="10" fillId="0" borderId="0" xfId="40" applyNumberFormat="1" applyFont="1"/>
    <xf numFmtId="0" fontId="10" fillId="0" borderId="0" xfId="40" applyFont="1" applyFill="1"/>
    <xf numFmtId="2" fontId="3" fillId="0" borderId="0" xfId="40" applyNumberFormat="1"/>
    <xf numFmtId="170" fontId="26" fillId="0" borderId="0" xfId="40" applyNumberFormat="1" applyFont="1" applyFill="1" applyAlignment="1">
      <alignment horizontal="center"/>
    </xf>
    <xf numFmtId="199" fontId="26" fillId="0" borderId="0" xfId="40" applyNumberFormat="1" applyFont="1" applyFill="1" applyAlignment="1">
      <alignment horizontal="center"/>
    </xf>
    <xf numFmtId="2" fontId="42" fillId="0" borderId="0" xfId="40" applyNumberFormat="1" applyFont="1" applyAlignment="1">
      <alignment horizontal="center"/>
    </xf>
    <xf numFmtId="3" fontId="10" fillId="3" borderId="25" xfId="0" applyNumberFormat="1" applyFont="1" applyFill="1" applyBorder="1" applyAlignment="1">
      <alignment horizontal="left" indent="1"/>
    </xf>
    <xf numFmtId="3" fontId="10" fillId="3" borderId="4" xfId="0" applyNumberFormat="1" applyFont="1" applyFill="1" applyBorder="1" applyAlignment="1">
      <alignment horizontal="left" indent="1"/>
    </xf>
    <xf numFmtId="165" fontId="10" fillId="3" borderId="4" xfId="0" applyNumberFormat="1" applyFont="1" applyFill="1" applyBorder="1" applyAlignment="1">
      <alignment horizontal="left" indent="1"/>
    </xf>
    <xf numFmtId="9" fontId="5" fillId="3" borderId="4" xfId="0" applyNumberFormat="1" applyFont="1" applyFill="1" applyBorder="1" applyAlignment="1">
      <alignment horizontal="left" indent="4"/>
    </xf>
    <xf numFmtId="165" fontId="5" fillId="3" borderId="4" xfId="0" applyNumberFormat="1" applyFont="1" applyFill="1" applyBorder="1" applyAlignment="1">
      <alignment horizontal="left" indent="3"/>
    </xf>
    <xf numFmtId="0" fontId="5" fillId="3" borderId="4" xfId="0" applyFont="1" applyFill="1" applyBorder="1" applyAlignment="1">
      <alignment horizontal="left" indent="2"/>
    </xf>
    <xf numFmtId="165" fontId="5" fillId="3" borderId="4" xfId="0" applyNumberFormat="1" applyFont="1" applyFill="1" applyBorder="1" applyAlignment="1">
      <alignment horizontal="left" vertical="top" indent="3"/>
    </xf>
    <xf numFmtId="9" fontId="5" fillId="3" borderId="4" xfId="0" applyNumberFormat="1" applyFont="1" applyFill="1" applyBorder="1" applyAlignment="1">
      <alignment horizontal="left" vertical="top" indent="3"/>
    </xf>
    <xf numFmtId="9" fontId="5" fillId="0" borderId="4" xfId="0" applyNumberFormat="1" applyFont="1" applyBorder="1" applyAlignment="1">
      <alignment horizontal="left" vertical="top" indent="2"/>
    </xf>
    <xf numFmtId="167" fontId="11" fillId="3" borderId="4" xfId="0" applyNumberFormat="1" applyFont="1" applyFill="1" applyBorder="1" applyAlignment="1" applyProtection="1">
      <alignment horizontal="left" indent="2"/>
    </xf>
    <xf numFmtId="5" fontId="11" fillId="3" borderId="4" xfId="0" applyNumberFormat="1" applyFont="1" applyFill="1" applyBorder="1" applyAlignment="1" applyProtection="1">
      <alignment horizontal="left" indent="3"/>
      <protection locked="0"/>
    </xf>
    <xf numFmtId="9" fontId="11" fillId="3" borderId="4" xfId="0" applyNumberFormat="1" applyFont="1" applyFill="1" applyBorder="1" applyAlignment="1" applyProtection="1">
      <alignment horizontal="left" indent="3"/>
      <protection locked="0"/>
    </xf>
    <xf numFmtId="3" fontId="5" fillId="3" borderId="4" xfId="0" applyNumberFormat="1" applyFont="1" applyFill="1" applyBorder="1" applyAlignment="1">
      <alignment horizontal="left" indent="2"/>
    </xf>
    <xf numFmtId="165" fontId="5" fillId="0" borderId="4" xfId="0" applyNumberFormat="1" applyFont="1" applyBorder="1" applyAlignment="1">
      <alignment horizontal="left" vertical="top" indent="2"/>
    </xf>
    <xf numFmtId="9" fontId="5" fillId="3" borderId="4" xfId="0" applyNumberFormat="1" applyFont="1" applyFill="1" applyBorder="1" applyAlignment="1">
      <alignment horizontal="left" vertical="top" indent="2"/>
    </xf>
    <xf numFmtId="6" fontId="10" fillId="5" borderId="0" xfId="29" applyNumberFormat="1" applyFont="1" applyFill="1" applyBorder="1"/>
    <xf numFmtId="3" fontId="10" fillId="3" borderId="4" xfId="0" applyNumberFormat="1" applyFont="1" applyFill="1" applyBorder="1" applyAlignment="1">
      <alignment horizontal="left"/>
    </xf>
    <xf numFmtId="9" fontId="10" fillId="3" borderId="4" xfId="0" applyNumberFormat="1" applyFont="1" applyFill="1" applyBorder="1" applyAlignment="1">
      <alignment horizontal="left"/>
    </xf>
    <xf numFmtId="166" fontId="11" fillId="3" borderId="4" xfId="0" applyNumberFormat="1" applyFont="1" applyFill="1" applyBorder="1" applyAlignment="1">
      <alignment horizontal="left" indent="1"/>
    </xf>
    <xf numFmtId="167" fontId="10" fillId="3" borderId="26" xfId="0" applyNumberFormat="1" applyFont="1" applyFill="1" applyBorder="1" applyAlignment="1">
      <alignment horizontal="left"/>
    </xf>
    <xf numFmtId="167" fontId="25" fillId="3" borderId="27" xfId="0" applyNumberFormat="1" applyFont="1" applyFill="1" applyBorder="1" applyAlignment="1">
      <alignment horizontal="left"/>
    </xf>
    <xf numFmtId="167" fontId="5" fillId="3" borderId="4" xfId="0" applyNumberFormat="1" applyFont="1" applyFill="1" applyBorder="1" applyAlignment="1">
      <alignment horizontal="left" indent="2"/>
    </xf>
    <xf numFmtId="0" fontId="25" fillId="3" borderId="27" xfId="0" applyFont="1" applyFill="1" applyBorder="1" applyAlignment="1">
      <alignment horizontal="left"/>
    </xf>
    <xf numFmtId="166" fontId="5" fillId="3" borderId="4" xfId="0" applyNumberFormat="1" applyFont="1" applyFill="1" applyBorder="1" applyAlignment="1">
      <alignment horizontal="left" indent="2"/>
    </xf>
    <xf numFmtId="167" fontId="25" fillId="3" borderId="28" xfId="0" applyNumberFormat="1" applyFont="1" applyFill="1" applyBorder="1" applyAlignment="1">
      <alignment horizontal="left"/>
    </xf>
    <xf numFmtId="167" fontId="5" fillId="3" borderId="29" xfId="0" applyNumberFormat="1" applyFont="1" applyFill="1" applyBorder="1" applyAlignment="1">
      <alignment horizontal="left" indent="2"/>
    </xf>
    <xf numFmtId="167" fontId="5" fillId="3" borderId="26" xfId="0" applyNumberFormat="1" applyFont="1" applyFill="1" applyBorder="1" applyAlignment="1">
      <alignment horizontal="left" indent="1"/>
    </xf>
    <xf numFmtId="165" fontId="23" fillId="3" borderId="27" xfId="0" applyNumberFormat="1" applyFont="1" applyFill="1" applyBorder="1" applyAlignment="1">
      <alignment horizontal="left"/>
    </xf>
    <xf numFmtId="167" fontId="11" fillId="3" borderId="4" xfId="0" applyNumberFormat="1" applyFont="1" applyFill="1" applyBorder="1" applyAlignment="1">
      <alignment horizontal="left" indent="2"/>
    </xf>
    <xf numFmtId="167" fontId="5" fillId="3" borderId="4" xfId="0" applyNumberFormat="1" applyFont="1" applyFill="1" applyBorder="1" applyAlignment="1">
      <alignment horizontal="left" indent="4"/>
    </xf>
    <xf numFmtId="2" fontId="46" fillId="3" borderId="4" xfId="0" applyNumberFormat="1" applyFont="1" applyFill="1" applyBorder="1" applyAlignment="1" applyProtection="1">
      <alignment horizontal="left" vertical="top" indent="2"/>
    </xf>
    <xf numFmtId="165" fontId="5" fillId="3" borderId="4" xfId="0" applyNumberFormat="1" applyFont="1" applyFill="1" applyBorder="1" applyAlignment="1">
      <alignment horizontal="left" indent="4"/>
    </xf>
    <xf numFmtId="168" fontId="11" fillId="3" borderId="4" xfId="0" applyNumberFormat="1" applyFont="1" applyFill="1" applyBorder="1" applyAlignment="1">
      <alignment horizontal="left" indent="4"/>
    </xf>
    <xf numFmtId="2" fontId="11" fillId="3" borderId="4" xfId="0" applyNumberFormat="1" applyFont="1" applyFill="1" applyBorder="1" applyAlignment="1" applyProtection="1">
      <alignment horizontal="left" vertical="top" indent="2"/>
    </xf>
    <xf numFmtId="167" fontId="5" fillId="3" borderId="30" xfId="0" applyNumberFormat="1" applyFont="1" applyFill="1" applyBorder="1" applyAlignment="1">
      <alignment horizontal="left" vertical="top" indent="2"/>
    </xf>
    <xf numFmtId="2" fontId="11" fillId="3" borderId="4" xfId="0" applyNumberFormat="1" applyFont="1" applyFill="1" applyBorder="1" applyAlignment="1" applyProtection="1">
      <alignment horizontal="left" vertical="top" indent="4"/>
    </xf>
    <xf numFmtId="167" fontId="5" fillId="3" borderId="4" xfId="0" applyNumberFormat="1" applyFont="1" applyFill="1" applyBorder="1" applyAlignment="1">
      <alignment horizontal="left" vertical="top" indent="4"/>
    </xf>
    <xf numFmtId="165" fontId="5" fillId="3" borderId="4" xfId="0" applyNumberFormat="1" applyFont="1" applyFill="1" applyBorder="1" applyAlignment="1">
      <alignment horizontal="left" vertical="top" indent="2"/>
    </xf>
    <xf numFmtId="3" fontId="11" fillId="0" borderId="30" xfId="29" applyNumberFormat="1" applyFont="1" applyBorder="1" applyAlignment="1" applyProtection="1">
      <alignment horizontal="left"/>
    </xf>
    <xf numFmtId="1" fontId="11" fillId="0" borderId="4" xfId="29" applyNumberFormat="1" applyFont="1" applyBorder="1" applyAlignment="1" applyProtection="1">
      <alignment horizontal="left"/>
    </xf>
    <xf numFmtId="167" fontId="5" fillId="3" borderId="27" xfId="0" applyNumberFormat="1" applyFont="1" applyFill="1" applyBorder="1" applyAlignment="1">
      <alignment horizontal="left"/>
    </xf>
    <xf numFmtId="9" fontId="5" fillId="3" borderId="27" xfId="0" applyNumberFormat="1" applyFont="1" applyFill="1" applyBorder="1" applyAlignment="1">
      <alignment horizontal="left"/>
    </xf>
    <xf numFmtId="168" fontId="5" fillId="3" borderId="4" xfId="0" applyNumberFormat="1" applyFont="1" applyFill="1" applyBorder="1" applyAlignment="1">
      <alignment horizontal="left" vertical="top" indent="2"/>
    </xf>
    <xf numFmtId="2" fontId="5" fillId="3" borderId="27" xfId="0" applyNumberFormat="1" applyFont="1" applyFill="1" applyBorder="1" applyAlignment="1">
      <alignment horizontal="left"/>
    </xf>
    <xf numFmtId="2" fontId="11" fillId="3" borderId="4" xfId="0" applyNumberFormat="1" applyFont="1" applyFill="1" applyBorder="1" applyAlignment="1">
      <alignment horizontal="left" indent="1"/>
    </xf>
    <xf numFmtId="0" fontId="5" fillId="3" borderId="4" xfId="0" applyFont="1" applyFill="1" applyBorder="1" applyAlignment="1">
      <alignment horizontal="left" vertical="top" indent="3"/>
    </xf>
    <xf numFmtId="0" fontId="11" fillId="0" borderId="4" xfId="0" applyFont="1" applyBorder="1" applyAlignment="1">
      <alignment horizontal="left" vertical="top" indent="2"/>
    </xf>
    <xf numFmtId="167" fontId="5" fillId="3" borderId="4" xfId="0" applyNumberFormat="1" applyFont="1" applyFill="1" applyBorder="1" applyAlignment="1">
      <alignment horizontal="left"/>
    </xf>
    <xf numFmtId="1" fontId="5" fillId="3" borderId="4" xfId="0" applyNumberFormat="1" applyFont="1" applyFill="1" applyBorder="1" applyAlignment="1">
      <alignment horizontal="left"/>
    </xf>
    <xf numFmtId="167" fontId="10" fillId="3" borderId="4" xfId="0" applyNumberFormat="1" applyFont="1" applyFill="1" applyBorder="1" applyAlignment="1">
      <alignment horizontal="left"/>
    </xf>
    <xf numFmtId="165" fontId="10" fillId="3" borderId="4" xfId="0" applyNumberFormat="1" applyFont="1" applyFill="1" applyBorder="1" applyAlignment="1">
      <alignment horizontal="left"/>
    </xf>
    <xf numFmtId="165" fontId="11" fillId="3" borderId="4" xfId="49" applyNumberFormat="1" applyFont="1" applyFill="1" applyBorder="1" applyAlignment="1" applyProtection="1">
      <alignment horizontal="left" indent="1"/>
    </xf>
    <xf numFmtId="9" fontId="25" fillId="3" borderId="4" xfId="0" applyNumberFormat="1" applyFont="1" applyFill="1" applyBorder="1" applyAlignment="1">
      <alignment horizontal="left" indent="1"/>
    </xf>
    <xf numFmtId="167" fontId="21" fillId="3" borderId="4" xfId="49" applyNumberFormat="1" applyFont="1" applyFill="1" applyBorder="1" applyAlignment="1" applyProtection="1">
      <alignment horizontal="left"/>
    </xf>
    <xf numFmtId="167" fontId="23" fillId="3" borderId="4" xfId="0" applyNumberFormat="1" applyFont="1" applyFill="1" applyBorder="1" applyAlignment="1">
      <alignment horizontal="left"/>
    </xf>
    <xf numFmtId="167" fontId="5" fillId="3" borderId="4" xfId="45" applyNumberFormat="1" applyFont="1" applyFill="1" applyBorder="1" applyAlignment="1">
      <alignment horizontal="left" indent="1"/>
    </xf>
    <xf numFmtId="167" fontId="32" fillId="3" borderId="4" xfId="42" applyNumberFormat="1" applyFont="1" applyFill="1" applyBorder="1" applyAlignment="1">
      <alignment horizontal="left" indent="2"/>
    </xf>
    <xf numFmtId="165" fontId="5" fillId="3" borderId="4" xfId="42" applyNumberFormat="1" applyFont="1" applyFill="1" applyBorder="1" applyAlignment="1">
      <alignment horizontal="left" indent="2"/>
    </xf>
    <xf numFmtId="167" fontId="11" fillId="3" borderId="4" xfId="45" applyNumberFormat="1" applyFont="1" applyFill="1" applyBorder="1" applyAlignment="1">
      <alignment horizontal="left" indent="2"/>
    </xf>
    <xf numFmtId="37" fontId="34" fillId="3" borderId="4" xfId="45" applyNumberFormat="1" applyFont="1" applyFill="1" applyBorder="1" applyAlignment="1">
      <alignment horizontal="left"/>
    </xf>
    <xf numFmtId="167" fontId="11" fillId="3" borderId="4" xfId="0" applyNumberFormat="1" applyFont="1" applyFill="1" applyBorder="1" applyAlignment="1" applyProtection="1">
      <alignment horizontal="left"/>
    </xf>
    <xf numFmtId="167" fontId="11" fillId="3" borderId="4" xfId="29" applyNumberFormat="1" applyFont="1" applyFill="1" applyBorder="1" applyAlignment="1" applyProtection="1">
      <alignment horizontal="left"/>
    </xf>
    <xf numFmtId="171" fontId="5" fillId="3" borderId="4" xfId="0" applyNumberFormat="1" applyFont="1" applyFill="1" applyBorder="1" applyAlignment="1">
      <alignment horizontal="left"/>
    </xf>
    <xf numFmtId="0" fontId="5" fillId="3" borderId="4" xfId="46" applyNumberFormat="1" applyFont="1" applyFill="1" applyBorder="1" applyAlignment="1">
      <alignment horizontal="left"/>
    </xf>
    <xf numFmtId="165" fontId="11" fillId="3" borderId="4" xfId="0" applyNumberFormat="1" applyFont="1" applyFill="1" applyBorder="1" applyAlignment="1" applyProtection="1">
      <alignment horizontal="left" indent="3"/>
      <protection locked="0"/>
    </xf>
    <xf numFmtId="0" fontId="5" fillId="3" borderId="4" xfId="46" applyFont="1" applyFill="1" applyBorder="1" applyAlignment="1">
      <alignment horizontal="left" indent="1"/>
    </xf>
    <xf numFmtId="167" fontId="21" fillId="3" borderId="4" xfId="0" applyNumberFormat="1" applyFont="1" applyFill="1" applyBorder="1" applyAlignment="1" applyProtection="1">
      <alignment horizontal="left"/>
    </xf>
    <xf numFmtId="167" fontId="11" fillId="3" borderId="4" xfId="0" applyNumberFormat="1" applyFont="1" applyFill="1" applyBorder="1" applyAlignment="1" applyProtection="1">
      <alignment horizontal="left" indent="1"/>
      <protection locked="0"/>
    </xf>
    <xf numFmtId="167" fontId="5" fillId="3" borderId="4" xfId="46" applyNumberFormat="1" applyFont="1" applyFill="1" applyBorder="1" applyAlignment="1">
      <alignment horizontal="left" indent="1"/>
    </xf>
    <xf numFmtId="167" fontId="11" fillId="3" borderId="4" xfId="29" applyNumberFormat="1" applyFont="1" applyFill="1" applyBorder="1" applyAlignment="1">
      <alignment horizontal="left" indent="1"/>
    </xf>
    <xf numFmtId="167" fontId="21" fillId="3" borderId="4" xfId="29" applyNumberFormat="1" applyFont="1" applyFill="1" applyBorder="1" applyAlignment="1">
      <alignment horizontal="left"/>
    </xf>
    <xf numFmtId="165" fontId="11" fillId="3" borderId="31" xfId="49" applyNumberFormat="1" applyFont="1" applyFill="1" applyBorder="1"/>
    <xf numFmtId="167" fontId="24" fillId="3" borderId="4" xfId="32" applyNumberFormat="1" applyFont="1" applyFill="1" applyBorder="1" applyAlignment="1" applyProtection="1">
      <alignment vertical="top"/>
    </xf>
    <xf numFmtId="167" fontId="49" fillId="3" borderId="0" xfId="0" applyNumberFormat="1" applyFont="1" applyFill="1" applyBorder="1" applyAlignment="1">
      <alignment vertical="top"/>
    </xf>
    <xf numFmtId="9" fontId="24" fillId="3" borderId="0" xfId="49" applyNumberFormat="1" applyFont="1" applyFill="1" applyBorder="1" applyAlignment="1">
      <alignment vertical="top"/>
    </xf>
    <xf numFmtId="167" fontId="24" fillId="3" borderId="3" xfId="49" applyNumberFormat="1" applyFont="1" applyFill="1" applyBorder="1" applyAlignment="1"/>
    <xf numFmtId="167" fontId="29" fillId="5" borderId="23" xfId="0" applyNumberFormat="1" applyFont="1" applyFill="1" applyBorder="1"/>
    <xf numFmtId="0" fontId="3" fillId="0" borderId="0" xfId="40" applyFont="1"/>
    <xf numFmtId="165" fontId="5" fillId="0" borderId="0" xfId="0" applyNumberFormat="1" applyFont="1" applyFill="1" applyBorder="1"/>
    <xf numFmtId="165" fontId="24" fillId="0" borderId="0" xfId="49" applyNumberFormat="1" applyFont="1" applyFill="1" applyBorder="1"/>
    <xf numFmtId="168" fontId="3" fillId="0" borderId="0" xfId="40" applyNumberFormat="1" applyFill="1"/>
    <xf numFmtId="1" fontId="10" fillId="0" borderId="0" xfId="40" applyNumberFormat="1" applyFont="1" applyFill="1"/>
    <xf numFmtId="166" fontId="5" fillId="5" borderId="0" xfId="41" applyNumberFormat="1" applyFont="1" applyFill="1" applyBorder="1"/>
    <xf numFmtId="9" fontId="31" fillId="5" borderId="0" xfId="0" applyNumberFormat="1" applyFont="1" applyFill="1" applyBorder="1"/>
    <xf numFmtId="3" fontId="5" fillId="3" borderId="0" xfId="49" applyNumberFormat="1" applyFont="1" applyFill="1" applyBorder="1"/>
    <xf numFmtId="3" fontId="5" fillId="3" borderId="3" xfId="49" applyNumberFormat="1" applyFont="1" applyFill="1" applyBorder="1"/>
    <xf numFmtId="3" fontId="11" fillId="3" borderId="3" xfId="49" applyNumberFormat="1" applyFont="1" applyFill="1" applyBorder="1"/>
    <xf numFmtId="167" fontId="46" fillId="0" borderId="30" xfId="29" applyNumberFormat="1" applyFont="1" applyBorder="1" applyAlignment="1" applyProtection="1">
      <alignment horizontal="left"/>
    </xf>
    <xf numFmtId="167" fontId="25" fillId="3" borderId="16" xfId="30" applyNumberFormat="1" applyFont="1" applyFill="1" applyBorder="1" applyProtection="1"/>
    <xf numFmtId="167" fontId="25" fillId="3" borderId="17" xfId="30" applyNumberFormat="1" applyFont="1" applyFill="1" applyBorder="1" applyProtection="1"/>
    <xf numFmtId="167" fontId="25" fillId="3" borderId="17" xfId="29" applyNumberFormat="1" applyFont="1" applyFill="1" applyBorder="1"/>
    <xf numFmtId="167" fontId="25" fillId="3" borderId="16" xfId="0" applyNumberFormat="1" applyFont="1" applyFill="1" applyBorder="1"/>
    <xf numFmtId="167" fontId="25" fillId="3" borderId="16" xfId="49" applyNumberFormat="1" applyFont="1" applyFill="1" applyBorder="1"/>
    <xf numFmtId="167" fontId="60" fillId="6" borderId="0" xfId="0" applyNumberFormat="1" applyFont="1" applyFill="1" applyBorder="1" applyAlignment="1" applyProtection="1"/>
    <xf numFmtId="0" fontId="25" fillId="3" borderId="4" xfId="0" applyFont="1" applyFill="1" applyBorder="1" applyAlignment="1">
      <alignment horizontal="left" indent="2"/>
    </xf>
    <xf numFmtId="3" fontId="11" fillId="3" borderId="0" xfId="49" applyNumberFormat="1" applyFont="1" applyFill="1" applyBorder="1"/>
    <xf numFmtId="3" fontId="34" fillId="3" borderId="0" xfId="0" applyNumberFormat="1" applyFont="1" applyFill="1" applyBorder="1"/>
    <xf numFmtId="3" fontId="23" fillId="3" borderId="0" xfId="0" applyNumberFormat="1" applyFont="1" applyFill="1" applyBorder="1"/>
    <xf numFmtId="3" fontId="60" fillId="6" borderId="0" xfId="0" applyNumberFormat="1" applyFont="1" applyFill="1" applyBorder="1" applyAlignment="1" applyProtection="1"/>
    <xf numFmtId="165" fontId="25" fillId="3" borderId="0" xfId="49" applyNumberFormat="1" applyFont="1" applyFill="1" applyBorder="1"/>
    <xf numFmtId="165" fontId="25" fillId="3" borderId="3" xfId="49" applyNumberFormat="1" applyFont="1" applyFill="1" applyBorder="1"/>
    <xf numFmtId="165" fontId="46" fillId="3" borderId="0" xfId="49" applyNumberFormat="1" applyFont="1" applyFill="1" applyBorder="1"/>
    <xf numFmtId="3" fontId="10" fillId="3" borderId="33" xfId="0" applyNumberFormat="1" applyFont="1" applyFill="1" applyBorder="1"/>
    <xf numFmtId="165" fontId="5" fillId="3" borderId="33" xfId="49" applyNumberFormat="1" applyFont="1" applyFill="1" applyBorder="1"/>
    <xf numFmtId="3" fontId="11" fillId="3" borderId="4" xfId="49" applyNumberFormat="1" applyFont="1" applyFill="1" applyBorder="1"/>
    <xf numFmtId="165" fontId="46" fillId="3" borderId="4" xfId="49" applyNumberFormat="1" applyFont="1" applyFill="1" applyBorder="1"/>
    <xf numFmtId="3" fontId="10" fillId="3" borderId="4" xfId="0" applyNumberFormat="1" applyFont="1" applyFill="1" applyBorder="1"/>
    <xf numFmtId="165" fontId="11" fillId="3" borderId="4" xfId="49" applyNumberFormat="1" applyFont="1" applyFill="1" applyBorder="1"/>
    <xf numFmtId="165" fontId="11" fillId="3" borderId="33" xfId="49" applyNumberFormat="1" applyFont="1" applyFill="1" applyBorder="1"/>
    <xf numFmtId="9" fontId="10" fillId="3" borderId="33" xfId="0" applyNumberFormat="1" applyFont="1" applyFill="1" applyBorder="1"/>
    <xf numFmtId="165" fontId="5" fillId="3" borderId="4" xfId="49" applyNumberFormat="1" applyFont="1" applyFill="1" applyBorder="1"/>
    <xf numFmtId="3" fontId="5" fillId="3" borderId="4" xfId="49" applyNumberFormat="1" applyFont="1" applyFill="1" applyBorder="1"/>
    <xf numFmtId="165" fontId="25" fillId="3" borderId="4" xfId="49" applyNumberFormat="1" applyFont="1" applyFill="1" applyBorder="1"/>
    <xf numFmtId="9" fontId="10" fillId="3" borderId="4" xfId="0" applyNumberFormat="1" applyFont="1" applyFill="1" applyBorder="1"/>
    <xf numFmtId="3" fontId="10" fillId="3" borderId="31" xfId="0" applyNumberFormat="1" applyFont="1" applyFill="1" applyBorder="1"/>
    <xf numFmtId="166" fontId="56" fillId="3" borderId="0" xfId="0" applyNumberFormat="1" applyFont="1" applyFill="1" applyBorder="1"/>
    <xf numFmtId="3" fontId="5" fillId="3" borderId="4" xfId="0" applyNumberFormat="1" applyFont="1" applyFill="1" applyBorder="1" applyAlignment="1">
      <alignment horizontal="left" indent="1"/>
    </xf>
    <xf numFmtId="167" fontId="24" fillId="0" borderId="0" xfId="32" applyNumberFormat="1" applyFont="1" applyFill="1" applyBorder="1" applyAlignment="1" applyProtection="1">
      <alignment vertical="top"/>
    </xf>
    <xf numFmtId="167" fontId="24" fillId="0" borderId="0" xfId="0" applyNumberFormat="1" applyFont="1" applyFill="1" applyBorder="1"/>
    <xf numFmtId="165" fontId="46" fillId="3" borderId="32" xfId="49" applyNumberFormat="1" applyFont="1" applyFill="1" applyBorder="1"/>
    <xf numFmtId="3" fontId="11" fillId="3" borderId="32" xfId="49" applyNumberFormat="1" applyFont="1" applyFill="1" applyBorder="1"/>
    <xf numFmtId="3" fontId="10" fillId="3" borderId="32" xfId="0" applyNumberFormat="1" applyFont="1" applyFill="1" applyBorder="1"/>
    <xf numFmtId="165" fontId="5" fillId="3" borderId="32" xfId="49" applyNumberFormat="1" applyFont="1" applyFill="1" applyBorder="1"/>
    <xf numFmtId="9" fontId="10" fillId="3" borderId="32" xfId="0" applyNumberFormat="1" applyFont="1" applyFill="1" applyBorder="1"/>
    <xf numFmtId="166" fontId="11" fillId="3" borderId="32" xfId="49" applyNumberFormat="1" applyFont="1" applyFill="1" applyBorder="1"/>
    <xf numFmtId="0" fontId="22" fillId="6" borderId="32" xfId="0" applyFont="1" applyFill="1" applyBorder="1"/>
    <xf numFmtId="167" fontId="10" fillId="5" borderId="32" xfId="0" applyNumberFormat="1" applyFont="1" applyFill="1" applyBorder="1"/>
    <xf numFmtId="167" fontId="10" fillId="5" borderId="4" xfId="29" applyNumberFormat="1" applyFont="1" applyFill="1" applyBorder="1"/>
    <xf numFmtId="0" fontId="22" fillId="7" borderId="36" xfId="0" applyFont="1" applyFill="1" applyBorder="1"/>
    <xf numFmtId="167" fontId="5" fillId="3" borderId="4" xfId="49" applyNumberFormat="1" applyFont="1" applyFill="1" applyBorder="1" applyAlignment="1" applyProtection="1">
      <alignment vertical="top"/>
    </xf>
    <xf numFmtId="9" fontId="5" fillId="3" borderId="3" xfId="0" applyNumberFormat="1" applyFont="1" applyFill="1" applyBorder="1" applyAlignment="1">
      <alignment vertical="top"/>
    </xf>
    <xf numFmtId="165" fontId="5" fillId="3" borderId="4" xfId="0" applyNumberFormat="1" applyFont="1" applyFill="1" applyBorder="1" applyAlignment="1">
      <alignment horizontal="left" indent="1"/>
    </xf>
    <xf numFmtId="165" fontId="5" fillId="3" borderId="3" xfId="29" applyNumberFormat="1" applyFont="1" applyFill="1" applyBorder="1"/>
    <xf numFmtId="165" fontId="23" fillId="3" borderId="0" xfId="0" applyNumberFormat="1" applyFont="1" applyFill="1" applyBorder="1"/>
    <xf numFmtId="165" fontId="60" fillId="6" borderId="0" xfId="0" applyNumberFormat="1" applyFont="1" applyFill="1" applyBorder="1" applyAlignment="1" applyProtection="1">
      <alignment horizontal="right"/>
    </xf>
    <xf numFmtId="165" fontId="62" fillId="6" borderId="0" xfId="0" applyNumberFormat="1" applyFont="1" applyFill="1" applyBorder="1" applyAlignment="1" applyProtection="1">
      <alignment horizontal="right"/>
    </xf>
    <xf numFmtId="165" fontId="5" fillId="3" borderId="37" xfId="0" applyNumberFormat="1" applyFont="1" applyFill="1" applyBorder="1" applyAlignment="1">
      <alignment horizontal="left" indent="1"/>
    </xf>
    <xf numFmtId="165" fontId="5" fillId="3" borderId="24" xfId="0" applyNumberFormat="1" applyFont="1" applyFill="1" applyBorder="1"/>
    <xf numFmtId="165" fontId="5" fillId="3" borderId="38" xfId="29" applyNumberFormat="1" applyFont="1" applyFill="1" applyBorder="1"/>
    <xf numFmtId="165" fontId="52" fillId="6" borderId="0" xfId="49" applyNumberFormat="1" applyFont="1" applyFill="1" applyBorder="1" applyAlignment="1" applyProtection="1"/>
    <xf numFmtId="165" fontId="11" fillId="3" borderId="4" xfId="0" applyNumberFormat="1" applyFont="1" applyFill="1" applyBorder="1" applyAlignment="1" applyProtection="1">
      <alignment horizontal="left" indent="2"/>
    </xf>
    <xf numFmtId="165" fontId="5" fillId="3" borderId="0" xfId="0" applyNumberFormat="1" applyFont="1" applyFill="1" applyBorder="1" applyProtection="1">
      <protection locked="0"/>
    </xf>
    <xf numFmtId="165" fontId="11" fillId="3" borderId="3" xfId="0" applyNumberFormat="1" applyFont="1" applyFill="1" applyBorder="1" applyProtection="1"/>
    <xf numFmtId="165" fontId="24" fillId="3" borderId="3" xfId="0" applyNumberFormat="1" applyFont="1" applyFill="1" applyBorder="1" applyProtection="1"/>
    <xf numFmtId="165" fontId="26" fillId="3" borderId="0" xfId="0" applyNumberFormat="1" applyFont="1" applyFill="1"/>
    <xf numFmtId="165" fontId="12" fillId="6" borderId="0" xfId="0" applyNumberFormat="1" applyFont="1" applyFill="1" applyBorder="1"/>
    <xf numFmtId="165" fontId="11" fillId="3" borderId="0" xfId="0" applyNumberFormat="1" applyFont="1" applyFill="1" applyBorder="1" applyProtection="1"/>
    <xf numFmtId="165" fontId="23" fillId="3" borderId="0" xfId="29" applyNumberFormat="1" applyFont="1" applyFill="1" applyBorder="1"/>
    <xf numFmtId="165" fontId="11" fillId="3" borderId="20" xfId="0" applyNumberFormat="1" applyFont="1" applyFill="1" applyBorder="1" applyProtection="1"/>
    <xf numFmtId="165" fontId="28" fillId="3" borderId="0" xfId="29" applyNumberFormat="1" applyFont="1" applyFill="1" applyBorder="1"/>
    <xf numFmtId="165" fontId="5" fillId="5" borderId="0" xfId="29" applyNumberFormat="1" applyFont="1" applyFill="1" applyBorder="1"/>
    <xf numFmtId="165" fontId="25" fillId="5" borderId="0" xfId="29" applyNumberFormat="1" applyFont="1" applyFill="1" applyBorder="1"/>
    <xf numFmtId="165" fontId="5" fillId="3" borderId="24" xfId="49" applyNumberFormat="1" applyFont="1" applyFill="1" applyBorder="1"/>
    <xf numFmtId="165" fontId="5" fillId="3" borderId="38" xfId="49" applyNumberFormat="1" applyFont="1" applyFill="1" applyBorder="1"/>
    <xf numFmtId="165" fontId="10" fillId="3" borderId="24" xfId="0" applyNumberFormat="1" applyFont="1" applyFill="1" applyBorder="1"/>
    <xf numFmtId="165" fontId="16" fillId="3" borderId="24" xfId="0" applyNumberFormat="1" applyFont="1" applyFill="1" applyBorder="1"/>
    <xf numFmtId="165" fontId="24" fillId="5" borderId="0" xfId="49" applyNumberFormat="1" applyFont="1" applyFill="1" applyBorder="1" applyProtection="1"/>
    <xf numFmtId="165" fontId="25" fillId="5" borderId="0" xfId="0" applyNumberFormat="1" applyFont="1" applyFill="1" applyBorder="1"/>
    <xf numFmtId="172" fontId="5" fillId="5" borderId="0" xfId="29" applyNumberFormat="1" applyFont="1" applyFill="1" applyBorder="1"/>
    <xf numFmtId="167" fontId="25" fillId="5" borderId="0" xfId="29" applyNumberFormat="1" applyFont="1" applyFill="1" applyBorder="1"/>
    <xf numFmtId="7" fontId="5" fillId="5" borderId="0" xfId="0" applyNumberFormat="1" applyFont="1" applyFill="1" applyBorder="1"/>
    <xf numFmtId="167" fontId="5" fillId="5" borderId="0" xfId="0" applyNumberFormat="1" applyFont="1" applyFill="1" applyBorder="1" applyAlignment="1">
      <alignment vertical="top"/>
    </xf>
    <xf numFmtId="9" fontId="5" fillId="5" borderId="0" xfId="0" applyNumberFormat="1" applyFont="1" applyFill="1" applyBorder="1" applyAlignment="1">
      <alignment vertical="top"/>
    </xf>
    <xf numFmtId="5" fontId="5" fillId="5" borderId="0" xfId="46" applyNumberFormat="1" applyFont="1" applyFill="1" applyBorder="1"/>
    <xf numFmtId="9" fontId="5" fillId="5" borderId="0" xfId="46" applyNumberFormat="1" applyFont="1" applyFill="1" applyBorder="1"/>
    <xf numFmtId="167" fontId="5" fillId="5" borderId="0" xfId="46" applyNumberFormat="1" applyFont="1" applyFill="1" applyBorder="1"/>
    <xf numFmtId="3" fontId="10" fillId="0" borderId="0" xfId="0" applyNumberFormat="1" applyFont="1" applyFill="1" applyBorder="1"/>
    <xf numFmtId="3" fontId="5" fillId="0" borderId="0" xfId="0" applyNumberFormat="1" applyFont="1" applyFill="1" applyBorder="1"/>
    <xf numFmtId="165" fontId="10" fillId="0" borderId="0" xfId="0" applyNumberFormat="1" applyFont="1" applyFill="1" applyBorder="1"/>
    <xf numFmtId="9" fontId="10" fillId="0" borderId="0" xfId="0" applyNumberFormat="1" applyFont="1" applyFill="1" applyBorder="1"/>
    <xf numFmtId="166" fontId="5" fillId="0" borderId="0" xfId="0" applyNumberFormat="1" applyFont="1" applyFill="1" applyBorder="1"/>
    <xf numFmtId="165" fontId="26" fillId="0" borderId="0" xfId="0" applyNumberFormat="1" applyFont="1" applyFill="1" applyBorder="1"/>
    <xf numFmtId="0" fontId="22" fillId="7" borderId="39" xfId="0" applyFont="1" applyFill="1" applyBorder="1"/>
    <xf numFmtId="3" fontId="10" fillId="5" borderId="39" xfId="0" applyNumberFormat="1" applyFont="1" applyFill="1" applyBorder="1"/>
    <xf numFmtId="165" fontId="10" fillId="3" borderId="39" xfId="0" applyNumberFormat="1" applyFont="1" applyFill="1" applyBorder="1"/>
    <xf numFmtId="0" fontId="22" fillId="6" borderId="39" xfId="0" applyFont="1" applyFill="1" applyBorder="1"/>
    <xf numFmtId="166" fontId="26" fillId="3" borderId="39" xfId="0" applyNumberFormat="1" applyFont="1" applyFill="1" applyBorder="1"/>
    <xf numFmtId="9" fontId="16" fillId="3" borderId="39" xfId="0" applyNumberFormat="1" applyFont="1" applyFill="1" applyBorder="1"/>
    <xf numFmtId="167" fontId="16" fillId="3" borderId="39" xfId="0" applyNumberFormat="1" applyFont="1" applyFill="1" applyBorder="1"/>
    <xf numFmtId="9" fontId="28" fillId="3" borderId="39" xfId="0" applyNumberFormat="1" applyFont="1" applyFill="1" applyBorder="1"/>
    <xf numFmtId="9" fontId="26" fillId="3" borderId="39" xfId="0" applyNumberFormat="1" applyFont="1" applyFill="1" applyBorder="1"/>
    <xf numFmtId="0" fontId="26" fillId="3" borderId="39" xfId="0" applyFont="1" applyFill="1" applyBorder="1"/>
    <xf numFmtId="168" fontId="27" fillId="3" borderId="39" xfId="0" applyNumberFormat="1" applyFont="1" applyFill="1" applyBorder="1"/>
    <xf numFmtId="165" fontId="16" fillId="3" borderId="39" xfId="0" applyNumberFormat="1" applyFont="1" applyFill="1" applyBorder="1"/>
    <xf numFmtId="166" fontId="30" fillId="3" borderId="39" xfId="0" applyNumberFormat="1" applyFont="1" applyFill="1" applyBorder="1"/>
    <xf numFmtId="166" fontId="16" fillId="3" borderId="39" xfId="0" applyNumberFormat="1" applyFont="1" applyFill="1" applyBorder="1"/>
    <xf numFmtId="167" fontId="16" fillId="4" borderId="39" xfId="29" applyNumberFormat="1" applyFont="1" applyFill="1" applyBorder="1"/>
    <xf numFmtId="166" fontId="16" fillId="5" borderId="39" xfId="0" applyNumberFormat="1" applyFont="1" applyFill="1" applyBorder="1"/>
    <xf numFmtId="166" fontId="58" fillId="7" borderId="39" xfId="0" applyNumberFormat="1" applyFont="1" applyFill="1" applyBorder="1"/>
    <xf numFmtId="9" fontId="31" fillId="3" borderId="39" xfId="0" applyNumberFormat="1" applyFont="1" applyFill="1" applyBorder="1"/>
    <xf numFmtId="167" fontId="58" fillId="7" borderId="39" xfId="0" applyNumberFormat="1" applyFont="1" applyFill="1" applyBorder="1"/>
    <xf numFmtId="173" fontId="26" fillId="3" borderId="39" xfId="29" applyNumberFormat="1" applyFont="1" applyFill="1" applyBorder="1"/>
    <xf numFmtId="168" fontId="26" fillId="5" borderId="39" xfId="29" applyNumberFormat="1" applyFont="1" applyFill="1" applyBorder="1"/>
    <xf numFmtId="167" fontId="11" fillId="3" borderId="39" xfId="0" applyNumberFormat="1" applyFont="1" applyFill="1" applyBorder="1"/>
    <xf numFmtId="7" fontId="16" fillId="3" borderId="39" xfId="0" applyNumberFormat="1" applyFont="1" applyFill="1" applyBorder="1"/>
    <xf numFmtId="167" fontId="31" fillId="3" borderId="39" xfId="0" applyNumberFormat="1" applyFont="1" applyFill="1" applyBorder="1"/>
    <xf numFmtId="9" fontId="33" fillId="3" borderId="39" xfId="0" applyNumberFormat="1" applyFont="1" applyFill="1" applyBorder="1" applyAlignment="1">
      <alignment vertical="top"/>
    </xf>
    <xf numFmtId="168" fontId="33" fillId="3" borderId="39" xfId="0" applyNumberFormat="1" applyFont="1" applyFill="1" applyBorder="1" applyAlignment="1">
      <alignment vertical="top"/>
    </xf>
    <xf numFmtId="167" fontId="55" fillId="3" borderId="39" xfId="0" applyNumberFormat="1" applyFont="1" applyFill="1" applyBorder="1" applyAlignment="1">
      <alignment vertical="top"/>
    </xf>
    <xf numFmtId="167" fontId="26" fillId="3" borderId="39" xfId="0" applyNumberFormat="1" applyFont="1" applyFill="1" applyBorder="1" applyAlignment="1">
      <alignment vertical="top"/>
    </xf>
    <xf numFmtId="9" fontId="26" fillId="3" borderId="39" xfId="0" applyNumberFormat="1" applyFont="1" applyFill="1" applyBorder="1" applyAlignment="1">
      <alignment vertical="top"/>
    </xf>
    <xf numFmtId="166" fontId="21" fillId="3" borderId="39" xfId="0" applyNumberFormat="1" applyFont="1" applyFill="1" applyBorder="1"/>
    <xf numFmtId="0" fontId="16" fillId="3" borderId="39" xfId="0" applyFont="1" applyFill="1" applyBorder="1" applyAlignment="1">
      <alignment vertical="top"/>
    </xf>
    <xf numFmtId="0" fontId="16" fillId="3" borderId="39" xfId="0" applyFont="1" applyFill="1" applyBorder="1"/>
    <xf numFmtId="167" fontId="16" fillId="3" borderId="39" xfId="0" applyNumberFormat="1" applyFont="1" applyFill="1" applyBorder="1" applyAlignment="1"/>
    <xf numFmtId="172" fontId="63" fillId="3" borderId="39" xfId="29" applyNumberFormat="1" applyFont="1" applyFill="1" applyBorder="1"/>
    <xf numFmtId="166" fontId="16" fillId="3" borderId="39" xfId="41" applyNumberFormat="1" applyFont="1" applyFill="1" applyBorder="1"/>
    <xf numFmtId="0" fontId="22" fillId="6" borderId="40" xfId="0" applyFont="1" applyFill="1" applyBorder="1" applyAlignment="1">
      <alignment horizontal="center"/>
    </xf>
    <xf numFmtId="0" fontId="22" fillId="7" borderId="40" xfId="0" applyFont="1" applyFill="1" applyBorder="1"/>
    <xf numFmtId="3" fontId="10" fillId="5" borderId="40" xfId="0" applyNumberFormat="1" applyFont="1" applyFill="1" applyBorder="1"/>
    <xf numFmtId="3" fontId="5" fillId="3" borderId="40" xfId="0" applyNumberFormat="1" applyFont="1" applyFill="1" applyBorder="1"/>
    <xf numFmtId="3" fontId="10" fillId="3" borderId="40" xfId="0" applyNumberFormat="1" applyFont="1" applyFill="1" applyBorder="1"/>
    <xf numFmtId="165" fontId="10" fillId="3" borderId="41" xfId="0" applyNumberFormat="1" applyFont="1" applyFill="1" applyBorder="1"/>
    <xf numFmtId="165" fontId="10" fillId="3" borderId="40" xfId="0" applyNumberFormat="1" applyFont="1" applyFill="1" applyBorder="1"/>
    <xf numFmtId="2" fontId="10" fillId="5" borderId="40" xfId="0" applyNumberFormat="1" applyFont="1" applyFill="1" applyBorder="1"/>
    <xf numFmtId="167" fontId="10" fillId="3" borderId="40" xfId="0" applyNumberFormat="1" applyFont="1" applyFill="1" applyBorder="1"/>
    <xf numFmtId="166" fontId="23" fillId="3" borderId="40" xfId="0" applyNumberFormat="1" applyFont="1" applyFill="1" applyBorder="1"/>
    <xf numFmtId="3" fontId="23" fillId="3" borderId="40" xfId="0" applyNumberFormat="1" applyFont="1" applyFill="1" applyBorder="1"/>
    <xf numFmtId="9" fontId="10" fillId="3" borderId="40" xfId="0" applyNumberFormat="1" applyFont="1" applyFill="1" applyBorder="1"/>
    <xf numFmtId="166" fontId="21" fillId="3" borderId="40" xfId="0" applyNumberFormat="1" applyFont="1" applyFill="1" applyBorder="1"/>
    <xf numFmtId="0" fontId="22" fillId="6" borderId="40" xfId="0" applyFont="1" applyFill="1" applyBorder="1"/>
    <xf numFmtId="167" fontId="10" fillId="5" borderId="40" xfId="0" applyNumberFormat="1" applyFont="1" applyFill="1" applyBorder="1"/>
    <xf numFmtId="166" fontId="16" fillId="3" borderId="40" xfId="0" applyNumberFormat="1" applyFont="1" applyFill="1" applyBorder="1"/>
    <xf numFmtId="167" fontId="16" fillId="3" borderId="40" xfId="0" applyNumberFormat="1" applyFont="1" applyFill="1" applyBorder="1"/>
    <xf numFmtId="167" fontId="16" fillId="5" borderId="40" xfId="0" applyNumberFormat="1" applyFont="1" applyFill="1" applyBorder="1"/>
    <xf numFmtId="9" fontId="16" fillId="3" borderId="40" xfId="0" applyNumberFormat="1" applyFont="1" applyFill="1" applyBorder="1"/>
    <xf numFmtId="165" fontId="16" fillId="3" borderId="40" xfId="0" applyNumberFormat="1" applyFont="1" applyFill="1" applyBorder="1"/>
    <xf numFmtId="1" fontId="16" fillId="3" borderId="40" xfId="0" applyNumberFormat="1" applyFont="1" applyFill="1" applyBorder="1"/>
    <xf numFmtId="9" fontId="28" fillId="3" borderId="40" xfId="0" applyNumberFormat="1" applyFont="1" applyFill="1" applyBorder="1"/>
    <xf numFmtId="0" fontId="16" fillId="3" borderId="40" xfId="0" applyFont="1" applyFill="1" applyBorder="1" applyAlignment="1">
      <alignment vertical="top"/>
    </xf>
    <xf numFmtId="165" fontId="28" fillId="3" borderId="40" xfId="0" applyNumberFormat="1" applyFont="1" applyFill="1" applyBorder="1"/>
    <xf numFmtId="0" fontId="16" fillId="3" borderId="40" xfId="0" applyFont="1" applyFill="1" applyBorder="1"/>
    <xf numFmtId="168" fontId="16" fillId="3" borderId="40" xfId="0" applyNumberFormat="1" applyFont="1" applyFill="1" applyBorder="1"/>
    <xf numFmtId="2" fontId="63" fillId="3" borderId="40" xfId="0" applyNumberFormat="1" applyFont="1" applyFill="1" applyBorder="1" applyAlignment="1">
      <alignment vertical="top"/>
    </xf>
    <xf numFmtId="3" fontId="63" fillId="3" borderId="40" xfId="0" applyNumberFormat="1" applyFont="1" applyFill="1" applyBorder="1" applyAlignment="1">
      <alignment vertical="top"/>
    </xf>
    <xf numFmtId="167" fontId="16" fillId="3" borderId="40" xfId="0" applyNumberFormat="1" applyFont="1" applyFill="1" applyBorder="1" applyAlignment="1"/>
    <xf numFmtId="167" fontId="16" fillId="5" borderId="40" xfId="29" applyNumberFormat="1" applyFont="1" applyFill="1" applyBorder="1"/>
    <xf numFmtId="167" fontId="21" fillId="3" borderId="40" xfId="49" applyNumberFormat="1" applyFont="1" applyFill="1" applyBorder="1" applyAlignment="1" applyProtection="1">
      <alignment vertical="top"/>
    </xf>
    <xf numFmtId="167" fontId="23" fillId="3" borderId="40" xfId="49" applyNumberFormat="1" applyFont="1" applyFill="1" applyBorder="1"/>
    <xf numFmtId="166" fontId="30" fillId="3" borderId="40" xfId="0" applyNumberFormat="1" applyFont="1" applyFill="1" applyBorder="1"/>
    <xf numFmtId="165" fontId="10" fillId="3" borderId="40" xfId="49" applyNumberFormat="1" applyFont="1" applyFill="1" applyBorder="1"/>
    <xf numFmtId="172" fontId="16" fillId="3" borderId="40" xfId="29" applyNumberFormat="1" applyFont="1" applyFill="1" applyBorder="1"/>
    <xf numFmtId="172" fontId="63" fillId="3" borderId="40" xfId="29" applyNumberFormat="1" applyFont="1" applyFill="1" applyBorder="1"/>
    <xf numFmtId="167" fontId="10" fillId="5" borderId="40" xfId="29" applyNumberFormat="1" applyFont="1" applyFill="1" applyBorder="1"/>
    <xf numFmtId="167" fontId="16" fillId="4" borderId="40" xfId="29" applyNumberFormat="1" applyFont="1" applyFill="1" applyBorder="1"/>
    <xf numFmtId="166" fontId="16" fillId="5" borderId="40" xfId="0" applyNumberFormat="1" applyFont="1" applyFill="1" applyBorder="1"/>
    <xf numFmtId="166" fontId="58" fillId="7" borderId="40" xfId="0" applyNumberFormat="1" applyFont="1" applyFill="1" applyBorder="1"/>
    <xf numFmtId="166" fontId="16" fillId="3" borderId="40" xfId="41" applyNumberFormat="1" applyFont="1" applyFill="1" applyBorder="1"/>
    <xf numFmtId="9" fontId="31" fillId="3" borderId="40" xfId="0" applyNumberFormat="1" applyFont="1" applyFill="1" applyBorder="1"/>
    <xf numFmtId="166" fontId="26" fillId="3" borderId="40" xfId="0" applyNumberFormat="1" applyFont="1" applyFill="1" applyBorder="1"/>
    <xf numFmtId="9" fontId="26" fillId="3" borderId="40" xfId="0" applyNumberFormat="1" applyFont="1" applyFill="1" applyBorder="1"/>
    <xf numFmtId="167" fontId="58" fillId="7" borderId="40" xfId="0" applyNumberFormat="1" applyFont="1" applyFill="1" applyBorder="1"/>
    <xf numFmtId="167" fontId="28" fillId="3" borderId="40" xfId="0" applyNumberFormat="1" applyFont="1" applyFill="1" applyBorder="1"/>
    <xf numFmtId="167" fontId="26" fillId="3" borderId="40" xfId="0" applyNumberFormat="1" applyFont="1" applyFill="1" applyBorder="1"/>
    <xf numFmtId="167" fontId="33" fillId="3" borderId="40" xfId="0" applyNumberFormat="1" applyFont="1" applyFill="1" applyBorder="1"/>
    <xf numFmtId="165" fontId="26" fillId="3" borderId="40" xfId="0" applyNumberFormat="1" applyFont="1" applyFill="1" applyBorder="1"/>
    <xf numFmtId="167" fontId="28" fillId="3" borderId="40" xfId="29" applyNumberFormat="1" applyFont="1" applyFill="1" applyBorder="1"/>
    <xf numFmtId="167" fontId="26" fillId="3" borderId="40" xfId="29" applyNumberFormat="1" applyFont="1" applyFill="1" applyBorder="1"/>
    <xf numFmtId="165" fontId="28" fillId="3" borderId="40" xfId="29" applyNumberFormat="1" applyFont="1" applyFill="1" applyBorder="1"/>
    <xf numFmtId="1" fontId="16" fillId="3" borderId="40" xfId="29" applyNumberFormat="1" applyFont="1" applyFill="1" applyBorder="1"/>
    <xf numFmtId="173" fontId="26" fillId="3" borderId="40" xfId="29" applyNumberFormat="1" applyFont="1" applyFill="1" applyBorder="1"/>
    <xf numFmtId="165" fontId="26" fillId="5" borderId="40" xfId="49" applyNumberFormat="1" applyFont="1" applyFill="1" applyBorder="1"/>
    <xf numFmtId="167" fontId="11" fillId="3" borderId="40" xfId="0" applyNumberFormat="1" applyFont="1" applyFill="1" applyBorder="1"/>
    <xf numFmtId="168" fontId="27" fillId="3" borderId="40" xfId="0" applyNumberFormat="1" applyFont="1" applyFill="1" applyBorder="1"/>
    <xf numFmtId="7" fontId="16" fillId="3" borderId="40" xfId="0" applyNumberFormat="1" applyFont="1" applyFill="1" applyBorder="1"/>
    <xf numFmtId="0" fontId="26" fillId="3" borderId="40" xfId="0" applyFont="1" applyFill="1" applyBorder="1"/>
    <xf numFmtId="167" fontId="31" fillId="3" borderId="40" xfId="0" applyNumberFormat="1" applyFont="1" applyFill="1" applyBorder="1"/>
    <xf numFmtId="9" fontId="33" fillId="3" borderId="40" xfId="0" applyNumberFormat="1" applyFont="1" applyFill="1" applyBorder="1" applyAlignment="1">
      <alignment vertical="top"/>
    </xf>
    <xf numFmtId="168" fontId="33" fillId="3" borderId="40" xfId="0" applyNumberFormat="1" applyFont="1" applyFill="1" applyBorder="1" applyAlignment="1">
      <alignment vertical="top"/>
    </xf>
    <xf numFmtId="167" fontId="55" fillId="3" borderId="40" xfId="0" applyNumberFormat="1" applyFont="1" applyFill="1" applyBorder="1" applyAlignment="1">
      <alignment vertical="top"/>
    </xf>
    <xf numFmtId="167" fontId="26" fillId="3" borderId="40" xfId="0" applyNumberFormat="1" applyFont="1" applyFill="1" applyBorder="1" applyAlignment="1">
      <alignment vertical="top"/>
    </xf>
    <xf numFmtId="9" fontId="26" fillId="3" borderId="40" xfId="0" applyNumberFormat="1" applyFont="1" applyFill="1" applyBorder="1" applyAlignment="1">
      <alignment vertical="top"/>
    </xf>
    <xf numFmtId="168" fontId="33" fillId="6" borderId="40" xfId="0" applyNumberFormat="1" applyFont="1" applyFill="1" applyBorder="1" applyAlignment="1">
      <alignment vertical="top"/>
    </xf>
    <xf numFmtId="168" fontId="58" fillId="7" borderId="40" xfId="0" applyNumberFormat="1" applyFont="1" applyFill="1" applyBorder="1" applyAlignment="1">
      <alignment vertical="top"/>
    </xf>
    <xf numFmtId="5" fontId="26" fillId="3" borderId="40" xfId="46" applyNumberFormat="1" applyFont="1" applyFill="1" applyBorder="1"/>
    <xf numFmtId="5" fontId="26" fillId="3" borderId="40" xfId="0" applyNumberFormat="1" applyFont="1" applyFill="1" applyBorder="1"/>
    <xf numFmtId="9" fontId="26" fillId="3" borderId="40" xfId="46" applyNumberFormat="1" applyFont="1" applyFill="1" applyBorder="1"/>
    <xf numFmtId="0" fontId="16" fillId="3" borderId="40" xfId="46" applyFont="1" applyFill="1" applyBorder="1"/>
    <xf numFmtId="0" fontId="26" fillId="3" borderId="40" xfId="46" applyFont="1" applyFill="1" applyBorder="1"/>
    <xf numFmtId="168" fontId="39" fillId="3" borderId="40" xfId="0" applyNumberFormat="1" applyFont="1" applyFill="1" applyBorder="1" applyAlignment="1">
      <alignment vertical="top"/>
    </xf>
    <xf numFmtId="167" fontId="33" fillId="3" borderId="40" xfId="0" applyNumberFormat="1" applyFont="1" applyFill="1" applyBorder="1" applyAlignment="1">
      <alignment vertical="top"/>
    </xf>
    <xf numFmtId="167" fontId="39" fillId="3" borderId="40" xfId="0" applyNumberFormat="1" applyFont="1" applyFill="1" applyBorder="1" applyAlignment="1">
      <alignment vertical="top"/>
    </xf>
    <xf numFmtId="167" fontId="26" fillId="3" borderId="40" xfId="46" applyNumberFormat="1" applyFont="1" applyFill="1" applyBorder="1"/>
    <xf numFmtId="43" fontId="11" fillId="3" borderId="40" xfId="29" applyFont="1" applyFill="1" applyBorder="1" applyAlignment="1">
      <alignment vertical="top"/>
    </xf>
    <xf numFmtId="168" fontId="26" fillId="5" borderId="40" xfId="29" applyNumberFormat="1" applyFont="1" applyFill="1" applyBorder="1"/>
    <xf numFmtId="166" fontId="10" fillId="3" borderId="41" xfId="0" applyNumberFormat="1" applyFont="1" applyFill="1" applyBorder="1"/>
    <xf numFmtId="166" fontId="10" fillId="0" borderId="0" xfId="0" applyNumberFormat="1" applyFont="1" applyFill="1" applyBorder="1"/>
    <xf numFmtId="3" fontId="5" fillId="0" borderId="0" xfId="0" applyNumberFormat="1" applyFont="1" applyFill="1" applyBorder="1" applyAlignment="1">
      <alignment horizontal="left"/>
    </xf>
    <xf numFmtId="43" fontId="24" fillId="3" borderId="0" xfId="29" applyFont="1" applyFill="1" applyBorder="1" applyAlignment="1" applyProtection="1">
      <alignment vertical="top"/>
    </xf>
    <xf numFmtId="167" fontId="5" fillId="3" borderId="3" xfId="29" applyNumberFormat="1" applyFont="1" applyFill="1" applyBorder="1" applyProtection="1">
      <protection locked="0"/>
    </xf>
    <xf numFmtId="167" fontId="5" fillId="5" borderId="3" xfId="0" applyNumberFormat="1" applyFont="1" applyFill="1" applyBorder="1"/>
    <xf numFmtId="165" fontId="4" fillId="6" borderId="0" xfId="29" applyNumberFormat="1" applyFont="1" applyFill="1" applyBorder="1" applyAlignment="1" applyProtection="1"/>
    <xf numFmtId="165" fontId="25" fillId="3" borderId="4" xfId="0" applyNumberFormat="1" applyFont="1" applyFill="1" applyBorder="1" applyAlignment="1">
      <alignment horizontal="left" indent="4"/>
    </xf>
    <xf numFmtId="165" fontId="28" fillId="3" borderId="0" xfId="0" applyNumberFormat="1" applyFont="1" applyFill="1" applyBorder="1"/>
    <xf numFmtId="166" fontId="10" fillId="3" borderId="4" xfId="0" applyNumberFormat="1" applyFont="1" applyFill="1" applyBorder="1" applyAlignment="1">
      <alignment horizontal="left" indent="2"/>
    </xf>
    <xf numFmtId="166" fontId="10" fillId="3" borderId="0" xfId="49" applyNumberFormat="1" applyFont="1" applyFill="1" applyBorder="1"/>
    <xf numFmtId="166" fontId="10" fillId="3" borderId="3" xfId="49" applyNumberFormat="1" applyFont="1" applyFill="1" applyBorder="1"/>
    <xf numFmtId="166" fontId="21" fillId="3" borderId="3" xfId="49" applyNumberFormat="1" applyFont="1" applyFill="1" applyBorder="1"/>
    <xf numFmtId="166" fontId="21" fillId="3" borderId="0" xfId="0" applyNumberFormat="1" applyFont="1" applyFill="1" applyBorder="1" applyAlignment="1" applyProtection="1">
      <alignment vertical="top"/>
    </xf>
    <xf numFmtId="166" fontId="21" fillId="3" borderId="0" xfId="0" applyNumberFormat="1" applyFont="1" applyFill="1" applyBorder="1" applyAlignment="1">
      <alignment vertical="top"/>
    </xf>
    <xf numFmtId="166" fontId="21" fillId="3" borderId="3" xfId="0" applyNumberFormat="1" applyFont="1" applyFill="1" applyBorder="1" applyAlignment="1" applyProtection="1">
      <alignment vertical="top"/>
    </xf>
    <xf numFmtId="166" fontId="61" fillId="6" borderId="0" xfId="0" applyNumberFormat="1" applyFont="1" applyFill="1" applyBorder="1" applyAlignment="1" applyProtection="1"/>
    <xf numFmtId="1" fontId="36" fillId="5" borderId="0" xfId="0" applyNumberFormat="1" applyFont="1" applyFill="1" applyBorder="1"/>
    <xf numFmtId="200" fontId="36" fillId="5" borderId="0" xfId="0" applyNumberFormat="1" applyFont="1" applyFill="1" applyBorder="1"/>
    <xf numFmtId="176" fontId="24" fillId="5" borderId="0" xfId="29" applyNumberFormat="1" applyFont="1" applyFill="1" applyBorder="1" applyProtection="1"/>
    <xf numFmtId="167" fontId="10" fillId="3" borderId="42" xfId="46" applyNumberFormat="1" applyFont="1" applyFill="1" applyBorder="1"/>
    <xf numFmtId="167" fontId="5" fillId="3" borderId="42" xfId="46" applyNumberFormat="1" applyFont="1" applyFill="1" applyBorder="1"/>
    <xf numFmtId="165" fontId="51" fillId="7" borderId="42" xfId="29" applyNumberFormat="1" applyFont="1" applyFill="1" applyBorder="1" applyAlignment="1">
      <alignment vertical="top"/>
    </xf>
    <xf numFmtId="167" fontId="11" fillId="3" borderId="42" xfId="29" applyNumberFormat="1" applyFont="1" applyFill="1" applyBorder="1" applyAlignment="1">
      <alignment vertical="top"/>
    </xf>
    <xf numFmtId="165" fontId="11" fillId="3" borderId="42" xfId="29" applyNumberFormat="1" applyFont="1" applyFill="1" applyBorder="1" applyAlignment="1">
      <alignment vertical="top"/>
    </xf>
    <xf numFmtId="167" fontId="10" fillId="3" borderId="43" xfId="46" applyNumberFormat="1" applyFont="1" applyFill="1" applyBorder="1"/>
    <xf numFmtId="171" fontId="5" fillId="5" borderId="0" xfId="0" applyNumberFormat="1" applyFont="1" applyFill="1" applyBorder="1"/>
    <xf numFmtId="200" fontId="5" fillId="5" borderId="0" xfId="0" applyNumberFormat="1" applyFont="1" applyFill="1" applyBorder="1"/>
    <xf numFmtId="165" fontId="5" fillId="3" borderId="44" xfId="0" applyNumberFormat="1" applyFont="1" applyFill="1" applyBorder="1" applyAlignment="1">
      <alignment horizontal="left" indent="4"/>
    </xf>
    <xf numFmtId="165" fontId="5" fillId="3" borderId="45" xfId="49" applyNumberFormat="1" applyFont="1" applyFill="1" applyBorder="1"/>
    <xf numFmtId="165" fontId="5" fillId="3" borderId="46" xfId="49" applyNumberFormat="1" applyFont="1" applyFill="1" applyBorder="1"/>
    <xf numFmtId="167" fontId="10" fillId="3" borderId="14" xfId="46" applyNumberFormat="1" applyFont="1" applyFill="1" applyBorder="1"/>
    <xf numFmtId="166" fontId="11" fillId="3" borderId="0" xfId="0" applyNumberFormat="1" applyFont="1" applyFill="1" applyBorder="1" applyAlignment="1" applyProtection="1">
      <alignment vertical="top"/>
    </xf>
    <xf numFmtId="166" fontId="61" fillId="6" borderId="0" xfId="43" applyNumberFormat="1" applyFont="1" applyFill="1" applyBorder="1"/>
    <xf numFmtId="166" fontId="54" fillId="6" borderId="0" xfId="43" applyNumberFormat="1" applyFont="1" applyFill="1" applyBorder="1"/>
    <xf numFmtId="173" fontId="5" fillId="3" borderId="4" xfId="0" applyNumberFormat="1" applyFont="1" applyFill="1" applyBorder="1" applyAlignment="1">
      <alignment horizontal="left" indent="2"/>
    </xf>
    <xf numFmtId="173" fontId="5" fillId="3" borderId="0" xfId="49" applyNumberFormat="1" applyFont="1" applyFill="1" applyBorder="1"/>
    <xf numFmtId="173" fontId="5" fillId="3" borderId="3" xfId="49" applyNumberFormat="1" applyFont="1" applyFill="1" applyBorder="1"/>
    <xf numFmtId="173" fontId="11" fillId="3" borderId="3" xfId="49" applyNumberFormat="1" applyFont="1" applyFill="1" applyBorder="1"/>
    <xf numFmtId="173" fontId="11" fillId="3" borderId="0" xfId="0" applyNumberFormat="1" applyFont="1" applyFill="1" applyBorder="1" applyAlignment="1">
      <alignment vertical="top"/>
    </xf>
    <xf numFmtId="173" fontId="24" fillId="3" borderId="3" xfId="0" applyNumberFormat="1" applyFont="1" applyFill="1" applyBorder="1" applyAlignment="1" applyProtection="1">
      <alignment vertical="top"/>
    </xf>
    <xf numFmtId="173" fontId="26" fillId="3" borderId="0" xfId="0" applyNumberFormat="1" applyFont="1" applyFill="1" applyBorder="1"/>
    <xf numFmtId="173" fontId="4" fillId="6" borderId="0" xfId="0" applyNumberFormat="1" applyFont="1" applyFill="1" applyBorder="1"/>
    <xf numFmtId="173" fontId="16" fillId="3" borderId="40" xfId="0" applyNumberFormat="1" applyFont="1" applyFill="1" applyBorder="1"/>
    <xf numFmtId="173" fontId="5" fillId="5" borderId="0" xfId="0" applyNumberFormat="1" applyFont="1" applyFill="1" applyBorder="1"/>
    <xf numFmtId="196" fontId="22" fillId="7" borderId="32" xfId="0" applyNumberFormat="1" applyFont="1" applyFill="1" applyBorder="1"/>
    <xf numFmtId="166" fontId="51" fillId="7" borderId="3" xfId="49" applyNumberFormat="1" applyFont="1" applyFill="1" applyBorder="1"/>
    <xf numFmtId="167" fontId="10" fillId="3" borderId="4" xfId="46" applyNumberFormat="1" applyFont="1" applyFill="1" applyBorder="1" applyAlignment="1">
      <alignment horizontal="left"/>
    </xf>
    <xf numFmtId="167" fontId="16" fillId="3" borderId="0" xfId="46" applyNumberFormat="1" applyFont="1" applyFill="1"/>
    <xf numFmtId="167" fontId="9" fillId="6" borderId="0" xfId="0" applyNumberFormat="1" applyFont="1" applyFill="1" applyBorder="1"/>
    <xf numFmtId="167" fontId="16" fillId="3" borderId="40" xfId="46" applyNumberFormat="1" applyFont="1" applyFill="1" applyBorder="1"/>
    <xf numFmtId="167" fontId="10" fillId="5" borderId="0" xfId="46" applyNumberFormat="1" applyFont="1" applyFill="1" applyBorder="1"/>
    <xf numFmtId="167" fontId="32" fillId="5" borderId="0" xfId="0" applyNumberFormat="1" applyFont="1" applyFill="1" applyBorder="1" applyAlignment="1">
      <alignment vertical="top"/>
    </xf>
    <xf numFmtId="167" fontId="5" fillId="3" borderId="0" xfId="46" applyNumberFormat="1" applyFont="1" applyFill="1" applyBorder="1"/>
    <xf numFmtId="167" fontId="10" fillId="3" borderId="0" xfId="46" applyNumberFormat="1" applyFont="1" applyFill="1" applyBorder="1"/>
    <xf numFmtId="0" fontId="9" fillId="6" borderId="0" xfId="0" applyFont="1" applyFill="1" applyBorder="1"/>
    <xf numFmtId="167" fontId="21" fillId="3" borderId="0" xfId="29" applyNumberFormat="1" applyFont="1" applyFill="1" applyBorder="1" applyAlignment="1">
      <alignment vertical="top"/>
    </xf>
    <xf numFmtId="0" fontId="10" fillId="3" borderId="0" xfId="46" applyFont="1" applyFill="1" applyBorder="1"/>
    <xf numFmtId="167" fontId="16" fillId="3" borderId="0" xfId="46" applyNumberFormat="1" applyFont="1" applyFill="1" applyBorder="1"/>
    <xf numFmtId="167" fontId="24" fillId="3" borderId="0" xfId="46" applyNumberFormat="1" applyFont="1" applyFill="1"/>
    <xf numFmtId="167" fontId="12" fillId="6" borderId="0" xfId="0" applyNumberFormat="1" applyFont="1" applyFill="1" applyBorder="1"/>
    <xf numFmtId="167" fontId="21" fillId="5" borderId="13" xfId="0" applyNumberFormat="1" applyFont="1" applyFill="1" applyBorder="1" applyAlignment="1" applyProtection="1">
      <alignment horizontal="left"/>
    </xf>
    <xf numFmtId="167" fontId="10" fillId="5" borderId="14" xfId="0" applyNumberFormat="1" applyFont="1" applyFill="1" applyBorder="1" applyAlignment="1">
      <alignment horizontal="right"/>
    </xf>
    <xf numFmtId="167" fontId="10" fillId="5" borderId="15" xfId="0" applyNumberFormat="1" applyFont="1" applyFill="1" applyBorder="1" applyAlignment="1">
      <alignment horizontal="right"/>
    </xf>
    <xf numFmtId="167" fontId="10" fillId="5" borderId="40" xfId="0" applyNumberFormat="1" applyFont="1" applyFill="1" applyBorder="1" applyAlignment="1">
      <alignment horizontal="right"/>
    </xf>
    <xf numFmtId="167" fontId="5" fillId="5" borderId="0" xfId="0" applyNumberFormat="1" applyFont="1" applyFill="1" applyBorder="1" applyAlignment="1">
      <alignment horizontal="right"/>
    </xf>
    <xf numFmtId="167" fontId="11" fillId="3" borderId="4" xfId="0" applyNumberFormat="1" applyFont="1" applyFill="1" applyBorder="1" applyAlignment="1" applyProtection="1">
      <alignment horizontal="left" indent="2"/>
      <protection locked="0"/>
    </xf>
    <xf numFmtId="167" fontId="5" fillId="3" borderId="42" xfId="0" applyNumberFormat="1" applyFont="1" applyFill="1" applyBorder="1"/>
    <xf numFmtId="167" fontId="24" fillId="3" borderId="3" xfId="0" applyNumberFormat="1" applyFont="1" applyFill="1" applyBorder="1"/>
    <xf numFmtId="167" fontId="11" fillId="3" borderId="4" xfId="0" applyNumberFormat="1" applyFont="1" applyFill="1" applyBorder="1" applyAlignment="1" applyProtection="1">
      <alignment horizontal="left"/>
      <protection locked="0"/>
    </xf>
    <xf numFmtId="167" fontId="24" fillId="3" borderId="42" xfId="0" applyNumberFormat="1" applyFont="1" applyFill="1" applyBorder="1"/>
    <xf numFmtId="165" fontId="5" fillId="3" borderId="0" xfId="46" applyNumberFormat="1" applyFont="1" applyFill="1"/>
    <xf numFmtId="165" fontId="5" fillId="3" borderId="0" xfId="0" applyNumberFormat="1" applyFont="1" applyFill="1" applyBorder="1" applyAlignment="1" applyProtection="1">
      <alignment vertical="top"/>
    </xf>
    <xf numFmtId="166" fontId="5" fillId="3" borderId="0" xfId="0" applyNumberFormat="1" applyFont="1" applyFill="1" applyBorder="1" applyAlignment="1" applyProtection="1">
      <alignment vertical="top"/>
    </xf>
    <xf numFmtId="173" fontId="5" fillId="3" borderId="0" xfId="0" applyNumberFormat="1" applyFont="1" applyFill="1" applyBorder="1" applyAlignment="1" applyProtection="1">
      <alignment vertical="top"/>
    </xf>
    <xf numFmtId="167" fontId="5" fillId="3" borderId="0" xfId="32" applyNumberFormat="1" applyFont="1" applyFill="1" applyBorder="1" applyAlignment="1" applyProtection="1">
      <alignment vertical="top"/>
    </xf>
    <xf numFmtId="168" fontId="5" fillId="3" borderId="0" xfId="0" applyNumberFormat="1" applyFont="1" applyFill="1" applyBorder="1" applyAlignment="1">
      <alignment vertical="top"/>
    </xf>
    <xf numFmtId="167" fontId="11" fillId="0" borderId="8" xfId="49" applyNumberFormat="1" applyFont="1" applyFill="1" applyBorder="1"/>
    <xf numFmtId="167" fontId="23" fillId="3" borderId="0" xfId="29" applyNumberFormat="1" applyFont="1" applyFill="1" applyBorder="1" applyProtection="1"/>
    <xf numFmtId="165" fontId="5" fillId="3" borderId="0" xfId="29" applyNumberFormat="1" applyFont="1" applyFill="1" applyBorder="1" applyProtection="1"/>
    <xf numFmtId="168" fontId="5" fillId="0" borderId="0" xfId="49" applyNumberFormat="1" applyFont="1" applyFill="1" applyBorder="1"/>
    <xf numFmtId="167" fontId="5" fillId="0" borderId="8" xfId="0" applyNumberFormat="1" applyFont="1" applyFill="1" applyBorder="1"/>
    <xf numFmtId="165" fontId="5" fillId="0" borderId="0" xfId="49" applyNumberFormat="1" applyFont="1" applyFill="1" applyBorder="1"/>
    <xf numFmtId="167" fontId="5" fillId="0" borderId="0" xfId="32" applyNumberFormat="1" applyFont="1" applyFill="1" applyBorder="1" applyAlignment="1" applyProtection="1">
      <alignment vertical="top"/>
    </xf>
    <xf numFmtId="167" fontId="5" fillId="0" borderId="0" xfId="46" applyNumberFormat="1" applyFont="1" applyFill="1"/>
    <xf numFmtId="165" fontId="5" fillId="3" borderId="15" xfId="49" applyNumberFormat="1" applyFont="1" applyFill="1" applyBorder="1"/>
    <xf numFmtId="167" fontId="35" fillId="6" borderId="0" xfId="0" applyNumberFormat="1" applyFont="1" applyFill="1" applyBorder="1" applyAlignment="1">
      <alignment vertical="top"/>
    </xf>
    <xf numFmtId="167" fontId="11" fillId="6" borderId="0" xfId="0" applyNumberFormat="1" applyFont="1" applyFill="1" applyBorder="1" applyAlignment="1">
      <alignment vertical="top"/>
    </xf>
    <xf numFmtId="3" fontId="11" fillId="3" borderId="4" xfId="0" applyNumberFormat="1" applyFont="1" applyFill="1" applyBorder="1" applyAlignment="1" applyProtection="1">
      <alignment horizontal="left" indent="1"/>
    </xf>
    <xf numFmtId="3" fontId="11" fillId="3" borderId="0" xfId="0" applyNumberFormat="1" applyFont="1" applyFill="1" applyBorder="1" applyProtection="1"/>
    <xf numFmtId="3" fontId="11" fillId="3" borderId="3" xfId="49" applyNumberFormat="1" applyFont="1" applyFill="1" applyBorder="1" applyProtection="1"/>
    <xf numFmtId="3" fontId="11" fillId="3" borderId="0" xfId="49" applyNumberFormat="1" applyFont="1" applyFill="1" applyBorder="1" applyProtection="1"/>
    <xf numFmtId="3" fontId="26" fillId="3" borderId="0" xfId="0" applyNumberFormat="1" applyFont="1" applyFill="1"/>
    <xf numFmtId="0" fontId="10" fillId="3" borderId="13" xfId="0" applyFont="1" applyFill="1" applyBorder="1"/>
    <xf numFmtId="166" fontId="5" fillId="3" borderId="14" xfId="0" applyNumberFormat="1" applyFont="1" applyFill="1" applyBorder="1"/>
    <xf numFmtId="165" fontId="5" fillId="3" borderId="14" xfId="49" applyNumberFormat="1" applyFont="1" applyFill="1" applyBorder="1"/>
    <xf numFmtId="201" fontId="11" fillId="3" borderId="4" xfId="0" applyNumberFormat="1" applyFont="1" applyFill="1" applyBorder="1" applyAlignment="1" applyProtection="1">
      <alignment horizontal="left" indent="1"/>
    </xf>
    <xf numFmtId="201" fontId="11" fillId="3" borderId="0" xfId="0" applyNumberFormat="1" applyFont="1" applyFill="1" applyBorder="1" applyProtection="1"/>
    <xf numFmtId="201" fontId="11" fillId="3" borderId="3" xfId="49" applyNumberFormat="1" applyFont="1" applyFill="1" applyBorder="1" applyProtection="1"/>
    <xf numFmtId="201" fontId="5" fillId="3" borderId="3" xfId="49" applyNumberFormat="1" applyFont="1" applyFill="1" applyBorder="1"/>
    <xf numFmtId="201" fontId="11" fillId="3" borderId="0" xfId="49" applyNumberFormat="1" applyFont="1" applyFill="1" applyBorder="1" applyProtection="1"/>
    <xf numFmtId="201" fontId="5" fillId="3" borderId="0" xfId="0" applyNumberFormat="1" applyFont="1" applyFill="1" applyBorder="1"/>
    <xf numFmtId="201" fontId="5" fillId="0" borderId="0" xfId="0" applyNumberFormat="1" applyFont="1" applyFill="1" applyBorder="1" applyAlignment="1">
      <alignment horizontal="left"/>
    </xf>
    <xf numFmtId="201" fontId="0" fillId="0" borderId="0" xfId="0" applyNumberFormat="1" applyFill="1" applyBorder="1"/>
    <xf numFmtId="201" fontId="33" fillId="3" borderId="0" xfId="0" applyNumberFormat="1" applyFont="1" applyFill="1" applyBorder="1" applyAlignment="1">
      <alignment vertical="top"/>
    </xf>
    <xf numFmtId="9" fontId="11" fillId="3" borderId="4" xfId="0" applyNumberFormat="1" applyFont="1" applyFill="1" applyBorder="1" applyAlignment="1" applyProtection="1">
      <alignment horizontal="left" indent="1"/>
    </xf>
    <xf numFmtId="191" fontId="11" fillId="3" borderId="4" xfId="0" applyNumberFormat="1" applyFont="1" applyFill="1" applyBorder="1" applyAlignment="1" applyProtection="1">
      <alignment horizontal="left" indent="1"/>
    </xf>
    <xf numFmtId="191" fontId="11" fillId="3" borderId="0" xfId="0" applyNumberFormat="1" applyFont="1" applyFill="1" applyBorder="1" applyProtection="1"/>
    <xf numFmtId="191" fontId="11" fillId="3" borderId="3" xfId="49" applyNumberFormat="1" applyFont="1" applyFill="1" applyBorder="1" applyProtection="1"/>
    <xf numFmtId="191" fontId="5" fillId="3" borderId="3" xfId="49" applyNumberFormat="1" applyFont="1" applyFill="1" applyBorder="1"/>
    <xf numFmtId="191" fontId="11" fillId="3" borderId="0" xfId="49" applyNumberFormat="1" applyFont="1" applyFill="1" applyBorder="1" applyProtection="1"/>
    <xf numFmtId="191" fontId="5" fillId="3" borderId="0" xfId="0" applyNumberFormat="1" applyFont="1" applyFill="1" applyBorder="1"/>
    <xf numFmtId="191" fontId="5" fillId="0" borderId="0" xfId="0" applyNumberFormat="1" applyFont="1" applyFill="1" applyBorder="1" applyAlignment="1">
      <alignment horizontal="left"/>
    </xf>
    <xf numFmtId="191" fontId="0" fillId="0" borderId="0" xfId="0" applyNumberFormat="1" applyFill="1" applyBorder="1"/>
    <xf numFmtId="191" fontId="33" fillId="3" borderId="0" xfId="0" applyNumberFormat="1" applyFont="1" applyFill="1" applyBorder="1" applyAlignment="1">
      <alignment vertical="top"/>
    </xf>
    <xf numFmtId="9" fontId="21" fillId="3" borderId="4" xfId="0" applyNumberFormat="1" applyFont="1" applyFill="1" applyBorder="1" applyAlignment="1" applyProtection="1">
      <alignment horizontal="left" indent="1"/>
    </xf>
    <xf numFmtId="9" fontId="21" fillId="3" borderId="0" xfId="0" applyNumberFormat="1" applyFont="1" applyFill="1" applyBorder="1" applyProtection="1"/>
    <xf numFmtId="9" fontId="21" fillId="3" borderId="3" xfId="49" applyNumberFormat="1" applyFont="1" applyFill="1" applyBorder="1" applyProtection="1"/>
    <xf numFmtId="9" fontId="21" fillId="3" borderId="0" xfId="49" applyNumberFormat="1" applyFont="1" applyFill="1" applyBorder="1" applyProtection="1"/>
    <xf numFmtId="0" fontId="10" fillId="0" borderId="0" xfId="0" applyNumberFormat="1" applyFont="1" applyFill="1" applyBorder="1" applyAlignment="1">
      <alignment horizontal="left"/>
    </xf>
    <xf numFmtId="166" fontId="5" fillId="3" borderId="4" xfId="0" applyNumberFormat="1" applyFont="1" applyFill="1" applyBorder="1"/>
    <xf numFmtId="7" fontId="10" fillId="3" borderId="0" xfId="0" applyNumberFormat="1" applyFont="1" applyFill="1" applyBorder="1"/>
    <xf numFmtId="7" fontId="16" fillId="3" borderId="0" xfId="0" applyNumberFormat="1" applyFont="1" applyFill="1" applyBorder="1"/>
    <xf numFmtId="200" fontId="5" fillId="3" borderId="15" xfId="49" applyNumberFormat="1" applyFont="1" applyFill="1" applyBorder="1"/>
    <xf numFmtId="200" fontId="5" fillId="3" borderId="14" xfId="0" applyNumberFormat="1" applyFont="1" applyFill="1" applyBorder="1"/>
    <xf numFmtId="165" fontId="5" fillId="3" borderId="3" xfId="49" applyNumberFormat="1" applyFont="1" applyFill="1" applyBorder="1" applyAlignment="1"/>
    <xf numFmtId="165" fontId="5" fillId="3" borderId="0" xfId="0" applyNumberFormat="1" applyFont="1" applyFill="1" applyBorder="1" applyAlignment="1"/>
    <xf numFmtId="37" fontId="69" fillId="0" borderId="0" xfId="29" applyNumberFormat="1" applyFont="1" applyFill="1" applyBorder="1" applyAlignment="1">
      <alignment horizontal="center"/>
    </xf>
    <xf numFmtId="37" fontId="69" fillId="0" borderId="0" xfId="29" applyNumberFormat="1" applyFont="1" applyBorder="1" applyAlignment="1">
      <alignment horizontal="center"/>
    </xf>
    <xf numFmtId="165" fontId="69" fillId="0" borderId="0" xfId="49" applyNumberFormat="1" applyFont="1" applyFill="1" applyBorder="1" applyAlignment="1">
      <alignment horizontal="center"/>
    </xf>
    <xf numFmtId="165" fontId="70" fillId="0" borderId="0" xfId="49" applyNumberFormat="1" applyFont="1" applyFill="1"/>
    <xf numFmtId="165" fontId="69" fillId="0" borderId="0" xfId="49" applyNumberFormat="1" applyFont="1" applyFill="1" applyAlignment="1">
      <alignment horizontal="center"/>
    </xf>
    <xf numFmtId="165" fontId="77" fillId="9" borderId="0" xfId="49" applyNumberFormat="1" applyFont="1" applyFill="1" applyBorder="1" applyAlignment="1">
      <alignment horizontal="center"/>
    </xf>
    <xf numFmtId="172" fontId="70" fillId="0" borderId="0" xfId="31" applyNumberFormat="1" applyFont="1" applyFill="1" applyBorder="1" applyAlignment="1">
      <alignment horizontal="left"/>
    </xf>
    <xf numFmtId="37" fontId="69" fillId="0" borderId="0" xfId="29" applyNumberFormat="1" applyFont="1" applyFill="1" applyAlignment="1">
      <alignment horizontal="center"/>
    </xf>
    <xf numFmtId="37" fontId="70" fillId="0" borderId="0" xfId="31" applyNumberFormat="1" applyFont="1" applyFill="1" applyBorder="1" applyAlignment="1">
      <alignment horizontal="left"/>
    </xf>
    <xf numFmtId="172" fontId="70" fillId="0" borderId="0" xfId="31" applyNumberFormat="1" applyFont="1" applyFill="1" applyAlignment="1">
      <alignment horizontal="left"/>
    </xf>
    <xf numFmtId="37" fontId="70" fillId="0" borderId="0" xfId="31" applyNumberFormat="1" applyFont="1" applyFill="1" applyAlignment="1">
      <alignment horizontal="left"/>
    </xf>
    <xf numFmtId="37" fontId="81" fillId="0" borderId="0" xfId="29" applyNumberFormat="1" applyFont="1" applyFill="1" applyBorder="1" applyAlignment="1">
      <alignment horizontal="center"/>
    </xf>
    <xf numFmtId="37" fontId="81" fillId="0" borderId="0" xfId="29" applyNumberFormat="1" applyFont="1" applyBorder="1" applyAlignment="1">
      <alignment horizontal="center"/>
    </xf>
    <xf numFmtId="37" fontId="81" fillId="0" borderId="0" xfId="29" applyNumberFormat="1" applyFont="1" applyFill="1" applyAlignment="1">
      <alignment horizontal="center"/>
    </xf>
    <xf numFmtId="37" fontId="71" fillId="0" borderId="0" xfId="29" applyNumberFormat="1" applyFont="1" applyFill="1" applyBorder="1" applyAlignment="1">
      <alignment horizontal="center"/>
    </xf>
    <xf numFmtId="37" fontId="71" fillId="0" borderId="0" xfId="29" applyNumberFormat="1" applyFont="1" applyBorder="1" applyAlignment="1">
      <alignment horizontal="center"/>
    </xf>
    <xf numFmtId="37" fontId="71" fillId="0" borderId="0" xfId="29" applyNumberFormat="1" applyFont="1" applyFill="1" applyAlignment="1">
      <alignment horizontal="center"/>
    </xf>
    <xf numFmtId="172" fontId="70" fillId="0" borderId="0" xfId="31" applyNumberFormat="1" applyFont="1" applyFill="1"/>
    <xf numFmtId="37" fontId="69" fillId="9" borderId="0" xfId="29" applyNumberFormat="1" applyFont="1" applyFill="1" applyBorder="1" applyAlignment="1">
      <alignment horizontal="center"/>
    </xf>
    <xf numFmtId="37" fontId="69" fillId="11" borderId="0" xfId="29" applyNumberFormat="1" applyFont="1" applyFill="1" applyBorder="1" applyAlignment="1">
      <alignment horizontal="center"/>
    </xf>
    <xf numFmtId="37" fontId="70" fillId="0" borderId="0" xfId="31" applyNumberFormat="1" applyFont="1" applyFill="1"/>
    <xf numFmtId="172" fontId="69" fillId="0" borderId="0" xfId="29" applyNumberFormat="1" applyFont="1"/>
    <xf numFmtId="9" fontId="69" fillId="0" borderId="0" xfId="49" applyFont="1"/>
    <xf numFmtId="172" fontId="71" fillId="0" borderId="0" xfId="29" applyNumberFormat="1" applyFont="1"/>
    <xf numFmtId="9" fontId="81" fillId="0" borderId="0" xfId="49" applyNumberFormat="1" applyFont="1" applyFill="1" applyBorder="1" applyAlignment="1">
      <alignment horizontal="center"/>
    </xf>
    <xf numFmtId="9" fontId="81" fillId="0" borderId="0" xfId="49" applyNumberFormat="1" applyFont="1" applyFill="1" applyAlignment="1">
      <alignment horizontal="center"/>
    </xf>
    <xf numFmtId="165" fontId="69" fillId="0" borderId="0" xfId="49" applyNumberFormat="1" applyFont="1"/>
    <xf numFmtId="37" fontId="81" fillId="0" borderId="0" xfId="31" applyNumberFormat="1" applyFont="1" applyFill="1" applyBorder="1" applyAlignment="1">
      <alignment horizontal="center"/>
    </xf>
    <xf numFmtId="2" fontId="69" fillId="0" borderId="0" xfId="49" applyNumberFormat="1" applyFont="1"/>
    <xf numFmtId="165" fontId="5" fillId="0" borderId="0" xfId="46" applyNumberFormat="1" applyFont="1" applyFill="1"/>
    <xf numFmtId="167" fontId="5" fillId="0" borderId="0" xfId="49" applyNumberFormat="1" applyFont="1" applyFill="1" applyBorder="1" applyAlignment="1" applyProtection="1">
      <alignment vertical="top"/>
    </xf>
    <xf numFmtId="44" fontId="5" fillId="5" borderId="0" xfId="32" applyFont="1" applyFill="1" applyBorder="1"/>
    <xf numFmtId="165" fontId="37" fillId="3" borderId="0" xfId="0" applyNumberFormat="1" applyFont="1" applyFill="1" applyBorder="1"/>
    <xf numFmtId="165" fontId="37" fillId="3" borderId="40" xfId="0" applyNumberFormat="1" applyFont="1" applyFill="1" applyBorder="1"/>
    <xf numFmtId="165" fontId="37" fillId="3" borderId="39" xfId="0" applyNumberFormat="1" applyFont="1" applyFill="1" applyBorder="1"/>
    <xf numFmtId="165" fontId="0" fillId="0" borderId="0" xfId="0" applyNumberFormat="1"/>
    <xf numFmtId="168" fontId="21" fillId="3" borderId="47" xfId="0" applyNumberFormat="1" applyFont="1" applyFill="1" applyBorder="1"/>
    <xf numFmtId="168" fontId="21" fillId="3" borderId="48" xfId="0" applyNumberFormat="1" applyFont="1" applyFill="1" applyBorder="1"/>
    <xf numFmtId="168" fontId="38" fillId="3" borderId="47" xfId="0" applyNumberFormat="1" applyFont="1" applyFill="1" applyBorder="1"/>
    <xf numFmtId="168" fontId="10" fillId="3" borderId="47" xfId="0" applyNumberFormat="1" applyFont="1" applyFill="1" applyBorder="1"/>
    <xf numFmtId="4" fontId="10" fillId="5" borderId="0" xfId="0" applyNumberFormat="1" applyFont="1" applyFill="1" applyBorder="1"/>
    <xf numFmtId="167" fontId="3" fillId="3" borderId="3" xfId="46" applyNumberFormat="1" applyFont="1" applyFill="1" applyBorder="1"/>
    <xf numFmtId="165" fontId="3" fillId="3" borderId="4" xfId="0" applyNumberFormat="1" applyFont="1" applyFill="1" applyBorder="1" applyAlignment="1">
      <alignment horizontal="left" indent="3"/>
    </xf>
    <xf numFmtId="200" fontId="5" fillId="3" borderId="0" xfId="0" applyNumberFormat="1" applyFont="1" applyFill="1" applyBorder="1"/>
    <xf numFmtId="167" fontId="11" fillId="0" borderId="0" xfId="49" applyNumberFormat="1" applyFont="1" applyFill="1" applyBorder="1" applyAlignment="1" applyProtection="1">
      <alignment vertical="top"/>
    </xf>
    <xf numFmtId="165" fontId="49" fillId="3" borderId="4" xfId="49" applyNumberFormat="1" applyFont="1" applyFill="1" applyBorder="1"/>
    <xf numFmtId="165" fontId="24" fillId="0" borderId="3" xfId="49" applyNumberFormat="1" applyFont="1" applyFill="1" applyBorder="1"/>
    <xf numFmtId="9" fontId="24" fillId="0" borderId="0" xfId="46" applyNumberFormat="1" applyFont="1" applyFill="1"/>
    <xf numFmtId="167" fontId="11" fillId="0" borderId="3" xfId="29" applyNumberFormat="1" applyFont="1" applyFill="1" applyBorder="1" applyAlignment="1">
      <alignment vertical="top"/>
    </xf>
    <xf numFmtId="167" fontId="32" fillId="0" borderId="0" xfId="0" applyNumberFormat="1" applyFont="1" applyFill="1" applyBorder="1" applyAlignment="1">
      <alignment vertical="top"/>
    </xf>
    <xf numFmtId="167" fontId="5" fillId="0" borderId="3" xfId="46" applyNumberFormat="1" applyFont="1" applyFill="1" applyBorder="1"/>
    <xf numFmtId="0" fontId="5" fillId="0" borderId="0" xfId="46" applyFont="1" applyFill="1"/>
    <xf numFmtId="165" fontId="32" fillId="5" borderId="0" xfId="49" applyNumberFormat="1" applyFont="1" applyFill="1" applyBorder="1"/>
    <xf numFmtId="167" fontId="3" fillId="0" borderId="0" xfId="49" applyNumberFormat="1" applyFont="1" applyFill="1" applyBorder="1"/>
    <xf numFmtId="205" fontId="5" fillId="3" borderId="40" xfId="0" applyNumberFormat="1" applyFont="1" applyFill="1" applyBorder="1"/>
    <xf numFmtId="165" fontId="3" fillId="5" borderId="0" xfId="0" applyNumberFormat="1" applyFont="1" applyFill="1" applyBorder="1"/>
    <xf numFmtId="165" fontId="3" fillId="3" borderId="4" xfId="0" applyNumberFormat="1" applyFont="1" applyFill="1" applyBorder="1" applyAlignment="1">
      <alignment horizontal="left" vertical="top" indent="3"/>
    </xf>
    <xf numFmtId="168" fontId="1" fillId="3" borderId="59" xfId="0" applyNumberFormat="1" applyFont="1" applyFill="1" applyBorder="1"/>
    <xf numFmtId="9" fontId="24" fillId="3" borderId="0" xfId="49" applyFont="1" applyFill="1" applyBorder="1" applyAlignment="1" applyProtection="1">
      <alignment vertical="top"/>
    </xf>
    <xf numFmtId="0" fontId="66" fillId="10" borderId="0" xfId="36" applyFont="1" applyFill="1" applyBorder="1"/>
    <xf numFmtId="0" fontId="67" fillId="10" borderId="0" xfId="36" applyFont="1" applyFill="1" applyBorder="1"/>
    <xf numFmtId="0" fontId="68" fillId="11" borderId="49" xfId="36" applyFont="1" applyFill="1" applyBorder="1" applyAlignment="1">
      <alignment horizontal="center"/>
    </xf>
    <xf numFmtId="0" fontId="69" fillId="0" borderId="0" xfId="36" applyFont="1" applyBorder="1"/>
    <xf numFmtId="0" fontId="69" fillId="0" borderId="0" xfId="36" applyFont="1"/>
    <xf numFmtId="0" fontId="69" fillId="0" borderId="0" xfId="36" applyFont="1" applyFill="1" applyAlignment="1">
      <alignment horizontal="center"/>
    </xf>
    <xf numFmtId="0" fontId="69" fillId="0" borderId="0" xfId="36" applyFont="1" applyFill="1"/>
    <xf numFmtId="0" fontId="70" fillId="0" borderId="0" xfId="36" applyFont="1"/>
    <xf numFmtId="0" fontId="68" fillId="0" borderId="0" xfId="36" applyFont="1" applyBorder="1"/>
    <xf numFmtId="0" fontId="69" fillId="0" borderId="0" xfId="36" applyFont="1" applyFill="1" applyBorder="1"/>
    <xf numFmtId="0" fontId="69" fillId="0" borderId="0" xfId="36" applyFont="1" applyAlignment="1"/>
    <xf numFmtId="0" fontId="72" fillId="11" borderId="50" xfId="36" applyFont="1" applyFill="1" applyBorder="1" applyAlignment="1">
      <alignment wrapText="1"/>
    </xf>
    <xf numFmtId="0" fontId="67" fillId="12" borderId="0" xfId="36" applyFont="1" applyFill="1" applyBorder="1"/>
    <xf numFmtId="49" fontId="68" fillId="0" borderId="0" xfId="36" applyNumberFormat="1" applyFont="1" applyBorder="1" applyAlignment="1">
      <alignment horizontal="left"/>
    </xf>
    <xf numFmtId="0" fontId="71" fillId="3" borderId="0" xfId="36" applyFont="1" applyFill="1"/>
    <xf numFmtId="0" fontId="69" fillId="11" borderId="50" xfId="36" applyFont="1" applyFill="1" applyBorder="1" applyAlignment="1"/>
    <xf numFmtId="0" fontId="73" fillId="0" borderId="0" xfId="36" applyFont="1" applyFill="1" applyBorder="1"/>
    <xf numFmtId="0" fontId="74" fillId="0" borderId="0" xfId="36" applyFont="1" applyFill="1" applyBorder="1"/>
    <xf numFmtId="0" fontId="70" fillId="0" borderId="0" xfId="36" applyFont="1" applyFill="1"/>
    <xf numFmtId="0" fontId="75" fillId="0" borderId="0" xfId="36" applyFont="1" applyFill="1"/>
    <xf numFmtId="0" fontId="76" fillId="10" borderId="0" xfId="36" applyFont="1" applyFill="1" applyBorder="1" applyAlignment="1">
      <alignment horizontal="center"/>
    </xf>
    <xf numFmtId="0" fontId="76" fillId="10" borderId="0" xfId="36" applyNumberFormat="1" applyFont="1" applyFill="1" applyBorder="1" applyAlignment="1">
      <alignment horizontal="center"/>
    </xf>
    <xf numFmtId="0" fontId="75" fillId="0" borderId="0" xfId="36" applyFont="1"/>
    <xf numFmtId="0" fontId="73" fillId="0" borderId="0" xfId="36" applyFont="1" applyBorder="1"/>
    <xf numFmtId="0" fontId="74" fillId="0" borderId="0" xfId="36" applyFont="1" applyBorder="1"/>
    <xf numFmtId="165" fontId="77" fillId="11" borderId="0" xfId="36" applyNumberFormat="1" applyFont="1" applyFill="1" applyBorder="1" applyAlignment="1">
      <alignment horizontal="center"/>
    </xf>
    <xf numFmtId="165" fontId="69" fillId="0" borderId="0" xfId="36" applyNumberFormat="1" applyFont="1" applyBorder="1"/>
    <xf numFmtId="0" fontId="75" fillId="0" borderId="0" xfId="36" applyFont="1" applyBorder="1"/>
    <xf numFmtId="165" fontId="69" fillId="0" borderId="0" xfId="36" applyNumberFormat="1" applyFont="1"/>
    <xf numFmtId="165" fontId="69" fillId="0" borderId="0" xfId="36" applyNumberFormat="1" applyFont="1" applyFill="1" applyBorder="1" applyAlignment="1">
      <alignment horizontal="center"/>
    </xf>
    <xf numFmtId="165" fontId="77" fillId="0" borderId="0" xfId="36" applyNumberFormat="1" applyFont="1" applyFill="1" applyBorder="1" applyAlignment="1">
      <alignment horizontal="center"/>
    </xf>
    <xf numFmtId="0" fontId="70" fillId="0" borderId="0" xfId="36" applyFont="1" applyBorder="1"/>
    <xf numFmtId="165" fontId="69" fillId="0" borderId="0" xfId="36" applyNumberFormat="1" applyFont="1" applyFill="1" applyAlignment="1">
      <alignment horizontal="center"/>
    </xf>
    <xf numFmtId="166" fontId="69" fillId="0" borderId="0" xfId="36" applyNumberFormat="1" applyFont="1" applyFill="1" applyBorder="1" applyAlignment="1">
      <alignment horizontal="center"/>
    </xf>
    <xf numFmtId="166" fontId="77" fillId="0" borderId="0" xfId="36" applyNumberFormat="1" applyFont="1" applyFill="1" applyBorder="1" applyAlignment="1">
      <alignment horizontal="center"/>
    </xf>
    <xf numFmtId="0" fontId="70" fillId="0" borderId="54" xfId="36" applyFont="1" applyBorder="1"/>
    <xf numFmtId="0" fontId="70" fillId="0" borderId="55" xfId="36" applyFont="1" applyBorder="1"/>
    <xf numFmtId="0" fontId="70" fillId="0" borderId="0" xfId="36" quotePrefix="1" applyFont="1" applyFill="1" applyBorder="1" applyAlignment="1">
      <alignment horizontal="right"/>
    </xf>
    <xf numFmtId="177" fontId="70" fillId="3" borderId="0" xfId="36" applyNumberFormat="1" applyFont="1" applyFill="1" applyBorder="1" applyAlignment="1">
      <alignment vertical="center"/>
    </xf>
    <xf numFmtId="0" fontId="70" fillId="0" borderId="0" xfId="36" applyFont="1" applyFill="1" applyBorder="1"/>
    <xf numFmtId="0" fontId="70" fillId="0" borderId="0" xfId="36" applyFont="1" applyBorder="1" applyAlignment="1">
      <alignment horizontal="right"/>
    </xf>
    <xf numFmtId="0" fontId="74" fillId="0" borderId="0" xfId="36" applyFont="1" applyFill="1"/>
    <xf numFmtId="0" fontId="76" fillId="0" borderId="0" xfId="36" applyFont="1" applyFill="1" applyAlignment="1">
      <alignment horizontal="center"/>
    </xf>
    <xf numFmtId="0" fontId="69" fillId="0" borderId="0" xfId="36" applyFont="1" applyFill="1" applyBorder="1" applyAlignment="1">
      <alignment horizontal="center"/>
    </xf>
    <xf numFmtId="0" fontId="69" fillId="0" borderId="0" xfId="36" applyFont="1" applyBorder="1" applyAlignment="1">
      <alignment horizontal="center"/>
    </xf>
    <xf numFmtId="49" fontId="70" fillId="0" borderId="0" xfId="36" applyNumberFormat="1" applyFont="1" applyBorder="1" applyAlignment="1">
      <alignment horizontal="right"/>
    </xf>
    <xf numFmtId="0" fontId="78" fillId="0" borderId="0" xfId="36" applyFont="1" applyFill="1" applyBorder="1" applyAlignment="1">
      <alignment horizontal="right"/>
    </xf>
    <xf numFmtId="0" fontId="78" fillId="0" borderId="0" xfId="36" applyFont="1" applyFill="1" applyBorder="1"/>
    <xf numFmtId="0" fontId="79" fillId="0" borderId="0" xfId="36" applyFont="1" applyFill="1" applyBorder="1"/>
    <xf numFmtId="202" fontId="70" fillId="0" borderId="0" xfId="36" applyNumberFormat="1" applyFont="1" applyBorder="1"/>
    <xf numFmtId="0" fontId="70" fillId="0" borderId="0" xfId="36" applyFont="1" applyFill="1" applyBorder="1" applyAlignment="1">
      <alignment horizontal="left"/>
    </xf>
    <xf numFmtId="0" fontId="79" fillId="0" borderId="0" xfId="36" applyFont="1" applyFill="1"/>
    <xf numFmtId="0" fontId="71" fillId="0" borderId="0" xfId="36" applyFont="1" applyBorder="1" applyAlignment="1">
      <alignment horizontal="left"/>
    </xf>
    <xf numFmtId="37" fontId="69" fillId="0" borderId="0" xfId="36" applyNumberFormat="1" applyFont="1" applyBorder="1"/>
    <xf numFmtId="0" fontId="70" fillId="0" borderId="0" xfId="36" applyFont="1" applyBorder="1" applyAlignment="1">
      <alignment horizontal="left"/>
    </xf>
    <xf numFmtId="37" fontId="69" fillId="0" borderId="0" xfId="36" applyNumberFormat="1" applyFont="1"/>
    <xf numFmtId="0" fontId="70" fillId="0" borderId="51" xfId="36" applyFont="1" applyBorder="1"/>
    <xf numFmtId="0" fontId="70" fillId="0" borderId="52" xfId="36" applyFont="1" applyBorder="1"/>
    <xf numFmtId="1" fontId="69" fillId="0" borderId="0" xfId="36" applyNumberFormat="1" applyFont="1" applyFill="1" applyBorder="1" applyAlignment="1">
      <alignment horizontal="center"/>
    </xf>
    <xf numFmtId="0" fontId="3" fillId="0" borderId="0" xfId="36" applyBorder="1"/>
    <xf numFmtId="0" fontId="3" fillId="0" borderId="0" xfId="36"/>
    <xf numFmtId="0" fontId="69" fillId="0" borderId="0" xfId="36" applyFont="1" applyBorder="1" applyAlignment="1"/>
    <xf numFmtId="0" fontId="69" fillId="0" borderId="2" xfId="36" applyFont="1" applyFill="1" applyBorder="1"/>
    <xf numFmtId="0" fontId="80" fillId="0" borderId="0" xfId="36" applyFont="1" applyBorder="1"/>
    <xf numFmtId="37" fontId="82" fillId="0" borderId="0" xfId="36" applyNumberFormat="1" applyFont="1" applyBorder="1" applyAlignment="1">
      <alignment horizontal="center"/>
    </xf>
    <xf numFmtId="37" fontId="71" fillId="0" borderId="0" xfId="36" applyNumberFormat="1" applyFont="1" applyBorder="1" applyAlignment="1">
      <alignment horizontal="center"/>
    </xf>
    <xf numFmtId="0" fontId="81" fillId="0" borderId="0" xfId="36" applyFont="1" applyFill="1"/>
    <xf numFmtId="9" fontId="69" fillId="0" borderId="0" xfId="36" applyNumberFormat="1" applyFont="1" applyFill="1"/>
    <xf numFmtId="9" fontId="69" fillId="0" borderId="0" xfId="36" applyNumberFormat="1" applyFont="1"/>
    <xf numFmtId="37" fontId="69" fillId="0" borderId="0" xfId="36" applyNumberFormat="1" applyFont="1" applyBorder="1" applyAlignment="1">
      <alignment horizontal="center"/>
    </xf>
    <xf numFmtId="0" fontId="69" fillId="0" borderId="0" xfId="36" applyNumberFormat="1" applyFont="1" applyAlignment="1">
      <alignment horizontal="right"/>
    </xf>
    <xf numFmtId="0" fontId="69" fillId="0" borderId="0" xfId="36" applyNumberFormat="1" applyFont="1" applyAlignment="1">
      <alignment horizontal="left"/>
    </xf>
    <xf numFmtId="0" fontId="69" fillId="0" borderId="0" xfId="36" applyFont="1" applyAlignment="1">
      <alignment horizontal="left"/>
    </xf>
    <xf numFmtId="37" fontId="69" fillId="0" borderId="0" xfId="36" applyNumberFormat="1" applyFont="1" applyFill="1" applyBorder="1" applyAlignment="1">
      <alignment horizontal="center"/>
    </xf>
    <xf numFmtId="37" fontId="81" fillId="0" borderId="0" xfId="36" applyNumberFormat="1" applyFont="1" applyFill="1" applyBorder="1" applyAlignment="1">
      <alignment horizontal="center"/>
    </xf>
    <xf numFmtId="0" fontId="3" fillId="3" borderId="0" xfId="36" applyFill="1"/>
    <xf numFmtId="37" fontId="81" fillId="0" borderId="0" xfId="36" applyNumberFormat="1" applyFont="1" applyFill="1" applyAlignment="1">
      <alignment horizontal="center"/>
    </xf>
    <xf numFmtId="0" fontId="3" fillId="3" borderId="0" xfId="36" applyFill="1" applyBorder="1"/>
    <xf numFmtId="0" fontId="36" fillId="3" borderId="0" xfId="36" applyFont="1" applyFill="1"/>
    <xf numFmtId="0" fontId="3" fillId="0" borderId="0" xfId="36" applyFill="1"/>
    <xf numFmtId="0" fontId="84" fillId="3" borderId="0" xfId="36" applyFont="1" applyFill="1" applyBorder="1" applyAlignment="1">
      <alignment horizontal="left" wrapText="1"/>
    </xf>
    <xf numFmtId="0" fontId="78" fillId="3" borderId="0" xfId="36" applyFont="1" applyFill="1" applyBorder="1" applyAlignment="1">
      <alignment horizontal="right"/>
    </xf>
    <xf numFmtId="0" fontId="78" fillId="3" borderId="0" xfId="36" applyFont="1" applyFill="1" applyBorder="1"/>
    <xf numFmtId="0" fontId="79" fillId="3" borderId="0" xfId="36" applyFont="1" applyFill="1" applyBorder="1"/>
    <xf numFmtId="0" fontId="69" fillId="3" borderId="0" xfId="36" applyFont="1" applyFill="1" applyBorder="1"/>
    <xf numFmtId="0" fontId="81" fillId="3" borderId="0" xfId="36" applyFont="1" applyFill="1" applyBorder="1"/>
    <xf numFmtId="0" fontId="88" fillId="0" borderId="0" xfId="36" applyFont="1" applyAlignment="1">
      <alignment horizontal="center"/>
    </xf>
    <xf numFmtId="0" fontId="88" fillId="0" borderId="0" xfId="36" applyFont="1"/>
    <xf numFmtId="0" fontId="85" fillId="0" borderId="0" xfId="36" applyFont="1" applyBorder="1"/>
    <xf numFmtId="0" fontId="86" fillId="0" borderId="0" xfId="36" applyFont="1" applyBorder="1"/>
    <xf numFmtId="0" fontId="87" fillId="0" borderId="0" xfId="36" applyFont="1" applyBorder="1"/>
    <xf numFmtId="37" fontId="87" fillId="0" borderId="0" xfId="36" applyNumberFormat="1" applyFont="1" applyBorder="1" applyAlignment="1">
      <alignment horizontal="right"/>
    </xf>
    <xf numFmtId="37" fontId="86" fillId="0" borderId="0" xfId="36" applyNumberFormat="1" applyFont="1" applyBorder="1" applyAlignment="1">
      <alignment horizontal="center"/>
    </xf>
    <xf numFmtId="0" fontId="88" fillId="0" borderId="0" xfId="36" applyFont="1" applyFill="1"/>
    <xf numFmtId="0" fontId="85" fillId="0" borderId="0" xfId="36" applyFont="1"/>
    <xf numFmtId="0" fontId="87" fillId="0" borderId="0" xfId="36" applyFont="1"/>
    <xf numFmtId="37" fontId="87" fillId="0" borderId="0" xfId="36" applyNumberFormat="1" applyFont="1" applyAlignment="1">
      <alignment horizontal="right"/>
    </xf>
    <xf numFmtId="37" fontId="87" fillId="0" borderId="0" xfId="36" applyNumberFormat="1" applyFont="1" applyAlignment="1">
      <alignment horizontal="center"/>
    </xf>
    <xf numFmtId="37" fontId="91" fillId="0" borderId="0" xfId="36" applyNumberFormat="1" applyFont="1" applyAlignment="1">
      <alignment horizontal="center"/>
    </xf>
    <xf numFmtId="37" fontId="87" fillId="0" borderId="0" xfId="36" applyNumberFormat="1" applyFont="1" applyBorder="1" applyAlignment="1">
      <alignment horizontal="center"/>
    </xf>
    <xf numFmtId="0" fontId="88" fillId="0" borderId="0" xfId="36" applyFont="1" applyBorder="1"/>
    <xf numFmtId="0" fontId="69" fillId="0" borderId="0" xfId="36" applyFont="1" applyAlignment="1">
      <alignment horizontal="right"/>
    </xf>
    <xf numFmtId="0" fontId="92" fillId="0" borderId="0" xfId="36" applyFont="1" applyAlignment="1">
      <alignment horizontal="right"/>
    </xf>
    <xf numFmtId="0" fontId="69" fillId="0" borderId="0" xfId="36" applyFont="1" applyBorder="1" applyAlignment="1">
      <alignment horizontal="right"/>
    </xf>
    <xf numFmtId="0" fontId="73" fillId="0" borderId="0" xfId="36" applyFont="1"/>
    <xf numFmtId="0" fontId="93" fillId="0" borderId="0" xfId="36" applyFont="1"/>
    <xf numFmtId="49" fontId="88" fillId="0" borderId="0" xfId="36" applyNumberFormat="1" applyFont="1"/>
    <xf numFmtId="0" fontId="88" fillId="0" borderId="0" xfId="36" applyFont="1" applyAlignment="1">
      <alignment horizontal="right"/>
    </xf>
    <xf numFmtId="49" fontId="69" fillId="0" borderId="0" xfId="36" applyNumberFormat="1" applyFont="1"/>
    <xf numFmtId="0" fontId="88" fillId="0" borderId="0" xfId="65" applyFont="1" applyFill="1" applyBorder="1"/>
    <xf numFmtId="165" fontId="3" fillId="3" borderId="4" xfId="0" applyNumberFormat="1" applyFont="1" applyFill="1" applyBorder="1" applyAlignment="1">
      <alignment horizontal="left" indent="2"/>
    </xf>
    <xf numFmtId="165" fontId="2" fillId="3" borderId="0" xfId="49" applyNumberFormat="1" applyFont="1" applyFill="1" applyBorder="1"/>
    <xf numFmtId="165" fontId="2" fillId="3" borderId="3" xfId="49" applyNumberFormat="1" applyFont="1" applyFill="1" applyBorder="1"/>
    <xf numFmtId="165" fontId="60" fillId="6" borderId="0" xfId="29" applyNumberFormat="1" applyFont="1" applyFill="1" applyBorder="1" applyAlignment="1" applyProtection="1"/>
    <xf numFmtId="165" fontId="2" fillId="5" borderId="0" xfId="0" applyNumberFormat="1" applyFont="1" applyFill="1" applyBorder="1"/>
    <xf numFmtId="0" fontId="2" fillId="0" borderId="0" xfId="0" applyFont="1"/>
    <xf numFmtId="165" fontId="3" fillId="3" borderId="0" xfId="49" applyNumberFormat="1" applyFont="1" applyFill="1" applyBorder="1"/>
    <xf numFmtId="9" fontId="3" fillId="3" borderId="4" xfId="0" applyNumberFormat="1" applyFont="1" applyFill="1" applyBorder="1" applyAlignment="1">
      <alignment horizontal="left" vertical="top" indent="3"/>
    </xf>
    <xf numFmtId="167" fontId="5" fillId="13" borderId="0" xfId="32" applyNumberFormat="1" applyFont="1" applyFill="1" applyBorder="1" applyAlignment="1" applyProtection="1">
      <alignment vertical="top"/>
    </xf>
    <xf numFmtId="168" fontId="22" fillId="7" borderId="3" xfId="0" applyNumberFormat="1" applyFont="1" applyFill="1" applyBorder="1"/>
    <xf numFmtId="44" fontId="22" fillId="7" borderId="3" xfId="32" applyFont="1" applyFill="1" applyBorder="1"/>
    <xf numFmtId="167" fontId="3" fillId="3" borderId="27" xfId="0" applyNumberFormat="1" applyFont="1" applyFill="1" applyBorder="1" applyAlignment="1">
      <alignment horizontal="left"/>
    </xf>
    <xf numFmtId="167" fontId="1" fillId="0" borderId="3" xfId="46" applyNumberFormat="1" applyFont="1" applyFill="1" applyBorder="1"/>
    <xf numFmtId="167" fontId="10" fillId="0" borderId="3" xfId="46" applyNumberFormat="1" applyFont="1" applyFill="1" applyBorder="1"/>
    <xf numFmtId="165" fontId="9" fillId="3" borderId="40" xfId="0" applyNumberFormat="1" applyFont="1" applyFill="1" applyBorder="1" applyAlignment="1">
      <alignment horizontal="center"/>
    </xf>
    <xf numFmtId="0" fontId="1" fillId="0" borderId="0" xfId="0" applyFont="1"/>
    <xf numFmtId="165" fontId="2" fillId="3" borderId="4" xfId="0" applyNumberFormat="1" applyFont="1" applyFill="1" applyBorder="1" applyAlignment="1">
      <alignment horizontal="left" indent="4"/>
    </xf>
    <xf numFmtId="165" fontId="23" fillId="0" borderId="8" xfId="0" applyNumberFormat="1" applyFont="1" applyFill="1" applyBorder="1" applyAlignment="1" applyProtection="1">
      <alignment vertical="top"/>
    </xf>
    <xf numFmtId="168" fontId="5" fillId="13" borderId="0" xfId="0" applyNumberFormat="1" applyFont="1" applyFill="1" applyBorder="1"/>
    <xf numFmtId="173" fontId="5" fillId="13" borderId="0" xfId="49" applyNumberFormat="1" applyFont="1" applyFill="1" applyBorder="1"/>
    <xf numFmtId="167" fontId="3" fillId="3" borderId="0" xfId="0" applyNumberFormat="1" applyFont="1" applyFill="1" applyBorder="1"/>
    <xf numFmtId="168" fontId="21" fillId="0" borderId="47" xfId="0" applyNumberFormat="1" applyFont="1" applyFill="1" applyBorder="1"/>
    <xf numFmtId="166" fontId="1" fillId="3" borderId="4" xfId="0" applyNumberFormat="1" applyFont="1" applyFill="1" applyBorder="1" applyAlignment="1">
      <alignment horizontal="left" indent="2"/>
    </xf>
    <xf numFmtId="166" fontId="1" fillId="3" borderId="0" xfId="49" applyNumberFormat="1" applyFont="1" applyFill="1" applyBorder="1"/>
    <xf numFmtId="166" fontId="1" fillId="3" borderId="3" xfId="49" applyNumberFormat="1" applyFont="1" applyFill="1" applyBorder="1"/>
    <xf numFmtId="166" fontId="1" fillId="3" borderId="0" xfId="0" applyNumberFormat="1" applyFont="1" applyFill="1" applyBorder="1" applyAlignment="1" applyProtection="1">
      <alignment vertical="top"/>
    </xf>
    <xf numFmtId="165" fontId="2" fillId="0" borderId="0" xfId="49" applyNumberFormat="1" applyFont="1" applyFill="1" applyBorder="1"/>
    <xf numFmtId="165" fontId="113" fillId="5" borderId="0" xfId="0" applyNumberFormat="1" applyFont="1" applyFill="1" applyBorder="1" applyAlignment="1">
      <alignment horizontal="right"/>
    </xf>
    <xf numFmtId="165" fontId="24" fillId="13" borderId="0" xfId="29" applyNumberFormat="1" applyFont="1" applyFill="1" applyBorder="1" applyProtection="1"/>
    <xf numFmtId="165" fontId="24" fillId="13" borderId="0" xfId="0" applyNumberFormat="1" applyFont="1" applyFill="1" applyBorder="1"/>
    <xf numFmtId="165" fontId="49" fillId="13" borderId="0" xfId="49" applyNumberFormat="1" applyFont="1" applyFill="1" applyBorder="1"/>
    <xf numFmtId="165" fontId="24" fillId="13" borderId="0" xfId="0" applyNumberFormat="1" applyFont="1" applyFill="1" applyBorder="1" applyAlignment="1" applyProtection="1">
      <alignment vertical="top"/>
    </xf>
    <xf numFmtId="166" fontId="24" fillId="13" borderId="0" xfId="0" applyNumberFormat="1" applyFont="1" applyFill="1" applyBorder="1" applyAlignment="1" applyProtection="1">
      <alignment vertical="top"/>
    </xf>
    <xf numFmtId="165" fontId="24" fillId="13" borderId="0" xfId="49" applyNumberFormat="1" applyFont="1" applyFill="1" applyBorder="1"/>
    <xf numFmtId="167" fontId="24" fillId="13" borderId="0" xfId="49" applyNumberFormat="1" applyFont="1" applyFill="1" applyBorder="1" applyAlignment="1"/>
    <xf numFmtId="167" fontId="24" fillId="13" borderId="0" xfId="32" applyNumberFormat="1" applyFont="1" applyFill="1" applyBorder="1" applyAlignment="1" applyProtection="1">
      <alignment vertical="top"/>
    </xf>
    <xf numFmtId="167" fontId="24" fillId="13" borderId="0" xfId="0" applyNumberFormat="1" applyFont="1" applyFill="1" applyBorder="1"/>
    <xf numFmtId="167" fontId="29" fillId="16" borderId="0" xfId="49" applyNumberFormat="1" applyFont="1" applyFill="1" applyBorder="1"/>
    <xf numFmtId="165" fontId="5" fillId="0" borderId="3" xfId="49" applyNumberFormat="1" applyFont="1" applyFill="1" applyBorder="1"/>
    <xf numFmtId="165" fontId="36" fillId="0" borderId="0" xfId="0" applyNumberFormat="1" applyFont="1" applyFill="1" applyBorder="1"/>
    <xf numFmtId="165" fontId="36" fillId="0" borderId="0" xfId="0" applyNumberFormat="1" applyFont="1" applyFill="1" applyBorder="1" applyAlignment="1">
      <alignment horizontal="left"/>
    </xf>
    <xf numFmtId="165" fontId="23" fillId="0" borderId="8" xfId="0" applyNumberFormat="1" applyFont="1" applyFill="1" applyBorder="1"/>
    <xf numFmtId="167" fontId="11" fillId="0" borderId="0" xfId="49" applyNumberFormat="1" applyFont="1" applyFill="1" applyBorder="1"/>
    <xf numFmtId="165" fontId="114" fillId="3" borderId="0" xfId="49" applyNumberFormat="1" applyFont="1" applyFill="1" applyBorder="1"/>
    <xf numFmtId="166" fontId="11" fillId="0" borderId="0" xfId="0" applyNumberFormat="1" applyFont="1" applyFill="1" applyBorder="1" applyAlignment="1" applyProtection="1">
      <alignment vertical="top"/>
    </xf>
    <xf numFmtId="166" fontId="11" fillId="0" borderId="0" xfId="0" applyNumberFormat="1" applyFont="1" applyFill="1" applyBorder="1" applyAlignment="1">
      <alignment vertical="top"/>
    </xf>
    <xf numFmtId="166" fontId="11" fillId="0" borderId="3" xfId="0" applyNumberFormat="1" applyFont="1" applyFill="1" applyBorder="1" applyAlignment="1" applyProtection="1">
      <alignment vertical="top"/>
    </xf>
    <xf numFmtId="165" fontId="24" fillId="0" borderId="0" xfId="0" applyNumberFormat="1" applyFont="1" applyFill="1" applyBorder="1" applyAlignment="1" applyProtection="1">
      <alignment vertical="top"/>
    </xf>
    <xf numFmtId="165" fontId="5" fillId="0" borderId="3" xfId="0" applyNumberFormat="1" applyFont="1" applyFill="1" applyBorder="1"/>
    <xf numFmtId="165" fontId="5" fillId="0" borderId="0" xfId="0" applyNumberFormat="1" applyFont="1" applyFill="1" applyBorder="1" applyAlignment="1">
      <alignment vertical="top"/>
    </xf>
    <xf numFmtId="167" fontId="111" fillId="3" borderId="0" xfId="46" applyNumberFormat="1" applyFont="1" applyFill="1"/>
    <xf numFmtId="165" fontId="5" fillId="0" borderId="0" xfId="0" applyNumberFormat="1" applyFont="1" applyFill="1" applyBorder="1" applyAlignment="1" applyProtection="1">
      <alignment vertical="top"/>
    </xf>
    <xf numFmtId="0" fontId="3" fillId="0" borderId="0" xfId="40" applyFill="1"/>
    <xf numFmtId="2" fontId="115" fillId="0" borderId="0" xfId="40" applyNumberFormat="1" applyFont="1" applyFill="1" applyAlignment="1">
      <alignment horizontal="center"/>
    </xf>
    <xf numFmtId="165" fontId="114" fillId="3" borderId="84" xfId="49" applyNumberFormat="1" applyFont="1" applyFill="1" applyBorder="1"/>
    <xf numFmtId="9" fontId="22" fillId="7" borderId="0" xfId="49" applyFont="1" applyFill="1" applyBorder="1"/>
    <xf numFmtId="165" fontId="10" fillId="0" borderId="3" xfId="0" applyNumberFormat="1" applyFont="1" applyFill="1" applyBorder="1"/>
    <xf numFmtId="166" fontId="1" fillId="0" borderId="0" xfId="0" applyNumberFormat="1" applyFont="1" applyFill="1" applyBorder="1" applyAlignment="1" applyProtection="1">
      <alignment vertical="top"/>
    </xf>
    <xf numFmtId="173" fontId="24" fillId="0" borderId="0" xfId="0" applyNumberFormat="1" applyFont="1" applyFill="1" applyBorder="1" applyAlignment="1" applyProtection="1">
      <alignment vertical="top"/>
    </xf>
    <xf numFmtId="165" fontId="25" fillId="0" borderId="0" xfId="49" applyNumberFormat="1" applyFont="1" applyFill="1" applyBorder="1"/>
    <xf numFmtId="0" fontId="3" fillId="0" borderId="0" xfId="38" applyFill="1"/>
    <xf numFmtId="0" fontId="8" fillId="0" borderId="0" xfId="38" applyFont="1" applyFill="1" applyAlignment="1">
      <alignment vertical="center"/>
    </xf>
    <xf numFmtId="206" fontId="8" fillId="0" borderId="0" xfId="38" applyNumberFormat="1" applyFont="1" applyFill="1" applyAlignment="1">
      <alignment vertical="center"/>
    </xf>
    <xf numFmtId="0" fontId="9" fillId="0" borderId="0" xfId="38" applyFont="1" applyFill="1" applyBorder="1" applyAlignment="1">
      <alignment vertical="center"/>
    </xf>
    <xf numFmtId="0" fontId="103" fillId="0" borderId="0" xfId="38" applyFont="1" applyFill="1" applyBorder="1" applyAlignment="1">
      <alignment horizontal="centerContinuous" vertical="center"/>
    </xf>
    <xf numFmtId="0" fontId="1" fillId="0" borderId="61" xfId="38" applyFont="1" applyFill="1" applyBorder="1" applyAlignment="1">
      <alignment vertical="center"/>
    </xf>
    <xf numFmtId="207" fontId="1" fillId="0" borderId="61" xfId="38" applyNumberFormat="1" applyFont="1" applyFill="1" applyBorder="1" applyAlignment="1">
      <alignment horizontal="right" vertical="center"/>
    </xf>
    <xf numFmtId="208" fontId="1" fillId="0" borderId="61" xfId="38" applyNumberFormat="1" applyFont="1" applyFill="1" applyBorder="1" applyAlignment="1">
      <alignment horizontal="right" vertical="center"/>
    </xf>
    <xf numFmtId="0" fontId="3" fillId="0" borderId="0" xfId="38" applyFont="1" applyFill="1" applyAlignment="1">
      <alignment vertical="center"/>
    </xf>
    <xf numFmtId="0" fontId="3" fillId="0" borderId="0" xfId="38" applyFont="1" applyFill="1"/>
    <xf numFmtId="0" fontId="1" fillId="0" borderId="24" xfId="38" applyFont="1" applyFill="1" applyBorder="1" applyAlignment="1">
      <alignment vertical="center"/>
    </xf>
    <xf numFmtId="0" fontId="3" fillId="0" borderId="0" xfId="38" applyFont="1" applyFill="1" applyAlignment="1">
      <alignment horizontal="left" vertical="center"/>
    </xf>
    <xf numFmtId="209" fontId="3" fillId="0" borderId="0" xfId="38" applyNumberFormat="1" applyFont="1" applyFill="1" applyAlignment="1">
      <alignment vertical="center"/>
    </xf>
    <xf numFmtId="0" fontId="2" fillId="0" borderId="0" xfId="38" applyFont="1" applyFill="1" applyAlignment="1">
      <alignment horizontal="left" vertical="center" indent="1"/>
    </xf>
    <xf numFmtId="210" fontId="2" fillId="0" borderId="0" xfId="38" applyNumberFormat="1" applyFont="1" applyFill="1" applyAlignment="1">
      <alignment horizontal="right" vertical="center"/>
    </xf>
    <xf numFmtId="0" fontId="3" fillId="0" borderId="0" xfId="38" applyFont="1" applyFill="1" applyAlignment="1">
      <alignment horizontal="left" vertical="center" indent="1"/>
    </xf>
    <xf numFmtId="5" fontId="3" fillId="0" borderId="0" xfId="38" applyNumberFormat="1" applyFont="1" applyFill="1" applyAlignment="1">
      <alignment vertical="center"/>
    </xf>
    <xf numFmtId="5" fontId="115" fillId="0" borderId="0" xfId="38" applyNumberFormat="1" applyFont="1" applyFill="1" applyAlignment="1">
      <alignment vertical="center"/>
    </xf>
    <xf numFmtId="0" fontId="1" fillId="0" borderId="0" xfId="38" applyFont="1" applyFill="1" applyAlignment="1">
      <alignment vertical="center"/>
    </xf>
    <xf numFmtId="5" fontId="1" fillId="0" borderId="19" xfId="38" applyNumberFormat="1" applyFont="1" applyFill="1" applyBorder="1" applyAlignment="1">
      <alignment horizontal="right" vertical="center"/>
    </xf>
    <xf numFmtId="209" fontId="104" fillId="0" borderId="0" xfId="38" applyNumberFormat="1" applyFont="1" applyFill="1" applyAlignment="1">
      <alignment vertical="center"/>
    </xf>
    <xf numFmtId="211" fontId="105" fillId="0" borderId="0" xfId="38" applyNumberFormat="1" applyFont="1" applyFill="1" applyAlignment="1">
      <alignment vertical="center"/>
    </xf>
    <xf numFmtId="210" fontId="3" fillId="0" borderId="0" xfId="38" applyNumberFormat="1" applyFont="1" applyFill="1" applyAlignment="1">
      <alignment horizontal="right" vertical="center"/>
    </xf>
    <xf numFmtId="210" fontId="24" fillId="0" borderId="0" xfId="38" applyNumberFormat="1" applyFont="1" applyFill="1" applyAlignment="1">
      <alignment horizontal="right" vertical="center"/>
    </xf>
    <xf numFmtId="206" fontId="1" fillId="0" borderId="24" xfId="38" applyNumberFormat="1" applyFont="1" applyFill="1" applyBorder="1" applyAlignment="1">
      <alignment vertical="center"/>
    </xf>
    <xf numFmtId="0" fontId="35" fillId="0" borderId="0" xfId="38" applyFont="1" applyFill="1" applyAlignment="1">
      <alignment horizontal="center" vertical="center"/>
    </xf>
    <xf numFmtId="209" fontId="3" fillId="0" borderId="0" xfId="38" applyNumberFormat="1" applyFont="1" applyFill="1" applyBorder="1" applyAlignment="1">
      <alignment vertical="center"/>
    </xf>
    <xf numFmtId="4" fontId="29" fillId="0" borderId="0" xfId="38" applyNumberFormat="1" applyFont="1" applyFill="1" applyBorder="1" applyAlignment="1">
      <alignment vertical="center"/>
    </xf>
    <xf numFmtId="4" fontId="11" fillId="0" borderId="0" xfId="38" applyNumberFormat="1" applyFont="1" applyFill="1" applyBorder="1" applyAlignment="1">
      <alignment vertical="center"/>
    </xf>
    <xf numFmtId="212" fontId="3" fillId="0" borderId="0" xfId="38" applyNumberFormat="1" applyFont="1" applyFill="1" applyAlignment="1">
      <alignment vertical="center"/>
    </xf>
    <xf numFmtId="209" fontId="35" fillId="0" borderId="0" xfId="38" applyNumberFormat="1" applyFont="1" applyFill="1" applyBorder="1" applyAlignment="1">
      <alignment vertical="center"/>
    </xf>
    <xf numFmtId="209" fontId="35" fillId="0" borderId="0" xfId="38" applyNumberFormat="1" applyFont="1" applyFill="1" applyAlignment="1">
      <alignment vertical="center"/>
    </xf>
    <xf numFmtId="212" fontId="104" fillId="0" borderId="0" xfId="38" applyNumberFormat="1" applyFont="1" applyFill="1" applyAlignment="1">
      <alignment vertical="center"/>
    </xf>
    <xf numFmtId="0" fontId="3" fillId="0" borderId="0" xfId="38" applyFont="1" applyFill="1" applyAlignment="1">
      <alignment horizontal="left" vertical="center" indent="2"/>
    </xf>
    <xf numFmtId="165" fontId="29" fillId="0" borderId="2" xfId="38" applyNumberFormat="1" applyFont="1" applyFill="1" applyBorder="1" applyAlignment="1">
      <alignment vertical="center"/>
    </xf>
    <xf numFmtId="0" fontId="1" fillId="0" borderId="51" xfId="38" applyFont="1" applyFill="1" applyBorder="1" applyAlignment="1">
      <alignment vertical="center"/>
    </xf>
    <xf numFmtId="0" fontId="3" fillId="0" borderId="14" xfId="38" applyFont="1" applyFill="1" applyBorder="1" applyAlignment="1">
      <alignment vertical="center"/>
    </xf>
    <xf numFmtId="0" fontId="3" fillId="0" borderId="52" xfId="38" applyFont="1" applyFill="1" applyBorder="1" applyAlignment="1">
      <alignment vertical="center"/>
    </xf>
    <xf numFmtId="212" fontId="47" fillId="0" borderId="0" xfId="38" applyNumberFormat="1" applyFont="1" applyFill="1" applyAlignment="1">
      <alignment vertical="center"/>
    </xf>
    <xf numFmtId="210" fontId="106" fillId="0" borderId="0" xfId="38" applyNumberFormat="1" applyFont="1" applyFill="1" applyAlignment="1">
      <alignment vertical="center"/>
    </xf>
    <xf numFmtId="0" fontId="3" fillId="0" borderId="56" xfId="38" applyFont="1" applyFill="1" applyBorder="1" applyAlignment="1">
      <alignment vertical="center"/>
    </xf>
    <xf numFmtId="0" fontId="3" fillId="0" borderId="0" xfId="38" applyFont="1" applyFill="1" applyBorder="1" applyAlignment="1">
      <alignment vertical="center"/>
    </xf>
    <xf numFmtId="0" fontId="1" fillId="0" borderId="51" xfId="38" applyFont="1" applyFill="1" applyBorder="1" applyAlignment="1">
      <alignment horizontal="centerContinuous" vertical="center"/>
    </xf>
    <xf numFmtId="0" fontId="1" fillId="0" borderId="14" xfId="38" applyFont="1" applyFill="1" applyBorder="1" applyAlignment="1">
      <alignment horizontal="centerContinuous" vertical="center"/>
    </xf>
    <xf numFmtId="0" fontId="1" fillId="0" borderId="52" xfId="38" applyFont="1" applyFill="1" applyBorder="1" applyAlignment="1">
      <alignment horizontal="centerContinuous" vertical="center"/>
    </xf>
    <xf numFmtId="210" fontId="102" fillId="0" borderId="0" xfId="38" applyNumberFormat="1" applyFont="1" applyFill="1" applyAlignment="1">
      <alignment vertical="center"/>
    </xf>
    <xf numFmtId="5" fontId="3" fillId="0" borderId="58" xfId="38" applyNumberFormat="1" applyFont="1" applyFill="1" applyBorder="1" applyAlignment="1">
      <alignment vertical="center"/>
    </xf>
    <xf numFmtId="209" fontId="22" fillId="0" borderId="56" xfId="38" applyNumberFormat="1" applyFont="1" applyFill="1" applyBorder="1" applyAlignment="1">
      <alignment vertical="center"/>
    </xf>
    <xf numFmtId="210" fontId="1" fillId="0" borderId="0" xfId="38" applyNumberFormat="1" applyFont="1" applyFill="1" applyBorder="1" applyAlignment="1">
      <alignment vertical="center"/>
    </xf>
    <xf numFmtId="210" fontId="29" fillId="0" borderId="62" xfId="38" applyNumberFormat="1" applyFont="1" applyFill="1" applyBorder="1" applyAlignment="1">
      <alignment vertical="center"/>
    </xf>
    <xf numFmtId="210" fontId="1" fillId="0" borderId="39" xfId="38" applyNumberFormat="1" applyFont="1" applyFill="1" applyBorder="1" applyAlignment="1">
      <alignment vertical="center"/>
    </xf>
    <xf numFmtId="0" fontId="1" fillId="0" borderId="56" xfId="38" applyFont="1" applyFill="1" applyBorder="1" applyAlignment="1">
      <alignment vertical="center"/>
    </xf>
    <xf numFmtId="0" fontId="1" fillId="0" borderId="0" xfId="38" applyFont="1" applyFill="1" applyBorder="1" applyAlignment="1">
      <alignment vertical="center"/>
    </xf>
    <xf numFmtId="5" fontId="1" fillId="0" borderId="39" xfId="38" applyNumberFormat="1" applyFont="1" applyFill="1" applyBorder="1" applyAlignment="1">
      <alignment vertical="center"/>
    </xf>
    <xf numFmtId="10" fontId="1" fillId="0" borderId="56" xfId="38" applyNumberFormat="1" applyFont="1" applyFill="1" applyBorder="1" applyAlignment="1">
      <alignment vertical="center"/>
    </xf>
    <xf numFmtId="5" fontId="3" fillId="0" borderId="54" xfId="38" applyNumberFormat="1" applyFont="1" applyFill="1" applyBorder="1" applyAlignment="1">
      <alignment vertical="center"/>
    </xf>
    <xf numFmtId="5" fontId="3" fillId="0" borderId="19" xfId="38" applyNumberFormat="1" applyFont="1" applyFill="1" applyBorder="1" applyAlignment="1">
      <alignment vertical="center"/>
    </xf>
    <xf numFmtId="5" fontId="3" fillId="0" borderId="63" xfId="38" applyNumberFormat="1" applyFont="1" applyFill="1" applyBorder="1" applyAlignment="1">
      <alignment vertical="center"/>
    </xf>
    <xf numFmtId="5" fontId="3" fillId="0" borderId="55" xfId="38" applyNumberFormat="1" applyFont="1" applyFill="1" applyBorder="1" applyAlignment="1">
      <alignment vertical="center"/>
    </xf>
    <xf numFmtId="9" fontId="3" fillId="0" borderId="0" xfId="49" applyFont="1" applyFill="1" applyAlignment="1"/>
    <xf numFmtId="44" fontId="3" fillId="0" borderId="0" xfId="32" applyFont="1" applyFill="1" applyAlignment="1"/>
    <xf numFmtId="10" fontId="29" fillId="0" borderId="64" xfId="38" applyNumberFormat="1" applyFont="1" applyFill="1" applyBorder="1" applyAlignment="1">
      <alignment vertical="center"/>
    </xf>
    <xf numFmtId="5" fontId="3" fillId="0" borderId="64" xfId="38" applyNumberFormat="1" applyFont="1" applyFill="1" applyBorder="1" applyAlignment="1">
      <alignment vertical="center"/>
    </xf>
    <xf numFmtId="5" fontId="3" fillId="0" borderId="16" xfId="38" applyNumberFormat="1" applyFont="1" applyFill="1" applyBorder="1" applyAlignment="1">
      <alignment vertical="center"/>
    </xf>
    <xf numFmtId="5" fontId="1" fillId="0" borderId="65" xfId="38" applyNumberFormat="1" applyFont="1" applyFill="1" applyBorder="1" applyAlignment="1">
      <alignment vertical="center"/>
    </xf>
    <xf numFmtId="5" fontId="3" fillId="0" borderId="66" xfId="38" applyNumberFormat="1" applyFont="1" applyFill="1" applyBorder="1" applyAlignment="1">
      <alignment vertical="center"/>
    </xf>
    <xf numFmtId="0" fontId="54" fillId="0" borderId="0" xfId="38" applyFont="1" applyFill="1" applyBorder="1" applyAlignment="1">
      <alignment horizontal="center"/>
    </xf>
    <xf numFmtId="209" fontId="9" fillId="0" borderId="0" xfId="38" applyNumberFormat="1" applyFont="1" applyFill="1" applyBorder="1" applyAlignment="1">
      <alignment vertical="center"/>
    </xf>
    <xf numFmtId="0" fontId="3" fillId="0" borderId="0" xfId="38" applyFill="1" applyBorder="1"/>
    <xf numFmtId="10" fontId="1" fillId="0" borderId="57" xfId="38" applyNumberFormat="1" applyFont="1" applyFill="1" applyBorder="1" applyAlignment="1">
      <alignment vertical="center"/>
    </xf>
    <xf numFmtId="5" fontId="3" fillId="0" borderId="57" xfId="38" applyNumberFormat="1" applyFont="1" applyFill="1" applyBorder="1" applyAlignment="1">
      <alignment vertical="center"/>
    </xf>
    <xf numFmtId="5" fontId="3" fillId="0" borderId="24" xfId="38" applyNumberFormat="1" applyFont="1" applyFill="1" applyBorder="1" applyAlignment="1">
      <alignment vertical="center"/>
    </xf>
    <xf numFmtId="5" fontId="3" fillId="0" borderId="67" xfId="38" applyNumberFormat="1" applyFont="1" applyFill="1" applyBorder="1" applyAlignment="1">
      <alignment vertical="center"/>
    </xf>
    <xf numFmtId="0" fontId="8" fillId="0" borderId="0" xfId="38" applyFont="1" applyFill="1" applyBorder="1" applyAlignment="1">
      <alignment vertical="center"/>
    </xf>
    <xf numFmtId="212" fontId="47" fillId="0" borderId="0" xfId="38" applyNumberFormat="1" applyFont="1" applyFill="1" applyBorder="1" applyAlignment="1">
      <alignment vertical="center"/>
    </xf>
    <xf numFmtId="209" fontId="8" fillId="0" borderId="0" xfId="38" applyNumberFormat="1" applyFont="1" applyFill="1" applyBorder="1" applyAlignment="1">
      <alignment vertical="center"/>
    </xf>
    <xf numFmtId="9" fontId="8" fillId="0" borderId="0" xfId="38" applyNumberFormat="1" applyFont="1" applyFill="1" applyBorder="1"/>
    <xf numFmtId="210" fontId="1" fillId="0" borderId="62" xfId="38" applyNumberFormat="1" applyFont="1" applyFill="1" applyBorder="1" applyAlignment="1">
      <alignment vertical="center"/>
    </xf>
    <xf numFmtId="0" fontId="3" fillId="0" borderId="57" xfId="38" applyFont="1" applyFill="1" applyBorder="1" applyAlignment="1">
      <alignment vertical="center"/>
    </xf>
    <xf numFmtId="0" fontId="3" fillId="0" borderId="24" xfId="38" applyFont="1" applyFill="1" applyBorder="1" applyAlignment="1">
      <alignment vertical="center"/>
    </xf>
    <xf numFmtId="213" fontId="9" fillId="0" borderId="0" xfId="38" applyNumberFormat="1" applyFont="1" applyFill="1" applyBorder="1" applyAlignment="1">
      <alignment vertical="center"/>
    </xf>
    <xf numFmtId="10" fontId="1" fillId="0" borderId="64" xfId="38" applyNumberFormat="1" applyFont="1" applyFill="1" applyBorder="1" applyAlignment="1">
      <alignment vertical="center"/>
    </xf>
    <xf numFmtId="8" fontId="8" fillId="0" borderId="0" xfId="38" applyNumberFormat="1" applyFont="1" applyFill="1" applyBorder="1" applyAlignment="1">
      <alignment vertical="center"/>
    </xf>
    <xf numFmtId="0" fontId="1" fillId="0" borderId="14" xfId="38" applyFont="1" applyFill="1" applyBorder="1" applyAlignment="1">
      <alignment vertical="center"/>
    </xf>
    <xf numFmtId="0" fontId="1" fillId="0" borderId="52" xfId="38" applyFont="1" applyFill="1" applyBorder="1" applyAlignment="1">
      <alignment vertical="center"/>
    </xf>
    <xf numFmtId="0" fontId="3" fillId="0" borderId="68" xfId="38" applyFont="1" applyFill="1" applyBorder="1" applyAlignment="1">
      <alignment vertical="center"/>
    </xf>
    <xf numFmtId="0" fontId="3" fillId="0" borderId="69" xfId="38" applyFont="1" applyFill="1" applyBorder="1" applyAlignment="1">
      <alignment vertical="center"/>
    </xf>
    <xf numFmtId="214" fontId="107" fillId="0" borderId="70" xfId="38" applyNumberFormat="1" applyFont="1" applyFill="1" applyBorder="1" applyAlignment="1">
      <alignment horizontal="right" vertical="center"/>
    </xf>
    <xf numFmtId="210" fontId="24" fillId="0" borderId="39" xfId="38" applyNumberFormat="1" applyFont="1" applyFill="1" applyBorder="1" applyAlignment="1">
      <alignment vertical="center"/>
    </xf>
    <xf numFmtId="210" fontId="3" fillId="0" borderId="39" xfId="38" applyNumberFormat="1" applyFont="1" applyFill="1" applyBorder="1" applyAlignment="1">
      <alignment vertical="center"/>
    </xf>
    <xf numFmtId="215" fontId="9" fillId="0" borderId="0" xfId="38" applyNumberFormat="1" applyFont="1" applyFill="1" applyBorder="1" applyAlignment="1">
      <alignment vertical="center"/>
    </xf>
    <xf numFmtId="210" fontId="111" fillId="0" borderId="39" xfId="38" applyNumberFormat="1" applyFont="1" applyFill="1" applyBorder="1" applyAlignment="1">
      <alignment vertical="center"/>
    </xf>
    <xf numFmtId="215" fontId="8" fillId="0" borderId="0" xfId="38" applyNumberFormat="1" applyFont="1" applyFill="1" applyBorder="1" applyAlignment="1">
      <alignment vertical="center"/>
    </xf>
    <xf numFmtId="210" fontId="1" fillId="0" borderId="52" xfId="38" applyNumberFormat="1" applyFont="1" applyFill="1" applyBorder="1" applyAlignment="1">
      <alignment vertical="center"/>
    </xf>
    <xf numFmtId="210" fontId="11" fillId="0" borderId="58" xfId="38" applyNumberFormat="1" applyFont="1" applyFill="1" applyBorder="1" applyAlignment="1">
      <alignment vertical="center"/>
    </xf>
    <xf numFmtId="212" fontId="9" fillId="0" borderId="0" xfId="38" applyNumberFormat="1" applyFont="1" applyFill="1" applyBorder="1" applyAlignment="1">
      <alignment vertical="center"/>
    </xf>
    <xf numFmtId="3" fontId="21" fillId="15" borderId="13" xfId="29" applyNumberFormat="1" applyFont="1" applyFill="1" applyBorder="1" applyAlignment="1" applyProtection="1"/>
    <xf numFmtId="168" fontId="10" fillId="15" borderId="14" xfId="0" applyNumberFormat="1" applyFont="1" applyFill="1" applyBorder="1"/>
    <xf numFmtId="168" fontId="10" fillId="15" borderId="15" xfId="0" applyNumberFormat="1" applyFont="1" applyFill="1" applyBorder="1"/>
    <xf numFmtId="168" fontId="23" fillId="15" borderId="14" xfId="29" applyNumberFormat="1" applyFont="1" applyFill="1" applyBorder="1"/>
    <xf numFmtId="168" fontId="28" fillId="15" borderId="14" xfId="29" applyNumberFormat="1" applyFont="1" applyFill="1" applyBorder="1"/>
    <xf numFmtId="165" fontId="3" fillId="0" borderId="0" xfId="49" applyNumberFormat="1" applyFont="1" applyFill="1" applyAlignment="1">
      <alignment vertical="center"/>
    </xf>
    <xf numFmtId="0" fontId="5" fillId="5" borderId="0" xfId="29" applyNumberFormat="1" applyFont="1" applyFill="1" applyBorder="1"/>
    <xf numFmtId="165" fontId="23" fillId="0" borderId="0" xfId="0" applyNumberFormat="1" applyFont="1" applyFill="1" applyBorder="1"/>
    <xf numFmtId="165" fontId="24" fillId="0" borderId="3" xfId="0" applyNumberFormat="1" applyFont="1" applyFill="1" applyBorder="1" applyAlignment="1" applyProtection="1">
      <alignment vertical="top"/>
    </xf>
    <xf numFmtId="1" fontId="5" fillId="0" borderId="3" xfId="0" applyNumberFormat="1" applyFont="1" applyFill="1" applyBorder="1"/>
    <xf numFmtId="1" fontId="10" fillId="0" borderId="0" xfId="0" applyNumberFormat="1" applyFont="1" applyFill="1" applyBorder="1"/>
    <xf numFmtId="167" fontId="5" fillId="0" borderId="7" xfId="0" applyNumberFormat="1" applyFont="1" applyFill="1" applyBorder="1"/>
    <xf numFmtId="167" fontId="24" fillId="0" borderId="32" xfId="32" applyNumberFormat="1" applyFont="1" applyFill="1" applyBorder="1" applyAlignment="1" applyProtection="1">
      <alignment vertical="top"/>
    </xf>
    <xf numFmtId="165" fontId="11" fillId="0" borderId="0" xfId="0" applyNumberFormat="1" applyFont="1" applyFill="1" applyBorder="1"/>
    <xf numFmtId="167" fontId="11" fillId="0" borderId="0" xfId="29" applyNumberFormat="1" applyFont="1" applyFill="1" applyBorder="1" applyAlignment="1">
      <alignment vertical="top"/>
    </xf>
    <xf numFmtId="211" fontId="23" fillId="3" borderId="40" xfId="0" applyNumberFormat="1" applyFont="1" applyFill="1" applyBorder="1"/>
    <xf numFmtId="216" fontId="23" fillId="3" borderId="40" xfId="0" applyNumberFormat="1" applyFont="1" applyFill="1" applyBorder="1"/>
    <xf numFmtId="165" fontId="49" fillId="13" borderId="84" xfId="49" applyNumberFormat="1" applyFont="1" applyFill="1" applyBorder="1"/>
    <xf numFmtId="0" fontId="22" fillId="6" borderId="0" xfId="0" applyFont="1" applyFill="1" applyBorder="1" applyAlignment="1">
      <alignment horizontal="center"/>
    </xf>
    <xf numFmtId="166" fontId="21" fillId="3" borderId="0" xfId="0" applyNumberFormat="1" applyFont="1" applyFill="1" applyBorder="1"/>
    <xf numFmtId="173" fontId="16" fillId="3" borderId="0" xfId="0" applyNumberFormat="1" applyFont="1" applyFill="1" applyBorder="1"/>
    <xf numFmtId="0" fontId="16" fillId="3" borderId="0" xfId="0" applyFont="1" applyFill="1" applyBorder="1" applyAlignment="1">
      <alignment vertical="top"/>
    </xf>
    <xf numFmtId="2" fontId="63" fillId="3" borderId="0" xfId="0" applyNumberFormat="1" applyFont="1" applyFill="1" applyBorder="1" applyAlignment="1">
      <alignment vertical="top"/>
    </xf>
    <xf numFmtId="3" fontId="63" fillId="3" borderId="0" xfId="0" applyNumberFormat="1" applyFont="1" applyFill="1" applyBorder="1" applyAlignment="1">
      <alignment vertical="top"/>
    </xf>
    <xf numFmtId="167" fontId="16" fillId="3" borderId="0" xfId="0" applyNumberFormat="1" applyFont="1" applyFill="1" applyBorder="1" applyAlignment="1"/>
    <xf numFmtId="167" fontId="23" fillId="3" borderId="0" xfId="49" applyNumberFormat="1" applyFont="1" applyFill="1" applyBorder="1"/>
    <xf numFmtId="172" fontId="16" fillId="3" borderId="0" xfId="29" applyNumberFormat="1" applyFont="1" applyFill="1" applyBorder="1"/>
    <xf numFmtId="172" fontId="63" fillId="3" borderId="0" xfId="29" applyNumberFormat="1" applyFont="1" applyFill="1" applyBorder="1"/>
    <xf numFmtId="9" fontId="28" fillId="3" borderId="0" xfId="0" applyNumberFormat="1" applyFont="1" applyFill="1" applyBorder="1"/>
    <xf numFmtId="166" fontId="16" fillId="3" borderId="0" xfId="41" applyNumberFormat="1" applyFont="1" applyFill="1" applyBorder="1"/>
    <xf numFmtId="167" fontId="28" fillId="3" borderId="0" xfId="29" applyNumberFormat="1" applyFont="1" applyFill="1" applyBorder="1"/>
    <xf numFmtId="168" fontId="26" fillId="5" borderId="0" xfId="29" applyNumberFormat="1" applyFont="1" applyFill="1" applyBorder="1"/>
    <xf numFmtId="167" fontId="26" fillId="3" borderId="0" xfId="0" applyNumberFormat="1" applyFont="1" applyFill="1" applyBorder="1" applyAlignment="1">
      <alignment vertical="top"/>
    </xf>
    <xf numFmtId="9" fontId="26" fillId="3" borderId="0" xfId="0" applyNumberFormat="1" applyFont="1" applyFill="1" applyBorder="1" applyAlignment="1">
      <alignment vertical="top"/>
    </xf>
    <xf numFmtId="5" fontId="26" fillId="3" borderId="0" xfId="46" applyNumberFormat="1" applyFont="1" applyFill="1" applyBorder="1"/>
    <xf numFmtId="9" fontId="26" fillId="3" borderId="0" xfId="46" applyNumberFormat="1" applyFont="1" applyFill="1" applyBorder="1"/>
    <xf numFmtId="167" fontId="26" fillId="3" borderId="0" xfId="46" applyNumberFormat="1" applyFont="1" applyFill="1" applyBorder="1"/>
    <xf numFmtId="167" fontId="10" fillId="5" borderId="0" xfId="0" applyNumberFormat="1" applyFont="1" applyFill="1" applyBorder="1" applyAlignment="1">
      <alignment horizontal="right"/>
    </xf>
    <xf numFmtId="0" fontId="16" fillId="3" borderId="0" xfId="46" applyFont="1" applyFill="1" applyBorder="1"/>
    <xf numFmtId="165" fontId="3" fillId="16" borderId="0" xfId="0" applyNumberFormat="1" applyFont="1" applyFill="1" applyBorder="1"/>
    <xf numFmtId="165" fontId="113" fillId="16" borderId="0" xfId="0" applyNumberFormat="1" applyFont="1" applyFill="1" applyBorder="1" applyAlignment="1">
      <alignment horizontal="right"/>
    </xf>
    <xf numFmtId="168" fontId="25" fillId="16" borderId="0" xfId="29" applyNumberFormat="1" applyFont="1" applyFill="1" applyBorder="1"/>
    <xf numFmtId="211" fontId="2" fillId="16" borderId="0" xfId="29" applyNumberFormat="1" applyFont="1" applyFill="1" applyBorder="1"/>
    <xf numFmtId="0" fontId="22" fillId="17" borderId="0" xfId="0" applyFont="1" applyFill="1" applyBorder="1" applyAlignment="1">
      <alignment horizontal="center"/>
    </xf>
    <xf numFmtId="0" fontId="22" fillId="17" borderId="0" xfId="0" applyFont="1" applyFill="1" applyBorder="1"/>
    <xf numFmtId="3" fontId="10" fillId="17" borderId="0" xfId="0" applyNumberFormat="1" applyFont="1" applyFill="1" applyBorder="1"/>
    <xf numFmtId="3" fontId="5" fillId="17" borderId="0" xfId="0" applyNumberFormat="1" applyFont="1" applyFill="1" applyBorder="1"/>
    <xf numFmtId="165" fontId="10" fillId="17" borderId="0" xfId="0" applyNumberFormat="1" applyFont="1" applyFill="1" applyBorder="1"/>
    <xf numFmtId="2" fontId="10" fillId="17" borderId="0" xfId="0" applyNumberFormat="1" applyFont="1" applyFill="1" applyBorder="1"/>
    <xf numFmtId="167" fontId="10" fillId="17" borderId="0" xfId="0" applyNumberFormat="1" applyFont="1" applyFill="1" applyBorder="1"/>
    <xf numFmtId="166" fontId="23" fillId="17" borderId="0" xfId="0" applyNumberFormat="1" applyFont="1" applyFill="1" applyBorder="1"/>
    <xf numFmtId="3" fontId="23" fillId="17" borderId="0" xfId="0" applyNumberFormat="1" applyFont="1" applyFill="1" applyBorder="1"/>
    <xf numFmtId="9" fontId="10" fillId="17" borderId="0" xfId="0" applyNumberFormat="1" applyFont="1" applyFill="1" applyBorder="1"/>
    <xf numFmtId="166" fontId="21" fillId="17" borderId="0" xfId="0" applyNumberFormat="1" applyFont="1" applyFill="1" applyBorder="1"/>
    <xf numFmtId="166" fontId="10" fillId="17" borderId="0" xfId="0" applyNumberFormat="1" applyFont="1" applyFill="1" applyBorder="1"/>
    <xf numFmtId="166" fontId="16" fillId="17" borderId="0" xfId="0" applyNumberFormat="1" applyFont="1" applyFill="1" applyBorder="1"/>
    <xf numFmtId="167" fontId="16" fillId="17" borderId="0" xfId="0" applyNumberFormat="1" applyFont="1" applyFill="1" applyBorder="1"/>
    <xf numFmtId="165" fontId="16" fillId="17" borderId="0" xfId="0" applyNumberFormat="1" applyFont="1" applyFill="1" applyBorder="1"/>
    <xf numFmtId="9" fontId="16" fillId="17" borderId="0" xfId="0" applyNumberFormat="1" applyFont="1" applyFill="1" applyBorder="1"/>
    <xf numFmtId="165" fontId="28" fillId="17" borderId="0" xfId="0" applyNumberFormat="1" applyFont="1" applyFill="1" applyBorder="1"/>
    <xf numFmtId="173" fontId="16" fillId="17" borderId="0" xfId="0" applyNumberFormat="1" applyFont="1" applyFill="1" applyBorder="1"/>
    <xf numFmtId="0" fontId="16" fillId="17" borderId="0" xfId="0" applyFont="1" applyFill="1" applyBorder="1" applyAlignment="1">
      <alignment vertical="top"/>
    </xf>
    <xf numFmtId="0" fontId="16" fillId="17" borderId="0" xfId="0" applyFont="1" applyFill="1" applyBorder="1"/>
    <xf numFmtId="168" fontId="16" fillId="17" borderId="0" xfId="0" applyNumberFormat="1" applyFont="1" applyFill="1" applyBorder="1"/>
    <xf numFmtId="2" fontId="63" fillId="17" borderId="0" xfId="0" applyNumberFormat="1" applyFont="1" applyFill="1" applyBorder="1" applyAlignment="1">
      <alignment vertical="top"/>
    </xf>
    <xf numFmtId="3" fontId="63" fillId="17" borderId="0" xfId="0" applyNumberFormat="1" applyFont="1" applyFill="1" applyBorder="1" applyAlignment="1">
      <alignment vertical="top"/>
    </xf>
    <xf numFmtId="167" fontId="16" fillId="17" borderId="0" xfId="0" applyNumberFormat="1" applyFont="1" applyFill="1" applyBorder="1" applyAlignment="1"/>
    <xf numFmtId="167" fontId="16" fillId="17" borderId="0" xfId="29" applyNumberFormat="1" applyFont="1" applyFill="1" applyBorder="1"/>
    <xf numFmtId="167" fontId="23" fillId="17" borderId="0" xfId="49" applyNumberFormat="1" applyFont="1" applyFill="1" applyBorder="1"/>
    <xf numFmtId="166" fontId="30" fillId="17" borderId="0" xfId="0" applyNumberFormat="1" applyFont="1" applyFill="1" applyBorder="1"/>
    <xf numFmtId="165" fontId="10" fillId="17" borderId="0" xfId="49" applyNumberFormat="1" applyFont="1" applyFill="1" applyBorder="1"/>
    <xf numFmtId="1" fontId="16" fillId="17" borderId="0" xfId="0" applyNumberFormat="1" applyFont="1" applyFill="1" applyBorder="1"/>
    <xf numFmtId="172" fontId="16" fillId="17" borderId="0" xfId="29" applyNumberFormat="1" applyFont="1" applyFill="1" applyBorder="1"/>
    <xf numFmtId="172" fontId="63" fillId="17" borderId="0" xfId="29" applyNumberFormat="1" applyFont="1" applyFill="1" applyBorder="1"/>
    <xf numFmtId="167" fontId="10" fillId="17" borderId="0" xfId="29" applyNumberFormat="1" applyFont="1" applyFill="1" applyBorder="1"/>
    <xf numFmtId="166" fontId="58" fillId="17" borderId="0" xfId="0" applyNumberFormat="1" applyFont="1" applyFill="1" applyBorder="1"/>
    <xf numFmtId="9" fontId="28" fillId="17" borderId="0" xfId="0" applyNumberFormat="1" applyFont="1" applyFill="1" applyBorder="1"/>
    <xf numFmtId="166" fontId="16" fillId="17" borderId="0" xfId="41" applyNumberFormat="1" applyFont="1" applyFill="1" applyBorder="1"/>
    <xf numFmtId="9" fontId="31" fillId="17" borderId="0" xfId="0" applyNumberFormat="1" applyFont="1" applyFill="1" applyBorder="1"/>
    <xf numFmtId="166" fontId="26" fillId="17" borderId="0" xfId="0" applyNumberFormat="1" applyFont="1" applyFill="1" applyBorder="1"/>
    <xf numFmtId="165" fontId="26" fillId="17" borderId="0" xfId="0" applyNumberFormat="1" applyFont="1" applyFill="1" applyBorder="1"/>
    <xf numFmtId="167" fontId="58" fillId="17" borderId="0" xfId="0" applyNumberFormat="1" applyFont="1" applyFill="1" applyBorder="1"/>
    <xf numFmtId="167" fontId="28" fillId="17" borderId="0" xfId="0" applyNumberFormat="1" applyFont="1" applyFill="1" applyBorder="1"/>
    <xf numFmtId="167" fontId="26" fillId="17" borderId="0" xfId="0" applyNumberFormat="1" applyFont="1" applyFill="1" applyBorder="1"/>
    <xf numFmtId="167" fontId="33" fillId="17" borderId="0" xfId="0" applyNumberFormat="1" applyFont="1" applyFill="1" applyBorder="1"/>
    <xf numFmtId="167" fontId="28" fillId="17" borderId="0" xfId="29" applyNumberFormat="1" applyFont="1" applyFill="1" applyBorder="1"/>
    <xf numFmtId="167" fontId="26" fillId="17" borderId="0" xfId="29" applyNumberFormat="1" applyFont="1" applyFill="1" applyBorder="1"/>
    <xf numFmtId="9" fontId="26" fillId="17" borderId="0" xfId="0" applyNumberFormat="1" applyFont="1" applyFill="1" applyBorder="1"/>
    <xf numFmtId="168" fontId="16" fillId="17" borderId="0" xfId="29" applyNumberFormat="1" applyFont="1" applyFill="1" applyBorder="1"/>
    <xf numFmtId="165" fontId="28" fillId="17" borderId="0" xfId="29" applyNumberFormat="1" applyFont="1" applyFill="1" applyBorder="1"/>
    <xf numFmtId="1" fontId="16" fillId="17" borderId="0" xfId="29" applyNumberFormat="1" applyFont="1" applyFill="1" applyBorder="1"/>
    <xf numFmtId="173" fontId="26" fillId="17" borderId="0" xfId="29" applyNumberFormat="1" applyFont="1" applyFill="1" applyBorder="1"/>
    <xf numFmtId="168" fontId="26" fillId="17" borderId="0" xfId="29" applyNumberFormat="1" applyFont="1" applyFill="1" applyBorder="1"/>
    <xf numFmtId="167" fontId="11" fillId="17" borderId="0" xfId="0" applyNumberFormat="1" applyFont="1" applyFill="1" applyBorder="1"/>
    <xf numFmtId="168" fontId="27" fillId="17" borderId="0" xfId="0" applyNumberFormat="1" applyFont="1" applyFill="1" applyBorder="1"/>
    <xf numFmtId="165" fontId="37" fillId="17" borderId="0" xfId="0" applyNumberFormat="1" applyFont="1" applyFill="1" applyBorder="1"/>
    <xf numFmtId="7" fontId="16" fillId="17" borderId="0" xfId="0" applyNumberFormat="1" applyFont="1" applyFill="1" applyBorder="1"/>
    <xf numFmtId="0" fontId="26" fillId="17" borderId="0" xfId="0" applyFont="1" applyFill="1" applyBorder="1"/>
    <xf numFmtId="167" fontId="31" fillId="17" borderId="0" xfId="0" applyNumberFormat="1" applyFont="1" applyFill="1" applyBorder="1"/>
    <xf numFmtId="9" fontId="33" fillId="17" borderId="0" xfId="0" applyNumberFormat="1" applyFont="1" applyFill="1" applyBorder="1" applyAlignment="1">
      <alignment vertical="top"/>
    </xf>
    <xf numFmtId="168" fontId="33" fillId="17" borderId="0" xfId="0" applyNumberFormat="1" applyFont="1" applyFill="1" applyBorder="1" applyAlignment="1">
      <alignment vertical="top"/>
    </xf>
    <xf numFmtId="167" fontId="55" fillId="17" borderId="0" xfId="0" applyNumberFormat="1" applyFont="1" applyFill="1" applyBorder="1" applyAlignment="1">
      <alignment vertical="top"/>
    </xf>
    <xf numFmtId="167" fontId="26" fillId="17" borderId="0" xfId="0" applyNumberFormat="1" applyFont="1" applyFill="1" applyBorder="1" applyAlignment="1">
      <alignment vertical="top"/>
    </xf>
    <xf numFmtId="9" fontId="26" fillId="17" borderId="0" xfId="0" applyNumberFormat="1" applyFont="1" applyFill="1" applyBorder="1" applyAlignment="1">
      <alignment vertical="top"/>
    </xf>
    <xf numFmtId="168" fontId="58" fillId="17" borderId="0" xfId="0" applyNumberFormat="1" applyFont="1" applyFill="1" applyBorder="1" applyAlignment="1">
      <alignment vertical="top"/>
    </xf>
    <xf numFmtId="5" fontId="26" fillId="17" borderId="0" xfId="46" applyNumberFormat="1" applyFont="1" applyFill="1" applyBorder="1"/>
    <xf numFmtId="5" fontId="26" fillId="17" borderId="0" xfId="0" applyNumberFormat="1" applyFont="1" applyFill="1" applyBorder="1"/>
    <xf numFmtId="9" fontId="26" fillId="17" borderId="0" xfId="46" applyNumberFormat="1" applyFont="1" applyFill="1" applyBorder="1"/>
    <xf numFmtId="167" fontId="26" fillId="17" borderId="0" xfId="46" applyNumberFormat="1" applyFont="1" applyFill="1" applyBorder="1"/>
    <xf numFmtId="167" fontId="10" fillId="17" borderId="0" xfId="0" applyNumberFormat="1" applyFont="1" applyFill="1" applyBorder="1" applyAlignment="1">
      <alignment horizontal="right"/>
    </xf>
    <xf numFmtId="0" fontId="16" fillId="17" borderId="0" xfId="46" applyFont="1" applyFill="1" applyBorder="1"/>
    <xf numFmtId="167" fontId="39" fillId="17" borderId="0" xfId="0" applyNumberFormat="1" applyFont="1" applyFill="1" applyBorder="1" applyAlignment="1">
      <alignment vertical="top"/>
    </xf>
    <xf numFmtId="0" fontId="26" fillId="17" borderId="0" xfId="46" applyFont="1" applyFill="1" applyBorder="1"/>
    <xf numFmtId="168" fontId="39" fillId="17" borderId="0" xfId="0" applyNumberFormat="1" applyFont="1" applyFill="1" applyBorder="1" applyAlignment="1">
      <alignment vertical="top"/>
    </xf>
    <xf numFmtId="167" fontId="16" fillId="17" borderId="0" xfId="46" applyNumberFormat="1" applyFont="1" applyFill="1" applyBorder="1"/>
    <xf numFmtId="167" fontId="33" fillId="17" borderId="0" xfId="0" applyNumberFormat="1" applyFont="1" applyFill="1" applyBorder="1" applyAlignment="1">
      <alignment vertical="top"/>
    </xf>
    <xf numFmtId="43" fontId="11" fillId="17" borderId="0" xfId="29" applyFont="1" applyFill="1" applyBorder="1" applyAlignment="1">
      <alignment vertical="top"/>
    </xf>
    <xf numFmtId="165" fontId="10" fillId="3" borderId="71" xfId="0" applyNumberFormat="1" applyFont="1" applyFill="1" applyBorder="1"/>
    <xf numFmtId="166" fontId="10" fillId="3" borderId="72" xfId="0" applyNumberFormat="1" applyFont="1" applyFill="1" applyBorder="1"/>
    <xf numFmtId="166" fontId="10" fillId="3" borderId="71" xfId="0" applyNumberFormat="1" applyFont="1" applyFill="1" applyBorder="1"/>
    <xf numFmtId="0" fontId="0" fillId="17" borderId="0" xfId="0" applyFill="1" applyBorder="1"/>
    <xf numFmtId="166" fontId="10" fillId="3" borderId="39" xfId="0" applyNumberFormat="1" applyFont="1" applyFill="1" applyBorder="1"/>
    <xf numFmtId="165" fontId="5" fillId="3" borderId="39" xfId="49" applyNumberFormat="1" applyFont="1" applyFill="1" applyBorder="1"/>
    <xf numFmtId="165" fontId="5" fillId="3" borderId="74" xfId="49" applyNumberFormat="1" applyFont="1" applyFill="1" applyBorder="1"/>
    <xf numFmtId="3" fontId="10" fillId="3" borderId="53" xfId="0" applyNumberFormat="1" applyFont="1" applyFill="1" applyBorder="1"/>
    <xf numFmtId="165" fontId="5" fillId="3" borderId="40" xfId="0" applyNumberFormat="1" applyFont="1" applyFill="1" applyBorder="1"/>
    <xf numFmtId="165" fontId="5" fillId="3" borderId="60" xfId="0" applyNumberFormat="1" applyFont="1" applyFill="1" applyBorder="1"/>
    <xf numFmtId="165" fontId="5" fillId="3" borderId="40" xfId="49" applyNumberFormat="1" applyFont="1" applyFill="1" applyBorder="1"/>
    <xf numFmtId="165" fontId="11" fillId="3" borderId="40" xfId="49" applyNumberFormat="1" applyFont="1" applyFill="1" applyBorder="1"/>
    <xf numFmtId="3" fontId="11" fillId="3" borderId="40" xfId="49" applyNumberFormat="1" applyFont="1" applyFill="1" applyBorder="1"/>
    <xf numFmtId="165" fontId="46" fillId="3" borderId="40" xfId="49" applyNumberFormat="1" applyFont="1" applyFill="1" applyBorder="1"/>
    <xf numFmtId="166" fontId="11" fillId="3" borderId="40" xfId="49" applyNumberFormat="1" applyFont="1" applyFill="1" applyBorder="1"/>
    <xf numFmtId="165" fontId="22" fillId="6" borderId="40" xfId="49" applyNumberFormat="1" applyFont="1" applyFill="1" applyBorder="1"/>
    <xf numFmtId="165" fontId="22" fillId="7" borderId="40" xfId="49" applyNumberFormat="1" applyFont="1" applyFill="1" applyBorder="1"/>
    <xf numFmtId="9" fontId="5" fillId="3" borderId="40" xfId="49" applyNumberFormat="1" applyFont="1" applyFill="1" applyBorder="1"/>
    <xf numFmtId="167" fontId="10" fillId="3" borderId="75" xfId="0" applyNumberFormat="1" applyFont="1" applyFill="1" applyBorder="1"/>
    <xf numFmtId="165" fontId="5" fillId="3" borderId="76" xfId="49" applyNumberFormat="1" applyFont="1" applyFill="1" applyBorder="1"/>
    <xf numFmtId="167" fontId="5" fillId="3" borderId="40" xfId="0" applyNumberFormat="1" applyFont="1" applyFill="1" applyBorder="1"/>
    <xf numFmtId="168" fontId="5" fillId="0" borderId="40" xfId="0" applyNumberFormat="1" applyFont="1" applyFill="1" applyBorder="1"/>
    <xf numFmtId="166" fontId="5" fillId="3" borderId="40" xfId="49" applyNumberFormat="1" applyFont="1" applyFill="1" applyBorder="1"/>
    <xf numFmtId="166" fontId="10" fillId="3" borderId="40" xfId="49" applyNumberFormat="1" applyFont="1" applyFill="1" applyBorder="1"/>
    <xf numFmtId="165" fontId="25" fillId="3" borderId="40" xfId="49" applyNumberFormat="1" applyFont="1" applyFill="1" applyBorder="1"/>
    <xf numFmtId="165" fontId="2" fillId="3" borderId="40" xfId="49" applyNumberFormat="1" applyFont="1" applyFill="1" applyBorder="1"/>
    <xf numFmtId="166" fontId="1" fillId="3" borderId="40" xfId="49" applyNumberFormat="1" applyFont="1" applyFill="1" applyBorder="1"/>
    <xf numFmtId="173" fontId="5" fillId="3" borderId="40" xfId="49" applyNumberFormat="1" applyFont="1" applyFill="1" applyBorder="1"/>
    <xf numFmtId="165" fontId="5" fillId="3" borderId="77" xfId="49" applyNumberFormat="1" applyFont="1" applyFill="1" applyBorder="1"/>
    <xf numFmtId="167" fontId="5" fillId="3" borderId="78" xfId="0" applyNumberFormat="1" applyFont="1" applyFill="1" applyBorder="1"/>
    <xf numFmtId="167" fontId="5" fillId="3" borderId="75" xfId="0" applyNumberFormat="1" applyFont="1" applyFill="1" applyBorder="1"/>
    <xf numFmtId="165" fontId="5" fillId="0" borderId="40" xfId="0" applyNumberFormat="1" applyFont="1" applyFill="1" applyBorder="1"/>
    <xf numFmtId="165" fontId="23" fillId="0" borderId="76" xfId="0" applyNumberFormat="1" applyFont="1" applyFill="1" applyBorder="1" applyAlignment="1" applyProtection="1">
      <alignment vertical="top"/>
    </xf>
    <xf numFmtId="167" fontId="5" fillId="0" borderId="40" xfId="49" applyNumberFormat="1" applyFont="1" applyFill="1" applyBorder="1"/>
    <xf numFmtId="167" fontId="3" fillId="0" borderId="40" xfId="49" applyNumberFormat="1" applyFont="1" applyFill="1" applyBorder="1"/>
    <xf numFmtId="165" fontId="5" fillId="3" borderId="79" xfId="49" applyNumberFormat="1" applyFont="1" applyFill="1" applyBorder="1"/>
    <xf numFmtId="165" fontId="114" fillId="3" borderId="40" xfId="49" applyNumberFormat="1" applyFont="1" applyFill="1" applyBorder="1"/>
    <xf numFmtId="168" fontId="5" fillId="3" borderId="40" xfId="49" applyNumberFormat="1" applyFont="1" applyFill="1" applyBorder="1"/>
    <xf numFmtId="165" fontId="23" fillId="3" borderId="76" xfId="0" applyNumberFormat="1" applyFont="1" applyFill="1" applyBorder="1" applyAlignment="1" applyProtection="1">
      <alignment vertical="top"/>
    </xf>
    <xf numFmtId="2" fontId="11" fillId="3" borderId="40" xfId="0" applyNumberFormat="1" applyFont="1" applyFill="1" applyBorder="1" applyAlignment="1" applyProtection="1">
      <alignment vertical="top"/>
    </xf>
    <xf numFmtId="3" fontId="11" fillId="3" borderId="40" xfId="0" applyNumberFormat="1" applyFont="1" applyFill="1" applyBorder="1" applyAlignment="1" applyProtection="1">
      <alignment vertical="top"/>
    </xf>
    <xf numFmtId="167" fontId="5" fillId="3" borderId="80" xfId="49" applyNumberFormat="1" applyFont="1" applyFill="1" applyBorder="1" applyAlignment="1"/>
    <xf numFmtId="167" fontId="5" fillId="3" borderId="40" xfId="49" applyNumberFormat="1" applyFont="1" applyFill="1" applyBorder="1" applyAlignment="1"/>
    <xf numFmtId="167" fontId="5" fillId="0" borderId="40" xfId="49" applyNumberFormat="1" applyFont="1" applyFill="1" applyBorder="1" applyAlignment="1"/>
    <xf numFmtId="165" fontId="5" fillId="3" borderId="60" xfId="49" applyNumberFormat="1" applyFont="1" applyFill="1" applyBorder="1"/>
    <xf numFmtId="167" fontId="22" fillId="7" borderId="40" xfId="49" applyNumberFormat="1" applyFont="1" applyFill="1" applyBorder="1"/>
    <xf numFmtId="165" fontId="11" fillId="3" borderId="40" xfId="49" applyNumberFormat="1" applyFont="1" applyFill="1" applyBorder="1" applyAlignment="1" applyProtection="1">
      <alignment vertical="top"/>
    </xf>
    <xf numFmtId="167" fontId="11" fillId="0" borderId="40" xfId="49" applyNumberFormat="1" applyFont="1" applyFill="1" applyBorder="1" applyAlignment="1" applyProtection="1">
      <alignment vertical="top"/>
    </xf>
    <xf numFmtId="167" fontId="11" fillId="3" borderId="40" xfId="49" applyNumberFormat="1" applyFont="1" applyFill="1" applyBorder="1" applyAlignment="1" applyProtection="1">
      <alignment vertical="top"/>
    </xf>
    <xf numFmtId="167" fontId="25" fillId="3" borderId="80" xfId="30" applyNumberFormat="1" applyFont="1" applyFill="1" applyBorder="1" applyProtection="1"/>
    <xf numFmtId="3" fontId="5" fillId="3" borderId="80" xfId="30" applyNumberFormat="1" applyFont="1" applyFill="1" applyBorder="1" applyProtection="1"/>
    <xf numFmtId="1" fontId="5" fillId="3" borderId="40" xfId="0" applyNumberFormat="1" applyFont="1" applyFill="1" applyBorder="1"/>
    <xf numFmtId="167" fontId="5" fillId="3" borderId="76" xfId="0" applyNumberFormat="1" applyFont="1" applyFill="1" applyBorder="1"/>
    <xf numFmtId="9" fontId="11" fillId="3" borderId="40" xfId="49" applyNumberFormat="1" applyFont="1" applyFill="1" applyBorder="1" applyAlignment="1" applyProtection="1">
      <alignment vertical="top"/>
    </xf>
    <xf numFmtId="168" fontId="5" fillId="3" borderId="76" xfId="0" applyNumberFormat="1" applyFont="1" applyFill="1" applyBorder="1"/>
    <xf numFmtId="168" fontId="5" fillId="3" borderId="40" xfId="0" applyNumberFormat="1" applyFont="1" applyFill="1" applyBorder="1" applyAlignment="1">
      <alignment vertical="top"/>
    </xf>
    <xf numFmtId="172" fontId="5" fillId="3" borderId="76" xfId="29" applyNumberFormat="1" applyFont="1" applyFill="1" applyBorder="1"/>
    <xf numFmtId="43" fontId="11" fillId="3" borderId="40" xfId="29" applyNumberFormat="1" applyFont="1" applyFill="1" applyBorder="1"/>
    <xf numFmtId="167" fontId="5" fillId="3" borderId="76" xfId="49" applyNumberFormat="1" applyFont="1" applyFill="1" applyBorder="1"/>
    <xf numFmtId="6" fontId="10" fillId="5" borderId="40" xfId="35" applyNumberFormat="1" applyFont="1" applyFill="1" applyBorder="1" applyProtection="1"/>
    <xf numFmtId="167" fontId="10" fillId="4" borderId="40" xfId="0" applyNumberFormat="1" applyFont="1" applyFill="1" applyBorder="1"/>
    <xf numFmtId="165" fontId="11" fillId="0" borderId="40" xfId="49" applyNumberFormat="1" applyFont="1" applyFill="1" applyBorder="1" applyAlignment="1" applyProtection="1">
      <alignment vertical="top"/>
    </xf>
    <xf numFmtId="167" fontId="10" fillId="5" borderId="40" xfId="39" applyNumberFormat="1" applyFont="1" applyFill="1" applyBorder="1" applyProtection="1"/>
    <xf numFmtId="165" fontId="5" fillId="5" borderId="40" xfId="49" applyNumberFormat="1" applyFont="1" applyFill="1" applyBorder="1"/>
    <xf numFmtId="167" fontId="5" fillId="3" borderId="40" xfId="49" applyNumberFormat="1" applyFont="1" applyFill="1" applyBorder="1"/>
    <xf numFmtId="165" fontId="51" fillId="7" borderId="40" xfId="49" applyNumberFormat="1" applyFont="1" applyFill="1" applyBorder="1"/>
    <xf numFmtId="166" fontId="5" fillId="3" borderId="40" xfId="0" applyNumberFormat="1" applyFont="1" applyFill="1" applyBorder="1"/>
    <xf numFmtId="9" fontId="25" fillId="3" borderId="40" xfId="49" applyNumberFormat="1" applyFont="1" applyFill="1" applyBorder="1"/>
    <xf numFmtId="166" fontId="5" fillId="3" borderId="40" xfId="41" applyNumberFormat="1" applyFont="1" applyFill="1" applyBorder="1"/>
    <xf numFmtId="167" fontId="10" fillId="5" borderId="40" xfId="49" applyNumberFormat="1" applyFont="1" applyFill="1" applyBorder="1"/>
    <xf numFmtId="167" fontId="34" fillId="3" borderId="40" xfId="29" applyNumberFormat="1" applyFont="1" applyFill="1" applyBorder="1" applyProtection="1"/>
    <xf numFmtId="167" fontId="5" fillId="0" borderId="40" xfId="0" applyNumberFormat="1" applyFont="1" applyFill="1" applyBorder="1"/>
    <xf numFmtId="167" fontId="32" fillId="3" borderId="40" xfId="49" applyNumberFormat="1" applyFont="1" applyFill="1" applyBorder="1"/>
    <xf numFmtId="167" fontId="34" fillId="0" borderId="40" xfId="29" applyNumberFormat="1" applyFont="1" applyFill="1" applyBorder="1" applyProtection="1"/>
    <xf numFmtId="165" fontId="10" fillId="5" borderId="40" xfId="49" applyNumberFormat="1" applyFont="1" applyFill="1" applyBorder="1"/>
    <xf numFmtId="167" fontId="11" fillId="3" borderId="40" xfId="0" applyNumberFormat="1" applyFont="1" applyFill="1" applyBorder="1" applyProtection="1"/>
    <xf numFmtId="165" fontId="5" fillId="3" borderId="40" xfId="0" applyNumberFormat="1" applyFont="1" applyFill="1" applyBorder="1" applyProtection="1">
      <protection locked="0"/>
    </xf>
    <xf numFmtId="167" fontId="5" fillId="3" borderId="40" xfId="0" applyNumberFormat="1" applyFont="1" applyFill="1" applyBorder="1" applyProtection="1"/>
    <xf numFmtId="167" fontId="11" fillId="3" borderId="40" xfId="29" applyNumberFormat="1" applyFont="1" applyFill="1" applyBorder="1" applyProtection="1"/>
    <xf numFmtId="9" fontId="11" fillId="3" borderId="40" xfId="0" applyNumberFormat="1" applyFont="1" applyFill="1" applyBorder="1" applyProtection="1"/>
    <xf numFmtId="168" fontId="10" fillId="15" borderId="2" xfId="0" applyNumberFormat="1" applyFont="1" applyFill="1" applyBorder="1"/>
    <xf numFmtId="165" fontId="11" fillId="3" borderId="40" xfId="0" applyNumberFormat="1" applyFont="1" applyFill="1" applyBorder="1" applyProtection="1"/>
    <xf numFmtId="1" fontId="10" fillId="3" borderId="40" xfId="29" applyNumberFormat="1" applyFont="1" applyFill="1" applyBorder="1" applyProtection="1"/>
    <xf numFmtId="165" fontId="11" fillId="3" borderId="40" xfId="29" applyNumberFormat="1" applyFont="1" applyFill="1" applyBorder="1" applyProtection="1"/>
    <xf numFmtId="165" fontId="24" fillId="5" borderId="40" xfId="49" applyNumberFormat="1" applyFont="1" applyFill="1" applyBorder="1" applyProtection="1"/>
    <xf numFmtId="4" fontId="24" fillId="3" borderId="40" xfId="29" applyNumberFormat="1" applyFont="1" applyFill="1" applyBorder="1" applyProtection="1"/>
    <xf numFmtId="168" fontId="11" fillId="3" borderId="40" xfId="0" applyNumberFormat="1" applyFont="1" applyFill="1" applyBorder="1"/>
    <xf numFmtId="168" fontId="21" fillId="3" borderId="81" xfId="0" applyNumberFormat="1" applyFont="1" applyFill="1" applyBorder="1"/>
    <xf numFmtId="168" fontId="21" fillId="3" borderId="40" xfId="0" applyNumberFormat="1" applyFont="1" applyFill="1" applyBorder="1"/>
    <xf numFmtId="9" fontId="5" fillId="3" borderId="40" xfId="0" applyNumberFormat="1" applyFont="1" applyFill="1" applyBorder="1"/>
    <xf numFmtId="167" fontId="25" fillId="3" borderId="40" xfId="0" applyNumberFormat="1" applyFont="1" applyFill="1" applyBorder="1"/>
    <xf numFmtId="9" fontId="5" fillId="3" borderId="40" xfId="49" applyNumberFormat="1" applyFont="1" applyFill="1" applyBorder="1" applyAlignment="1">
      <alignment vertical="top"/>
    </xf>
    <xf numFmtId="167" fontId="46" fillId="3" borderId="40" xfId="0" applyNumberFormat="1" applyFont="1" applyFill="1" applyBorder="1" applyAlignment="1">
      <alignment vertical="top"/>
    </xf>
    <xf numFmtId="167" fontId="5" fillId="3" borderId="40" xfId="32" applyNumberFormat="1" applyFont="1" applyFill="1" applyBorder="1" applyAlignment="1">
      <alignment vertical="top"/>
    </xf>
    <xf numFmtId="165" fontId="32" fillId="3" borderId="40" xfId="0" applyNumberFormat="1" applyFont="1" applyFill="1" applyBorder="1" applyAlignment="1">
      <alignment vertical="top"/>
    </xf>
    <xf numFmtId="0" fontId="3" fillId="3" borderId="39" xfId="0" applyNumberFormat="1" applyFont="1" applyFill="1" applyBorder="1"/>
    <xf numFmtId="0" fontId="1" fillId="3" borderId="39" xfId="0" applyNumberFormat="1" applyFont="1" applyFill="1" applyBorder="1"/>
    <xf numFmtId="0" fontId="3" fillId="3" borderId="85" xfId="0" applyNumberFormat="1" applyFont="1" applyFill="1" applyBorder="1"/>
    <xf numFmtId="1" fontId="3" fillId="3" borderId="39" xfId="0" applyNumberFormat="1" applyFont="1" applyFill="1" applyBorder="1"/>
    <xf numFmtId="2" fontId="1" fillId="5" borderId="39" xfId="0" applyNumberFormat="1" applyFont="1" applyFill="1" applyBorder="1"/>
    <xf numFmtId="165" fontId="5" fillId="0" borderId="40" xfId="49" applyNumberFormat="1" applyFont="1" applyFill="1" applyBorder="1"/>
    <xf numFmtId="9" fontId="10" fillId="3" borderId="82" xfId="0" applyNumberFormat="1" applyFont="1" applyFill="1" applyBorder="1"/>
    <xf numFmtId="0" fontId="3" fillId="3" borderId="82" xfId="0" applyNumberFormat="1" applyFont="1" applyFill="1" applyBorder="1"/>
    <xf numFmtId="9" fontId="16" fillId="3" borderId="82" xfId="0" applyNumberFormat="1" applyFont="1" applyFill="1" applyBorder="1"/>
    <xf numFmtId="166" fontId="16" fillId="3" borderId="73" xfId="0" applyNumberFormat="1" applyFont="1" applyFill="1" applyBorder="1"/>
    <xf numFmtId="0" fontId="16" fillId="3" borderId="82" xfId="0" applyFont="1" applyFill="1" applyBorder="1" applyAlignment="1">
      <alignment vertical="top"/>
    </xf>
    <xf numFmtId="165" fontId="16" fillId="3" borderId="83" xfId="0" applyNumberFormat="1" applyFont="1" applyFill="1" applyBorder="1"/>
    <xf numFmtId="165" fontId="16" fillId="3" borderId="82" xfId="0" applyNumberFormat="1" applyFont="1" applyFill="1" applyBorder="1"/>
    <xf numFmtId="168" fontId="16" fillId="3" borderId="83" xfId="0" applyNumberFormat="1" applyFont="1" applyFill="1" applyBorder="1"/>
    <xf numFmtId="168" fontId="16" fillId="3" borderId="82" xfId="0" applyNumberFormat="1" applyFont="1" applyFill="1" applyBorder="1"/>
    <xf numFmtId="167" fontId="16" fillId="3" borderId="73" xfId="0" applyNumberFormat="1" applyFont="1" applyFill="1" applyBorder="1" applyAlignment="1"/>
    <xf numFmtId="9" fontId="3" fillId="3" borderId="39" xfId="49" applyFont="1" applyFill="1" applyBorder="1"/>
    <xf numFmtId="9" fontId="1" fillId="18" borderId="39" xfId="49" applyFont="1" applyFill="1" applyBorder="1"/>
    <xf numFmtId="9" fontId="3" fillId="3" borderId="85" xfId="49" applyFont="1" applyFill="1" applyBorder="1"/>
    <xf numFmtId="9" fontId="1" fillId="3" borderId="39" xfId="49" applyFont="1" applyFill="1" applyBorder="1"/>
    <xf numFmtId="165" fontId="3" fillId="3" borderId="0" xfId="0" applyNumberFormat="1" applyFont="1" applyFill="1" applyBorder="1"/>
    <xf numFmtId="165" fontId="3" fillId="13" borderId="0" xfId="0" applyNumberFormat="1" applyFont="1" applyFill="1" applyBorder="1"/>
    <xf numFmtId="165" fontId="3" fillId="13" borderId="24" xfId="0" applyNumberFormat="1" applyFont="1" applyFill="1" applyBorder="1"/>
    <xf numFmtId="165" fontId="1" fillId="3" borderId="0" xfId="0" applyNumberFormat="1" applyFont="1" applyFill="1" applyBorder="1"/>
    <xf numFmtId="3" fontId="1" fillId="3" borderId="0" xfId="0" applyNumberFormat="1" applyFont="1" applyFill="1" applyBorder="1"/>
    <xf numFmtId="3" fontId="3" fillId="3" borderId="0" xfId="49" applyNumberFormat="1" applyFont="1" applyFill="1" applyBorder="1"/>
    <xf numFmtId="165" fontId="2" fillId="13" borderId="0" xfId="49" applyNumberFormat="1" applyFont="1" applyFill="1" applyBorder="1"/>
    <xf numFmtId="9" fontId="1" fillId="3" borderId="0" xfId="0" applyNumberFormat="1" applyFont="1" applyFill="1" applyBorder="1"/>
    <xf numFmtId="166" fontId="3" fillId="3" borderId="0" xfId="49" applyNumberFormat="1" applyFont="1" applyFill="1" applyBorder="1"/>
    <xf numFmtId="9" fontId="3" fillId="3" borderId="75" xfId="49" applyFont="1" applyFill="1" applyBorder="1"/>
    <xf numFmtId="167" fontId="1" fillId="5" borderId="0" xfId="0" applyNumberFormat="1" applyFont="1" applyFill="1" applyBorder="1"/>
    <xf numFmtId="9" fontId="3" fillId="3" borderId="0" xfId="49" applyNumberFormat="1" applyFont="1" applyFill="1" applyBorder="1"/>
    <xf numFmtId="167" fontId="1" fillId="3" borderId="5" xfId="0" applyNumberFormat="1" applyFont="1" applyFill="1" applyBorder="1"/>
    <xf numFmtId="165" fontId="3" fillId="13" borderId="0" xfId="0" applyNumberFormat="1" applyFont="1" applyFill="1" applyBorder="1" applyAlignment="1" applyProtection="1">
      <alignment vertical="top"/>
    </xf>
    <xf numFmtId="165" fontId="3" fillId="3" borderId="8" xfId="49" applyNumberFormat="1" applyFont="1" applyFill="1" applyBorder="1"/>
    <xf numFmtId="168" fontId="3" fillId="3" borderId="0" xfId="0" applyNumberFormat="1" applyFont="1" applyFill="1" applyBorder="1"/>
    <xf numFmtId="9" fontId="3" fillId="3" borderId="0" xfId="49" applyFont="1" applyFill="1" applyBorder="1" applyAlignment="1" applyProtection="1">
      <alignment vertical="top"/>
    </xf>
    <xf numFmtId="166" fontId="3" fillId="3" borderId="0" xfId="0" applyNumberFormat="1" applyFont="1" applyFill="1" applyBorder="1" applyAlignment="1" applyProtection="1">
      <alignment vertical="top"/>
    </xf>
    <xf numFmtId="166" fontId="3" fillId="0" borderId="0" xfId="0" applyNumberFormat="1" applyFont="1" applyFill="1" applyBorder="1" applyAlignment="1" applyProtection="1">
      <alignment vertical="top"/>
    </xf>
    <xf numFmtId="166" fontId="3" fillId="13" borderId="0" xfId="0" applyNumberFormat="1" applyFont="1" applyFill="1" applyBorder="1" applyAlignment="1" applyProtection="1">
      <alignment vertical="top"/>
    </xf>
    <xf numFmtId="173" fontId="3" fillId="0" borderId="0" xfId="0" applyNumberFormat="1" applyFont="1" applyFill="1" applyBorder="1" applyAlignment="1" applyProtection="1">
      <alignment vertical="top"/>
    </xf>
    <xf numFmtId="9" fontId="1" fillId="0" borderId="39" xfId="49" applyFont="1" applyFill="1" applyBorder="1"/>
    <xf numFmtId="9" fontId="1" fillId="0" borderId="86" xfId="49" applyFont="1" applyFill="1" applyBorder="1"/>
    <xf numFmtId="37" fontId="3" fillId="3" borderId="75" xfId="0" applyNumberFormat="1" applyFont="1" applyFill="1" applyBorder="1"/>
    <xf numFmtId="167" fontId="3" fillId="3" borderId="5" xfId="0" applyNumberFormat="1" applyFont="1" applyFill="1" applyBorder="1"/>
    <xf numFmtId="165" fontId="3" fillId="0" borderId="0" xfId="0" applyNumberFormat="1" applyFont="1" applyFill="1" applyBorder="1" applyAlignment="1" applyProtection="1">
      <alignment vertical="top"/>
    </xf>
    <xf numFmtId="167" fontId="3" fillId="3" borderId="0" xfId="49" applyNumberFormat="1" applyFont="1" applyFill="1" applyBorder="1"/>
    <xf numFmtId="165" fontId="3" fillId="3" borderId="45" xfId="49" applyNumberFormat="1" applyFont="1" applyFill="1" applyBorder="1"/>
    <xf numFmtId="165" fontId="3" fillId="13" borderId="0" xfId="49" applyNumberFormat="1" applyFont="1" applyFill="1" applyBorder="1"/>
    <xf numFmtId="168" fontId="3" fillId="3" borderId="0" xfId="49" applyNumberFormat="1" applyFont="1" applyFill="1" applyBorder="1"/>
    <xf numFmtId="2" fontId="3" fillId="3" borderId="0" xfId="0" applyNumberFormat="1" applyFont="1" applyFill="1" applyBorder="1" applyAlignment="1" applyProtection="1">
      <alignment vertical="top"/>
    </xf>
    <xf numFmtId="3" fontId="3" fillId="3" borderId="0" xfId="0" applyNumberFormat="1" applyFont="1" applyFill="1" applyBorder="1" applyAlignment="1" applyProtection="1">
      <alignment vertical="top"/>
    </xf>
    <xf numFmtId="167" fontId="3" fillId="3" borderId="16" xfId="49" applyNumberFormat="1" applyFont="1" applyFill="1" applyBorder="1" applyAlignment="1"/>
    <xf numFmtId="167" fontId="3" fillId="3" borderId="0" xfId="49" applyNumberFormat="1" applyFont="1" applyFill="1" applyBorder="1" applyAlignment="1"/>
    <xf numFmtId="167" fontId="3" fillId="13" borderId="0" xfId="49" applyNumberFormat="1" applyFont="1" applyFill="1" applyBorder="1" applyAlignment="1"/>
    <xf numFmtId="167" fontId="1" fillId="16" borderId="0" xfId="49" applyNumberFormat="1" applyFont="1" applyFill="1" applyBorder="1"/>
    <xf numFmtId="165" fontId="3" fillId="3" borderId="24" xfId="49" applyNumberFormat="1" applyFont="1" applyFill="1" applyBorder="1"/>
    <xf numFmtId="167" fontId="1" fillId="7" borderId="0" xfId="0" applyNumberFormat="1" applyFont="1" applyFill="1" applyBorder="1"/>
    <xf numFmtId="165" fontId="5" fillId="3" borderId="87" xfId="49" applyNumberFormat="1" applyFont="1" applyFill="1" applyBorder="1"/>
    <xf numFmtId="168" fontId="5" fillId="3" borderId="87" xfId="0" applyNumberFormat="1" applyFont="1" applyFill="1" applyBorder="1"/>
    <xf numFmtId="168" fontId="5" fillId="0" borderId="87" xfId="0" applyNumberFormat="1" applyFont="1" applyFill="1" applyBorder="1"/>
    <xf numFmtId="9" fontId="3" fillId="3" borderId="0" xfId="49" applyFont="1" applyFill="1" applyBorder="1"/>
    <xf numFmtId="165" fontId="24" fillId="3" borderId="87" xfId="0" applyNumberFormat="1" applyFont="1" applyFill="1" applyBorder="1" applyAlignment="1" applyProtection="1">
      <alignment vertical="top"/>
    </xf>
    <xf numFmtId="166" fontId="16" fillId="3" borderId="87" xfId="0" applyNumberFormat="1" applyFont="1" applyFill="1" applyBorder="1"/>
    <xf numFmtId="165" fontId="10" fillId="3" borderId="87" xfId="0" applyNumberFormat="1" applyFont="1" applyFill="1" applyBorder="1"/>
    <xf numFmtId="9" fontId="3" fillId="3" borderId="87" xfId="49" applyFont="1" applyFill="1" applyBorder="1"/>
    <xf numFmtId="167" fontId="1" fillId="5" borderId="0" xfId="29" applyNumberFormat="1" applyFont="1" applyFill="1" applyBorder="1"/>
    <xf numFmtId="167" fontId="3" fillId="0" borderId="0" xfId="49" applyNumberFormat="1" applyFont="1" applyFill="1" applyBorder="1" applyAlignment="1" applyProtection="1">
      <alignment vertical="top"/>
    </xf>
    <xf numFmtId="167" fontId="3" fillId="13" borderId="0" xfId="32" applyNumberFormat="1" applyFont="1" applyFill="1" applyBorder="1" applyAlignment="1" applyProtection="1">
      <alignment vertical="top"/>
    </xf>
    <xf numFmtId="167" fontId="2" fillId="3" borderId="16" xfId="30" applyNumberFormat="1" applyFont="1" applyFill="1" applyBorder="1" applyProtection="1"/>
    <xf numFmtId="3" fontId="3" fillId="3" borderId="16" xfId="29" applyNumberFormat="1" applyFont="1" applyFill="1" applyBorder="1"/>
    <xf numFmtId="1" fontId="3" fillId="3" borderId="0" xfId="0" applyNumberFormat="1" applyFont="1" applyFill="1" applyBorder="1"/>
    <xf numFmtId="167" fontId="3" fillId="3" borderId="8" xfId="0" applyNumberFormat="1" applyFont="1" applyFill="1" applyBorder="1"/>
    <xf numFmtId="168" fontId="3" fillId="3" borderId="8" xfId="0" applyNumberFormat="1" applyFont="1" applyFill="1" applyBorder="1"/>
    <xf numFmtId="168" fontId="3" fillId="3" borderId="0" xfId="0" applyNumberFormat="1" applyFont="1" applyFill="1" applyBorder="1" applyAlignment="1">
      <alignment vertical="top"/>
    </xf>
    <xf numFmtId="172" fontId="3" fillId="3" borderId="8" xfId="29" applyNumberFormat="1" applyFont="1" applyFill="1" applyBorder="1"/>
    <xf numFmtId="43" fontId="3" fillId="3" borderId="0" xfId="29" applyNumberFormat="1" applyFont="1" applyFill="1" applyBorder="1"/>
    <xf numFmtId="167" fontId="3" fillId="3" borderId="8" xfId="49" applyNumberFormat="1" applyFont="1" applyFill="1" applyBorder="1"/>
    <xf numFmtId="165" fontId="3" fillId="0" borderId="0" xfId="49" applyNumberFormat="1" applyFont="1" applyFill="1" applyBorder="1"/>
    <xf numFmtId="6" fontId="1" fillId="5" borderId="0" xfId="29" applyNumberFormat="1" applyFont="1" applyFill="1" applyBorder="1"/>
    <xf numFmtId="167" fontId="3" fillId="0" borderId="0" xfId="32" applyNumberFormat="1" applyFont="1" applyFill="1" applyBorder="1" applyAlignment="1" applyProtection="1">
      <alignment vertical="top"/>
    </xf>
    <xf numFmtId="167" fontId="1" fillId="4" borderId="0" xfId="29" applyNumberFormat="1" applyFont="1" applyFill="1" applyBorder="1"/>
    <xf numFmtId="1" fontId="1" fillId="3" borderId="39" xfId="0" applyNumberFormat="1" applyFont="1" applyFill="1" applyBorder="1"/>
    <xf numFmtId="167" fontId="1" fillId="5" borderId="0" xfId="49" applyNumberFormat="1" applyFont="1" applyFill="1" applyBorder="1"/>
    <xf numFmtId="167" fontId="3" fillId="13" borderId="0" xfId="0" applyNumberFormat="1" applyFont="1" applyFill="1" applyBorder="1"/>
    <xf numFmtId="167" fontId="1" fillId="3" borderId="0" xfId="49" applyNumberFormat="1" applyFont="1" applyFill="1" applyBorder="1"/>
    <xf numFmtId="165" fontId="3" fillId="3" borderId="0" xfId="29" applyNumberFormat="1" applyFont="1" applyFill="1" applyBorder="1" applyProtection="1">
      <protection locked="0"/>
    </xf>
    <xf numFmtId="167" fontId="3" fillId="0" borderId="0" xfId="0" applyNumberFormat="1" applyFont="1" applyFill="1" applyBorder="1"/>
    <xf numFmtId="167" fontId="23" fillId="13" borderId="0" xfId="29" applyNumberFormat="1" applyFont="1" applyFill="1" applyBorder="1" applyProtection="1"/>
    <xf numFmtId="165" fontId="1" fillId="5" borderId="0" xfId="49" applyNumberFormat="1" applyFont="1" applyFill="1" applyBorder="1"/>
    <xf numFmtId="167" fontId="3" fillId="3" borderId="0" xfId="0" applyNumberFormat="1" applyFont="1" applyFill="1" applyBorder="1" applyProtection="1"/>
    <xf numFmtId="165" fontId="3" fillId="3" borderId="0" xfId="0" applyNumberFormat="1" applyFont="1" applyFill="1" applyBorder="1" applyProtection="1">
      <protection locked="0"/>
    </xf>
    <xf numFmtId="167" fontId="3" fillId="3" borderId="0" xfId="29" applyNumberFormat="1" applyFont="1" applyFill="1" applyBorder="1" applyProtection="1"/>
    <xf numFmtId="9" fontId="3" fillId="3" borderId="0" xfId="0" applyNumberFormat="1" applyFont="1" applyFill="1" applyBorder="1" applyProtection="1"/>
    <xf numFmtId="168" fontId="1" fillId="15" borderId="14" xfId="0" applyNumberFormat="1" applyFont="1" applyFill="1" applyBorder="1"/>
    <xf numFmtId="165" fontId="3" fillId="3" borderId="0" xfId="0" applyNumberFormat="1" applyFont="1" applyFill="1" applyBorder="1" applyProtection="1"/>
    <xf numFmtId="1" fontId="1" fillId="3" borderId="0" xfId="29" applyNumberFormat="1" applyFont="1" applyFill="1" applyBorder="1" applyProtection="1"/>
    <xf numFmtId="165" fontId="3" fillId="13" borderId="0" xfId="29" applyNumberFormat="1" applyFont="1" applyFill="1" applyBorder="1" applyProtection="1"/>
    <xf numFmtId="9" fontId="3" fillId="0" borderId="39" xfId="49" applyFont="1" applyFill="1" applyBorder="1"/>
    <xf numFmtId="9" fontId="1" fillId="15" borderId="86" xfId="49" applyFont="1" applyFill="1" applyBorder="1"/>
    <xf numFmtId="167" fontId="33" fillId="0" borderId="39" xfId="0" applyNumberFormat="1" applyFont="1" applyFill="1" applyBorder="1"/>
    <xf numFmtId="165" fontId="26" fillId="0" borderId="39" xfId="0" applyNumberFormat="1" applyFont="1" applyFill="1" applyBorder="1"/>
    <xf numFmtId="167" fontId="26" fillId="0" borderId="39" xfId="0" applyNumberFormat="1" applyFont="1" applyFill="1" applyBorder="1"/>
    <xf numFmtId="9" fontId="1" fillId="3" borderId="75" xfId="49" applyFont="1" applyFill="1" applyBorder="1"/>
    <xf numFmtId="165" fontId="5" fillId="13" borderId="0" xfId="0" applyNumberFormat="1" applyFont="1" applyFill="1" applyBorder="1"/>
    <xf numFmtId="167" fontId="3" fillId="13" borderId="0" xfId="49" applyNumberFormat="1" applyFont="1" applyFill="1" applyBorder="1"/>
    <xf numFmtId="167" fontId="5" fillId="13" borderId="0" xfId="49" applyNumberFormat="1" applyFont="1" applyFill="1" applyBorder="1" applyAlignment="1"/>
    <xf numFmtId="167" fontId="11" fillId="13" borderId="0" xfId="49" applyNumberFormat="1" applyFont="1" applyFill="1" applyBorder="1" applyAlignment="1" applyProtection="1">
      <alignment vertical="top"/>
    </xf>
    <xf numFmtId="166" fontId="3" fillId="3" borderId="39" xfId="0" applyNumberFormat="1" applyFont="1" applyFill="1" applyBorder="1"/>
    <xf numFmtId="1" fontId="3" fillId="3" borderId="85" xfId="0" applyNumberFormat="1" applyFont="1" applyFill="1" applyBorder="1"/>
    <xf numFmtId="165" fontId="1" fillId="18" borderId="39" xfId="49" applyNumberFormat="1" applyFont="1" applyFill="1" applyBorder="1"/>
    <xf numFmtId="0" fontId="1" fillId="5" borderId="0" xfId="0" applyNumberFormat="1" applyFont="1" applyFill="1" applyBorder="1"/>
    <xf numFmtId="0" fontId="3" fillId="5" borderId="0" xfId="0" applyNumberFormat="1" applyFont="1" applyFill="1" applyBorder="1"/>
    <xf numFmtId="0" fontId="22" fillId="6" borderId="0" xfId="0" applyNumberFormat="1" applyFont="1" applyFill="1" applyBorder="1"/>
    <xf numFmtId="0" fontId="51" fillId="6" borderId="0" xfId="0" applyNumberFormat="1" applyFont="1" applyFill="1" applyBorder="1"/>
    <xf numFmtId="0" fontId="51" fillId="5" borderId="0" xfId="0" applyNumberFormat="1" applyFont="1" applyFill="1" applyBorder="1"/>
    <xf numFmtId="0" fontId="5" fillId="5" borderId="0" xfId="0" applyNumberFormat="1" applyFont="1" applyFill="1" applyBorder="1"/>
    <xf numFmtId="0" fontId="25" fillId="5" borderId="0" xfId="0" applyNumberFormat="1" applyFont="1" applyFill="1" applyBorder="1"/>
    <xf numFmtId="0" fontId="11" fillId="5" borderId="0" xfId="0" applyNumberFormat="1" applyFont="1" applyFill="1" applyBorder="1"/>
    <xf numFmtId="0" fontId="5" fillId="5" borderId="0" xfId="0" applyNumberFormat="1" applyFont="1" applyFill="1" applyBorder="1" applyAlignment="1">
      <alignment vertical="top"/>
    </xf>
    <xf numFmtId="0" fontId="11" fillId="5" borderId="0" xfId="0" applyNumberFormat="1" applyFont="1" applyFill="1" applyBorder="1" applyAlignment="1">
      <alignment vertical="top"/>
    </xf>
    <xf numFmtId="0" fontId="5" fillId="5" borderId="0" xfId="0" applyNumberFormat="1" applyFont="1" applyFill="1" applyBorder="1" applyAlignment="1"/>
    <xf numFmtId="0" fontId="1" fillId="5" borderId="0" xfId="29" applyNumberFormat="1" applyFont="1" applyFill="1" applyBorder="1"/>
    <xf numFmtId="0" fontId="26" fillId="18" borderId="0" xfId="0" applyNumberFormat="1" applyFont="1" applyFill="1" applyBorder="1"/>
    <xf numFmtId="0" fontId="5" fillId="5" borderId="0" xfId="41" applyNumberFormat="1" applyFont="1" applyFill="1" applyBorder="1"/>
    <xf numFmtId="0" fontId="35" fillId="5" borderId="0" xfId="0" applyNumberFormat="1" applyFont="1" applyFill="1" applyBorder="1"/>
    <xf numFmtId="0" fontId="3" fillId="5" borderId="0" xfId="46" applyNumberFormat="1" applyFont="1" applyFill="1" applyBorder="1"/>
    <xf numFmtId="0" fontId="115" fillId="5" borderId="0" xfId="0" applyNumberFormat="1" applyFont="1" applyFill="1" applyBorder="1"/>
    <xf numFmtId="0" fontId="3" fillId="5" borderId="0" xfId="29" applyNumberFormat="1" applyFont="1" applyFill="1" applyBorder="1"/>
    <xf numFmtId="0" fontId="35" fillId="5" borderId="0" xfId="0" applyNumberFormat="1" applyFont="1" applyFill="1" applyBorder="1" applyAlignment="1">
      <alignment vertical="top"/>
    </xf>
    <xf numFmtId="0" fontId="46" fillId="5" borderId="0" xfId="0" applyNumberFormat="1" applyFont="1" applyFill="1" applyBorder="1" applyAlignment="1">
      <alignment vertical="top"/>
    </xf>
    <xf numFmtId="0" fontId="51" fillId="5" borderId="0" xfId="0" applyNumberFormat="1" applyFont="1" applyFill="1" applyBorder="1" applyAlignment="1">
      <alignment vertical="top"/>
    </xf>
    <xf numFmtId="0" fontId="5" fillId="5" borderId="0" xfId="46" applyNumberFormat="1" applyFont="1" applyFill="1" applyBorder="1"/>
    <xf numFmtId="0" fontId="5" fillId="5" borderId="0" xfId="0" applyNumberFormat="1" applyFont="1" applyFill="1" applyBorder="1" applyAlignment="1">
      <alignment horizontal="right"/>
    </xf>
    <xf numFmtId="0" fontId="10" fillId="5" borderId="0" xfId="46" applyNumberFormat="1" applyFont="1" applyFill="1" applyBorder="1"/>
    <xf numFmtId="0" fontId="32" fillId="5" borderId="0" xfId="0" applyNumberFormat="1" applyFont="1" applyFill="1" applyBorder="1" applyAlignment="1">
      <alignment vertical="top"/>
    </xf>
    <xf numFmtId="0" fontId="0" fillId="0" borderId="0" xfId="0" applyNumberFormat="1"/>
    <xf numFmtId="0" fontId="10" fillId="5" borderId="0" xfId="0" applyNumberFormat="1" applyFont="1" applyFill="1" applyBorder="1"/>
    <xf numFmtId="0" fontId="11" fillId="5" borderId="0" xfId="29" applyNumberFormat="1" applyFont="1" applyFill="1" applyBorder="1"/>
    <xf numFmtId="0" fontId="16" fillId="5" borderId="0" xfId="29" applyNumberFormat="1" applyFont="1" applyFill="1" applyBorder="1"/>
    <xf numFmtId="0" fontId="25" fillId="5" borderId="0" xfId="29" applyNumberFormat="1" applyFont="1" applyFill="1" applyBorder="1"/>
    <xf numFmtId="0" fontId="5" fillId="16" borderId="0" xfId="29" applyNumberFormat="1" applyFont="1" applyFill="1" applyBorder="1"/>
    <xf numFmtId="218" fontId="23" fillId="3" borderId="40" xfId="0" applyNumberFormat="1" applyFont="1" applyFill="1" applyBorder="1"/>
    <xf numFmtId="217" fontId="5" fillId="5" borderId="0" xfId="0" applyNumberFormat="1" applyFont="1" applyFill="1" applyBorder="1"/>
    <xf numFmtId="44" fontId="10" fillId="5" borderId="3" xfId="32" applyFont="1" applyFill="1" applyBorder="1"/>
    <xf numFmtId="9" fontId="3" fillId="0" borderId="4" xfId="0" applyNumberFormat="1" applyFont="1" applyBorder="1" applyAlignment="1">
      <alignment horizontal="left" vertical="top" indent="2"/>
    </xf>
    <xf numFmtId="167" fontId="3" fillId="5" borderId="0" xfId="0" applyNumberFormat="1" applyFont="1" applyFill="1" applyBorder="1"/>
    <xf numFmtId="201" fontId="24" fillId="0" borderId="39" xfId="38" applyNumberFormat="1" applyFont="1" applyFill="1" applyBorder="1" applyAlignment="1">
      <alignment vertical="center"/>
    </xf>
    <xf numFmtId="220" fontId="3" fillId="0" borderId="0" xfId="38" applyNumberFormat="1" applyFont="1" applyFill="1" applyAlignment="1">
      <alignment horizontal="right" vertical="center"/>
    </xf>
    <xf numFmtId="210" fontId="49" fillId="0" borderId="0" xfId="38" applyNumberFormat="1" applyFont="1" applyFill="1" applyAlignment="1">
      <alignment horizontal="right" vertical="center"/>
    </xf>
    <xf numFmtId="5" fontId="24" fillId="0" borderId="0" xfId="38" applyNumberFormat="1" applyFont="1" applyFill="1" applyAlignment="1">
      <alignment vertical="center"/>
    </xf>
    <xf numFmtId="165" fontId="23" fillId="0" borderId="24" xfId="0" applyNumberFormat="1" applyFont="1" applyFill="1" applyBorder="1"/>
    <xf numFmtId="165" fontId="24" fillId="0" borderId="38" xfId="49" applyNumberFormat="1" applyFont="1" applyFill="1" applyBorder="1"/>
    <xf numFmtId="0" fontId="1" fillId="16" borderId="0" xfId="0" applyNumberFormat="1" applyFont="1" applyFill="1" applyBorder="1"/>
    <xf numFmtId="0" fontId="116" fillId="5" borderId="0" xfId="0" applyNumberFormat="1" applyFont="1" applyFill="1" applyBorder="1"/>
    <xf numFmtId="167" fontId="115" fillId="3" borderId="3" xfId="49" applyNumberFormat="1" applyFont="1" applyFill="1" applyBorder="1"/>
    <xf numFmtId="167" fontId="11" fillId="0" borderId="42" xfId="29" applyNumberFormat="1" applyFont="1" applyFill="1" applyBorder="1" applyAlignment="1">
      <alignment vertical="top"/>
    </xf>
    <xf numFmtId="167" fontId="5" fillId="0" borderId="3" xfId="49" applyNumberFormat="1" applyFont="1" applyFill="1" applyBorder="1"/>
    <xf numFmtId="167" fontId="5" fillId="0" borderId="0" xfId="32" applyNumberFormat="1" applyFont="1" applyFill="1" applyBorder="1" applyAlignment="1">
      <alignment vertical="top"/>
    </xf>
    <xf numFmtId="167" fontId="24" fillId="0" borderId="0" xfId="49" applyNumberFormat="1" applyFont="1" applyFill="1" applyBorder="1"/>
    <xf numFmtId="167" fontId="24" fillId="0" borderId="0" xfId="32" applyNumberFormat="1" applyFont="1" applyFill="1" applyBorder="1" applyAlignment="1">
      <alignment vertical="top"/>
    </xf>
    <xf numFmtId="167" fontId="24" fillId="0" borderId="3" xfId="49" applyNumberFormat="1" applyFont="1" applyFill="1" applyBorder="1"/>
    <xf numFmtId="165" fontId="5" fillId="0" borderId="45" xfId="49" applyNumberFormat="1" applyFont="1" applyFill="1" applyBorder="1"/>
    <xf numFmtId="165" fontId="5" fillId="0" borderId="46" xfId="49" applyNumberFormat="1" applyFont="1" applyFill="1" applyBorder="1"/>
    <xf numFmtId="165" fontId="5" fillId="0" borderId="45" xfId="32" applyNumberFormat="1" applyFont="1" applyFill="1" applyBorder="1" applyAlignment="1">
      <alignment vertical="top"/>
    </xf>
    <xf numFmtId="165" fontId="114" fillId="0" borderId="0" xfId="49" applyNumberFormat="1" applyFont="1" applyFill="1" applyBorder="1"/>
    <xf numFmtId="0" fontId="5" fillId="0" borderId="0" xfId="0" applyFont="1" applyFill="1" applyBorder="1"/>
    <xf numFmtId="165" fontId="24" fillId="0" borderId="0" xfId="32" applyNumberFormat="1" applyFont="1" applyFill="1" applyBorder="1" applyAlignment="1">
      <alignment vertical="top"/>
    </xf>
    <xf numFmtId="168" fontId="24" fillId="0" borderId="0" xfId="49" applyNumberFormat="1" applyFont="1" applyFill="1" applyBorder="1"/>
    <xf numFmtId="168" fontId="11" fillId="0" borderId="3" xfId="49" applyNumberFormat="1" applyFont="1" applyFill="1" applyBorder="1"/>
    <xf numFmtId="168" fontId="24" fillId="0" borderId="0" xfId="32" applyNumberFormat="1" applyFont="1" applyFill="1" applyBorder="1" applyAlignment="1">
      <alignment vertical="top"/>
    </xf>
    <xf numFmtId="168" fontId="24" fillId="0" borderId="3" xfId="49" applyNumberFormat="1" applyFont="1" applyFill="1" applyBorder="1"/>
    <xf numFmtId="165" fontId="23" fillId="0" borderId="7" xfId="0" applyNumberFormat="1" applyFont="1" applyFill="1" applyBorder="1"/>
    <xf numFmtId="165" fontId="5" fillId="13" borderId="3" xfId="29" applyNumberFormat="1" applyFont="1" applyFill="1" applyBorder="1"/>
    <xf numFmtId="165" fontId="5" fillId="13" borderId="24" xfId="0" applyNumberFormat="1" applyFont="1" applyFill="1" applyBorder="1"/>
    <xf numFmtId="165" fontId="24" fillId="13" borderId="24" xfId="0" applyNumberFormat="1" applyFont="1" applyFill="1" applyBorder="1"/>
    <xf numFmtId="165" fontId="5" fillId="13" borderId="38" xfId="29" applyNumberFormat="1" applyFont="1" applyFill="1" applyBorder="1"/>
    <xf numFmtId="165" fontId="10" fillId="13" borderId="0" xfId="0" applyNumberFormat="1" applyFont="1" applyFill="1" applyBorder="1"/>
    <xf numFmtId="165" fontId="10" fillId="13" borderId="3" xfId="0" applyNumberFormat="1" applyFont="1" applyFill="1" applyBorder="1"/>
    <xf numFmtId="165" fontId="3" fillId="3" borderId="0" xfId="29" applyNumberFormat="1" applyFont="1" applyFill="1" applyBorder="1" applyAlignment="1" applyProtection="1">
      <alignment vertical="top"/>
    </xf>
    <xf numFmtId="2" fontId="11" fillId="0" borderId="0" xfId="0" applyNumberFormat="1" applyFont="1" applyFill="1" applyBorder="1" applyAlignment="1" applyProtection="1">
      <alignment vertical="top"/>
    </xf>
    <xf numFmtId="9" fontId="5" fillId="0" borderId="0" xfId="49" applyNumberFormat="1" applyFont="1" applyFill="1" applyBorder="1"/>
    <xf numFmtId="3" fontId="11" fillId="0" borderId="0" xfId="0" applyNumberFormat="1" applyFont="1" applyFill="1" applyBorder="1" applyAlignment="1" applyProtection="1">
      <alignment vertical="top"/>
    </xf>
    <xf numFmtId="167" fontId="5" fillId="0" borderId="16" xfId="49" applyNumberFormat="1" applyFont="1" applyFill="1" applyBorder="1" applyAlignment="1"/>
    <xf numFmtId="165" fontId="114" fillId="0" borderId="84" xfId="49" applyNumberFormat="1" applyFont="1" applyFill="1" applyBorder="1"/>
    <xf numFmtId="167" fontId="3" fillId="5" borderId="0" xfId="0" applyNumberFormat="1" applyFont="1" applyFill="1" applyBorder="1" applyAlignment="1">
      <alignment horizontal="right"/>
    </xf>
    <xf numFmtId="0" fontId="23" fillId="5" borderId="0" xfId="0" applyNumberFormat="1" applyFont="1" applyFill="1" applyBorder="1"/>
    <xf numFmtId="9" fontId="3" fillId="5" borderId="0" xfId="0" applyNumberFormat="1" applyFont="1" applyFill="1" applyBorder="1"/>
    <xf numFmtId="165" fontId="111" fillId="5" borderId="0" xfId="0" applyNumberFormat="1" applyFont="1" applyFill="1" applyBorder="1"/>
    <xf numFmtId="9" fontId="111" fillId="5" borderId="0" xfId="0" applyNumberFormat="1" applyFont="1" applyFill="1" applyBorder="1"/>
    <xf numFmtId="165" fontId="5" fillId="0" borderId="0" xfId="32" applyNumberFormat="1" applyFont="1" applyFill="1" applyBorder="1" applyAlignment="1">
      <alignment vertical="top"/>
    </xf>
    <xf numFmtId="217" fontId="111" fillId="5" borderId="0" xfId="0" applyNumberFormat="1" applyFont="1" applyFill="1" applyBorder="1"/>
    <xf numFmtId="165" fontId="5" fillId="0" borderId="3" xfId="29" applyNumberFormat="1" applyFont="1" applyFill="1" applyBorder="1"/>
    <xf numFmtId="165" fontId="114" fillId="5" borderId="0" xfId="0" applyNumberFormat="1" applyFont="1" applyFill="1" applyBorder="1"/>
    <xf numFmtId="167" fontId="111" fillId="0" borderId="0" xfId="49" applyNumberFormat="1" applyFont="1" applyFill="1" applyBorder="1" applyAlignment="1" applyProtection="1">
      <alignment vertical="top"/>
    </xf>
    <xf numFmtId="0" fontId="1" fillId="5" borderId="0" xfId="46" applyNumberFormat="1" applyFont="1" applyFill="1" applyBorder="1"/>
    <xf numFmtId="167" fontId="32" fillId="0" borderId="0" xfId="49" applyNumberFormat="1" applyFont="1" applyFill="1" applyBorder="1"/>
    <xf numFmtId="3" fontId="3" fillId="3" borderId="4" xfId="0" applyNumberFormat="1" applyFont="1" applyFill="1" applyBorder="1" applyAlignment="1">
      <alignment horizontal="left" indent="2"/>
    </xf>
    <xf numFmtId="3" fontId="11" fillId="0" borderId="0" xfId="0" applyNumberFormat="1" applyFont="1" applyFill="1" applyBorder="1"/>
    <xf numFmtId="3" fontId="3" fillId="3" borderId="4" xfId="0" applyNumberFormat="1" applyFont="1" applyFill="1" applyBorder="1" applyAlignment="1">
      <alignment horizontal="left" indent="5"/>
    </xf>
    <xf numFmtId="3" fontId="118" fillId="3" borderId="0" xfId="0" applyNumberFormat="1" applyFont="1" applyFill="1" applyBorder="1"/>
    <xf numFmtId="3" fontId="118" fillId="3" borderId="3" xfId="29" applyNumberFormat="1" applyFont="1" applyFill="1" applyBorder="1"/>
    <xf numFmtId="3" fontId="118" fillId="0" borderId="0" xfId="0" applyNumberFormat="1" applyFont="1" applyFill="1" applyBorder="1"/>
    <xf numFmtId="2" fontId="23" fillId="5" borderId="0" xfId="0" applyNumberFormat="1" applyFont="1" applyFill="1" applyBorder="1"/>
    <xf numFmtId="167" fontId="3" fillId="3" borderId="4" xfId="0" applyNumberFormat="1" applyFont="1" applyFill="1" applyBorder="1" applyAlignment="1">
      <alignment horizontal="left" indent="2"/>
    </xf>
    <xf numFmtId="167" fontId="3" fillId="3" borderId="4" xfId="0" applyNumberFormat="1" applyFont="1" applyFill="1" applyBorder="1" applyAlignment="1">
      <alignment horizontal="left" indent="4"/>
    </xf>
    <xf numFmtId="165" fontId="119" fillId="7" borderId="0" xfId="49" applyNumberFormat="1" applyFont="1" applyFill="1" applyBorder="1"/>
    <xf numFmtId="167" fontId="23" fillId="0" borderId="0" xfId="29" applyNumberFormat="1" applyFont="1" applyFill="1" applyBorder="1" applyProtection="1"/>
    <xf numFmtId="165" fontId="111" fillId="0" borderId="3" xfId="49" applyNumberFormat="1" applyFont="1" applyFill="1" applyBorder="1"/>
    <xf numFmtId="165" fontId="112" fillId="0" borderId="0" xfId="0" applyNumberFormat="1" applyFont="1" applyFill="1" applyBorder="1"/>
    <xf numFmtId="2" fontId="3" fillId="14" borderId="0" xfId="0" applyNumberFormat="1" applyFont="1" applyFill="1" applyAlignment="1">
      <alignment horizontal="center"/>
    </xf>
    <xf numFmtId="200" fontId="3" fillId="3" borderId="0" xfId="0" applyNumberFormat="1" applyFont="1" applyFill="1" applyBorder="1"/>
    <xf numFmtId="165" fontId="3" fillId="3" borderId="3" xfId="0" applyNumberFormat="1" applyFont="1" applyFill="1" applyBorder="1"/>
    <xf numFmtId="1" fontId="3" fillId="3" borderId="8" xfId="49" applyNumberFormat="1" applyFont="1" applyFill="1" applyBorder="1"/>
    <xf numFmtId="1" fontId="3" fillId="3" borderId="7" xfId="49" applyNumberFormat="1" applyFont="1" applyFill="1" applyBorder="1"/>
    <xf numFmtId="1" fontId="24" fillId="3" borderId="8" xfId="0" applyNumberFormat="1" applyFont="1" applyFill="1" applyBorder="1" applyAlignment="1" applyProtection="1">
      <alignment vertical="top"/>
    </xf>
    <xf numFmtId="165" fontId="111" fillId="3" borderId="40" xfId="49" applyNumberFormat="1" applyFont="1" applyFill="1" applyBorder="1"/>
    <xf numFmtId="0" fontId="3" fillId="5" borderId="0" xfId="0" applyNumberFormat="1" applyFont="1" applyFill="1" applyBorder="1" applyAlignment="1">
      <alignment horizontal="right"/>
    </xf>
    <xf numFmtId="165" fontId="3" fillId="5" borderId="0" xfId="0" applyNumberFormat="1" applyFont="1" applyFill="1" applyBorder="1" applyAlignment="1">
      <alignment horizontal="right"/>
    </xf>
    <xf numFmtId="0" fontId="118" fillId="5" borderId="0" xfId="0" applyNumberFormat="1" applyFont="1" applyFill="1" applyBorder="1"/>
    <xf numFmtId="167" fontId="115" fillId="5" borderId="54" xfId="0" applyNumberFormat="1" applyFont="1" applyFill="1" applyBorder="1"/>
    <xf numFmtId="168" fontId="115" fillId="5" borderId="55" xfId="0" applyNumberFormat="1" applyFont="1" applyFill="1" applyBorder="1"/>
    <xf numFmtId="165" fontId="1" fillId="5" borderId="56" xfId="0" applyNumberFormat="1" applyFont="1" applyFill="1" applyBorder="1"/>
    <xf numFmtId="219" fontId="117" fillId="5" borderId="39" xfId="0" applyNumberFormat="1" applyFont="1" applyFill="1" applyBorder="1"/>
    <xf numFmtId="167" fontId="3" fillId="5" borderId="56" xfId="0" applyNumberFormat="1" applyFont="1" applyFill="1" applyBorder="1"/>
    <xf numFmtId="191" fontId="5" fillId="5" borderId="39" xfId="0" applyNumberFormat="1" applyFont="1" applyFill="1" applyBorder="1"/>
    <xf numFmtId="167" fontId="5" fillId="5" borderId="57" xfId="0" applyNumberFormat="1" applyFont="1" applyFill="1" applyBorder="1"/>
    <xf numFmtId="211" fontId="2" fillId="5" borderId="58" xfId="0" applyNumberFormat="1" applyFont="1" applyFill="1" applyBorder="1"/>
    <xf numFmtId="167" fontId="3" fillId="5" borderId="57" xfId="0" applyNumberFormat="1" applyFont="1" applyFill="1" applyBorder="1"/>
    <xf numFmtId="3" fontId="5" fillId="14" borderId="0" xfId="0" applyNumberFormat="1" applyFont="1" applyFill="1" applyBorder="1"/>
    <xf numFmtId="9" fontId="3" fillId="3" borderId="88" xfId="49" applyFont="1" applyFill="1" applyBorder="1"/>
    <xf numFmtId="9" fontId="1" fillId="3" borderId="88" xfId="49" applyFont="1" applyFill="1" applyBorder="1"/>
    <xf numFmtId="1" fontId="3" fillId="3" borderId="88" xfId="0" applyNumberFormat="1" applyFont="1" applyFill="1" applyBorder="1"/>
    <xf numFmtId="0" fontId="3" fillId="3" borderId="88" xfId="0" applyNumberFormat="1" applyFont="1" applyFill="1" applyBorder="1"/>
    <xf numFmtId="2" fontId="10" fillId="5" borderId="88" xfId="0" applyNumberFormat="1" applyFont="1" applyFill="1" applyBorder="1"/>
    <xf numFmtId="0" fontId="1" fillId="3" borderId="88" xfId="0" applyNumberFormat="1" applyFont="1" applyFill="1" applyBorder="1"/>
    <xf numFmtId="3" fontId="10" fillId="5" borderId="88" xfId="0" applyNumberFormat="1" applyFont="1" applyFill="1" applyBorder="1"/>
    <xf numFmtId="167" fontId="10" fillId="3" borderId="88" xfId="0" applyNumberFormat="1" applyFont="1" applyFill="1" applyBorder="1"/>
    <xf numFmtId="165" fontId="10" fillId="3" borderId="88" xfId="0" applyNumberFormat="1" applyFont="1" applyFill="1" applyBorder="1"/>
    <xf numFmtId="166" fontId="23" fillId="3" borderId="88" xfId="0" applyNumberFormat="1" applyFont="1" applyFill="1" applyBorder="1"/>
    <xf numFmtId="217" fontId="10" fillId="3" borderId="88" xfId="0" applyNumberFormat="1" applyFont="1" applyFill="1" applyBorder="1"/>
    <xf numFmtId="166" fontId="21" fillId="3" borderId="88" xfId="0" applyNumberFormat="1" applyFont="1" applyFill="1" applyBorder="1"/>
    <xf numFmtId="166" fontId="10" fillId="3" borderId="88" xfId="0" applyNumberFormat="1" applyFont="1" applyFill="1" applyBorder="1"/>
    <xf numFmtId="0" fontId="22" fillId="6" borderId="88" xfId="0" applyFont="1" applyFill="1" applyBorder="1"/>
    <xf numFmtId="0" fontId="22" fillId="7" borderId="88" xfId="0" applyFont="1" applyFill="1" applyBorder="1"/>
    <xf numFmtId="9" fontId="1" fillId="18" borderId="88" xfId="49" applyFont="1" applyFill="1" applyBorder="1"/>
    <xf numFmtId="9" fontId="1" fillId="3" borderId="73" xfId="49" applyFont="1" applyFill="1" applyBorder="1"/>
    <xf numFmtId="165" fontId="5" fillId="3" borderId="88" xfId="49" applyNumberFormat="1" applyFont="1" applyFill="1" applyBorder="1"/>
    <xf numFmtId="165" fontId="16" fillId="3" borderId="88" xfId="0" applyNumberFormat="1" applyFont="1" applyFill="1" applyBorder="1"/>
    <xf numFmtId="165" fontId="28" fillId="3" borderId="88" xfId="0" applyNumberFormat="1" applyFont="1" applyFill="1" applyBorder="1"/>
    <xf numFmtId="9" fontId="3" fillId="3" borderId="73" xfId="49" applyFont="1" applyFill="1" applyBorder="1"/>
    <xf numFmtId="165" fontId="10" fillId="3" borderId="82" xfId="0" applyNumberFormat="1" applyFont="1" applyFill="1" applyBorder="1"/>
    <xf numFmtId="9" fontId="16" fillId="3" borderId="88" xfId="0" applyNumberFormat="1" applyFont="1" applyFill="1" applyBorder="1"/>
    <xf numFmtId="0" fontId="16" fillId="3" borderId="88" xfId="0" applyFont="1" applyFill="1" applyBorder="1" applyAlignment="1">
      <alignment vertical="top"/>
    </xf>
    <xf numFmtId="37" fontId="3" fillId="3" borderId="73" xfId="0" applyNumberFormat="1" applyFont="1" applyFill="1" applyBorder="1"/>
    <xf numFmtId="0" fontId="16" fillId="3" borderId="88" xfId="0" applyFont="1" applyFill="1" applyBorder="1"/>
    <xf numFmtId="167" fontId="16" fillId="3" borderId="88" xfId="0" applyNumberFormat="1" applyFont="1" applyFill="1" applyBorder="1" applyAlignment="1"/>
    <xf numFmtId="166" fontId="30" fillId="3" borderId="88" xfId="0" applyNumberFormat="1" applyFont="1" applyFill="1" applyBorder="1"/>
    <xf numFmtId="166" fontId="30" fillId="3" borderId="89" xfId="0" applyNumberFormat="1" applyFont="1" applyFill="1" applyBorder="1"/>
    <xf numFmtId="166" fontId="16" fillId="3" borderId="88" xfId="0" applyNumberFormat="1" applyFont="1" applyFill="1" applyBorder="1"/>
    <xf numFmtId="168" fontId="16" fillId="3" borderId="88" xfId="0" applyNumberFormat="1" applyFont="1" applyFill="1" applyBorder="1"/>
    <xf numFmtId="166" fontId="16" fillId="3" borderId="89" xfId="0" applyNumberFormat="1" applyFont="1" applyFill="1" applyBorder="1"/>
    <xf numFmtId="172" fontId="63" fillId="3" borderId="88" xfId="29" applyNumberFormat="1" applyFont="1" applyFill="1" applyBorder="1"/>
    <xf numFmtId="167" fontId="16" fillId="4" borderId="88" xfId="29" applyNumberFormat="1" applyFont="1" applyFill="1" applyBorder="1"/>
    <xf numFmtId="167" fontId="16" fillId="3" borderId="88" xfId="0" applyNumberFormat="1" applyFont="1" applyFill="1" applyBorder="1"/>
    <xf numFmtId="166" fontId="16" fillId="5" borderId="88" xfId="0" applyNumberFormat="1" applyFont="1" applyFill="1" applyBorder="1"/>
    <xf numFmtId="166" fontId="58" fillId="7" borderId="88" xfId="0" applyNumberFormat="1" applyFont="1" applyFill="1" applyBorder="1"/>
    <xf numFmtId="9" fontId="1" fillId="0" borderId="88" xfId="49" applyFont="1" applyFill="1" applyBorder="1"/>
    <xf numFmtId="1" fontId="1" fillId="3" borderId="88" xfId="0" applyNumberFormat="1" applyFont="1" applyFill="1" applyBorder="1"/>
    <xf numFmtId="9" fontId="28" fillId="3" borderId="88" xfId="0" applyNumberFormat="1" applyFont="1" applyFill="1" applyBorder="1"/>
    <xf numFmtId="166" fontId="16" fillId="3" borderId="88" xfId="41" applyNumberFormat="1" applyFont="1" applyFill="1" applyBorder="1"/>
    <xf numFmtId="9" fontId="31" fillId="3" borderId="88" xfId="0" applyNumberFormat="1" applyFont="1" applyFill="1" applyBorder="1"/>
    <xf numFmtId="166" fontId="26" fillId="3" borderId="88" xfId="0" applyNumberFormat="1" applyFont="1" applyFill="1" applyBorder="1"/>
    <xf numFmtId="165" fontId="26" fillId="3" borderId="88" xfId="0" applyNumberFormat="1" applyFont="1" applyFill="1" applyBorder="1"/>
    <xf numFmtId="167" fontId="58" fillId="7" borderId="88" xfId="0" applyNumberFormat="1" applyFont="1" applyFill="1" applyBorder="1"/>
    <xf numFmtId="167" fontId="33" fillId="0" borderId="88" xfId="0" applyNumberFormat="1" applyFont="1" applyFill="1" applyBorder="1"/>
    <xf numFmtId="165" fontId="26" fillId="0" borderId="88" xfId="0" applyNumberFormat="1" applyFont="1" applyFill="1" applyBorder="1"/>
    <xf numFmtId="167" fontId="26" fillId="0" borderId="88" xfId="0" applyNumberFormat="1" applyFont="1" applyFill="1" applyBorder="1"/>
    <xf numFmtId="9" fontId="3" fillId="0" borderId="88" xfId="49" applyFont="1" applyFill="1" applyBorder="1"/>
    <xf numFmtId="9" fontId="26" fillId="3" borderId="88" xfId="0" applyNumberFormat="1" applyFont="1" applyFill="1" applyBorder="1"/>
    <xf numFmtId="165" fontId="28" fillId="3" borderId="88" xfId="29" applyNumberFormat="1" applyFont="1" applyFill="1" applyBorder="1"/>
    <xf numFmtId="173" fontId="26" fillId="3" borderId="88" xfId="29" applyNumberFormat="1" applyFont="1" applyFill="1" applyBorder="1"/>
    <xf numFmtId="168" fontId="26" fillId="5" borderId="88" xfId="29" applyNumberFormat="1" applyFont="1" applyFill="1" applyBorder="1"/>
    <xf numFmtId="167" fontId="11" fillId="3" borderId="88" xfId="0" applyNumberFormat="1" applyFont="1" applyFill="1" applyBorder="1"/>
    <xf numFmtId="168" fontId="27" fillId="3" borderId="88" xfId="0" applyNumberFormat="1" applyFont="1" applyFill="1" applyBorder="1"/>
    <xf numFmtId="165" fontId="37" fillId="3" borderId="88" xfId="0" applyNumberFormat="1" applyFont="1" applyFill="1" applyBorder="1"/>
    <xf numFmtId="7" fontId="16" fillId="3" borderId="88" xfId="0" applyNumberFormat="1" applyFont="1" applyFill="1" applyBorder="1"/>
    <xf numFmtId="0" fontId="26" fillId="3" borderId="88" xfId="0" applyFont="1" applyFill="1" applyBorder="1"/>
    <xf numFmtId="167" fontId="31" fillId="3" borderId="88" xfId="0" applyNumberFormat="1" applyFont="1" applyFill="1" applyBorder="1"/>
    <xf numFmtId="9" fontId="33" fillId="3" borderId="88" xfId="0" applyNumberFormat="1" applyFont="1" applyFill="1" applyBorder="1" applyAlignment="1">
      <alignment vertical="top"/>
    </xf>
    <xf numFmtId="168" fontId="33" fillId="3" borderId="88" xfId="0" applyNumberFormat="1" applyFont="1" applyFill="1" applyBorder="1" applyAlignment="1">
      <alignment vertical="top"/>
    </xf>
    <xf numFmtId="167" fontId="55" fillId="3" borderId="88" xfId="0" applyNumberFormat="1" applyFont="1" applyFill="1" applyBorder="1" applyAlignment="1">
      <alignment vertical="top"/>
    </xf>
    <xf numFmtId="167" fontId="26" fillId="3" borderId="88" xfId="0" applyNumberFormat="1" applyFont="1" applyFill="1" applyBorder="1" applyAlignment="1">
      <alignment vertical="top"/>
    </xf>
    <xf numFmtId="9" fontId="26" fillId="3" borderId="88" xfId="0" applyNumberFormat="1" applyFont="1" applyFill="1" applyBorder="1" applyAlignment="1">
      <alignment vertical="top"/>
    </xf>
    <xf numFmtId="3" fontId="11" fillId="3" borderId="88" xfId="0" applyNumberFormat="1" applyFont="1" applyFill="1" applyBorder="1"/>
    <xf numFmtId="3" fontId="10" fillId="3" borderId="55" xfId="0" applyNumberFormat="1" applyFont="1" applyFill="1" applyBorder="1"/>
    <xf numFmtId="165" fontId="5" fillId="3" borderId="88" xfId="0" applyNumberFormat="1" applyFont="1" applyFill="1" applyBorder="1"/>
    <xf numFmtId="3" fontId="10" fillId="3" borderId="88" xfId="0" applyNumberFormat="1" applyFont="1" applyFill="1" applyBorder="1"/>
    <xf numFmtId="165" fontId="10" fillId="5" borderId="88" xfId="49" applyNumberFormat="1" applyFont="1" applyFill="1" applyBorder="1"/>
    <xf numFmtId="165" fontId="5" fillId="13" borderId="88" xfId="0" applyNumberFormat="1" applyFont="1" applyFill="1" applyBorder="1"/>
    <xf numFmtId="165" fontId="24" fillId="13" borderId="88" xfId="0" applyNumberFormat="1" applyFont="1" applyFill="1" applyBorder="1"/>
    <xf numFmtId="165" fontId="24" fillId="13" borderId="58" xfId="0" applyNumberFormat="1" applyFont="1" applyFill="1" applyBorder="1"/>
    <xf numFmtId="165" fontId="10" fillId="13" borderId="88" xfId="0" applyNumberFormat="1" applyFont="1" applyFill="1" applyBorder="1"/>
    <xf numFmtId="165" fontId="11" fillId="3" borderId="88" xfId="49" applyNumberFormat="1" applyFont="1" applyFill="1" applyBorder="1"/>
    <xf numFmtId="3" fontId="11" fillId="3" borderId="88" xfId="49" applyNumberFormat="1" applyFont="1" applyFill="1" applyBorder="1"/>
    <xf numFmtId="165" fontId="49" fillId="13" borderId="88" xfId="49" applyNumberFormat="1" applyFont="1" applyFill="1" applyBorder="1"/>
    <xf numFmtId="9" fontId="10" fillId="3" borderId="88" xfId="0" applyNumberFormat="1" applyFont="1" applyFill="1" applyBorder="1"/>
    <xf numFmtId="166" fontId="24" fillId="3" borderId="88" xfId="49" applyNumberFormat="1" applyFont="1" applyFill="1" applyBorder="1"/>
    <xf numFmtId="166" fontId="11" fillId="3" borderId="88" xfId="49" applyNumberFormat="1" applyFont="1" applyFill="1" applyBorder="1"/>
    <xf numFmtId="167" fontId="10" fillId="5" borderId="88" xfId="0" applyNumberFormat="1" applyFont="1" applyFill="1" applyBorder="1"/>
    <xf numFmtId="9" fontId="5" fillId="3" borderId="88" xfId="49" applyNumberFormat="1" applyFont="1" applyFill="1" applyBorder="1"/>
    <xf numFmtId="167" fontId="10" fillId="3" borderId="73" xfId="0" applyNumberFormat="1" applyFont="1" applyFill="1" applyBorder="1"/>
    <xf numFmtId="165" fontId="24" fillId="13" borderId="88" xfId="0" applyNumberFormat="1" applyFont="1" applyFill="1" applyBorder="1" applyAlignment="1" applyProtection="1">
      <alignment vertical="top"/>
    </xf>
    <xf numFmtId="167" fontId="5" fillId="3" borderId="88" xfId="0" applyNumberFormat="1" applyFont="1" applyFill="1" applyBorder="1"/>
    <xf numFmtId="165" fontId="24" fillId="3" borderId="74" xfId="0" applyNumberFormat="1" applyFont="1" applyFill="1" applyBorder="1" applyAlignment="1" applyProtection="1">
      <alignment vertical="top"/>
    </xf>
    <xf numFmtId="168" fontId="5" fillId="3" borderId="88" xfId="0" applyNumberFormat="1" applyFont="1" applyFill="1" applyBorder="1"/>
    <xf numFmtId="9" fontId="24" fillId="3" borderId="88" xfId="49" applyFont="1" applyFill="1" applyBorder="1" applyAlignment="1" applyProtection="1">
      <alignment vertical="top"/>
    </xf>
    <xf numFmtId="165" fontId="24" fillId="3" borderId="88" xfId="0" applyNumberFormat="1" applyFont="1" applyFill="1" applyBorder="1" applyAlignment="1" applyProtection="1">
      <alignment vertical="top"/>
    </xf>
    <xf numFmtId="166" fontId="24" fillId="3" borderId="88" xfId="0" applyNumberFormat="1" applyFont="1" applyFill="1" applyBorder="1" applyAlignment="1" applyProtection="1">
      <alignment vertical="top"/>
    </xf>
    <xf numFmtId="166" fontId="21" fillId="3" borderId="88" xfId="0" applyNumberFormat="1" applyFont="1" applyFill="1" applyBorder="1" applyAlignment="1" applyProtection="1">
      <alignment vertical="top"/>
    </xf>
    <xf numFmtId="165" fontId="25" fillId="3" borderId="88" xfId="49" applyNumberFormat="1" applyFont="1" applyFill="1" applyBorder="1"/>
    <xf numFmtId="166" fontId="11" fillId="0" borderId="88" xfId="0" applyNumberFormat="1" applyFont="1" applyFill="1" applyBorder="1" applyAlignment="1" applyProtection="1">
      <alignment vertical="top"/>
    </xf>
    <xf numFmtId="165" fontId="2" fillId="3" borderId="88" xfId="49" applyNumberFormat="1" applyFont="1" applyFill="1" applyBorder="1"/>
    <xf numFmtId="166" fontId="24" fillId="13" borderId="88" xfId="0" applyNumberFormat="1" applyFont="1" applyFill="1" applyBorder="1" applyAlignment="1" applyProtection="1">
      <alignment vertical="top"/>
    </xf>
    <xf numFmtId="166" fontId="1" fillId="0" borderId="88" xfId="49" applyNumberFormat="1" applyFont="1" applyFill="1" applyBorder="1"/>
    <xf numFmtId="165" fontId="2" fillId="0" borderId="88" xfId="49" applyNumberFormat="1" applyFont="1" applyFill="1" applyBorder="1"/>
    <xf numFmtId="173" fontId="24" fillId="0" borderId="88" xfId="0" applyNumberFormat="1" applyFont="1" applyFill="1" applyBorder="1" applyAlignment="1" applyProtection="1">
      <alignment vertical="top"/>
    </xf>
    <xf numFmtId="165" fontId="25" fillId="0" borderId="88" xfId="49" applyNumberFormat="1" applyFont="1" applyFill="1" applyBorder="1"/>
    <xf numFmtId="165" fontId="24" fillId="0" borderId="88" xfId="0" applyNumberFormat="1" applyFont="1" applyFill="1" applyBorder="1" applyAlignment="1" applyProtection="1">
      <alignment vertical="top"/>
    </xf>
    <xf numFmtId="165" fontId="5" fillId="3" borderId="90" xfId="49" applyNumberFormat="1" applyFont="1" applyFill="1" applyBorder="1"/>
    <xf numFmtId="167" fontId="5" fillId="3" borderId="91" xfId="0" applyNumberFormat="1" applyFont="1" applyFill="1" applyBorder="1"/>
    <xf numFmtId="165" fontId="5" fillId="0" borderId="88" xfId="49" applyNumberFormat="1" applyFont="1" applyFill="1" applyBorder="1"/>
    <xf numFmtId="167" fontId="5" fillId="3" borderId="73" xfId="0" applyNumberFormat="1" applyFont="1" applyFill="1" applyBorder="1"/>
    <xf numFmtId="43" fontId="24" fillId="3" borderId="88" xfId="29" applyFont="1" applyFill="1" applyBorder="1" applyAlignment="1" applyProtection="1">
      <alignment vertical="top"/>
    </xf>
    <xf numFmtId="165" fontId="23" fillId="3" borderId="74" xfId="0" applyNumberFormat="1" applyFont="1" applyFill="1" applyBorder="1"/>
    <xf numFmtId="167" fontId="11" fillId="3" borderId="88" xfId="49" applyNumberFormat="1" applyFont="1" applyFill="1" applyBorder="1"/>
    <xf numFmtId="167" fontId="5" fillId="0" borderId="88" xfId="49" applyNumberFormat="1" applyFont="1" applyFill="1" applyBorder="1"/>
    <xf numFmtId="167" fontId="24" fillId="0" borderId="88" xfId="49" applyNumberFormat="1" applyFont="1" applyFill="1" applyBorder="1"/>
    <xf numFmtId="165" fontId="5" fillId="0" borderId="92" xfId="49" applyNumberFormat="1" applyFont="1" applyFill="1" applyBorder="1"/>
    <xf numFmtId="165" fontId="114" fillId="0" borderId="88" xfId="49" applyNumberFormat="1" applyFont="1" applyFill="1" applyBorder="1"/>
    <xf numFmtId="165" fontId="24" fillId="0" borderId="88" xfId="49" applyNumberFormat="1" applyFont="1" applyFill="1" applyBorder="1"/>
    <xf numFmtId="168" fontId="24" fillId="0" borderId="88" xfId="49" applyNumberFormat="1" applyFont="1" applyFill="1" applyBorder="1"/>
    <xf numFmtId="165" fontId="23" fillId="0" borderId="74" xfId="0" applyNumberFormat="1" applyFont="1" applyFill="1" applyBorder="1"/>
    <xf numFmtId="2" fontId="11" fillId="3" borderId="88" xfId="0" applyNumberFormat="1" applyFont="1" applyFill="1" applyBorder="1" applyAlignment="1" applyProtection="1">
      <alignment vertical="top"/>
    </xf>
    <xf numFmtId="3" fontId="11" fillId="3" borderId="88" xfId="0" applyNumberFormat="1" applyFont="1" applyFill="1" applyBorder="1" applyAlignment="1" applyProtection="1">
      <alignment vertical="top"/>
    </xf>
    <xf numFmtId="167" fontId="5" fillId="3" borderId="66" xfId="49" applyNumberFormat="1" applyFont="1" applyFill="1" applyBorder="1" applyAlignment="1"/>
    <xf numFmtId="167" fontId="5" fillId="3" borderId="88" xfId="49" applyNumberFormat="1" applyFont="1" applyFill="1" applyBorder="1" applyAlignment="1"/>
    <xf numFmtId="167" fontId="24" fillId="13" borderId="88" xfId="49" applyNumberFormat="1" applyFont="1" applyFill="1" applyBorder="1" applyAlignment="1"/>
    <xf numFmtId="167" fontId="29" fillId="16" borderId="88" xfId="49" applyNumberFormat="1" applyFont="1" applyFill="1" applyBorder="1"/>
    <xf numFmtId="165" fontId="5" fillId="3" borderId="58" xfId="49" applyNumberFormat="1" applyFont="1" applyFill="1" applyBorder="1"/>
    <xf numFmtId="167" fontId="22" fillId="7" borderId="88" xfId="0" applyNumberFormat="1" applyFont="1" applyFill="1" applyBorder="1"/>
    <xf numFmtId="165" fontId="11" fillId="3" borderId="88" xfId="49" applyNumberFormat="1" applyFont="1" applyFill="1" applyBorder="1" applyAlignment="1" applyProtection="1">
      <alignment vertical="top"/>
    </xf>
    <xf numFmtId="167" fontId="5" fillId="0" borderId="88" xfId="49" applyNumberFormat="1" applyFont="1" applyFill="1" applyBorder="1" applyAlignment="1" applyProtection="1">
      <alignment vertical="top"/>
    </xf>
    <xf numFmtId="167" fontId="111" fillId="0" borderId="88" xfId="49" applyNumberFormat="1" applyFont="1" applyFill="1" applyBorder="1" applyAlignment="1" applyProtection="1">
      <alignment vertical="top"/>
    </xf>
    <xf numFmtId="167" fontId="25" fillId="3" borderId="66" xfId="30" applyNumberFormat="1" applyFont="1" applyFill="1" applyBorder="1" applyProtection="1"/>
    <xf numFmtId="3" fontId="11" fillId="3" borderId="66" xfId="29" applyNumberFormat="1" applyFont="1" applyFill="1" applyBorder="1"/>
    <xf numFmtId="165" fontId="24" fillId="13" borderId="88" xfId="49" applyNumberFormat="1" applyFont="1" applyFill="1" applyBorder="1"/>
    <xf numFmtId="1" fontId="5" fillId="3" borderId="88" xfId="0" applyNumberFormat="1" applyFont="1" applyFill="1" applyBorder="1"/>
    <xf numFmtId="167" fontId="5" fillId="3" borderId="74" xfId="0" applyNumberFormat="1" applyFont="1" applyFill="1" applyBorder="1"/>
    <xf numFmtId="167" fontId="10" fillId="5" borderId="88" xfId="29" applyNumberFormat="1" applyFont="1" applyFill="1" applyBorder="1"/>
    <xf numFmtId="9" fontId="11" fillId="3" borderId="88" xfId="49" applyNumberFormat="1" applyFont="1" applyFill="1" applyBorder="1"/>
    <xf numFmtId="168" fontId="5" fillId="3" borderId="74" xfId="0" applyNumberFormat="1" applyFont="1" applyFill="1" applyBorder="1"/>
    <xf numFmtId="168" fontId="24" fillId="3" borderId="88" xfId="0" applyNumberFormat="1" applyFont="1" applyFill="1" applyBorder="1" applyAlignment="1">
      <alignment vertical="top"/>
    </xf>
    <xf numFmtId="172" fontId="5" fillId="3" borderId="74" xfId="29" applyNumberFormat="1" applyFont="1" applyFill="1" applyBorder="1"/>
    <xf numFmtId="43" fontId="11" fillId="3" borderId="88" xfId="29" applyNumberFormat="1" applyFont="1" applyFill="1" applyBorder="1"/>
    <xf numFmtId="167" fontId="11" fillId="3" borderId="74" xfId="49" applyNumberFormat="1" applyFont="1" applyFill="1" applyBorder="1"/>
    <xf numFmtId="6" fontId="10" fillId="5" borderId="88" xfId="29" applyNumberFormat="1" applyFont="1" applyFill="1" applyBorder="1"/>
    <xf numFmtId="167" fontId="24" fillId="13" borderId="88" xfId="32" applyNumberFormat="1" applyFont="1" applyFill="1" applyBorder="1" applyAlignment="1" applyProtection="1">
      <alignment vertical="top"/>
    </xf>
    <xf numFmtId="167" fontId="24" fillId="0" borderId="88" xfId="32" applyNumberFormat="1" applyFont="1" applyFill="1" applyBorder="1" applyAlignment="1" applyProtection="1">
      <alignment vertical="top"/>
    </xf>
    <xf numFmtId="167" fontId="10" fillId="4" borderId="88" xfId="29" applyNumberFormat="1" applyFont="1" applyFill="1" applyBorder="1"/>
    <xf numFmtId="165" fontId="24" fillId="3" borderId="88" xfId="49" applyNumberFormat="1" applyFont="1" applyFill="1" applyBorder="1"/>
    <xf numFmtId="165" fontId="10" fillId="5" borderId="88" xfId="0" applyNumberFormat="1" applyFont="1" applyFill="1" applyBorder="1"/>
    <xf numFmtId="167" fontId="5" fillId="3" borderId="88" xfId="29" applyNumberFormat="1" applyFont="1" applyFill="1" applyBorder="1"/>
    <xf numFmtId="165" fontId="22" fillId="7" borderId="88" xfId="0" applyNumberFormat="1" applyFont="1" applyFill="1" applyBorder="1"/>
    <xf numFmtId="165" fontId="10" fillId="3" borderId="88" xfId="49" applyNumberFormat="1" applyFont="1" applyFill="1" applyBorder="1"/>
    <xf numFmtId="166" fontId="5" fillId="3" borderId="88" xfId="0" applyNumberFormat="1" applyFont="1" applyFill="1" applyBorder="1"/>
    <xf numFmtId="166" fontId="5" fillId="0" borderId="88" xfId="0" applyNumberFormat="1" applyFont="1" applyFill="1" applyBorder="1"/>
    <xf numFmtId="9" fontId="25" fillId="3" borderId="88" xfId="49" applyNumberFormat="1" applyFont="1" applyFill="1" applyBorder="1"/>
    <xf numFmtId="166" fontId="5" fillId="3" borderId="88" xfId="41" applyNumberFormat="1" applyFont="1" applyFill="1" applyBorder="1"/>
    <xf numFmtId="166" fontId="5" fillId="3" borderId="88" xfId="49" applyNumberFormat="1" applyFont="1" applyFill="1" applyBorder="1"/>
    <xf numFmtId="167" fontId="10" fillId="5" borderId="88" xfId="49" applyNumberFormat="1" applyFont="1" applyFill="1" applyBorder="1"/>
    <xf numFmtId="167" fontId="34" fillId="3" borderId="88" xfId="29" applyNumberFormat="1" applyFont="1" applyFill="1" applyBorder="1" applyProtection="1"/>
    <xf numFmtId="167" fontId="24" fillId="13" borderId="88" xfId="0" applyNumberFormat="1" applyFont="1" applyFill="1" applyBorder="1"/>
    <xf numFmtId="167" fontId="32" fillId="3" borderId="88" xfId="49" applyNumberFormat="1" applyFont="1" applyFill="1" applyBorder="1"/>
    <xf numFmtId="165" fontId="24" fillId="3" borderId="88" xfId="29" applyNumberFormat="1" applyFont="1" applyFill="1" applyBorder="1" applyProtection="1">
      <protection locked="0"/>
    </xf>
    <xf numFmtId="167" fontId="5" fillId="3" borderId="88" xfId="49" applyNumberFormat="1" applyFont="1" applyFill="1" applyBorder="1"/>
    <xf numFmtId="167" fontId="24" fillId="0" borderId="88" xfId="0" applyNumberFormat="1" applyFont="1" applyFill="1" applyBorder="1"/>
    <xf numFmtId="167" fontId="56" fillId="13" borderId="88" xfId="29" applyNumberFormat="1" applyFont="1" applyFill="1" applyBorder="1" applyProtection="1"/>
    <xf numFmtId="167" fontId="11" fillId="3" borderId="88" xfId="0" applyNumberFormat="1" applyFont="1" applyFill="1" applyBorder="1" applyProtection="1"/>
    <xf numFmtId="165" fontId="24" fillId="3" borderId="88" xfId="0" applyNumberFormat="1" applyFont="1" applyFill="1" applyBorder="1" applyProtection="1">
      <protection locked="0"/>
    </xf>
    <xf numFmtId="167" fontId="5" fillId="3" borderId="88" xfId="0" applyNumberFormat="1" applyFont="1" applyFill="1" applyBorder="1" applyProtection="1"/>
    <xf numFmtId="167" fontId="11" fillId="3" borderId="88" xfId="29" applyNumberFormat="1" applyFont="1" applyFill="1" applyBorder="1" applyProtection="1"/>
    <xf numFmtId="9" fontId="11" fillId="3" borderId="88" xfId="0" applyNumberFormat="1" applyFont="1" applyFill="1" applyBorder="1" applyProtection="1"/>
    <xf numFmtId="168" fontId="10" fillId="15" borderId="52" xfId="0" applyNumberFormat="1" applyFont="1" applyFill="1" applyBorder="1"/>
    <xf numFmtId="165" fontId="11" fillId="3" borderId="88" xfId="0" applyNumberFormat="1" applyFont="1" applyFill="1" applyBorder="1" applyProtection="1"/>
    <xf numFmtId="1" fontId="10" fillId="3" borderId="88" xfId="29" applyNumberFormat="1" applyFont="1" applyFill="1" applyBorder="1" applyProtection="1"/>
    <xf numFmtId="165" fontId="24" fillId="13" borderId="88" xfId="29" applyNumberFormat="1" applyFont="1" applyFill="1" applyBorder="1" applyProtection="1"/>
    <xf numFmtId="168" fontId="5" fillId="5" borderId="88" xfId="29" applyNumberFormat="1" applyFont="1" applyFill="1" applyBorder="1"/>
    <xf numFmtId="173" fontId="5" fillId="3" borderId="88" xfId="29" applyNumberFormat="1" applyFont="1" applyFill="1" applyBorder="1"/>
    <xf numFmtId="168" fontId="11" fillId="3" borderId="88" xfId="0" applyNumberFormat="1" applyFont="1" applyFill="1" applyBorder="1"/>
    <xf numFmtId="168" fontId="21" fillId="3" borderId="93" xfId="0" applyNumberFormat="1" applyFont="1" applyFill="1" applyBorder="1"/>
    <xf numFmtId="168" fontId="29" fillId="3" borderId="88" xfId="0" applyNumberFormat="1" applyFont="1" applyFill="1" applyBorder="1"/>
    <xf numFmtId="9" fontId="5" fillId="3" borderId="88" xfId="0" applyNumberFormat="1" applyFont="1" applyFill="1" applyBorder="1"/>
    <xf numFmtId="3" fontId="5" fillId="3" borderId="88" xfId="0" applyNumberFormat="1" applyFont="1" applyFill="1" applyBorder="1"/>
    <xf numFmtId="167" fontId="49" fillId="3" borderId="88" xfId="0" applyNumberFormat="1" applyFont="1" applyFill="1" applyBorder="1" applyAlignment="1">
      <alignment vertical="top"/>
    </xf>
    <xf numFmtId="9" fontId="5" fillId="3" borderId="88" xfId="49" applyNumberFormat="1" applyFont="1" applyFill="1" applyBorder="1" applyAlignment="1">
      <alignment vertical="top"/>
    </xf>
    <xf numFmtId="167" fontId="46" fillId="3" borderId="88" xfId="0" applyNumberFormat="1" applyFont="1" applyFill="1" applyBorder="1" applyAlignment="1">
      <alignment vertical="top"/>
    </xf>
    <xf numFmtId="167" fontId="5" fillId="3" borderId="88" xfId="32" applyNumberFormat="1" applyFont="1" applyFill="1" applyBorder="1" applyAlignment="1">
      <alignment vertical="top"/>
    </xf>
    <xf numFmtId="9" fontId="24" fillId="3" borderId="88" xfId="49" applyNumberFormat="1" applyFont="1" applyFill="1" applyBorder="1" applyAlignment="1">
      <alignment vertical="top"/>
    </xf>
    <xf numFmtId="221" fontId="32" fillId="5" borderId="0" xfId="32" applyNumberFormat="1" applyFont="1" applyFill="1" applyBorder="1"/>
    <xf numFmtId="221" fontId="22" fillId="7" borderId="0" xfId="32" applyNumberFormat="1" applyFont="1" applyFill="1" applyBorder="1"/>
    <xf numFmtId="167" fontId="3" fillId="5" borderId="24" xfId="0" applyNumberFormat="1" applyFont="1" applyFill="1" applyBorder="1" applyAlignment="1">
      <alignment horizontal="right"/>
    </xf>
    <xf numFmtId="0" fontId="26" fillId="3" borderId="40" xfId="32" applyNumberFormat="1" applyFont="1" applyFill="1" applyBorder="1"/>
    <xf numFmtId="167" fontId="3" fillId="3" borderId="3" xfId="0" applyNumberFormat="1" applyFont="1" applyFill="1" applyBorder="1"/>
    <xf numFmtId="165" fontId="3" fillId="3" borderId="40" xfId="49" applyNumberFormat="1" applyFont="1" applyFill="1" applyBorder="1"/>
    <xf numFmtId="165" fontId="24" fillId="0" borderId="0" xfId="0" applyNumberFormat="1" applyFont="1" applyFill="1" applyBorder="1" applyProtection="1">
      <protection locked="0"/>
    </xf>
    <xf numFmtId="37" fontId="57" fillId="6" borderId="4" xfId="0" applyNumberFormat="1" applyFont="1" applyFill="1" applyBorder="1"/>
    <xf numFmtId="173" fontId="11" fillId="0" borderId="3" xfId="49" applyNumberFormat="1" applyFont="1" applyFill="1" applyBorder="1"/>
    <xf numFmtId="167" fontId="26" fillId="5" borderId="40" xfId="0" applyNumberFormat="1" applyFont="1" applyFill="1" applyBorder="1"/>
    <xf numFmtId="165" fontId="3" fillId="5" borderId="3" xfId="49" applyNumberFormat="1" applyFont="1" applyFill="1" applyBorder="1"/>
    <xf numFmtId="165" fontId="120" fillId="3" borderId="40" xfId="29" applyNumberFormat="1" applyFont="1" applyFill="1" applyBorder="1"/>
    <xf numFmtId="165" fontId="114" fillId="3" borderId="40" xfId="68" applyNumberFormat="1" applyFont="1" applyFill="1" applyBorder="1"/>
    <xf numFmtId="165" fontId="26" fillId="3" borderId="40" xfId="49" applyNumberFormat="1" applyFont="1" applyFill="1" applyBorder="1"/>
    <xf numFmtId="166" fontId="114" fillId="5" borderId="0" xfId="0" applyNumberFormat="1" applyFont="1" applyFill="1" applyBorder="1"/>
    <xf numFmtId="165" fontId="121" fillId="3" borderId="40" xfId="49" applyNumberFormat="1" applyFont="1" applyFill="1" applyBorder="1"/>
    <xf numFmtId="166" fontId="11" fillId="0" borderId="3" xfId="49" applyNumberFormat="1" applyFont="1" applyFill="1" applyBorder="1"/>
    <xf numFmtId="165" fontId="2" fillId="0" borderId="3" xfId="49" applyNumberFormat="1" applyFont="1" applyFill="1" applyBorder="1"/>
    <xf numFmtId="167" fontId="26" fillId="5" borderId="40" xfId="49" applyNumberFormat="1" applyFont="1" applyFill="1" applyBorder="1"/>
    <xf numFmtId="3" fontId="5" fillId="0" borderId="3" xfId="29" applyNumberFormat="1" applyFont="1" applyFill="1" applyBorder="1"/>
    <xf numFmtId="3" fontId="5" fillId="0" borderId="3" xfId="0" applyNumberFormat="1" applyFont="1" applyFill="1" applyBorder="1"/>
    <xf numFmtId="166" fontId="21" fillId="0" borderId="3" xfId="49" applyNumberFormat="1" applyFont="1" applyFill="1" applyBorder="1"/>
    <xf numFmtId="167" fontId="26" fillId="5" borderId="40" xfId="29" applyNumberFormat="1" applyFont="1" applyFill="1" applyBorder="1"/>
    <xf numFmtId="165" fontId="3" fillId="0" borderId="0" xfId="38" applyNumberFormat="1" applyFill="1"/>
    <xf numFmtId="167" fontId="5" fillId="0" borderId="3" xfId="0" applyNumberFormat="1" applyFont="1" applyFill="1" applyBorder="1"/>
    <xf numFmtId="9" fontId="25" fillId="0" borderId="3" xfId="49" applyNumberFormat="1" applyFont="1" applyFill="1" applyBorder="1"/>
    <xf numFmtId="167" fontId="25" fillId="0" borderId="16" xfId="30" applyNumberFormat="1" applyFont="1" applyFill="1" applyBorder="1" applyProtection="1"/>
    <xf numFmtId="167" fontId="25" fillId="0" borderId="17" xfId="29" applyNumberFormat="1" applyFont="1" applyFill="1" applyBorder="1"/>
    <xf numFmtId="167" fontId="25" fillId="0" borderId="16" xfId="0" applyNumberFormat="1" applyFont="1" applyFill="1" applyBorder="1"/>
    <xf numFmtId="167" fontId="25" fillId="0" borderId="34" xfId="29" applyNumberFormat="1" applyFont="1" applyFill="1" applyBorder="1"/>
    <xf numFmtId="165" fontId="5" fillId="0" borderId="33" xfId="49" applyNumberFormat="1" applyFont="1" applyFill="1" applyBorder="1"/>
    <xf numFmtId="165" fontId="5" fillId="0" borderId="31" xfId="49" applyNumberFormat="1" applyFont="1" applyFill="1" applyBorder="1"/>
    <xf numFmtId="165" fontId="5" fillId="0" borderId="35" xfId="0" applyNumberFormat="1" applyFont="1" applyFill="1" applyBorder="1"/>
    <xf numFmtId="3" fontId="11" fillId="0" borderId="16" xfId="29" applyNumberFormat="1" applyFont="1" applyFill="1" applyBorder="1"/>
    <xf numFmtId="3" fontId="5" fillId="0" borderId="17" xfId="29" applyNumberFormat="1" applyFont="1" applyFill="1" applyBorder="1"/>
    <xf numFmtId="3" fontId="10" fillId="0" borderId="16" xfId="0" applyNumberFormat="1" applyFont="1" applyFill="1" applyBorder="1"/>
    <xf numFmtId="3" fontId="5" fillId="0" borderId="34" xfId="29" applyNumberFormat="1" applyFont="1" applyFill="1" applyBorder="1"/>
    <xf numFmtId="166" fontId="29" fillId="0" borderId="0" xfId="0" applyNumberFormat="1" applyFont="1" applyFill="1" applyBorder="1"/>
    <xf numFmtId="165" fontId="24" fillId="0" borderId="31" xfId="49" applyNumberFormat="1" applyFont="1" applyFill="1" applyBorder="1"/>
    <xf numFmtId="0" fontId="88" fillId="0" borderId="0" xfId="36" applyNumberFormat="1" applyFont="1"/>
    <xf numFmtId="0" fontId="69" fillId="0" borderId="0" xfId="36" applyNumberFormat="1" applyFont="1"/>
    <xf numFmtId="39" fontId="68" fillId="0" borderId="0" xfId="36" applyNumberFormat="1" applyFont="1" applyBorder="1" applyAlignment="1">
      <alignment horizontal="center"/>
    </xf>
    <xf numFmtId="204" fontId="69" fillId="0" borderId="0" xfId="36" applyNumberFormat="1" applyFont="1" applyBorder="1" applyAlignment="1">
      <alignment horizontal="center"/>
    </xf>
    <xf numFmtId="202" fontId="69" fillId="0" borderId="0" xfId="36" applyNumberFormat="1" applyFont="1" applyBorder="1" applyAlignment="1">
      <alignment horizontal="center"/>
    </xf>
    <xf numFmtId="37" fontId="81" fillId="0" borderId="0" xfId="36" applyNumberFormat="1" applyFont="1" applyBorder="1" applyAlignment="1">
      <alignment horizontal="center"/>
    </xf>
    <xf numFmtId="0" fontId="90" fillId="0" borderId="0" xfId="36" applyFont="1" applyBorder="1"/>
    <xf numFmtId="0" fontId="89" fillId="0" borderId="0" xfId="36" applyFont="1" applyBorder="1"/>
    <xf numFmtId="0" fontId="71" fillId="0" borderId="0" xfId="36" applyFont="1"/>
    <xf numFmtId="0" fontId="69" fillId="0" borderId="0" xfId="36" applyFont="1" applyFill="1" applyAlignment="1">
      <alignment horizontal="right"/>
    </xf>
    <xf numFmtId="9" fontId="81" fillId="0" borderId="0" xfId="36" applyNumberFormat="1" applyFont="1"/>
    <xf numFmtId="0" fontId="71" fillId="0" borderId="0" xfId="36" applyNumberFormat="1" applyFont="1"/>
    <xf numFmtId="14" fontId="70" fillId="0" borderId="60" xfId="36" applyNumberFormat="1" applyFont="1" applyBorder="1"/>
    <xf numFmtId="203" fontId="70" fillId="0" borderId="58" xfId="36" applyNumberFormat="1" applyFont="1" applyBorder="1" applyAlignment="1">
      <alignment horizontal="right"/>
    </xf>
    <xf numFmtId="0" fontId="70" fillId="0" borderId="57" xfId="36" applyFont="1" applyBorder="1" applyAlignment="1">
      <alignment horizontal="left"/>
    </xf>
    <xf numFmtId="0" fontId="70" fillId="0" borderId="40" xfId="36" applyFont="1" applyBorder="1"/>
    <xf numFmtId="0" fontId="70" fillId="0" borderId="39" xfId="36" applyNumberFormat="1" applyFont="1" applyBorder="1" applyAlignment="1" applyProtection="1">
      <alignment horizontal="right"/>
    </xf>
    <xf numFmtId="0" fontId="70" fillId="0" borderId="56" xfId="36" applyFont="1" applyBorder="1" applyAlignment="1">
      <alignment horizontal="left"/>
    </xf>
    <xf numFmtId="202" fontId="70" fillId="0" borderId="40" xfId="36" applyNumberFormat="1" applyFont="1" applyBorder="1"/>
    <xf numFmtId="202" fontId="70" fillId="0" borderId="39" xfId="36" applyNumberFormat="1" applyFont="1" applyBorder="1" applyAlignment="1" applyProtection="1">
      <alignment horizontal="right"/>
    </xf>
    <xf numFmtId="0" fontId="70" fillId="0" borderId="56" xfId="36" applyFont="1" applyBorder="1"/>
    <xf numFmtId="0" fontId="70" fillId="0" borderId="39" xfId="36" applyNumberFormat="1" applyFont="1" applyBorder="1" applyAlignment="1">
      <alignment horizontal="right"/>
    </xf>
    <xf numFmtId="0" fontId="70" fillId="0" borderId="39" xfId="36" applyFont="1" applyBorder="1" applyAlignment="1">
      <alignment horizontal="right"/>
    </xf>
    <xf numFmtId="0" fontId="69" fillId="0" borderId="40" xfId="36" applyFont="1" applyBorder="1"/>
    <xf numFmtId="0" fontId="69" fillId="0" borderId="39" xfId="36" applyFont="1" applyBorder="1"/>
    <xf numFmtId="0" fontId="69" fillId="0" borderId="56" xfId="36" applyFont="1" applyBorder="1"/>
    <xf numFmtId="0" fontId="70" fillId="0" borderId="40" xfId="36" quotePrefix="1" applyFont="1" applyFill="1" applyBorder="1" applyAlignment="1">
      <alignment horizontal="right"/>
    </xf>
    <xf numFmtId="0" fontId="70" fillId="0" borderId="39" xfId="36" quotePrefix="1" applyFont="1" applyFill="1" applyBorder="1" applyAlignment="1">
      <alignment horizontal="right"/>
    </xf>
    <xf numFmtId="0" fontId="70" fillId="0" borderId="55" xfId="36" quotePrefix="1" applyFont="1" applyFill="1" applyBorder="1" applyAlignment="1">
      <alignment horizontal="right"/>
    </xf>
    <xf numFmtId="0" fontId="70" fillId="0" borderId="53" xfId="36" applyFont="1" applyBorder="1"/>
    <xf numFmtId="0" fontId="71" fillId="0" borderId="0" xfId="36" applyFont="1" applyBorder="1"/>
    <xf numFmtId="165" fontId="3" fillId="3" borderId="39" xfId="0" applyNumberFormat="1" applyFont="1" applyFill="1" applyBorder="1"/>
    <xf numFmtId="222" fontId="10" fillId="3" borderId="88" xfId="0" applyNumberFormat="1" applyFont="1" applyFill="1" applyBorder="1"/>
    <xf numFmtId="3" fontId="5" fillId="0" borderId="0" xfId="49" applyNumberFormat="1" applyFont="1" applyFill="1" applyBorder="1"/>
    <xf numFmtId="217" fontId="3" fillId="5" borderId="0" xfId="0" applyNumberFormat="1" applyFont="1" applyFill="1" applyBorder="1"/>
    <xf numFmtId="0" fontId="3" fillId="5" borderId="24" xfId="0" applyNumberFormat="1" applyFont="1" applyFill="1" applyBorder="1" applyAlignment="1"/>
    <xf numFmtId="216" fontId="5" fillId="5" borderId="0" xfId="0" applyNumberFormat="1" applyFont="1" applyFill="1" applyBorder="1"/>
    <xf numFmtId="167" fontId="118" fillId="5" borderId="0" xfId="0" applyNumberFormat="1" applyFont="1" applyFill="1" applyBorder="1"/>
    <xf numFmtId="0" fontId="26" fillId="3" borderId="40" xfId="0" applyNumberFormat="1" applyFont="1" applyFill="1" applyBorder="1"/>
    <xf numFmtId="165" fontId="10" fillId="0" borderId="3" xfId="49" applyNumberFormat="1" applyFont="1" applyFill="1" applyBorder="1"/>
    <xf numFmtId="165" fontId="16" fillId="3" borderId="40" xfId="49" applyNumberFormat="1" applyFont="1" applyFill="1" applyBorder="1"/>
    <xf numFmtId="9" fontId="24" fillId="0" borderId="88" xfId="0" applyNumberFormat="1" applyFont="1" applyFill="1" applyBorder="1" applyAlignment="1" applyProtection="1">
      <alignment vertical="top"/>
    </xf>
    <xf numFmtId="165" fontId="49" fillId="13" borderId="94" xfId="49" applyNumberFormat="1" applyFont="1" applyFill="1" applyBorder="1"/>
    <xf numFmtId="165" fontId="114" fillId="0" borderId="95" xfId="49" applyNumberFormat="1" applyFont="1" applyFill="1" applyBorder="1"/>
    <xf numFmtId="165" fontId="11" fillId="3" borderId="4" xfId="49" applyNumberFormat="1" applyFont="1" applyFill="1" applyBorder="1" applyAlignment="1" applyProtection="1">
      <alignment vertical="top"/>
    </xf>
    <xf numFmtId="167" fontId="5" fillId="0" borderId="4" xfId="49" applyNumberFormat="1" applyFont="1" applyFill="1" applyBorder="1" applyAlignment="1" applyProtection="1">
      <alignment vertical="top"/>
    </xf>
    <xf numFmtId="167" fontId="25" fillId="0" borderId="30" xfId="30" applyNumberFormat="1" applyFont="1" applyFill="1" applyBorder="1" applyProtection="1"/>
    <xf numFmtId="167" fontId="5" fillId="0" borderId="11" xfId="0" applyNumberFormat="1" applyFont="1" applyFill="1" applyBorder="1"/>
    <xf numFmtId="0" fontId="114" fillId="5" borderId="0" xfId="0" applyNumberFormat="1" applyFont="1" applyFill="1" applyBorder="1"/>
    <xf numFmtId="0" fontId="122" fillId="5" borderId="0" xfId="0" applyNumberFormat="1" applyFont="1" applyFill="1" applyBorder="1"/>
    <xf numFmtId="0" fontId="123" fillId="5" borderId="0" xfId="0" applyNumberFormat="1" applyFont="1" applyFill="1" applyBorder="1"/>
    <xf numFmtId="167" fontId="11" fillId="19" borderId="3" xfId="49" applyNumberFormat="1" applyFont="1" applyFill="1" applyBorder="1"/>
    <xf numFmtId="165" fontId="11" fillId="19" borderId="0" xfId="0" applyNumberFormat="1" applyFont="1" applyFill="1" applyBorder="1"/>
    <xf numFmtId="167" fontId="24" fillId="19" borderId="4" xfId="32" applyNumberFormat="1" applyFont="1" applyFill="1" applyBorder="1" applyAlignment="1" applyProtection="1">
      <alignment vertical="top"/>
    </xf>
    <xf numFmtId="167" fontId="24" fillId="19" borderId="32" xfId="32" applyNumberFormat="1" applyFont="1" applyFill="1" applyBorder="1" applyAlignment="1" applyProtection="1">
      <alignment vertical="top"/>
    </xf>
    <xf numFmtId="0" fontId="3" fillId="14" borderId="0" xfId="38" applyFill="1"/>
    <xf numFmtId="5" fontId="3" fillId="0" borderId="39" xfId="38" applyNumberFormat="1" applyFont="1" applyFill="1" applyBorder="1" applyAlignment="1">
      <alignment vertical="center"/>
    </xf>
    <xf numFmtId="212" fontId="3" fillId="0" borderId="58" xfId="38" applyNumberFormat="1" applyFont="1" applyFill="1" applyBorder="1" applyAlignment="1">
      <alignment vertical="center"/>
    </xf>
    <xf numFmtId="209" fontId="1" fillId="0" borderId="39" xfId="38" applyNumberFormat="1" applyFont="1" applyFill="1" applyBorder="1" applyAlignment="1">
      <alignment vertical="center"/>
    </xf>
    <xf numFmtId="191" fontId="3" fillId="0" borderId="58" xfId="38" applyNumberFormat="1" applyFont="1" applyFill="1" applyBorder="1" applyAlignment="1">
      <alignment horizontal="right"/>
    </xf>
    <xf numFmtId="166" fontId="114" fillId="3" borderId="0" xfId="49" applyNumberFormat="1" applyFont="1" applyFill="1" applyBorder="1"/>
    <xf numFmtId="9" fontId="3" fillId="0" borderId="94" xfId="0" applyNumberFormat="1" applyFont="1" applyBorder="1" applyAlignment="1">
      <alignment horizontal="left" vertical="top" indent="2"/>
    </xf>
    <xf numFmtId="167" fontId="1" fillId="5" borderId="4" xfId="0" applyNumberFormat="1" applyFont="1" applyFill="1" applyBorder="1"/>
    <xf numFmtId="6" fontId="124" fillId="5" borderId="0" xfId="35" applyNumberFormat="1" applyFont="1" applyFill="1" applyBorder="1" applyProtection="1"/>
    <xf numFmtId="167" fontId="124" fillId="5" borderId="0" xfId="0" applyNumberFormat="1" applyFont="1" applyFill="1" applyBorder="1"/>
    <xf numFmtId="165" fontId="3" fillId="0" borderId="0" xfId="49" applyNumberFormat="1" applyFont="1" applyFill="1"/>
    <xf numFmtId="167" fontId="114" fillId="3" borderId="3" xfId="0" applyNumberFormat="1" applyFont="1" applyFill="1" applyBorder="1"/>
    <xf numFmtId="0" fontId="114" fillId="3" borderId="0" xfId="0" applyFont="1" applyFill="1" applyBorder="1"/>
    <xf numFmtId="221" fontId="26" fillId="3" borderId="0" xfId="32" applyNumberFormat="1" applyFont="1" applyFill="1" applyBorder="1"/>
    <xf numFmtId="167" fontId="112" fillId="5" borderId="0" xfId="29" applyNumberFormat="1" applyFont="1" applyFill="1" applyBorder="1"/>
    <xf numFmtId="5" fontId="3" fillId="3" borderId="3" xfId="46" applyNumberFormat="1" applyFont="1" applyFill="1" applyBorder="1"/>
    <xf numFmtId="5" fontId="3" fillId="3" borderId="3" xfId="0" applyNumberFormat="1" applyFont="1" applyFill="1" applyBorder="1"/>
    <xf numFmtId="167" fontId="3" fillId="0" borderId="3" xfId="46" applyNumberFormat="1" applyFont="1" applyFill="1" applyBorder="1"/>
    <xf numFmtId="167" fontId="1" fillId="5" borderId="15" xfId="0" applyNumberFormat="1" applyFont="1" applyFill="1" applyBorder="1" applyAlignment="1">
      <alignment horizontal="right"/>
    </xf>
    <xf numFmtId="165" fontId="48" fillId="7" borderId="3" xfId="29" applyNumberFormat="1" applyFont="1" applyFill="1" applyBorder="1" applyAlignment="1">
      <alignment vertical="top"/>
    </xf>
    <xf numFmtId="167" fontId="1" fillId="3" borderId="15" xfId="46" applyNumberFormat="1" applyFont="1" applyFill="1" applyBorder="1"/>
    <xf numFmtId="167" fontId="3" fillId="0" borderId="3" xfId="0" applyNumberFormat="1" applyFont="1" applyFill="1" applyBorder="1"/>
    <xf numFmtId="191" fontId="5" fillId="0" borderId="3" xfId="49" applyNumberFormat="1" applyFont="1" applyFill="1" applyBorder="1"/>
    <xf numFmtId="223" fontId="26" fillId="3" borderId="40" xfId="32" applyNumberFormat="1" applyFont="1" applyFill="1" applyBorder="1"/>
    <xf numFmtId="166" fontId="1" fillId="0" borderId="0" xfId="49" applyNumberFormat="1" applyFont="1" applyFill="1" applyBorder="1"/>
    <xf numFmtId="10" fontId="5" fillId="5" borderId="0" xfId="49" applyNumberFormat="1" applyFont="1" applyFill="1" applyBorder="1" applyAlignment="1">
      <alignment horizontal="right"/>
    </xf>
    <xf numFmtId="3" fontId="125" fillId="0" borderId="16" xfId="30" applyNumberFormat="1" applyFont="1" applyFill="1" applyBorder="1" applyProtection="1"/>
    <xf numFmtId="3" fontId="125" fillId="0" borderId="16" xfId="29" applyNumberFormat="1" applyFont="1" applyFill="1" applyBorder="1"/>
    <xf numFmtId="3" fontId="125" fillId="0" borderId="17" xfId="29" applyNumberFormat="1" applyFont="1" applyFill="1" applyBorder="1"/>
    <xf numFmtId="224" fontId="111" fillId="5" borderId="58" xfId="0" applyNumberFormat="1" applyFont="1" applyFill="1" applyBorder="1"/>
    <xf numFmtId="167" fontId="24" fillId="0" borderId="3" xfId="0" applyNumberFormat="1" applyFont="1" applyFill="1" applyBorder="1"/>
    <xf numFmtId="167" fontId="24" fillId="0" borderId="0" xfId="46" applyNumberFormat="1" applyFont="1" applyFill="1"/>
    <xf numFmtId="165" fontId="24" fillId="0" borderId="0" xfId="0" applyNumberFormat="1" applyFont="1" applyFill="1" applyBorder="1"/>
    <xf numFmtId="196" fontId="26" fillId="3" borderId="40" xfId="29" applyNumberFormat="1" applyFont="1" applyFill="1" applyBorder="1"/>
    <xf numFmtId="43" fontId="11" fillId="0" borderId="3" xfId="29" applyNumberFormat="1" applyFont="1" applyFill="1" applyBorder="1"/>
    <xf numFmtId="43" fontId="11" fillId="0" borderId="0" xfId="29" applyNumberFormat="1" applyFont="1" applyFill="1" applyBorder="1"/>
    <xf numFmtId="165" fontId="5" fillId="0" borderId="38" xfId="49" applyNumberFormat="1" applyFont="1" applyFill="1" applyBorder="1"/>
    <xf numFmtId="9" fontId="5" fillId="0" borderId="3" xfId="49" applyNumberFormat="1" applyFont="1" applyFill="1" applyBorder="1"/>
    <xf numFmtId="167" fontId="10" fillId="0" borderId="5" xfId="0" applyNumberFormat="1" applyFont="1" applyFill="1" applyBorder="1"/>
    <xf numFmtId="167" fontId="10" fillId="0" borderId="6" xfId="0" applyNumberFormat="1" applyFont="1" applyFill="1" applyBorder="1"/>
    <xf numFmtId="167" fontId="3" fillId="3" borderId="94" xfId="0" applyNumberFormat="1" applyFont="1" applyFill="1" applyBorder="1"/>
    <xf numFmtId="165" fontId="3" fillId="3" borderId="94" xfId="0" applyNumberFormat="1" applyFont="1" applyFill="1" applyBorder="1" applyAlignment="1">
      <alignment horizontal="left" indent="1"/>
    </xf>
    <xf numFmtId="165" fontId="3" fillId="3" borderId="3" xfId="49" applyNumberFormat="1" applyFont="1" applyFill="1" applyBorder="1"/>
    <xf numFmtId="165" fontId="3" fillId="3" borderId="0" xfId="32" applyNumberFormat="1" applyFont="1" applyFill="1" applyBorder="1" applyAlignment="1">
      <alignment vertical="top"/>
    </xf>
    <xf numFmtId="165" fontId="5" fillId="3" borderId="0" xfId="32" applyNumberFormat="1" applyFont="1" applyFill="1" applyBorder="1" applyAlignment="1">
      <alignment vertical="top"/>
    </xf>
    <xf numFmtId="165" fontId="114" fillId="0" borderId="0" xfId="38" applyNumberFormat="1" applyFont="1" applyFill="1" applyAlignment="1">
      <alignment vertical="center"/>
    </xf>
    <xf numFmtId="167" fontId="5" fillId="20" borderId="0" xfId="46" applyNumberFormat="1" applyFont="1" applyFill="1"/>
    <xf numFmtId="167" fontId="112" fillId="20" borderId="0" xfId="29" applyNumberFormat="1" applyFont="1" applyFill="1" applyBorder="1"/>
    <xf numFmtId="167" fontId="11" fillId="0" borderId="3" xfId="49" applyNumberFormat="1" applyFont="1" applyFill="1" applyBorder="1"/>
    <xf numFmtId="167" fontId="34" fillId="0" borderId="3" xfId="29" applyNumberFormat="1" applyFont="1" applyFill="1" applyBorder="1" applyProtection="1"/>
    <xf numFmtId="167" fontId="56" fillId="0" borderId="0" xfId="29" applyNumberFormat="1" applyFont="1" applyFill="1" applyBorder="1" applyProtection="1"/>
    <xf numFmtId="167" fontId="23" fillId="0" borderId="0" xfId="0" applyNumberFormat="1" applyFont="1" applyFill="1" applyBorder="1"/>
    <xf numFmtId="167" fontId="23" fillId="0" borderId="0" xfId="29" applyNumberFormat="1" applyFont="1" applyFill="1" applyBorder="1"/>
    <xf numFmtId="167" fontId="56" fillId="0" borderId="3" xfId="29" applyNumberFormat="1" applyFont="1" applyFill="1" applyBorder="1" applyProtection="1">
      <protection locked="0"/>
    </xf>
    <xf numFmtId="0" fontId="22" fillId="17" borderId="0" xfId="0" applyFont="1" applyFill="1" applyBorder="1" applyAlignment="1">
      <alignment horizontal="center"/>
    </xf>
    <xf numFmtId="0" fontId="9" fillId="0" borderId="0" xfId="44" applyFont="1" applyAlignment="1">
      <alignment horizontal="center"/>
    </xf>
    <xf numFmtId="0" fontId="75" fillId="0" borderId="0" xfId="36" applyFont="1" applyBorder="1" applyAlignment="1">
      <alignment horizontal="center" wrapText="1"/>
    </xf>
    <xf numFmtId="0" fontId="96" fillId="0" borderId="0" xfId="36" applyFont="1" applyBorder="1"/>
    <xf numFmtId="0" fontId="83" fillId="3" borderId="0" xfId="36" applyFont="1" applyFill="1" applyBorder="1" applyAlignment="1">
      <alignment horizontal="center" wrapText="1"/>
    </xf>
    <xf numFmtId="0" fontId="65" fillId="11" borderId="50" xfId="36" applyFont="1" applyFill="1" applyBorder="1" applyAlignment="1">
      <alignment horizontal="left" wrapText="1"/>
    </xf>
    <xf numFmtId="0" fontId="3" fillId="21" borderId="0" xfId="69" applyFont="1" applyFill="1" applyAlignment="1">
      <alignment vertical="top"/>
    </xf>
    <xf numFmtId="0" fontId="3" fillId="21" borderId="0" xfId="36" applyFill="1" applyAlignment="1">
      <alignment vertical="top"/>
    </xf>
    <xf numFmtId="0" fontId="3" fillId="21" borderId="0" xfId="36" applyFill="1"/>
    <xf numFmtId="0" fontId="43" fillId="21" borderId="0" xfId="69" applyFont="1" applyFill="1" applyAlignment="1">
      <alignment horizontal="left" vertical="top"/>
    </xf>
    <xf numFmtId="0" fontId="3" fillId="21" borderId="0" xfId="36" applyFont="1" applyFill="1" applyAlignment="1">
      <alignment vertical="top"/>
    </xf>
    <xf numFmtId="0" fontId="2" fillId="21" borderId="0" xfId="69" applyFont="1" applyFill="1" applyAlignment="1">
      <alignment vertical="top"/>
    </xf>
    <xf numFmtId="0" fontId="0" fillId="21" borderId="0" xfId="0" applyFill="1" applyAlignment="1">
      <alignment vertical="top"/>
    </xf>
    <xf numFmtId="0" fontId="115" fillId="21" borderId="0" xfId="0" applyFont="1" applyFill="1" applyAlignment="1">
      <alignment vertical="top"/>
    </xf>
    <xf numFmtId="0" fontId="126" fillId="21" borderId="0" xfId="0" applyFont="1" applyFill="1" applyAlignment="1">
      <alignment vertical="top"/>
    </xf>
    <xf numFmtId="0" fontId="126" fillId="21" borderId="0" xfId="0" applyFont="1" applyFill="1" applyAlignment="1">
      <alignment vertical="top"/>
    </xf>
    <xf numFmtId="0" fontId="115" fillId="21" borderId="0" xfId="0" applyFont="1" applyFill="1" applyAlignment="1">
      <alignment vertical="top"/>
    </xf>
    <xf numFmtId="0" fontId="0" fillId="21" borderId="0" xfId="0" applyFill="1" applyAlignment="1">
      <alignment vertical="top"/>
    </xf>
    <xf numFmtId="0" fontId="0" fillId="21" borderId="100" xfId="0" applyFill="1" applyBorder="1" applyAlignment="1">
      <alignment vertical="top"/>
    </xf>
    <xf numFmtId="0" fontId="115" fillId="21" borderId="96" xfId="0" applyFont="1" applyFill="1" applyBorder="1" applyAlignment="1">
      <alignment vertical="top"/>
    </xf>
    <xf numFmtId="0" fontId="115" fillId="21" borderId="97" xfId="0" applyFont="1" applyFill="1" applyBorder="1" applyAlignment="1">
      <alignment vertical="top"/>
    </xf>
    <xf numFmtId="0" fontId="115" fillId="21" borderId="98" xfId="0" applyFont="1" applyFill="1" applyBorder="1" applyAlignment="1">
      <alignment vertical="top"/>
    </xf>
    <xf numFmtId="0" fontId="115" fillId="21" borderId="99" xfId="0" applyFont="1" applyFill="1" applyBorder="1" applyAlignment="1">
      <alignment vertical="top"/>
    </xf>
    <xf numFmtId="9" fontId="115" fillId="21" borderId="96" xfId="0" applyNumberFormat="1" applyFont="1" applyFill="1" applyBorder="1" applyAlignment="1">
      <alignment vertical="top"/>
    </xf>
    <xf numFmtId="3" fontId="115" fillId="21" borderId="96" xfId="0" applyNumberFormat="1" applyFont="1" applyFill="1" applyBorder="1" applyAlignment="1">
      <alignment vertical="top"/>
    </xf>
    <xf numFmtId="0" fontId="0" fillId="21" borderId="101" xfId="0" applyFill="1" applyBorder="1" applyAlignment="1">
      <alignment vertical="top"/>
    </xf>
    <xf numFmtId="2" fontId="3" fillId="0" borderId="0" xfId="36" applyNumberFormat="1" applyAlignment="1">
      <alignment horizontal="left"/>
    </xf>
    <xf numFmtId="0" fontId="3" fillId="0" borderId="0" xfId="36" applyNumberFormat="1" applyAlignment="1">
      <alignment horizontal="left"/>
    </xf>
    <xf numFmtId="1" fontId="3" fillId="0" borderId="0" xfId="36" applyNumberFormat="1" applyAlignment="1">
      <alignment horizontal="left"/>
    </xf>
    <xf numFmtId="0" fontId="3" fillId="0" borderId="0" xfId="36" applyFont="1"/>
    <xf numFmtId="230" fontId="3" fillId="0" borderId="0" xfId="36" applyNumberFormat="1" applyAlignment="1">
      <alignment horizontal="left"/>
    </xf>
    <xf numFmtId="49" fontId="3" fillId="0" borderId="0" xfId="36" applyNumberFormat="1"/>
  </cellXfs>
  <cellStyles count="70">
    <cellStyle name=" 1" xfId="1"/>
    <cellStyle name="%" xfId="2"/>
    <cellStyle name="_SUMMARY " xfId="3"/>
    <cellStyle name="_SUMMARY _RRST1" xfId="4"/>
    <cellStyle name="_SUMMARY _RRST14" xfId="5"/>
    <cellStyle name="_SUMMARY _RRST17" xfId="6"/>
    <cellStyle name="_SUMMARY _RRST3" xfId="7"/>
    <cellStyle name="_SUMMARY _RRST5" xfId="8"/>
    <cellStyle name="_UNP.N_Pension Analyzer" xfId="9"/>
    <cellStyle name="=C:\WINNT35\SYSTEM32\COMMAND.COM" xfId="10"/>
    <cellStyle name="0_Capex &amp; Depreciation " xfId="11"/>
    <cellStyle name="0_Capex &amp; Depreciation _RRST1" xfId="12"/>
    <cellStyle name="0_Capex &amp; Depreciation _RRST14" xfId="13"/>
    <cellStyle name="0_Capex &amp; Depreciation _RRST17" xfId="14"/>
    <cellStyle name="0_Capex &amp; Depreciation _RRST3" xfId="15"/>
    <cellStyle name="0_Capex &amp; Depreciation _RRST5" xfId="16"/>
    <cellStyle name="0_Valuing BP " xfId="17"/>
    <cellStyle name="0_Valuing BP _RRST1" xfId="18"/>
    <cellStyle name="0_Valuing BP _RRST14" xfId="19"/>
    <cellStyle name="0_Valuing BP _RRST17" xfId="20"/>
    <cellStyle name="0_Valuing BP _RRST3" xfId="21"/>
    <cellStyle name="0_Valuing BP _RRST5" xfId="22"/>
    <cellStyle name="c_HardInc " xfId="23"/>
    <cellStyle name="c_HardInc _RRST1" xfId="24"/>
    <cellStyle name="c_HardInc _RRST14" xfId="25"/>
    <cellStyle name="c_HardInc _RRST17" xfId="26"/>
    <cellStyle name="c_HardInc _RRST3" xfId="27"/>
    <cellStyle name="c_HardInc _RRST5" xfId="28"/>
    <cellStyle name="Comma" xfId="29" builtinId="3"/>
    <cellStyle name="Comma_Copy of CSXQQ WIP" xfId="30"/>
    <cellStyle name="Comma_Pensions Module Europe FAS87" xfId="31"/>
    <cellStyle name="Currency" xfId="32" builtinId="4"/>
    <cellStyle name="Currency 2" xfId="33"/>
    <cellStyle name="Currency 3" xfId="34"/>
    <cellStyle name="Currency_Copy of CSXQQ WIP" xfId="35"/>
    <cellStyle name="Normal" xfId="0" builtinId="0"/>
    <cellStyle name="Normal 2" xfId="36"/>
    <cellStyle name="Normal 3" xfId="37"/>
    <cellStyle name="Normal_299650.GOOG.O" xfId="38"/>
    <cellStyle name="Normal_Copy of CSXQQ WIP" xfId="39"/>
    <cellStyle name="Normal_CP.Model.new.Liz" xfId="40"/>
    <cellStyle name="Normal_CP.US.Model.Template" xfId="41"/>
    <cellStyle name="Normal_DisclaimerSheet Samples" xfId="69"/>
    <cellStyle name="Normal_Inc Statement" xfId="42"/>
    <cellStyle name="Normal_JBHTqq" xfId="43"/>
    <cellStyle name="Normal_KNX.Model.New" xfId="44"/>
    <cellStyle name="Normal_Model" xfId="45"/>
    <cellStyle name="Normal_Nscqq modelware" xfId="46"/>
    <cellStyle name="Normal_psw18vwall" xfId="47"/>
    <cellStyle name="p " xfId="48"/>
    <cellStyle name="Percent" xfId="49" builtinId="5"/>
    <cellStyle name="Percent 3" xfId="68"/>
    <cellStyle name="RRSInstruction" xfId="50"/>
    <cellStyle name="s_HardInc " xfId="51"/>
    <cellStyle name="s_HardInc _RRST1" xfId="52"/>
    <cellStyle name="s_HardInc _RRST14" xfId="53"/>
    <cellStyle name="s_HardInc _RRST17" xfId="54"/>
    <cellStyle name="s_HardInc _RRST3" xfId="55"/>
    <cellStyle name="s_HardInc _RRST5" xfId="56"/>
    <cellStyle name="s_Valuation " xfId="57"/>
    <cellStyle name="s_Valuation _RRST1" xfId="58"/>
    <cellStyle name="s_Valuation _RRST14" xfId="59"/>
    <cellStyle name="s_Valuation _RRST17" xfId="60"/>
    <cellStyle name="s_Valuation _RRST3" xfId="61"/>
    <cellStyle name="s_Valuation _RRST5" xfId="62"/>
    <cellStyle name="ssp " xfId="63"/>
    <cellStyle name="Style 1" xfId="64"/>
    <cellStyle name="Style 1 2" xfId="65"/>
    <cellStyle name="Style 2" xfId="66"/>
    <cellStyle name="Style 32" xfId="67"/>
  </cellStyles>
  <dxfs count="0"/>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Lst>
</styleSheet>
</file>

<file path=xl/volatileDependencies.xml><?xml version="1.0" encoding="utf-8"?>
<volTypes xmlns="http://schemas.openxmlformats.org/spreadsheetml/2006/main">
  <volType type="realTimeData">
    <main first="thomsononeaddinshim.rtdformula">
      <tp>
        <v>0.32</v>
        <stp/>
        <stp>b37a433c-4bec-41bc-81b5-795fd488c050</stp>
        <tr r="CH28" s="92"/>
      </tp>
      <tp>
        <v>0</v>
        <stp/>
        <stp>d0a3066f-7941-40d3-9f9f-8df3fac99788</stp>
        <tr r="BG11" s="93"/>
      </tp>
      <tp>
        <v>34</v>
        <stp/>
        <stp>2acfd4ce-444e-4067-b488-b49a94dbbd4a</stp>
        <tr r="BG26" s="93"/>
      </tp>
      <tp>
        <v>29163</v>
        <stp/>
        <stp>c1d0daea-e9fb-4995-9bf0-615f3df148d1</stp>
        <tr r="CD44" s="92"/>
      </tp>
      <tp>
        <v>25</v>
        <stp/>
        <stp>c55578a5-c502-465f-8687-d109b5f8d8ed</stp>
        <tr r="BG21" s="93"/>
      </tp>
      <tp>
        <v>2062</v>
        <stp/>
        <stp>59f937f1-49d4-49db-8446-3b46ef586d96</stp>
        <tr r="BG29" s="92"/>
      </tp>
      <tp>
        <v>0</v>
        <stp/>
        <stp>b020635a-ebec-48f9-bf2a-dc066fe04ebe</stp>
        <tr r="BG20" s="93"/>
      </tp>
      <tp>
        <v>0</v>
        <stp/>
        <stp>0102c0b1-fb44-438d-8439-596ba7007161</stp>
        <tr r="BG22" s="93"/>
      </tp>
      <tp>
        <v>0</v>
        <stp/>
        <stp>9561d866-ab59-4f12-a18e-a3d85604eb35</stp>
        <tr r="BG37" s="93"/>
      </tp>
      <tp>
        <v>2160753</v>
        <stp/>
        <stp>5c19125f-9220-4e77-8b5e-4f8a5512780d</stp>
        <tr r="J3" s="92"/>
      </tp>
      <tp>
        <v>349</v>
        <stp/>
        <stp>6d9ac1bb-0288-4ed4-9a65-702034578b6b</stp>
        <tr r="BG38" s="92"/>
      </tp>
      <tp>
        <v>36063</v>
        <stp/>
        <stp>26d6bf69-9a63-47d9-bef8-c712a700d40e</stp>
        <tr r="CE44" s="92"/>
      </tp>
      <tp>
        <v>8.5000000000000006E-2</v>
        <stp/>
        <stp>9a966fd9-cba5-4b17-b6a1-729a7b6c0ab8</stp>
        <tr r="BG11" s="92"/>
      </tp>
      <tp>
        <v>2395</v>
        <stp/>
        <stp>d61720cf-9490-429a-8134-0ca8f9cb334c</stp>
        <tr r="BG35" s="92"/>
      </tp>
      <tp>
        <v>32</v>
        <stp/>
        <stp>db784b47-a6b8-428d-8a23-145d0100f74c</stp>
        <tr r="BG19" s="92"/>
      </tp>
      <tp>
        <v>6.5000000000000002E-2</v>
        <stp/>
        <stp>4848947e-abd3-4fa9-8210-da2caf987e9a</stp>
        <tr r="BG8" s="92"/>
      </tp>
      <tp>
        <v>129</v>
        <stp/>
        <stp>0ff817c5-4780-41d0-bbe5-11317481327f</stp>
        <tr r="BG21" s="92"/>
      </tp>
      <tp t="s">
        <v>######</v>
        <stp/>
        <stp>ba62d707-624d-4c33-af05-8ebd4858dfe2</stp>
        <tr r="BA19" s="92"/>
      </tp>
      <tp>
        <v>1320</v>
        <stp/>
        <stp>3738b73a-ab30-4382-81b2-084cdcf9329e</stp>
        <tr r="BG37" s="92"/>
      </tp>
      <tp>
        <v>0</v>
        <stp/>
        <stp>bb8e0c91-9de1-4449-bdf7-9dacda174915</stp>
        <tr r="BG38" s="93"/>
      </tp>
      <tp t="s">
        <v>Manual Calculation</v>
        <stp/>
        <stp>f7302bee-ad60-4f8e-afa8-785656eceb1a</stp>
        <tr r="CH29" s="92"/>
      </tp>
      <tp>
        <v>0</v>
        <stp/>
        <stp>abcc3f52-cca7-432b-b2a6-c8c752a1f3b7</stp>
        <tr r="BG42" s="93"/>
      </tp>
      <tp>
        <v>33654</v>
        <stp/>
        <stp>2ae6cc12-71d5-4775-8133-326560b02a3f</stp>
        <tr r="CG44" s="92"/>
      </tp>
      <tp>
        <v>406</v>
        <stp/>
        <stp>1ab72f7b-3cbd-437e-bdf3-e2ec93fe6f05</stp>
        <tr r="BG35" s="93"/>
      </tp>
      <tp>
        <v>0.03</v>
        <stp/>
        <stp>a6bd1100-b0b0-4413-aed5-0cfcad61fe39</stp>
        <tr r="CH30" s="92"/>
      </tp>
      <tp t="s">
        <v>(154)</v>
        <stp/>
        <stp>4690ffff-d1c9-48fb-a3f5-abd2b4c5d797</stp>
        <tr r="BG22" s="92"/>
      </tp>
      <tp>
        <v>35</v>
        <stp/>
        <stp>40aac879-9146-4e71-89bf-f7c86b19ffbc</stp>
        <tr r="BG26" s="92"/>
      </tp>
      <tp>
        <v>5</v>
        <stp/>
        <stp>65596c17-a892-402d-9be3-cc7306be9180</stp>
        <tr r="BG19" s="93"/>
      </tp>
      <tp>
        <v>25300</v>
        <stp/>
        <stp>3330d232-a4fd-4de4-836c-cad514cb7e07</stp>
        <tr r="CF44" s="92"/>
      </tp>
      <tp>
        <v>48259</v>
        <stp/>
        <stp>c922057c-4e05-496e-af71-c977a783a6ef</stp>
        <tr r="CJ44" s="92"/>
      </tp>
      <tp>
        <v>1781</v>
        <stp/>
        <stp>3aed9d48-d336-4595-8317-c1bb839b452d</stp>
        <tr r="BG42" s="92"/>
      </tp>
      <tp>
        <v>0.65</v>
        <stp/>
        <stp>bd8b9a95-f4a4-4a9f-8fb1-de423f30b1b2</stp>
        <tr r="CH27" s="92"/>
      </tp>
      <tp>
        <v>373</v>
        <stp/>
        <stp>c29af3bc-49e0-4d04-b9a9-1e20d4197d47</stp>
        <tr r="BG29" s="93"/>
      </tp>
      <tp>
        <v>6.5000000000000002E-2</v>
        <stp/>
        <stp>601eafd1-9b7a-4df5-b96e-ad20af4ab845</stp>
        <tr r="BG8" s="93"/>
      </tp>
      <tp>
        <v>48259</v>
        <stp/>
        <stp>72277531-4c19-4b0f-9e7e-d6acc02f82ee</stp>
        <tr r="CH44" s="92"/>
      </tp>
      <tp>
        <v>2</v>
        <stp/>
        <stp>e67514b5-e738-49f5-a423-9bdd87287bb4</stp>
        <tr r="BG20" s="92"/>
      </tp>
      <tp>
        <v>48259</v>
        <stp/>
        <stp>200f3388-460a-4011-8edf-4f4021056b2d</stp>
        <tr r="CI44" s="92"/>
      </tp>
    </main>
  </volType>
</volTypes>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externalLinks/externalLink1.xml" Type="http://schemas.openxmlformats.org/officeDocument/2006/relationships/externalLink"/>
<Relationship Id="rId14" Target="externalLinks/externalLink2.xml" Type="http://schemas.openxmlformats.org/officeDocument/2006/relationships/externalLink"/>
<Relationship Id="rId15" Target="externalLinks/externalLink3.xml" Type="http://schemas.openxmlformats.org/officeDocument/2006/relationships/externalLink"/>
<Relationship Id="rId16" Target="externalLinks/externalLink4.xml" Type="http://schemas.openxmlformats.org/officeDocument/2006/relationships/externalLink"/>
<Relationship Id="rId17" Target="externalLinks/externalLink5.xml" Type="http://schemas.openxmlformats.org/officeDocument/2006/relationships/externalLink"/>
<Relationship Id="rId18" Target="theme/theme1.xml" Type="http://schemas.openxmlformats.org/officeDocument/2006/relationships/theme"/>
<Relationship Id="rId19" Target="styles.xml" Type="http://schemas.openxmlformats.org/officeDocument/2006/relationships/styles"/>
<Relationship Id="rId2" Target="worksheets/sheet2.xml" Type="http://schemas.openxmlformats.org/officeDocument/2006/relationships/worksheet"/>
<Relationship Id="rId20" Target="sharedStrings.xml" Type="http://schemas.openxmlformats.org/officeDocument/2006/relationships/sharedStrings"/>
<Relationship Id="rId21" Target="calcChain.xml" Type="http://schemas.openxmlformats.org/officeDocument/2006/relationships/calcChain"/>
<Relationship Id="rId22" Target="../customXml/item1.xml" Type="http://schemas.openxmlformats.org/officeDocument/2006/relationships/customXml"/>
<Relationship Id="rId23" Target="../customXml/item2.xml" Type="http://schemas.openxmlformats.org/officeDocument/2006/relationships/customXml"/>
<Relationship Id="rId24" Target="volatileDependencies.xml" Type="http://schemas.openxmlformats.org/officeDocument/2006/relationships/volatileDependencies"/>
<Relationship Id="rId25" Target="vbaProject.bin" Type="http://schemas.microsoft.com/office/2006/relationships/vbaProjec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activeX/_rels/activeX1.xml.rels><?xml version="1.0" encoding="UTF-8" standalone="yes"?>
<Relationships xmlns="http://schemas.openxmlformats.org/package/2006/relationships">
<Relationship Id="rId1" Target="activeX1.bin" Type="http://schemas.microsoft.com/office/2006/relationships/activeXControlBinary"/>
</Relationships>

</file>

<file path=xl/activeX/_rels/activeX2.xml.rels><?xml version="1.0" encoding="UTF-8" standalone="yes"?>
<Relationships xmlns="http://schemas.openxmlformats.org/package/2006/relationships">
<Relationship Id="rId1" Target="activeX2.bin" Type="http://schemas.microsoft.com/office/2006/relationships/activeXControlBinary"/>
</Relationships>

</file>

<file path=xl/activeX/_rels/activeX3.xml.rels><?xml version="1.0" encoding="UTF-8" standalone="yes"?>
<Relationships xmlns="http://schemas.openxmlformats.org/package/2006/relationships">
<Relationship Id="rId1" Target="activeX3.bin" Type="http://schemas.microsoft.com/office/2006/relationships/activeXControlBinary"/>
</Relationships>

</file>

<file path=xl/activeX/_rels/activeX4.xml.rels><?xml version="1.0" encoding="UTF-8" standalone="yes"?>
<Relationships xmlns="http://schemas.openxmlformats.org/package/2006/relationships">
<Relationship Id="rId1" Target="activeX4.bin" Type="http://schemas.microsoft.com/office/2006/relationships/activeXControlBinary"/>
</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131059245960501"/>
          <c:y val="8.0000120192488297E-2"/>
          <c:w val="0.59245960502692985"/>
          <c:h val="0.78461656342632713"/>
        </c:manualLayout>
      </c:layout>
      <c:scatterChart>
        <c:scatterStyle val="lineMarker"/>
        <c:varyColors val="0"/>
        <c:ser>
          <c:idx val="0"/>
          <c:order val="0"/>
          <c:spPr>
            <a:ln w="28575">
              <a:noFill/>
            </a:ln>
          </c:spPr>
          <c:marker>
            <c:symbol val="diamond"/>
            <c:size val="5"/>
            <c:spPr>
              <a:solidFill>
                <a:srgbClr val="000080"/>
              </a:solidFill>
              <a:ln>
                <a:solidFill>
                  <a:srgbClr val="000080"/>
                </a:solidFill>
                <a:prstDash val="solid"/>
              </a:ln>
            </c:spPr>
          </c:marker>
          <c:trendline>
            <c:spPr>
              <a:ln w="25400">
                <a:solidFill>
                  <a:srgbClr val="000000"/>
                </a:solidFill>
                <a:prstDash val="solid"/>
              </a:ln>
            </c:spPr>
            <c:trendlineType val="linear"/>
            <c:dispRSqr val="1"/>
            <c:dispEq val="1"/>
            <c:trendlineLbl>
              <c:layout>
                <c:manualLayout>
                  <c:x val="-0.21785568545403997"/>
                  <c:y val="-0.23036091257823541"/>
                </c:manualLayout>
              </c:layout>
              <c:numFmt formatCode="General" sourceLinked="0"/>
              <c:spPr>
                <a:noFill/>
                <a:ln w="25400">
                  <a:noFill/>
                </a:ln>
              </c:spPr>
              <c:txPr>
                <a:bodyPr/>
                <a:lstStyle/>
                <a:p>
                  <a:pPr>
                    <a:defRPr sz="925" b="0" i="0" u="none" strike="noStrike" baseline="0">
                      <a:solidFill>
                        <a:srgbClr val="000000"/>
                      </a:solidFill>
                      <a:latin typeface="Arial"/>
                      <a:ea typeface="Arial"/>
                      <a:cs typeface="Arial"/>
                    </a:defRPr>
                  </a:pPr>
                  <a:endParaRPr lang="en-US"/>
                </a:p>
              </c:txPr>
            </c:trendlineLbl>
          </c:trendline>
          <c:xVal>
            <c:numRef>
              <c:f>Fuel!$AT$5:$DA$5</c:f>
              <c:numCache>
                <c:formatCode>"$"#,##0.000</c:formatCode>
                <c:ptCount val="53"/>
                <c:pt idx="0">
                  <c:v>2.4923076923076923</c:v>
                </c:pt>
                <c:pt idx="1">
                  <c:v>2.6110000000000002</c:v>
                </c:pt>
                <c:pt idx="2">
                  <c:v>2.9111538461538453</c:v>
                </c:pt>
                <c:pt idx="3">
                  <c:v>2.7621538461538462</c:v>
                </c:pt>
                <c:pt idx="4">
                  <c:v>2.5416923076923079</c:v>
                </c:pt>
                <c:pt idx="5">
                  <c:v>2.6761538461538459</c:v>
                </c:pt>
                <c:pt idx="6">
                  <c:v>2.8275384615384618</c:v>
                </c:pt>
                <c:pt idx="7">
                  <c:v>2.9739999999999993</c:v>
                </c:pt>
                <c:pt idx="8">
                  <c:v>3.3473846153846156</c:v>
                </c:pt>
                <c:pt idx="9">
                  <c:v>3.788153846153846</c:v>
                </c:pt>
                <c:pt idx="10">
                  <c:v>4.6073846153846159</c:v>
                </c:pt>
                <c:pt idx="11">
                  <c:v>3.9716153846153848</c:v>
                </c:pt>
                <c:pt idx="12">
                  <c:v>2.5322307692307691</c:v>
                </c:pt>
                <c:pt idx="13">
                  <c:v>2.1630769230769227</c:v>
                </c:pt>
                <c:pt idx="14">
                  <c:v>2.4393846153846153</c:v>
                </c:pt>
                <c:pt idx="15">
                  <c:v>2.6431538461538464</c:v>
                </c:pt>
                <c:pt idx="16">
                  <c:v>2.7936923076923077</c:v>
                </c:pt>
                <c:pt idx="17">
                  <c:v>2.9190769230769238</c:v>
                </c:pt>
                <c:pt idx="18">
                  <c:v>2.983076923076923</c:v>
                </c:pt>
                <c:pt idx="19">
                  <c:v>2.9893571428571435</c:v>
                </c:pt>
                <c:pt idx="20">
                  <c:v>3.258666666666667</c:v>
                </c:pt>
                <c:pt idx="21">
                  <c:v>3.8191538461538461</c:v>
                </c:pt>
                <c:pt idx="22">
                  <c:v>3.9660000000000002</c:v>
                </c:pt>
                <c:pt idx="23">
                  <c:v>3.8230000000000004</c:v>
                </c:pt>
                <c:pt idx="24">
                  <c:v>3.8811538461538464</c:v>
                </c:pt>
                <c:pt idx="25">
                  <c:v>4.0685384615384628</c:v>
                </c:pt>
                <c:pt idx="26">
                  <c:v>3.8117692307692304</c:v>
                </c:pt>
                <c:pt idx="27">
                  <c:v>4.0676153846153849</c:v>
                </c:pt>
                <c:pt idx="28">
                  <c:v>3.9567692307692308</c:v>
                </c:pt>
                <c:pt idx="29">
                  <c:v>4.0279230769230772</c:v>
                </c:pt>
                <c:pt idx="30">
                  <c:v>3.8621538461538467</c:v>
                </c:pt>
                <c:pt idx="31">
                  <c:v>3.9200769230769228</c:v>
                </c:pt>
                <c:pt idx="32">
                  <c:v>3.9417307692307695</c:v>
                </c:pt>
                <c:pt idx="33">
                  <c:v>3.8720769230769232</c:v>
                </c:pt>
                <c:pt idx="34">
                  <c:v>3.9841538461538466</c:v>
                </c:pt>
                <c:pt idx="35">
                  <c:v>3.9104615384615378</c:v>
                </c:pt>
                <c:pt idx="36">
                  <c:v>3.7719999999999994</c:v>
                </c:pt>
                <c:pt idx="37">
                  <c:v>3.8846730769230771</c:v>
                </c:pt>
                <c:pt idx="38">
                  <c:v>3.3562307692307689</c:v>
                </c:pt>
                <c:pt idx="39">
                  <c:v>2.8496153846153849</c:v>
                </c:pt>
                <c:pt idx="40">
                  <c:v>2.8512307692307695</c:v>
                </c:pt>
                <c:pt idx="41">
                  <c:v>2.5439999999999996</c:v>
                </c:pt>
                <c:pt idx="42">
                  <c:v>2.900269230769231</c:v>
                </c:pt>
                <c:pt idx="43">
                  <c:v>2.3187692307692309</c:v>
                </c:pt>
                <c:pt idx="44">
                  <c:v>2.0736153846153846</c:v>
                </c:pt>
                <c:pt idx="45">
                  <c:v>2.3735000000000004</c:v>
                </c:pt>
                <c:pt idx="46">
                  <c:v>2.4041538461538461</c:v>
                </c:pt>
                <c:pt idx="47">
                  <c:v>2.2925096153846156</c:v>
                </c:pt>
                <c:pt idx="48">
                  <c:v>2.5148461538461535</c:v>
                </c:pt>
                <c:pt idx="49">
                  <c:v>2.5691538461538461</c:v>
                </c:pt>
                <c:pt idx="50">
                  <c:v>2.5186923076923078</c:v>
                </c:pt>
                <c:pt idx="51">
                  <c:v>2.73</c:v>
                </c:pt>
                <c:pt idx="52">
                  <c:v>2.5831730769230767</c:v>
                </c:pt>
              </c:numCache>
            </c:numRef>
          </c:xVal>
          <c:yVal>
            <c:numRef>
              <c:f>Fuel!$AT$14:$DA$14</c:f>
              <c:numCache>
                <c:formatCode>0.0%</c:formatCode>
                <c:ptCount val="53"/>
                <c:pt idx="0">
                  <c:v>5.3835448544629662E-2</c:v>
                </c:pt>
                <c:pt idx="1">
                  <c:v>6.215105157099006E-2</c:v>
                </c:pt>
                <c:pt idx="2">
                  <c:v>8.9701292403093186E-2</c:v>
                </c:pt>
                <c:pt idx="3">
                  <c:v>7.6863363294149403E-2</c:v>
                </c:pt>
                <c:pt idx="4">
                  <c:v>5.6476561245340999E-2</c:v>
                </c:pt>
                <c:pt idx="5">
                  <c:v>6.520451432189843E-2</c:v>
                </c:pt>
                <c:pt idx="6">
                  <c:v>7.9319884883457814E-2</c:v>
                </c:pt>
                <c:pt idx="7">
                  <c:v>8.9699024348328729E-2</c:v>
                </c:pt>
                <c:pt idx="8">
                  <c:v>0.12219873150105708</c:v>
                </c:pt>
                <c:pt idx="9">
                  <c:v>0.147118097541314</c:v>
                </c:pt>
                <c:pt idx="10">
                  <c:v>0.19431864965006176</c:v>
                </c:pt>
                <c:pt idx="11">
                  <c:v>0.14644905161005733</c:v>
                </c:pt>
                <c:pt idx="12">
                  <c:v>5.0505050505050504E-2</c:v>
                </c:pt>
                <c:pt idx="13">
                  <c:v>3.2524271844660196E-2</c:v>
                </c:pt>
                <c:pt idx="14">
                  <c:v>5.0495516753185463E-2</c:v>
                </c:pt>
                <c:pt idx="15">
                  <c:v>6.077606358111267E-2</c:v>
                </c:pt>
                <c:pt idx="16">
                  <c:v>6.2144420131291025E-2</c:v>
                </c:pt>
                <c:pt idx="17">
                  <c:v>6.0049019607843139E-2</c:v>
                </c:pt>
                <c:pt idx="18">
                  <c:v>5.9523809523809521E-2</c:v>
                </c:pt>
                <c:pt idx="19">
                  <c:v>5.536332179930796E-2</c:v>
                </c:pt>
                <c:pt idx="20">
                  <c:v>7.8744825020258494E-2</c:v>
                </c:pt>
                <c:pt idx="21">
                  <c:v>0.10987164142330302</c:v>
                </c:pt>
                <c:pt idx="22">
                  <c:v>0.11209887409125058</c:v>
                </c:pt>
                <c:pt idx="23">
                  <c:v>0.10332448585995532</c:v>
                </c:pt>
                <c:pt idx="24">
                  <c:v>0.10757006547131198</c:v>
                </c:pt>
                <c:pt idx="25">
                  <c:v>0.1143427936827873</c:v>
                </c:pt>
                <c:pt idx="26">
                  <c:v>0.10290945070065681</c:v>
                </c:pt>
                <c:pt idx="27">
                  <c:v>0.11422249824091031</c:v>
                </c:pt>
                <c:pt idx="28">
                  <c:v>0.10907674328009349</c:v>
                </c:pt>
                <c:pt idx="29">
                  <c:v>0.1124813153961136</c:v>
                </c:pt>
                <c:pt idx="30">
                  <c:v>0.10503236358721998</c:v>
                </c:pt>
                <c:pt idx="31">
                  <c:v>0.11035616139849644</c:v>
                </c:pt>
                <c:pt idx="32">
                  <c:v>0.10926641423836778</c:v>
                </c:pt>
                <c:pt idx="33">
                  <c:v>0.10800201370679564</c:v>
                </c:pt>
                <c:pt idx="34">
                  <c:v>0.11159125482632265</c:v>
                </c:pt>
                <c:pt idx="35">
                  <c:v>0.1081430479469177</c:v>
                </c:pt>
                <c:pt idx="36">
                  <c:v>0.10049276200213583</c:v>
                </c:pt>
                <c:pt idx="37">
                  <c:v>0.10704290718554056</c:v>
                </c:pt>
                <c:pt idx="38">
                  <c:v>7.1508798202920248E-2</c:v>
                </c:pt>
                <c:pt idx="39">
                  <c:v>4.7788873038516408E-2</c:v>
                </c:pt>
                <c:pt idx="40">
                  <c:v>4.6972477064220183E-2</c:v>
                </c:pt>
                <c:pt idx="41">
                  <c:v>3.3153430994602932E-2</c:v>
                </c:pt>
                <c:pt idx="42">
                  <c:v>4.9935149156939043E-2</c:v>
                </c:pt>
                <c:pt idx="43">
                  <c:v>2.091713596138375E-2</c:v>
                </c:pt>
                <c:pt idx="44">
                  <c:v>1.4002333722287048E-2</c:v>
                </c:pt>
                <c:pt idx="45">
                  <c:v>2.5311526479750778E-2</c:v>
                </c:pt>
                <c:pt idx="46">
                  <c:v>2.6694766420793818E-2</c:v>
                </c:pt>
                <c:pt idx="47">
                  <c:v>2.1867838044308634E-2</c:v>
                </c:pt>
                <c:pt idx="48">
                  <c:v>3.136531365313653E-2</c:v>
                </c:pt>
                <c:pt idx="49">
                  <c:v>3.273809523809524E-2</c:v>
                </c:pt>
                <c:pt idx="50">
                  <c:v>3.2358674463937621E-2</c:v>
                </c:pt>
                <c:pt idx="51">
                  <c:v>4.1981845688350984E-2</c:v>
                </c:pt>
                <c:pt idx="52">
                  <c:v>3.4599792589799186E-2</c:v>
                </c:pt>
              </c:numCache>
            </c:numRef>
          </c:yVal>
          <c:smooth val="0"/>
        </c:ser>
        <c:dLbls>
          <c:showLegendKey val="0"/>
          <c:showVal val="0"/>
          <c:showCatName val="0"/>
          <c:showSerName val="0"/>
          <c:showPercent val="0"/>
          <c:showBubbleSize val="0"/>
        </c:dLbls>
        <c:axId val="737833344"/>
        <c:axId val="737834880"/>
      </c:scatterChart>
      <c:valAx>
        <c:axId val="737833344"/>
        <c:scaling>
          <c:orientation val="minMax"/>
          <c:min val="2"/>
        </c:scaling>
        <c:delete val="0"/>
        <c:axPos val="b"/>
        <c:numFmt formatCode="\$#,##0" sourceLinked="0"/>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en-US"/>
          </a:p>
        </c:txPr>
        <c:crossAx val="737834880"/>
        <c:crosses val="autoZero"/>
        <c:crossBetween val="midCat"/>
      </c:valAx>
      <c:valAx>
        <c:axId val="737834880"/>
        <c:scaling>
          <c:orientation val="minMax"/>
        </c:scaling>
        <c:delete val="0"/>
        <c:axPos val="l"/>
        <c:numFmt formatCode="0%" sourceLinked="0"/>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en-US"/>
          </a:p>
        </c:txPr>
        <c:crossAx val="737833344"/>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cat>
            <c:numRef>
              <c:f>Fuel!$E$788:$E$891</c:f>
              <c:numCache>
                <c:formatCode>m/d/yy;@</c:formatCode>
                <c:ptCount val="104"/>
                <c:pt idx="0">
                  <c:v>42009</c:v>
                </c:pt>
                <c:pt idx="1">
                  <c:v>42016</c:v>
                </c:pt>
                <c:pt idx="2">
                  <c:v>42023</c:v>
                </c:pt>
                <c:pt idx="3">
                  <c:v>42030</c:v>
                </c:pt>
                <c:pt idx="4">
                  <c:v>42037</c:v>
                </c:pt>
                <c:pt idx="5">
                  <c:v>42044</c:v>
                </c:pt>
                <c:pt idx="6">
                  <c:v>42051</c:v>
                </c:pt>
                <c:pt idx="7">
                  <c:v>42058</c:v>
                </c:pt>
                <c:pt idx="8">
                  <c:v>42065</c:v>
                </c:pt>
                <c:pt idx="9">
                  <c:v>42072</c:v>
                </c:pt>
                <c:pt idx="10">
                  <c:v>42079</c:v>
                </c:pt>
                <c:pt idx="11">
                  <c:v>42086</c:v>
                </c:pt>
                <c:pt idx="12">
                  <c:v>42093</c:v>
                </c:pt>
                <c:pt idx="13">
                  <c:v>42100</c:v>
                </c:pt>
                <c:pt idx="14">
                  <c:v>42107</c:v>
                </c:pt>
                <c:pt idx="15">
                  <c:v>42114</c:v>
                </c:pt>
                <c:pt idx="16">
                  <c:v>42121</c:v>
                </c:pt>
                <c:pt idx="17">
                  <c:v>42128</c:v>
                </c:pt>
                <c:pt idx="18">
                  <c:v>42135</c:v>
                </c:pt>
                <c:pt idx="19">
                  <c:v>42142</c:v>
                </c:pt>
                <c:pt idx="20">
                  <c:v>42149</c:v>
                </c:pt>
                <c:pt idx="21">
                  <c:v>42156</c:v>
                </c:pt>
                <c:pt idx="22">
                  <c:v>42163</c:v>
                </c:pt>
                <c:pt idx="23">
                  <c:v>42170</c:v>
                </c:pt>
                <c:pt idx="24">
                  <c:v>42177</c:v>
                </c:pt>
                <c:pt idx="25">
                  <c:v>42184</c:v>
                </c:pt>
                <c:pt idx="26">
                  <c:v>42191</c:v>
                </c:pt>
                <c:pt idx="27">
                  <c:v>42198</c:v>
                </c:pt>
                <c:pt idx="28">
                  <c:v>42205</c:v>
                </c:pt>
                <c:pt idx="29">
                  <c:v>42212</c:v>
                </c:pt>
                <c:pt idx="30">
                  <c:v>42219</c:v>
                </c:pt>
                <c:pt idx="31">
                  <c:v>42226</c:v>
                </c:pt>
                <c:pt idx="32">
                  <c:v>42233</c:v>
                </c:pt>
                <c:pt idx="33">
                  <c:v>42240</c:v>
                </c:pt>
                <c:pt idx="34">
                  <c:v>42247</c:v>
                </c:pt>
                <c:pt idx="35">
                  <c:v>42254</c:v>
                </c:pt>
                <c:pt idx="36">
                  <c:v>42261</c:v>
                </c:pt>
                <c:pt idx="37">
                  <c:v>42268</c:v>
                </c:pt>
                <c:pt idx="38">
                  <c:v>42275</c:v>
                </c:pt>
                <c:pt idx="39">
                  <c:v>42282</c:v>
                </c:pt>
                <c:pt idx="40">
                  <c:v>42289</c:v>
                </c:pt>
                <c:pt idx="41">
                  <c:v>42296</c:v>
                </c:pt>
                <c:pt idx="42">
                  <c:v>42303</c:v>
                </c:pt>
                <c:pt idx="43">
                  <c:v>42310</c:v>
                </c:pt>
                <c:pt idx="44">
                  <c:v>42317</c:v>
                </c:pt>
                <c:pt idx="45">
                  <c:v>42324</c:v>
                </c:pt>
                <c:pt idx="46">
                  <c:v>42331</c:v>
                </c:pt>
                <c:pt idx="47">
                  <c:v>42338</c:v>
                </c:pt>
                <c:pt idx="48">
                  <c:v>42345</c:v>
                </c:pt>
                <c:pt idx="49">
                  <c:v>42352</c:v>
                </c:pt>
                <c:pt idx="50">
                  <c:v>42359</c:v>
                </c:pt>
                <c:pt idx="51">
                  <c:v>42366</c:v>
                </c:pt>
                <c:pt idx="52">
                  <c:v>42373</c:v>
                </c:pt>
                <c:pt idx="53">
                  <c:v>42380</c:v>
                </c:pt>
                <c:pt idx="54">
                  <c:v>42387</c:v>
                </c:pt>
                <c:pt idx="55">
                  <c:v>42394</c:v>
                </c:pt>
                <c:pt idx="56">
                  <c:v>42401</c:v>
                </c:pt>
                <c:pt idx="57">
                  <c:v>42408</c:v>
                </c:pt>
                <c:pt idx="58">
                  <c:v>42415</c:v>
                </c:pt>
                <c:pt idx="59">
                  <c:v>42422</c:v>
                </c:pt>
                <c:pt idx="60">
                  <c:v>42429</c:v>
                </c:pt>
                <c:pt idx="61">
                  <c:v>42436</c:v>
                </c:pt>
                <c:pt idx="62">
                  <c:v>42443</c:v>
                </c:pt>
                <c:pt idx="63">
                  <c:v>42450</c:v>
                </c:pt>
                <c:pt idx="64">
                  <c:v>42457</c:v>
                </c:pt>
                <c:pt idx="65">
                  <c:v>42464</c:v>
                </c:pt>
                <c:pt idx="66">
                  <c:v>42471</c:v>
                </c:pt>
                <c:pt idx="67">
                  <c:v>42478</c:v>
                </c:pt>
                <c:pt idx="68">
                  <c:v>42485</c:v>
                </c:pt>
                <c:pt idx="69">
                  <c:v>42492</c:v>
                </c:pt>
                <c:pt idx="70">
                  <c:v>42499</c:v>
                </c:pt>
                <c:pt idx="71">
                  <c:v>42506</c:v>
                </c:pt>
                <c:pt idx="72">
                  <c:v>42513</c:v>
                </c:pt>
                <c:pt idx="73">
                  <c:v>42520</c:v>
                </c:pt>
                <c:pt idx="74">
                  <c:v>42527</c:v>
                </c:pt>
                <c:pt idx="75">
                  <c:v>42534</c:v>
                </c:pt>
                <c:pt idx="76">
                  <c:v>42541</c:v>
                </c:pt>
                <c:pt idx="77">
                  <c:v>42548</c:v>
                </c:pt>
                <c:pt idx="78">
                  <c:v>42555</c:v>
                </c:pt>
                <c:pt idx="79">
                  <c:v>42562</c:v>
                </c:pt>
                <c:pt idx="80">
                  <c:v>42569</c:v>
                </c:pt>
                <c:pt idx="81">
                  <c:v>42576</c:v>
                </c:pt>
                <c:pt idx="82">
                  <c:v>42583</c:v>
                </c:pt>
                <c:pt idx="83">
                  <c:v>42590</c:v>
                </c:pt>
                <c:pt idx="84">
                  <c:v>42597</c:v>
                </c:pt>
                <c:pt idx="85">
                  <c:v>42604</c:v>
                </c:pt>
                <c:pt idx="86">
                  <c:v>42611</c:v>
                </c:pt>
                <c:pt idx="87">
                  <c:v>42618</c:v>
                </c:pt>
                <c:pt idx="88">
                  <c:v>42625</c:v>
                </c:pt>
                <c:pt idx="89">
                  <c:v>42632</c:v>
                </c:pt>
                <c:pt idx="90">
                  <c:v>42639</c:v>
                </c:pt>
                <c:pt idx="91">
                  <c:v>42646</c:v>
                </c:pt>
                <c:pt idx="92">
                  <c:v>42653</c:v>
                </c:pt>
                <c:pt idx="93">
                  <c:v>42660</c:v>
                </c:pt>
                <c:pt idx="94">
                  <c:v>42667</c:v>
                </c:pt>
                <c:pt idx="95">
                  <c:v>42674</c:v>
                </c:pt>
                <c:pt idx="96">
                  <c:v>42681</c:v>
                </c:pt>
                <c:pt idx="97">
                  <c:v>42688</c:v>
                </c:pt>
                <c:pt idx="98">
                  <c:v>42695</c:v>
                </c:pt>
                <c:pt idx="99">
                  <c:v>42702</c:v>
                </c:pt>
                <c:pt idx="100">
                  <c:v>42709</c:v>
                </c:pt>
                <c:pt idx="101">
                  <c:v>42716</c:v>
                </c:pt>
                <c:pt idx="102">
                  <c:v>42723</c:v>
                </c:pt>
                <c:pt idx="103">
                  <c:v>42730</c:v>
                </c:pt>
              </c:numCache>
            </c:numRef>
          </c:cat>
          <c:val>
            <c:numRef>
              <c:f>Fuel!$F$788:$F$891</c:f>
              <c:numCache>
                <c:formatCode>0.000</c:formatCode>
                <c:ptCount val="104"/>
                <c:pt idx="0">
                  <c:v>3.137</c:v>
                </c:pt>
                <c:pt idx="1">
                  <c:v>3.0529999999999999</c:v>
                </c:pt>
                <c:pt idx="2">
                  <c:v>2.9329999999999998</c:v>
                </c:pt>
                <c:pt idx="3">
                  <c:v>2.8660000000000001</c:v>
                </c:pt>
                <c:pt idx="4">
                  <c:v>2.831</c:v>
                </c:pt>
                <c:pt idx="5">
                  <c:v>2.835</c:v>
                </c:pt>
                <c:pt idx="6">
                  <c:v>2.8650000000000002</c:v>
                </c:pt>
                <c:pt idx="7">
                  <c:v>2.9</c:v>
                </c:pt>
                <c:pt idx="8">
                  <c:v>2.9359999999999999</c:v>
                </c:pt>
                <c:pt idx="9">
                  <c:v>2.944</c:v>
                </c:pt>
                <c:pt idx="10">
                  <c:v>2.9169999999999998</c:v>
                </c:pt>
                <c:pt idx="11">
                  <c:v>2.8639999999999999</c:v>
                </c:pt>
                <c:pt idx="12">
                  <c:v>2.8239999999999998</c:v>
                </c:pt>
                <c:pt idx="13">
                  <c:v>2.7839999999999998</c:v>
                </c:pt>
                <c:pt idx="14">
                  <c:v>2.754</c:v>
                </c:pt>
                <c:pt idx="15">
                  <c:v>2.78</c:v>
                </c:pt>
                <c:pt idx="16">
                  <c:v>2.8109999999999999</c:v>
                </c:pt>
                <c:pt idx="17">
                  <c:v>2.8540000000000001</c:v>
                </c:pt>
                <c:pt idx="18">
                  <c:v>2.8780000000000001</c:v>
                </c:pt>
                <c:pt idx="19">
                  <c:v>2.9039999999999999</c:v>
                </c:pt>
                <c:pt idx="20">
                  <c:v>2.9140000000000001</c:v>
                </c:pt>
                <c:pt idx="21">
                  <c:v>2.9089999999999998</c:v>
                </c:pt>
                <c:pt idx="22">
                  <c:v>2.8839999999999999</c:v>
                </c:pt>
                <c:pt idx="23">
                  <c:v>2.87</c:v>
                </c:pt>
                <c:pt idx="24">
                  <c:v>2.859</c:v>
                </c:pt>
                <c:pt idx="25">
                  <c:v>2.843</c:v>
                </c:pt>
                <c:pt idx="26">
                  <c:v>2.8319999999999999</c:v>
                </c:pt>
                <c:pt idx="27">
                  <c:v>2.8140000000000001</c:v>
                </c:pt>
                <c:pt idx="28">
                  <c:v>2.782</c:v>
                </c:pt>
                <c:pt idx="29">
                  <c:v>2.7229999999999999</c:v>
                </c:pt>
                <c:pt idx="30">
                  <c:v>2.6680000000000001</c:v>
                </c:pt>
                <c:pt idx="31">
                  <c:v>2.617</c:v>
                </c:pt>
                <c:pt idx="32">
                  <c:v>2.6150000000000002</c:v>
                </c:pt>
                <c:pt idx="33">
                  <c:v>2.5609999999999999</c:v>
                </c:pt>
                <c:pt idx="34">
                  <c:v>2.5139999999999998</c:v>
                </c:pt>
                <c:pt idx="35">
                  <c:v>2.5339999999999998</c:v>
                </c:pt>
                <c:pt idx="36">
                  <c:v>2.5169999999999999</c:v>
                </c:pt>
                <c:pt idx="37">
                  <c:v>2.4929999999999999</c:v>
                </c:pt>
                <c:pt idx="38">
                  <c:v>2.476</c:v>
                </c:pt>
                <c:pt idx="39">
                  <c:v>2.492</c:v>
                </c:pt>
                <c:pt idx="40">
                  <c:v>2.556</c:v>
                </c:pt>
                <c:pt idx="41">
                  <c:v>2.5310000000000001</c:v>
                </c:pt>
                <c:pt idx="42">
                  <c:v>2.4980000000000002</c:v>
                </c:pt>
                <c:pt idx="43">
                  <c:v>2.4849999999999999</c:v>
                </c:pt>
                <c:pt idx="44">
                  <c:v>2.5019999999999998</c:v>
                </c:pt>
                <c:pt idx="45">
                  <c:v>2.4820000000000002</c:v>
                </c:pt>
                <c:pt idx="46">
                  <c:v>2.4449999999999998</c:v>
                </c:pt>
                <c:pt idx="47">
                  <c:v>2.4209999999999998</c:v>
                </c:pt>
                <c:pt idx="48">
                  <c:v>2.379</c:v>
                </c:pt>
                <c:pt idx="49">
                  <c:v>2.3380000000000001</c:v>
                </c:pt>
                <c:pt idx="50">
                  <c:v>2.2839999999999998</c:v>
                </c:pt>
                <c:pt idx="51">
                  <c:v>2.2370000000000001</c:v>
                </c:pt>
                <c:pt idx="52">
                  <c:v>2.2109999999999999</c:v>
                </c:pt>
                <c:pt idx="53">
                  <c:v>2.177</c:v>
                </c:pt>
                <c:pt idx="54">
                  <c:v>2.1120000000000001</c:v>
                </c:pt>
                <c:pt idx="55">
                  <c:v>2.0710000000000002</c:v>
                </c:pt>
                <c:pt idx="56">
                  <c:v>2.0310000000000001</c:v>
                </c:pt>
                <c:pt idx="57">
                  <c:v>2.008</c:v>
                </c:pt>
                <c:pt idx="58">
                  <c:v>1.98</c:v>
                </c:pt>
                <c:pt idx="59">
                  <c:v>1.9830000000000001</c:v>
                </c:pt>
                <c:pt idx="60">
                  <c:v>1.9890000000000001</c:v>
                </c:pt>
                <c:pt idx="61">
                  <c:v>2.0209999999999999</c:v>
                </c:pt>
                <c:pt idx="62">
                  <c:v>2.0990000000000002</c:v>
                </c:pt>
                <c:pt idx="63">
                  <c:v>2.1190000000000002</c:v>
                </c:pt>
                <c:pt idx="64">
                  <c:v>2.121</c:v>
                </c:pt>
                <c:pt idx="65">
                  <c:v>2.1150000000000002</c:v>
                </c:pt>
                <c:pt idx="66">
                  <c:v>2.1280000000000001</c:v>
                </c:pt>
                <c:pt idx="67">
                  <c:v>2.165</c:v>
                </c:pt>
                <c:pt idx="68">
                  <c:v>2.198</c:v>
                </c:pt>
                <c:pt idx="69">
                  <c:v>2.266</c:v>
                </c:pt>
                <c:pt idx="70">
                  <c:v>2.2709999999999999</c:v>
                </c:pt>
                <c:pt idx="71">
                  <c:v>2.2970000000000002</c:v>
                </c:pt>
                <c:pt idx="72">
                  <c:v>2.3570000000000002</c:v>
                </c:pt>
                <c:pt idx="73">
                  <c:v>2.3820000000000001</c:v>
                </c:pt>
                <c:pt idx="74">
                  <c:v>2.407</c:v>
                </c:pt>
                <c:pt idx="75">
                  <c:v>2.431</c:v>
                </c:pt>
                <c:pt idx="76">
                  <c:v>2.4260000000000002</c:v>
                </c:pt>
                <c:pt idx="77">
                  <c:v>2.4260000000000002</c:v>
                </c:pt>
                <c:pt idx="78">
                  <c:v>2.423</c:v>
                </c:pt>
                <c:pt idx="79">
                  <c:v>2.4140000000000001</c:v>
                </c:pt>
                <c:pt idx="80">
                  <c:v>2.4020000000000001</c:v>
                </c:pt>
                <c:pt idx="81">
                  <c:v>2.379</c:v>
                </c:pt>
                <c:pt idx="82">
                  <c:v>2.3479999999999999</c:v>
                </c:pt>
                <c:pt idx="83">
                  <c:v>2.3159999999999998</c:v>
                </c:pt>
                <c:pt idx="84">
                  <c:v>2.31</c:v>
                </c:pt>
                <c:pt idx="85">
                  <c:v>2.37</c:v>
                </c:pt>
                <c:pt idx="86">
                  <c:v>2.4089999999999998</c:v>
                </c:pt>
                <c:pt idx="87">
                  <c:v>2.407</c:v>
                </c:pt>
                <c:pt idx="88">
                  <c:v>2.399</c:v>
                </c:pt>
                <c:pt idx="89">
                  <c:v>2.3889999999999998</c:v>
                </c:pt>
                <c:pt idx="90">
                  <c:v>2.3820000000000001</c:v>
                </c:pt>
                <c:pt idx="91">
                  <c:v>2.3889999999999998</c:v>
                </c:pt>
                <c:pt idx="92">
                  <c:v>2.4449999999999998</c:v>
                </c:pt>
                <c:pt idx="93">
                  <c:v>2.4809999999999999</c:v>
                </c:pt>
                <c:pt idx="94">
                  <c:v>2.4780000000000002</c:v>
                </c:pt>
                <c:pt idx="95">
                  <c:v>2.4790000000000001</c:v>
                </c:pt>
                <c:pt idx="96">
                  <c:v>2.4700000000000002</c:v>
                </c:pt>
                <c:pt idx="97">
                  <c:v>2.4430000000000001</c:v>
                </c:pt>
                <c:pt idx="98">
                  <c:v>2.4209999999999998</c:v>
                </c:pt>
                <c:pt idx="99">
                  <c:v>2.42</c:v>
                </c:pt>
                <c:pt idx="100">
                  <c:v>2.48</c:v>
                </c:pt>
                <c:pt idx="101">
                  <c:v>2.4929999999999999</c:v>
                </c:pt>
                <c:pt idx="102">
                  <c:v>2.5270000000000001</c:v>
                </c:pt>
                <c:pt idx="103">
                  <c:v>2.54</c:v>
                </c:pt>
              </c:numCache>
            </c:numRef>
          </c:val>
          <c:smooth val="0"/>
        </c:ser>
        <c:dLbls>
          <c:showLegendKey val="0"/>
          <c:showVal val="0"/>
          <c:showCatName val="0"/>
          <c:showSerName val="0"/>
          <c:showPercent val="0"/>
          <c:showBubbleSize val="0"/>
        </c:dLbls>
        <c:marker val="1"/>
        <c:smooth val="0"/>
        <c:axId val="753300608"/>
        <c:axId val="753302144"/>
      </c:lineChart>
      <c:dateAx>
        <c:axId val="753300608"/>
        <c:scaling>
          <c:orientation val="minMax"/>
        </c:scaling>
        <c:delete val="0"/>
        <c:axPos val="b"/>
        <c:numFmt formatCode="m/d/yy;@" sourceLinked="0"/>
        <c:majorTickMark val="out"/>
        <c:minorTickMark val="none"/>
        <c:tickLblPos val="nextTo"/>
        <c:txPr>
          <a:bodyPr rot="-2700000" vert="horz"/>
          <a:lstStyle/>
          <a:p>
            <a:pPr>
              <a:defRPr sz="1000" b="0" i="0" u="none" strike="noStrike" baseline="0">
                <a:solidFill>
                  <a:srgbClr val="000000"/>
                </a:solidFill>
                <a:latin typeface="Calibri"/>
                <a:ea typeface="Calibri"/>
                <a:cs typeface="Calibri"/>
              </a:defRPr>
            </a:pPr>
            <a:endParaRPr lang="en-US"/>
          </a:p>
        </c:txPr>
        <c:crossAx val="753302144"/>
        <c:crosses val="autoZero"/>
        <c:auto val="1"/>
        <c:lblOffset val="100"/>
        <c:baseTimeUnit val="days"/>
      </c:dateAx>
      <c:valAx>
        <c:axId val="753302144"/>
        <c:scaling>
          <c:orientation val="minMax"/>
          <c:max val="3.2"/>
          <c:min val="1.8"/>
        </c:scaling>
        <c:delete val="0"/>
        <c:axPos val="l"/>
        <c:majorGridlines/>
        <c:numFmt formatCode="0.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753300608"/>
        <c:crosses val="autoZero"/>
        <c:crossBetween val="between"/>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808080"/>
                </a:solidFill>
                <a:latin typeface="Arial"/>
                <a:ea typeface="Arial"/>
                <a:cs typeface="Arial"/>
              </a:defRPr>
            </a:pPr>
            <a:r>
              <a:rPr lang="en-US"/>
              <a:t>Plan Asset Allocation(%)</a:t>
            </a:r>
          </a:p>
        </c:rich>
      </c:tx>
      <c:layout>
        <c:manualLayout>
          <c:xMode val="edge"/>
          <c:yMode val="edge"/>
          <c:x val="0.27508192543893178"/>
          <c:y val="2.1186440677966101E-2"/>
        </c:manualLayout>
      </c:layout>
      <c:overlay val="0"/>
      <c:spPr>
        <a:noFill/>
        <a:ln w="25400">
          <a:noFill/>
        </a:ln>
      </c:spPr>
    </c:title>
    <c:autoTitleDeleted val="0"/>
    <c:plotArea>
      <c:layout>
        <c:manualLayout>
          <c:layoutTarget val="inner"/>
          <c:xMode val="edge"/>
          <c:yMode val="edge"/>
          <c:x val="0.17475783385743407"/>
          <c:y val="0.15677966101694915"/>
          <c:w val="0.77993773999336313"/>
          <c:h val="0.51271186440677963"/>
        </c:manualLayout>
      </c:layout>
      <c:barChart>
        <c:barDir val="col"/>
        <c:grouping val="percentStacked"/>
        <c:varyColors val="0"/>
        <c:ser>
          <c:idx val="0"/>
          <c:order val="0"/>
          <c:tx>
            <c:strRef>
              <c:f>Pension!$CC$27</c:f>
              <c:strCache>
                <c:ptCount val="1"/>
                <c:pt idx="0">
                  <c:v>   Equity</c:v>
                </c:pt>
              </c:strCache>
            </c:strRef>
          </c:tx>
          <c:spPr>
            <a:solidFill>
              <a:srgbClr val="4091BF"/>
            </a:solidFill>
            <a:ln w="25400">
              <a:noFill/>
            </a:ln>
          </c:spPr>
          <c:invertIfNegative val="0"/>
          <c:cat>
            <c:numRef>
              <c:f>Pension!$CD$26:$CG$26</c:f>
              <c:numCache>
                <c:formatCode>General</c:formatCode>
                <c:ptCount val="4"/>
                <c:pt idx="0">
                  <c:v>2013</c:v>
                </c:pt>
                <c:pt idx="1">
                  <c:v>2014</c:v>
                </c:pt>
                <c:pt idx="2">
                  <c:v>2015</c:v>
                </c:pt>
                <c:pt idx="3">
                  <c:v>2016</c:v>
                </c:pt>
              </c:numCache>
            </c:numRef>
          </c:cat>
          <c:val>
            <c:numRef>
              <c:f>Pension!$CD$27:$CG$27</c:f>
              <c:numCache>
                <c:formatCode>0%</c:formatCode>
                <c:ptCount val="4"/>
                <c:pt idx="0">
                  <c:v>0.65</c:v>
                </c:pt>
                <c:pt idx="1">
                  <c:v>0.68</c:v>
                </c:pt>
                <c:pt idx="2">
                  <c:v>0.7</c:v>
                </c:pt>
                <c:pt idx="3">
                  <c:v>0.71</c:v>
                </c:pt>
              </c:numCache>
            </c:numRef>
          </c:val>
        </c:ser>
        <c:ser>
          <c:idx val="1"/>
          <c:order val="1"/>
          <c:tx>
            <c:strRef>
              <c:f>Pension!$CC$28</c:f>
              <c:strCache>
                <c:ptCount val="1"/>
                <c:pt idx="0">
                  <c:v>   Fixed Income</c:v>
                </c:pt>
              </c:strCache>
            </c:strRef>
          </c:tx>
          <c:spPr>
            <a:solidFill>
              <a:srgbClr val="ECD7B2"/>
            </a:solidFill>
            <a:ln w="25400">
              <a:noFill/>
            </a:ln>
          </c:spPr>
          <c:invertIfNegative val="0"/>
          <c:cat>
            <c:numRef>
              <c:f>Pension!$CD$26:$CG$26</c:f>
              <c:numCache>
                <c:formatCode>General</c:formatCode>
                <c:ptCount val="4"/>
                <c:pt idx="0">
                  <c:v>2013</c:v>
                </c:pt>
                <c:pt idx="1">
                  <c:v>2014</c:v>
                </c:pt>
                <c:pt idx="2">
                  <c:v>2015</c:v>
                </c:pt>
                <c:pt idx="3">
                  <c:v>2016</c:v>
                </c:pt>
              </c:numCache>
            </c:numRef>
          </c:cat>
          <c:val>
            <c:numRef>
              <c:f>Pension!$CD$28:$CG$28</c:f>
              <c:numCache>
                <c:formatCode>0%</c:formatCode>
                <c:ptCount val="4"/>
                <c:pt idx="0">
                  <c:v>0.32</c:v>
                </c:pt>
                <c:pt idx="1">
                  <c:v>0.3</c:v>
                </c:pt>
                <c:pt idx="2">
                  <c:v>0.28000000000000003</c:v>
                </c:pt>
                <c:pt idx="3">
                  <c:v>0.26</c:v>
                </c:pt>
              </c:numCache>
            </c:numRef>
          </c:val>
        </c:ser>
        <c:ser>
          <c:idx val="2"/>
          <c:order val="2"/>
          <c:tx>
            <c:strRef>
              <c:f>Pension!$CC$29</c:f>
              <c:strCache>
                <c:ptCount val="1"/>
                <c:pt idx="0">
                  <c:v>   Real Estate</c:v>
                </c:pt>
              </c:strCache>
            </c:strRef>
          </c:tx>
          <c:spPr>
            <a:solidFill>
              <a:srgbClr val="74BE74"/>
            </a:solidFill>
            <a:ln w="25400">
              <a:noFill/>
            </a:ln>
          </c:spPr>
          <c:invertIfNegative val="0"/>
          <c:cat>
            <c:numRef>
              <c:f>Pension!$CD$26:$CG$26</c:f>
              <c:numCache>
                <c:formatCode>General</c:formatCode>
                <c:ptCount val="4"/>
                <c:pt idx="0">
                  <c:v>2013</c:v>
                </c:pt>
                <c:pt idx="1">
                  <c:v>2014</c:v>
                </c:pt>
                <c:pt idx="2">
                  <c:v>2015</c:v>
                </c:pt>
                <c:pt idx="3">
                  <c:v>2016</c:v>
                </c:pt>
              </c:numCache>
            </c:numRef>
          </c:cat>
          <c:val>
            <c:numRef>
              <c:f>Pension!$CD$29:$CG$29</c:f>
              <c:numCache>
                <c:formatCode>0%</c:formatCode>
                <c:ptCount val="4"/>
                <c:pt idx="0">
                  <c:v>0</c:v>
                </c:pt>
                <c:pt idx="1">
                  <c:v>0</c:v>
                </c:pt>
                <c:pt idx="2">
                  <c:v>0</c:v>
                </c:pt>
                <c:pt idx="3">
                  <c:v>0</c:v>
                </c:pt>
              </c:numCache>
            </c:numRef>
          </c:val>
        </c:ser>
        <c:ser>
          <c:idx val="3"/>
          <c:order val="3"/>
          <c:tx>
            <c:strRef>
              <c:f>Pension!$CC$30</c:f>
              <c:strCache>
                <c:ptCount val="1"/>
                <c:pt idx="0">
                  <c:v>   Other</c:v>
                </c:pt>
              </c:strCache>
            </c:strRef>
          </c:tx>
          <c:spPr>
            <a:solidFill>
              <a:srgbClr val="C6D9E2"/>
            </a:solidFill>
            <a:ln w="25400">
              <a:noFill/>
            </a:ln>
          </c:spPr>
          <c:invertIfNegative val="0"/>
          <c:cat>
            <c:numRef>
              <c:f>Pension!$CD$26:$CG$26</c:f>
              <c:numCache>
                <c:formatCode>General</c:formatCode>
                <c:ptCount val="4"/>
                <c:pt idx="0">
                  <c:v>2013</c:v>
                </c:pt>
                <c:pt idx="1">
                  <c:v>2014</c:v>
                </c:pt>
                <c:pt idx="2">
                  <c:v>2015</c:v>
                </c:pt>
                <c:pt idx="3">
                  <c:v>2016</c:v>
                </c:pt>
              </c:numCache>
            </c:numRef>
          </c:cat>
          <c:val>
            <c:numRef>
              <c:f>Pension!$CD$30:$CG$30</c:f>
              <c:numCache>
                <c:formatCode>0%</c:formatCode>
                <c:ptCount val="4"/>
                <c:pt idx="0">
                  <c:v>0.03</c:v>
                </c:pt>
                <c:pt idx="1">
                  <c:v>0.02</c:v>
                </c:pt>
                <c:pt idx="2">
                  <c:v>0.02</c:v>
                </c:pt>
                <c:pt idx="3">
                  <c:v>0.03</c:v>
                </c:pt>
              </c:numCache>
            </c:numRef>
          </c:val>
        </c:ser>
        <c:dLbls>
          <c:showLegendKey val="0"/>
          <c:showVal val="0"/>
          <c:showCatName val="0"/>
          <c:showSerName val="0"/>
          <c:showPercent val="0"/>
          <c:showBubbleSize val="0"/>
        </c:dLbls>
        <c:gapWidth val="150"/>
        <c:overlap val="100"/>
        <c:axId val="753412736"/>
        <c:axId val="753414528"/>
      </c:barChart>
      <c:catAx>
        <c:axId val="753412736"/>
        <c:scaling>
          <c:orientation val="minMax"/>
        </c:scaling>
        <c:delete val="0"/>
        <c:axPos val="b"/>
        <c:numFmt formatCode="General" sourceLinked="1"/>
        <c:majorTickMark val="out"/>
        <c:minorTickMark val="none"/>
        <c:tickLblPos val="nextTo"/>
        <c:spPr>
          <a:ln w="9525">
            <a:noFill/>
          </a:ln>
        </c:spPr>
        <c:txPr>
          <a:bodyPr rot="0" vert="horz"/>
          <a:lstStyle/>
          <a:p>
            <a:pPr>
              <a:defRPr sz="800" b="1" i="0" u="none" strike="noStrike" baseline="0">
                <a:solidFill>
                  <a:srgbClr val="808080"/>
                </a:solidFill>
                <a:latin typeface="Arial"/>
                <a:ea typeface="Arial"/>
                <a:cs typeface="Arial"/>
              </a:defRPr>
            </a:pPr>
            <a:endParaRPr lang="en-US"/>
          </a:p>
        </c:txPr>
        <c:crossAx val="753414528"/>
        <c:crosses val="autoZero"/>
        <c:auto val="1"/>
        <c:lblAlgn val="ctr"/>
        <c:lblOffset val="100"/>
        <c:tickLblSkip val="1"/>
        <c:tickMarkSkip val="1"/>
        <c:noMultiLvlLbl val="0"/>
      </c:catAx>
      <c:valAx>
        <c:axId val="753414528"/>
        <c:scaling>
          <c:orientation val="minMax"/>
        </c:scaling>
        <c:delete val="0"/>
        <c:axPos val="l"/>
        <c:majorGridlines>
          <c:spPr>
            <a:ln w="3175">
              <a:solidFill>
                <a:srgbClr val="C0C0C0"/>
              </a:solidFill>
              <a:prstDash val="solid"/>
            </a:ln>
          </c:spPr>
        </c:majorGridlines>
        <c:numFmt formatCode="0%" sourceLinked="1"/>
        <c:majorTickMark val="out"/>
        <c:minorTickMark val="none"/>
        <c:tickLblPos val="nextTo"/>
        <c:spPr>
          <a:ln w="9525">
            <a:noFill/>
          </a:ln>
        </c:spPr>
        <c:txPr>
          <a:bodyPr rot="0" vert="horz"/>
          <a:lstStyle/>
          <a:p>
            <a:pPr>
              <a:defRPr sz="800" b="1" i="0" u="none" strike="noStrike" baseline="0">
                <a:solidFill>
                  <a:srgbClr val="808080"/>
                </a:solidFill>
                <a:latin typeface="Arial"/>
                <a:ea typeface="Arial"/>
                <a:cs typeface="Arial"/>
              </a:defRPr>
            </a:pPr>
            <a:endParaRPr lang="en-US"/>
          </a:p>
        </c:txPr>
        <c:crossAx val="753412736"/>
        <c:crosses val="autoZero"/>
        <c:crossBetween val="between"/>
      </c:valAx>
      <c:spPr>
        <a:noFill/>
        <a:ln w="25400">
          <a:noFill/>
        </a:ln>
      </c:spPr>
    </c:plotArea>
    <c:legend>
      <c:legendPos val="b"/>
      <c:layout>
        <c:manualLayout>
          <c:xMode val="edge"/>
          <c:yMode val="edge"/>
          <c:x val="4.2071197411003236E-2"/>
          <c:y val="0.81779661016949157"/>
          <c:w val="0.91586066304818692"/>
          <c:h val="0.16949152542372881"/>
        </c:manualLayout>
      </c:layout>
      <c:overlay val="0"/>
      <c:spPr>
        <a:solidFill>
          <a:srgbClr val="FFFFFF"/>
        </a:solidFill>
        <a:ln w="25400">
          <a:noFill/>
        </a:ln>
      </c:spPr>
      <c:txPr>
        <a:bodyPr/>
        <a:lstStyle/>
        <a:p>
          <a:pPr>
            <a:defRPr sz="675" b="1" i="0" u="none" strike="noStrike" baseline="0">
              <a:solidFill>
                <a:srgbClr val="808080"/>
              </a:solidFill>
              <a:latin typeface="Arial"/>
              <a:ea typeface="Arial"/>
              <a:cs typeface="Arial"/>
            </a:defRPr>
          </a:pPr>
          <a:endParaRPr lang="en-US"/>
        </a:p>
      </c:txPr>
    </c:legend>
    <c:plotVisOnly val="1"/>
    <c:dispBlanksAs val="gap"/>
    <c:showDLblsOverMax val="0"/>
  </c:chart>
  <c:spPr>
    <a:solidFill>
      <a:srgbClr val="FFFFFF"/>
    </a:solidFill>
    <a:ln w="3175">
      <a:solidFill>
        <a:srgbClr val="C0C0C0"/>
      </a:solidFill>
      <a:prstDash val="solid"/>
    </a:ln>
  </c:spPr>
  <c:txPr>
    <a:bodyPr/>
    <a:lstStyle/>
    <a:p>
      <a:pPr>
        <a:defRPr sz="5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808080"/>
                </a:solidFill>
                <a:latin typeface="Arial"/>
                <a:ea typeface="Arial"/>
                <a:cs typeface="Arial"/>
              </a:defRPr>
            </a:pPr>
            <a:r>
              <a:rPr lang="en-US"/>
              <a:t>Pension Funded Status</a:t>
            </a:r>
          </a:p>
        </c:rich>
      </c:tx>
      <c:layout>
        <c:manualLayout>
          <c:xMode val="edge"/>
          <c:yMode val="edge"/>
          <c:x val="0.29032291931250526"/>
          <c:y val="2.2026431718061675E-2"/>
        </c:manualLayout>
      </c:layout>
      <c:overlay val="0"/>
      <c:spPr>
        <a:noFill/>
        <a:ln w="25400">
          <a:noFill/>
        </a:ln>
      </c:spPr>
    </c:title>
    <c:autoTitleDeleted val="0"/>
    <c:plotArea>
      <c:layout>
        <c:manualLayout>
          <c:layoutTarget val="inner"/>
          <c:xMode val="edge"/>
          <c:yMode val="edge"/>
          <c:x val="0.11612921517328499"/>
          <c:y val="0.1762114537444934"/>
          <c:w val="0.72258178330043987"/>
          <c:h val="0.54625550660792954"/>
        </c:manualLayout>
      </c:layout>
      <c:barChart>
        <c:barDir val="col"/>
        <c:grouping val="clustered"/>
        <c:varyColors val="0"/>
        <c:ser>
          <c:idx val="1"/>
          <c:order val="0"/>
          <c:tx>
            <c:v>Funded Status(%)</c:v>
          </c:tx>
          <c:spPr>
            <a:solidFill>
              <a:srgbClr val="4091BF"/>
            </a:solidFill>
            <a:ln w="25400">
              <a:noFill/>
            </a:ln>
          </c:spPr>
          <c:invertIfNegative val="0"/>
          <c:dLbls>
            <c:numFmt formatCode="0%" sourceLinked="0"/>
            <c:spPr>
              <a:noFill/>
              <a:ln w="25400">
                <a:noFill/>
              </a:ln>
            </c:spPr>
            <c:txPr>
              <a:bodyPr/>
              <a:lstStyle/>
              <a:p>
                <a:pPr>
                  <a:defRPr sz="800" b="1" i="0" u="none" strike="noStrike" baseline="0">
                    <a:solidFill>
                      <a:srgbClr val="808080"/>
                    </a:solidFill>
                    <a:latin typeface="Arial"/>
                    <a:ea typeface="Arial"/>
                    <a:cs typeface="Arial"/>
                  </a:defRPr>
                </a:pPr>
                <a:endParaRPr lang="en-US"/>
              </a:p>
            </c:txPr>
            <c:showLegendKey val="0"/>
            <c:showVal val="1"/>
            <c:showCatName val="0"/>
            <c:showSerName val="0"/>
            <c:showPercent val="0"/>
            <c:showBubbleSize val="0"/>
            <c:showLeaderLines val="0"/>
          </c:dLbls>
          <c:cat>
            <c:numRef>
              <c:f>Pension!$CD$38:$CJ$38</c:f>
              <c:numCache>
                <c:formatCode>General</c:formatCode>
                <c:ptCount val="7"/>
                <c:pt idx="0">
                  <c:v>2013</c:v>
                </c:pt>
                <c:pt idx="1">
                  <c:v>2014</c:v>
                </c:pt>
                <c:pt idx="2">
                  <c:v>2015</c:v>
                </c:pt>
                <c:pt idx="3">
                  <c:v>2016</c:v>
                </c:pt>
                <c:pt idx="4">
                  <c:v>2017</c:v>
                </c:pt>
                <c:pt idx="5">
                  <c:v>2018</c:v>
                </c:pt>
                <c:pt idx="6">
                  <c:v>2019</c:v>
                </c:pt>
              </c:numCache>
            </c:numRef>
          </c:cat>
          <c:val>
            <c:numRef>
              <c:f>Pension!$CD$43:$CJ$43</c:f>
              <c:numCache>
                <c:formatCode>0%</c:formatCode>
                <c:ptCount val="7"/>
                <c:pt idx="0">
                  <c:v>0.93318402388951105</c:v>
                </c:pt>
                <c:pt idx="1">
                  <c:v>0.83411059293804135</c:v>
                </c:pt>
                <c:pt idx="2">
                  <c:v>0.80734265734265731</c:v>
                </c:pt>
                <c:pt idx="3">
                  <c:v>0.88436084987809127</c:v>
                </c:pt>
                <c:pt idx="4">
                  <c:v>0.89448717249691878</c:v>
                </c:pt>
                <c:pt idx="5">
                  <c:v>0.90552976354236991</c:v>
                </c:pt>
                <c:pt idx="6">
                  <c:v>0.91746412707466896</c:v>
                </c:pt>
              </c:numCache>
            </c:numRef>
          </c:val>
        </c:ser>
        <c:dLbls>
          <c:showLegendKey val="0"/>
          <c:showVal val="0"/>
          <c:showCatName val="0"/>
          <c:showSerName val="0"/>
          <c:showPercent val="0"/>
          <c:showBubbleSize val="0"/>
        </c:dLbls>
        <c:gapWidth val="150"/>
        <c:axId val="753433216"/>
        <c:axId val="753443200"/>
      </c:barChart>
      <c:lineChart>
        <c:grouping val="standard"/>
        <c:varyColors val="0"/>
        <c:ser>
          <c:idx val="0"/>
          <c:order val="1"/>
          <c:tx>
            <c:strRef>
              <c:f>Pension!$CC$42</c:f>
              <c:strCache>
                <c:ptCount val="1"/>
                <c:pt idx="0">
                  <c:v>% of Market cap</c:v>
                </c:pt>
              </c:strCache>
            </c:strRef>
          </c:tx>
          <c:spPr>
            <a:ln w="38100">
              <a:solidFill>
                <a:srgbClr val="F6C54C"/>
              </a:solidFill>
              <a:prstDash val="solid"/>
            </a:ln>
          </c:spPr>
          <c:marker>
            <c:symbol val="none"/>
          </c:marker>
          <c:cat>
            <c:numRef>
              <c:f>Pension!$CD$38:$CJ$38</c:f>
              <c:numCache>
                <c:formatCode>General</c:formatCode>
                <c:ptCount val="7"/>
                <c:pt idx="0">
                  <c:v>2013</c:v>
                </c:pt>
                <c:pt idx="1">
                  <c:v>2014</c:v>
                </c:pt>
                <c:pt idx="2">
                  <c:v>2015</c:v>
                </c:pt>
                <c:pt idx="3">
                  <c:v>2016</c:v>
                </c:pt>
                <c:pt idx="4">
                  <c:v>2017</c:v>
                </c:pt>
                <c:pt idx="5">
                  <c:v>2018</c:v>
                </c:pt>
                <c:pt idx="6">
                  <c:v>2019</c:v>
                </c:pt>
              </c:numCache>
            </c:numRef>
          </c:cat>
          <c:val>
            <c:numRef>
              <c:f>Pension!$CD$42:$CJ$42</c:f>
              <c:numCache>
                <c:formatCode>0%</c:formatCode>
                <c:ptCount val="7"/>
                <c:pt idx="0">
                  <c:v>6.1378307680874438E-3</c:v>
                </c:pt>
                <c:pt idx="1">
                  <c:v>1.3809075592764109E-2</c:v>
                </c:pt>
                <c:pt idx="2">
                  <c:v>2.1778815692749576E-2</c:v>
                </c:pt>
                <c:pt idx="3">
                  <c:v>9.8650327617931331E-3</c:v>
                </c:pt>
                <c:pt idx="4">
                  <c:v>6.374370462249381E-3</c:v>
                </c:pt>
                <c:pt idx="5">
                  <c:v>6.0322899191712883E-3</c:v>
                </c:pt>
                <c:pt idx="6">
                  <c:v>5.5657970659540659E-3</c:v>
                </c:pt>
              </c:numCache>
            </c:numRef>
          </c:val>
          <c:smooth val="0"/>
        </c:ser>
        <c:dLbls>
          <c:showLegendKey val="0"/>
          <c:showVal val="0"/>
          <c:showCatName val="0"/>
          <c:showSerName val="0"/>
          <c:showPercent val="0"/>
          <c:showBubbleSize val="0"/>
        </c:dLbls>
        <c:marker val="1"/>
        <c:smooth val="0"/>
        <c:axId val="753444736"/>
        <c:axId val="753446272"/>
      </c:lineChart>
      <c:catAx>
        <c:axId val="753433216"/>
        <c:scaling>
          <c:orientation val="minMax"/>
        </c:scaling>
        <c:delete val="0"/>
        <c:axPos val="b"/>
        <c:numFmt formatCode="General" sourceLinked="1"/>
        <c:majorTickMark val="out"/>
        <c:minorTickMark val="none"/>
        <c:tickLblPos val="nextTo"/>
        <c:spPr>
          <a:ln w="3175">
            <a:solidFill>
              <a:srgbClr val="969696"/>
            </a:solidFill>
            <a:prstDash val="solid"/>
          </a:ln>
        </c:spPr>
        <c:txPr>
          <a:bodyPr rot="0" vert="horz"/>
          <a:lstStyle/>
          <a:p>
            <a:pPr>
              <a:defRPr sz="800" b="1" i="0" u="none" strike="noStrike" baseline="0">
                <a:solidFill>
                  <a:srgbClr val="808080"/>
                </a:solidFill>
                <a:latin typeface="Arial"/>
                <a:ea typeface="Arial"/>
                <a:cs typeface="Arial"/>
              </a:defRPr>
            </a:pPr>
            <a:endParaRPr lang="en-US"/>
          </a:p>
        </c:txPr>
        <c:crossAx val="753443200"/>
        <c:crosses val="autoZero"/>
        <c:auto val="0"/>
        <c:lblAlgn val="ctr"/>
        <c:lblOffset val="100"/>
        <c:tickLblSkip val="1"/>
        <c:tickMarkSkip val="1"/>
        <c:noMultiLvlLbl val="0"/>
      </c:catAx>
      <c:valAx>
        <c:axId val="753443200"/>
        <c:scaling>
          <c:orientation val="minMax"/>
        </c:scaling>
        <c:delete val="0"/>
        <c:axPos val="l"/>
        <c:numFmt formatCode="0%" sourceLinked="0"/>
        <c:majorTickMark val="out"/>
        <c:minorTickMark val="none"/>
        <c:tickLblPos val="nextTo"/>
        <c:spPr>
          <a:ln w="3175">
            <a:solidFill>
              <a:srgbClr val="969696"/>
            </a:solidFill>
            <a:prstDash val="solid"/>
          </a:ln>
        </c:spPr>
        <c:txPr>
          <a:bodyPr rot="0" vert="horz"/>
          <a:lstStyle/>
          <a:p>
            <a:pPr>
              <a:defRPr sz="800" b="1" i="0" u="none" strike="noStrike" baseline="0">
                <a:solidFill>
                  <a:srgbClr val="808080"/>
                </a:solidFill>
                <a:latin typeface="Arial"/>
                <a:ea typeface="Arial"/>
                <a:cs typeface="Arial"/>
              </a:defRPr>
            </a:pPr>
            <a:endParaRPr lang="en-US"/>
          </a:p>
        </c:txPr>
        <c:crossAx val="753433216"/>
        <c:crosses val="autoZero"/>
        <c:crossBetween val="between"/>
      </c:valAx>
      <c:catAx>
        <c:axId val="753444736"/>
        <c:scaling>
          <c:orientation val="minMax"/>
        </c:scaling>
        <c:delete val="1"/>
        <c:axPos val="b"/>
        <c:numFmt formatCode="General" sourceLinked="1"/>
        <c:majorTickMark val="out"/>
        <c:minorTickMark val="none"/>
        <c:tickLblPos val="nextTo"/>
        <c:crossAx val="753446272"/>
        <c:crosses val="autoZero"/>
        <c:auto val="0"/>
        <c:lblAlgn val="ctr"/>
        <c:lblOffset val="100"/>
        <c:noMultiLvlLbl val="0"/>
      </c:catAx>
      <c:valAx>
        <c:axId val="753446272"/>
        <c:scaling>
          <c:orientation val="minMax"/>
        </c:scaling>
        <c:delete val="0"/>
        <c:axPos val="r"/>
        <c:numFmt formatCode="0.0%" sourceLinked="0"/>
        <c:majorTickMark val="cross"/>
        <c:minorTickMark val="none"/>
        <c:tickLblPos val="nextTo"/>
        <c:spPr>
          <a:ln w="3175">
            <a:solidFill>
              <a:srgbClr val="969696"/>
            </a:solidFill>
            <a:prstDash val="solid"/>
          </a:ln>
        </c:spPr>
        <c:txPr>
          <a:bodyPr rot="0" vert="horz"/>
          <a:lstStyle/>
          <a:p>
            <a:pPr>
              <a:defRPr sz="800" b="1" i="0" u="none" strike="noStrike" baseline="0">
                <a:solidFill>
                  <a:srgbClr val="808080"/>
                </a:solidFill>
                <a:latin typeface="Arial"/>
                <a:ea typeface="Arial"/>
                <a:cs typeface="Arial"/>
              </a:defRPr>
            </a:pPr>
            <a:endParaRPr lang="en-US"/>
          </a:p>
        </c:txPr>
        <c:crossAx val="753444736"/>
        <c:crosses val="max"/>
        <c:crossBetween val="between"/>
      </c:valAx>
      <c:spPr>
        <a:noFill/>
        <a:ln w="25400">
          <a:noFill/>
        </a:ln>
      </c:spPr>
    </c:plotArea>
    <c:legend>
      <c:legendPos val="b"/>
      <c:layout>
        <c:manualLayout>
          <c:xMode val="edge"/>
          <c:yMode val="edge"/>
          <c:x val="5.1612903225806452E-2"/>
          <c:y val="0.88546255506607929"/>
          <c:w val="0.82580780628227912"/>
          <c:h val="8.8105726872246715E-2"/>
        </c:manualLayout>
      </c:layout>
      <c:overlay val="0"/>
      <c:spPr>
        <a:solidFill>
          <a:srgbClr val="FFFFFF"/>
        </a:solidFill>
        <a:ln w="25400">
          <a:noFill/>
        </a:ln>
      </c:spPr>
      <c:txPr>
        <a:bodyPr/>
        <a:lstStyle/>
        <a:p>
          <a:pPr>
            <a:defRPr sz="675" b="1" i="0" u="none" strike="noStrike" baseline="0">
              <a:solidFill>
                <a:srgbClr val="808080"/>
              </a:solidFill>
              <a:latin typeface="Arial"/>
              <a:ea typeface="Arial"/>
              <a:cs typeface="Arial"/>
            </a:defRPr>
          </a:pPr>
          <a:endParaRPr lang="en-US"/>
        </a:p>
      </c:txPr>
    </c:legend>
    <c:plotVisOnly val="1"/>
    <c:dispBlanksAs val="gap"/>
    <c:showDLblsOverMax val="0"/>
  </c:chart>
  <c:spPr>
    <a:solidFill>
      <a:srgbClr val="FFFFFF"/>
    </a:solidFill>
    <a:ln w="3175">
      <a:solidFill>
        <a:srgbClr val="C0C0C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808080"/>
                </a:solidFill>
                <a:latin typeface="Arial"/>
                <a:ea typeface="Arial"/>
                <a:cs typeface="Arial"/>
              </a:defRPr>
            </a:pPr>
            <a:r>
              <a:rPr lang="en-US"/>
              <a:t>OPEB Liability</a:t>
            </a:r>
          </a:p>
        </c:rich>
      </c:tx>
      <c:layout>
        <c:manualLayout>
          <c:xMode val="edge"/>
          <c:yMode val="edge"/>
          <c:x val="0.37373843421087516"/>
          <c:y val="2.2831050228310501E-2"/>
        </c:manualLayout>
      </c:layout>
      <c:overlay val="0"/>
      <c:spPr>
        <a:noFill/>
        <a:ln w="25400">
          <a:noFill/>
        </a:ln>
      </c:spPr>
    </c:title>
    <c:autoTitleDeleted val="0"/>
    <c:plotArea>
      <c:layout>
        <c:manualLayout>
          <c:layoutTarget val="inner"/>
          <c:xMode val="edge"/>
          <c:yMode val="edge"/>
          <c:x val="0.14141460639798506"/>
          <c:y val="0.15525183384985841"/>
          <c:w val="0.69023795979968894"/>
          <c:h val="0.62100733539943365"/>
        </c:manualLayout>
      </c:layout>
      <c:barChart>
        <c:barDir val="col"/>
        <c:grouping val="clustered"/>
        <c:varyColors val="0"/>
        <c:ser>
          <c:idx val="1"/>
          <c:order val="0"/>
          <c:tx>
            <c:strRef>
              <c:f>Pension!$AS$186</c:f>
              <c:strCache>
                <c:ptCount val="1"/>
                <c:pt idx="0">
                  <c:v>OPEB in $ mn</c:v>
                </c:pt>
              </c:strCache>
            </c:strRef>
          </c:tx>
          <c:spPr>
            <a:solidFill>
              <a:srgbClr val="4091BF"/>
            </a:solidFill>
            <a:ln w="25400">
              <a:noFill/>
            </a:ln>
          </c:spPr>
          <c:invertIfNegative val="0"/>
          <c:cat>
            <c:numRef>
              <c:f>OPEB!$CD$38:$CJ$38</c:f>
              <c:numCache>
                <c:formatCode>General</c:formatCode>
                <c:ptCount val="7"/>
                <c:pt idx="0">
                  <c:v>2013</c:v>
                </c:pt>
                <c:pt idx="1">
                  <c:v>2014</c:v>
                </c:pt>
                <c:pt idx="2">
                  <c:v>2015</c:v>
                </c:pt>
                <c:pt idx="3">
                  <c:v>2016</c:v>
                </c:pt>
                <c:pt idx="4">
                  <c:v>2017</c:v>
                </c:pt>
                <c:pt idx="5">
                  <c:v>2018</c:v>
                </c:pt>
                <c:pt idx="6">
                  <c:v>2019</c:v>
                </c:pt>
              </c:numCache>
            </c:numRef>
          </c:cat>
          <c:val>
            <c:numRef>
              <c:f>OPEB!$CD$42:$CJ$42</c:f>
              <c:numCache>
                <c:formatCode>0.00</c:formatCode>
                <c:ptCount val="7"/>
                <c:pt idx="0">
                  <c:v>350</c:v>
                </c:pt>
                <c:pt idx="1">
                  <c:v>340</c:v>
                </c:pt>
                <c:pt idx="2">
                  <c:v>314</c:v>
                </c:pt>
                <c:pt idx="3">
                  <c:v>274</c:v>
                </c:pt>
                <c:pt idx="4">
                  <c:v>286.49899999999997</c:v>
                </c:pt>
                <c:pt idx="5">
                  <c:v>299.47921149999996</c:v>
                </c:pt>
                <c:pt idx="6">
                  <c:v>312.95916114274996</c:v>
                </c:pt>
              </c:numCache>
            </c:numRef>
          </c:val>
        </c:ser>
        <c:dLbls>
          <c:showLegendKey val="0"/>
          <c:showVal val="0"/>
          <c:showCatName val="0"/>
          <c:showSerName val="0"/>
          <c:showPercent val="0"/>
          <c:showBubbleSize val="0"/>
        </c:dLbls>
        <c:gapWidth val="150"/>
        <c:axId val="756743552"/>
        <c:axId val="756761728"/>
      </c:barChart>
      <c:lineChart>
        <c:grouping val="standard"/>
        <c:varyColors val="0"/>
        <c:ser>
          <c:idx val="0"/>
          <c:order val="1"/>
          <c:tx>
            <c:strRef>
              <c:f>Pension!$CC$42</c:f>
              <c:strCache>
                <c:ptCount val="1"/>
                <c:pt idx="0">
                  <c:v>% of Market cap</c:v>
                </c:pt>
              </c:strCache>
            </c:strRef>
          </c:tx>
          <c:spPr>
            <a:ln w="38100">
              <a:solidFill>
                <a:srgbClr val="F6C54C"/>
              </a:solidFill>
              <a:prstDash val="solid"/>
            </a:ln>
          </c:spPr>
          <c:marker>
            <c:symbol val="none"/>
          </c:marker>
          <c:cat>
            <c:numRef>
              <c:f>OPEB!$CD$38:$CJ$38</c:f>
              <c:numCache>
                <c:formatCode>General</c:formatCode>
                <c:ptCount val="7"/>
                <c:pt idx="0">
                  <c:v>2013</c:v>
                </c:pt>
                <c:pt idx="1">
                  <c:v>2014</c:v>
                </c:pt>
                <c:pt idx="2">
                  <c:v>2015</c:v>
                </c:pt>
                <c:pt idx="3">
                  <c:v>2016</c:v>
                </c:pt>
                <c:pt idx="4">
                  <c:v>2017</c:v>
                </c:pt>
                <c:pt idx="5">
                  <c:v>2018</c:v>
                </c:pt>
                <c:pt idx="6">
                  <c:v>2019</c:v>
                </c:pt>
              </c:numCache>
            </c:numRef>
          </c:cat>
          <c:val>
            <c:numRef>
              <c:f>OPEB!$CD$41:$CJ$41</c:f>
              <c:numCache>
                <c:formatCode>0.0%</c:formatCode>
                <c:ptCount val="7"/>
                <c:pt idx="0">
                  <c:v>1.2001345077265951E-2</c:v>
                </c:pt>
                <c:pt idx="1">
                  <c:v>9.4278829348188702E-3</c:v>
                </c:pt>
                <c:pt idx="2">
                  <c:v>1.241115812617671E-2</c:v>
                </c:pt>
                <c:pt idx="3">
                  <c:v>8.1416234238895126E-3</c:v>
                </c:pt>
                <c:pt idx="4">
                  <c:v>5.6987917569963934E-3</c:v>
                </c:pt>
                <c:pt idx="5">
                  <c:v>5.9569829629003224E-3</c:v>
                </c:pt>
                <c:pt idx="6">
                  <c:v>6.2251145302315526E-3</c:v>
                </c:pt>
              </c:numCache>
            </c:numRef>
          </c:val>
          <c:smooth val="0"/>
        </c:ser>
        <c:dLbls>
          <c:showLegendKey val="0"/>
          <c:showVal val="0"/>
          <c:showCatName val="0"/>
          <c:showSerName val="0"/>
          <c:showPercent val="0"/>
          <c:showBubbleSize val="0"/>
        </c:dLbls>
        <c:marker val="1"/>
        <c:smooth val="0"/>
        <c:axId val="756763264"/>
        <c:axId val="756765056"/>
      </c:lineChart>
      <c:catAx>
        <c:axId val="756743552"/>
        <c:scaling>
          <c:orientation val="minMax"/>
        </c:scaling>
        <c:delete val="0"/>
        <c:axPos val="b"/>
        <c:numFmt formatCode="General" sourceLinked="1"/>
        <c:majorTickMark val="out"/>
        <c:minorTickMark val="none"/>
        <c:tickLblPos val="nextTo"/>
        <c:spPr>
          <a:ln w="3175">
            <a:solidFill>
              <a:srgbClr val="969696"/>
            </a:solidFill>
            <a:prstDash val="solid"/>
          </a:ln>
        </c:spPr>
        <c:txPr>
          <a:bodyPr rot="0" vert="horz"/>
          <a:lstStyle/>
          <a:p>
            <a:pPr>
              <a:defRPr sz="800" b="1" i="0" u="none" strike="noStrike" baseline="0">
                <a:solidFill>
                  <a:srgbClr val="808080"/>
                </a:solidFill>
                <a:latin typeface="Arial"/>
                <a:ea typeface="Arial"/>
                <a:cs typeface="Arial"/>
              </a:defRPr>
            </a:pPr>
            <a:endParaRPr lang="en-US"/>
          </a:p>
        </c:txPr>
        <c:crossAx val="756761728"/>
        <c:crosses val="autoZero"/>
        <c:auto val="0"/>
        <c:lblAlgn val="ctr"/>
        <c:lblOffset val="100"/>
        <c:tickLblSkip val="1"/>
        <c:tickMarkSkip val="1"/>
        <c:noMultiLvlLbl val="0"/>
      </c:catAx>
      <c:valAx>
        <c:axId val="756761728"/>
        <c:scaling>
          <c:orientation val="minMax"/>
          <c:min val="0"/>
        </c:scaling>
        <c:delete val="0"/>
        <c:axPos val="l"/>
        <c:numFmt formatCode="#,##0" sourceLinked="0"/>
        <c:majorTickMark val="out"/>
        <c:minorTickMark val="none"/>
        <c:tickLblPos val="nextTo"/>
        <c:spPr>
          <a:ln w="3175">
            <a:solidFill>
              <a:srgbClr val="969696"/>
            </a:solidFill>
            <a:prstDash val="solid"/>
          </a:ln>
        </c:spPr>
        <c:txPr>
          <a:bodyPr rot="0" vert="horz"/>
          <a:lstStyle/>
          <a:p>
            <a:pPr>
              <a:defRPr sz="800" b="1" i="0" u="none" strike="noStrike" baseline="0">
                <a:solidFill>
                  <a:srgbClr val="808080"/>
                </a:solidFill>
                <a:latin typeface="Arial"/>
                <a:ea typeface="Arial"/>
                <a:cs typeface="Arial"/>
              </a:defRPr>
            </a:pPr>
            <a:endParaRPr lang="en-US"/>
          </a:p>
        </c:txPr>
        <c:crossAx val="756743552"/>
        <c:crosses val="autoZero"/>
        <c:crossBetween val="between"/>
      </c:valAx>
      <c:catAx>
        <c:axId val="756763264"/>
        <c:scaling>
          <c:orientation val="minMax"/>
        </c:scaling>
        <c:delete val="1"/>
        <c:axPos val="b"/>
        <c:numFmt formatCode="General" sourceLinked="1"/>
        <c:majorTickMark val="out"/>
        <c:minorTickMark val="none"/>
        <c:tickLblPos val="nextTo"/>
        <c:crossAx val="756765056"/>
        <c:crosses val="autoZero"/>
        <c:auto val="0"/>
        <c:lblAlgn val="ctr"/>
        <c:lblOffset val="100"/>
        <c:noMultiLvlLbl val="0"/>
      </c:catAx>
      <c:valAx>
        <c:axId val="756765056"/>
        <c:scaling>
          <c:orientation val="minMax"/>
        </c:scaling>
        <c:delete val="0"/>
        <c:axPos val="r"/>
        <c:numFmt formatCode="0.0%" sourceLinked="1"/>
        <c:majorTickMark val="cross"/>
        <c:minorTickMark val="none"/>
        <c:tickLblPos val="nextTo"/>
        <c:spPr>
          <a:ln w="3175">
            <a:solidFill>
              <a:srgbClr val="969696"/>
            </a:solidFill>
            <a:prstDash val="solid"/>
          </a:ln>
        </c:spPr>
        <c:txPr>
          <a:bodyPr rot="0" vert="horz"/>
          <a:lstStyle/>
          <a:p>
            <a:pPr>
              <a:defRPr sz="800" b="1" i="0" u="none" strike="noStrike" baseline="0">
                <a:solidFill>
                  <a:srgbClr val="808080"/>
                </a:solidFill>
                <a:latin typeface="Arial"/>
                <a:ea typeface="Arial"/>
                <a:cs typeface="Arial"/>
              </a:defRPr>
            </a:pPr>
            <a:endParaRPr lang="en-US"/>
          </a:p>
        </c:txPr>
        <c:crossAx val="756763264"/>
        <c:crosses val="max"/>
        <c:crossBetween val="between"/>
      </c:valAx>
      <c:spPr>
        <a:noFill/>
        <a:ln w="25400">
          <a:noFill/>
        </a:ln>
      </c:spPr>
    </c:plotArea>
    <c:legend>
      <c:legendPos val="r"/>
      <c:layout>
        <c:manualLayout>
          <c:xMode val="edge"/>
          <c:yMode val="edge"/>
          <c:x val="1.6835016835016835E-2"/>
          <c:y val="0.89041479404115587"/>
          <c:w val="0.86532269324920241"/>
          <c:h val="9.1324680305372774E-2"/>
        </c:manualLayout>
      </c:layout>
      <c:overlay val="0"/>
      <c:spPr>
        <a:solidFill>
          <a:srgbClr val="FFFFFF"/>
        </a:solidFill>
        <a:ln w="25400">
          <a:noFill/>
        </a:ln>
      </c:spPr>
      <c:txPr>
        <a:bodyPr/>
        <a:lstStyle/>
        <a:p>
          <a:pPr>
            <a:defRPr sz="675" b="1" i="0" u="none" strike="noStrike" baseline="0">
              <a:solidFill>
                <a:srgbClr val="808080"/>
              </a:solidFill>
              <a:latin typeface="Arial"/>
              <a:ea typeface="Arial"/>
              <a:cs typeface="Arial"/>
            </a:defRPr>
          </a:pPr>
          <a:endParaRPr lang="en-US"/>
        </a:p>
      </c:txPr>
    </c:legend>
    <c:plotVisOnly val="1"/>
    <c:dispBlanksAs val="gap"/>
    <c:showDLblsOverMax val="0"/>
  </c:chart>
  <c:spPr>
    <a:solidFill>
      <a:srgbClr val="FFFFFF"/>
    </a:solidFill>
    <a:ln w="3175">
      <a:solidFill>
        <a:srgbClr val="C0C0C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2.xml.rels><?xml version="1.0" encoding="UTF-8" standalone="yes"?>
<Relationships xmlns="http://schemas.openxmlformats.org/package/2006/relationships">
<Relationship Id="rId1" Target="../charts/chart1.xml" Type="http://schemas.openxmlformats.org/officeDocument/2006/relationships/chart"/>
<Relationship Id="rId2" Target="../charts/chart2.xml" Type="http://schemas.openxmlformats.org/officeDocument/2006/relationships/chart"/>
</Relationships>

</file>

<file path=xl/drawings/_rels/drawing3.xml.rels><?xml version="1.0" encoding="UTF-8" standalone="yes"?>
<Relationships xmlns="http://schemas.openxmlformats.org/package/2006/relationships">
<Relationship Id="rId1" Target="../charts/chart3.xml" Type="http://schemas.openxmlformats.org/officeDocument/2006/relationships/chart"/>
<Relationship Id="rId2" Target="../charts/chart4.xml" Type="http://schemas.openxmlformats.org/officeDocument/2006/relationships/chart"/>
</Relationships>

</file>

<file path=xl/drawings/_rels/drawing4.xml.rels><?xml version="1.0" encoding="UTF-8" standalone="yes"?>
<Relationships xmlns="http://schemas.openxmlformats.org/package/2006/relationships">
<Relationship Id="rId1" Target="../charts/chart5.xml" Type="http://schemas.openxmlformats.org/officeDocument/2006/relationships/chart"/>
</Relationships>

</file>

<file path=xl/drawings/_rels/vmlDrawing4.vml.rels><?xml version="1.0" encoding="UTF-8" standalone="yes"?>
<Relationships xmlns="http://schemas.openxmlformats.org/package/2006/relationships">
<Relationship Id="rId1" Target="../media/image4.emf" Type="http://schemas.openxmlformats.org/officeDocument/2006/relationships/image"/>
<Relationship Id="rId2" Target="../media/image5.emf" Type="http://schemas.openxmlformats.org/officeDocument/2006/relationships/image"/>
<Relationship Id="rId3" Target="../media/image6.emf" Type="http://schemas.openxmlformats.org/officeDocument/2006/relationships/image"/>
</Relationships>

</file>

<file path=xl/drawings/_rels/vmlDrawing5.vml.rels><?xml version="1.0" encoding="UTF-8" standalone="yes"?>
<Relationships xmlns="http://schemas.openxmlformats.org/package/2006/relationships">
<Relationship Id="rId1" Target="../media/image7.emf"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180</xdr:row>
      <xdr:rowOff>0</xdr:rowOff>
    </xdr:from>
    <xdr:to>
      <xdr:col>7</xdr:col>
      <xdr:colOff>390525</xdr:colOff>
      <xdr:row>203</xdr:row>
      <xdr:rowOff>104775</xdr:rowOff>
    </xdr:to>
    <xdr:pic>
      <xdr:nvPicPr>
        <xdr:cNvPr id="6678529" name="Picture 1" descr="C:\Users\diahuang\AppData\Local\Temp\MercuryPriceRatingHistoryChart\CSX.O_2018_04_17_18_40_06.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7774900"/>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88</xdr:col>
      <xdr:colOff>428625</xdr:colOff>
      <xdr:row>633</xdr:row>
      <xdr:rowOff>142875</xdr:rowOff>
    </xdr:from>
    <xdr:to>
      <xdr:col>97</xdr:col>
      <xdr:colOff>247650</xdr:colOff>
      <xdr:row>653</xdr:row>
      <xdr:rowOff>0</xdr:rowOff>
    </xdr:to>
    <xdr:graphicFrame macro="">
      <xdr:nvGraphicFramePr>
        <xdr:cNvPr id="5679623" name="Chart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76200</xdr:colOff>
      <xdr:row>872</xdr:row>
      <xdr:rowOff>95250</xdr:rowOff>
    </xdr:from>
    <xdr:to>
      <xdr:col>19</xdr:col>
      <xdr:colOff>495300</xdr:colOff>
      <xdr:row>889</xdr:row>
      <xdr:rowOff>85725</xdr:rowOff>
    </xdr:to>
    <xdr:graphicFrame macro="">
      <xdr:nvGraphicFramePr>
        <xdr:cNvPr id="5679624"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295275</xdr:colOff>
      <xdr:row>76</xdr:row>
      <xdr:rowOff>133350</xdr:rowOff>
    </xdr:from>
    <xdr:to>
      <xdr:col>2</xdr:col>
      <xdr:colOff>2466975</xdr:colOff>
      <xdr:row>78</xdr:row>
      <xdr:rowOff>104775</xdr:rowOff>
    </xdr:to>
    <xdr:sp macro="" textlink="">
      <xdr:nvSpPr>
        <xdr:cNvPr id="2" name="Rectangle 24"/>
        <xdr:cNvSpPr>
          <a:spLocks noChangeArrowheads="1"/>
        </xdr:cNvSpPr>
      </xdr:nvSpPr>
      <xdr:spPr bwMode="auto">
        <a:xfrm>
          <a:off x="904875" y="12439650"/>
          <a:ext cx="923925" cy="295275"/>
        </a:xfrm>
        <a:prstGeom prst="rect">
          <a:avLst/>
        </a:prstGeom>
        <a:solidFill>
          <a:srgbClr xmlns:mc="http://schemas.openxmlformats.org/markup-compatibility/2006" xmlns:a14="http://schemas.microsoft.com/office/drawing/2010/main" val="808000" mc:Ignorable="a14" a14:legacySpreadsheetColorIndex="19"/>
        </a:solidFill>
        <a:ln w="9525" algn="ctr">
          <a:solidFill>
            <a:srgbClr xmlns:mc="http://schemas.openxmlformats.org/markup-compatibility/2006" xmlns:a14="http://schemas.microsoft.com/office/drawing/2010/main" val="808000" mc:Ignorable="a14" a14:legacySpreadsheetColorIndex="19"/>
          </a:solidFill>
          <a:miter lim="800000"/>
          <a:headEnd/>
          <a:tailEnd/>
        </a:ln>
        <a:effectLst/>
        <a:extLst>
          <a:ext uri="{AF507438-7753-43E0-B8FC-AC1667EBCBE1}">
            <a14:hiddenEffects xmlns:a14="http://schemas.microsoft.com/office/drawing/2010/main">
              <a:effectLst>
                <a:outerShdw dist="35921" dir="2700000" algn="ctr" rotWithShape="0">
                  <a:srgbClr val="969696"/>
                </a:outerShdw>
              </a:effectLst>
            </a14:hiddenEffects>
          </a:ext>
        </a:extLst>
      </xdr:spPr>
      <xdr:txBody>
        <a:bodyPr vertOverflow="clip" wrap="square" lIns="91440" tIns="45720" rIns="91440" bIns="45720" anchor="t" upright="1"/>
        <a:lstStyle/>
        <a:p>
          <a:pPr algn="l" rtl="0">
            <a:lnSpc>
              <a:spcPts val="900"/>
            </a:lnSpc>
            <a:defRPr sz="1000"/>
          </a:pPr>
          <a:r>
            <a:rPr lang="en-IN" sz="900" b="1" i="0" u="none" strike="noStrike" baseline="0">
              <a:solidFill>
                <a:srgbClr val="FFFFFF"/>
              </a:solidFill>
              <a:latin typeface="Verdana"/>
              <a:ea typeface="Verdana"/>
              <a:cs typeface="Verdana"/>
            </a:rPr>
            <a:t>Future Service Costs (after-tax)</a:t>
          </a:r>
          <a:endParaRPr lang="en-IN" sz="1000" b="1" i="0" u="none" strike="noStrike" baseline="0">
            <a:solidFill>
              <a:srgbClr val="FFFFFF"/>
            </a:solidFill>
            <a:latin typeface="Arial"/>
            <a:ea typeface="Verdana"/>
            <a:cs typeface="Arial"/>
          </a:endParaRPr>
        </a:p>
        <a:p>
          <a:pPr algn="l" rtl="0">
            <a:lnSpc>
              <a:spcPts val="1000"/>
            </a:lnSpc>
            <a:defRPr sz="1000"/>
          </a:pPr>
          <a:endParaRPr lang="en-IN" sz="1000" b="1" i="0" u="none" strike="noStrike" baseline="0">
            <a:solidFill>
              <a:srgbClr val="FFFFFF"/>
            </a:solidFill>
            <a:latin typeface="Arial"/>
            <a:cs typeface="Arial"/>
          </a:endParaRPr>
        </a:p>
      </xdr:txBody>
    </xdr:sp>
    <xdr:clientData/>
  </xdr:twoCellAnchor>
  <xdr:twoCellAnchor>
    <xdr:from>
      <xdr:col>1</xdr:col>
      <xdr:colOff>266700</xdr:colOff>
      <xdr:row>73</xdr:row>
      <xdr:rowOff>104775</xdr:rowOff>
    </xdr:from>
    <xdr:to>
      <xdr:col>2</xdr:col>
      <xdr:colOff>2457450</xdr:colOff>
      <xdr:row>75</xdr:row>
      <xdr:rowOff>76200</xdr:rowOff>
    </xdr:to>
    <xdr:sp macro="" textlink="">
      <xdr:nvSpPr>
        <xdr:cNvPr id="3" name="Rectangle 25"/>
        <xdr:cNvSpPr>
          <a:spLocks noChangeArrowheads="1"/>
        </xdr:cNvSpPr>
      </xdr:nvSpPr>
      <xdr:spPr bwMode="auto">
        <a:xfrm>
          <a:off x="876300" y="11925300"/>
          <a:ext cx="952500" cy="295275"/>
        </a:xfrm>
        <a:prstGeom prst="rect">
          <a:avLst/>
        </a:prstGeom>
        <a:solidFill>
          <a:srgbClr xmlns:mc="http://schemas.openxmlformats.org/markup-compatibility/2006" xmlns:a14="http://schemas.microsoft.com/office/drawing/2010/main" val="808000" mc:Ignorable="a14" a14:legacySpreadsheetColorIndex="19"/>
        </a:solidFill>
        <a:ln w="9525" algn="ctr">
          <a:solidFill>
            <a:srgbClr xmlns:mc="http://schemas.openxmlformats.org/markup-compatibility/2006" xmlns:a14="http://schemas.microsoft.com/office/drawing/2010/main" val="808000" mc:Ignorable="a14" a14:legacySpreadsheetColorIndex="19"/>
          </a:solidFill>
          <a:miter lim="800000"/>
          <a:headEnd/>
          <a:tailEnd/>
        </a:ln>
        <a:effectLst/>
        <a:extLst>
          <a:ext uri="{AF507438-7753-43E0-B8FC-AC1667EBCBE1}">
            <a14:hiddenEffects xmlns:a14="http://schemas.microsoft.com/office/drawing/2010/main">
              <a:effectLst>
                <a:outerShdw dist="35921" dir="2700000" algn="ctr" rotWithShape="0">
                  <a:srgbClr val="969696"/>
                </a:outerShdw>
              </a:effectLst>
            </a14:hiddenEffects>
          </a:ext>
        </a:extLst>
      </xdr:spPr>
      <xdr:txBody>
        <a:bodyPr vertOverflow="clip" wrap="square" lIns="91440" tIns="45720" rIns="91440" bIns="45720" anchor="t" upright="1"/>
        <a:lstStyle/>
        <a:p>
          <a:pPr algn="l" rtl="0">
            <a:lnSpc>
              <a:spcPts val="900"/>
            </a:lnSpc>
            <a:defRPr sz="1000"/>
          </a:pPr>
          <a:r>
            <a:rPr lang="en-IN" sz="900" b="1" i="0" u="none" strike="noStrike" baseline="0">
              <a:solidFill>
                <a:srgbClr val="FFFFFF"/>
              </a:solidFill>
              <a:latin typeface="Verdana"/>
              <a:ea typeface="Verdana"/>
              <a:cs typeface="Verdana"/>
            </a:rPr>
            <a:t>Current Funded Status (after-tax)</a:t>
          </a:r>
          <a:endParaRPr lang="en-IN" sz="1000" b="1" i="0" u="none" strike="noStrike" baseline="0">
            <a:solidFill>
              <a:srgbClr val="FFFFFF"/>
            </a:solidFill>
            <a:latin typeface="Arial"/>
            <a:ea typeface="Verdana"/>
            <a:cs typeface="Arial"/>
          </a:endParaRPr>
        </a:p>
        <a:p>
          <a:pPr algn="l" rtl="0">
            <a:lnSpc>
              <a:spcPts val="1000"/>
            </a:lnSpc>
            <a:defRPr sz="1000"/>
          </a:pPr>
          <a:endParaRPr lang="en-IN" sz="1000" b="1" i="0" u="none" strike="noStrike" baseline="0">
            <a:solidFill>
              <a:srgbClr val="FFFFFF"/>
            </a:solidFill>
            <a:latin typeface="Arial"/>
            <a:cs typeface="Arial"/>
          </a:endParaRPr>
        </a:p>
      </xdr:txBody>
    </xdr:sp>
    <xdr:clientData/>
  </xdr:twoCellAnchor>
  <xdr:twoCellAnchor>
    <xdr:from>
      <xdr:col>2</xdr:col>
      <xdr:colOff>895350</xdr:colOff>
      <xdr:row>74</xdr:row>
      <xdr:rowOff>104775</xdr:rowOff>
    </xdr:from>
    <xdr:to>
      <xdr:col>2</xdr:col>
      <xdr:colOff>1257300</xdr:colOff>
      <xdr:row>77</xdr:row>
      <xdr:rowOff>85725</xdr:rowOff>
    </xdr:to>
    <xdr:sp macro="" textlink="">
      <xdr:nvSpPr>
        <xdr:cNvPr id="4" name="Text Box 26"/>
        <xdr:cNvSpPr txBox="1">
          <a:spLocks noChangeArrowheads="1"/>
        </xdr:cNvSpPr>
      </xdr:nvSpPr>
      <xdr:spPr bwMode="auto">
        <a:xfrm>
          <a:off x="1828800" y="12087225"/>
          <a:ext cx="0" cy="466725"/>
        </a:xfrm>
        <a:prstGeom prst="rect">
          <a:avLst/>
        </a:prstGeom>
        <a:noFill/>
        <a:ln>
          <a:noFill/>
        </a:ln>
        <a:effectLst/>
        <a:extLst>
          <a:ext uri="{909E8E84-426E-40DD-AFC4-6F175D3DCCD1}">
            <a14:hiddenFill xmlns:a14="http://schemas.microsoft.com/office/drawing/2010/main">
              <a:solidFill>
                <a:srgbClr val="2270AB"/>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969696"/>
                </a:outerShdw>
              </a:effectLst>
            </a14:hiddenEffects>
          </a:ext>
        </a:extLst>
      </xdr:spPr>
      <xdr:txBody>
        <a:bodyPr vertOverflow="clip" wrap="square" lIns="91440" tIns="45720" rIns="91440" bIns="45720" anchor="t" upright="1"/>
        <a:lstStyle/>
        <a:p>
          <a:pPr algn="l" rtl="0">
            <a:defRPr sz="1000"/>
          </a:pPr>
          <a:r>
            <a:rPr lang="en-US" sz="1500" b="0" i="0" u="none" strike="noStrike" baseline="0">
              <a:solidFill>
                <a:srgbClr val="2270AB"/>
              </a:solidFill>
              <a:latin typeface="Arial"/>
              <a:cs typeface="Arial"/>
            </a:rPr>
            <a:t>+</a:t>
          </a:r>
          <a:endParaRPr lang="en-US" sz="2000" b="0" i="0" u="none" strike="noStrike" baseline="0">
            <a:solidFill>
              <a:srgbClr val="2270AB"/>
            </a:solidFill>
            <a:latin typeface="Arial"/>
            <a:cs typeface="Arial"/>
          </a:endParaRPr>
        </a:p>
        <a:p>
          <a:pPr algn="l" rtl="0">
            <a:defRPr sz="1000"/>
          </a:pPr>
          <a:endParaRPr lang="en-US" sz="2000" b="0" i="0" u="none" strike="noStrike" baseline="0">
            <a:solidFill>
              <a:srgbClr val="2270AB"/>
            </a:solidFill>
            <a:latin typeface="Arial"/>
            <a:cs typeface="Arial"/>
          </a:endParaRPr>
        </a:p>
      </xdr:txBody>
    </xdr:sp>
    <xdr:clientData/>
  </xdr:twoCellAnchor>
  <xdr:twoCellAnchor>
    <xdr:from>
      <xdr:col>1</xdr:col>
      <xdr:colOff>285750</xdr:colOff>
      <xdr:row>80</xdr:row>
      <xdr:rowOff>19050</xdr:rowOff>
    </xdr:from>
    <xdr:to>
      <xdr:col>2</xdr:col>
      <xdr:colOff>2466975</xdr:colOff>
      <xdr:row>82</xdr:row>
      <xdr:rowOff>9525</xdr:rowOff>
    </xdr:to>
    <xdr:sp macro="" textlink="">
      <xdr:nvSpPr>
        <xdr:cNvPr id="5" name="Rectangle 27"/>
        <xdr:cNvSpPr>
          <a:spLocks noChangeArrowheads="1"/>
        </xdr:cNvSpPr>
      </xdr:nvSpPr>
      <xdr:spPr bwMode="auto">
        <a:xfrm>
          <a:off x="895350" y="12973050"/>
          <a:ext cx="933450" cy="314325"/>
        </a:xfrm>
        <a:prstGeom prst="rect">
          <a:avLst/>
        </a:prstGeom>
        <a:solidFill>
          <a:srgbClr xmlns:mc="http://schemas.openxmlformats.org/markup-compatibility/2006" xmlns:a14="http://schemas.microsoft.com/office/drawing/2010/main" val="808000" mc:Ignorable="a14" a14:legacySpreadsheetColorIndex="19"/>
        </a:solidFill>
        <a:ln w="9525" algn="ctr">
          <a:solidFill>
            <a:srgbClr xmlns:mc="http://schemas.openxmlformats.org/markup-compatibility/2006" xmlns:a14="http://schemas.microsoft.com/office/drawing/2010/main" val="808000" mc:Ignorable="a14" a14:legacySpreadsheetColorIndex="19"/>
          </a:solidFill>
          <a:miter lim="800000"/>
          <a:headEnd/>
          <a:tailEnd/>
        </a:ln>
        <a:effectLst/>
        <a:extLst>
          <a:ext uri="{AF507438-7753-43E0-B8FC-AC1667EBCBE1}">
            <a14:hiddenEffects xmlns:a14="http://schemas.microsoft.com/office/drawing/2010/main">
              <a:effectLst>
                <a:outerShdw dist="35921" dir="2700000" algn="ctr" rotWithShape="0">
                  <a:srgbClr val="969696"/>
                </a:outerShdw>
              </a:effectLst>
            </a14:hiddenEffects>
          </a:ext>
        </a:extLst>
      </xdr:spPr>
      <xdr:txBody>
        <a:bodyPr vertOverflow="clip" wrap="square" lIns="91440" tIns="45720" rIns="91440" bIns="45720" anchor="t" upright="1"/>
        <a:lstStyle/>
        <a:p>
          <a:pPr algn="l" rtl="0">
            <a:defRPr sz="1000"/>
          </a:pPr>
          <a:r>
            <a:rPr lang="en-IN" sz="900" b="1" i="0" u="none" strike="noStrike" baseline="0">
              <a:solidFill>
                <a:srgbClr val="FFFFFF"/>
              </a:solidFill>
              <a:latin typeface="Verdana"/>
              <a:ea typeface="Verdana"/>
              <a:cs typeface="Verdana"/>
            </a:rPr>
            <a:t>Interest on Funded Status (after-tax)</a:t>
          </a:r>
        </a:p>
      </xdr:txBody>
    </xdr:sp>
    <xdr:clientData/>
  </xdr:twoCellAnchor>
  <xdr:twoCellAnchor>
    <xdr:from>
      <xdr:col>2</xdr:col>
      <xdr:colOff>876300</xdr:colOff>
      <xdr:row>77</xdr:row>
      <xdr:rowOff>152400</xdr:rowOff>
    </xdr:from>
    <xdr:to>
      <xdr:col>2</xdr:col>
      <xdr:colOff>1247775</xdr:colOff>
      <xdr:row>80</xdr:row>
      <xdr:rowOff>133350</xdr:rowOff>
    </xdr:to>
    <xdr:sp macro="" textlink="">
      <xdr:nvSpPr>
        <xdr:cNvPr id="6" name="Text Box 30"/>
        <xdr:cNvSpPr txBox="1">
          <a:spLocks noChangeArrowheads="1"/>
        </xdr:cNvSpPr>
      </xdr:nvSpPr>
      <xdr:spPr bwMode="auto">
        <a:xfrm>
          <a:off x="1828800" y="12620625"/>
          <a:ext cx="0" cy="466725"/>
        </a:xfrm>
        <a:prstGeom prst="rect">
          <a:avLst/>
        </a:prstGeom>
        <a:noFill/>
        <a:ln>
          <a:noFill/>
        </a:ln>
        <a:effectLst/>
        <a:extLst>
          <a:ext uri="{909E8E84-426E-40DD-AFC4-6F175D3DCCD1}">
            <a14:hiddenFill xmlns:a14="http://schemas.microsoft.com/office/drawing/2010/main">
              <a:solidFill>
                <a:srgbClr val="2270AB"/>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969696"/>
                </a:outerShdw>
              </a:effectLst>
            </a14:hiddenEffects>
          </a:ext>
        </a:extLst>
      </xdr:spPr>
      <xdr:txBody>
        <a:bodyPr vertOverflow="clip" wrap="square" lIns="91440" tIns="45720" rIns="91440" bIns="45720" anchor="t" upright="1"/>
        <a:lstStyle/>
        <a:p>
          <a:pPr algn="l" rtl="0">
            <a:defRPr sz="1000"/>
          </a:pPr>
          <a:r>
            <a:rPr lang="en-US" sz="1500" b="0" i="0" u="none" strike="noStrike" baseline="0">
              <a:solidFill>
                <a:srgbClr val="2270AB"/>
              </a:solidFill>
              <a:latin typeface="Arial"/>
              <a:cs typeface="Arial"/>
            </a:rPr>
            <a:t>+</a:t>
          </a:r>
          <a:endParaRPr lang="en-US" sz="2000" b="0" i="0" u="none" strike="noStrike" baseline="0">
            <a:solidFill>
              <a:srgbClr val="2270AB"/>
            </a:solidFill>
            <a:latin typeface="Arial"/>
            <a:cs typeface="Arial"/>
          </a:endParaRPr>
        </a:p>
        <a:p>
          <a:pPr algn="l" rtl="0">
            <a:defRPr sz="1000"/>
          </a:pPr>
          <a:endParaRPr lang="en-US" sz="2000" b="0" i="0" u="none" strike="noStrike" baseline="0">
            <a:solidFill>
              <a:srgbClr val="2270AB"/>
            </a:solidFill>
            <a:latin typeface="Arial"/>
            <a:cs typeface="Arial"/>
          </a:endParaRPr>
        </a:p>
      </xdr:txBody>
    </xdr:sp>
    <xdr:clientData/>
  </xdr:twoCellAnchor>
  <xdr:twoCellAnchor>
    <xdr:from>
      <xdr:col>2</xdr:col>
      <xdr:colOff>2562225</xdr:colOff>
      <xdr:row>74</xdr:row>
      <xdr:rowOff>95250</xdr:rowOff>
    </xdr:from>
    <xdr:to>
      <xdr:col>7</xdr:col>
      <xdr:colOff>28575</xdr:colOff>
      <xdr:row>74</xdr:row>
      <xdr:rowOff>95250</xdr:rowOff>
    </xdr:to>
    <xdr:sp macro="" textlink="">
      <xdr:nvSpPr>
        <xdr:cNvPr id="7" name="Line 31"/>
        <xdr:cNvSpPr>
          <a:spLocks noChangeShapeType="1"/>
        </xdr:cNvSpPr>
      </xdr:nvSpPr>
      <xdr:spPr bwMode="gray">
        <a:xfrm>
          <a:off x="1828800" y="12077700"/>
          <a:ext cx="2466975" cy="0"/>
        </a:xfrm>
        <a:prstGeom prst="line">
          <a:avLst/>
        </a:prstGeom>
        <a:noFill/>
        <a:ln w="19050">
          <a:solidFill>
            <a:srgbClr val="CC0000"/>
          </a:solidFill>
          <a:round/>
          <a:headEnd/>
          <a:tailEnd type="stealth" w="lg" len="lg"/>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969696"/>
                </a:outerShdw>
              </a:effectLst>
            </a14:hiddenEffects>
          </a:ext>
        </a:extLst>
      </xdr:spPr>
    </xdr:sp>
    <xdr:clientData/>
  </xdr:twoCellAnchor>
  <xdr:twoCellAnchor>
    <xdr:from>
      <xdr:col>2</xdr:col>
      <xdr:colOff>2543175</xdr:colOff>
      <xdr:row>77</xdr:row>
      <xdr:rowOff>133350</xdr:rowOff>
    </xdr:from>
    <xdr:to>
      <xdr:col>7</xdr:col>
      <xdr:colOff>19050</xdr:colOff>
      <xdr:row>77</xdr:row>
      <xdr:rowOff>133350</xdr:rowOff>
    </xdr:to>
    <xdr:sp macro="" textlink="">
      <xdr:nvSpPr>
        <xdr:cNvPr id="8" name="Line 32"/>
        <xdr:cNvSpPr>
          <a:spLocks noChangeShapeType="1"/>
        </xdr:cNvSpPr>
      </xdr:nvSpPr>
      <xdr:spPr bwMode="gray">
        <a:xfrm>
          <a:off x="1828800" y="12601575"/>
          <a:ext cx="2457450" cy="0"/>
        </a:xfrm>
        <a:prstGeom prst="line">
          <a:avLst/>
        </a:prstGeom>
        <a:noFill/>
        <a:ln w="19050">
          <a:solidFill>
            <a:srgbClr val="CC0000"/>
          </a:solidFill>
          <a:round/>
          <a:headEnd/>
          <a:tailEnd type="stealth" w="lg" len="lg"/>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969696"/>
                </a:outerShdw>
              </a:effectLst>
            </a14:hiddenEffects>
          </a:ext>
        </a:extLst>
      </xdr:spPr>
    </xdr:sp>
    <xdr:clientData/>
  </xdr:twoCellAnchor>
  <xdr:twoCellAnchor>
    <xdr:from>
      <xdr:col>2</xdr:col>
      <xdr:colOff>2571750</xdr:colOff>
      <xdr:row>81</xdr:row>
      <xdr:rowOff>19050</xdr:rowOff>
    </xdr:from>
    <xdr:to>
      <xdr:col>7</xdr:col>
      <xdr:colOff>9525</xdr:colOff>
      <xdr:row>81</xdr:row>
      <xdr:rowOff>19050</xdr:rowOff>
    </xdr:to>
    <xdr:sp macro="" textlink="">
      <xdr:nvSpPr>
        <xdr:cNvPr id="9" name="Line 33"/>
        <xdr:cNvSpPr>
          <a:spLocks noChangeShapeType="1"/>
        </xdr:cNvSpPr>
      </xdr:nvSpPr>
      <xdr:spPr bwMode="gray">
        <a:xfrm>
          <a:off x="1828800" y="13134975"/>
          <a:ext cx="2447925" cy="0"/>
        </a:xfrm>
        <a:prstGeom prst="line">
          <a:avLst/>
        </a:prstGeom>
        <a:noFill/>
        <a:ln w="19050">
          <a:solidFill>
            <a:srgbClr val="CC0000"/>
          </a:solidFill>
          <a:round/>
          <a:headEnd/>
          <a:tailEnd type="stealth" w="lg" len="lg"/>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969696"/>
                </a:outerShdw>
              </a:effectLst>
            </a14:hiddenEffects>
          </a:ext>
        </a:extLst>
      </xdr:spPr>
    </xdr:sp>
    <xdr:clientData/>
  </xdr:twoCellAnchor>
  <xdr:twoCellAnchor>
    <xdr:from>
      <xdr:col>7</xdr:col>
      <xdr:colOff>95250</xdr:colOff>
      <xdr:row>73</xdr:row>
      <xdr:rowOff>104775</xdr:rowOff>
    </xdr:from>
    <xdr:to>
      <xdr:col>19</xdr:col>
      <xdr:colOff>428625</xdr:colOff>
      <xdr:row>75</xdr:row>
      <xdr:rowOff>123825</xdr:rowOff>
    </xdr:to>
    <xdr:sp macro="" textlink="">
      <xdr:nvSpPr>
        <xdr:cNvPr id="10" name="Text Box 34"/>
        <xdr:cNvSpPr txBox="1">
          <a:spLocks noChangeArrowheads="1"/>
        </xdr:cNvSpPr>
      </xdr:nvSpPr>
      <xdr:spPr bwMode="gray">
        <a:xfrm>
          <a:off x="4362450" y="11925300"/>
          <a:ext cx="7648575" cy="342900"/>
        </a:xfrm>
        <a:prstGeom prst="rect">
          <a:avLst/>
        </a:prstGeom>
        <a:noFill/>
        <a:ln>
          <a:noFill/>
        </a:ln>
        <a:effectLst/>
        <a:extLst>
          <a:ext uri="{909E8E84-426E-40DD-AFC4-6F175D3DCCD1}">
            <a14:hiddenFill xmlns:a14="http://schemas.microsoft.com/office/drawing/2010/main">
              <a:solidFill>
                <a:srgbClr val="2270AB"/>
              </a:solidFill>
            </a14:hiddenFill>
          </a:ex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969696"/>
                </a:outerShdw>
              </a:effectLst>
            </a14:hiddenEffects>
          </a:ext>
        </a:extLst>
      </xdr:spPr>
      <xdr:txBody>
        <a:bodyPr vertOverflow="clip" wrap="square" lIns="45720" tIns="45720" rIns="45720" bIns="45720" anchor="t" upright="1"/>
        <a:lstStyle/>
        <a:p>
          <a:pPr algn="l" rtl="0">
            <a:defRPr sz="1000"/>
          </a:pPr>
          <a:r>
            <a:rPr lang="en-US" sz="900" b="1" i="0" u="none" strike="noStrike" baseline="0">
              <a:solidFill>
                <a:srgbClr val="2270AB"/>
              </a:solidFill>
              <a:latin typeface="Verdana"/>
              <a:ea typeface="Verdana"/>
              <a:cs typeface="Verdana"/>
            </a:rPr>
            <a:t>Reduces equity value dollar for dollar as a debt-like liability</a:t>
          </a:r>
          <a:endParaRPr lang="en-US" sz="1200" b="0" i="0" u="none" strike="noStrike" baseline="0">
            <a:solidFill>
              <a:srgbClr val="2270AB"/>
            </a:solidFill>
            <a:latin typeface="Arial"/>
            <a:ea typeface="Verdana"/>
            <a:cs typeface="Arial"/>
          </a:endParaRPr>
        </a:p>
        <a:p>
          <a:pPr algn="l" rtl="0">
            <a:defRPr sz="1000"/>
          </a:pPr>
          <a:endParaRPr lang="en-US" sz="1200" b="0" i="0" u="none" strike="noStrike" baseline="0">
            <a:solidFill>
              <a:srgbClr val="2270AB"/>
            </a:solidFill>
            <a:latin typeface="Arial"/>
            <a:cs typeface="Arial"/>
          </a:endParaRPr>
        </a:p>
      </xdr:txBody>
    </xdr:sp>
    <xdr:clientData/>
  </xdr:twoCellAnchor>
  <xdr:twoCellAnchor>
    <xdr:from>
      <xdr:col>7</xdr:col>
      <xdr:colOff>95250</xdr:colOff>
      <xdr:row>76</xdr:row>
      <xdr:rowOff>95250</xdr:rowOff>
    </xdr:from>
    <xdr:to>
      <xdr:col>19</xdr:col>
      <xdr:colOff>190500</xdr:colOff>
      <xdr:row>79</xdr:row>
      <xdr:rowOff>85725</xdr:rowOff>
    </xdr:to>
    <xdr:sp macro="" textlink="">
      <xdr:nvSpPr>
        <xdr:cNvPr id="11" name="Text Box 35"/>
        <xdr:cNvSpPr txBox="1">
          <a:spLocks noChangeArrowheads="1"/>
        </xdr:cNvSpPr>
      </xdr:nvSpPr>
      <xdr:spPr bwMode="gray">
        <a:xfrm>
          <a:off x="4362450" y="12401550"/>
          <a:ext cx="7410450" cy="476250"/>
        </a:xfrm>
        <a:prstGeom prst="rect">
          <a:avLst/>
        </a:prstGeom>
        <a:noFill/>
        <a:ln>
          <a:noFill/>
        </a:ln>
        <a:effectLst/>
        <a:extLst>
          <a:ext uri="{909E8E84-426E-40DD-AFC4-6F175D3DCCD1}">
            <a14:hiddenFill xmlns:a14="http://schemas.microsoft.com/office/drawing/2010/main">
              <a:solidFill>
                <a:srgbClr val="2270AB"/>
              </a:solidFill>
            </a14:hiddenFill>
          </a:ex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969696"/>
                </a:outerShdw>
              </a:effectLst>
            </a14:hiddenEffects>
          </a:ext>
        </a:extLst>
      </xdr:spPr>
      <xdr:txBody>
        <a:bodyPr vertOverflow="clip" wrap="square" lIns="45720" tIns="45720" rIns="45720" bIns="45720" anchor="t" upright="1"/>
        <a:lstStyle/>
        <a:p>
          <a:pPr algn="l" rtl="0">
            <a:defRPr sz="1000"/>
          </a:pPr>
          <a:r>
            <a:rPr lang="en-US" sz="900" b="1" i="0" u="none" strike="noStrike" baseline="0">
              <a:solidFill>
                <a:srgbClr val="2270AB"/>
              </a:solidFill>
              <a:latin typeface="Verdana"/>
              <a:ea typeface="Verdana"/>
              <a:cs typeface="Verdana"/>
            </a:rPr>
            <a:t>Use in projections of earnings and operating cash flow as a proxy for contributions</a:t>
          </a:r>
          <a:r>
            <a:rPr lang="en-US" sz="900" b="1" i="0" u="none" strike="noStrike" baseline="30000">
              <a:solidFill>
                <a:srgbClr val="2270AB"/>
              </a:solidFill>
              <a:latin typeface="Verdana"/>
              <a:ea typeface="Verdana"/>
              <a:cs typeface="Verdana"/>
            </a:rPr>
            <a:t>(1)</a:t>
          </a:r>
          <a:endParaRPr lang="en-US" sz="1200" b="0" i="0" u="none" strike="noStrike" baseline="0">
            <a:solidFill>
              <a:srgbClr val="2270AB"/>
            </a:solidFill>
            <a:latin typeface="Arial"/>
            <a:ea typeface="Verdana"/>
            <a:cs typeface="Arial"/>
          </a:endParaRPr>
        </a:p>
        <a:p>
          <a:pPr algn="l" rtl="0">
            <a:defRPr sz="1000"/>
          </a:pPr>
          <a:endParaRPr lang="en-US" sz="1200" b="0" i="0" u="none" strike="noStrike" baseline="0">
            <a:solidFill>
              <a:srgbClr val="2270AB"/>
            </a:solidFill>
            <a:latin typeface="Arial"/>
            <a:cs typeface="Arial"/>
          </a:endParaRPr>
        </a:p>
      </xdr:txBody>
    </xdr:sp>
    <xdr:clientData/>
  </xdr:twoCellAnchor>
  <xdr:oneCellAnchor>
    <xdr:from>
      <xdr:col>7</xdr:col>
      <xdr:colOff>66675</xdr:colOff>
      <xdr:row>80</xdr:row>
      <xdr:rowOff>57150</xdr:rowOff>
    </xdr:from>
    <xdr:ext cx="3869201" cy="232628"/>
    <xdr:sp macro="" textlink="">
      <xdr:nvSpPr>
        <xdr:cNvPr id="12" name="Text Box 36"/>
        <xdr:cNvSpPr txBox="1">
          <a:spLocks noChangeArrowheads="1"/>
        </xdr:cNvSpPr>
      </xdr:nvSpPr>
      <xdr:spPr bwMode="gray">
        <a:xfrm>
          <a:off x="4333875" y="13011150"/>
          <a:ext cx="3869201" cy="232628"/>
        </a:xfrm>
        <a:prstGeom prst="rect">
          <a:avLst/>
        </a:prstGeom>
        <a:noFill/>
        <a:ln>
          <a:noFill/>
        </a:ln>
        <a:effectLst/>
        <a:extLst>
          <a:ext uri="{909E8E84-426E-40DD-AFC4-6F175D3DCCD1}">
            <a14:hiddenFill xmlns:a14="http://schemas.microsoft.com/office/drawing/2010/main">
              <a:solidFill>
                <a:srgbClr val="2270AB"/>
              </a:solidFill>
            </a14:hiddenFill>
          </a:ex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969696"/>
                </a:outerShdw>
              </a:effectLst>
            </a14:hiddenEffects>
          </a:ext>
        </a:extLst>
      </xdr:spPr>
      <xdr:txBody>
        <a:bodyPr wrap="none" lIns="45720" tIns="45720" rIns="45720" bIns="45720" anchor="t" upright="1">
          <a:spAutoFit/>
        </a:bodyPr>
        <a:lstStyle/>
        <a:p>
          <a:pPr algn="l" rtl="0">
            <a:defRPr sz="1000"/>
          </a:pPr>
          <a:r>
            <a:rPr lang="en-US" sz="900" b="1" i="0" u="none" strike="noStrike" baseline="0">
              <a:solidFill>
                <a:srgbClr val="2270AB"/>
              </a:solidFill>
              <a:latin typeface="Verdana"/>
              <a:ea typeface="Verdana"/>
              <a:cs typeface="Verdana"/>
            </a:rPr>
            <a:t>Use in projections of net income in equity-level valuations</a:t>
          </a:r>
        </a:p>
      </xdr:txBody>
    </xdr:sp>
    <xdr:clientData/>
  </xdr:oneCellAnchor>
  <xdr:twoCellAnchor>
    <xdr:from>
      <xdr:col>1</xdr:col>
      <xdr:colOff>257175</xdr:colOff>
      <xdr:row>82</xdr:row>
      <xdr:rowOff>104775</xdr:rowOff>
    </xdr:from>
    <xdr:to>
      <xdr:col>19</xdr:col>
      <xdr:colOff>447675</xdr:colOff>
      <xdr:row>84</xdr:row>
      <xdr:rowOff>114300</xdr:rowOff>
    </xdr:to>
    <xdr:sp macro="" textlink="">
      <xdr:nvSpPr>
        <xdr:cNvPr id="13" name="Text Box 37"/>
        <xdr:cNvSpPr txBox="1">
          <a:spLocks noChangeArrowheads="1"/>
        </xdr:cNvSpPr>
      </xdr:nvSpPr>
      <xdr:spPr bwMode="gray">
        <a:xfrm>
          <a:off x="866775" y="13382625"/>
          <a:ext cx="11163300" cy="333375"/>
        </a:xfrm>
        <a:prstGeom prst="rect">
          <a:avLst/>
        </a:prstGeom>
        <a:noFill/>
        <a:ln>
          <a:noFill/>
        </a:ln>
        <a:effectLst/>
        <a:extLst>
          <a:ext uri="{909E8E84-426E-40DD-AFC4-6F175D3DCCD1}">
            <a14:hiddenFill xmlns:a14="http://schemas.microsoft.com/office/drawing/2010/main">
              <a:solidFill>
                <a:srgbClr val="2270AB"/>
              </a:solidFill>
            </a14:hiddenFill>
          </a:ex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969696"/>
                </a:outerShdw>
              </a:effectLst>
            </a14:hiddenEffects>
          </a:ext>
        </a:extLst>
      </xdr:spPr>
      <xdr:txBody>
        <a:bodyPr vertOverflow="clip" wrap="square" lIns="45720" tIns="45720" rIns="45720" bIns="45720" anchor="t" upright="1"/>
        <a:lstStyle/>
        <a:p>
          <a:pPr algn="l" rtl="0">
            <a:defRPr sz="1000"/>
          </a:pPr>
          <a:r>
            <a:rPr lang="en-US" sz="900" b="1" i="0" u="none" strike="noStrike" baseline="30000">
              <a:solidFill>
                <a:srgbClr val="2270AB"/>
              </a:solidFill>
              <a:latin typeface="Verdana"/>
              <a:ea typeface="Verdana"/>
              <a:cs typeface="Verdana"/>
            </a:rPr>
            <a:t>(1)</a:t>
          </a:r>
          <a:r>
            <a:rPr lang="en-US" sz="900" b="1" i="0" u="none" strike="noStrike" baseline="0">
              <a:solidFill>
                <a:srgbClr val="2270AB"/>
              </a:solidFill>
              <a:latin typeface="Verdana"/>
              <a:ea typeface="Verdana"/>
              <a:cs typeface="Verdana"/>
            </a:rPr>
            <a:t>Projections of pension contributions are relevant only if large cash outflows would constrain business activities</a:t>
          </a:r>
        </a:p>
      </xdr:txBody>
    </xdr:sp>
    <xdr:clientData/>
  </xdr:twoCellAnchor>
  <mc:AlternateContent xmlns:mc="http://schemas.openxmlformats.org/markup-compatibility/2006">
    <mc:Choice xmlns:a14="http://schemas.microsoft.com/office/drawing/2010/main" Requires="a14">
      <xdr:twoCellAnchor editAs="oneCell">
        <xdr:from>
          <xdr:col>20</xdr:col>
          <xdr:colOff>209550</xdr:colOff>
          <xdr:row>0</xdr:row>
          <xdr:rowOff>66675</xdr:rowOff>
        </xdr:from>
        <xdr:to>
          <xdr:col>22</xdr:col>
          <xdr:colOff>180975</xdr:colOff>
          <xdr:row>1</xdr:row>
          <xdr:rowOff>133350</xdr:rowOff>
        </xdr:to>
        <xdr:sp macro="" textlink="">
          <xdr:nvSpPr>
            <xdr:cNvPr id="6657057" name="CommandButton1" hidden="1">
              <a:extLst>
                <a:ext uri="{63B3BB69-23CF-44E3-9099-C40C66FF867C}">
                  <a14:compatExt spid="_x0000_s6657057"/>
                </a:ext>
              </a:extLst>
            </xdr:cNvPr>
            <xdr:cNvSpPr/>
          </xdr:nvSpPr>
          <xdr:spPr>
            <a:xfrm>
              <a:off x="0" y="0"/>
              <a:ext cx="0" cy="0"/>
            </a:xfrm>
            <a:prstGeom prst="rect">
              <a:avLst/>
            </a:prstGeom>
          </xdr:spPr>
        </xdr:sp>
        <xdr:clientData/>
      </xdr:twoCellAnchor>
    </mc:Choice>
    <mc:Fallback/>
  </mc:AlternateContent>
  <xdr:twoCellAnchor>
    <xdr:from>
      <xdr:col>20</xdr:col>
      <xdr:colOff>114300</xdr:colOff>
      <xdr:row>32</xdr:row>
      <xdr:rowOff>9525</xdr:rowOff>
    </xdr:from>
    <xdr:to>
      <xdr:col>25</xdr:col>
      <xdr:colOff>361950</xdr:colOff>
      <xdr:row>45</xdr:row>
      <xdr:rowOff>152400</xdr:rowOff>
    </xdr:to>
    <xdr:graphicFrame macro="">
      <xdr:nvGraphicFramePr>
        <xdr:cNvPr id="15" name="Chart 8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85725</xdr:colOff>
      <xdr:row>16</xdr:row>
      <xdr:rowOff>38100</xdr:rowOff>
    </xdr:from>
    <xdr:to>
      <xdr:col>25</xdr:col>
      <xdr:colOff>342900</xdr:colOff>
      <xdr:row>31</xdr:row>
      <xdr:rowOff>19050</xdr:rowOff>
    </xdr:to>
    <xdr:graphicFrame macro="">
      <xdr:nvGraphicFramePr>
        <xdr:cNvPr id="16" name="Chart 15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23</xdr:col>
          <xdr:colOff>76200</xdr:colOff>
          <xdr:row>0</xdr:row>
          <xdr:rowOff>57150</xdr:rowOff>
        </xdr:from>
        <xdr:to>
          <xdr:col>26</xdr:col>
          <xdr:colOff>0</xdr:colOff>
          <xdr:row>1</xdr:row>
          <xdr:rowOff>133350</xdr:rowOff>
        </xdr:to>
        <xdr:sp macro="" textlink="">
          <xdr:nvSpPr>
            <xdr:cNvPr id="6657058" name="CommandButton2" hidden="1">
              <a:extLst>
                <a:ext uri="{63B3BB69-23CF-44E3-9099-C40C66FF867C}">
                  <a14:compatExt spid="_x0000_s66570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476250</xdr:colOff>
          <xdr:row>0</xdr:row>
          <xdr:rowOff>85725</xdr:rowOff>
        </xdr:from>
        <xdr:to>
          <xdr:col>13</xdr:col>
          <xdr:colOff>657225</xdr:colOff>
          <xdr:row>1</xdr:row>
          <xdr:rowOff>171450</xdr:rowOff>
        </xdr:to>
        <xdr:sp macro="" textlink="">
          <xdr:nvSpPr>
            <xdr:cNvPr id="6657059" name="ComboBox1" hidden="1">
              <a:extLst>
                <a:ext uri="{63B3BB69-23CF-44E3-9099-C40C66FF867C}">
                  <a14:compatExt spid="_x0000_s6657059"/>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20</xdr:col>
      <xdr:colOff>171450</xdr:colOff>
      <xdr:row>17</xdr:row>
      <xdr:rowOff>19050</xdr:rowOff>
    </xdr:from>
    <xdr:to>
      <xdr:col>24</xdr:col>
      <xdr:colOff>200025</xdr:colOff>
      <xdr:row>31</xdr:row>
      <xdr:rowOff>152400</xdr:rowOff>
    </xdr:to>
    <xdr:graphicFrame macro="">
      <xdr:nvGraphicFramePr>
        <xdr:cNvPr id="2" name="Chart 6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476250</xdr:colOff>
          <xdr:row>0</xdr:row>
          <xdr:rowOff>57150</xdr:rowOff>
        </xdr:from>
        <xdr:to>
          <xdr:col>14</xdr:col>
          <xdr:colOff>0</xdr:colOff>
          <xdr:row>1</xdr:row>
          <xdr:rowOff>180975</xdr:rowOff>
        </xdr:to>
        <xdr:sp macro="" textlink="">
          <xdr:nvSpPr>
            <xdr:cNvPr id="6658049" name="ComboBox1" hidden="1">
              <a:extLst>
                <a:ext uri="{63B3BB69-23CF-44E3-9099-C40C66FF867C}">
                  <a14:compatExt spid="_x0000_s6658049"/>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
<Relationship Id="rId1" Target="TEMP/data/excel/P.XLS" TargetMode="External" Type="http://schemas.microsoft.com/office/2006/relationships/xlExternalLinkPath/xlStartup"/>
</Relationships>

</file>

<file path=xl/externalLinks/_rels/externalLink2.xml.rels><?xml version="1.0" encoding="UTF-8" standalone="yes"?>
<Relationships xmlns="http://schemas.openxmlformats.org/package/2006/relationships">
<Relationship Id="rId1" Target="Documents%20and%20Settings/warjohn/Local%20Settings/Temporary%20Internet%20Files/OLK1DA/Funded%20status%20Chart.xls" TargetMode="External" Type="http://schemas.microsoft.com/office/2006/relationships/xlExternalLinkPath/xlAlternateStartup"/>
</Relationships>

</file>

<file path=xl/externalLinks/_rels/externalLink3.xml.rels><?xml version="1.0" encoding="UTF-8" standalone="yes"?>
<Relationships xmlns="http://schemas.openxmlformats.org/package/2006/relationships">
<Relationship Id="rId1" Target="na/ny/users/johndasc/Docs/ID/Charts/Chart_Gallery/From%20Vlad/B11_BarSingle_AverageLine.xls" TargetMode="External" Type="http://schemas.microsoft.com/office/2006/relationships/xlExternalLinkPath/xlAlternateStartup"/>
</Relationships>

</file>

<file path=xl/externalLinks/_rels/externalLink4.xml.rels><?xml version="1.0" encoding="UTF-8" standalone="yes"?>
<Relationships xmlns="http://schemas.openxmlformats.org/package/2006/relationships">
<Relationship Id="rId1" Target="TEMPLATE/Excel/LINKTAB.XLS" TargetMode="External" Type="http://schemas.microsoft.com/office/2006/relationships/xlExternalLinkPath/xlStartup"/>
</Relationships>

</file>

<file path=xl/externalLinks/_rels/externalLink5.xml.rels><?xml version="1.0" encoding="UTF-8" standalone="yes"?>
<Relationships xmlns="http://schemas.openxmlformats.org/package/2006/relationships">
<Relationship Id="rId1" Target="NA/NY/users/mariapam/Downloads/PensionAnalyzerUS.xls" TargetMode="External" Type="http://schemas.microsoft.com/office/2006/relationships/xlExternalLinkPath/xlAlternateStartup"/>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P"/>
      <sheetName val="BS"/>
      <sheetName val="TOSCO"/>
      <sheetName val="Segment ROCE"/>
      <sheetName val="ROGIC"/>
      <sheetName val="E&amp;P"/>
      <sheetName val="NEPS"/>
      <sheetName val="RefineryMaint"/>
      <sheetName val="Hamaca"/>
      <sheetName val="Bohai"/>
      <sheetName val="Bayu Undan"/>
      <sheetName val="R&amp;M"/>
      <sheetName val="GPM"/>
      <sheetName val="Variance"/>
      <sheetName val="ARCO - Alaska"/>
      <sheetName val="Capex"/>
      <sheetName val="Reserves"/>
      <sheetName val="WACC"/>
      <sheetName val="Valuation"/>
      <sheetName val="NAV"/>
      <sheetName val="Chemical JV"/>
      <sheetName val="Chems"/>
      <sheetName val="EKOFISK"/>
      <sheetName val="PUDS"/>
      <sheetName val="GE Data"/>
      <sheetName val="IndexInformation"/>
      <sheetName val="MainCode"/>
      <sheetName val="NY UPLOAD"/>
      <sheetName val="NY UPLOAD Shadow"/>
      <sheetName val="Distribution"/>
      <sheetName val="A-Link Source"/>
      <sheetName val="Q-Link Source"/>
      <sheetName val="COP"/>
      <sheetName val="Income Statement"/>
      <sheetName val="Revenue&amp;EBIT"/>
      <sheetName val="Fin. Summary"/>
      <sheetName val="Inputs"/>
      <sheetName val="XOM"/>
      <sheetName val="New Source Charts"/>
      <sheetName val="Modelware"/>
      <sheetName val="R&amp;MIS"/>
      <sheetName val="E&amp;P Growth &amp; Returns"/>
      <sheetName val="Global Product Sum"/>
      <sheetName val="Scenario"/>
      <sheetName val="Quarter"/>
      <sheetName val="Annual"/>
      <sheetName val="AN"/>
      <sheetName val="COC"/>
      <sheetName val="ｾｸﾞﾒﾝﾄ"/>
      <sheetName val="単独"/>
      <sheetName val="Factset Profile"/>
      <sheetName val="cash"/>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1500"/>
      <sheetName val="Sheet1"/>
    </sheetNames>
    <sheetDataSet>
      <sheetData sheetId="0" refreshError="1">
        <row r="1">
          <cell r="P1" t="str">
            <v>SmartCharts</v>
          </cell>
          <cell r="BC1" t="str">
            <v>.</v>
          </cell>
        </row>
        <row r="2">
          <cell r="BC2" t="str">
            <v>.</v>
          </cell>
        </row>
        <row r="3">
          <cell r="BC3" t="str">
            <v>.</v>
          </cell>
        </row>
        <row r="6">
          <cell r="P6" t="str">
            <v>MORE</v>
          </cell>
        </row>
        <row r="7">
          <cell r="I7" t="str">
            <v xml:space="preserve">Adjust spacing between legend entries using these buttons: </v>
          </cell>
        </row>
        <row r="8">
          <cell r="P8" t="str">
            <v>LESS</v>
          </cell>
          <cell r="AB8" t="str">
            <v>Funded Status (%)</v>
          </cell>
          <cell r="AD8">
            <v>0</v>
          </cell>
        </row>
        <row r="10">
          <cell r="C10" t="str">
            <v>Input your data here:</v>
          </cell>
          <cell r="BC10" t="str">
            <v>.</v>
          </cell>
        </row>
        <row r="11">
          <cell r="D11" t="str">
            <v>Funded Status (%)</v>
          </cell>
          <cell r="E11" t="str">
            <v>% of Market Cap</v>
          </cell>
          <cell r="BC11" t="str">
            <v>.</v>
          </cell>
        </row>
        <row r="12">
          <cell r="C12">
            <v>2005</v>
          </cell>
          <cell r="D12">
            <v>0.91</v>
          </cell>
          <cell r="E12">
            <v>0.45</v>
          </cell>
        </row>
        <row r="13">
          <cell r="C13">
            <v>2006</v>
          </cell>
          <cell r="D13">
            <v>0.98</v>
          </cell>
          <cell r="E13">
            <v>0.5</v>
          </cell>
        </row>
        <row r="14">
          <cell r="C14">
            <v>2007</v>
          </cell>
          <cell r="D14">
            <v>1.05</v>
          </cell>
          <cell r="E14">
            <v>0.35</v>
          </cell>
          <cell r="BC14" t="str">
            <v>.</v>
          </cell>
        </row>
        <row r="15">
          <cell r="C15">
            <v>2008</v>
          </cell>
          <cell r="D15">
            <v>0.77</v>
          </cell>
          <cell r="E15">
            <v>0.6</v>
          </cell>
          <cell r="BC15" t="str">
            <v>.</v>
          </cell>
        </row>
        <row r="16">
          <cell r="C16">
            <v>2009</v>
          </cell>
          <cell r="D16">
            <v>0.82</v>
          </cell>
          <cell r="E16">
            <v>0.56000000000000005</v>
          </cell>
          <cell r="BC16" t="str">
            <v>.</v>
          </cell>
        </row>
        <row r="17">
          <cell r="C17">
            <v>2010</v>
          </cell>
          <cell r="D17">
            <v>0.84</v>
          </cell>
          <cell r="E17">
            <v>0.52</v>
          </cell>
          <cell r="BC17" t="str">
            <v>.</v>
          </cell>
        </row>
        <row r="18">
          <cell r="C18">
            <v>2011</v>
          </cell>
          <cell r="D18">
            <v>0.78</v>
          </cell>
          <cell r="E18">
            <v>0.6</v>
          </cell>
          <cell r="BC18" t="str">
            <v>.</v>
          </cell>
        </row>
        <row r="19">
          <cell r="BC19" t="str">
            <v>.</v>
          </cell>
        </row>
        <row r="20">
          <cell r="BC20" t="str">
            <v>.</v>
          </cell>
        </row>
        <row r="21">
          <cell r="BC21" t="str">
            <v>.</v>
          </cell>
        </row>
        <row r="22">
          <cell r="BC22" t="str">
            <v>.</v>
          </cell>
        </row>
        <row r="23">
          <cell r="BC23" t="str">
            <v>.</v>
          </cell>
        </row>
        <row r="24">
          <cell r="BC24" t="str">
            <v>.</v>
          </cell>
        </row>
        <row r="25">
          <cell r="BC25" t="str">
            <v>.</v>
          </cell>
        </row>
        <row r="26">
          <cell r="BC26" t="str">
            <v>.</v>
          </cell>
        </row>
        <row r="27">
          <cell r="BC27" t="str">
            <v>.</v>
          </cell>
        </row>
        <row r="28">
          <cell r="BC28" t="str">
            <v>.</v>
          </cell>
        </row>
        <row r="29">
          <cell r="BC29" t="str">
            <v>.</v>
          </cell>
        </row>
        <row r="30">
          <cell r="BC30" t="str">
            <v>.</v>
          </cell>
        </row>
        <row r="31">
          <cell r="BC31" t="str">
            <v>.</v>
          </cell>
        </row>
        <row r="32">
          <cell r="BC32" t="str">
            <v>.</v>
          </cell>
        </row>
        <row r="33">
          <cell r="BC33" t="str">
            <v>.</v>
          </cell>
        </row>
        <row r="34">
          <cell r="BC34" t="str">
            <v>.</v>
          </cell>
        </row>
        <row r="35">
          <cell r="BC35" t="str">
            <v>.</v>
          </cell>
        </row>
        <row r="36">
          <cell r="BC36" t="str">
            <v>.</v>
          </cell>
        </row>
        <row r="37">
          <cell r="BC37" t="str">
            <v>.</v>
          </cell>
        </row>
        <row r="38">
          <cell r="BC38" t="str">
            <v>.</v>
          </cell>
        </row>
        <row r="39">
          <cell r="BC39" t="str">
            <v>.</v>
          </cell>
        </row>
        <row r="40">
          <cell r="BC40" t="str">
            <v>.</v>
          </cell>
        </row>
        <row r="41">
          <cell r="BC41" t="str">
            <v>.</v>
          </cell>
        </row>
        <row r="42">
          <cell r="G42" t="str">
            <v>Do not change the width of the exhibit or font sizes (they are optimized for export to Word).</v>
          </cell>
          <cell r="BC42" t="str">
            <v>.</v>
          </cell>
        </row>
        <row r="43">
          <cell r="BC43" t="str">
            <v>.</v>
          </cell>
        </row>
        <row r="44">
          <cell r="G44" t="str">
            <v>Do not delete any rows or columns (some gray cells are used for calculations).</v>
          </cell>
          <cell r="BC44" t="str">
            <v>.</v>
          </cell>
        </row>
        <row r="45">
          <cell r="BC45" t="str">
            <v>.</v>
          </cell>
        </row>
        <row r="46">
          <cell r="BC46" t="str">
            <v>.</v>
          </cell>
        </row>
        <row r="47">
          <cell r="BC47" t="str">
            <v>.</v>
          </cell>
        </row>
        <row r="48">
          <cell r="BC48" t="str">
            <v>.</v>
          </cell>
        </row>
        <row r="49">
          <cell r="BC49" t="str">
            <v>.</v>
          </cell>
        </row>
        <row r="50">
          <cell r="BC50" t="str">
            <v>.</v>
          </cell>
        </row>
        <row r="51">
          <cell r="BC51" t="str">
            <v>.</v>
          </cell>
        </row>
        <row r="52">
          <cell r="BC52" t="str">
            <v>.</v>
          </cell>
        </row>
        <row r="53">
          <cell r="BC53" t="str">
            <v>.</v>
          </cell>
        </row>
        <row r="54">
          <cell r="BC54" t="str">
            <v>.</v>
          </cell>
        </row>
        <row r="55">
          <cell r="BC55" t="str">
            <v>.</v>
          </cell>
        </row>
        <row r="56">
          <cell r="BC56" t="str">
            <v>.</v>
          </cell>
        </row>
        <row r="57">
          <cell r="BC57" t="str">
            <v>.</v>
          </cell>
        </row>
        <row r="58">
          <cell r="BC58" t="str">
            <v>.</v>
          </cell>
        </row>
        <row r="59">
          <cell r="BC59" t="str">
            <v>.</v>
          </cell>
        </row>
        <row r="60">
          <cell r="BC60" t="str">
            <v>.</v>
          </cell>
        </row>
        <row r="61">
          <cell r="BC61" t="str">
            <v>.</v>
          </cell>
        </row>
        <row r="62">
          <cell r="BC62" t="str">
            <v>.</v>
          </cell>
        </row>
        <row r="63">
          <cell r="BC63" t="str">
            <v>.</v>
          </cell>
        </row>
        <row r="64">
          <cell r="BC64" t="str">
            <v>.</v>
          </cell>
        </row>
        <row r="65">
          <cell r="BC65" t="str">
            <v>.</v>
          </cell>
        </row>
        <row r="66">
          <cell r="BC66" t="str">
            <v>.</v>
          </cell>
        </row>
        <row r="67">
          <cell r="BC67" t="str">
            <v>.</v>
          </cell>
        </row>
        <row r="68">
          <cell r="BC68" t="str">
            <v>.</v>
          </cell>
        </row>
        <row r="69">
          <cell r="BC69" t="str">
            <v>.</v>
          </cell>
        </row>
        <row r="70">
          <cell r="BC70" t="str">
            <v>.</v>
          </cell>
        </row>
        <row r="71">
          <cell r="BC71" t="str">
            <v>.</v>
          </cell>
        </row>
        <row r="72">
          <cell r="BC72" t="str">
            <v>.</v>
          </cell>
        </row>
        <row r="73">
          <cell r="BC73" t="str">
            <v>.</v>
          </cell>
        </row>
        <row r="74">
          <cell r="BC74" t="str">
            <v>.</v>
          </cell>
        </row>
        <row r="75">
          <cell r="BC75" t="str">
            <v>.</v>
          </cell>
        </row>
        <row r="76">
          <cell r="BC76" t="str">
            <v>.</v>
          </cell>
        </row>
        <row r="77">
          <cell r="BC77" t="str">
            <v>.</v>
          </cell>
        </row>
        <row r="78">
          <cell r="BC78" t="str">
            <v>.</v>
          </cell>
        </row>
        <row r="79">
          <cell r="BC79" t="str">
            <v>.</v>
          </cell>
        </row>
        <row r="80">
          <cell r="BC80" t="str">
            <v>.</v>
          </cell>
        </row>
        <row r="81">
          <cell r="BC81" t="str">
            <v>.</v>
          </cell>
        </row>
        <row r="82">
          <cell r="BC82" t="str">
            <v>.</v>
          </cell>
        </row>
        <row r="83">
          <cell r="BC83" t="str">
            <v>.</v>
          </cell>
        </row>
        <row r="84">
          <cell r="BC84" t="str">
            <v>.</v>
          </cell>
        </row>
        <row r="85">
          <cell r="BC85" t="str">
            <v>.</v>
          </cell>
        </row>
        <row r="86">
          <cell r="BC86" t="str">
            <v>.</v>
          </cell>
        </row>
        <row r="87">
          <cell r="BC87" t="str">
            <v>.</v>
          </cell>
        </row>
        <row r="88">
          <cell r="BC88" t="str">
            <v>.</v>
          </cell>
        </row>
        <row r="89">
          <cell r="BC89" t="str">
            <v>.</v>
          </cell>
        </row>
        <row r="90">
          <cell r="BC90" t="str">
            <v>.</v>
          </cell>
        </row>
        <row r="91">
          <cell r="BC91" t="str">
            <v>.</v>
          </cell>
        </row>
        <row r="92">
          <cell r="BC92" t="str">
            <v>.</v>
          </cell>
        </row>
        <row r="93">
          <cell r="BC93" t="str">
            <v>.</v>
          </cell>
        </row>
        <row r="94">
          <cell r="BC94" t="str">
            <v>.</v>
          </cell>
        </row>
        <row r="95">
          <cell r="BC95" t="str">
            <v>.</v>
          </cell>
        </row>
        <row r="96">
          <cell r="BC96" t="str">
            <v>.</v>
          </cell>
        </row>
        <row r="97">
          <cell r="BC97" t="str">
            <v>.</v>
          </cell>
        </row>
        <row r="98">
          <cell r="BC98" t="str">
            <v>.</v>
          </cell>
        </row>
        <row r="99">
          <cell r="BC99" t="str">
            <v>.</v>
          </cell>
        </row>
        <row r="100">
          <cell r="BC100" t="str">
            <v>.</v>
          </cell>
        </row>
        <row r="101">
          <cell r="BC101" t="str">
            <v>.</v>
          </cell>
        </row>
        <row r="102">
          <cell r="BC102" t="str">
            <v>.</v>
          </cell>
        </row>
        <row r="103">
          <cell r="BC103" t="str">
            <v>.</v>
          </cell>
        </row>
        <row r="104">
          <cell r="BC104" t="str">
            <v>.</v>
          </cell>
        </row>
        <row r="105">
          <cell r="BC105" t="str">
            <v>.</v>
          </cell>
        </row>
        <row r="106">
          <cell r="BC106" t="str">
            <v>.</v>
          </cell>
        </row>
        <row r="107">
          <cell r="BC107" t="str">
            <v>.</v>
          </cell>
        </row>
        <row r="108">
          <cell r="BC108" t="str">
            <v>.</v>
          </cell>
        </row>
        <row r="109">
          <cell r="BC109" t="str">
            <v>.</v>
          </cell>
        </row>
        <row r="110">
          <cell r="BC110" t="str">
            <v>.</v>
          </cell>
        </row>
        <row r="111">
          <cell r="BC111" t="str">
            <v>.</v>
          </cell>
        </row>
        <row r="112">
          <cell r="BC112" t="str">
            <v>.</v>
          </cell>
        </row>
        <row r="113">
          <cell r="BC113" t="str">
            <v>.</v>
          </cell>
        </row>
        <row r="114">
          <cell r="BC114" t="str">
            <v>.</v>
          </cell>
        </row>
        <row r="115">
          <cell r="BC115" t="str">
            <v>.</v>
          </cell>
        </row>
        <row r="116">
          <cell r="BC116" t="str">
            <v>.</v>
          </cell>
        </row>
        <row r="117">
          <cell r="BC117" t="str">
            <v>.</v>
          </cell>
        </row>
        <row r="118">
          <cell r="BC118" t="str">
            <v>.</v>
          </cell>
        </row>
        <row r="119">
          <cell r="BC119" t="str">
            <v>.</v>
          </cell>
        </row>
        <row r="120">
          <cell r="BC120" t="str">
            <v>.</v>
          </cell>
        </row>
        <row r="121">
          <cell r="BC121" t="str">
            <v>.</v>
          </cell>
        </row>
        <row r="122">
          <cell r="BC122" t="str">
            <v>.</v>
          </cell>
        </row>
        <row r="123">
          <cell r="BC123" t="str">
            <v>.</v>
          </cell>
        </row>
        <row r="124">
          <cell r="BC124" t="str">
            <v>.</v>
          </cell>
        </row>
        <row r="125">
          <cell r="BC125" t="str">
            <v>.</v>
          </cell>
        </row>
        <row r="126">
          <cell r="BC126" t="str">
            <v>.</v>
          </cell>
        </row>
        <row r="127">
          <cell r="BC127" t="str">
            <v>.</v>
          </cell>
        </row>
        <row r="128">
          <cell r="BC128" t="str">
            <v>.</v>
          </cell>
        </row>
        <row r="129">
          <cell r="BC129" t="str">
            <v>.</v>
          </cell>
        </row>
        <row r="130">
          <cell r="BC130" t="str">
            <v>.</v>
          </cell>
        </row>
        <row r="131">
          <cell r="BC131" t="str">
            <v>.</v>
          </cell>
        </row>
        <row r="132">
          <cell r="BC132" t="str">
            <v>.</v>
          </cell>
        </row>
        <row r="133">
          <cell r="BC133" t="str">
            <v>.</v>
          </cell>
        </row>
        <row r="134">
          <cell r="BC134" t="str">
            <v>.</v>
          </cell>
        </row>
        <row r="135">
          <cell r="BC135" t="str">
            <v>.</v>
          </cell>
        </row>
        <row r="136">
          <cell r="BC136" t="str">
            <v>.</v>
          </cell>
        </row>
        <row r="137">
          <cell r="BC137" t="str">
            <v>.</v>
          </cell>
        </row>
        <row r="138">
          <cell r="BC138" t="str">
            <v>.</v>
          </cell>
        </row>
        <row r="139">
          <cell r="BC139" t="str">
            <v>.</v>
          </cell>
        </row>
        <row r="140">
          <cell r="BC140" t="str">
            <v>.</v>
          </cell>
        </row>
        <row r="141">
          <cell r="BC141" t="str">
            <v>.</v>
          </cell>
        </row>
        <row r="142">
          <cell r="BC142" t="str">
            <v>.</v>
          </cell>
        </row>
        <row r="143">
          <cell r="BC143" t="str">
            <v>.</v>
          </cell>
        </row>
        <row r="144">
          <cell r="BC144" t="str">
            <v>.</v>
          </cell>
        </row>
        <row r="145">
          <cell r="BC145" t="str">
            <v>.</v>
          </cell>
        </row>
        <row r="146">
          <cell r="BC146" t="str">
            <v>.</v>
          </cell>
        </row>
        <row r="147">
          <cell r="BC147" t="str">
            <v>.</v>
          </cell>
        </row>
        <row r="148">
          <cell r="BC148" t="str">
            <v>.</v>
          </cell>
        </row>
        <row r="149">
          <cell r="BC149" t="str">
            <v>.</v>
          </cell>
        </row>
        <row r="150">
          <cell r="BC150" t="str">
            <v>.</v>
          </cell>
        </row>
        <row r="151">
          <cell r="BC151" t="str">
            <v>.</v>
          </cell>
        </row>
        <row r="152">
          <cell r="BC152" t="str">
            <v>.</v>
          </cell>
        </row>
        <row r="153">
          <cell r="BC153" t="str">
            <v>.</v>
          </cell>
        </row>
        <row r="154">
          <cell r="BC154" t="str">
            <v>.</v>
          </cell>
        </row>
        <row r="155">
          <cell r="BC155" t="str">
            <v>.</v>
          </cell>
        </row>
        <row r="156">
          <cell r="BC156" t="str">
            <v>.</v>
          </cell>
        </row>
        <row r="157">
          <cell r="BC157" t="str">
            <v>.</v>
          </cell>
        </row>
        <row r="158">
          <cell r="BC158" t="str">
            <v>.</v>
          </cell>
        </row>
        <row r="159">
          <cell r="BC159" t="str">
            <v>.</v>
          </cell>
        </row>
        <row r="160">
          <cell r="BC160" t="str">
            <v>.</v>
          </cell>
        </row>
        <row r="161">
          <cell r="BC161" t="str">
            <v>.</v>
          </cell>
        </row>
        <row r="162">
          <cell r="BC162" t="str">
            <v>.</v>
          </cell>
        </row>
        <row r="163">
          <cell r="BC163" t="str">
            <v>.</v>
          </cell>
        </row>
        <row r="164">
          <cell r="BC164" t="str">
            <v>.</v>
          </cell>
        </row>
        <row r="165">
          <cell r="BC165" t="str">
            <v>.</v>
          </cell>
        </row>
        <row r="166">
          <cell r="BC166" t="str">
            <v>.</v>
          </cell>
        </row>
        <row r="167">
          <cell r="BC167" t="str">
            <v>.</v>
          </cell>
        </row>
        <row r="168">
          <cell r="BC168" t="str">
            <v>.</v>
          </cell>
        </row>
        <row r="169">
          <cell r="BC169" t="str">
            <v>.</v>
          </cell>
        </row>
        <row r="170">
          <cell r="BC170" t="str">
            <v>.</v>
          </cell>
        </row>
        <row r="171">
          <cell r="BC171" t="str">
            <v>.</v>
          </cell>
        </row>
        <row r="172">
          <cell r="BC172" t="str">
            <v>.</v>
          </cell>
        </row>
        <row r="173">
          <cell r="BC173" t="str">
            <v>.</v>
          </cell>
        </row>
        <row r="174">
          <cell r="BC174" t="str">
            <v>.</v>
          </cell>
        </row>
        <row r="175">
          <cell r="BC175" t="str">
            <v>.</v>
          </cell>
        </row>
        <row r="176">
          <cell r="BC176" t="str">
            <v>.</v>
          </cell>
        </row>
        <row r="177">
          <cell r="BC177" t="str">
            <v>.</v>
          </cell>
        </row>
        <row r="178">
          <cell r="BC178" t="str">
            <v>.</v>
          </cell>
        </row>
        <row r="179">
          <cell r="BC179" t="str">
            <v>.</v>
          </cell>
        </row>
        <row r="180">
          <cell r="BC180" t="str">
            <v>.</v>
          </cell>
        </row>
        <row r="181">
          <cell r="BC181" t="str">
            <v>.</v>
          </cell>
        </row>
        <row r="182">
          <cell r="BC182" t="str">
            <v>.</v>
          </cell>
        </row>
        <row r="183">
          <cell r="BC183" t="str">
            <v>.</v>
          </cell>
        </row>
        <row r="184">
          <cell r="BC184" t="str">
            <v>.</v>
          </cell>
        </row>
        <row r="185">
          <cell r="BC185" t="str">
            <v>.</v>
          </cell>
        </row>
        <row r="186">
          <cell r="BC186" t="str">
            <v>.</v>
          </cell>
        </row>
        <row r="187">
          <cell r="BC187" t="str">
            <v>.</v>
          </cell>
        </row>
        <row r="188">
          <cell r="BC188" t="str">
            <v>.</v>
          </cell>
        </row>
        <row r="189">
          <cell r="BC189" t="str">
            <v>.</v>
          </cell>
        </row>
        <row r="190">
          <cell r="BC190" t="str">
            <v>.</v>
          </cell>
        </row>
        <row r="191">
          <cell r="BC191" t="str">
            <v>.</v>
          </cell>
        </row>
        <row r="192">
          <cell r="BC192" t="str">
            <v>.</v>
          </cell>
        </row>
        <row r="193">
          <cell r="BC193" t="str">
            <v>.</v>
          </cell>
        </row>
        <row r="194">
          <cell r="BC194" t="str">
            <v>.</v>
          </cell>
        </row>
        <row r="195">
          <cell r="BC195" t="str">
            <v>.</v>
          </cell>
        </row>
        <row r="196">
          <cell r="BC196" t="str">
            <v>.</v>
          </cell>
        </row>
        <row r="197">
          <cell r="BC197" t="str">
            <v>.</v>
          </cell>
        </row>
        <row r="198">
          <cell r="BC198" t="str">
            <v>.</v>
          </cell>
        </row>
        <row r="199">
          <cell r="BC199" t="str">
            <v>.</v>
          </cell>
        </row>
        <row r="200">
          <cell r="BC200" t="str">
            <v>.</v>
          </cell>
        </row>
        <row r="201">
          <cell r="BC201" t="str">
            <v>.</v>
          </cell>
        </row>
        <row r="202">
          <cell r="BC202" t="str">
            <v>.</v>
          </cell>
        </row>
        <row r="203">
          <cell r="BC203" t="str">
            <v>.</v>
          </cell>
        </row>
        <row r="204">
          <cell r="BC204" t="str">
            <v>.</v>
          </cell>
        </row>
        <row r="205">
          <cell r="BC205" t="str">
            <v>.</v>
          </cell>
        </row>
        <row r="206">
          <cell r="BC206" t="str">
            <v>.</v>
          </cell>
        </row>
        <row r="207">
          <cell r="BC207" t="str">
            <v>.</v>
          </cell>
        </row>
        <row r="208">
          <cell r="BC208" t="str">
            <v>.</v>
          </cell>
        </row>
        <row r="209">
          <cell r="BC209" t="str">
            <v>.</v>
          </cell>
        </row>
        <row r="210">
          <cell r="BC210" t="str">
            <v>.</v>
          </cell>
        </row>
        <row r="211">
          <cell r="BC211" t="str">
            <v>.</v>
          </cell>
        </row>
        <row r="212">
          <cell r="BC212" t="str">
            <v>.</v>
          </cell>
        </row>
        <row r="213">
          <cell r="BC213" t="str">
            <v>.</v>
          </cell>
        </row>
        <row r="214">
          <cell r="BC214" t="str">
            <v>.</v>
          </cell>
        </row>
        <row r="215">
          <cell r="BC215" t="str">
            <v>.</v>
          </cell>
        </row>
        <row r="216">
          <cell r="BC216" t="str">
            <v>.</v>
          </cell>
        </row>
        <row r="217">
          <cell r="BC217" t="str">
            <v>.</v>
          </cell>
        </row>
        <row r="218">
          <cell r="BC218" t="str">
            <v>.</v>
          </cell>
        </row>
        <row r="219">
          <cell r="BC219" t="str">
            <v>.</v>
          </cell>
        </row>
        <row r="220">
          <cell r="BC220" t="str">
            <v>.</v>
          </cell>
        </row>
        <row r="221">
          <cell r="BC221" t="str">
            <v>.</v>
          </cell>
        </row>
        <row r="222">
          <cell r="BC222" t="str">
            <v>.</v>
          </cell>
        </row>
        <row r="223">
          <cell r="BC223" t="str">
            <v>.</v>
          </cell>
        </row>
        <row r="224">
          <cell r="BC224" t="str">
            <v>.</v>
          </cell>
        </row>
        <row r="225">
          <cell r="BC225" t="str">
            <v>.</v>
          </cell>
        </row>
        <row r="226">
          <cell r="BC226" t="str">
            <v>.</v>
          </cell>
        </row>
        <row r="227">
          <cell r="BC227" t="str">
            <v>.</v>
          </cell>
        </row>
        <row r="228">
          <cell r="BC228" t="str">
            <v>.</v>
          </cell>
        </row>
        <row r="229">
          <cell r="BC229" t="str">
            <v>.</v>
          </cell>
        </row>
        <row r="230">
          <cell r="BC230" t="str">
            <v>.</v>
          </cell>
        </row>
        <row r="231">
          <cell r="BC231" t="str">
            <v>.</v>
          </cell>
        </row>
        <row r="232">
          <cell r="BC232" t="str">
            <v>.</v>
          </cell>
        </row>
        <row r="233">
          <cell r="BC233" t="str">
            <v>.</v>
          </cell>
        </row>
        <row r="234">
          <cell r="BC234" t="str">
            <v>.</v>
          </cell>
        </row>
        <row r="235">
          <cell r="BC235" t="str">
            <v>.</v>
          </cell>
        </row>
        <row r="236">
          <cell r="BC236" t="str">
            <v>.</v>
          </cell>
        </row>
        <row r="237">
          <cell r="BC237" t="str">
            <v>.</v>
          </cell>
        </row>
        <row r="238">
          <cell r="BC238" t="str">
            <v>.</v>
          </cell>
        </row>
        <row r="239">
          <cell r="BC239" t="str">
            <v>.</v>
          </cell>
        </row>
        <row r="240">
          <cell r="BC240" t="str">
            <v>.</v>
          </cell>
        </row>
        <row r="241">
          <cell r="BC241" t="str">
            <v>.</v>
          </cell>
        </row>
        <row r="242">
          <cell r="BC242" t="str">
            <v>.</v>
          </cell>
        </row>
        <row r="243">
          <cell r="BC243" t="str">
            <v>.</v>
          </cell>
        </row>
        <row r="244">
          <cell r="BC244" t="str">
            <v>.</v>
          </cell>
        </row>
        <row r="245">
          <cell r="BC245" t="str">
            <v>.</v>
          </cell>
        </row>
        <row r="246">
          <cell r="BC246" t="str">
            <v>.</v>
          </cell>
        </row>
        <row r="247">
          <cell r="BC247" t="str">
            <v>.</v>
          </cell>
        </row>
        <row r="248">
          <cell r="BC248" t="str">
            <v>.</v>
          </cell>
        </row>
        <row r="249">
          <cell r="BC249" t="str">
            <v>.</v>
          </cell>
        </row>
        <row r="250">
          <cell r="BC250" t="str">
            <v>.</v>
          </cell>
        </row>
        <row r="251">
          <cell r="BC251" t="str">
            <v>.</v>
          </cell>
        </row>
        <row r="252">
          <cell r="BC252" t="str">
            <v>.</v>
          </cell>
        </row>
        <row r="253">
          <cell r="BC253" t="str">
            <v>.</v>
          </cell>
        </row>
        <row r="254">
          <cell r="BC254" t="str">
            <v>.</v>
          </cell>
        </row>
        <row r="255">
          <cell r="BC255" t="str">
            <v>.</v>
          </cell>
        </row>
        <row r="256">
          <cell r="BC256" t="str">
            <v>.</v>
          </cell>
        </row>
        <row r="257">
          <cell r="BC257" t="str">
            <v>.</v>
          </cell>
        </row>
        <row r="258">
          <cell r="BC258" t="str">
            <v>.</v>
          </cell>
        </row>
        <row r="259">
          <cell r="BC259" t="str">
            <v>.</v>
          </cell>
        </row>
        <row r="260">
          <cell r="BC260" t="str">
            <v>.</v>
          </cell>
        </row>
        <row r="261">
          <cell r="BC261" t="str">
            <v>.</v>
          </cell>
        </row>
        <row r="262">
          <cell r="BC262" t="str">
            <v>.</v>
          </cell>
        </row>
        <row r="263">
          <cell r="BC263" t="str">
            <v>.</v>
          </cell>
        </row>
        <row r="264">
          <cell r="BC264" t="str">
            <v>.</v>
          </cell>
        </row>
        <row r="265">
          <cell r="BC265" t="str">
            <v>.</v>
          </cell>
        </row>
        <row r="266">
          <cell r="BC266" t="str">
            <v>.</v>
          </cell>
        </row>
        <row r="267">
          <cell r="BC267" t="str">
            <v>.</v>
          </cell>
        </row>
        <row r="268">
          <cell r="BC268" t="str">
            <v>.</v>
          </cell>
        </row>
        <row r="269">
          <cell r="BC269" t="str">
            <v>.</v>
          </cell>
        </row>
        <row r="270">
          <cell r="BC270" t="str">
            <v>.</v>
          </cell>
        </row>
        <row r="271">
          <cell r="BC271" t="str">
            <v>.</v>
          </cell>
        </row>
        <row r="272">
          <cell r="BC272" t="str">
            <v>.</v>
          </cell>
        </row>
        <row r="273">
          <cell r="BC273" t="str">
            <v>.</v>
          </cell>
        </row>
        <row r="274">
          <cell r="BC274" t="str">
            <v>.</v>
          </cell>
        </row>
        <row r="275">
          <cell r="BC275" t="str">
            <v>.</v>
          </cell>
        </row>
        <row r="276">
          <cell r="BC276" t="str">
            <v>.</v>
          </cell>
        </row>
        <row r="277">
          <cell r="BC277" t="str">
            <v>.</v>
          </cell>
        </row>
        <row r="278">
          <cell r="BC278" t="str">
            <v>.</v>
          </cell>
        </row>
        <row r="279">
          <cell r="BC279" t="str">
            <v>.</v>
          </cell>
        </row>
        <row r="280">
          <cell r="BC280" t="str">
            <v>.</v>
          </cell>
        </row>
        <row r="281">
          <cell r="BC281" t="str">
            <v>.</v>
          </cell>
        </row>
        <row r="282">
          <cell r="BC282" t="str">
            <v>.</v>
          </cell>
        </row>
        <row r="283">
          <cell r="BC283" t="str">
            <v>.</v>
          </cell>
        </row>
        <row r="284">
          <cell r="BC284" t="str">
            <v>.</v>
          </cell>
        </row>
        <row r="285">
          <cell r="BC285" t="str">
            <v>.</v>
          </cell>
        </row>
        <row r="286">
          <cell r="BC286" t="str">
            <v>.</v>
          </cell>
        </row>
        <row r="287">
          <cell r="BC287" t="str">
            <v>.</v>
          </cell>
        </row>
        <row r="288">
          <cell r="BC288" t="str">
            <v>.</v>
          </cell>
        </row>
        <row r="289">
          <cell r="BC289" t="str">
            <v>.</v>
          </cell>
        </row>
        <row r="290">
          <cell r="BC290" t="str">
            <v>.</v>
          </cell>
        </row>
        <row r="291">
          <cell r="BC291" t="str">
            <v>.</v>
          </cell>
        </row>
        <row r="292">
          <cell r="BC292" t="str">
            <v>.</v>
          </cell>
        </row>
        <row r="293">
          <cell r="BC293" t="str">
            <v>.</v>
          </cell>
        </row>
        <row r="294">
          <cell r="BC294" t="str">
            <v>.</v>
          </cell>
        </row>
        <row r="295">
          <cell r="BC295" t="str">
            <v>.</v>
          </cell>
        </row>
        <row r="296">
          <cell r="BC296" t="str">
            <v>.</v>
          </cell>
        </row>
        <row r="297">
          <cell r="BC297" t="str">
            <v>.</v>
          </cell>
        </row>
        <row r="298">
          <cell r="BC298" t="str">
            <v>.</v>
          </cell>
        </row>
        <row r="299">
          <cell r="BC299" t="str">
            <v>.</v>
          </cell>
        </row>
        <row r="300">
          <cell r="BC300" t="str">
            <v>.</v>
          </cell>
        </row>
        <row r="301">
          <cell r="BC301" t="str">
            <v>.</v>
          </cell>
        </row>
        <row r="302">
          <cell r="BC302" t="str">
            <v>.</v>
          </cell>
        </row>
        <row r="303">
          <cell r="BC303" t="str">
            <v>.</v>
          </cell>
        </row>
        <row r="304">
          <cell r="BC304" t="str">
            <v>.</v>
          </cell>
        </row>
        <row r="305">
          <cell r="BC305" t="str">
            <v>.</v>
          </cell>
        </row>
        <row r="306">
          <cell r="BC306" t="str">
            <v>.</v>
          </cell>
        </row>
        <row r="307">
          <cell r="BC307" t="str">
            <v>.</v>
          </cell>
        </row>
        <row r="308">
          <cell r="BC308" t="str">
            <v>.</v>
          </cell>
        </row>
        <row r="309">
          <cell r="BC309" t="str">
            <v>.</v>
          </cell>
        </row>
        <row r="310">
          <cell r="BC310" t="str">
            <v>.</v>
          </cell>
        </row>
        <row r="311">
          <cell r="BC311" t="str">
            <v>.</v>
          </cell>
        </row>
        <row r="312">
          <cell r="BC312" t="str">
            <v>.</v>
          </cell>
        </row>
        <row r="313">
          <cell r="BC313" t="str">
            <v>.</v>
          </cell>
        </row>
        <row r="314">
          <cell r="BC314" t="str">
            <v>.</v>
          </cell>
        </row>
        <row r="315">
          <cell r="BC315" t="str">
            <v>.</v>
          </cell>
        </row>
        <row r="316">
          <cell r="BC316" t="str">
            <v>.</v>
          </cell>
        </row>
        <row r="317">
          <cell r="BC317" t="str">
            <v>.</v>
          </cell>
        </row>
        <row r="318">
          <cell r="BC318" t="str">
            <v>.</v>
          </cell>
        </row>
        <row r="319">
          <cell r="BC319" t="str">
            <v>.</v>
          </cell>
        </row>
        <row r="320">
          <cell r="BC320" t="str">
            <v>.</v>
          </cell>
        </row>
        <row r="321">
          <cell r="BC321" t="str">
            <v>.</v>
          </cell>
        </row>
        <row r="322">
          <cell r="BC322" t="str">
            <v>.</v>
          </cell>
        </row>
        <row r="323">
          <cell r="BC323" t="str">
            <v>.</v>
          </cell>
        </row>
        <row r="324">
          <cell r="BC324" t="str">
            <v>.</v>
          </cell>
        </row>
        <row r="325">
          <cell r="BC325" t="str">
            <v>.</v>
          </cell>
        </row>
        <row r="326">
          <cell r="BC326" t="str">
            <v>.</v>
          </cell>
        </row>
        <row r="327">
          <cell r="BC327" t="str">
            <v>.</v>
          </cell>
        </row>
        <row r="328">
          <cell r="BC328" t="str">
            <v>.</v>
          </cell>
        </row>
        <row r="329">
          <cell r="BC329" t="str">
            <v>.</v>
          </cell>
        </row>
        <row r="330">
          <cell r="BC330" t="str">
            <v>.</v>
          </cell>
        </row>
        <row r="331">
          <cell r="BC331" t="str">
            <v>.</v>
          </cell>
        </row>
        <row r="332">
          <cell r="BC332" t="str">
            <v>.</v>
          </cell>
        </row>
        <row r="333">
          <cell r="BC333" t="str">
            <v>.</v>
          </cell>
        </row>
        <row r="334">
          <cell r="BC334" t="str">
            <v>.</v>
          </cell>
        </row>
        <row r="335">
          <cell r="BC335" t="str">
            <v>.</v>
          </cell>
        </row>
        <row r="336">
          <cell r="BC336" t="str">
            <v>.</v>
          </cell>
        </row>
        <row r="337">
          <cell r="BC337" t="str">
            <v>.</v>
          </cell>
        </row>
        <row r="338">
          <cell r="BC338" t="str">
            <v>.</v>
          </cell>
        </row>
        <row r="339">
          <cell r="BC339" t="str">
            <v>.</v>
          </cell>
        </row>
        <row r="340">
          <cell r="BC340" t="str">
            <v>.</v>
          </cell>
        </row>
        <row r="341">
          <cell r="BC341" t="str">
            <v>.</v>
          </cell>
        </row>
        <row r="342">
          <cell r="BC342" t="str">
            <v>.</v>
          </cell>
        </row>
        <row r="343">
          <cell r="BC343" t="str">
            <v>.</v>
          </cell>
        </row>
        <row r="344">
          <cell r="BC344" t="str">
            <v>.</v>
          </cell>
        </row>
        <row r="345">
          <cell r="BC345" t="str">
            <v>.</v>
          </cell>
        </row>
        <row r="346">
          <cell r="BC346" t="str">
            <v>.</v>
          </cell>
        </row>
        <row r="347">
          <cell r="BC347" t="str">
            <v>.</v>
          </cell>
        </row>
        <row r="348">
          <cell r="BC348" t="str">
            <v>.</v>
          </cell>
        </row>
        <row r="349">
          <cell r="BC349" t="str">
            <v>.</v>
          </cell>
        </row>
        <row r="350">
          <cell r="BC350" t="str">
            <v>.</v>
          </cell>
        </row>
        <row r="351">
          <cell r="BC351" t="str">
            <v>.</v>
          </cell>
        </row>
        <row r="352">
          <cell r="BC352" t="str">
            <v>.</v>
          </cell>
        </row>
        <row r="353">
          <cell r="BC353" t="str">
            <v>.</v>
          </cell>
        </row>
        <row r="354">
          <cell r="BC354" t="str">
            <v>.</v>
          </cell>
        </row>
        <row r="355">
          <cell r="BC355" t="str">
            <v>.</v>
          </cell>
        </row>
        <row r="356">
          <cell r="BC356" t="str">
            <v>.</v>
          </cell>
        </row>
        <row r="357">
          <cell r="BC357" t="str">
            <v>.</v>
          </cell>
        </row>
        <row r="358">
          <cell r="BC358" t="str">
            <v>.</v>
          </cell>
        </row>
        <row r="359">
          <cell r="BC359" t="str">
            <v>.</v>
          </cell>
        </row>
        <row r="360">
          <cell r="BC360" t="str">
            <v>.</v>
          </cell>
        </row>
        <row r="361">
          <cell r="BC361" t="str">
            <v>.</v>
          </cell>
        </row>
        <row r="362">
          <cell r="BC362" t="str">
            <v>.</v>
          </cell>
        </row>
        <row r="363">
          <cell r="BC363" t="str">
            <v>.</v>
          </cell>
        </row>
        <row r="364">
          <cell r="BC364" t="str">
            <v>.</v>
          </cell>
        </row>
        <row r="365">
          <cell r="BC365" t="str">
            <v>.</v>
          </cell>
        </row>
        <row r="366">
          <cell r="BC366" t="str">
            <v>.</v>
          </cell>
        </row>
        <row r="367">
          <cell r="BC367" t="str">
            <v>.</v>
          </cell>
        </row>
        <row r="368">
          <cell r="BC368" t="str">
            <v>.</v>
          </cell>
        </row>
        <row r="369">
          <cell r="BC369" t="str">
            <v>.</v>
          </cell>
        </row>
        <row r="370">
          <cell r="BC370" t="str">
            <v>.</v>
          </cell>
        </row>
        <row r="371">
          <cell r="BC371" t="str">
            <v>.</v>
          </cell>
        </row>
        <row r="372">
          <cell r="BC372" t="str">
            <v>.</v>
          </cell>
        </row>
        <row r="373">
          <cell r="BC373" t="str">
            <v>.</v>
          </cell>
        </row>
        <row r="374">
          <cell r="BC374" t="str">
            <v>.</v>
          </cell>
        </row>
        <row r="375">
          <cell r="BC375" t="str">
            <v>.</v>
          </cell>
        </row>
        <row r="376">
          <cell r="BC376" t="str">
            <v>.</v>
          </cell>
        </row>
        <row r="377">
          <cell r="BC377" t="str">
            <v>.</v>
          </cell>
        </row>
        <row r="378">
          <cell r="BC378" t="str">
            <v>.</v>
          </cell>
        </row>
        <row r="379">
          <cell r="BC379" t="str">
            <v>.</v>
          </cell>
        </row>
        <row r="380">
          <cell r="BC380" t="str">
            <v>.</v>
          </cell>
        </row>
        <row r="381">
          <cell r="BC381" t="str">
            <v>.</v>
          </cell>
        </row>
        <row r="382">
          <cell r="BC382" t="str">
            <v>.</v>
          </cell>
        </row>
        <row r="383">
          <cell r="BC383" t="str">
            <v>.</v>
          </cell>
        </row>
        <row r="384">
          <cell r="BC384" t="str">
            <v>.</v>
          </cell>
        </row>
        <row r="385">
          <cell r="BC385" t="str">
            <v>.</v>
          </cell>
        </row>
        <row r="386">
          <cell r="BC386" t="str">
            <v>.</v>
          </cell>
        </row>
        <row r="387">
          <cell r="BC387" t="str">
            <v>.</v>
          </cell>
        </row>
        <row r="388">
          <cell r="BC388" t="str">
            <v>.</v>
          </cell>
        </row>
        <row r="389">
          <cell r="BC389" t="str">
            <v>.</v>
          </cell>
        </row>
        <row r="390">
          <cell r="BC390" t="str">
            <v>.</v>
          </cell>
        </row>
        <row r="391">
          <cell r="BC391" t="str">
            <v>.</v>
          </cell>
        </row>
        <row r="392">
          <cell r="BC392" t="str">
            <v>.</v>
          </cell>
        </row>
        <row r="393">
          <cell r="BC393" t="str">
            <v>.</v>
          </cell>
        </row>
        <row r="394">
          <cell r="BC394" t="str">
            <v>.</v>
          </cell>
        </row>
        <row r="395">
          <cell r="BC395" t="str">
            <v>.</v>
          </cell>
        </row>
        <row r="396">
          <cell r="BC396" t="str">
            <v>.</v>
          </cell>
        </row>
        <row r="397">
          <cell r="BC397" t="str">
            <v>.</v>
          </cell>
        </row>
        <row r="398">
          <cell r="BC398" t="str">
            <v>.</v>
          </cell>
        </row>
        <row r="399">
          <cell r="BC399" t="str">
            <v>.</v>
          </cell>
        </row>
        <row r="400">
          <cell r="BC400" t="str">
            <v>.</v>
          </cell>
        </row>
        <row r="401">
          <cell r="BC401" t="str">
            <v>.</v>
          </cell>
        </row>
        <row r="402">
          <cell r="BC402" t="str">
            <v>.</v>
          </cell>
        </row>
        <row r="403">
          <cell r="BC403" t="str">
            <v>.</v>
          </cell>
        </row>
        <row r="404">
          <cell r="BC404" t="str">
            <v>.</v>
          </cell>
        </row>
        <row r="405">
          <cell r="BC405" t="str">
            <v>.</v>
          </cell>
        </row>
        <row r="406">
          <cell r="BC406" t="str">
            <v>.</v>
          </cell>
        </row>
        <row r="407">
          <cell r="BC407" t="str">
            <v>.</v>
          </cell>
        </row>
        <row r="408">
          <cell r="BC408" t="str">
            <v>.</v>
          </cell>
        </row>
        <row r="409">
          <cell r="BC409" t="str">
            <v>.</v>
          </cell>
        </row>
        <row r="410">
          <cell r="BC410" t="str">
            <v>.</v>
          </cell>
        </row>
        <row r="411">
          <cell r="BC411" t="str">
            <v>.</v>
          </cell>
        </row>
        <row r="412">
          <cell r="BC412" t="str">
            <v>.</v>
          </cell>
        </row>
        <row r="413">
          <cell r="BC413" t="str">
            <v>.</v>
          </cell>
        </row>
        <row r="414">
          <cell r="BC414" t="str">
            <v>.</v>
          </cell>
        </row>
        <row r="415">
          <cell r="BC415" t="str">
            <v>.</v>
          </cell>
        </row>
        <row r="416">
          <cell r="BC416" t="str">
            <v>.</v>
          </cell>
        </row>
        <row r="417">
          <cell r="BC417" t="str">
            <v>.</v>
          </cell>
        </row>
        <row r="418">
          <cell r="BC418" t="str">
            <v>.</v>
          </cell>
        </row>
        <row r="419">
          <cell r="BC419" t="str">
            <v>.</v>
          </cell>
        </row>
        <row r="420">
          <cell r="BC420" t="str">
            <v>.</v>
          </cell>
        </row>
        <row r="421">
          <cell r="BC421" t="str">
            <v>.</v>
          </cell>
        </row>
        <row r="422">
          <cell r="BC422" t="str">
            <v>.</v>
          </cell>
        </row>
        <row r="423">
          <cell r="BC423" t="str">
            <v>.</v>
          </cell>
        </row>
        <row r="424">
          <cell r="BC424" t="str">
            <v>.</v>
          </cell>
        </row>
        <row r="425">
          <cell r="BC425" t="str">
            <v>.</v>
          </cell>
        </row>
        <row r="426">
          <cell r="BC426" t="str">
            <v>.</v>
          </cell>
        </row>
        <row r="427">
          <cell r="BC427" t="str">
            <v>.</v>
          </cell>
        </row>
        <row r="428">
          <cell r="BC428" t="str">
            <v>.</v>
          </cell>
        </row>
        <row r="429">
          <cell r="BC429" t="str">
            <v>.</v>
          </cell>
        </row>
        <row r="430">
          <cell r="BC430" t="str">
            <v>.</v>
          </cell>
        </row>
        <row r="431">
          <cell r="BC431" t="str">
            <v>.</v>
          </cell>
        </row>
        <row r="432">
          <cell r="BC432" t="str">
            <v>.</v>
          </cell>
        </row>
        <row r="433">
          <cell r="BC433" t="str">
            <v>.</v>
          </cell>
        </row>
        <row r="434">
          <cell r="BC434" t="str">
            <v>.</v>
          </cell>
        </row>
        <row r="435">
          <cell r="BC435" t="str">
            <v>.</v>
          </cell>
        </row>
        <row r="436">
          <cell r="BC436" t="str">
            <v>.</v>
          </cell>
        </row>
        <row r="437">
          <cell r="BC437" t="str">
            <v>.</v>
          </cell>
        </row>
        <row r="438">
          <cell r="BC438" t="str">
            <v>.</v>
          </cell>
        </row>
        <row r="439">
          <cell r="BC439" t="str">
            <v>.</v>
          </cell>
        </row>
        <row r="440">
          <cell r="BC440" t="str">
            <v>.</v>
          </cell>
        </row>
        <row r="441">
          <cell r="BC441" t="str">
            <v>.</v>
          </cell>
        </row>
        <row r="442">
          <cell r="BC442" t="str">
            <v>.</v>
          </cell>
        </row>
        <row r="443">
          <cell r="BC443" t="str">
            <v>.</v>
          </cell>
        </row>
        <row r="444">
          <cell r="BC444" t="str">
            <v>.</v>
          </cell>
        </row>
        <row r="445">
          <cell r="BC445" t="str">
            <v>.</v>
          </cell>
        </row>
        <row r="446">
          <cell r="BC446" t="str">
            <v>.</v>
          </cell>
        </row>
        <row r="447">
          <cell r="BC447" t="str">
            <v>.</v>
          </cell>
        </row>
        <row r="448">
          <cell r="BC448" t="str">
            <v>.</v>
          </cell>
        </row>
        <row r="449">
          <cell r="BC449" t="str">
            <v>.</v>
          </cell>
        </row>
        <row r="450">
          <cell r="BC450" t="str">
            <v>.</v>
          </cell>
        </row>
        <row r="451">
          <cell r="BC451" t="str">
            <v>.</v>
          </cell>
        </row>
        <row r="452">
          <cell r="BC452" t="str">
            <v>.</v>
          </cell>
        </row>
        <row r="453">
          <cell r="BC453" t="str">
            <v>.</v>
          </cell>
        </row>
        <row r="454">
          <cell r="BC454" t="str">
            <v>.</v>
          </cell>
        </row>
        <row r="455">
          <cell r="BC455" t="str">
            <v>.</v>
          </cell>
        </row>
        <row r="456">
          <cell r="BC456" t="str">
            <v>.</v>
          </cell>
        </row>
        <row r="457">
          <cell r="BC457" t="str">
            <v>.</v>
          </cell>
        </row>
        <row r="458">
          <cell r="BC458" t="str">
            <v>.</v>
          </cell>
        </row>
        <row r="459">
          <cell r="BC459" t="str">
            <v>.</v>
          </cell>
        </row>
        <row r="460">
          <cell r="BC460" t="str">
            <v>.</v>
          </cell>
        </row>
        <row r="461">
          <cell r="BC461" t="str">
            <v>.</v>
          </cell>
        </row>
        <row r="462">
          <cell r="BC462" t="str">
            <v>.</v>
          </cell>
        </row>
        <row r="463">
          <cell r="BC463" t="str">
            <v>.</v>
          </cell>
        </row>
        <row r="464">
          <cell r="BC464" t="str">
            <v>.</v>
          </cell>
        </row>
        <row r="465">
          <cell r="BC465" t="str">
            <v>.</v>
          </cell>
        </row>
        <row r="466">
          <cell r="BC466" t="str">
            <v>.</v>
          </cell>
        </row>
        <row r="467">
          <cell r="BC467" t="str">
            <v>.</v>
          </cell>
        </row>
        <row r="468">
          <cell r="BC468" t="str">
            <v>.</v>
          </cell>
        </row>
        <row r="469">
          <cell r="BC469" t="str">
            <v>.</v>
          </cell>
        </row>
        <row r="470">
          <cell r="BC470" t="str">
            <v>.</v>
          </cell>
        </row>
        <row r="471">
          <cell r="BC471" t="str">
            <v>.</v>
          </cell>
        </row>
        <row r="472">
          <cell r="BC472" t="str">
            <v>.</v>
          </cell>
        </row>
        <row r="473">
          <cell r="BC473" t="str">
            <v>.</v>
          </cell>
        </row>
        <row r="474">
          <cell r="BC474" t="str">
            <v>.</v>
          </cell>
        </row>
        <row r="475">
          <cell r="BC475" t="str">
            <v>.</v>
          </cell>
        </row>
        <row r="476">
          <cell r="BC476" t="str">
            <v>.</v>
          </cell>
        </row>
        <row r="477">
          <cell r="BC477" t="str">
            <v>.</v>
          </cell>
        </row>
        <row r="478">
          <cell r="BC478" t="str">
            <v>.</v>
          </cell>
        </row>
        <row r="479">
          <cell r="BC479" t="str">
            <v>.</v>
          </cell>
        </row>
        <row r="480">
          <cell r="BC480" t="str">
            <v>.</v>
          </cell>
        </row>
        <row r="481">
          <cell r="BC481" t="str">
            <v>.</v>
          </cell>
        </row>
        <row r="482">
          <cell r="BC482" t="str">
            <v>.</v>
          </cell>
        </row>
        <row r="483">
          <cell r="BC483" t="str">
            <v>.</v>
          </cell>
        </row>
        <row r="484">
          <cell r="BC484" t="str">
            <v>.</v>
          </cell>
        </row>
        <row r="485">
          <cell r="BC485" t="str">
            <v>.</v>
          </cell>
        </row>
        <row r="486">
          <cell r="BC486" t="str">
            <v>.</v>
          </cell>
        </row>
        <row r="487">
          <cell r="BC487" t="str">
            <v>.</v>
          </cell>
        </row>
        <row r="488">
          <cell r="BC488" t="str">
            <v>.</v>
          </cell>
        </row>
        <row r="489">
          <cell r="BC489" t="str">
            <v>.</v>
          </cell>
        </row>
        <row r="490">
          <cell r="BC490" t="str">
            <v>.</v>
          </cell>
        </row>
        <row r="491">
          <cell r="BC491" t="str">
            <v>.</v>
          </cell>
        </row>
        <row r="492">
          <cell r="BC492" t="str">
            <v>.</v>
          </cell>
        </row>
        <row r="493">
          <cell r="BC493" t="str">
            <v>.</v>
          </cell>
        </row>
        <row r="494">
          <cell r="BC494" t="str">
            <v>.</v>
          </cell>
        </row>
        <row r="495">
          <cell r="BC495" t="str">
            <v>.</v>
          </cell>
        </row>
        <row r="496">
          <cell r="BC496" t="str">
            <v>.</v>
          </cell>
        </row>
        <row r="497">
          <cell r="BC497" t="str">
            <v>.</v>
          </cell>
        </row>
        <row r="498">
          <cell r="BC498" t="str">
            <v>.</v>
          </cell>
        </row>
        <row r="499">
          <cell r="BC499" t="str">
            <v>.</v>
          </cell>
        </row>
        <row r="500">
          <cell r="BC500" t="str">
            <v>.</v>
          </cell>
        </row>
        <row r="501">
          <cell r="BC501" t="str">
            <v>.</v>
          </cell>
        </row>
        <row r="502">
          <cell r="BC502" t="str">
            <v>.</v>
          </cell>
        </row>
        <row r="503">
          <cell r="BC503" t="str">
            <v>.</v>
          </cell>
        </row>
        <row r="504">
          <cell r="BC504" t="str">
            <v>.</v>
          </cell>
        </row>
        <row r="505">
          <cell r="BC505" t="str">
            <v>.</v>
          </cell>
        </row>
        <row r="506">
          <cell r="BC506" t="str">
            <v>.</v>
          </cell>
        </row>
        <row r="507">
          <cell r="BC507" t="str">
            <v>.</v>
          </cell>
        </row>
        <row r="508">
          <cell r="BC508" t="str">
            <v>.</v>
          </cell>
        </row>
        <row r="509">
          <cell r="BC509" t="str">
            <v>.</v>
          </cell>
        </row>
        <row r="510">
          <cell r="BC510" t="str">
            <v>.</v>
          </cell>
        </row>
        <row r="511">
          <cell r="BC511" t="str">
            <v>.</v>
          </cell>
        </row>
        <row r="512">
          <cell r="BC512" t="str">
            <v>.</v>
          </cell>
        </row>
        <row r="513">
          <cell r="BC513" t="str">
            <v>.</v>
          </cell>
        </row>
        <row r="514">
          <cell r="BC514" t="str">
            <v>.</v>
          </cell>
        </row>
        <row r="515">
          <cell r="BC515" t="str">
            <v>.</v>
          </cell>
        </row>
        <row r="516">
          <cell r="BC516" t="str">
            <v>.</v>
          </cell>
        </row>
        <row r="517">
          <cell r="BC517" t="str">
            <v>.</v>
          </cell>
        </row>
        <row r="518">
          <cell r="BC518" t="str">
            <v>.</v>
          </cell>
        </row>
        <row r="519">
          <cell r="BC519" t="str">
            <v>.</v>
          </cell>
        </row>
        <row r="520">
          <cell r="BC520" t="str">
            <v>.</v>
          </cell>
        </row>
        <row r="521">
          <cell r="BC521" t="str">
            <v>.</v>
          </cell>
        </row>
        <row r="522">
          <cell r="BC522" t="str">
            <v>.</v>
          </cell>
        </row>
        <row r="523">
          <cell r="BC523" t="str">
            <v>.</v>
          </cell>
        </row>
        <row r="524">
          <cell r="BC524" t="str">
            <v>.</v>
          </cell>
        </row>
        <row r="525">
          <cell r="BC525" t="str">
            <v>.</v>
          </cell>
        </row>
        <row r="526">
          <cell r="BC526" t="str">
            <v>.</v>
          </cell>
        </row>
        <row r="527">
          <cell r="BC527" t="str">
            <v>.</v>
          </cell>
        </row>
        <row r="528">
          <cell r="BC528" t="str">
            <v>.</v>
          </cell>
        </row>
        <row r="529">
          <cell r="BC529" t="str">
            <v>.</v>
          </cell>
        </row>
        <row r="530">
          <cell r="BC530" t="str">
            <v>.</v>
          </cell>
        </row>
        <row r="531">
          <cell r="BC531" t="str">
            <v>.</v>
          </cell>
        </row>
        <row r="532">
          <cell r="BC532" t="str">
            <v>.</v>
          </cell>
        </row>
        <row r="533">
          <cell r="BC533" t="str">
            <v>.</v>
          </cell>
        </row>
        <row r="534">
          <cell r="BC534" t="str">
            <v>.</v>
          </cell>
        </row>
        <row r="535">
          <cell r="BC535" t="str">
            <v>.</v>
          </cell>
        </row>
        <row r="536">
          <cell r="BC536" t="str">
            <v>.</v>
          </cell>
        </row>
        <row r="537">
          <cell r="BC537" t="str">
            <v>.</v>
          </cell>
        </row>
        <row r="538">
          <cell r="BC538" t="str">
            <v>.</v>
          </cell>
        </row>
        <row r="539">
          <cell r="BC539" t="str">
            <v>.</v>
          </cell>
        </row>
        <row r="540">
          <cell r="BC540" t="str">
            <v>.</v>
          </cell>
        </row>
        <row r="541">
          <cell r="BC541" t="str">
            <v>.</v>
          </cell>
        </row>
        <row r="542">
          <cell r="BC542" t="str">
            <v>.</v>
          </cell>
        </row>
        <row r="543">
          <cell r="BC543" t="str">
            <v>.</v>
          </cell>
        </row>
        <row r="544">
          <cell r="BC544" t="str">
            <v>.</v>
          </cell>
        </row>
        <row r="545">
          <cell r="BC545" t="str">
            <v>.</v>
          </cell>
        </row>
        <row r="546">
          <cell r="BC546" t="str">
            <v>.</v>
          </cell>
        </row>
        <row r="547">
          <cell r="BC547" t="str">
            <v>.</v>
          </cell>
        </row>
        <row r="548">
          <cell r="BC548" t="str">
            <v>.</v>
          </cell>
        </row>
        <row r="549">
          <cell r="BC549" t="str">
            <v>.</v>
          </cell>
        </row>
        <row r="550">
          <cell r="BC550" t="str">
            <v>.</v>
          </cell>
        </row>
        <row r="551">
          <cell r="BC551" t="str">
            <v>.</v>
          </cell>
        </row>
        <row r="552">
          <cell r="BC552" t="str">
            <v>.</v>
          </cell>
        </row>
        <row r="553">
          <cell r="BC553" t="str">
            <v>.</v>
          </cell>
        </row>
        <row r="554">
          <cell r="BC554" t="str">
            <v>.</v>
          </cell>
        </row>
        <row r="555">
          <cell r="BC555" t="str">
            <v>.</v>
          </cell>
        </row>
        <row r="556">
          <cell r="BC556" t="str">
            <v>.</v>
          </cell>
        </row>
        <row r="557">
          <cell r="BC557" t="str">
            <v>.</v>
          </cell>
        </row>
        <row r="558">
          <cell r="BC558" t="str">
            <v>.</v>
          </cell>
        </row>
        <row r="559">
          <cell r="BC559" t="str">
            <v>.</v>
          </cell>
        </row>
        <row r="560">
          <cell r="BC560" t="str">
            <v>.</v>
          </cell>
        </row>
        <row r="561">
          <cell r="BC561" t="str">
            <v>.</v>
          </cell>
        </row>
        <row r="562">
          <cell r="BC562" t="str">
            <v>.</v>
          </cell>
        </row>
        <row r="563">
          <cell r="BC563" t="str">
            <v>.</v>
          </cell>
        </row>
        <row r="564">
          <cell r="BC564" t="str">
            <v>.</v>
          </cell>
        </row>
        <row r="565">
          <cell r="BC565" t="str">
            <v>.</v>
          </cell>
        </row>
        <row r="566">
          <cell r="BC566" t="str">
            <v>.</v>
          </cell>
        </row>
        <row r="567">
          <cell r="BC567" t="str">
            <v>.</v>
          </cell>
        </row>
        <row r="568">
          <cell r="BC568" t="str">
            <v>.</v>
          </cell>
        </row>
        <row r="569">
          <cell r="BC569" t="str">
            <v>.</v>
          </cell>
        </row>
        <row r="570">
          <cell r="BC570" t="str">
            <v>.</v>
          </cell>
        </row>
        <row r="571">
          <cell r="BC571" t="str">
            <v>.</v>
          </cell>
        </row>
        <row r="572">
          <cell r="BC572" t="str">
            <v>.</v>
          </cell>
        </row>
        <row r="573">
          <cell r="BC573" t="str">
            <v>.</v>
          </cell>
        </row>
        <row r="574">
          <cell r="BC574" t="str">
            <v>.</v>
          </cell>
        </row>
        <row r="575">
          <cell r="BC575" t="str">
            <v>.</v>
          </cell>
        </row>
        <row r="576">
          <cell r="BC576" t="str">
            <v>.</v>
          </cell>
        </row>
        <row r="577">
          <cell r="BC577" t="str">
            <v>.</v>
          </cell>
        </row>
        <row r="578">
          <cell r="BC578" t="str">
            <v>.</v>
          </cell>
        </row>
        <row r="579">
          <cell r="BC579" t="str">
            <v>.</v>
          </cell>
        </row>
        <row r="580">
          <cell r="BC580" t="str">
            <v>.</v>
          </cell>
        </row>
        <row r="581">
          <cell r="BC581" t="str">
            <v>.</v>
          </cell>
        </row>
        <row r="582">
          <cell r="BC582" t="str">
            <v>.</v>
          </cell>
        </row>
        <row r="583">
          <cell r="BC583" t="str">
            <v>.</v>
          </cell>
        </row>
        <row r="584">
          <cell r="BC584" t="str">
            <v>.</v>
          </cell>
        </row>
        <row r="585">
          <cell r="BC585" t="str">
            <v>.</v>
          </cell>
        </row>
        <row r="586">
          <cell r="BC586" t="str">
            <v>.</v>
          </cell>
        </row>
        <row r="587">
          <cell r="BC587" t="str">
            <v>.</v>
          </cell>
        </row>
        <row r="588">
          <cell r="BC588" t="str">
            <v>.</v>
          </cell>
        </row>
        <row r="589">
          <cell r="BC589" t="str">
            <v>.</v>
          </cell>
        </row>
        <row r="590">
          <cell r="BC590" t="str">
            <v>.</v>
          </cell>
        </row>
        <row r="591">
          <cell r="BC591" t="str">
            <v>.</v>
          </cell>
        </row>
        <row r="592">
          <cell r="BC592" t="str">
            <v>.</v>
          </cell>
        </row>
        <row r="593">
          <cell r="BC593" t="str">
            <v>.</v>
          </cell>
        </row>
        <row r="594">
          <cell r="BC594" t="str">
            <v>.</v>
          </cell>
        </row>
        <row r="595">
          <cell r="BC595" t="str">
            <v>.</v>
          </cell>
        </row>
        <row r="596">
          <cell r="BC596" t="str">
            <v>.</v>
          </cell>
        </row>
        <row r="597">
          <cell r="BC597" t="str">
            <v>.</v>
          </cell>
        </row>
        <row r="598">
          <cell r="BC598" t="str">
            <v>.</v>
          </cell>
        </row>
        <row r="599">
          <cell r="BC599" t="str">
            <v>.</v>
          </cell>
        </row>
        <row r="600">
          <cell r="BC600" t="str">
            <v>.</v>
          </cell>
        </row>
        <row r="601">
          <cell r="BC601" t="str">
            <v>.</v>
          </cell>
        </row>
        <row r="602">
          <cell r="BC602" t="str">
            <v>.</v>
          </cell>
        </row>
        <row r="603">
          <cell r="BC603" t="str">
            <v>.</v>
          </cell>
        </row>
        <row r="604">
          <cell r="BC604" t="str">
            <v>.</v>
          </cell>
        </row>
        <row r="605">
          <cell r="BC605" t="str">
            <v>.</v>
          </cell>
        </row>
        <row r="606">
          <cell r="BC606" t="str">
            <v>.</v>
          </cell>
        </row>
        <row r="607">
          <cell r="BC607" t="str">
            <v>.</v>
          </cell>
        </row>
        <row r="608">
          <cell r="BC608" t="str">
            <v>.</v>
          </cell>
        </row>
        <row r="609">
          <cell r="BC609" t="str">
            <v>.</v>
          </cell>
        </row>
        <row r="610">
          <cell r="BC610" t="str">
            <v>.</v>
          </cell>
        </row>
        <row r="611">
          <cell r="BC611" t="str">
            <v>.</v>
          </cell>
        </row>
        <row r="612">
          <cell r="BC612" t="str">
            <v>.</v>
          </cell>
        </row>
        <row r="613">
          <cell r="BC613" t="str">
            <v>.</v>
          </cell>
        </row>
        <row r="614">
          <cell r="BC614" t="str">
            <v>.</v>
          </cell>
        </row>
        <row r="615">
          <cell r="BC615" t="str">
            <v>.</v>
          </cell>
        </row>
        <row r="616">
          <cell r="BC616" t="str">
            <v>.</v>
          </cell>
        </row>
        <row r="617">
          <cell r="BC617" t="str">
            <v>.</v>
          </cell>
        </row>
        <row r="618">
          <cell r="BC618" t="str">
            <v>.</v>
          </cell>
        </row>
        <row r="619">
          <cell r="BC619" t="str">
            <v>.</v>
          </cell>
        </row>
        <row r="620">
          <cell r="BC620" t="str">
            <v>.</v>
          </cell>
        </row>
        <row r="621">
          <cell r="BC621" t="str">
            <v>.</v>
          </cell>
        </row>
        <row r="622">
          <cell r="BC622" t="str">
            <v>.</v>
          </cell>
        </row>
        <row r="623">
          <cell r="BC623" t="str">
            <v>.</v>
          </cell>
        </row>
        <row r="624">
          <cell r="BC624" t="str">
            <v>.</v>
          </cell>
        </row>
        <row r="625">
          <cell r="BC625" t="str">
            <v>.</v>
          </cell>
        </row>
        <row r="626">
          <cell r="BC626" t="str">
            <v>.</v>
          </cell>
        </row>
        <row r="627">
          <cell r="BC627" t="str">
            <v>.</v>
          </cell>
        </row>
        <row r="628">
          <cell r="BC628" t="str">
            <v>.</v>
          </cell>
        </row>
        <row r="629">
          <cell r="BC629" t="str">
            <v>.</v>
          </cell>
        </row>
        <row r="630">
          <cell r="BC630" t="str">
            <v>.</v>
          </cell>
        </row>
        <row r="631">
          <cell r="BC631" t="str">
            <v>.</v>
          </cell>
        </row>
        <row r="632">
          <cell r="BC632" t="str">
            <v>.</v>
          </cell>
        </row>
        <row r="633">
          <cell r="BC633" t="str">
            <v>.</v>
          </cell>
        </row>
        <row r="634">
          <cell r="BC634" t="str">
            <v>.</v>
          </cell>
        </row>
        <row r="635">
          <cell r="BC635" t="str">
            <v>.</v>
          </cell>
        </row>
        <row r="636">
          <cell r="BC636" t="str">
            <v>.</v>
          </cell>
        </row>
        <row r="637">
          <cell r="BC637" t="str">
            <v>.</v>
          </cell>
        </row>
        <row r="638">
          <cell r="BC638" t="str">
            <v>.</v>
          </cell>
        </row>
        <row r="639">
          <cell r="BC639" t="str">
            <v>.</v>
          </cell>
        </row>
        <row r="640">
          <cell r="BC640" t="str">
            <v>.</v>
          </cell>
        </row>
        <row r="641">
          <cell r="BC641" t="str">
            <v>.</v>
          </cell>
        </row>
        <row r="642">
          <cell r="BC642" t="str">
            <v>.</v>
          </cell>
        </row>
        <row r="643">
          <cell r="BC643" t="str">
            <v>.</v>
          </cell>
        </row>
        <row r="644">
          <cell r="BC644" t="str">
            <v>.</v>
          </cell>
        </row>
        <row r="645">
          <cell r="BC645" t="str">
            <v>.</v>
          </cell>
        </row>
        <row r="646">
          <cell r="BC646" t="str">
            <v>.</v>
          </cell>
        </row>
        <row r="647">
          <cell r="BC647" t="str">
            <v>.</v>
          </cell>
        </row>
        <row r="648">
          <cell r="BC648" t="str">
            <v>.</v>
          </cell>
        </row>
        <row r="649">
          <cell r="BC649" t="str">
            <v>.</v>
          </cell>
        </row>
        <row r="650">
          <cell r="BC650" t="str">
            <v>.</v>
          </cell>
        </row>
        <row r="651">
          <cell r="BC651" t="str">
            <v>.</v>
          </cell>
        </row>
        <row r="652">
          <cell r="BC652" t="str">
            <v>.</v>
          </cell>
        </row>
        <row r="653">
          <cell r="BC653" t="str">
            <v>.</v>
          </cell>
        </row>
        <row r="654">
          <cell r="BC654" t="str">
            <v>.</v>
          </cell>
        </row>
        <row r="655">
          <cell r="BC655" t="str">
            <v>.</v>
          </cell>
        </row>
        <row r="656">
          <cell r="BC656" t="str">
            <v>.</v>
          </cell>
        </row>
        <row r="657">
          <cell r="BC657" t="str">
            <v>.</v>
          </cell>
        </row>
        <row r="658">
          <cell r="BC658" t="str">
            <v>.</v>
          </cell>
        </row>
        <row r="659">
          <cell r="BC659" t="str">
            <v>.</v>
          </cell>
        </row>
        <row r="660">
          <cell r="BC660" t="str">
            <v>.</v>
          </cell>
        </row>
        <row r="661">
          <cell r="BC661" t="str">
            <v>.</v>
          </cell>
        </row>
        <row r="662">
          <cell r="BC662" t="str">
            <v>.</v>
          </cell>
        </row>
        <row r="663">
          <cell r="BC663" t="str">
            <v>.</v>
          </cell>
        </row>
        <row r="664">
          <cell r="BC664" t="str">
            <v>.</v>
          </cell>
        </row>
        <row r="665">
          <cell r="BC665" t="str">
            <v>.</v>
          </cell>
        </row>
        <row r="666">
          <cell r="BC666" t="str">
            <v>.</v>
          </cell>
        </row>
        <row r="667">
          <cell r="BC667" t="str">
            <v>.</v>
          </cell>
        </row>
        <row r="668">
          <cell r="BC668" t="str">
            <v>.</v>
          </cell>
        </row>
        <row r="669">
          <cell r="BC669" t="str">
            <v>.</v>
          </cell>
        </row>
        <row r="670">
          <cell r="BC670" t="str">
            <v>.</v>
          </cell>
        </row>
        <row r="671">
          <cell r="BC671" t="str">
            <v>.</v>
          </cell>
        </row>
        <row r="672">
          <cell r="BC672" t="str">
            <v>.</v>
          </cell>
        </row>
        <row r="673">
          <cell r="BC673" t="str">
            <v>.</v>
          </cell>
        </row>
        <row r="674">
          <cell r="BC674" t="str">
            <v>.</v>
          </cell>
        </row>
        <row r="675">
          <cell r="BC675" t="str">
            <v>.</v>
          </cell>
        </row>
        <row r="676">
          <cell r="BC676" t="str">
            <v>.</v>
          </cell>
        </row>
        <row r="677">
          <cell r="BC677" t="str">
            <v>.</v>
          </cell>
        </row>
        <row r="678">
          <cell r="BC678" t="str">
            <v>.</v>
          </cell>
        </row>
        <row r="679">
          <cell r="BC679" t="str">
            <v>.</v>
          </cell>
        </row>
        <row r="680">
          <cell r="BC680" t="str">
            <v>.</v>
          </cell>
        </row>
        <row r="681">
          <cell r="BC681" t="str">
            <v>.</v>
          </cell>
        </row>
        <row r="682">
          <cell r="BC682" t="str">
            <v>.</v>
          </cell>
        </row>
        <row r="683">
          <cell r="BC683" t="str">
            <v>.</v>
          </cell>
        </row>
        <row r="684">
          <cell r="BC684" t="str">
            <v>.</v>
          </cell>
        </row>
        <row r="685">
          <cell r="BC685" t="str">
            <v>.</v>
          </cell>
        </row>
        <row r="686">
          <cell r="BC686" t="str">
            <v>.</v>
          </cell>
        </row>
        <row r="687">
          <cell r="BC687" t="str">
            <v>.</v>
          </cell>
        </row>
        <row r="688">
          <cell r="BC688" t="str">
            <v>.</v>
          </cell>
        </row>
        <row r="689">
          <cell r="BC689" t="str">
            <v>.</v>
          </cell>
        </row>
        <row r="690">
          <cell r="BC690" t="str">
            <v>.</v>
          </cell>
        </row>
        <row r="691">
          <cell r="BC691" t="str">
            <v>.</v>
          </cell>
        </row>
        <row r="692">
          <cell r="BC692" t="str">
            <v>.</v>
          </cell>
        </row>
        <row r="693">
          <cell r="BC693" t="str">
            <v>.</v>
          </cell>
        </row>
        <row r="694">
          <cell r="BC694" t="str">
            <v>.</v>
          </cell>
        </row>
        <row r="695">
          <cell r="BC695" t="str">
            <v>.</v>
          </cell>
        </row>
        <row r="696">
          <cell r="BC696" t="str">
            <v>.</v>
          </cell>
        </row>
        <row r="697">
          <cell r="BC697" t="str">
            <v>.</v>
          </cell>
        </row>
        <row r="698">
          <cell r="BC698" t="str">
            <v>.</v>
          </cell>
        </row>
        <row r="699">
          <cell r="BC699" t="str">
            <v>.</v>
          </cell>
        </row>
        <row r="700">
          <cell r="BC700" t="str">
            <v>.</v>
          </cell>
        </row>
        <row r="701">
          <cell r="BC701" t="str">
            <v>.</v>
          </cell>
        </row>
        <row r="702">
          <cell r="BC702" t="str">
            <v>.</v>
          </cell>
        </row>
        <row r="703">
          <cell r="BC703" t="str">
            <v>.</v>
          </cell>
        </row>
        <row r="704">
          <cell r="BC704" t="str">
            <v>.</v>
          </cell>
        </row>
        <row r="705">
          <cell r="BC705" t="str">
            <v>.</v>
          </cell>
        </row>
        <row r="706">
          <cell r="BC706" t="str">
            <v>.</v>
          </cell>
        </row>
        <row r="707">
          <cell r="BC707" t="str">
            <v>.</v>
          </cell>
        </row>
        <row r="708">
          <cell r="BC708" t="str">
            <v>.</v>
          </cell>
        </row>
        <row r="709">
          <cell r="BC709" t="str">
            <v>.</v>
          </cell>
        </row>
        <row r="710">
          <cell r="BC710" t="str">
            <v>.</v>
          </cell>
        </row>
        <row r="711">
          <cell r="BC711" t="str">
            <v>.</v>
          </cell>
        </row>
        <row r="712">
          <cell r="BC712" t="str">
            <v>.</v>
          </cell>
        </row>
        <row r="713">
          <cell r="BC713" t="str">
            <v>.</v>
          </cell>
        </row>
        <row r="714">
          <cell r="BC714" t="str">
            <v>.</v>
          </cell>
        </row>
        <row r="715">
          <cell r="BC715" t="str">
            <v>.</v>
          </cell>
        </row>
        <row r="716">
          <cell r="BC716" t="str">
            <v>.</v>
          </cell>
        </row>
        <row r="717">
          <cell r="BC717" t="str">
            <v>.</v>
          </cell>
        </row>
        <row r="718">
          <cell r="BC718" t="str">
            <v>.</v>
          </cell>
        </row>
        <row r="719">
          <cell r="BC719" t="str">
            <v>.</v>
          </cell>
        </row>
        <row r="720">
          <cell r="BC720" t="str">
            <v>.</v>
          </cell>
        </row>
        <row r="721">
          <cell r="BC721" t="str">
            <v>.</v>
          </cell>
        </row>
        <row r="722">
          <cell r="BC722" t="str">
            <v>.</v>
          </cell>
        </row>
        <row r="723">
          <cell r="BC723" t="str">
            <v>.</v>
          </cell>
        </row>
        <row r="724">
          <cell r="BC724" t="str">
            <v>.</v>
          </cell>
        </row>
        <row r="725">
          <cell r="BC725" t="str">
            <v>.</v>
          </cell>
        </row>
        <row r="726">
          <cell r="BC726" t="str">
            <v>.</v>
          </cell>
        </row>
        <row r="727">
          <cell r="BC727" t="str">
            <v>.</v>
          </cell>
        </row>
        <row r="728">
          <cell r="BC728" t="str">
            <v>.</v>
          </cell>
        </row>
        <row r="729">
          <cell r="BC729" t="str">
            <v>.</v>
          </cell>
        </row>
        <row r="730">
          <cell r="BC730" t="str">
            <v>.</v>
          </cell>
        </row>
        <row r="731">
          <cell r="BC731" t="str">
            <v>.</v>
          </cell>
        </row>
        <row r="732">
          <cell r="BC732" t="str">
            <v>.</v>
          </cell>
        </row>
        <row r="733">
          <cell r="BC733" t="str">
            <v>.</v>
          </cell>
        </row>
        <row r="734">
          <cell r="BC734" t="str">
            <v>.</v>
          </cell>
        </row>
        <row r="735">
          <cell r="BC735" t="str">
            <v>.</v>
          </cell>
        </row>
        <row r="736">
          <cell r="BC736" t="str">
            <v>.</v>
          </cell>
        </row>
        <row r="737">
          <cell r="BC737" t="str">
            <v>.</v>
          </cell>
        </row>
        <row r="738">
          <cell r="BC738" t="str">
            <v>.</v>
          </cell>
        </row>
        <row r="739">
          <cell r="BC739" t="str">
            <v>.</v>
          </cell>
        </row>
        <row r="740">
          <cell r="BC740" t="str">
            <v>.</v>
          </cell>
        </row>
        <row r="741">
          <cell r="BC741" t="str">
            <v>.</v>
          </cell>
        </row>
        <row r="742">
          <cell r="BC742" t="str">
            <v>.</v>
          </cell>
        </row>
        <row r="743">
          <cell r="BC743" t="str">
            <v>.</v>
          </cell>
        </row>
        <row r="744">
          <cell r="BC744" t="str">
            <v>.</v>
          </cell>
        </row>
        <row r="745">
          <cell r="BC745" t="str">
            <v>.</v>
          </cell>
        </row>
        <row r="746">
          <cell r="BC746" t="str">
            <v>.</v>
          </cell>
        </row>
        <row r="747">
          <cell r="BC747" t="str">
            <v>.</v>
          </cell>
        </row>
        <row r="748">
          <cell r="BC748" t="str">
            <v>.</v>
          </cell>
        </row>
        <row r="749">
          <cell r="BC749" t="str">
            <v>.</v>
          </cell>
        </row>
        <row r="750">
          <cell r="BC750" t="str">
            <v>.</v>
          </cell>
        </row>
        <row r="751">
          <cell r="BC751" t="str">
            <v>.</v>
          </cell>
        </row>
        <row r="752">
          <cell r="BC752" t="str">
            <v>.</v>
          </cell>
        </row>
        <row r="753">
          <cell r="BC753" t="str">
            <v>.</v>
          </cell>
        </row>
        <row r="754">
          <cell r="BC754" t="str">
            <v>.</v>
          </cell>
        </row>
        <row r="755">
          <cell r="BC755" t="str">
            <v>.</v>
          </cell>
        </row>
        <row r="756">
          <cell r="BC756" t="str">
            <v>.</v>
          </cell>
        </row>
        <row r="757">
          <cell r="BC757" t="str">
            <v>.</v>
          </cell>
        </row>
        <row r="758">
          <cell r="BC758" t="str">
            <v>.</v>
          </cell>
        </row>
        <row r="759">
          <cell r="BC759" t="str">
            <v>.</v>
          </cell>
        </row>
        <row r="760">
          <cell r="BC760" t="str">
            <v>.</v>
          </cell>
        </row>
        <row r="761">
          <cell r="BC761" t="str">
            <v>.</v>
          </cell>
        </row>
        <row r="762">
          <cell r="BC762" t="str">
            <v>.</v>
          </cell>
        </row>
        <row r="763">
          <cell r="BC763" t="str">
            <v>.</v>
          </cell>
        </row>
        <row r="764">
          <cell r="BC764" t="str">
            <v>.</v>
          </cell>
        </row>
        <row r="765">
          <cell r="BC765" t="str">
            <v>.</v>
          </cell>
        </row>
        <row r="766">
          <cell r="BC766" t="str">
            <v>.</v>
          </cell>
        </row>
        <row r="767">
          <cell r="BC767" t="str">
            <v>.</v>
          </cell>
        </row>
        <row r="768">
          <cell r="BC768" t="str">
            <v>.</v>
          </cell>
        </row>
        <row r="769">
          <cell r="BC769" t="str">
            <v>.</v>
          </cell>
        </row>
        <row r="770">
          <cell r="BC770" t="str">
            <v>.</v>
          </cell>
        </row>
        <row r="771">
          <cell r="BC771" t="str">
            <v>.</v>
          </cell>
        </row>
        <row r="772">
          <cell r="BC772" t="str">
            <v>.</v>
          </cell>
        </row>
        <row r="773">
          <cell r="BC773" t="str">
            <v>.</v>
          </cell>
        </row>
        <row r="774">
          <cell r="BC774" t="str">
            <v>.</v>
          </cell>
        </row>
        <row r="775">
          <cell r="BC775" t="str">
            <v>.</v>
          </cell>
        </row>
        <row r="776">
          <cell r="BC776" t="str">
            <v>.</v>
          </cell>
        </row>
        <row r="777">
          <cell r="BC777" t="str">
            <v>.</v>
          </cell>
        </row>
        <row r="778">
          <cell r="BC778" t="str">
            <v>.</v>
          </cell>
        </row>
        <row r="779">
          <cell r="BC779" t="str">
            <v>.</v>
          </cell>
        </row>
        <row r="780">
          <cell r="BC780" t="str">
            <v>.</v>
          </cell>
        </row>
        <row r="781">
          <cell r="BC781" t="str">
            <v>.</v>
          </cell>
        </row>
        <row r="782">
          <cell r="BC782" t="str">
            <v>.</v>
          </cell>
        </row>
        <row r="783">
          <cell r="BC783" t="str">
            <v>.</v>
          </cell>
        </row>
        <row r="784">
          <cell r="BC784" t="str">
            <v>.</v>
          </cell>
        </row>
        <row r="785">
          <cell r="BC785" t="str">
            <v>.</v>
          </cell>
        </row>
        <row r="786">
          <cell r="BC786" t="str">
            <v>.</v>
          </cell>
        </row>
        <row r="787">
          <cell r="BC787" t="str">
            <v>.</v>
          </cell>
        </row>
        <row r="788">
          <cell r="BC788" t="str">
            <v>.</v>
          </cell>
        </row>
        <row r="789">
          <cell r="BC789" t="str">
            <v>.</v>
          </cell>
        </row>
        <row r="790">
          <cell r="BC790" t="str">
            <v>.</v>
          </cell>
        </row>
        <row r="791">
          <cell r="BC791" t="str">
            <v>.</v>
          </cell>
        </row>
        <row r="792">
          <cell r="BC792" t="str">
            <v>.</v>
          </cell>
        </row>
        <row r="793">
          <cell r="BC793" t="str">
            <v>.</v>
          </cell>
        </row>
        <row r="794">
          <cell r="BC794" t="str">
            <v>.</v>
          </cell>
        </row>
        <row r="795">
          <cell r="BC795" t="str">
            <v>.</v>
          </cell>
        </row>
        <row r="796">
          <cell r="BC796" t="str">
            <v>.</v>
          </cell>
        </row>
        <row r="797">
          <cell r="BC797" t="str">
            <v>.</v>
          </cell>
        </row>
        <row r="798">
          <cell r="BC798" t="str">
            <v>.</v>
          </cell>
        </row>
        <row r="799">
          <cell r="BC799" t="str">
            <v>.</v>
          </cell>
        </row>
        <row r="800">
          <cell r="BC800" t="str">
            <v>.</v>
          </cell>
        </row>
        <row r="801">
          <cell r="BC801" t="str">
            <v>.</v>
          </cell>
        </row>
        <row r="802">
          <cell r="BC802" t="str">
            <v>.</v>
          </cell>
        </row>
        <row r="803">
          <cell r="BC803" t="str">
            <v>.</v>
          </cell>
        </row>
        <row r="804">
          <cell r="BC804" t="str">
            <v>.</v>
          </cell>
        </row>
        <row r="805">
          <cell r="BC805" t="str">
            <v>.</v>
          </cell>
        </row>
        <row r="806">
          <cell r="BC806" t="str">
            <v>.</v>
          </cell>
        </row>
        <row r="807">
          <cell r="BC807" t="str">
            <v>.</v>
          </cell>
        </row>
        <row r="808">
          <cell r="BC808" t="str">
            <v>.</v>
          </cell>
        </row>
        <row r="809">
          <cell r="BC809" t="str">
            <v>.</v>
          </cell>
        </row>
        <row r="810">
          <cell r="BC810" t="str">
            <v>.</v>
          </cell>
        </row>
        <row r="811">
          <cell r="BC811" t="str">
            <v>.</v>
          </cell>
        </row>
        <row r="812">
          <cell r="BC812" t="str">
            <v>.</v>
          </cell>
        </row>
        <row r="813">
          <cell r="BC813" t="str">
            <v>.</v>
          </cell>
        </row>
        <row r="814">
          <cell r="BC814" t="str">
            <v>.</v>
          </cell>
        </row>
        <row r="815">
          <cell r="BC815" t="str">
            <v>.</v>
          </cell>
        </row>
        <row r="816">
          <cell r="BC816" t="str">
            <v>.</v>
          </cell>
        </row>
        <row r="817">
          <cell r="BC817" t="str">
            <v>.</v>
          </cell>
        </row>
        <row r="818">
          <cell r="BC818" t="str">
            <v>.</v>
          </cell>
        </row>
        <row r="819">
          <cell r="BC819" t="str">
            <v>.</v>
          </cell>
        </row>
        <row r="820">
          <cell r="BC820" t="str">
            <v>.</v>
          </cell>
        </row>
        <row r="821">
          <cell r="BC821" t="str">
            <v>.</v>
          </cell>
        </row>
        <row r="822">
          <cell r="BC822" t="str">
            <v>.</v>
          </cell>
        </row>
        <row r="823">
          <cell r="BC823" t="str">
            <v>.</v>
          </cell>
        </row>
        <row r="824">
          <cell r="BC824" t="str">
            <v>.</v>
          </cell>
        </row>
        <row r="825">
          <cell r="BC825" t="str">
            <v>.</v>
          </cell>
        </row>
        <row r="826">
          <cell r="BC826" t="str">
            <v>.</v>
          </cell>
        </row>
        <row r="827">
          <cell r="BC827" t="str">
            <v>.</v>
          </cell>
        </row>
        <row r="828">
          <cell r="BC828" t="str">
            <v>.</v>
          </cell>
        </row>
        <row r="829">
          <cell r="BC829" t="str">
            <v>.</v>
          </cell>
        </row>
        <row r="830">
          <cell r="BC830" t="str">
            <v>.</v>
          </cell>
        </row>
        <row r="831">
          <cell r="BC831" t="str">
            <v>.</v>
          </cell>
        </row>
        <row r="832">
          <cell r="BC832" t="str">
            <v>.</v>
          </cell>
        </row>
        <row r="833">
          <cell r="BC833" t="str">
            <v>.</v>
          </cell>
        </row>
        <row r="834">
          <cell r="BC834" t="str">
            <v>.</v>
          </cell>
        </row>
        <row r="835">
          <cell r="BC835" t="str">
            <v>.</v>
          </cell>
        </row>
        <row r="836">
          <cell r="BC836" t="str">
            <v>.</v>
          </cell>
        </row>
        <row r="837">
          <cell r="BC837" t="str">
            <v>.</v>
          </cell>
        </row>
        <row r="838">
          <cell r="BC838" t="str">
            <v>.</v>
          </cell>
        </row>
        <row r="839">
          <cell r="BC839" t="str">
            <v>.</v>
          </cell>
        </row>
        <row r="840">
          <cell r="BC840" t="str">
            <v>.</v>
          </cell>
        </row>
        <row r="841">
          <cell r="BC841" t="str">
            <v>.</v>
          </cell>
        </row>
        <row r="842">
          <cell r="BC842" t="str">
            <v>.</v>
          </cell>
        </row>
        <row r="843">
          <cell r="BC843" t="str">
            <v>.</v>
          </cell>
        </row>
        <row r="844">
          <cell r="BC844" t="str">
            <v>.</v>
          </cell>
        </row>
        <row r="845">
          <cell r="BC845" t="str">
            <v>.</v>
          </cell>
        </row>
        <row r="846">
          <cell r="BC846" t="str">
            <v>.</v>
          </cell>
        </row>
        <row r="847">
          <cell r="BC847" t="str">
            <v>.</v>
          </cell>
        </row>
        <row r="848">
          <cell r="BC848" t="str">
            <v>.</v>
          </cell>
        </row>
        <row r="849">
          <cell r="BC849" t="str">
            <v>.</v>
          </cell>
        </row>
        <row r="850">
          <cell r="BC850" t="str">
            <v>.</v>
          </cell>
        </row>
        <row r="851">
          <cell r="BC851" t="str">
            <v>.</v>
          </cell>
        </row>
        <row r="852">
          <cell r="BC852" t="str">
            <v>.</v>
          </cell>
        </row>
        <row r="853">
          <cell r="BC853" t="str">
            <v>.</v>
          </cell>
        </row>
        <row r="854">
          <cell r="BC854" t="str">
            <v>.</v>
          </cell>
        </row>
        <row r="855">
          <cell r="BC855" t="str">
            <v>.</v>
          </cell>
        </row>
        <row r="856">
          <cell r="BC856" t="str">
            <v>.</v>
          </cell>
        </row>
        <row r="857">
          <cell r="BC857" t="str">
            <v>.</v>
          </cell>
        </row>
        <row r="858">
          <cell r="BC858" t="str">
            <v>.</v>
          </cell>
        </row>
        <row r="859">
          <cell r="BC859" t="str">
            <v>.</v>
          </cell>
        </row>
        <row r="860">
          <cell r="BC860" t="str">
            <v>.</v>
          </cell>
        </row>
        <row r="861">
          <cell r="BC861" t="str">
            <v>.</v>
          </cell>
        </row>
        <row r="862">
          <cell r="BC862" t="str">
            <v>.</v>
          </cell>
        </row>
        <row r="863">
          <cell r="BC863" t="str">
            <v>.</v>
          </cell>
        </row>
        <row r="864">
          <cell r="BC864" t="str">
            <v>.</v>
          </cell>
        </row>
        <row r="865">
          <cell r="BC865" t="str">
            <v>.</v>
          </cell>
        </row>
        <row r="866">
          <cell r="BC866" t="str">
            <v>.</v>
          </cell>
        </row>
        <row r="867">
          <cell r="BC867" t="str">
            <v>.</v>
          </cell>
        </row>
        <row r="868">
          <cell r="BC868" t="str">
            <v>.</v>
          </cell>
        </row>
        <row r="869">
          <cell r="BC869" t="str">
            <v>.</v>
          </cell>
        </row>
        <row r="870">
          <cell r="BC870" t="str">
            <v>.</v>
          </cell>
        </row>
        <row r="871">
          <cell r="BC871" t="str">
            <v>.</v>
          </cell>
        </row>
        <row r="872">
          <cell r="BC872" t="str">
            <v>.</v>
          </cell>
        </row>
        <row r="873">
          <cell r="BC873" t="str">
            <v>.</v>
          </cell>
        </row>
        <row r="874">
          <cell r="BC874" t="str">
            <v>.</v>
          </cell>
        </row>
        <row r="875">
          <cell r="BC875" t="str">
            <v>.</v>
          </cell>
        </row>
        <row r="876">
          <cell r="BC876" t="str">
            <v>.</v>
          </cell>
        </row>
        <row r="877">
          <cell r="BC877" t="str">
            <v>.</v>
          </cell>
        </row>
        <row r="878">
          <cell r="BC878" t="str">
            <v>.</v>
          </cell>
        </row>
        <row r="879">
          <cell r="BC879" t="str">
            <v>.</v>
          </cell>
        </row>
        <row r="880">
          <cell r="BC880" t="str">
            <v>.</v>
          </cell>
        </row>
        <row r="881">
          <cell r="BC881" t="str">
            <v>.</v>
          </cell>
        </row>
        <row r="882">
          <cell r="BC882" t="str">
            <v>.</v>
          </cell>
        </row>
        <row r="883">
          <cell r="BC883" t="str">
            <v>.</v>
          </cell>
        </row>
        <row r="884">
          <cell r="BC884" t="str">
            <v>.</v>
          </cell>
        </row>
        <row r="885">
          <cell r="BC885" t="str">
            <v>.</v>
          </cell>
        </row>
        <row r="886">
          <cell r="BC886" t="str">
            <v>.</v>
          </cell>
        </row>
        <row r="887">
          <cell r="BC887" t="str">
            <v>.</v>
          </cell>
        </row>
        <row r="888">
          <cell r="BC888" t="str">
            <v>.</v>
          </cell>
        </row>
        <row r="889">
          <cell r="BC889" t="str">
            <v>.</v>
          </cell>
        </row>
        <row r="890">
          <cell r="BC890" t="str">
            <v>.</v>
          </cell>
        </row>
        <row r="891">
          <cell r="BC891" t="str">
            <v>.</v>
          </cell>
        </row>
        <row r="892">
          <cell r="BC892" t="str">
            <v>.</v>
          </cell>
        </row>
        <row r="893">
          <cell r="BC893" t="str">
            <v>.</v>
          </cell>
        </row>
        <row r="894">
          <cell r="BC894" t="str">
            <v>.</v>
          </cell>
        </row>
        <row r="895">
          <cell r="BC895" t="str">
            <v>.</v>
          </cell>
        </row>
        <row r="896">
          <cell r="BC896" t="str">
            <v>.</v>
          </cell>
        </row>
        <row r="897">
          <cell r="BC897" t="str">
            <v>.</v>
          </cell>
        </row>
        <row r="898">
          <cell r="BC898" t="str">
            <v>.</v>
          </cell>
        </row>
        <row r="899">
          <cell r="BC899" t="str">
            <v>.</v>
          </cell>
        </row>
        <row r="900">
          <cell r="BC900" t="str">
            <v>.</v>
          </cell>
        </row>
        <row r="901">
          <cell r="BC901" t="str">
            <v>.</v>
          </cell>
        </row>
        <row r="902">
          <cell r="BC902" t="str">
            <v>.</v>
          </cell>
        </row>
        <row r="903">
          <cell r="BC903" t="str">
            <v>.</v>
          </cell>
        </row>
        <row r="904">
          <cell r="BC904" t="str">
            <v>.</v>
          </cell>
        </row>
        <row r="905">
          <cell r="BC905" t="str">
            <v>.</v>
          </cell>
        </row>
        <row r="906">
          <cell r="BC906" t="str">
            <v>.</v>
          </cell>
        </row>
        <row r="907">
          <cell r="BC907" t="str">
            <v>.</v>
          </cell>
        </row>
        <row r="908">
          <cell r="BC908" t="str">
            <v>.</v>
          </cell>
        </row>
        <row r="909">
          <cell r="BC909" t="str">
            <v>.</v>
          </cell>
        </row>
        <row r="910">
          <cell r="BC910" t="str">
            <v>.</v>
          </cell>
        </row>
        <row r="911">
          <cell r="BC911" t="str">
            <v>.</v>
          </cell>
        </row>
        <row r="912">
          <cell r="BC912" t="str">
            <v>.</v>
          </cell>
        </row>
        <row r="913">
          <cell r="BC913" t="str">
            <v>.</v>
          </cell>
        </row>
        <row r="914">
          <cell r="BC914" t="str">
            <v>.</v>
          </cell>
        </row>
        <row r="915">
          <cell r="BC915" t="str">
            <v>.</v>
          </cell>
        </row>
        <row r="916">
          <cell r="BC916" t="str">
            <v>.</v>
          </cell>
        </row>
        <row r="917">
          <cell r="BC917" t="str">
            <v>.</v>
          </cell>
        </row>
        <row r="918">
          <cell r="BC918" t="str">
            <v>.</v>
          </cell>
        </row>
        <row r="919">
          <cell r="BC919" t="str">
            <v>.</v>
          </cell>
        </row>
        <row r="920">
          <cell r="BC920" t="str">
            <v>.</v>
          </cell>
        </row>
        <row r="921">
          <cell r="BC921" t="str">
            <v>.</v>
          </cell>
        </row>
        <row r="922">
          <cell r="BC922" t="str">
            <v>.</v>
          </cell>
        </row>
        <row r="923">
          <cell r="BC923" t="str">
            <v>.</v>
          </cell>
        </row>
        <row r="924">
          <cell r="BC924" t="str">
            <v>.</v>
          </cell>
        </row>
        <row r="925">
          <cell r="BC925" t="str">
            <v>.</v>
          </cell>
        </row>
        <row r="926">
          <cell r="BC926" t="str">
            <v>.</v>
          </cell>
        </row>
        <row r="927">
          <cell r="BC927" t="str">
            <v>.</v>
          </cell>
        </row>
        <row r="928">
          <cell r="BC928" t="str">
            <v>.</v>
          </cell>
        </row>
        <row r="929">
          <cell r="BC929" t="str">
            <v>.</v>
          </cell>
        </row>
        <row r="930">
          <cell r="BC930" t="str">
            <v>.</v>
          </cell>
        </row>
        <row r="931">
          <cell r="BC931" t="str">
            <v>.</v>
          </cell>
        </row>
        <row r="932">
          <cell r="BC932" t="str">
            <v>.</v>
          </cell>
        </row>
        <row r="933">
          <cell r="BC933" t="str">
            <v>.</v>
          </cell>
        </row>
        <row r="934">
          <cell r="BC934" t="str">
            <v>.</v>
          </cell>
        </row>
        <row r="935">
          <cell r="BC935" t="str">
            <v>.</v>
          </cell>
        </row>
        <row r="936">
          <cell r="BC936" t="str">
            <v>.</v>
          </cell>
        </row>
        <row r="937">
          <cell r="BC937" t="str">
            <v>.</v>
          </cell>
        </row>
        <row r="938">
          <cell r="BC938" t="str">
            <v>.</v>
          </cell>
        </row>
        <row r="939">
          <cell r="BC939" t="str">
            <v>.</v>
          </cell>
        </row>
        <row r="940">
          <cell r="BC940" t="str">
            <v>.</v>
          </cell>
        </row>
        <row r="941">
          <cell r="BC941" t="str">
            <v>.</v>
          </cell>
        </row>
        <row r="942">
          <cell r="BC942" t="str">
            <v>.</v>
          </cell>
        </row>
        <row r="943">
          <cell r="BC943" t="str">
            <v>.</v>
          </cell>
        </row>
        <row r="944">
          <cell r="BC944" t="str">
            <v>.</v>
          </cell>
        </row>
        <row r="945">
          <cell r="BC945" t="str">
            <v>.</v>
          </cell>
        </row>
        <row r="946">
          <cell r="BC946" t="str">
            <v>.</v>
          </cell>
        </row>
        <row r="947">
          <cell r="BC947" t="str">
            <v>.</v>
          </cell>
        </row>
        <row r="948">
          <cell r="BC948" t="str">
            <v>.</v>
          </cell>
        </row>
        <row r="949">
          <cell r="BC949" t="str">
            <v>.</v>
          </cell>
        </row>
        <row r="950">
          <cell r="BC950" t="str">
            <v>.</v>
          </cell>
        </row>
        <row r="951">
          <cell r="BC951" t="str">
            <v>.</v>
          </cell>
        </row>
        <row r="952">
          <cell r="BC952" t="str">
            <v>.</v>
          </cell>
        </row>
        <row r="953">
          <cell r="BC953" t="str">
            <v>.</v>
          </cell>
        </row>
        <row r="954">
          <cell r="BC954" t="str">
            <v>.</v>
          </cell>
        </row>
        <row r="955">
          <cell r="BC955" t="str">
            <v>.</v>
          </cell>
        </row>
        <row r="956">
          <cell r="BC956" t="str">
            <v>.</v>
          </cell>
        </row>
        <row r="957">
          <cell r="BC957" t="str">
            <v>.</v>
          </cell>
        </row>
        <row r="958">
          <cell r="BC958" t="str">
            <v>.</v>
          </cell>
        </row>
        <row r="959">
          <cell r="BC959" t="str">
            <v>.</v>
          </cell>
        </row>
        <row r="960">
          <cell r="BC960" t="str">
            <v>.</v>
          </cell>
        </row>
        <row r="961">
          <cell r="BC961" t="str">
            <v>.</v>
          </cell>
        </row>
        <row r="962">
          <cell r="BC962" t="str">
            <v>.</v>
          </cell>
        </row>
        <row r="963">
          <cell r="BC963" t="str">
            <v>.</v>
          </cell>
        </row>
        <row r="964">
          <cell r="BC964" t="str">
            <v>.</v>
          </cell>
        </row>
        <row r="965">
          <cell r="BC965" t="str">
            <v>.</v>
          </cell>
        </row>
        <row r="966">
          <cell r="BC966" t="str">
            <v>.</v>
          </cell>
        </row>
        <row r="967">
          <cell r="BC967" t="str">
            <v>.</v>
          </cell>
        </row>
        <row r="968">
          <cell r="BC968" t="str">
            <v>.</v>
          </cell>
        </row>
        <row r="969">
          <cell r="BC969" t="str">
            <v>.</v>
          </cell>
        </row>
        <row r="970">
          <cell r="BC970" t="str">
            <v>.</v>
          </cell>
        </row>
        <row r="971">
          <cell r="BC971" t="str">
            <v>.</v>
          </cell>
        </row>
        <row r="972">
          <cell r="BC972" t="str">
            <v>.</v>
          </cell>
        </row>
        <row r="973">
          <cell r="BC973" t="str">
            <v>.</v>
          </cell>
        </row>
        <row r="974">
          <cell r="BC974" t="str">
            <v>.</v>
          </cell>
        </row>
        <row r="975">
          <cell r="BC975" t="str">
            <v>.</v>
          </cell>
        </row>
        <row r="976">
          <cell r="BC976" t="str">
            <v>.</v>
          </cell>
        </row>
        <row r="977">
          <cell r="BC977" t="str">
            <v>.</v>
          </cell>
        </row>
        <row r="978">
          <cell r="BC978" t="str">
            <v>.</v>
          </cell>
        </row>
        <row r="979">
          <cell r="BC979" t="str">
            <v>.</v>
          </cell>
        </row>
        <row r="980">
          <cell r="BC980" t="str">
            <v>.</v>
          </cell>
        </row>
        <row r="981">
          <cell r="BC981" t="str">
            <v>.</v>
          </cell>
        </row>
        <row r="982">
          <cell r="BC982" t="str">
            <v>.</v>
          </cell>
        </row>
        <row r="983">
          <cell r="BC983" t="str">
            <v>.</v>
          </cell>
        </row>
        <row r="984">
          <cell r="BC984" t="str">
            <v>.</v>
          </cell>
        </row>
        <row r="985">
          <cell r="BC985" t="str">
            <v>.</v>
          </cell>
        </row>
        <row r="986">
          <cell r="BC986" t="str">
            <v>.</v>
          </cell>
        </row>
        <row r="987">
          <cell r="BC987" t="str">
            <v>.</v>
          </cell>
        </row>
        <row r="988">
          <cell r="BC988" t="str">
            <v>.</v>
          </cell>
        </row>
        <row r="989">
          <cell r="BC989" t="str">
            <v>.</v>
          </cell>
        </row>
        <row r="990">
          <cell r="BC990" t="str">
            <v>.</v>
          </cell>
        </row>
        <row r="991">
          <cell r="BC991" t="str">
            <v>.</v>
          </cell>
        </row>
        <row r="992">
          <cell r="BC992" t="str">
            <v>.</v>
          </cell>
        </row>
        <row r="993">
          <cell r="BC993" t="str">
            <v>.</v>
          </cell>
        </row>
        <row r="994">
          <cell r="BC994" t="str">
            <v>.</v>
          </cell>
        </row>
        <row r="995">
          <cell r="BC995" t="str">
            <v>.</v>
          </cell>
        </row>
        <row r="996">
          <cell r="BC996" t="str">
            <v>.</v>
          </cell>
        </row>
        <row r="997">
          <cell r="BC997" t="str">
            <v>.</v>
          </cell>
        </row>
        <row r="998">
          <cell r="A998" t="str">
            <v>.</v>
          </cell>
          <cell r="B998" t="str">
            <v>.</v>
          </cell>
          <cell r="C998" t="str">
            <v>.</v>
          </cell>
          <cell r="D998" t="str">
            <v>.</v>
          </cell>
          <cell r="E998" t="str">
            <v>.</v>
          </cell>
          <cell r="F998" t="str">
            <v>.</v>
          </cell>
          <cell r="Q998" t="str">
            <v>.</v>
          </cell>
          <cell r="R998" t="str">
            <v>.</v>
          </cell>
          <cell r="S998" t="str">
            <v>.</v>
          </cell>
          <cell r="T998" t="str">
            <v>.</v>
          </cell>
          <cell r="U998" t="str">
            <v>.</v>
          </cell>
          <cell r="V998" t="str">
            <v>.</v>
          </cell>
          <cell r="Z998" t="str">
            <v>.</v>
          </cell>
          <cell r="AB998" t="str">
            <v>.</v>
          </cell>
          <cell r="AC998" t="str">
            <v>.</v>
          </cell>
          <cell r="AD998" t="str">
            <v>.</v>
          </cell>
          <cell r="AE998" t="str">
            <v>.</v>
          </cell>
          <cell r="AF998" t="str">
            <v>.</v>
          </cell>
          <cell r="AG998" t="str">
            <v>.</v>
          </cell>
          <cell r="AH998" t="str">
            <v>.</v>
          </cell>
          <cell r="AI998" t="str">
            <v>.</v>
          </cell>
          <cell r="AJ998" t="str">
            <v>.</v>
          </cell>
          <cell r="AK998" t="str">
            <v>.</v>
          </cell>
          <cell r="AL998" t="str">
            <v>.</v>
          </cell>
          <cell r="AM998" t="str">
            <v>.</v>
          </cell>
          <cell r="AN998" t="str">
            <v>.</v>
          </cell>
          <cell r="AO998" t="str">
            <v>.</v>
          </cell>
          <cell r="AP998" t="str">
            <v>.</v>
          </cell>
          <cell r="AQ998" t="str">
            <v>.</v>
          </cell>
          <cell r="AR998" t="str">
            <v>.</v>
          </cell>
          <cell r="AS998" t="str">
            <v>.</v>
          </cell>
          <cell r="AT998" t="str">
            <v>.</v>
          </cell>
          <cell r="AU998" t="str">
            <v>.</v>
          </cell>
          <cell r="AV998" t="str">
            <v>.</v>
          </cell>
          <cell r="AW998" t="str">
            <v>.</v>
          </cell>
          <cell r="AX998" t="str">
            <v>.</v>
          </cell>
          <cell r="AY998" t="str">
            <v>.</v>
          </cell>
          <cell r="AZ998" t="str">
            <v>.</v>
          </cell>
          <cell r="BA998" t="str">
            <v>.</v>
          </cell>
          <cell r="BB998" t="str">
            <v>.</v>
          </cell>
          <cell r="BC998" t="str">
            <v>.</v>
          </cell>
        </row>
      </sheetData>
      <sheetData sheetId="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Cash Flow"/>
      <sheetName val="upside_downside"/>
      <sheetName val="Income Statement"/>
      <sheetName val="Balance Sheet"/>
      <sheetName val="Cash"/>
      <sheetName val="Exhibit 3"/>
      <sheetName val="Cash_published"/>
      <sheetName val="NVF_published"/>
      <sheetName val="Exhibit 5"/>
      <sheetName val="IFRS"/>
      <sheetName val="Exhibit 4"/>
      <sheetName val="IFRS Life"/>
      <sheetName val="Exhibit 1"/>
      <sheetName val="Exhibit 2"/>
      <sheetName val="MCEV Roll-up"/>
      <sheetName val="Weekahead"/>
      <sheetName val="MCEV_Capital"/>
      <sheetName val="Assets(new)"/>
      <sheetName val="MCEV P&amp;L"/>
      <sheetName val="RI"/>
      <sheetName val="BULLBEAR"/>
      <sheetName val="Sheet2"/>
      <sheetName val="DCF"/>
      <sheetName val="MWA RR"/>
      <sheetName val="REVENUE BY GEOGRAPHY"/>
      <sheetName val="NonQtr"/>
      <sheetName val="Data 20d"/>
      <sheetName val="Data"/>
      <sheetName val="Risk-Reward_View_Chart"/>
      <sheetName val="Valsum"/>
      <sheetName val="Interims"/>
      <sheetName val="Financial Statements"/>
      <sheetName val="CPB"/>
      <sheetName val="Total_Food_Promo"/>
      <sheetName val="CPB_2yr"/>
      <sheetName val="FX"/>
      <sheetName val="Inputs"/>
      <sheetName val="Good 12-00 (2)"/>
      <sheetName val="Good 11-36"/>
      <sheetName val="Good 11-50"/>
      <sheetName val="Sheet3 (5)"/>
      <sheetName val="B11_BarSingle_AverageLine"/>
      <sheetName val="Summary"/>
      <sheetName val="Floater Demand"/>
      <sheetName val="Quero_Sales"/>
      <sheetName val="L2005"/>
      <sheetName val="C2000"/>
      <sheetName val="Cell Reference"/>
      <sheetName val="Shading Period-Level"/>
      <sheetName val="Sources of Change"/>
      <sheetName val="Basic (gridlines)"/>
      <sheetName val="Average (reference) Line"/>
      <sheetName val="Double (overlapping)"/>
      <sheetName val="Reference Step Line"/>
      <sheetName val="Double (gridlines)"/>
      <sheetName val="Growth Line"/>
      <sheetName val="Reference Marks"/>
      <sheetName val="Single-point highlighting"/>
      <sheetName val="CPNO"/>
      <sheetName val="MMP"/>
      <sheetName val="PAA"/>
      <sheetName val="EEP"/>
      <sheetName val="KMP"/>
      <sheetName val="ETP"/>
      <sheetName val="BPL"/>
      <sheetName val="NS"/>
      <sheetName val="BWP"/>
      <sheetName val="EPD"/>
      <sheetName val="RGNC"/>
      <sheetName val="画像1"/>
      <sheetName val="業績推移"/>
      <sheetName val="バリュエーション比較"/>
      <sheetName val="自動車設備投資"/>
      <sheetName val="ロボット機械統計年"/>
      <sheetName val="ロボット機械統計"/>
      <sheetName val="株価と関連指標"/>
      <sheetName val="画像3"/>
      <sheetName val="利益率比較"/>
      <sheetName val="ロボット試算"/>
      <sheetName val="画像2"/>
      <sheetName val="内訳"/>
      <sheetName val="株価(過去1年) "/>
      <sheetName val="WWロボット出荷台数"/>
      <sheetName val="長期営業利益"/>
      <sheetName val="中国NC化率"/>
      <sheetName val="画像4"/>
      <sheetName val="成長率比較"/>
      <sheetName val="バリュエーション"/>
      <sheetName val="四半期"/>
      <sheetName val="画像5"/>
      <sheetName val="RRBox"/>
      <sheetName val="シェアと競合"/>
      <sheetName val="WP Detail "/>
      <sheetName val="Model"/>
      <sheetName val="Sheet4"/>
      <sheetName val="ForeignStake"/>
      <sheetName val="rev change analysis"/>
      <sheetName val="rev contribution analysis"/>
      <sheetName val="WPZ"/>
      <sheetName val="TPP"/>
      <sheetName val="EPE"/>
      <sheetName val="WMZ"/>
      <sheetName val="HEP"/>
      <sheetName val="MGG"/>
      <sheetName val="ETE"/>
      <sheetName val="BGH"/>
      <sheetName val="SEP"/>
      <sheetName val="TCLP"/>
      <sheetName val="SXL"/>
      <sheetName val="WES"/>
      <sheetName val="Charts"/>
      <sheetName val="Pension"/>
      <sheetName val="Walk"/>
      <sheetName val="HTC"/>
      <sheetName val="MS Tele Rep"/>
      <sheetName val="China Handset"/>
      <sheetName val="Smartphone"/>
      <sheetName val="IDC"/>
      <sheetName val="CW"/>
      <sheetName val="R2000"/>
      <sheetName val="__FDS_DOWNL_SCRATCH_SHEET__"/>
      <sheetName val="FIH"/>
      <sheetName val="MIC"/>
      <sheetName val="Valuation"/>
      <sheetName val="Sales by App"/>
      <sheetName val="Net Income &amp; EPS"/>
      <sheetName val="IDC_2"/>
      <sheetName val="Sales by Region Comp"/>
      <sheetName val="What's Changed"/>
      <sheetName val="Outsourcing"/>
      <sheetName val="Nokia vs HTC"/>
      <sheetName val="2012 Outlook"/>
      <sheetName val=" Capital"/>
      <sheetName val="New Business"/>
      <sheetName val="Basket_June09_2010"/>
      <sheetName val="C1070"/>
      <sheetName val="Basket_Jan09"/>
      <sheetName val="Basket_2010"/>
      <sheetName val="Inflation v Price 6mth lag"/>
      <sheetName val="Basket_2011"/>
      <sheetName val="Basket_June09"/>
      <sheetName val="Basket_June09_Futures"/>
      <sheetName val="Commodities Exposure"/>
    </sheetNames>
    <sheetDataSet>
      <sheetData sheetId="0" refreshError="1">
        <row r="5">
          <cell r="F5" t="str">
            <v>Display horizontal line for the average?</v>
          </cell>
        </row>
        <row r="10">
          <cell r="Y10" t="str">
            <v>invisible1</v>
          </cell>
        </row>
        <row r="11">
          <cell r="D11" t="str">
            <v>Jupiter</v>
          </cell>
          <cell r="E11">
            <v>78</v>
          </cell>
          <cell r="X11" t="str">
            <v xml:space="preserve">  </v>
          </cell>
          <cell r="Y11">
            <v>44.5</v>
          </cell>
        </row>
        <row r="12">
          <cell r="D12" t="str">
            <v>Juno</v>
          </cell>
          <cell r="E12">
            <v>58</v>
          </cell>
        </row>
        <row r="13">
          <cell r="D13" t="str">
            <v>Neptune</v>
          </cell>
          <cell r="E13">
            <v>45</v>
          </cell>
          <cell r="X13" t="str">
            <v>width</v>
          </cell>
          <cell r="Y13">
            <v>0.624</v>
          </cell>
        </row>
        <row r="14">
          <cell r="D14" t="str">
            <v>Pluto</v>
          </cell>
          <cell r="E14">
            <v>37</v>
          </cell>
        </row>
        <row r="15">
          <cell r="D15" t="str">
            <v>Minerva</v>
          </cell>
          <cell r="E15">
            <v>26</v>
          </cell>
          <cell r="X15" t="str">
            <v>scaling</v>
          </cell>
          <cell r="Y15">
            <v>8.0000000000000002E-3</v>
          </cell>
        </row>
        <row r="16">
          <cell r="D16" t="str">
            <v>Hermes</v>
          </cell>
          <cell r="E16">
            <v>23</v>
          </cell>
        </row>
        <row r="17">
          <cell r="X17" t="str">
            <v>label</v>
          </cell>
          <cell r="Y17" t="str">
            <v>average: 44.5</v>
          </cell>
        </row>
        <row r="28">
          <cell r="R28" t="b">
            <v>1</v>
          </cell>
        </row>
        <row r="34">
          <cell r="R34" t="str">
            <v>Notes:</v>
          </cell>
        </row>
        <row r="35">
          <cell r="R35" t="str">
            <v>-doesn't work for negative average</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ning"/>
      <sheetName val="Insurance"/>
      <sheetName val="Banks"/>
      <sheetName val="Oils"/>
      <sheetName val="General Europe"/>
      <sheetName val="General UK"/>
      <sheetName val="Latest_Chart"/>
      <sheetName val="Add4Sheet"/>
      <sheetName val="Module2"/>
      <sheetName val="Module1"/>
      <sheetName val="LINKTAB"/>
      <sheetName val="Model"/>
      <sheetName val="P"/>
      <sheetName val="Market_Share"/>
      <sheetName val="Assumptions"/>
      <sheetName val="Summary"/>
      <sheetName val="Consol_Income"/>
      <sheetName val="Rate Case"/>
      <sheetName val="Balance Sheet"/>
      <sheetName val="Sheet9"/>
      <sheetName val="Leases"/>
      <sheetName val="Graph"/>
      <sheetName val="Income"/>
      <sheetName val="Financial Summary"/>
      <sheetName val="BizJet Deliveries"/>
      <sheetName val="Exclusion List"/>
      <sheetName val="CFOld"/>
      <sheetName val="PLOld"/>
      <sheetName val="Headline"/>
      <sheetName val="MTT old"/>
      <sheetName val="CENMODEL"/>
      <sheetName val="Cash flow"/>
      <sheetName val="Profit &amp; Loss"/>
      <sheetName val="Inputs, sensitivity &amp; val"/>
      <sheetName val="KQ"/>
      <sheetName val="Monthly figures"/>
      <sheetName val="DOMNETREV1002B"/>
      <sheetName val="Consolidated"/>
      <sheetName val="Customize Your Statement"/>
      <sheetName val="c1"/>
      <sheetName val="Sainsbury"/>
    </sheetNames>
    <definedNames>
      <definedName name="Download_series"/>
      <definedName name="Update_This"/>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ort"/>
      <sheetName val="MW-Cache"/>
      <sheetName val="OPEB"/>
      <sheetName val="mwareSettings"/>
    </sheetNames>
    <sheetDataSet>
      <sheetData sheetId="0"/>
      <sheetData sheetId="1"/>
      <sheetData sheetId="2">
        <row r="21">
          <cell r="AZ21">
            <v>1</v>
          </cell>
        </row>
      </sheetData>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 Id="rId2" Target="../drawings/drawing1.xml" Type="http://schemas.openxmlformats.org/officeDocument/2006/relationships/drawing"/>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vmlDrawing2.vml" Type="http://schemas.openxmlformats.org/officeDocument/2006/relationships/vmlDrawing"/>
<Relationship Id="rId3" Target="../comments2.xml" Type="http://schemas.openxmlformats.org/officeDocument/2006/relationships/comment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drawing2.xml" Type="http://schemas.openxmlformats.org/officeDocument/2006/relationships/drawing"/>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vmlDrawing3.vml" Type="http://schemas.openxmlformats.org/officeDocument/2006/relationships/vmlDrawing"/>
<Relationship Id="rId3" Target="../comments3.xml" Type="http://schemas.openxmlformats.org/officeDocument/2006/relationships/comments"/>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 Id="rId10" Target="../comments4.xml" Type="http://schemas.openxmlformats.org/officeDocument/2006/relationships/comments"/>
<Relationship Id="rId2" Target="../drawings/drawing3.xml" Type="http://schemas.openxmlformats.org/officeDocument/2006/relationships/drawing"/>
<Relationship Id="rId3" Target="../drawings/vmlDrawing4.vml" Type="http://schemas.openxmlformats.org/officeDocument/2006/relationships/vmlDrawing"/>
<Relationship Id="rId4" Target="../activeX/activeX1.xml" Type="http://schemas.openxmlformats.org/officeDocument/2006/relationships/control"/>
<Relationship Id="rId5" Target="../media/image4.emf" Type="http://schemas.openxmlformats.org/officeDocument/2006/relationships/image"/>
<Relationship Id="rId6" Target="../activeX/activeX2.xml" Type="http://schemas.openxmlformats.org/officeDocument/2006/relationships/control"/>
<Relationship Id="rId7" Target="../media/image5.emf" Type="http://schemas.openxmlformats.org/officeDocument/2006/relationships/image"/>
<Relationship Id="rId8" Target="../activeX/activeX3.xml" Type="http://schemas.openxmlformats.org/officeDocument/2006/relationships/control"/>
<Relationship Id="rId9" Target="../media/image6.emf" Type="http://schemas.openxmlformats.org/officeDocument/2006/relationships/image"/>
</Relationships>

</file>

<file path=xl/worksheets/_rels/sheet9.xml.rels><?xml version="1.0" encoding="UTF-8" standalone="yes"?>
<Relationships xmlns="http://schemas.openxmlformats.org/package/2006/relationships">
<Relationship Id="rId1" Target="../printerSettings/printerSettings9.bin" Type="http://schemas.openxmlformats.org/officeDocument/2006/relationships/printerSettings"/>
<Relationship Id="rId2" Target="../drawings/drawing4.xml" Type="http://schemas.openxmlformats.org/officeDocument/2006/relationships/drawing"/>
<Relationship Id="rId3" Target="../drawings/vmlDrawing5.vml" Type="http://schemas.openxmlformats.org/officeDocument/2006/relationships/vmlDrawing"/>
<Relationship Id="rId4" Target="../activeX/activeX4.xml" Type="http://schemas.openxmlformats.org/officeDocument/2006/relationships/control"/>
<Relationship Id="rId5" Target="../media/image7.emf" Type="http://schemas.openxmlformats.org/officeDocument/2006/relationships/image"/>
<Relationship Id="rId6" Target="../comments5.xml" Type="http://schemas.openxmlformats.org/officeDocument/2006/relationships/comments"/>
</Relationships>

</file>

<file path=xl/worksheets/_rels/sheet10.xml.rels><?xml version="1.0" encoding="UTF-8" standalone="yes"?>
<Relationships xmlns="http://schemas.openxmlformats.org/package/2006/relationships">
<Relationship Id="rId1" Target="../printerSettings/printerSettings10.bin" Type="http://schemas.openxmlformats.org/officeDocument/2006/relationships/printerSettings"/>
</Relationships>

</file>

<file path=xl/worksheets/_rels/sheet12.xml.rels><?xml version="1.0" encoding="UTF-8" standalone="yes"?>
<Relationships xmlns="http://schemas.openxmlformats.org/package/2006/relationships">
<Relationship Id="rId1" Target="../printerSettings/printerSettings11.bin" Type="http://schemas.openxmlformats.org/officeDocument/2006/relationships/printerSettings"/>
<Relationship Id="rId2" Target="../drawings/vmlDrawing6.vml" Type="http://schemas.openxmlformats.org/officeDocument/2006/relationships/vmlDrawing"/>
<Relationship Id="rId3" Target="../comments6.xml" Type="http://schemas.openxmlformats.org/officeDocument/2006/relationships/comment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J2"/>
  <sheetViews>
    <sheetView workbookViewId="0"/>
  </sheetViews>
  <sheetFormatPr defaultRowHeight="12.75" x14ac:dyDescent="0.2"/>
  <sheetData>
    <row r="1" spans="1:62" x14ac:dyDescent="0.2">
      <c r="A1" t="s">
        <v>528</v>
      </c>
    </row>
    <row r="2" spans="1:62" x14ac:dyDescent="0.2">
      <c r="A2" s="204" t="s">
        <v>506</v>
      </c>
      <c r="B2" s="204" t="s">
        <v>227</v>
      </c>
      <c r="C2" s="204" t="s">
        <v>259</v>
      </c>
      <c r="D2" s="204" t="s">
        <v>260</v>
      </c>
      <c r="E2" s="204" t="s">
        <v>226</v>
      </c>
      <c r="F2" s="204" t="s">
        <v>227</v>
      </c>
      <c r="G2" s="204" t="s">
        <v>258</v>
      </c>
      <c r="H2" s="204" t="s">
        <v>333</v>
      </c>
      <c r="I2" s="204" t="s">
        <v>424</v>
      </c>
      <c r="J2" s="204" t="s">
        <v>29</v>
      </c>
      <c r="K2" s="204" t="s">
        <v>406</v>
      </c>
      <c r="L2" s="204" t="s">
        <v>247</v>
      </c>
      <c r="M2" s="204" t="s">
        <v>460</v>
      </c>
      <c r="N2" s="204" t="s">
        <v>227</v>
      </c>
      <c r="O2" s="204" t="s">
        <v>252</v>
      </c>
      <c r="P2" s="204" t="s">
        <v>29</v>
      </c>
      <c r="Q2" s="204" t="s">
        <v>254</v>
      </c>
      <c r="R2" s="204" t="s">
        <v>227</v>
      </c>
      <c r="S2" s="204" t="s">
        <v>407</v>
      </c>
      <c r="T2" s="204" t="s">
        <v>312</v>
      </c>
      <c r="U2" s="204" t="s">
        <v>225</v>
      </c>
      <c r="V2" s="204">
        <v>0.36</v>
      </c>
      <c r="W2" s="204" t="s">
        <v>378</v>
      </c>
      <c r="X2" s="204" t="s">
        <v>379</v>
      </c>
      <c r="Y2" s="204" t="s">
        <v>287</v>
      </c>
      <c r="Z2" s="204" t="s">
        <v>613</v>
      </c>
      <c r="AA2" s="204" t="s">
        <v>423</v>
      </c>
      <c r="AB2" s="204" t="s">
        <v>227</v>
      </c>
      <c r="AC2" s="204" t="s">
        <v>377</v>
      </c>
      <c r="AD2" s="204" t="s">
        <v>278</v>
      </c>
      <c r="AE2" s="204" t="s">
        <v>251</v>
      </c>
      <c r="AF2" s="204" t="s">
        <v>227</v>
      </c>
      <c r="AG2" s="204" t="s">
        <v>224</v>
      </c>
      <c r="AH2" s="204" t="s">
        <v>227</v>
      </c>
      <c r="AI2" s="204" t="s">
        <v>543</v>
      </c>
      <c r="AJ2" s="204" t="s">
        <v>29</v>
      </c>
      <c r="AK2" s="204" t="s">
        <v>256</v>
      </c>
      <c r="AL2" s="204" t="s">
        <v>227</v>
      </c>
      <c r="AM2" s="204" t="s">
        <v>257</v>
      </c>
      <c r="AN2" s="204" t="s">
        <v>333</v>
      </c>
      <c r="AO2" s="204" t="s">
        <v>507</v>
      </c>
      <c r="AP2" s="204" t="s">
        <v>29</v>
      </c>
      <c r="AQ2" s="204" t="s">
        <v>510</v>
      </c>
      <c r="AR2" s="204" t="s">
        <v>227</v>
      </c>
      <c r="AS2" s="204" t="s">
        <v>246</v>
      </c>
      <c r="AT2" s="204" t="s">
        <v>248</v>
      </c>
      <c r="AU2" s="204" t="s">
        <v>53</v>
      </c>
      <c r="AV2" s="204" t="s">
        <v>23</v>
      </c>
      <c r="AW2" s="204" t="s">
        <v>255</v>
      </c>
      <c r="AX2" s="204" t="s">
        <v>227</v>
      </c>
      <c r="AY2" s="204" t="s">
        <v>380</v>
      </c>
      <c r="AZ2" s="204" t="s">
        <v>381</v>
      </c>
      <c r="BA2" s="204" t="s">
        <v>526</v>
      </c>
      <c r="BB2" s="204" t="s">
        <v>527</v>
      </c>
      <c r="BC2" s="204" t="s">
        <v>461</v>
      </c>
      <c r="BD2" s="204" t="s">
        <v>145</v>
      </c>
      <c r="BE2" s="204" t="s">
        <v>505</v>
      </c>
      <c r="BF2" s="204" t="s">
        <v>227</v>
      </c>
      <c r="BG2" s="204" t="s">
        <v>295</v>
      </c>
      <c r="BH2" s="204" t="s">
        <v>227</v>
      </c>
      <c r="BI2" s="204" t="s">
        <v>544</v>
      </c>
      <c r="BJ2" s="204" t="s">
        <v>29</v>
      </c>
    </row>
  </sheetData>
  <phoneticPr fontId="12"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D2"/>
  <sheetViews>
    <sheetView workbookViewId="0"/>
  </sheetViews>
  <sheetFormatPr defaultRowHeight="12.75" x14ac:dyDescent="0.2"/>
  <sheetData>
    <row r="1" spans="1:56" x14ac:dyDescent="0.2">
      <c r="A1" t="s">
        <v>773</v>
      </c>
    </row>
    <row r="2" spans="1:56" x14ac:dyDescent="0.2">
      <c r="A2" s="204" t="s">
        <v>649</v>
      </c>
      <c r="B2" s="204" t="s">
        <v>227</v>
      </c>
      <c r="C2" s="204" t="s">
        <v>655</v>
      </c>
      <c r="D2" s="204" t="s">
        <v>227</v>
      </c>
      <c r="E2" s="204" t="s">
        <v>646</v>
      </c>
      <c r="F2" s="204" t="s">
        <v>227</v>
      </c>
      <c r="G2" s="204" t="s">
        <v>660</v>
      </c>
      <c r="H2" s="204" t="s">
        <v>227</v>
      </c>
      <c r="I2" s="204" t="s">
        <v>678</v>
      </c>
      <c r="J2" s="204" t="s">
        <v>333</v>
      </c>
      <c r="K2" s="204" t="s">
        <v>656</v>
      </c>
      <c r="L2" s="204" t="s">
        <v>227</v>
      </c>
      <c r="M2" s="204" t="s">
        <v>658</v>
      </c>
      <c r="N2" s="204" t="s">
        <v>227</v>
      </c>
      <c r="O2" s="204" t="s">
        <v>642</v>
      </c>
      <c r="P2" s="204" t="s">
        <v>227</v>
      </c>
      <c r="Q2" s="204" t="s">
        <v>652</v>
      </c>
      <c r="R2" s="204" t="s">
        <v>227</v>
      </c>
      <c r="S2" s="204" t="s">
        <v>258</v>
      </c>
      <c r="T2" s="204" t="s">
        <v>333</v>
      </c>
      <c r="U2" s="204" t="s">
        <v>650</v>
      </c>
      <c r="V2" s="204" t="s">
        <v>227</v>
      </c>
      <c r="W2" s="204" t="s">
        <v>772</v>
      </c>
      <c r="X2" s="204" t="s">
        <v>227</v>
      </c>
      <c r="Y2" s="204" t="s">
        <v>677</v>
      </c>
      <c r="Z2" s="204" t="s">
        <v>260</v>
      </c>
      <c r="AA2" s="204" t="s">
        <v>657</v>
      </c>
      <c r="AB2" s="204" t="s">
        <v>227</v>
      </c>
      <c r="AC2" s="204" t="s">
        <v>287</v>
      </c>
      <c r="AD2" s="204" t="s">
        <v>673</v>
      </c>
      <c r="AE2" s="204" t="s">
        <v>676</v>
      </c>
      <c r="AF2" s="204" t="s">
        <v>333</v>
      </c>
      <c r="AG2" s="204" t="s">
        <v>659</v>
      </c>
      <c r="AH2" s="204" t="s">
        <v>227</v>
      </c>
      <c r="AI2" s="204" t="s">
        <v>653</v>
      </c>
      <c r="AJ2" s="204" t="s">
        <v>227</v>
      </c>
      <c r="AK2" s="204" t="s">
        <v>644</v>
      </c>
      <c r="AL2" s="204" t="s">
        <v>227</v>
      </c>
      <c r="AM2" s="204" t="s">
        <v>259</v>
      </c>
      <c r="AN2" s="204" t="s">
        <v>260</v>
      </c>
      <c r="AO2" s="204" t="s">
        <v>257</v>
      </c>
      <c r="AP2" s="204" t="s">
        <v>333</v>
      </c>
      <c r="AQ2" s="204" t="s">
        <v>654</v>
      </c>
      <c r="AR2" s="204" t="s">
        <v>227</v>
      </c>
      <c r="AS2" s="204" t="s">
        <v>679</v>
      </c>
      <c r="AT2" s="204" t="s">
        <v>822</v>
      </c>
      <c r="AU2" s="204" t="s">
        <v>651</v>
      </c>
      <c r="AV2" s="204" t="s">
        <v>227</v>
      </c>
      <c r="AW2" s="204" t="s">
        <v>648</v>
      </c>
      <c r="AX2" s="204" t="s">
        <v>227</v>
      </c>
      <c r="AY2" s="204" t="s">
        <v>647</v>
      </c>
      <c r="AZ2" s="204" t="s">
        <v>227</v>
      </c>
      <c r="BA2" s="204" t="s">
        <v>645</v>
      </c>
      <c r="BB2" s="204" t="s">
        <v>227</v>
      </c>
      <c r="BC2" s="204" t="s">
        <v>643</v>
      </c>
      <c r="BD2" s="204" t="s">
        <v>227</v>
      </c>
    </row>
  </sheetData>
  <phoneticPr fontId="12" type="noConversion"/>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397"/>
  <sheetViews>
    <sheetView showGridLines="0" tabSelected="1" workbookViewId="0">
      <selection activeCell="Z1" sqref="Z1"/>
    </sheetView>
  </sheetViews>
  <sheetFormatPr defaultRowHeight="12.75" x14ac:dyDescent="0.2"/>
  <cols>
    <col min="1" max="1" width="25.7109375" style="2068" customWidth="1"/>
    <col min="2" max="5" width="9.140625" style="2068"/>
    <col min="6" max="6" width="18.7109375" style="2068" customWidth="1"/>
    <col min="7" max="256" width="9.140625" style="2068"/>
    <col min="257" max="257" width="100.7109375" style="2068" customWidth="1"/>
    <col min="258" max="512" width="9.140625" style="2068"/>
    <col min="513" max="513" width="100.7109375" style="2068" customWidth="1"/>
    <col min="514" max="768" width="9.140625" style="2068"/>
    <col min="769" max="769" width="100.7109375" style="2068" customWidth="1"/>
    <col min="770" max="1024" width="9.140625" style="2068"/>
    <col min="1025" max="1025" width="100.7109375" style="2068" customWidth="1"/>
    <col min="1026" max="1280" width="9.140625" style="2068"/>
    <col min="1281" max="1281" width="100.7109375" style="2068" customWidth="1"/>
    <col min="1282" max="1536" width="9.140625" style="2068"/>
    <col min="1537" max="1537" width="100.7109375" style="2068" customWidth="1"/>
    <col min="1538" max="1792" width="9.140625" style="2068"/>
    <col min="1793" max="1793" width="100.7109375" style="2068" customWidth="1"/>
    <col min="1794" max="2048" width="9.140625" style="2068"/>
    <col min="2049" max="2049" width="100.7109375" style="2068" customWidth="1"/>
    <col min="2050" max="2304" width="9.140625" style="2068"/>
    <col min="2305" max="2305" width="100.7109375" style="2068" customWidth="1"/>
    <col min="2306" max="2560" width="9.140625" style="2068"/>
    <col min="2561" max="2561" width="100.7109375" style="2068" customWidth="1"/>
    <col min="2562" max="2816" width="9.140625" style="2068"/>
    <col min="2817" max="2817" width="100.7109375" style="2068" customWidth="1"/>
    <col min="2818" max="3072" width="9.140625" style="2068"/>
    <col min="3073" max="3073" width="100.7109375" style="2068" customWidth="1"/>
    <col min="3074" max="3328" width="9.140625" style="2068"/>
    <col min="3329" max="3329" width="100.7109375" style="2068" customWidth="1"/>
    <col min="3330" max="3584" width="9.140625" style="2068"/>
    <col min="3585" max="3585" width="100.7109375" style="2068" customWidth="1"/>
    <col min="3586" max="3840" width="9.140625" style="2068"/>
    <col min="3841" max="3841" width="100.7109375" style="2068" customWidth="1"/>
    <col min="3842" max="4096" width="9.140625" style="2068"/>
    <col min="4097" max="4097" width="100.7109375" style="2068" customWidth="1"/>
    <col min="4098" max="4352" width="9.140625" style="2068"/>
    <col min="4353" max="4353" width="100.7109375" style="2068" customWidth="1"/>
    <col min="4354" max="4608" width="9.140625" style="2068"/>
    <col min="4609" max="4609" width="100.7109375" style="2068" customWidth="1"/>
    <col min="4610" max="4864" width="9.140625" style="2068"/>
    <col min="4865" max="4865" width="100.7109375" style="2068" customWidth="1"/>
    <col min="4866" max="5120" width="9.140625" style="2068"/>
    <col min="5121" max="5121" width="100.7109375" style="2068" customWidth="1"/>
    <col min="5122" max="5376" width="9.140625" style="2068"/>
    <col min="5377" max="5377" width="100.7109375" style="2068" customWidth="1"/>
    <col min="5378" max="5632" width="9.140625" style="2068"/>
    <col min="5633" max="5633" width="100.7109375" style="2068" customWidth="1"/>
    <col min="5634" max="5888" width="9.140625" style="2068"/>
    <col min="5889" max="5889" width="100.7109375" style="2068" customWidth="1"/>
    <col min="5890" max="6144" width="9.140625" style="2068"/>
    <col min="6145" max="6145" width="100.7109375" style="2068" customWidth="1"/>
    <col min="6146" max="6400" width="9.140625" style="2068"/>
    <col min="6401" max="6401" width="100.7109375" style="2068" customWidth="1"/>
    <col min="6402" max="6656" width="9.140625" style="2068"/>
    <col min="6657" max="6657" width="100.7109375" style="2068" customWidth="1"/>
    <col min="6658" max="6912" width="9.140625" style="2068"/>
    <col min="6913" max="6913" width="100.7109375" style="2068" customWidth="1"/>
    <col min="6914" max="7168" width="9.140625" style="2068"/>
    <col min="7169" max="7169" width="100.7109375" style="2068" customWidth="1"/>
    <col min="7170" max="7424" width="9.140625" style="2068"/>
    <col min="7425" max="7425" width="100.7109375" style="2068" customWidth="1"/>
    <col min="7426" max="7680" width="9.140625" style="2068"/>
    <col min="7681" max="7681" width="100.7109375" style="2068" customWidth="1"/>
    <col min="7682" max="7936" width="9.140625" style="2068"/>
    <col min="7937" max="7937" width="100.7109375" style="2068" customWidth="1"/>
    <col min="7938" max="8192" width="9.140625" style="2068"/>
    <col min="8193" max="8193" width="100.7109375" style="2068" customWidth="1"/>
    <col min="8194" max="8448" width="9.140625" style="2068"/>
    <col min="8449" max="8449" width="100.7109375" style="2068" customWidth="1"/>
    <col min="8450" max="8704" width="9.140625" style="2068"/>
    <col min="8705" max="8705" width="100.7109375" style="2068" customWidth="1"/>
    <col min="8706" max="8960" width="9.140625" style="2068"/>
    <col min="8961" max="8961" width="100.7109375" style="2068" customWidth="1"/>
    <col min="8962" max="9216" width="9.140625" style="2068"/>
    <col min="9217" max="9217" width="100.7109375" style="2068" customWidth="1"/>
    <col min="9218" max="9472" width="9.140625" style="2068"/>
    <col min="9473" max="9473" width="100.7109375" style="2068" customWidth="1"/>
    <col min="9474" max="9728" width="9.140625" style="2068"/>
    <col min="9729" max="9729" width="100.7109375" style="2068" customWidth="1"/>
    <col min="9730" max="9984" width="9.140625" style="2068"/>
    <col min="9985" max="9985" width="100.7109375" style="2068" customWidth="1"/>
    <col min="9986" max="10240" width="9.140625" style="2068"/>
    <col min="10241" max="10241" width="100.7109375" style="2068" customWidth="1"/>
    <col min="10242" max="10496" width="9.140625" style="2068"/>
    <col min="10497" max="10497" width="100.7109375" style="2068" customWidth="1"/>
    <col min="10498" max="10752" width="9.140625" style="2068"/>
    <col min="10753" max="10753" width="100.7109375" style="2068" customWidth="1"/>
    <col min="10754" max="11008" width="9.140625" style="2068"/>
    <col min="11009" max="11009" width="100.7109375" style="2068" customWidth="1"/>
    <col min="11010" max="11264" width="9.140625" style="2068"/>
    <col min="11265" max="11265" width="100.7109375" style="2068" customWidth="1"/>
    <col min="11266" max="11520" width="9.140625" style="2068"/>
    <col min="11521" max="11521" width="100.7109375" style="2068" customWidth="1"/>
    <col min="11522" max="11776" width="9.140625" style="2068"/>
    <col min="11777" max="11777" width="100.7109375" style="2068" customWidth="1"/>
    <col min="11778" max="12032" width="9.140625" style="2068"/>
    <col min="12033" max="12033" width="100.7109375" style="2068" customWidth="1"/>
    <col min="12034" max="12288" width="9.140625" style="2068"/>
    <col min="12289" max="12289" width="100.7109375" style="2068" customWidth="1"/>
    <col min="12290" max="12544" width="9.140625" style="2068"/>
    <col min="12545" max="12545" width="100.7109375" style="2068" customWidth="1"/>
    <col min="12546" max="12800" width="9.140625" style="2068"/>
    <col min="12801" max="12801" width="100.7109375" style="2068" customWidth="1"/>
    <col min="12802" max="13056" width="9.140625" style="2068"/>
    <col min="13057" max="13057" width="100.7109375" style="2068" customWidth="1"/>
    <col min="13058" max="13312" width="9.140625" style="2068"/>
    <col min="13313" max="13313" width="100.7109375" style="2068" customWidth="1"/>
    <col min="13314" max="13568" width="9.140625" style="2068"/>
    <col min="13569" max="13569" width="100.7109375" style="2068" customWidth="1"/>
    <col min="13570" max="13824" width="9.140625" style="2068"/>
    <col min="13825" max="13825" width="100.7109375" style="2068" customWidth="1"/>
    <col min="13826" max="14080" width="9.140625" style="2068"/>
    <col min="14081" max="14081" width="100.7109375" style="2068" customWidth="1"/>
    <col min="14082" max="14336" width="9.140625" style="2068"/>
    <col min="14337" max="14337" width="100.7109375" style="2068" customWidth="1"/>
    <col min="14338" max="14592" width="9.140625" style="2068"/>
    <col min="14593" max="14593" width="100.7109375" style="2068" customWidth="1"/>
    <col min="14594" max="14848" width="9.140625" style="2068"/>
    <col min="14849" max="14849" width="100.7109375" style="2068" customWidth="1"/>
    <col min="14850" max="15104" width="9.140625" style="2068"/>
    <col min="15105" max="15105" width="100.7109375" style="2068" customWidth="1"/>
    <col min="15106" max="15360" width="9.140625" style="2068"/>
    <col min="15361" max="15361" width="100.7109375" style="2068" customWidth="1"/>
    <col min="15362" max="15616" width="9.140625" style="2068"/>
    <col min="15617" max="15617" width="100.7109375" style="2068" customWidth="1"/>
    <col min="15618" max="15872" width="9.140625" style="2068"/>
    <col min="15873" max="15873" width="100.7109375" style="2068" customWidth="1"/>
    <col min="15874" max="16128" width="9.140625" style="2068"/>
    <col min="16129" max="16129" width="100.7109375" style="2068" customWidth="1"/>
    <col min="16130" max="16384" width="9.140625" style="2068"/>
  </cols>
  <sheetData>
    <row r="1" spans="1:8" ht="30" customHeight="1" x14ac:dyDescent="0.2">
      <c r="A1" s="2066"/>
      <c r="B1" s="2067"/>
      <c r="C1" s="2067"/>
      <c r="D1" s="2067"/>
      <c r="E1" s="2067"/>
      <c r="F1" s="2067"/>
      <c r="G1" s="2067"/>
      <c r="H1" s="2067"/>
    </row>
    <row r="2" spans="1:8" ht="14.25" x14ac:dyDescent="0.2">
      <c r="A2" s="2069" t="s">
        <v>831</v>
      </c>
      <c r="B2" s="2067"/>
      <c r="C2" s="2067"/>
      <c r="D2" s="2067"/>
      <c r="E2" s="2067"/>
      <c r="F2" s="2067"/>
      <c r="G2" s="2067"/>
      <c r="H2" s="2067"/>
    </row>
    <row r="3" spans="1:8" ht="14.25" x14ac:dyDescent="0.2">
      <c r="A3" s="2069" t="s">
        <v>832</v>
      </c>
      <c r="B3" s="2067"/>
      <c r="C3" s="2067"/>
      <c r="D3" s="2067"/>
      <c r="E3" s="2067"/>
      <c r="F3" s="2067"/>
      <c r="G3" s="2067"/>
      <c r="H3" s="2067"/>
    </row>
    <row r="4" spans="1:8" ht="14.25" x14ac:dyDescent="0.2">
      <c r="A4" s="2069" t="s">
        <v>833</v>
      </c>
      <c r="B4" s="2067"/>
      <c r="C4" s="2067"/>
      <c r="D4" s="2067"/>
      <c r="E4" s="2067"/>
      <c r="F4" s="2067"/>
      <c r="G4" s="2067"/>
      <c r="H4" s="2067"/>
    </row>
    <row r="5" spans="1:8" ht="14.25" x14ac:dyDescent="0.2">
      <c r="A5" s="2069" t="s">
        <v>834</v>
      </c>
      <c r="B5" s="2067"/>
      <c r="C5" s="2067"/>
      <c r="D5" s="2067"/>
      <c r="E5" s="2067"/>
      <c r="F5" s="2067"/>
      <c r="G5" s="2067"/>
      <c r="H5" s="2067"/>
    </row>
    <row r="6" spans="1:8" ht="14.25" x14ac:dyDescent="0.2">
      <c r="A6" s="2069"/>
      <c r="B6" s="2067"/>
      <c r="C6" s="2067"/>
      <c r="D6" s="2067"/>
      <c r="E6" s="2067"/>
      <c r="F6" s="2067"/>
      <c r="G6" s="2067"/>
      <c r="H6" s="2067"/>
    </row>
    <row r="7" spans="1:8" x14ac:dyDescent="0.2">
      <c r="A7" s="2066" t="s">
        <v>835</v>
      </c>
      <c r="B7" s="2067"/>
      <c r="C7" s="2067"/>
      <c r="D7" s="2067"/>
      <c r="E7" s="2067"/>
      <c r="F7" s="2067"/>
      <c r="G7" s="2067"/>
      <c r="H7" s="2067"/>
    </row>
    <row r="8" spans="1:8" x14ac:dyDescent="0.2">
      <c r="A8" s="2066" t="s">
        <v>836</v>
      </c>
      <c r="B8" s="2067"/>
      <c r="C8" s="2067"/>
      <c r="D8" s="2067"/>
      <c r="E8" s="2067"/>
      <c r="F8" s="2067"/>
      <c r="G8" s="2067"/>
      <c r="H8" s="2067"/>
    </row>
    <row r="9" spans="1:8" x14ac:dyDescent="0.2">
      <c r="A9" s="2066"/>
      <c r="B9" s="2067"/>
      <c r="C9" s="2067"/>
      <c r="D9" s="2067"/>
      <c r="E9" s="2067"/>
      <c r="F9" s="2067"/>
      <c r="G9" s="2067"/>
      <c r="H9" s="2067"/>
    </row>
    <row r="10" spans="1:8" x14ac:dyDescent="0.2">
      <c r="A10" s="2070" t="s">
        <v>837</v>
      </c>
      <c r="B10" s="2067"/>
      <c r="C10" s="2067"/>
      <c r="D10" s="2067"/>
      <c r="E10" s="2067"/>
      <c r="F10" s="2067"/>
      <c r="G10" s="2067"/>
      <c r="H10" s="2067"/>
    </row>
    <row r="11" spans="1:8" x14ac:dyDescent="0.2">
      <c r="A11" s="2070" t="s">
        <v>838</v>
      </c>
      <c r="B11" s="2067"/>
      <c r="C11" s="2067"/>
      <c r="D11" s="2067"/>
      <c r="E11" s="2067"/>
      <c r="F11" s="2067"/>
      <c r="G11" s="2067"/>
      <c r="H11" s="2067"/>
    </row>
    <row r="12" spans="1:8" x14ac:dyDescent="0.2">
      <c r="A12" s="2070" t="s">
        <v>839</v>
      </c>
      <c r="B12" s="2067"/>
      <c r="C12" s="2067"/>
      <c r="D12" s="2067"/>
      <c r="E12" s="2067"/>
      <c r="F12" s="2067"/>
      <c r="G12" s="2067"/>
      <c r="H12" s="2067"/>
    </row>
    <row r="13" spans="1:8" x14ac:dyDescent="0.2">
      <c r="A13" s="2070" t="s">
        <v>840</v>
      </c>
      <c r="B13" s="2067"/>
      <c r="C13" s="2067"/>
      <c r="D13" s="2067"/>
      <c r="E13" s="2067"/>
      <c r="F13" s="2067"/>
      <c r="G13" s="2067"/>
      <c r="H13" s="2067"/>
    </row>
    <row r="14" spans="1:8" x14ac:dyDescent="0.2">
      <c r="A14" s="2070" t="s">
        <v>841</v>
      </c>
      <c r="B14" s="2067"/>
      <c r="C14" s="2067"/>
      <c r="D14" s="2067"/>
      <c r="E14" s="2067"/>
      <c r="F14" s="2067"/>
      <c r="G14" s="2067"/>
      <c r="H14" s="2067"/>
    </row>
    <row r="15" spans="1:8" x14ac:dyDescent="0.2">
      <c r="A15" s="2070" t="s">
        <v>842</v>
      </c>
      <c r="B15" s="2067"/>
      <c r="C15" s="2067"/>
      <c r="D15" s="2067"/>
      <c r="E15" s="2067"/>
      <c r="F15" s="2067"/>
      <c r="G15" s="2067"/>
      <c r="H15" s="2067"/>
    </row>
    <row r="16" spans="1:8" x14ac:dyDescent="0.2">
      <c r="A16" s="2070"/>
      <c r="B16" s="2067"/>
      <c r="C16" s="2067"/>
      <c r="D16" s="2067"/>
      <c r="E16" s="2067"/>
      <c r="F16" s="2067"/>
      <c r="G16" s="2067"/>
      <c r="H16" s="2067"/>
    </row>
    <row r="17" spans="1:8" x14ac:dyDescent="0.2">
      <c r="A17" s="2070" t="s">
        <v>828</v>
      </c>
      <c r="B17" s="2067"/>
      <c r="C17" s="2067"/>
      <c r="D17" s="2067"/>
      <c r="E17" s="2067"/>
      <c r="F17" s="2067"/>
      <c r="G17" s="2067"/>
      <c r="H17" s="2067"/>
    </row>
    <row r="18" spans="1:8" x14ac:dyDescent="0.2">
      <c r="A18" s="2070"/>
      <c r="B18" s="2067"/>
      <c r="C18" s="2067"/>
      <c r="D18" s="2067"/>
      <c r="E18" s="2067"/>
      <c r="F18" s="2067"/>
      <c r="G18" s="2067"/>
      <c r="H18" s="2067"/>
    </row>
    <row r="19" spans="1:8" x14ac:dyDescent="0.2">
      <c r="A19" s="2070" t="s">
        <v>829</v>
      </c>
      <c r="B19" s="2067"/>
      <c r="C19" s="2067"/>
      <c r="D19" s="2067"/>
      <c r="E19" s="2067"/>
      <c r="F19" s="2067"/>
      <c r="G19" s="2067"/>
      <c r="H19" s="2067"/>
    </row>
    <row r="20" spans="1:8" x14ac:dyDescent="0.2">
      <c r="A20" s="2066"/>
      <c r="B20" s="2067"/>
      <c r="C20" s="2067"/>
      <c r="D20" s="2067"/>
      <c r="E20" s="2067"/>
      <c r="F20" s="2067"/>
      <c r="G20" s="2067"/>
      <c r="H20" s="2067"/>
    </row>
    <row r="21" spans="1:8" x14ac:dyDescent="0.2">
      <c r="A21" s="2071" t="s">
        <v>830</v>
      </c>
      <c r="B21" s="2067"/>
      <c r="C21" s="2067"/>
      <c r="D21" s="2067"/>
      <c r="E21" s="2067"/>
      <c r="F21" s="2067"/>
      <c r="G21" s="2067"/>
      <c r="H21" s="2067"/>
    </row>
    <row r="22" spans="1:8" x14ac:dyDescent="0.2">
      <c r="A22" s="2072"/>
      <c r="B22" s="2072"/>
      <c r="C22" s="2072"/>
      <c r="D22" s="2072"/>
      <c r="E22" s="2072"/>
      <c r="F22" s="2072"/>
      <c r="G22" s="2072"/>
      <c r="H22" s="2072"/>
    </row>
    <row r="23" spans="1:8" x14ac:dyDescent="0.2">
      <c r="A23" s="2073" t="s">
        <v>1125</v>
      </c>
      <c r="B23" s="2072"/>
      <c r="C23" s="2072"/>
      <c r="D23" s="2072"/>
      <c r="E23" s="2072"/>
      <c r="F23" s="2072"/>
      <c r="G23" s="2072"/>
      <c r="H23" s="2072"/>
    </row>
    <row r="24" spans="1:8" x14ac:dyDescent="0.2">
      <c r="A24" s="2073" t="s">
        <v>1126</v>
      </c>
      <c r="B24" s="2072"/>
      <c r="C24" s="2072"/>
      <c r="D24" s="2072"/>
      <c r="E24" s="2072"/>
      <c r="F24" s="2072"/>
      <c r="G24" s="2072"/>
      <c r="H24" s="2072"/>
    </row>
    <row r="25" spans="1:8" x14ac:dyDescent="0.2">
      <c r="A25" s="2073" t="s">
        <v>1127</v>
      </c>
      <c r="B25" s="2072"/>
      <c r="C25" s="2072"/>
      <c r="D25" s="2072"/>
      <c r="E25" s="2072"/>
      <c r="F25" s="2072"/>
      <c r="G25" s="2072"/>
      <c r="H25" s="2072"/>
    </row>
    <row r="26" spans="1:8" x14ac:dyDescent="0.2">
      <c r="A26" s="2073" t="s">
        <v>1128</v>
      </c>
      <c r="B26" s="2072"/>
      <c r="C26" s="2072"/>
      <c r="D26" s="2072"/>
      <c r="E26" s="2072"/>
      <c r="F26" s="2072"/>
      <c r="G26" s="2072"/>
      <c r="H26" s="2072"/>
    </row>
    <row r="27" spans="1:8" x14ac:dyDescent="0.2">
      <c r="A27" s="2072"/>
      <c r="B27" s="2072"/>
      <c r="C27" s="2072"/>
      <c r="D27" s="2072"/>
      <c r="E27" s="2072"/>
      <c r="F27" s="2072"/>
      <c r="G27" s="2072"/>
      <c r="H27" s="2072"/>
    </row>
    <row r="28" spans="1:8" x14ac:dyDescent="0.2">
      <c r="A28" s="2072"/>
      <c r="B28" s="2072"/>
      <c r="C28" s="2072"/>
      <c r="D28" s="2072"/>
      <c r="E28" s="2072"/>
      <c r="F28" s="2072"/>
      <c r="G28" s="2072"/>
      <c r="H28" s="2072"/>
    </row>
    <row r="29" spans="1:8" x14ac:dyDescent="0.2">
      <c r="A29" s="2073" t="s">
        <v>1120</v>
      </c>
      <c r="B29" s="2072"/>
      <c r="C29" s="2072"/>
      <c r="D29" s="2072"/>
      <c r="E29" s="2072"/>
      <c r="F29" s="2072"/>
      <c r="G29" s="2072"/>
      <c r="H29" s="2072"/>
    </row>
    <row r="30" spans="1:8" x14ac:dyDescent="0.2">
      <c r="A30" s="2073" t="s">
        <v>1121</v>
      </c>
      <c r="B30" s="2072"/>
      <c r="C30" s="2072"/>
      <c r="D30" s="2072"/>
      <c r="E30" s="2072"/>
      <c r="F30" s="2072"/>
      <c r="G30" s="2072"/>
      <c r="H30" s="2072"/>
    </row>
    <row r="31" spans="1:8" x14ac:dyDescent="0.2">
      <c r="A31" s="2073" t="s">
        <v>1122</v>
      </c>
      <c r="B31" s="2072"/>
      <c r="C31" s="2072"/>
      <c r="D31" s="2072"/>
      <c r="E31" s="2072"/>
      <c r="F31" s="2072"/>
      <c r="G31" s="2072"/>
      <c r="H31" s="2072"/>
    </row>
    <row r="32" spans="1:8" x14ac:dyDescent="0.2">
      <c r="A32" s="2073" t="s">
        <v>1123</v>
      </c>
      <c r="B32" s="2072"/>
      <c r="C32" s="2072"/>
      <c r="D32" s="2072"/>
      <c r="E32" s="2072"/>
      <c r="F32" s="2072"/>
      <c r="G32" s="2072"/>
      <c r="H32" s="2072"/>
    </row>
    <row r="33" spans="1:8" x14ac:dyDescent="0.2">
      <c r="A33" s="2073" t="s">
        <v>1124</v>
      </c>
      <c r="B33" s="2072"/>
      <c r="C33" s="2072"/>
      <c r="D33" s="2072"/>
      <c r="E33" s="2072"/>
      <c r="F33" s="2072"/>
      <c r="G33" s="2072"/>
      <c r="H33" s="2072"/>
    </row>
    <row r="34" spans="1:8" x14ac:dyDescent="0.2">
      <c r="A34" s="2072"/>
      <c r="B34" s="2072"/>
      <c r="C34" s="2072"/>
      <c r="D34" s="2072"/>
      <c r="E34" s="2072"/>
      <c r="F34" s="2072"/>
      <c r="G34" s="2072"/>
      <c r="H34" s="2072"/>
    </row>
    <row r="35" spans="1:8" x14ac:dyDescent="0.2">
      <c r="A35" s="2073" t="s">
        <v>1116</v>
      </c>
      <c r="B35" s="2072"/>
      <c r="C35" s="2072"/>
      <c r="D35" s="2072"/>
      <c r="E35" s="2072"/>
      <c r="F35" s="2072"/>
      <c r="G35" s="2072"/>
      <c r="H35" s="2072"/>
    </row>
    <row r="36" spans="1:8" x14ac:dyDescent="0.2">
      <c r="A36" s="2073" t="s">
        <v>1117</v>
      </c>
      <c r="B36" s="2072"/>
      <c r="C36" s="2072"/>
      <c r="D36" s="2072"/>
      <c r="E36" s="2072"/>
      <c r="F36" s="2072"/>
      <c r="G36" s="2072"/>
      <c r="H36" s="2072"/>
    </row>
    <row r="37" spans="1:8" x14ac:dyDescent="0.2">
      <c r="A37" s="2073" t="s">
        <v>1118</v>
      </c>
      <c r="B37" s="2072"/>
      <c r="C37" s="2072"/>
      <c r="D37" s="2072"/>
      <c r="E37" s="2072"/>
      <c r="F37" s="2072"/>
      <c r="G37" s="2072"/>
      <c r="H37" s="2072"/>
    </row>
    <row r="38" spans="1:8" x14ac:dyDescent="0.2">
      <c r="A38" s="2073" t="s">
        <v>1119</v>
      </c>
      <c r="B38" s="2072"/>
      <c r="C38" s="2072"/>
      <c r="D38" s="2072"/>
      <c r="E38" s="2072"/>
      <c r="F38" s="2072"/>
      <c r="G38" s="2072"/>
      <c r="H38" s="2072"/>
    </row>
    <row r="39" spans="1:8" x14ac:dyDescent="0.2">
      <c r="A39" s="2072"/>
      <c r="B39" s="2072"/>
      <c r="C39" s="2072"/>
      <c r="D39" s="2072"/>
      <c r="E39" s="2072"/>
      <c r="F39" s="2072"/>
      <c r="G39" s="2072"/>
      <c r="H39" s="2072"/>
    </row>
    <row r="40" spans="1:8" x14ac:dyDescent="0.2">
      <c r="A40" s="2073" t="s">
        <v>1110</v>
      </c>
      <c r="B40" s="2072"/>
      <c r="C40" s="2072"/>
      <c r="D40" s="2072"/>
      <c r="E40" s="2072"/>
      <c r="F40" s="2072"/>
      <c r="G40" s="2072"/>
      <c r="H40" s="2072"/>
    </row>
    <row r="41" spans="1:8" x14ac:dyDescent="0.2">
      <c r="A41" s="2073" t="s">
        <v>1111</v>
      </c>
      <c r="B41" s="2072"/>
      <c r="C41" s="2072"/>
      <c r="D41" s="2072"/>
      <c r="E41" s="2072"/>
      <c r="F41" s="2072"/>
      <c r="G41" s="2072"/>
      <c r="H41" s="2072"/>
    </row>
    <row r="42" spans="1:8" x14ac:dyDescent="0.2">
      <c r="A42" s="2073" t="s">
        <v>1112</v>
      </c>
      <c r="B42" s="2072"/>
      <c r="C42" s="2072"/>
      <c r="D42" s="2072"/>
      <c r="E42" s="2072"/>
      <c r="F42" s="2072"/>
      <c r="G42" s="2072"/>
      <c r="H42" s="2072"/>
    </row>
    <row r="43" spans="1:8" x14ac:dyDescent="0.2">
      <c r="A43" s="2073" t="s">
        <v>1113</v>
      </c>
      <c r="B43" s="2072"/>
      <c r="C43" s="2072"/>
      <c r="D43" s="2072"/>
      <c r="E43" s="2072"/>
      <c r="F43" s="2072"/>
      <c r="G43" s="2072"/>
      <c r="H43" s="2072"/>
    </row>
    <row r="44" spans="1:8" x14ac:dyDescent="0.2">
      <c r="A44" s="2073" t="s">
        <v>1114</v>
      </c>
      <c r="B44" s="2072"/>
      <c r="C44" s="2072"/>
      <c r="D44" s="2072"/>
      <c r="E44" s="2072"/>
      <c r="F44" s="2072"/>
      <c r="G44" s="2072"/>
      <c r="H44" s="2072"/>
    </row>
    <row r="45" spans="1:8" x14ac:dyDescent="0.2">
      <c r="A45" s="2073" t="s">
        <v>1115</v>
      </c>
      <c r="B45" s="2072"/>
      <c r="C45" s="2072"/>
      <c r="D45" s="2072"/>
      <c r="E45" s="2072"/>
      <c r="F45" s="2072"/>
      <c r="G45" s="2072"/>
      <c r="H45" s="2072"/>
    </row>
    <row r="46" spans="1:8" x14ac:dyDescent="0.2">
      <c r="A46" s="2072"/>
      <c r="B46" s="2072"/>
      <c r="C46" s="2072"/>
      <c r="D46" s="2072"/>
      <c r="E46" s="2072"/>
      <c r="F46" s="2072"/>
      <c r="G46" s="2072"/>
      <c r="H46" s="2072"/>
    </row>
    <row r="47" spans="1:8" ht="15.75" x14ac:dyDescent="0.2">
      <c r="A47" s="2074" t="s">
        <v>843</v>
      </c>
      <c r="B47" s="2072"/>
      <c r="C47" s="2072"/>
      <c r="D47" s="2072"/>
      <c r="E47" s="2072"/>
      <c r="F47" s="2072"/>
      <c r="G47" s="2072"/>
      <c r="H47" s="2072"/>
    </row>
    <row r="48" spans="1:8" x14ac:dyDescent="0.2">
      <c r="A48" s="2072"/>
      <c r="B48" s="2072"/>
      <c r="C48" s="2072"/>
      <c r="D48" s="2072"/>
      <c r="E48" s="2072"/>
      <c r="F48" s="2072"/>
      <c r="G48" s="2072"/>
      <c r="H48" s="2072"/>
    </row>
    <row r="49" spans="1:8" x14ac:dyDescent="0.2">
      <c r="A49" s="2073" t="s">
        <v>1106</v>
      </c>
      <c r="B49" s="2072"/>
      <c r="C49" s="2072"/>
      <c r="D49" s="2072"/>
      <c r="E49" s="2072"/>
      <c r="F49" s="2072"/>
      <c r="G49" s="2072"/>
      <c r="H49" s="2072"/>
    </row>
    <row r="50" spans="1:8" x14ac:dyDescent="0.2">
      <c r="A50" s="2073" t="s">
        <v>1107</v>
      </c>
      <c r="B50" s="2072"/>
      <c r="C50" s="2072"/>
      <c r="D50" s="2072"/>
      <c r="E50" s="2072"/>
      <c r="F50" s="2072"/>
      <c r="G50" s="2072"/>
      <c r="H50" s="2072"/>
    </row>
    <row r="51" spans="1:8" x14ac:dyDescent="0.2">
      <c r="A51" s="2073" t="s">
        <v>1108</v>
      </c>
      <c r="B51" s="2072"/>
      <c r="C51" s="2072"/>
      <c r="D51" s="2072"/>
      <c r="E51" s="2072"/>
      <c r="F51" s="2072"/>
      <c r="G51" s="2072"/>
      <c r="H51" s="2072"/>
    </row>
    <row r="52" spans="1:8" x14ac:dyDescent="0.2">
      <c r="A52" s="2073" t="s">
        <v>1109</v>
      </c>
      <c r="B52" s="2072"/>
      <c r="C52" s="2072"/>
      <c r="D52" s="2072"/>
      <c r="E52" s="2072"/>
      <c r="F52" s="2072"/>
      <c r="G52" s="2072"/>
      <c r="H52" s="2072"/>
    </row>
    <row r="53" spans="1:8" x14ac:dyDescent="0.2">
      <c r="A53" s="2072"/>
      <c r="B53" s="2072"/>
      <c r="C53" s="2072"/>
      <c r="D53" s="2072"/>
      <c r="E53" s="2072"/>
      <c r="F53" s="2072"/>
      <c r="G53" s="2072"/>
      <c r="H53" s="2072"/>
    </row>
    <row r="54" spans="1:8" x14ac:dyDescent="0.2">
      <c r="A54" s="2073" t="s">
        <v>844</v>
      </c>
      <c r="B54" s="2072"/>
      <c r="C54" s="2072"/>
      <c r="D54" s="2072"/>
      <c r="E54" s="2072"/>
      <c r="F54" s="2072"/>
      <c r="G54" s="2072"/>
      <c r="H54" s="2072"/>
    </row>
    <row r="55" spans="1:8" x14ac:dyDescent="0.2">
      <c r="A55" s="2072"/>
      <c r="B55" s="2072"/>
      <c r="C55" s="2072"/>
      <c r="D55" s="2072"/>
      <c r="E55" s="2072"/>
      <c r="F55" s="2072"/>
      <c r="G55" s="2072"/>
      <c r="H55" s="2072"/>
    </row>
    <row r="56" spans="1:8" ht="15.75" x14ac:dyDescent="0.2">
      <c r="A56" s="2074" t="s">
        <v>845</v>
      </c>
      <c r="B56" s="2072"/>
      <c r="C56" s="2072"/>
      <c r="D56" s="2072"/>
      <c r="E56" s="2072"/>
      <c r="F56" s="2072"/>
      <c r="G56" s="2072"/>
      <c r="H56" s="2072"/>
    </row>
    <row r="57" spans="1:8" x14ac:dyDescent="0.2">
      <c r="A57" s="2072"/>
      <c r="B57" s="2072"/>
      <c r="C57" s="2072"/>
      <c r="D57" s="2072"/>
      <c r="E57" s="2072"/>
      <c r="F57" s="2072"/>
      <c r="G57" s="2072"/>
      <c r="H57" s="2072"/>
    </row>
    <row r="58" spans="1:8" x14ac:dyDescent="0.2">
      <c r="A58" s="2073" t="s">
        <v>1104</v>
      </c>
      <c r="B58" s="2072"/>
      <c r="C58" s="2072"/>
      <c r="D58" s="2072"/>
      <c r="E58" s="2072"/>
      <c r="F58" s="2072"/>
      <c r="G58" s="2072"/>
      <c r="H58" s="2072"/>
    </row>
    <row r="59" spans="1:8" x14ac:dyDescent="0.2">
      <c r="A59" s="2073" t="s">
        <v>1105</v>
      </c>
      <c r="B59" s="2072"/>
      <c r="C59" s="2072"/>
      <c r="D59" s="2072"/>
      <c r="E59" s="2072"/>
      <c r="F59" s="2072"/>
      <c r="G59" s="2072"/>
      <c r="H59" s="2072"/>
    </row>
    <row r="60" spans="1:8" x14ac:dyDescent="0.2">
      <c r="A60" s="2072"/>
      <c r="B60" s="2072"/>
      <c r="C60" s="2072"/>
      <c r="D60" s="2072"/>
      <c r="E60" s="2072"/>
      <c r="F60" s="2072"/>
      <c r="G60" s="2072"/>
      <c r="H60" s="2072"/>
    </row>
    <row r="61" spans="1:8" ht="15.75" x14ac:dyDescent="0.2">
      <c r="A61" s="2074" t="s">
        <v>846</v>
      </c>
      <c r="B61" s="2072"/>
      <c r="C61" s="2072"/>
      <c r="D61" s="2072"/>
      <c r="E61" s="2072"/>
      <c r="F61" s="2072"/>
      <c r="G61" s="2072"/>
      <c r="H61" s="2072"/>
    </row>
    <row r="62" spans="1:8" x14ac:dyDescent="0.2">
      <c r="A62" s="2072"/>
      <c r="B62" s="2072"/>
      <c r="C62" s="2072"/>
      <c r="D62" s="2072"/>
      <c r="E62" s="2072"/>
      <c r="F62" s="2072"/>
      <c r="G62" s="2072"/>
      <c r="H62" s="2072"/>
    </row>
    <row r="63" spans="1:8" x14ac:dyDescent="0.2">
      <c r="A63" s="2073" t="s">
        <v>1102</v>
      </c>
      <c r="B63" s="2072"/>
      <c r="C63" s="2072"/>
      <c r="D63" s="2072"/>
      <c r="E63" s="2072"/>
      <c r="F63" s="2072"/>
      <c r="G63" s="2072"/>
      <c r="H63" s="2072"/>
    </row>
    <row r="64" spans="1:8" x14ac:dyDescent="0.2">
      <c r="A64" s="2073" t="s">
        <v>1103</v>
      </c>
      <c r="B64" s="2072"/>
      <c r="C64" s="2072"/>
      <c r="D64" s="2072"/>
      <c r="E64" s="2072"/>
      <c r="F64" s="2072"/>
      <c r="G64" s="2072"/>
      <c r="H64" s="2072"/>
    </row>
    <row r="65" spans="1:8" x14ac:dyDescent="0.2">
      <c r="A65" s="2072"/>
      <c r="B65" s="2072"/>
      <c r="C65" s="2072"/>
      <c r="D65" s="2072"/>
      <c r="E65" s="2072"/>
      <c r="F65" s="2072"/>
      <c r="G65" s="2072"/>
      <c r="H65" s="2072"/>
    </row>
    <row r="66" spans="1:8" x14ac:dyDescent="0.2">
      <c r="A66" s="2073" t="s">
        <v>1100</v>
      </c>
      <c r="B66" s="2072"/>
      <c r="C66" s="2072"/>
      <c r="D66" s="2072"/>
      <c r="E66" s="2072"/>
      <c r="F66" s="2072"/>
      <c r="G66" s="2072"/>
      <c r="H66" s="2072"/>
    </row>
    <row r="67" spans="1:8" x14ac:dyDescent="0.2">
      <c r="A67" s="2073" t="s">
        <v>1101</v>
      </c>
      <c r="B67" s="2072"/>
      <c r="C67" s="2072"/>
      <c r="D67" s="2072"/>
      <c r="E67" s="2072"/>
      <c r="F67" s="2072"/>
      <c r="G67" s="2072"/>
      <c r="H67" s="2072"/>
    </row>
    <row r="68" spans="1:8" x14ac:dyDescent="0.2">
      <c r="A68" s="2072"/>
      <c r="B68" s="2072"/>
      <c r="C68" s="2072"/>
      <c r="D68" s="2072"/>
      <c r="E68" s="2072"/>
      <c r="F68" s="2072"/>
      <c r="G68" s="2072"/>
      <c r="H68" s="2072"/>
    </row>
    <row r="69" spans="1:8" x14ac:dyDescent="0.2">
      <c r="A69" s="2073" t="s">
        <v>1098</v>
      </c>
      <c r="B69" s="2072"/>
      <c r="C69" s="2072"/>
      <c r="D69" s="2072"/>
      <c r="E69" s="2072"/>
      <c r="F69" s="2072"/>
      <c r="G69" s="2072"/>
      <c r="H69" s="2072"/>
    </row>
    <row r="70" spans="1:8" x14ac:dyDescent="0.2">
      <c r="A70" s="2073" t="s">
        <v>1099</v>
      </c>
      <c r="B70" s="2072"/>
      <c r="C70" s="2072"/>
      <c r="D70" s="2072"/>
      <c r="E70" s="2072"/>
      <c r="F70" s="2072"/>
      <c r="G70" s="2072"/>
      <c r="H70" s="2072"/>
    </row>
    <row r="71" spans="1:8" x14ac:dyDescent="0.2">
      <c r="A71" s="2072"/>
      <c r="B71" s="2072"/>
      <c r="C71" s="2072"/>
      <c r="D71" s="2072"/>
      <c r="E71" s="2072"/>
      <c r="F71" s="2072"/>
      <c r="G71" s="2072"/>
      <c r="H71" s="2072"/>
    </row>
    <row r="72" spans="1:8" x14ac:dyDescent="0.2">
      <c r="A72" s="2073" t="s">
        <v>1096</v>
      </c>
      <c r="B72" s="2072"/>
      <c r="C72" s="2072"/>
      <c r="D72" s="2072"/>
      <c r="E72" s="2072"/>
      <c r="F72" s="2072"/>
      <c r="G72" s="2072"/>
      <c r="H72" s="2072"/>
    </row>
    <row r="73" spans="1:8" x14ac:dyDescent="0.2">
      <c r="A73" s="2073" t="s">
        <v>1097</v>
      </c>
      <c r="B73" s="2072"/>
      <c r="C73" s="2072"/>
      <c r="D73" s="2072"/>
      <c r="E73" s="2072"/>
      <c r="F73" s="2072"/>
      <c r="G73" s="2072"/>
      <c r="H73" s="2072"/>
    </row>
    <row r="74" spans="1:8" x14ac:dyDescent="0.2">
      <c r="A74" s="2072"/>
      <c r="B74" s="2072"/>
      <c r="C74" s="2072"/>
      <c r="D74" s="2072"/>
      <c r="E74" s="2072"/>
      <c r="F74" s="2072"/>
      <c r="G74" s="2072"/>
      <c r="H74" s="2072"/>
    </row>
    <row r="75" spans="1:8" x14ac:dyDescent="0.2">
      <c r="A75" s="2073" t="s">
        <v>1094</v>
      </c>
      <c r="B75" s="2072"/>
      <c r="C75" s="2072"/>
      <c r="D75" s="2072"/>
      <c r="E75" s="2072"/>
      <c r="F75" s="2072"/>
      <c r="G75" s="2072"/>
      <c r="H75" s="2072"/>
    </row>
    <row r="76" spans="1:8" x14ac:dyDescent="0.2">
      <c r="A76" s="2073" t="s">
        <v>1095</v>
      </c>
      <c r="B76" s="2072"/>
      <c r="C76" s="2072"/>
      <c r="D76" s="2072"/>
      <c r="E76" s="2072"/>
      <c r="F76" s="2072"/>
      <c r="G76" s="2072"/>
      <c r="H76" s="2072"/>
    </row>
    <row r="77" spans="1:8" x14ac:dyDescent="0.2">
      <c r="A77" s="2072"/>
      <c r="B77" s="2072"/>
      <c r="C77" s="2072"/>
      <c r="D77" s="2072"/>
      <c r="E77" s="2072"/>
      <c r="F77" s="2072"/>
      <c r="G77" s="2072"/>
      <c r="H77" s="2072"/>
    </row>
    <row r="78" spans="1:8" x14ac:dyDescent="0.2">
      <c r="A78" s="2073" t="s">
        <v>1091</v>
      </c>
      <c r="B78" s="2072"/>
      <c r="C78" s="2072"/>
      <c r="D78" s="2072"/>
      <c r="E78" s="2072"/>
      <c r="F78" s="2072"/>
      <c r="G78" s="2072"/>
      <c r="H78" s="2072"/>
    </row>
    <row r="79" spans="1:8" x14ac:dyDescent="0.2">
      <c r="A79" s="2073" t="s">
        <v>1092</v>
      </c>
      <c r="B79" s="2072"/>
      <c r="C79" s="2072"/>
      <c r="D79" s="2072"/>
      <c r="E79" s="2072"/>
      <c r="F79" s="2072"/>
      <c r="G79" s="2072"/>
      <c r="H79" s="2072"/>
    </row>
    <row r="80" spans="1:8" x14ac:dyDescent="0.2">
      <c r="A80" s="2073" t="s">
        <v>1093</v>
      </c>
      <c r="B80" s="2072"/>
      <c r="C80" s="2072"/>
      <c r="D80" s="2072"/>
      <c r="E80" s="2072"/>
      <c r="F80" s="2072"/>
      <c r="G80" s="2072"/>
      <c r="H80" s="2072"/>
    </row>
    <row r="81" spans="1:8" x14ac:dyDescent="0.2">
      <c r="A81" s="2072"/>
      <c r="B81" s="2072"/>
      <c r="C81" s="2072"/>
      <c r="D81" s="2072"/>
      <c r="E81" s="2072"/>
      <c r="F81" s="2072"/>
      <c r="G81" s="2072"/>
      <c r="H81" s="2072"/>
    </row>
    <row r="82" spans="1:8" x14ac:dyDescent="0.2">
      <c r="A82" s="2073" t="s">
        <v>847</v>
      </c>
      <c r="B82" s="2072"/>
      <c r="C82" s="2072"/>
      <c r="D82" s="2072"/>
      <c r="E82" s="2072"/>
      <c r="F82" s="2072"/>
      <c r="G82" s="2072"/>
      <c r="H82" s="2072"/>
    </row>
    <row r="83" spans="1:8" x14ac:dyDescent="0.2">
      <c r="A83" s="2072"/>
      <c r="B83" s="2072"/>
      <c r="C83" s="2072"/>
      <c r="D83" s="2072"/>
      <c r="E83" s="2072"/>
      <c r="F83" s="2072"/>
      <c r="G83" s="2072"/>
      <c r="H83" s="2072"/>
    </row>
    <row r="84" spans="1:8" x14ac:dyDescent="0.2">
      <c r="A84" s="2073" t="s">
        <v>1086</v>
      </c>
      <c r="B84" s="2072"/>
      <c r="C84" s="2072"/>
      <c r="D84" s="2072"/>
      <c r="E84" s="2072"/>
      <c r="F84" s="2072"/>
      <c r="G84" s="2072"/>
      <c r="H84" s="2072"/>
    </row>
    <row r="85" spans="1:8" x14ac:dyDescent="0.2">
      <c r="A85" s="2073" t="s">
        <v>1087</v>
      </c>
      <c r="B85" s="2072"/>
      <c r="C85" s="2072"/>
      <c r="D85" s="2072"/>
      <c r="E85" s="2072"/>
      <c r="F85" s="2072"/>
      <c r="G85" s="2072"/>
      <c r="H85" s="2072"/>
    </row>
    <row r="86" spans="1:8" x14ac:dyDescent="0.2">
      <c r="A86" s="2073" t="s">
        <v>1088</v>
      </c>
      <c r="B86" s="2072"/>
      <c r="C86" s="2072"/>
      <c r="D86" s="2072"/>
      <c r="E86" s="2072"/>
      <c r="F86" s="2072"/>
      <c r="G86" s="2072"/>
      <c r="H86" s="2072"/>
    </row>
    <row r="87" spans="1:8" x14ac:dyDescent="0.2">
      <c r="A87" s="2073" t="s">
        <v>1089</v>
      </c>
      <c r="B87" s="2072"/>
      <c r="C87" s="2072"/>
      <c r="D87" s="2072"/>
      <c r="E87" s="2072"/>
      <c r="F87" s="2072"/>
      <c r="G87" s="2072"/>
      <c r="H87" s="2072"/>
    </row>
    <row r="88" spans="1:8" x14ac:dyDescent="0.2">
      <c r="A88" s="2073" t="s">
        <v>1090</v>
      </c>
      <c r="B88" s="2072"/>
      <c r="C88" s="2072"/>
      <c r="D88" s="2072"/>
      <c r="E88" s="2072"/>
      <c r="F88" s="2072"/>
      <c r="G88" s="2072"/>
      <c r="H88" s="2072"/>
    </row>
    <row r="89" spans="1:8" x14ac:dyDescent="0.2">
      <c r="A89" s="2073" t="s">
        <v>973</v>
      </c>
      <c r="B89" s="2072"/>
      <c r="C89" s="2072"/>
      <c r="D89" s="2072"/>
      <c r="E89" s="2072"/>
      <c r="F89" s="2072"/>
      <c r="G89" s="2072"/>
      <c r="H89" s="2072"/>
    </row>
    <row r="90" spans="1:8" x14ac:dyDescent="0.2">
      <c r="A90" s="2072"/>
      <c r="B90" s="2072"/>
      <c r="C90" s="2072"/>
      <c r="D90" s="2072"/>
      <c r="E90" s="2072"/>
      <c r="F90" s="2072"/>
      <c r="G90" s="2072"/>
      <c r="H90" s="2072"/>
    </row>
    <row r="91" spans="1:8" x14ac:dyDescent="0.2">
      <c r="A91" s="2073" t="s">
        <v>1079</v>
      </c>
      <c r="B91" s="2072"/>
      <c r="C91" s="2072"/>
      <c r="D91" s="2072"/>
      <c r="E91" s="2072"/>
      <c r="F91" s="2072"/>
      <c r="G91" s="2072"/>
      <c r="H91" s="2072"/>
    </row>
    <row r="92" spans="1:8" x14ac:dyDescent="0.2">
      <c r="A92" s="2073" t="s">
        <v>1080</v>
      </c>
      <c r="B92" s="2072"/>
      <c r="C92" s="2072"/>
      <c r="D92" s="2072"/>
      <c r="E92" s="2072"/>
      <c r="F92" s="2072"/>
      <c r="G92" s="2072"/>
      <c r="H92" s="2072"/>
    </row>
    <row r="93" spans="1:8" x14ac:dyDescent="0.2">
      <c r="A93" s="2073" t="s">
        <v>1081</v>
      </c>
      <c r="B93" s="2072"/>
      <c r="C93" s="2072"/>
      <c r="D93" s="2072"/>
      <c r="E93" s="2072"/>
      <c r="F93" s="2072"/>
      <c r="G93" s="2072"/>
      <c r="H93" s="2072"/>
    </row>
    <row r="94" spans="1:8" x14ac:dyDescent="0.2">
      <c r="A94" s="2073" t="s">
        <v>1082</v>
      </c>
      <c r="B94" s="2072"/>
      <c r="C94" s="2072"/>
      <c r="D94" s="2072"/>
      <c r="E94" s="2072"/>
      <c r="F94" s="2072"/>
      <c r="G94" s="2072"/>
      <c r="H94" s="2072"/>
    </row>
    <row r="95" spans="1:8" x14ac:dyDescent="0.2">
      <c r="A95" s="2073" t="s">
        <v>1083</v>
      </c>
      <c r="B95" s="2072"/>
      <c r="C95" s="2072"/>
      <c r="D95" s="2072"/>
      <c r="E95" s="2072"/>
      <c r="F95" s="2072"/>
      <c r="G95" s="2072"/>
      <c r="H95" s="2072"/>
    </row>
    <row r="96" spans="1:8" x14ac:dyDescent="0.2">
      <c r="A96" s="2073" t="s">
        <v>1084</v>
      </c>
      <c r="B96" s="2072"/>
      <c r="C96" s="2072"/>
      <c r="D96" s="2072"/>
      <c r="E96" s="2072"/>
      <c r="F96" s="2072"/>
      <c r="G96" s="2072"/>
      <c r="H96" s="2072"/>
    </row>
    <row r="97" spans="1:8" x14ac:dyDescent="0.2">
      <c r="A97" s="2073" t="s">
        <v>1085</v>
      </c>
      <c r="B97" s="2072"/>
      <c r="C97" s="2072"/>
      <c r="D97" s="2072"/>
      <c r="E97" s="2072"/>
      <c r="F97" s="2072"/>
      <c r="G97" s="2072"/>
      <c r="H97" s="2072"/>
    </row>
    <row r="98" spans="1:8" x14ac:dyDescent="0.2">
      <c r="A98" s="2072"/>
      <c r="B98" s="2072"/>
      <c r="C98" s="2072"/>
      <c r="D98" s="2072"/>
      <c r="E98" s="2072"/>
      <c r="F98" s="2072"/>
      <c r="G98" s="2072"/>
      <c r="H98" s="2072"/>
    </row>
    <row r="99" spans="1:8" x14ac:dyDescent="0.2">
      <c r="A99" s="2073" t="s">
        <v>1077</v>
      </c>
      <c r="B99" s="2072"/>
      <c r="C99" s="2072"/>
      <c r="D99" s="2072"/>
      <c r="E99" s="2072"/>
      <c r="F99" s="2072"/>
      <c r="G99" s="2072"/>
      <c r="H99" s="2072"/>
    </row>
    <row r="100" spans="1:8" x14ac:dyDescent="0.2">
      <c r="A100" s="2073" t="s">
        <v>1078</v>
      </c>
      <c r="B100" s="2072"/>
      <c r="C100" s="2072"/>
      <c r="D100" s="2072"/>
      <c r="E100" s="2072"/>
      <c r="F100" s="2072"/>
      <c r="G100" s="2072"/>
      <c r="H100" s="2072"/>
    </row>
    <row r="101" spans="1:8" x14ac:dyDescent="0.2">
      <c r="A101" s="2072"/>
      <c r="B101" s="2072"/>
      <c r="C101" s="2072"/>
      <c r="D101" s="2072"/>
      <c r="E101" s="2072"/>
      <c r="F101" s="2072"/>
      <c r="G101" s="2072"/>
      <c r="H101" s="2072"/>
    </row>
    <row r="102" spans="1:8" ht="15.75" x14ac:dyDescent="0.2">
      <c r="A102" s="2074" t="s">
        <v>848</v>
      </c>
      <c r="B102" s="2072"/>
      <c r="C102" s="2072"/>
      <c r="D102" s="2072"/>
      <c r="E102" s="2072"/>
      <c r="F102" s="2072"/>
      <c r="G102" s="2072"/>
      <c r="H102" s="2072"/>
    </row>
    <row r="103" spans="1:8" x14ac:dyDescent="0.2">
      <c r="A103" s="2072"/>
      <c r="B103" s="2072"/>
      <c r="C103" s="2072"/>
      <c r="D103" s="2072"/>
      <c r="E103" s="2072"/>
      <c r="F103" s="2072"/>
      <c r="G103" s="2072"/>
      <c r="H103" s="2072"/>
    </row>
    <row r="104" spans="1:8" x14ac:dyDescent="0.2">
      <c r="A104" s="2073" t="s">
        <v>1068</v>
      </c>
      <c r="B104" s="2072"/>
      <c r="C104" s="2072"/>
      <c r="D104" s="2072"/>
      <c r="E104" s="2072"/>
      <c r="F104" s="2072"/>
      <c r="G104" s="2072"/>
      <c r="H104" s="2072"/>
    </row>
    <row r="105" spans="1:8" x14ac:dyDescent="0.2">
      <c r="A105" s="2073" t="s">
        <v>1069</v>
      </c>
      <c r="B105" s="2072"/>
      <c r="C105" s="2072"/>
      <c r="D105" s="2072"/>
      <c r="E105" s="2072"/>
      <c r="F105" s="2072"/>
      <c r="G105" s="2072"/>
      <c r="H105" s="2072"/>
    </row>
    <row r="106" spans="1:8" x14ac:dyDescent="0.2">
      <c r="A106" s="2073" t="s">
        <v>1070</v>
      </c>
      <c r="B106" s="2072"/>
      <c r="C106" s="2072"/>
      <c r="D106" s="2072"/>
      <c r="E106" s="2072"/>
      <c r="F106" s="2072"/>
      <c r="G106" s="2072"/>
      <c r="H106" s="2072"/>
    </row>
    <row r="107" spans="1:8" x14ac:dyDescent="0.2">
      <c r="A107" s="2073" t="s">
        <v>1071</v>
      </c>
      <c r="B107" s="2072"/>
      <c r="C107" s="2072"/>
      <c r="D107" s="2072"/>
      <c r="E107" s="2072"/>
      <c r="F107" s="2072"/>
      <c r="G107" s="2072"/>
      <c r="H107" s="2072"/>
    </row>
    <row r="108" spans="1:8" x14ac:dyDescent="0.2">
      <c r="A108" s="2073" t="s">
        <v>1072</v>
      </c>
      <c r="B108" s="2072"/>
      <c r="C108" s="2072"/>
      <c r="D108" s="2072"/>
      <c r="E108" s="2072"/>
      <c r="F108" s="2072"/>
      <c r="G108" s="2072"/>
      <c r="H108" s="2072"/>
    </row>
    <row r="109" spans="1:8" x14ac:dyDescent="0.2">
      <c r="A109" s="2073" t="s">
        <v>1073</v>
      </c>
      <c r="B109" s="2072"/>
      <c r="C109" s="2072"/>
      <c r="D109" s="2072"/>
      <c r="E109" s="2072"/>
      <c r="F109" s="2072"/>
      <c r="G109" s="2072"/>
      <c r="H109" s="2072"/>
    </row>
    <row r="110" spans="1:8" x14ac:dyDescent="0.2">
      <c r="A110" s="2073" t="s">
        <v>1074</v>
      </c>
      <c r="B110" s="2072"/>
      <c r="C110" s="2072"/>
      <c r="D110" s="2072"/>
      <c r="E110" s="2072"/>
      <c r="F110" s="2072"/>
      <c r="G110" s="2072"/>
      <c r="H110" s="2072"/>
    </row>
    <row r="111" spans="1:8" x14ac:dyDescent="0.2">
      <c r="A111" s="2073" t="s">
        <v>1075</v>
      </c>
      <c r="B111" s="2072"/>
      <c r="C111" s="2072"/>
      <c r="D111" s="2072"/>
      <c r="E111" s="2072"/>
      <c r="F111" s="2072"/>
      <c r="G111" s="2072"/>
      <c r="H111" s="2072"/>
    </row>
    <row r="112" spans="1:8" x14ac:dyDescent="0.2">
      <c r="A112" s="2073" t="s">
        <v>1076</v>
      </c>
      <c r="B112" s="2072"/>
      <c r="C112" s="2072"/>
      <c r="D112" s="2072"/>
      <c r="E112" s="2072"/>
      <c r="F112" s="2072"/>
      <c r="G112" s="2072"/>
      <c r="H112" s="2072"/>
    </row>
    <row r="113" spans="1:8" x14ac:dyDescent="0.2">
      <c r="A113" s="2072"/>
      <c r="B113" s="2072"/>
      <c r="C113" s="2072"/>
      <c r="D113" s="2072"/>
      <c r="E113" s="2072"/>
      <c r="F113" s="2072"/>
      <c r="G113" s="2072"/>
      <c r="H113" s="2072"/>
    </row>
    <row r="114" spans="1:8" ht="15.75" x14ac:dyDescent="0.2">
      <c r="A114" s="2075" t="s">
        <v>849</v>
      </c>
      <c r="B114" s="2075"/>
      <c r="C114" s="2075"/>
      <c r="D114" s="2075"/>
      <c r="E114" s="2075"/>
      <c r="F114" s="2075"/>
      <c r="G114" s="2075"/>
      <c r="H114" s="2075"/>
    </row>
    <row r="115" spans="1:8" x14ac:dyDescent="0.2">
      <c r="A115" s="2076" t="s">
        <v>850</v>
      </c>
      <c r="B115" s="2076"/>
      <c r="C115" s="2076"/>
      <c r="D115" s="2076"/>
      <c r="E115" s="2076"/>
      <c r="F115" s="2076"/>
      <c r="G115" s="2076"/>
      <c r="H115" s="2076"/>
    </row>
    <row r="116" spans="1:8" x14ac:dyDescent="0.2">
      <c r="A116" s="2077"/>
      <c r="B116" s="2077"/>
      <c r="C116" s="2077"/>
      <c r="D116" s="2077"/>
      <c r="E116" s="2077"/>
      <c r="F116" s="2077"/>
      <c r="G116" s="2077"/>
      <c r="H116" s="2077"/>
    </row>
    <row r="117" spans="1:8" x14ac:dyDescent="0.2">
      <c r="A117" s="2076" t="s">
        <v>1066</v>
      </c>
      <c r="B117" s="2076"/>
      <c r="C117" s="2076"/>
      <c r="D117" s="2076"/>
      <c r="E117" s="2076"/>
      <c r="F117" s="2076"/>
      <c r="G117" s="2076"/>
      <c r="H117" s="2076"/>
    </row>
    <row r="118" spans="1:8" x14ac:dyDescent="0.2">
      <c r="A118" s="2073" t="s">
        <v>1067</v>
      </c>
      <c r="B118" s="2073"/>
      <c r="C118" s="2073"/>
      <c r="D118" s="2073"/>
      <c r="E118" s="2073"/>
      <c r="F118" s="2073"/>
      <c r="G118" s="2073"/>
      <c r="H118" s="2073"/>
    </row>
    <row r="119" spans="1:8" x14ac:dyDescent="0.2">
      <c r="A119" s="2077"/>
      <c r="B119" s="2077"/>
      <c r="C119" s="2077"/>
      <c r="D119" s="2077"/>
      <c r="E119" s="2077"/>
      <c r="F119" s="2077"/>
      <c r="G119" s="2077"/>
      <c r="H119" s="2077"/>
    </row>
    <row r="120" spans="1:8" x14ac:dyDescent="0.2">
      <c r="A120" s="2076" t="s">
        <v>1059</v>
      </c>
      <c r="B120" s="2076"/>
      <c r="C120" s="2076"/>
      <c r="D120" s="2076"/>
      <c r="E120" s="2076"/>
      <c r="F120" s="2076"/>
      <c r="G120" s="2076"/>
      <c r="H120" s="2076"/>
    </row>
    <row r="121" spans="1:8" x14ac:dyDescent="0.2">
      <c r="A121" s="2073" t="s">
        <v>1060</v>
      </c>
      <c r="B121" s="2073"/>
      <c r="C121" s="2073"/>
      <c r="D121" s="2073"/>
      <c r="E121" s="2073"/>
      <c r="F121" s="2073"/>
      <c r="G121" s="2073"/>
      <c r="H121" s="2073"/>
    </row>
    <row r="122" spans="1:8" x14ac:dyDescent="0.2">
      <c r="A122" s="2073" t="s">
        <v>1061</v>
      </c>
      <c r="B122" s="2073"/>
      <c r="C122" s="2073"/>
      <c r="D122" s="2073"/>
      <c r="E122" s="2073"/>
      <c r="F122" s="2073"/>
      <c r="G122" s="2073"/>
      <c r="H122" s="2073"/>
    </row>
    <row r="123" spans="1:8" x14ac:dyDescent="0.2">
      <c r="A123" s="2073" t="s">
        <v>1062</v>
      </c>
      <c r="B123" s="2073"/>
      <c r="C123" s="2073"/>
      <c r="D123" s="2073"/>
      <c r="E123" s="2073"/>
      <c r="F123" s="2073"/>
      <c r="G123" s="2073"/>
      <c r="H123" s="2073"/>
    </row>
    <row r="124" spans="1:8" x14ac:dyDescent="0.2">
      <c r="A124" s="2073" t="s">
        <v>1063</v>
      </c>
      <c r="B124" s="2073"/>
      <c r="C124" s="2073"/>
      <c r="D124" s="2073"/>
      <c r="E124" s="2073"/>
      <c r="F124" s="2073"/>
      <c r="G124" s="2073"/>
      <c r="H124" s="2073"/>
    </row>
    <row r="125" spans="1:8" x14ac:dyDescent="0.2">
      <c r="A125" s="2073" t="s">
        <v>1064</v>
      </c>
      <c r="B125" s="2073"/>
      <c r="C125" s="2073"/>
      <c r="D125" s="2073"/>
      <c r="E125" s="2073"/>
      <c r="F125" s="2073"/>
      <c r="G125" s="2073"/>
      <c r="H125" s="2073"/>
    </row>
    <row r="126" spans="1:8" x14ac:dyDescent="0.2">
      <c r="A126" s="2073" t="s">
        <v>1065</v>
      </c>
      <c r="B126" s="2073"/>
      <c r="C126" s="2073"/>
      <c r="D126" s="2073"/>
      <c r="E126" s="2073"/>
      <c r="F126" s="2073"/>
      <c r="G126" s="2073"/>
      <c r="H126" s="2073"/>
    </row>
    <row r="127" spans="1:8" x14ac:dyDescent="0.2">
      <c r="A127" s="2078"/>
      <c r="B127" s="2078"/>
      <c r="C127" s="2078"/>
      <c r="D127" s="2078"/>
      <c r="E127" s="2078"/>
      <c r="F127" s="2078"/>
      <c r="G127" s="2078"/>
      <c r="H127" s="2078"/>
    </row>
    <row r="128" spans="1:8" x14ac:dyDescent="0.2">
      <c r="A128" s="2079"/>
      <c r="B128" s="2080" t="s">
        <v>851</v>
      </c>
      <c r="C128" s="2081"/>
      <c r="D128" s="2080" t="s">
        <v>852</v>
      </c>
      <c r="E128" s="2082"/>
      <c r="F128" s="2081"/>
      <c r="G128" s="2080" t="s">
        <v>853</v>
      </c>
      <c r="H128" s="2081"/>
    </row>
    <row r="129" spans="1:8" x14ac:dyDescent="0.2">
      <c r="A129" s="2079" t="s">
        <v>854</v>
      </c>
      <c r="B129" s="2079" t="s">
        <v>334</v>
      </c>
      <c r="C129" s="2079" t="s">
        <v>855</v>
      </c>
      <c r="D129" s="2079" t="s">
        <v>334</v>
      </c>
      <c r="E129" s="2079" t="s">
        <v>856</v>
      </c>
      <c r="F129" s="2079" t="s">
        <v>857</v>
      </c>
      <c r="G129" s="2079" t="s">
        <v>334</v>
      </c>
      <c r="H129" s="2079" t="s">
        <v>858</v>
      </c>
    </row>
    <row r="130" spans="1:8" x14ac:dyDescent="0.2">
      <c r="A130" s="2079" t="s">
        <v>859</v>
      </c>
      <c r="B130" s="2079">
        <v>1189</v>
      </c>
      <c r="C130" s="2083">
        <v>0.38</v>
      </c>
      <c r="D130" s="2079">
        <v>315</v>
      </c>
      <c r="E130" s="2083">
        <v>0.41</v>
      </c>
      <c r="F130" s="2083">
        <v>0.26</v>
      </c>
      <c r="G130" s="2079">
        <v>555</v>
      </c>
      <c r="H130" s="2083">
        <v>0.39</v>
      </c>
    </row>
    <row r="131" spans="1:8" x14ac:dyDescent="0.2">
      <c r="A131" s="2079" t="s">
        <v>860</v>
      </c>
      <c r="B131" s="2079">
        <v>1355</v>
      </c>
      <c r="C131" s="2083">
        <v>0.43</v>
      </c>
      <c r="D131" s="2079">
        <v>364</v>
      </c>
      <c r="E131" s="2083">
        <v>0.47</v>
      </c>
      <c r="F131" s="2083">
        <v>0.27</v>
      </c>
      <c r="G131" s="2079">
        <v>644</v>
      </c>
      <c r="H131" s="2083">
        <v>0.45</v>
      </c>
    </row>
    <row r="132" spans="1:8" x14ac:dyDescent="0.2">
      <c r="A132" s="2079" t="s">
        <v>861</v>
      </c>
      <c r="B132" s="2079">
        <v>53</v>
      </c>
      <c r="C132" s="2083">
        <v>0.02</v>
      </c>
      <c r="D132" s="2079">
        <v>4</v>
      </c>
      <c r="E132" s="2083">
        <v>0.01</v>
      </c>
      <c r="F132" s="2083">
        <v>0.08</v>
      </c>
      <c r="G132" s="2079">
        <v>7</v>
      </c>
      <c r="H132" s="2083">
        <v>0</v>
      </c>
    </row>
    <row r="133" spans="1:8" x14ac:dyDescent="0.2">
      <c r="A133" s="2079" t="s">
        <v>862</v>
      </c>
      <c r="B133" s="2079">
        <v>545</v>
      </c>
      <c r="C133" s="2083">
        <v>0.17</v>
      </c>
      <c r="D133" s="2079">
        <v>84</v>
      </c>
      <c r="E133" s="2083">
        <v>0.11</v>
      </c>
      <c r="F133" s="2083">
        <v>0.15</v>
      </c>
      <c r="G133" s="2079">
        <v>214</v>
      </c>
      <c r="H133" s="2083">
        <v>0.15</v>
      </c>
    </row>
    <row r="134" spans="1:8" x14ac:dyDescent="0.2">
      <c r="A134" s="2079" t="s">
        <v>513</v>
      </c>
      <c r="B134" s="2084">
        <v>3142</v>
      </c>
      <c r="C134" s="2079"/>
      <c r="D134" s="2079">
        <v>767</v>
      </c>
      <c r="E134" s="2079"/>
      <c r="F134" s="2079"/>
      <c r="G134" s="2079">
        <v>1420</v>
      </c>
      <c r="H134" s="2079"/>
    </row>
    <row r="135" spans="1:8" x14ac:dyDescent="0.2">
      <c r="A135" s="2085"/>
      <c r="B135" s="2085"/>
      <c r="C135" s="2085"/>
      <c r="D135" s="2085"/>
      <c r="E135" s="2085"/>
      <c r="F135" s="2085"/>
      <c r="G135" s="2085"/>
      <c r="H135" s="2085"/>
    </row>
    <row r="136" spans="1:8" x14ac:dyDescent="0.2">
      <c r="A136" s="2076" t="s">
        <v>1055</v>
      </c>
      <c r="B136" s="2076"/>
      <c r="C136" s="2076"/>
      <c r="D136" s="2076"/>
      <c r="E136" s="2076"/>
      <c r="F136" s="2076"/>
      <c r="G136" s="2076"/>
      <c r="H136" s="2076"/>
    </row>
    <row r="137" spans="1:8" x14ac:dyDescent="0.2">
      <c r="A137" s="2073" t="s">
        <v>1056</v>
      </c>
      <c r="B137" s="2073"/>
      <c r="C137" s="2073"/>
      <c r="D137" s="2073"/>
      <c r="E137" s="2073"/>
      <c r="F137" s="2073"/>
      <c r="G137" s="2073"/>
      <c r="H137" s="2073"/>
    </row>
    <row r="138" spans="1:8" x14ac:dyDescent="0.2">
      <c r="A138" s="2073" t="s">
        <v>1057</v>
      </c>
      <c r="B138" s="2073"/>
      <c r="C138" s="2073"/>
      <c r="D138" s="2073"/>
      <c r="E138" s="2073"/>
      <c r="F138" s="2073"/>
      <c r="G138" s="2073"/>
      <c r="H138" s="2073"/>
    </row>
    <row r="139" spans="1:8" x14ac:dyDescent="0.2">
      <c r="A139" s="2073" t="s">
        <v>1058</v>
      </c>
      <c r="B139" s="2073"/>
      <c r="C139" s="2073"/>
      <c r="D139" s="2073"/>
      <c r="E139" s="2073"/>
      <c r="F139" s="2073"/>
      <c r="G139" s="2073"/>
      <c r="H139" s="2073"/>
    </row>
    <row r="140" spans="1:8" x14ac:dyDescent="0.2">
      <c r="A140" s="2072"/>
      <c r="B140" s="2072"/>
      <c r="C140" s="2072"/>
      <c r="D140" s="2072"/>
      <c r="E140" s="2072"/>
      <c r="F140" s="2072"/>
      <c r="G140" s="2072"/>
      <c r="H140" s="2072"/>
    </row>
    <row r="141" spans="1:8" ht="15.75" x14ac:dyDescent="0.2">
      <c r="A141" s="2074" t="s">
        <v>863</v>
      </c>
      <c r="B141" s="2072"/>
      <c r="C141" s="2072"/>
      <c r="D141" s="2072"/>
      <c r="E141" s="2072"/>
      <c r="F141" s="2072"/>
      <c r="G141" s="2072"/>
      <c r="H141" s="2072"/>
    </row>
    <row r="142" spans="1:8" x14ac:dyDescent="0.2">
      <c r="A142" s="2072"/>
      <c r="B142" s="2072"/>
      <c r="C142" s="2072"/>
      <c r="D142" s="2072"/>
      <c r="E142" s="2072"/>
      <c r="F142" s="2072"/>
      <c r="G142" s="2072"/>
      <c r="H142" s="2072"/>
    </row>
    <row r="143" spans="1:8" x14ac:dyDescent="0.2">
      <c r="A143" s="2073" t="s">
        <v>1053</v>
      </c>
      <c r="B143" s="2072"/>
      <c r="C143" s="2072"/>
      <c r="D143" s="2072"/>
      <c r="E143" s="2072"/>
      <c r="F143" s="2072"/>
      <c r="G143" s="2072"/>
      <c r="H143" s="2072"/>
    </row>
    <row r="144" spans="1:8" x14ac:dyDescent="0.2">
      <c r="A144" s="2073" t="s">
        <v>1054</v>
      </c>
      <c r="B144" s="2072"/>
      <c r="C144" s="2072"/>
      <c r="D144" s="2072"/>
      <c r="E144" s="2072"/>
      <c r="F144" s="2072"/>
      <c r="G144" s="2072"/>
      <c r="H144" s="2072"/>
    </row>
    <row r="145" spans="1:8" x14ac:dyDescent="0.2">
      <c r="A145" s="2072"/>
      <c r="B145" s="2072"/>
      <c r="C145" s="2072"/>
      <c r="D145" s="2072"/>
      <c r="E145" s="2072"/>
      <c r="F145" s="2072"/>
      <c r="G145" s="2072"/>
      <c r="H145" s="2072"/>
    </row>
    <row r="146" spans="1:8" x14ac:dyDescent="0.2">
      <c r="A146" s="2073" t="s">
        <v>1050</v>
      </c>
      <c r="B146" s="2072"/>
      <c r="C146" s="2072"/>
      <c r="D146" s="2072"/>
      <c r="E146" s="2072"/>
      <c r="F146" s="2072"/>
      <c r="G146" s="2072"/>
      <c r="H146" s="2072"/>
    </row>
    <row r="147" spans="1:8" x14ac:dyDescent="0.2">
      <c r="A147" s="2073" t="s">
        <v>1051</v>
      </c>
      <c r="B147" s="2072"/>
      <c r="C147" s="2072"/>
      <c r="D147" s="2072"/>
      <c r="E147" s="2072"/>
      <c r="F147" s="2072"/>
      <c r="G147" s="2072"/>
      <c r="H147" s="2072"/>
    </row>
    <row r="148" spans="1:8" x14ac:dyDescent="0.2">
      <c r="A148" s="2073" t="s">
        <v>1052</v>
      </c>
      <c r="B148" s="2072"/>
      <c r="C148" s="2072"/>
      <c r="D148" s="2072"/>
      <c r="E148" s="2072"/>
      <c r="F148" s="2072"/>
      <c r="G148" s="2072"/>
      <c r="H148" s="2072"/>
    </row>
    <row r="149" spans="1:8" x14ac:dyDescent="0.2">
      <c r="A149" s="2072"/>
      <c r="B149" s="2072"/>
      <c r="C149" s="2072"/>
      <c r="D149" s="2072"/>
      <c r="E149" s="2072"/>
      <c r="F149" s="2072"/>
      <c r="G149" s="2072"/>
      <c r="H149" s="2072"/>
    </row>
    <row r="150" spans="1:8" x14ac:dyDescent="0.2">
      <c r="A150" s="2073" t="s">
        <v>1047</v>
      </c>
      <c r="B150" s="2072"/>
      <c r="C150" s="2072"/>
      <c r="D150" s="2072"/>
      <c r="E150" s="2072"/>
      <c r="F150" s="2072"/>
      <c r="G150" s="2072"/>
      <c r="H150" s="2072"/>
    </row>
    <row r="151" spans="1:8" x14ac:dyDescent="0.2">
      <c r="A151" s="2073" t="s">
        <v>1048</v>
      </c>
      <c r="B151" s="2072"/>
      <c r="C151" s="2072"/>
      <c r="D151" s="2072"/>
      <c r="E151" s="2072"/>
      <c r="F151" s="2072"/>
      <c r="G151" s="2072"/>
      <c r="H151" s="2072"/>
    </row>
    <row r="152" spans="1:8" x14ac:dyDescent="0.2">
      <c r="A152" s="2073" t="s">
        <v>1049</v>
      </c>
      <c r="B152" s="2072"/>
      <c r="C152" s="2072"/>
      <c r="D152" s="2072"/>
      <c r="E152" s="2072"/>
      <c r="F152" s="2072"/>
      <c r="G152" s="2072"/>
      <c r="H152" s="2072"/>
    </row>
    <row r="153" spans="1:8" x14ac:dyDescent="0.2">
      <c r="A153" s="2072"/>
      <c r="B153" s="2072"/>
      <c r="C153" s="2072"/>
      <c r="D153" s="2072"/>
      <c r="E153" s="2072"/>
      <c r="F153" s="2072"/>
      <c r="G153" s="2072"/>
      <c r="H153" s="2072"/>
    </row>
    <row r="154" spans="1:8" x14ac:dyDescent="0.2">
      <c r="A154" s="2073" t="s">
        <v>1044</v>
      </c>
      <c r="B154" s="2072"/>
      <c r="C154" s="2072"/>
      <c r="D154" s="2072"/>
      <c r="E154" s="2072"/>
      <c r="F154" s="2072"/>
      <c r="G154" s="2072"/>
      <c r="H154" s="2072"/>
    </row>
    <row r="155" spans="1:8" x14ac:dyDescent="0.2">
      <c r="A155" s="2073" t="s">
        <v>1045</v>
      </c>
      <c r="B155" s="2072"/>
      <c r="C155" s="2072"/>
      <c r="D155" s="2072"/>
      <c r="E155" s="2072"/>
      <c r="F155" s="2072"/>
      <c r="G155" s="2072"/>
      <c r="H155" s="2072"/>
    </row>
    <row r="156" spans="1:8" x14ac:dyDescent="0.2">
      <c r="A156" s="2073" t="s">
        <v>1046</v>
      </c>
      <c r="B156" s="2072"/>
      <c r="C156" s="2072"/>
      <c r="D156" s="2072"/>
      <c r="E156" s="2072"/>
      <c r="F156" s="2072"/>
      <c r="G156" s="2072"/>
      <c r="H156" s="2072"/>
    </row>
    <row r="157" spans="1:8" x14ac:dyDescent="0.2">
      <c r="A157" s="2072"/>
      <c r="B157" s="2072"/>
      <c r="C157" s="2072"/>
      <c r="D157" s="2072"/>
      <c r="E157" s="2072"/>
      <c r="F157" s="2072"/>
      <c r="G157" s="2072"/>
      <c r="H157" s="2072"/>
    </row>
    <row r="158" spans="1:8" x14ac:dyDescent="0.2">
      <c r="A158" s="2073" t="s">
        <v>1042</v>
      </c>
      <c r="B158" s="2072"/>
      <c r="C158" s="2072"/>
      <c r="D158" s="2072"/>
      <c r="E158" s="2072"/>
      <c r="F158" s="2072"/>
      <c r="G158" s="2072"/>
      <c r="H158" s="2072"/>
    </row>
    <row r="159" spans="1:8" x14ac:dyDescent="0.2">
      <c r="A159" s="2073" t="s">
        <v>1043</v>
      </c>
      <c r="B159" s="2072"/>
      <c r="C159" s="2072"/>
      <c r="D159" s="2072"/>
      <c r="E159" s="2072"/>
      <c r="F159" s="2072"/>
      <c r="G159" s="2072"/>
      <c r="H159" s="2072"/>
    </row>
    <row r="160" spans="1:8" x14ac:dyDescent="0.2">
      <c r="A160" s="2072"/>
      <c r="B160" s="2072"/>
      <c r="C160" s="2072"/>
      <c r="D160" s="2072"/>
      <c r="E160" s="2072"/>
      <c r="F160" s="2072"/>
      <c r="G160" s="2072"/>
      <c r="H160" s="2072"/>
    </row>
    <row r="161" spans="1:8" ht="15.75" x14ac:dyDescent="0.2">
      <c r="A161" s="2074" t="s">
        <v>864</v>
      </c>
      <c r="B161" s="2072"/>
      <c r="C161" s="2072"/>
      <c r="D161" s="2072"/>
      <c r="E161" s="2072"/>
      <c r="F161" s="2072"/>
      <c r="G161" s="2072"/>
      <c r="H161" s="2072"/>
    </row>
    <row r="162" spans="1:8" x14ac:dyDescent="0.2">
      <c r="A162" s="2072"/>
      <c r="B162" s="2072"/>
      <c r="C162" s="2072"/>
      <c r="D162" s="2072"/>
      <c r="E162" s="2072"/>
      <c r="F162" s="2072"/>
      <c r="G162" s="2072"/>
      <c r="H162" s="2072"/>
    </row>
    <row r="163" spans="1:8" x14ac:dyDescent="0.2">
      <c r="A163" s="2073" t="s">
        <v>1040</v>
      </c>
      <c r="B163" s="2072"/>
      <c r="C163" s="2072"/>
      <c r="D163" s="2072"/>
      <c r="E163" s="2072"/>
      <c r="F163" s="2072"/>
      <c r="G163" s="2072"/>
      <c r="H163" s="2072"/>
    </row>
    <row r="164" spans="1:8" x14ac:dyDescent="0.2">
      <c r="A164" s="2073" t="s">
        <v>1041</v>
      </c>
      <c r="B164" s="2072"/>
      <c r="C164" s="2072"/>
      <c r="D164" s="2072"/>
      <c r="E164" s="2072"/>
      <c r="F164" s="2072"/>
      <c r="G164" s="2072"/>
      <c r="H164" s="2072"/>
    </row>
    <row r="165" spans="1:8" x14ac:dyDescent="0.2">
      <c r="A165" s="2072"/>
      <c r="B165" s="2072"/>
      <c r="C165" s="2072"/>
      <c r="D165" s="2072"/>
      <c r="E165" s="2072"/>
      <c r="F165" s="2072"/>
      <c r="G165" s="2072"/>
      <c r="H165" s="2072"/>
    </row>
    <row r="166" spans="1:8" x14ac:dyDescent="0.2">
      <c r="A166" s="2073" t="s">
        <v>1038</v>
      </c>
      <c r="B166" s="2072"/>
      <c r="C166" s="2072"/>
      <c r="D166" s="2072"/>
      <c r="E166" s="2072"/>
      <c r="F166" s="2072"/>
      <c r="G166" s="2072"/>
      <c r="H166" s="2072"/>
    </row>
    <row r="167" spans="1:8" x14ac:dyDescent="0.2">
      <c r="A167" s="2073" t="s">
        <v>1039</v>
      </c>
      <c r="B167" s="2072"/>
      <c r="C167" s="2072"/>
      <c r="D167" s="2072"/>
      <c r="E167" s="2072"/>
      <c r="F167" s="2072"/>
      <c r="G167" s="2072"/>
      <c r="H167" s="2072"/>
    </row>
    <row r="168" spans="1:8" x14ac:dyDescent="0.2">
      <c r="A168" s="2072"/>
      <c r="B168" s="2072"/>
      <c r="C168" s="2072"/>
      <c r="D168" s="2072"/>
      <c r="E168" s="2072"/>
      <c r="F168" s="2072"/>
      <c r="G168" s="2072"/>
      <c r="H168" s="2072"/>
    </row>
    <row r="169" spans="1:8" x14ac:dyDescent="0.2">
      <c r="A169" s="2073" t="s">
        <v>1036</v>
      </c>
      <c r="B169" s="2072"/>
      <c r="C169" s="2072"/>
      <c r="D169" s="2072"/>
      <c r="E169" s="2072"/>
      <c r="F169" s="2072"/>
      <c r="G169" s="2072"/>
      <c r="H169" s="2072"/>
    </row>
    <row r="170" spans="1:8" x14ac:dyDescent="0.2">
      <c r="A170" s="2073" t="s">
        <v>1037</v>
      </c>
      <c r="B170" s="2072"/>
      <c r="C170" s="2072"/>
      <c r="D170" s="2072"/>
      <c r="E170" s="2072"/>
      <c r="F170" s="2072"/>
      <c r="G170" s="2072"/>
      <c r="H170" s="2072"/>
    </row>
    <row r="171" spans="1:8" x14ac:dyDescent="0.2">
      <c r="A171" s="2072"/>
      <c r="B171" s="2072"/>
      <c r="C171" s="2072"/>
      <c r="D171" s="2072"/>
      <c r="E171" s="2072"/>
      <c r="F171" s="2072"/>
      <c r="G171" s="2072"/>
      <c r="H171" s="2072"/>
    </row>
    <row r="172" spans="1:8" x14ac:dyDescent="0.2">
      <c r="A172" s="2073" t="s">
        <v>1033</v>
      </c>
      <c r="B172" s="2072"/>
      <c r="C172" s="2072"/>
      <c r="D172" s="2072"/>
      <c r="E172" s="2072"/>
      <c r="F172" s="2072"/>
      <c r="G172" s="2072"/>
      <c r="H172" s="2072"/>
    </row>
    <row r="173" spans="1:8" x14ac:dyDescent="0.2">
      <c r="A173" s="2073" t="s">
        <v>1034</v>
      </c>
      <c r="B173" s="2072"/>
      <c r="C173" s="2072"/>
      <c r="D173" s="2072"/>
      <c r="E173" s="2072"/>
      <c r="F173" s="2072"/>
      <c r="G173" s="2072"/>
      <c r="H173" s="2072"/>
    </row>
    <row r="174" spans="1:8" x14ac:dyDescent="0.2">
      <c r="A174" s="2073" t="s">
        <v>1035</v>
      </c>
      <c r="B174" s="2072"/>
      <c r="C174" s="2072"/>
      <c r="D174" s="2072"/>
      <c r="E174" s="2072"/>
      <c r="F174" s="2072"/>
      <c r="G174" s="2072"/>
      <c r="H174" s="2072"/>
    </row>
    <row r="175" spans="1:8" x14ac:dyDescent="0.2">
      <c r="A175" s="2072"/>
      <c r="B175" s="2072"/>
      <c r="C175" s="2072"/>
      <c r="D175" s="2072"/>
      <c r="E175" s="2072"/>
      <c r="F175" s="2072"/>
      <c r="G175" s="2072"/>
      <c r="H175" s="2072"/>
    </row>
    <row r="176" spans="1:8" x14ac:dyDescent="0.2">
      <c r="A176" s="2072"/>
      <c r="B176" s="2072"/>
      <c r="C176" s="2072"/>
      <c r="D176" s="2072"/>
      <c r="E176" s="2072"/>
      <c r="F176" s="2072"/>
      <c r="G176" s="2072"/>
      <c r="H176" s="2072"/>
    </row>
    <row r="177" spans="1:8" x14ac:dyDescent="0.2">
      <c r="A177" s="2073" t="s">
        <v>865</v>
      </c>
      <c r="B177" s="2072"/>
      <c r="C177" s="2072"/>
      <c r="D177" s="2072"/>
      <c r="E177" s="2072"/>
      <c r="F177" s="2072"/>
      <c r="G177" s="2072"/>
      <c r="H177" s="2072"/>
    </row>
    <row r="178" spans="1:8" x14ac:dyDescent="0.2">
      <c r="A178" s="2072"/>
      <c r="B178" s="2072"/>
      <c r="C178" s="2072"/>
      <c r="D178" s="2072"/>
      <c r="E178" s="2072"/>
      <c r="F178" s="2072"/>
      <c r="G178" s="2072"/>
      <c r="H178" s="2072"/>
    </row>
    <row r="179" spans="1:8" ht="15.75" x14ac:dyDescent="0.2">
      <c r="A179" s="2074" t="s">
        <v>866</v>
      </c>
      <c r="B179" s="2072"/>
      <c r="C179" s="2072"/>
      <c r="D179" s="2072"/>
      <c r="E179" s="2072"/>
      <c r="F179" s="2072"/>
      <c r="G179" s="2072"/>
      <c r="H179" s="2072"/>
    </row>
    <row r="180" spans="1:8" x14ac:dyDescent="0.2">
      <c r="A180" s="2072"/>
      <c r="B180" s="2072"/>
      <c r="C180" s="2072"/>
      <c r="D180" s="2072"/>
      <c r="E180" s="2072"/>
      <c r="F180" s="2072"/>
      <c r="G180" s="2072"/>
      <c r="H180" s="2072"/>
    </row>
    <row r="181" spans="1:8" x14ac:dyDescent="0.2">
      <c r="A181" s="2072"/>
      <c r="B181" s="2072"/>
      <c r="C181" s="2072"/>
      <c r="D181" s="2072"/>
      <c r="E181" s="2072"/>
      <c r="F181" s="2072"/>
      <c r="G181" s="2072"/>
      <c r="H181" s="2072"/>
    </row>
    <row r="182" spans="1:8" x14ac:dyDescent="0.2">
      <c r="A182" s="2072"/>
      <c r="B182" s="2072"/>
      <c r="C182" s="2072"/>
      <c r="D182" s="2072"/>
      <c r="E182" s="2072"/>
      <c r="F182" s="2072"/>
      <c r="G182" s="2072"/>
      <c r="H182" s="2072"/>
    </row>
    <row r="183" spans="1:8" x14ac:dyDescent="0.2">
      <c r="A183" s="2072"/>
      <c r="B183" s="2072"/>
      <c r="C183" s="2072"/>
      <c r="D183" s="2072"/>
      <c r="E183" s="2072"/>
      <c r="F183" s="2072"/>
      <c r="G183" s="2072"/>
      <c r="H183" s="2072"/>
    </row>
    <row r="184" spans="1:8" x14ac:dyDescent="0.2">
      <c r="A184" s="2072"/>
      <c r="B184" s="2072"/>
      <c r="C184" s="2072"/>
      <c r="D184" s="2072"/>
      <c r="E184" s="2072"/>
      <c r="F184" s="2072"/>
      <c r="G184" s="2072"/>
      <c r="H184" s="2072"/>
    </row>
    <row r="185" spans="1:8" x14ac:dyDescent="0.2">
      <c r="A185" s="2072"/>
      <c r="B185" s="2072"/>
      <c r="C185" s="2072"/>
      <c r="D185" s="2072"/>
      <c r="E185" s="2072"/>
      <c r="F185" s="2072"/>
      <c r="G185" s="2072"/>
      <c r="H185" s="2072"/>
    </row>
    <row r="186" spans="1:8" x14ac:dyDescent="0.2">
      <c r="A186" s="2072"/>
      <c r="B186" s="2072"/>
      <c r="C186" s="2072"/>
      <c r="D186" s="2072"/>
      <c r="E186" s="2072"/>
      <c r="F186" s="2072"/>
      <c r="G186" s="2072"/>
      <c r="H186" s="2072"/>
    </row>
    <row r="187" spans="1:8" x14ac:dyDescent="0.2">
      <c r="A187" s="2072"/>
      <c r="B187" s="2072"/>
      <c r="C187" s="2072"/>
      <c r="D187" s="2072"/>
      <c r="E187" s="2072"/>
      <c r="F187" s="2072"/>
      <c r="G187" s="2072"/>
      <c r="H187" s="2072"/>
    </row>
    <row r="188" spans="1:8" x14ac:dyDescent="0.2">
      <c r="A188" s="2072"/>
      <c r="B188" s="2072"/>
      <c r="C188" s="2072"/>
      <c r="D188" s="2072"/>
      <c r="E188" s="2072"/>
      <c r="F188" s="2072"/>
      <c r="G188" s="2072"/>
      <c r="H188" s="2072"/>
    </row>
    <row r="189" spans="1:8" x14ac:dyDescent="0.2">
      <c r="A189" s="2072"/>
      <c r="B189" s="2072"/>
      <c r="C189" s="2072"/>
      <c r="D189" s="2072"/>
      <c r="E189" s="2072"/>
      <c r="F189" s="2072"/>
      <c r="G189" s="2072"/>
      <c r="H189" s="2072"/>
    </row>
    <row r="190" spans="1:8" x14ac:dyDescent="0.2">
      <c r="A190" s="2072"/>
      <c r="B190" s="2072"/>
      <c r="C190" s="2072"/>
      <c r="D190" s="2072"/>
      <c r="E190" s="2072"/>
      <c r="F190" s="2072"/>
      <c r="G190" s="2072"/>
      <c r="H190" s="2072"/>
    </row>
    <row r="191" spans="1:8" x14ac:dyDescent="0.2">
      <c r="A191" s="2072"/>
      <c r="B191" s="2072"/>
      <c r="C191" s="2072"/>
      <c r="D191" s="2072"/>
      <c r="E191" s="2072"/>
      <c r="F191" s="2072"/>
      <c r="G191" s="2072"/>
      <c r="H191" s="2072"/>
    </row>
    <row r="192" spans="1:8" x14ac:dyDescent="0.2">
      <c r="A192" s="2072"/>
      <c r="B192" s="2072"/>
      <c r="C192" s="2072"/>
      <c r="D192" s="2072"/>
      <c r="E192" s="2072"/>
      <c r="F192" s="2072"/>
      <c r="G192" s="2072"/>
      <c r="H192" s="2072"/>
    </row>
    <row r="193" spans="1:8" x14ac:dyDescent="0.2">
      <c r="A193" s="2072"/>
      <c r="B193" s="2072"/>
      <c r="C193" s="2072"/>
      <c r="D193" s="2072"/>
      <c r="E193" s="2072"/>
      <c r="F193" s="2072"/>
      <c r="G193" s="2072"/>
      <c r="H193" s="2072"/>
    </row>
    <row r="194" spans="1:8" x14ac:dyDescent="0.2">
      <c r="A194" s="2072"/>
      <c r="B194" s="2072"/>
      <c r="C194" s="2072"/>
      <c r="D194" s="2072"/>
      <c r="E194" s="2072"/>
      <c r="F194" s="2072"/>
      <c r="G194" s="2072"/>
      <c r="H194" s="2072"/>
    </row>
    <row r="195" spans="1:8" x14ac:dyDescent="0.2">
      <c r="A195" s="2072"/>
      <c r="B195" s="2072"/>
      <c r="C195" s="2072"/>
      <c r="D195" s="2072"/>
      <c r="E195" s="2072"/>
      <c r="F195" s="2072"/>
      <c r="G195" s="2072"/>
      <c r="H195" s="2072"/>
    </row>
    <row r="196" spans="1:8" x14ac:dyDescent="0.2">
      <c r="A196" s="2072"/>
      <c r="B196" s="2072"/>
      <c r="C196" s="2072"/>
      <c r="D196" s="2072"/>
      <c r="E196" s="2072"/>
      <c r="F196" s="2072"/>
      <c r="G196" s="2072"/>
      <c r="H196" s="2072"/>
    </row>
    <row r="197" spans="1:8" x14ac:dyDescent="0.2">
      <c r="A197" s="2072"/>
      <c r="B197" s="2072"/>
      <c r="C197" s="2072"/>
      <c r="D197" s="2072"/>
      <c r="E197" s="2072"/>
      <c r="F197" s="2072"/>
      <c r="G197" s="2072"/>
      <c r="H197" s="2072"/>
    </row>
    <row r="198" spans="1:8" x14ac:dyDescent="0.2">
      <c r="A198" s="2072"/>
      <c r="B198" s="2072"/>
      <c r="C198" s="2072"/>
      <c r="D198" s="2072"/>
      <c r="E198" s="2072"/>
      <c r="F198" s="2072"/>
      <c r="G198" s="2072"/>
      <c r="H198" s="2072"/>
    </row>
    <row r="199" spans="1:8" x14ac:dyDescent="0.2">
      <c r="A199" s="2072"/>
      <c r="B199" s="2072"/>
      <c r="C199" s="2072"/>
      <c r="D199" s="2072"/>
      <c r="E199" s="2072"/>
      <c r="F199" s="2072"/>
      <c r="G199" s="2072"/>
      <c r="H199" s="2072"/>
    </row>
    <row r="200" spans="1:8" x14ac:dyDescent="0.2">
      <c r="A200" s="2072"/>
      <c r="B200" s="2072"/>
      <c r="C200" s="2072"/>
      <c r="D200" s="2072"/>
      <c r="E200" s="2072"/>
      <c r="F200" s="2072"/>
      <c r="G200" s="2072"/>
      <c r="H200" s="2072"/>
    </row>
    <row r="201" spans="1:8" x14ac:dyDescent="0.2">
      <c r="A201" s="2072"/>
      <c r="B201" s="2072"/>
      <c r="C201" s="2072"/>
      <c r="D201" s="2072"/>
      <c r="E201" s="2072"/>
      <c r="F201" s="2072"/>
      <c r="G201" s="2072"/>
      <c r="H201" s="2072"/>
    </row>
    <row r="202" spans="1:8" x14ac:dyDescent="0.2">
      <c r="A202" s="2072"/>
      <c r="B202" s="2072"/>
      <c r="C202" s="2072"/>
      <c r="D202" s="2072"/>
      <c r="E202" s="2072"/>
      <c r="F202" s="2072"/>
      <c r="G202" s="2072"/>
      <c r="H202" s="2072"/>
    </row>
    <row r="203" spans="1:8" x14ac:dyDescent="0.2">
      <c r="A203" s="2072"/>
      <c r="B203" s="2072"/>
      <c r="C203" s="2072"/>
      <c r="D203" s="2072"/>
      <c r="E203" s="2072"/>
      <c r="F203" s="2072"/>
      <c r="G203" s="2072"/>
      <c r="H203" s="2072"/>
    </row>
    <row r="204" spans="1:8" x14ac:dyDescent="0.2">
      <c r="A204" s="2072"/>
      <c r="B204" s="2072"/>
      <c r="C204" s="2072"/>
      <c r="D204" s="2072"/>
      <c r="E204" s="2072"/>
      <c r="F204" s="2072"/>
      <c r="G204" s="2072"/>
      <c r="H204" s="2072"/>
    </row>
    <row r="205" spans="1:8" x14ac:dyDescent="0.2">
      <c r="A205" s="2072"/>
      <c r="B205" s="2072"/>
      <c r="C205" s="2072"/>
      <c r="D205" s="2072"/>
      <c r="E205" s="2072"/>
      <c r="F205" s="2072"/>
      <c r="G205" s="2072"/>
      <c r="H205" s="2072"/>
    </row>
    <row r="206" spans="1:8" ht="15.75" x14ac:dyDescent="0.2">
      <c r="A206" s="2074" t="s">
        <v>867</v>
      </c>
      <c r="B206" s="2072"/>
      <c r="C206" s="2072"/>
      <c r="D206" s="2072"/>
      <c r="E206" s="2072"/>
      <c r="F206" s="2072"/>
      <c r="G206" s="2072"/>
      <c r="H206" s="2072"/>
    </row>
    <row r="207" spans="1:8" x14ac:dyDescent="0.2">
      <c r="A207" s="2072"/>
      <c r="B207" s="2072"/>
      <c r="C207" s="2072"/>
      <c r="D207" s="2072"/>
      <c r="E207" s="2072"/>
      <c r="F207" s="2072"/>
      <c r="G207" s="2072"/>
      <c r="H207" s="2072"/>
    </row>
    <row r="208" spans="1:8" x14ac:dyDescent="0.2">
      <c r="A208" s="2073" t="s">
        <v>1028</v>
      </c>
      <c r="B208" s="2072"/>
      <c r="C208" s="2072"/>
      <c r="D208" s="2072"/>
      <c r="E208" s="2072"/>
      <c r="F208" s="2072"/>
      <c r="G208" s="2072"/>
      <c r="H208" s="2072"/>
    </row>
    <row r="209" spans="1:8" x14ac:dyDescent="0.2">
      <c r="A209" s="2073" t="s">
        <v>1029</v>
      </c>
      <c r="B209" s="2072"/>
      <c r="C209" s="2072"/>
      <c r="D209" s="2072"/>
      <c r="E209" s="2072"/>
      <c r="F209" s="2072"/>
      <c r="G209" s="2072"/>
      <c r="H209" s="2072"/>
    </row>
    <row r="210" spans="1:8" x14ac:dyDescent="0.2">
      <c r="A210" s="2073" t="s">
        <v>1030</v>
      </c>
      <c r="B210" s="2072"/>
      <c r="C210" s="2072"/>
      <c r="D210" s="2072"/>
      <c r="E210" s="2072"/>
      <c r="F210" s="2072"/>
      <c r="G210" s="2072"/>
      <c r="H210" s="2072"/>
    </row>
    <row r="211" spans="1:8" x14ac:dyDescent="0.2">
      <c r="A211" s="2073" t="s">
        <v>1031</v>
      </c>
      <c r="B211" s="2072"/>
      <c r="C211" s="2072"/>
      <c r="D211" s="2072"/>
      <c r="E211" s="2072"/>
      <c r="F211" s="2072"/>
      <c r="G211" s="2072"/>
      <c r="H211" s="2072"/>
    </row>
    <row r="212" spans="1:8" x14ac:dyDescent="0.2">
      <c r="A212" s="2073" t="s">
        <v>1032</v>
      </c>
      <c r="B212" s="2072"/>
      <c r="C212" s="2072"/>
      <c r="D212" s="2072"/>
      <c r="E212" s="2072"/>
      <c r="F212" s="2072"/>
      <c r="G212" s="2072"/>
      <c r="H212" s="2072"/>
    </row>
    <row r="213" spans="1:8" x14ac:dyDescent="0.2">
      <c r="A213" s="2072"/>
      <c r="B213" s="2072"/>
      <c r="C213" s="2072"/>
      <c r="D213" s="2072"/>
      <c r="E213" s="2072"/>
      <c r="F213" s="2072"/>
      <c r="G213" s="2072"/>
      <c r="H213" s="2072"/>
    </row>
    <row r="214" spans="1:8" x14ac:dyDescent="0.2">
      <c r="A214" s="2073" t="s">
        <v>1025</v>
      </c>
      <c r="B214" s="2072"/>
      <c r="C214" s="2072"/>
      <c r="D214" s="2072"/>
      <c r="E214" s="2072"/>
      <c r="F214" s="2072"/>
      <c r="G214" s="2072"/>
      <c r="H214" s="2072"/>
    </row>
    <row r="215" spans="1:8" x14ac:dyDescent="0.2">
      <c r="A215" s="2073" t="s">
        <v>1026</v>
      </c>
      <c r="B215" s="2072"/>
      <c r="C215" s="2072"/>
      <c r="D215" s="2072"/>
      <c r="E215" s="2072"/>
      <c r="F215" s="2072"/>
      <c r="G215" s="2072"/>
      <c r="H215" s="2072"/>
    </row>
    <row r="216" spans="1:8" x14ac:dyDescent="0.2">
      <c r="A216" s="2073" t="s">
        <v>1027</v>
      </c>
      <c r="B216" s="2072"/>
      <c r="C216" s="2072"/>
      <c r="D216" s="2072"/>
      <c r="E216" s="2072"/>
      <c r="F216" s="2072"/>
      <c r="G216" s="2072"/>
      <c r="H216" s="2072"/>
    </row>
    <row r="217" spans="1:8" ht="15.75" x14ac:dyDescent="0.2">
      <c r="A217" s="2074" t="s">
        <v>868</v>
      </c>
      <c r="B217" s="2072"/>
      <c r="C217" s="2072"/>
      <c r="D217" s="2072"/>
      <c r="E217" s="2072"/>
      <c r="F217" s="2072"/>
      <c r="G217" s="2072"/>
      <c r="H217" s="2072"/>
    </row>
    <row r="218" spans="1:8" x14ac:dyDescent="0.2">
      <c r="A218" s="2072"/>
      <c r="B218" s="2072"/>
      <c r="C218" s="2072"/>
      <c r="D218" s="2072"/>
      <c r="E218" s="2072"/>
      <c r="F218" s="2072"/>
      <c r="G218" s="2072"/>
      <c r="H218" s="2072"/>
    </row>
    <row r="219" spans="1:8" x14ac:dyDescent="0.2">
      <c r="A219" s="2073" t="s">
        <v>1023</v>
      </c>
      <c r="B219" s="2072"/>
      <c r="C219" s="2072"/>
      <c r="D219" s="2072"/>
      <c r="E219" s="2072"/>
      <c r="F219" s="2072"/>
      <c r="G219" s="2072"/>
      <c r="H219" s="2072"/>
    </row>
    <row r="220" spans="1:8" x14ac:dyDescent="0.2">
      <c r="A220" s="2073" t="s">
        <v>1024</v>
      </c>
      <c r="B220" s="2072"/>
      <c r="C220" s="2072"/>
      <c r="D220" s="2072"/>
      <c r="E220" s="2072"/>
      <c r="F220" s="2072"/>
      <c r="G220" s="2072"/>
      <c r="H220" s="2072"/>
    </row>
    <row r="221" spans="1:8" x14ac:dyDescent="0.2">
      <c r="A221" s="2072"/>
      <c r="B221" s="2072"/>
      <c r="C221" s="2072"/>
      <c r="D221" s="2072"/>
      <c r="E221" s="2072"/>
      <c r="F221" s="2072"/>
      <c r="G221" s="2072"/>
      <c r="H221" s="2072"/>
    </row>
    <row r="222" spans="1:8" x14ac:dyDescent="0.2">
      <c r="A222" s="2073" t="s">
        <v>1016</v>
      </c>
      <c r="B222" s="2072"/>
      <c r="C222" s="2072"/>
      <c r="D222" s="2072"/>
      <c r="E222" s="2072"/>
      <c r="F222" s="2072"/>
      <c r="G222" s="2072"/>
      <c r="H222" s="2072"/>
    </row>
    <row r="223" spans="1:8" x14ac:dyDescent="0.2">
      <c r="A223" s="2073" t="s">
        <v>1017</v>
      </c>
      <c r="B223" s="2072"/>
      <c r="C223" s="2072"/>
      <c r="D223" s="2072"/>
      <c r="E223" s="2072"/>
      <c r="F223" s="2072"/>
      <c r="G223" s="2072"/>
      <c r="H223" s="2072"/>
    </row>
    <row r="224" spans="1:8" x14ac:dyDescent="0.2">
      <c r="A224" s="2073" t="s">
        <v>1018</v>
      </c>
      <c r="B224" s="2072"/>
      <c r="C224" s="2072"/>
      <c r="D224" s="2072"/>
      <c r="E224" s="2072"/>
      <c r="F224" s="2072"/>
      <c r="G224" s="2072"/>
      <c r="H224" s="2072"/>
    </row>
    <row r="225" spans="1:8" x14ac:dyDescent="0.2">
      <c r="A225" s="2073" t="s">
        <v>1019</v>
      </c>
      <c r="B225" s="2072"/>
      <c r="C225" s="2072"/>
      <c r="D225" s="2072"/>
      <c r="E225" s="2072"/>
      <c r="F225" s="2072"/>
      <c r="G225" s="2072"/>
      <c r="H225" s="2072"/>
    </row>
    <row r="226" spans="1:8" x14ac:dyDescent="0.2">
      <c r="A226" s="2073" t="s">
        <v>1020</v>
      </c>
      <c r="B226" s="2072"/>
      <c r="C226" s="2072"/>
      <c r="D226" s="2072"/>
      <c r="E226" s="2072"/>
      <c r="F226" s="2072"/>
      <c r="G226" s="2072"/>
      <c r="H226" s="2072"/>
    </row>
    <row r="227" spans="1:8" x14ac:dyDescent="0.2">
      <c r="A227" s="2073" t="s">
        <v>1021</v>
      </c>
      <c r="B227" s="2072"/>
      <c r="C227" s="2072"/>
      <c r="D227" s="2072"/>
      <c r="E227" s="2072"/>
      <c r="F227" s="2072"/>
      <c r="G227" s="2072"/>
      <c r="H227" s="2072"/>
    </row>
    <row r="228" spans="1:8" x14ac:dyDescent="0.2">
      <c r="A228" s="2073" t="s">
        <v>1022</v>
      </c>
      <c r="B228" s="2072"/>
      <c r="C228" s="2072"/>
      <c r="D228" s="2072"/>
      <c r="E228" s="2072"/>
      <c r="F228" s="2072"/>
      <c r="G228" s="2072"/>
      <c r="H228" s="2072"/>
    </row>
    <row r="229" spans="1:8" x14ac:dyDescent="0.2">
      <c r="A229" s="2072"/>
      <c r="B229" s="2072"/>
      <c r="C229" s="2072"/>
      <c r="D229" s="2072"/>
      <c r="E229" s="2072"/>
      <c r="F229" s="2072"/>
      <c r="G229" s="2072"/>
      <c r="H229" s="2072"/>
    </row>
    <row r="230" spans="1:8" x14ac:dyDescent="0.2">
      <c r="A230" s="2073" t="s">
        <v>1013</v>
      </c>
      <c r="B230" s="2072"/>
      <c r="C230" s="2072"/>
      <c r="D230" s="2072"/>
      <c r="E230" s="2072"/>
      <c r="F230" s="2072"/>
      <c r="G230" s="2072"/>
      <c r="H230" s="2072"/>
    </row>
    <row r="231" spans="1:8" x14ac:dyDescent="0.2">
      <c r="A231" s="2073" t="s">
        <v>1014</v>
      </c>
      <c r="B231" s="2072"/>
      <c r="C231" s="2072"/>
      <c r="D231" s="2072"/>
      <c r="E231" s="2072"/>
      <c r="F231" s="2072"/>
      <c r="G231" s="2072"/>
      <c r="H231" s="2072"/>
    </row>
    <row r="232" spans="1:8" x14ac:dyDescent="0.2">
      <c r="A232" s="2073" t="s">
        <v>1015</v>
      </c>
      <c r="B232" s="2072"/>
      <c r="C232" s="2072"/>
      <c r="D232" s="2072"/>
      <c r="E232" s="2072"/>
      <c r="F232" s="2072"/>
      <c r="G232" s="2072"/>
      <c r="H232" s="2072"/>
    </row>
    <row r="233" spans="1:8" x14ac:dyDescent="0.2">
      <c r="A233" s="2072"/>
      <c r="B233" s="2072"/>
      <c r="C233" s="2072"/>
      <c r="D233" s="2072"/>
      <c r="E233" s="2072"/>
      <c r="F233" s="2072"/>
      <c r="G233" s="2072"/>
      <c r="H233" s="2072"/>
    </row>
    <row r="234" spans="1:8" x14ac:dyDescent="0.2">
      <c r="A234" s="2073" t="s">
        <v>1008</v>
      </c>
      <c r="B234" s="2072"/>
      <c r="C234" s="2072"/>
      <c r="D234" s="2072"/>
      <c r="E234" s="2072"/>
      <c r="F234" s="2072"/>
      <c r="G234" s="2072"/>
      <c r="H234" s="2072"/>
    </row>
    <row r="235" spans="1:8" x14ac:dyDescent="0.2">
      <c r="A235" s="2073" t="s">
        <v>1009</v>
      </c>
      <c r="B235" s="2072"/>
      <c r="C235" s="2072"/>
      <c r="D235" s="2072"/>
      <c r="E235" s="2072"/>
      <c r="F235" s="2072"/>
      <c r="G235" s="2072"/>
      <c r="H235" s="2072"/>
    </row>
    <row r="236" spans="1:8" x14ac:dyDescent="0.2">
      <c r="A236" s="2073" t="s">
        <v>1010</v>
      </c>
      <c r="B236" s="2072"/>
      <c r="C236" s="2072"/>
      <c r="D236" s="2072"/>
      <c r="E236" s="2072"/>
      <c r="F236" s="2072"/>
      <c r="G236" s="2072"/>
      <c r="H236" s="2072"/>
    </row>
    <row r="237" spans="1:8" x14ac:dyDescent="0.2">
      <c r="A237" s="2073" t="s">
        <v>1011</v>
      </c>
      <c r="B237" s="2072"/>
      <c r="C237" s="2072"/>
      <c r="D237" s="2072"/>
      <c r="E237" s="2072"/>
      <c r="F237" s="2072"/>
      <c r="G237" s="2072"/>
      <c r="H237" s="2072"/>
    </row>
    <row r="238" spans="1:8" x14ac:dyDescent="0.2">
      <c r="A238" s="2073" t="s">
        <v>1012</v>
      </c>
      <c r="B238" s="2072"/>
      <c r="C238" s="2072"/>
      <c r="D238" s="2072"/>
      <c r="E238" s="2072"/>
      <c r="F238" s="2072"/>
      <c r="G238" s="2072"/>
      <c r="H238" s="2072"/>
    </row>
    <row r="239" spans="1:8" x14ac:dyDescent="0.2">
      <c r="A239" s="2072"/>
      <c r="B239" s="2072"/>
      <c r="C239" s="2072"/>
      <c r="D239" s="2072"/>
      <c r="E239" s="2072"/>
      <c r="F239" s="2072"/>
      <c r="G239" s="2072"/>
      <c r="H239" s="2072"/>
    </row>
    <row r="240" spans="1:8" x14ac:dyDescent="0.2">
      <c r="A240" s="2073" t="s">
        <v>1002</v>
      </c>
      <c r="B240" s="2072"/>
      <c r="C240" s="2072"/>
      <c r="D240" s="2072"/>
      <c r="E240" s="2072"/>
      <c r="F240" s="2072"/>
      <c r="G240" s="2072"/>
      <c r="H240" s="2072"/>
    </row>
    <row r="241" spans="1:8" x14ac:dyDescent="0.2">
      <c r="A241" s="2073" t="s">
        <v>1003</v>
      </c>
      <c r="B241" s="2072"/>
      <c r="C241" s="2072"/>
      <c r="D241" s="2072"/>
      <c r="E241" s="2072"/>
      <c r="F241" s="2072"/>
      <c r="G241" s="2072"/>
      <c r="H241" s="2072"/>
    </row>
    <row r="242" spans="1:8" x14ac:dyDescent="0.2">
      <c r="A242" s="2073" t="s">
        <v>1004</v>
      </c>
      <c r="B242" s="2072"/>
      <c r="C242" s="2072"/>
      <c r="D242" s="2072"/>
      <c r="E242" s="2072"/>
      <c r="F242" s="2072"/>
      <c r="G242" s="2072"/>
      <c r="H242" s="2072"/>
    </row>
    <row r="243" spans="1:8" x14ac:dyDescent="0.2">
      <c r="A243" s="2073" t="s">
        <v>1005</v>
      </c>
      <c r="B243" s="2072"/>
      <c r="C243" s="2072"/>
      <c r="D243" s="2072"/>
      <c r="E243" s="2072"/>
      <c r="F243" s="2072"/>
      <c r="G243" s="2072"/>
      <c r="H243" s="2072"/>
    </row>
    <row r="244" spans="1:8" x14ac:dyDescent="0.2">
      <c r="A244" s="2073" t="s">
        <v>1006</v>
      </c>
      <c r="B244" s="2072"/>
      <c r="C244" s="2072"/>
      <c r="D244" s="2072"/>
      <c r="E244" s="2072"/>
      <c r="F244" s="2072"/>
      <c r="G244" s="2072"/>
      <c r="H244" s="2072"/>
    </row>
    <row r="245" spans="1:8" x14ac:dyDescent="0.2">
      <c r="A245" s="2073" t="s">
        <v>1007</v>
      </c>
      <c r="B245" s="2072"/>
      <c r="C245" s="2072"/>
      <c r="D245" s="2072"/>
      <c r="E245" s="2072"/>
      <c r="F245" s="2072"/>
      <c r="G245" s="2072"/>
      <c r="H245" s="2072"/>
    </row>
    <row r="246" spans="1:8" x14ac:dyDescent="0.2">
      <c r="A246" s="2072"/>
      <c r="B246" s="2072"/>
      <c r="C246" s="2072"/>
      <c r="D246" s="2072"/>
      <c r="E246" s="2072"/>
      <c r="F246" s="2072"/>
      <c r="G246" s="2072"/>
      <c r="H246" s="2072"/>
    </row>
    <row r="247" spans="1:8" x14ac:dyDescent="0.2">
      <c r="A247" s="2073" t="s">
        <v>992</v>
      </c>
      <c r="B247" s="2072"/>
      <c r="C247" s="2072"/>
      <c r="D247" s="2072"/>
      <c r="E247" s="2072"/>
      <c r="F247" s="2072"/>
      <c r="G247" s="2072"/>
      <c r="H247" s="2072"/>
    </row>
    <row r="248" spans="1:8" x14ac:dyDescent="0.2">
      <c r="A248" s="2073" t="s">
        <v>993</v>
      </c>
      <c r="B248" s="2072"/>
      <c r="C248" s="2072"/>
      <c r="D248" s="2072"/>
      <c r="E248" s="2072"/>
      <c r="F248" s="2072"/>
      <c r="G248" s="2072"/>
      <c r="H248" s="2072"/>
    </row>
    <row r="249" spans="1:8" x14ac:dyDescent="0.2">
      <c r="A249" s="2073" t="s">
        <v>994</v>
      </c>
      <c r="B249" s="2072"/>
      <c r="C249" s="2072"/>
      <c r="D249" s="2072"/>
      <c r="E249" s="2072"/>
      <c r="F249" s="2072"/>
      <c r="G249" s="2072"/>
      <c r="H249" s="2072"/>
    </row>
    <row r="250" spans="1:8" x14ac:dyDescent="0.2">
      <c r="A250" s="2073" t="s">
        <v>995</v>
      </c>
      <c r="B250" s="2072"/>
      <c r="C250" s="2072"/>
      <c r="D250" s="2072"/>
      <c r="E250" s="2072"/>
      <c r="F250" s="2072"/>
      <c r="G250" s="2072"/>
      <c r="H250" s="2072"/>
    </row>
    <row r="251" spans="1:8" x14ac:dyDescent="0.2">
      <c r="A251" s="2073" t="s">
        <v>996</v>
      </c>
      <c r="B251" s="2072"/>
      <c r="C251" s="2072"/>
      <c r="D251" s="2072"/>
      <c r="E251" s="2072"/>
      <c r="F251" s="2072"/>
      <c r="G251" s="2072"/>
      <c r="H251" s="2072"/>
    </row>
    <row r="252" spans="1:8" x14ac:dyDescent="0.2">
      <c r="A252" s="2073" t="s">
        <v>997</v>
      </c>
      <c r="B252" s="2072"/>
      <c r="C252" s="2072"/>
      <c r="D252" s="2072"/>
      <c r="E252" s="2072"/>
      <c r="F252" s="2072"/>
      <c r="G252" s="2072"/>
      <c r="H252" s="2072"/>
    </row>
    <row r="253" spans="1:8" x14ac:dyDescent="0.2">
      <c r="A253" s="2073" t="s">
        <v>998</v>
      </c>
      <c r="B253" s="2072"/>
      <c r="C253" s="2072"/>
      <c r="D253" s="2072"/>
      <c r="E253" s="2072"/>
      <c r="F253" s="2072"/>
      <c r="G253" s="2072"/>
      <c r="H253" s="2072"/>
    </row>
    <row r="254" spans="1:8" x14ac:dyDescent="0.2">
      <c r="A254" s="2073" t="s">
        <v>999</v>
      </c>
      <c r="B254" s="2072"/>
      <c r="C254" s="2072"/>
      <c r="D254" s="2072"/>
      <c r="E254" s="2072"/>
      <c r="F254" s="2072"/>
      <c r="G254" s="2072"/>
      <c r="H254" s="2072"/>
    </row>
    <row r="255" spans="1:8" x14ac:dyDescent="0.2">
      <c r="A255" s="2073" t="s">
        <v>1000</v>
      </c>
      <c r="B255" s="2072"/>
      <c r="C255" s="2072"/>
      <c r="D255" s="2072"/>
      <c r="E255" s="2072"/>
      <c r="F255" s="2072"/>
      <c r="G255" s="2072"/>
      <c r="H255" s="2072"/>
    </row>
    <row r="256" spans="1:8" x14ac:dyDescent="0.2">
      <c r="A256" s="2073" t="s">
        <v>1001</v>
      </c>
      <c r="B256" s="2072"/>
      <c r="C256" s="2072"/>
      <c r="D256" s="2072"/>
      <c r="E256" s="2072"/>
      <c r="F256" s="2072"/>
      <c r="G256" s="2072"/>
      <c r="H256" s="2072"/>
    </row>
    <row r="257" spans="1:8" x14ac:dyDescent="0.2">
      <c r="A257" s="2072"/>
      <c r="B257" s="2072"/>
      <c r="C257" s="2072"/>
      <c r="D257" s="2072"/>
      <c r="E257" s="2072"/>
      <c r="F257" s="2072"/>
      <c r="G257" s="2072"/>
      <c r="H257" s="2072"/>
    </row>
    <row r="258" spans="1:8" x14ac:dyDescent="0.2">
      <c r="A258" s="2073" t="s">
        <v>990</v>
      </c>
      <c r="B258" s="2072"/>
      <c r="C258" s="2072"/>
      <c r="D258" s="2072"/>
      <c r="E258" s="2072"/>
      <c r="F258" s="2072"/>
      <c r="G258" s="2072"/>
      <c r="H258" s="2072"/>
    </row>
    <row r="259" spans="1:8" x14ac:dyDescent="0.2">
      <c r="A259" s="2073" t="s">
        <v>991</v>
      </c>
      <c r="B259" s="2072"/>
      <c r="C259" s="2072"/>
      <c r="D259" s="2072"/>
      <c r="E259" s="2072"/>
      <c r="F259" s="2072"/>
      <c r="G259" s="2072"/>
      <c r="H259" s="2072"/>
    </row>
    <row r="260" spans="1:8" x14ac:dyDescent="0.2">
      <c r="A260" s="2072"/>
      <c r="B260" s="2072"/>
      <c r="C260" s="2072"/>
      <c r="D260" s="2072"/>
      <c r="E260" s="2072"/>
      <c r="F260" s="2072"/>
      <c r="G260" s="2072"/>
      <c r="H260" s="2072"/>
    </row>
    <row r="261" spans="1:8" x14ac:dyDescent="0.2">
      <c r="A261" s="2073" t="s">
        <v>974</v>
      </c>
      <c r="B261" s="2072"/>
      <c r="C261" s="2072"/>
      <c r="D261" s="2072"/>
      <c r="E261" s="2072"/>
      <c r="F261" s="2072"/>
      <c r="G261" s="2072"/>
      <c r="H261" s="2072"/>
    </row>
    <row r="262" spans="1:8" x14ac:dyDescent="0.2">
      <c r="A262" s="2073" t="s">
        <v>975</v>
      </c>
      <c r="B262" s="2072"/>
      <c r="C262" s="2072"/>
      <c r="D262" s="2072"/>
      <c r="E262" s="2072"/>
      <c r="F262" s="2072"/>
      <c r="G262" s="2072"/>
      <c r="H262" s="2072"/>
    </row>
    <row r="263" spans="1:8" x14ac:dyDescent="0.2">
      <c r="A263" s="2073" t="s">
        <v>976</v>
      </c>
      <c r="B263" s="2072"/>
      <c r="C263" s="2072"/>
      <c r="D263" s="2072"/>
      <c r="E263" s="2072"/>
      <c r="F263" s="2072"/>
      <c r="G263" s="2072"/>
      <c r="H263" s="2072"/>
    </row>
    <row r="264" spans="1:8" x14ac:dyDescent="0.2">
      <c r="A264" s="2073" t="s">
        <v>977</v>
      </c>
      <c r="B264" s="2072"/>
      <c r="C264" s="2072"/>
      <c r="D264" s="2072"/>
      <c r="E264" s="2072"/>
      <c r="F264" s="2072"/>
      <c r="G264" s="2072"/>
      <c r="H264" s="2072"/>
    </row>
    <row r="265" spans="1:8" x14ac:dyDescent="0.2">
      <c r="A265" s="2073" t="s">
        <v>978</v>
      </c>
      <c r="B265" s="2072"/>
      <c r="C265" s="2072"/>
      <c r="D265" s="2072"/>
      <c r="E265" s="2072"/>
      <c r="F265" s="2072"/>
      <c r="G265" s="2072"/>
      <c r="H265" s="2072"/>
    </row>
    <row r="266" spans="1:8" x14ac:dyDescent="0.2">
      <c r="A266" s="2073" t="s">
        <v>979</v>
      </c>
      <c r="B266" s="2072"/>
      <c r="C266" s="2072"/>
      <c r="D266" s="2072"/>
      <c r="E266" s="2072"/>
      <c r="F266" s="2072"/>
      <c r="G266" s="2072"/>
      <c r="H266" s="2072"/>
    </row>
    <row r="267" spans="1:8" x14ac:dyDescent="0.2">
      <c r="A267" s="2073" t="s">
        <v>980</v>
      </c>
      <c r="B267" s="2072"/>
      <c r="C267" s="2072"/>
      <c r="D267" s="2072"/>
      <c r="E267" s="2072"/>
      <c r="F267" s="2072"/>
      <c r="G267" s="2072"/>
      <c r="H267" s="2072"/>
    </row>
    <row r="268" spans="1:8" x14ac:dyDescent="0.2">
      <c r="A268" s="2073" t="s">
        <v>981</v>
      </c>
      <c r="B268" s="2072"/>
      <c r="C268" s="2072"/>
      <c r="D268" s="2072"/>
      <c r="E268" s="2072"/>
      <c r="F268" s="2072"/>
      <c r="G268" s="2072"/>
      <c r="H268" s="2072"/>
    </row>
    <row r="269" spans="1:8" x14ac:dyDescent="0.2">
      <c r="A269" s="2073" t="s">
        <v>982</v>
      </c>
      <c r="B269" s="2072"/>
      <c r="C269" s="2072"/>
      <c r="D269" s="2072"/>
      <c r="E269" s="2072"/>
      <c r="F269" s="2072"/>
      <c r="G269" s="2072"/>
      <c r="H269" s="2072"/>
    </row>
    <row r="270" spans="1:8" x14ac:dyDescent="0.2">
      <c r="A270" s="2073" t="s">
        <v>983</v>
      </c>
      <c r="B270" s="2072"/>
      <c r="C270" s="2072"/>
      <c r="D270" s="2072"/>
      <c r="E270" s="2072"/>
      <c r="F270" s="2072"/>
      <c r="G270" s="2072"/>
      <c r="H270" s="2072"/>
    </row>
    <row r="271" spans="1:8" x14ac:dyDescent="0.2">
      <c r="A271" s="2073" t="s">
        <v>984</v>
      </c>
      <c r="B271" s="2072"/>
      <c r="C271" s="2072"/>
      <c r="D271" s="2072"/>
      <c r="E271" s="2072"/>
      <c r="F271" s="2072"/>
      <c r="G271" s="2072"/>
      <c r="H271" s="2072"/>
    </row>
    <row r="272" spans="1:8" x14ac:dyDescent="0.2">
      <c r="A272" s="2073" t="s">
        <v>985</v>
      </c>
      <c r="B272" s="2072"/>
      <c r="C272" s="2072"/>
      <c r="D272" s="2072"/>
      <c r="E272" s="2072"/>
      <c r="F272" s="2072"/>
      <c r="G272" s="2072"/>
      <c r="H272" s="2072"/>
    </row>
    <row r="273" spans="1:8" x14ac:dyDescent="0.2">
      <c r="A273" s="2073" t="s">
        <v>986</v>
      </c>
      <c r="B273" s="2072"/>
      <c r="C273" s="2072"/>
      <c r="D273" s="2072"/>
      <c r="E273" s="2072"/>
      <c r="F273" s="2072"/>
      <c r="G273" s="2072"/>
      <c r="H273" s="2072"/>
    </row>
    <row r="274" spans="1:8" x14ac:dyDescent="0.2">
      <c r="A274" s="2073" t="s">
        <v>987</v>
      </c>
      <c r="B274" s="2072"/>
      <c r="C274" s="2072"/>
      <c r="D274" s="2072"/>
      <c r="E274" s="2072"/>
      <c r="F274" s="2072"/>
      <c r="G274" s="2072"/>
      <c r="H274" s="2072"/>
    </row>
    <row r="275" spans="1:8" x14ac:dyDescent="0.2">
      <c r="A275" s="2073" t="s">
        <v>988</v>
      </c>
      <c r="B275" s="2072"/>
      <c r="C275" s="2072"/>
      <c r="D275" s="2072"/>
      <c r="E275" s="2072"/>
      <c r="F275" s="2072"/>
      <c r="G275" s="2072"/>
      <c r="H275" s="2072"/>
    </row>
    <row r="276" spans="1:8" x14ac:dyDescent="0.2">
      <c r="A276" s="2073" t="s">
        <v>989</v>
      </c>
      <c r="B276" s="2072"/>
      <c r="C276" s="2072"/>
      <c r="D276" s="2072"/>
      <c r="E276" s="2072"/>
      <c r="F276" s="2072"/>
      <c r="G276" s="2072"/>
      <c r="H276" s="2072"/>
    </row>
    <row r="277" spans="1:8" x14ac:dyDescent="0.2">
      <c r="A277" s="2072"/>
      <c r="B277" s="2072"/>
      <c r="C277" s="2072"/>
      <c r="D277" s="2072"/>
      <c r="E277" s="2072"/>
      <c r="F277" s="2072"/>
      <c r="G277" s="2072"/>
      <c r="H277" s="2072"/>
    </row>
    <row r="278" spans="1:8" x14ac:dyDescent="0.2">
      <c r="A278" s="2073" t="s">
        <v>967</v>
      </c>
      <c r="B278" s="2072"/>
      <c r="C278" s="2072"/>
      <c r="D278" s="2072"/>
      <c r="E278" s="2072"/>
      <c r="F278" s="2072"/>
      <c r="G278" s="2072"/>
      <c r="H278" s="2072"/>
    </row>
    <row r="279" spans="1:8" x14ac:dyDescent="0.2">
      <c r="A279" s="2073" t="s">
        <v>968</v>
      </c>
      <c r="B279" s="2072"/>
      <c r="C279" s="2072"/>
      <c r="D279" s="2072"/>
      <c r="E279" s="2072"/>
      <c r="F279" s="2072"/>
      <c r="G279" s="2072"/>
      <c r="H279" s="2072"/>
    </row>
    <row r="280" spans="1:8" x14ac:dyDescent="0.2">
      <c r="A280" s="2073" t="s">
        <v>969</v>
      </c>
      <c r="B280" s="2072"/>
      <c r="C280" s="2072"/>
      <c r="D280" s="2072"/>
      <c r="E280" s="2072"/>
      <c r="F280" s="2072"/>
      <c r="G280" s="2072"/>
      <c r="H280" s="2072"/>
    </row>
    <row r="281" spans="1:8" x14ac:dyDescent="0.2">
      <c r="A281" s="2073" t="s">
        <v>970</v>
      </c>
      <c r="B281" s="2072"/>
      <c r="C281" s="2072"/>
      <c r="D281" s="2072"/>
      <c r="E281" s="2072"/>
      <c r="F281" s="2072"/>
      <c r="G281" s="2072"/>
      <c r="H281" s="2072"/>
    </row>
    <row r="282" spans="1:8" x14ac:dyDescent="0.2">
      <c r="A282" s="2073" t="s">
        <v>971</v>
      </c>
      <c r="B282" s="2072"/>
      <c r="C282" s="2072"/>
      <c r="D282" s="2072"/>
      <c r="E282" s="2072"/>
      <c r="F282" s="2072"/>
      <c r="G282" s="2072"/>
      <c r="H282" s="2072"/>
    </row>
    <row r="283" spans="1:8" x14ac:dyDescent="0.2">
      <c r="A283" s="2073" t="s">
        <v>972</v>
      </c>
      <c r="B283" s="2072"/>
      <c r="C283" s="2072"/>
      <c r="D283" s="2072"/>
      <c r="E283" s="2072"/>
      <c r="F283" s="2072"/>
      <c r="G283" s="2072"/>
      <c r="H283" s="2072"/>
    </row>
    <row r="284" spans="1:8" x14ac:dyDescent="0.2">
      <c r="A284" s="2073" t="s">
        <v>973</v>
      </c>
      <c r="B284" s="2072"/>
      <c r="C284" s="2072"/>
      <c r="D284" s="2072"/>
      <c r="E284" s="2072"/>
      <c r="F284" s="2072"/>
      <c r="G284" s="2072"/>
      <c r="H284" s="2072"/>
    </row>
    <row r="285" spans="1:8" x14ac:dyDescent="0.2">
      <c r="A285" s="2072"/>
      <c r="B285" s="2072"/>
      <c r="C285" s="2072"/>
      <c r="D285" s="2072"/>
      <c r="E285" s="2072"/>
      <c r="F285" s="2072"/>
      <c r="G285" s="2072"/>
      <c r="H285" s="2072"/>
    </row>
    <row r="286" spans="1:8" x14ac:dyDescent="0.2">
      <c r="A286" s="2073" t="s">
        <v>958</v>
      </c>
      <c r="B286" s="2072"/>
      <c r="C286" s="2072"/>
      <c r="D286" s="2072"/>
      <c r="E286" s="2072"/>
      <c r="F286" s="2072"/>
      <c r="G286" s="2072"/>
      <c r="H286" s="2072"/>
    </row>
    <row r="287" spans="1:8" x14ac:dyDescent="0.2">
      <c r="A287" s="2073" t="s">
        <v>959</v>
      </c>
      <c r="B287" s="2072"/>
      <c r="C287" s="2072"/>
      <c r="D287" s="2072"/>
      <c r="E287" s="2072"/>
      <c r="F287" s="2072"/>
      <c r="G287" s="2072"/>
      <c r="H287" s="2072"/>
    </row>
    <row r="288" spans="1:8" x14ac:dyDescent="0.2">
      <c r="A288" s="2073" t="s">
        <v>960</v>
      </c>
      <c r="B288" s="2072"/>
      <c r="C288" s="2072"/>
      <c r="D288" s="2072"/>
      <c r="E288" s="2072"/>
      <c r="F288" s="2072"/>
      <c r="G288" s="2072"/>
      <c r="H288" s="2072"/>
    </row>
    <row r="289" spans="1:8" x14ac:dyDescent="0.2">
      <c r="A289" s="2073" t="s">
        <v>961</v>
      </c>
      <c r="B289" s="2072"/>
      <c r="C289" s="2072"/>
      <c r="D289" s="2072"/>
      <c r="E289" s="2072"/>
      <c r="F289" s="2072"/>
      <c r="G289" s="2072"/>
      <c r="H289" s="2072"/>
    </row>
    <row r="290" spans="1:8" x14ac:dyDescent="0.2">
      <c r="A290" s="2073" t="s">
        <v>962</v>
      </c>
      <c r="B290" s="2072"/>
      <c r="C290" s="2072"/>
      <c r="D290" s="2072"/>
      <c r="E290" s="2072"/>
      <c r="F290" s="2072"/>
      <c r="G290" s="2072"/>
      <c r="H290" s="2072"/>
    </row>
    <row r="291" spans="1:8" x14ac:dyDescent="0.2">
      <c r="A291" s="2073" t="s">
        <v>963</v>
      </c>
      <c r="B291" s="2072"/>
      <c r="C291" s="2072"/>
      <c r="D291" s="2072"/>
      <c r="E291" s="2072"/>
      <c r="F291" s="2072"/>
      <c r="G291" s="2072"/>
      <c r="H291" s="2072"/>
    </row>
    <row r="292" spans="1:8" x14ac:dyDescent="0.2">
      <c r="A292" s="2073" t="s">
        <v>964</v>
      </c>
      <c r="B292" s="2072"/>
      <c r="C292" s="2072"/>
      <c r="D292" s="2072"/>
      <c r="E292" s="2072"/>
      <c r="F292" s="2072"/>
      <c r="G292" s="2072"/>
      <c r="H292" s="2072"/>
    </row>
    <row r="293" spans="1:8" x14ac:dyDescent="0.2">
      <c r="A293" s="2073" t="s">
        <v>965</v>
      </c>
      <c r="B293" s="2072"/>
      <c r="C293" s="2072"/>
      <c r="D293" s="2072"/>
      <c r="E293" s="2072"/>
      <c r="F293" s="2072"/>
      <c r="G293" s="2072"/>
      <c r="H293" s="2072"/>
    </row>
    <row r="294" spans="1:8" x14ac:dyDescent="0.2">
      <c r="A294" s="2073" t="s">
        <v>966</v>
      </c>
      <c r="B294" s="2072"/>
      <c r="C294" s="2072"/>
      <c r="D294" s="2072"/>
      <c r="E294" s="2072"/>
      <c r="F294" s="2072"/>
      <c r="G294" s="2072"/>
      <c r="H294" s="2072"/>
    </row>
    <row r="295" spans="1:8" x14ac:dyDescent="0.2">
      <c r="A295" s="2072"/>
      <c r="B295" s="2072"/>
      <c r="C295" s="2072"/>
      <c r="D295" s="2072"/>
      <c r="E295" s="2072"/>
      <c r="F295" s="2072"/>
      <c r="G295" s="2072"/>
      <c r="H295" s="2072"/>
    </row>
    <row r="296" spans="1:8" x14ac:dyDescent="0.2">
      <c r="A296" s="2073" t="s">
        <v>951</v>
      </c>
      <c r="B296" s="2072"/>
      <c r="C296" s="2072"/>
      <c r="D296" s="2072"/>
      <c r="E296" s="2072"/>
      <c r="F296" s="2072"/>
      <c r="G296" s="2072"/>
      <c r="H296" s="2072"/>
    </row>
    <row r="297" spans="1:8" x14ac:dyDescent="0.2">
      <c r="A297" s="2073" t="s">
        <v>952</v>
      </c>
      <c r="B297" s="2072"/>
      <c r="C297" s="2072"/>
      <c r="D297" s="2072"/>
      <c r="E297" s="2072"/>
      <c r="F297" s="2072"/>
      <c r="G297" s="2072"/>
      <c r="H297" s="2072"/>
    </row>
    <row r="298" spans="1:8" x14ac:dyDescent="0.2">
      <c r="A298" s="2073" t="s">
        <v>953</v>
      </c>
      <c r="B298" s="2072"/>
      <c r="C298" s="2072"/>
      <c r="D298" s="2072"/>
      <c r="E298" s="2072"/>
      <c r="F298" s="2072"/>
      <c r="G298" s="2072"/>
      <c r="H298" s="2072"/>
    </row>
    <row r="299" spans="1:8" x14ac:dyDescent="0.2">
      <c r="A299" s="2073" t="s">
        <v>954</v>
      </c>
      <c r="B299" s="2072"/>
      <c r="C299" s="2072"/>
      <c r="D299" s="2072"/>
      <c r="E299" s="2072"/>
      <c r="F299" s="2072"/>
      <c r="G299" s="2072"/>
      <c r="H299" s="2072"/>
    </row>
    <row r="300" spans="1:8" x14ac:dyDescent="0.2">
      <c r="A300" s="2073" t="s">
        <v>955</v>
      </c>
      <c r="B300" s="2072"/>
      <c r="C300" s="2072"/>
      <c r="D300" s="2072"/>
      <c r="E300" s="2072"/>
      <c r="F300" s="2072"/>
      <c r="G300" s="2072"/>
      <c r="H300" s="2072"/>
    </row>
    <row r="301" spans="1:8" x14ac:dyDescent="0.2">
      <c r="A301" s="2073" t="s">
        <v>956</v>
      </c>
      <c r="B301" s="2072"/>
      <c r="C301" s="2072"/>
      <c r="D301" s="2072"/>
      <c r="E301" s="2072"/>
      <c r="F301" s="2072"/>
      <c r="G301" s="2072"/>
      <c r="H301" s="2072"/>
    </row>
    <row r="302" spans="1:8" x14ac:dyDescent="0.2">
      <c r="A302" s="2073" t="s">
        <v>957</v>
      </c>
      <c r="B302" s="2072"/>
      <c r="C302" s="2072"/>
      <c r="D302" s="2072"/>
      <c r="E302" s="2072"/>
      <c r="F302" s="2072"/>
      <c r="G302" s="2072"/>
      <c r="H302" s="2072"/>
    </row>
    <row r="303" spans="1:8" x14ac:dyDescent="0.2">
      <c r="A303" s="2072"/>
      <c r="B303" s="2072"/>
      <c r="C303" s="2072"/>
      <c r="D303" s="2072"/>
      <c r="E303" s="2072"/>
      <c r="F303" s="2072"/>
      <c r="G303" s="2072"/>
      <c r="H303" s="2072"/>
    </row>
    <row r="304" spans="1:8" x14ac:dyDescent="0.2">
      <c r="A304" s="2073" t="s">
        <v>948</v>
      </c>
      <c r="B304" s="2072"/>
      <c r="C304" s="2072"/>
      <c r="D304" s="2072"/>
      <c r="E304" s="2072"/>
      <c r="F304" s="2072"/>
      <c r="G304" s="2072"/>
      <c r="H304" s="2072"/>
    </row>
    <row r="305" spans="1:8" x14ac:dyDescent="0.2">
      <c r="A305" s="2073" t="s">
        <v>949</v>
      </c>
      <c r="B305" s="2072"/>
      <c r="C305" s="2072"/>
      <c r="D305" s="2072"/>
      <c r="E305" s="2072"/>
      <c r="F305" s="2072"/>
      <c r="G305" s="2072"/>
      <c r="H305" s="2072"/>
    </row>
    <row r="306" spans="1:8" x14ac:dyDescent="0.2">
      <c r="A306" s="2073" t="s">
        <v>950</v>
      </c>
      <c r="B306" s="2072"/>
      <c r="C306" s="2072"/>
      <c r="D306" s="2072"/>
      <c r="E306" s="2072"/>
      <c r="F306" s="2072"/>
      <c r="G306" s="2072"/>
      <c r="H306" s="2072"/>
    </row>
    <row r="307" spans="1:8" x14ac:dyDescent="0.2">
      <c r="A307" s="2072"/>
      <c r="B307" s="2072"/>
      <c r="C307" s="2072"/>
      <c r="D307" s="2072"/>
      <c r="E307" s="2072"/>
      <c r="F307" s="2072"/>
      <c r="G307" s="2072"/>
      <c r="H307" s="2072"/>
    </row>
    <row r="308" spans="1:8" x14ac:dyDescent="0.2">
      <c r="A308" s="2073" t="s">
        <v>946</v>
      </c>
      <c r="B308" s="2072"/>
      <c r="C308" s="2072"/>
      <c r="D308" s="2072"/>
      <c r="E308" s="2072"/>
      <c r="F308" s="2072"/>
      <c r="G308" s="2072"/>
      <c r="H308" s="2072"/>
    </row>
    <row r="309" spans="1:8" x14ac:dyDescent="0.2">
      <c r="A309" s="2073" t="s">
        <v>947</v>
      </c>
      <c r="B309" s="2072"/>
      <c r="C309" s="2072"/>
      <c r="D309" s="2072"/>
      <c r="E309" s="2072"/>
      <c r="F309" s="2072"/>
      <c r="G309" s="2072"/>
      <c r="H309" s="2072"/>
    </row>
    <row r="310" spans="1:8" x14ac:dyDescent="0.2">
      <c r="A310" s="2072"/>
      <c r="B310" s="2072"/>
      <c r="C310" s="2072"/>
      <c r="D310" s="2072"/>
      <c r="E310" s="2072"/>
      <c r="F310" s="2072"/>
      <c r="G310" s="2072"/>
      <c r="H310" s="2072"/>
    </row>
    <row r="311" spans="1:8" x14ac:dyDescent="0.2">
      <c r="A311" s="2073" t="s">
        <v>933</v>
      </c>
      <c r="B311" s="2072"/>
      <c r="C311" s="2072"/>
      <c r="D311" s="2072"/>
      <c r="E311" s="2072"/>
      <c r="F311" s="2072"/>
      <c r="G311" s="2072"/>
      <c r="H311" s="2072"/>
    </row>
    <row r="312" spans="1:8" x14ac:dyDescent="0.2">
      <c r="A312" s="2073" t="s">
        <v>934</v>
      </c>
      <c r="B312" s="2072"/>
      <c r="C312" s="2072"/>
      <c r="D312" s="2072"/>
      <c r="E312" s="2072"/>
      <c r="F312" s="2072"/>
      <c r="G312" s="2072"/>
      <c r="H312" s="2072"/>
    </row>
    <row r="313" spans="1:8" x14ac:dyDescent="0.2">
      <c r="A313" s="2073" t="s">
        <v>935</v>
      </c>
      <c r="B313" s="2072"/>
      <c r="C313" s="2072"/>
      <c r="D313" s="2072"/>
      <c r="E313" s="2072"/>
      <c r="F313" s="2072"/>
      <c r="G313" s="2072"/>
      <c r="H313" s="2072"/>
    </row>
    <row r="314" spans="1:8" x14ac:dyDescent="0.2">
      <c r="A314" s="2073" t="s">
        <v>936</v>
      </c>
      <c r="B314" s="2072"/>
      <c r="C314" s="2072"/>
      <c r="D314" s="2072"/>
      <c r="E314" s="2072"/>
      <c r="F314" s="2072"/>
      <c r="G314" s="2072"/>
      <c r="H314" s="2072"/>
    </row>
    <row r="315" spans="1:8" x14ac:dyDescent="0.2">
      <c r="A315" s="2073" t="s">
        <v>937</v>
      </c>
      <c r="B315" s="2072"/>
      <c r="C315" s="2072"/>
      <c r="D315" s="2072"/>
      <c r="E315" s="2072"/>
      <c r="F315" s="2072"/>
      <c r="G315" s="2072"/>
      <c r="H315" s="2072"/>
    </row>
    <row r="316" spans="1:8" x14ac:dyDescent="0.2">
      <c r="A316" s="2073" t="s">
        <v>938</v>
      </c>
      <c r="B316" s="2072"/>
      <c r="C316" s="2072"/>
      <c r="D316" s="2072"/>
      <c r="E316" s="2072"/>
      <c r="F316" s="2072"/>
      <c r="G316" s="2072"/>
      <c r="H316" s="2072"/>
    </row>
    <row r="317" spans="1:8" x14ac:dyDescent="0.2">
      <c r="A317" s="2073" t="s">
        <v>939</v>
      </c>
      <c r="B317" s="2072"/>
      <c r="C317" s="2072"/>
      <c r="D317" s="2072"/>
      <c r="E317" s="2072"/>
      <c r="F317" s="2072"/>
      <c r="G317" s="2072"/>
      <c r="H317" s="2072"/>
    </row>
    <row r="318" spans="1:8" x14ac:dyDescent="0.2">
      <c r="A318" s="2073" t="s">
        <v>940</v>
      </c>
      <c r="B318" s="2072"/>
      <c r="C318" s="2072"/>
      <c r="D318" s="2072"/>
      <c r="E318" s="2072"/>
      <c r="F318" s="2072"/>
      <c r="G318" s="2072"/>
      <c r="H318" s="2072"/>
    </row>
    <row r="319" spans="1:8" x14ac:dyDescent="0.2">
      <c r="A319" s="2073" t="s">
        <v>941</v>
      </c>
      <c r="B319" s="2072"/>
      <c r="C319" s="2072"/>
      <c r="D319" s="2072"/>
      <c r="E319" s="2072"/>
      <c r="F319" s="2072"/>
      <c r="G319" s="2072"/>
      <c r="H319" s="2072"/>
    </row>
    <row r="320" spans="1:8" x14ac:dyDescent="0.2">
      <c r="A320" s="2073" t="s">
        <v>942</v>
      </c>
      <c r="B320" s="2072"/>
      <c r="C320" s="2072"/>
      <c r="D320" s="2072"/>
      <c r="E320" s="2072"/>
      <c r="F320" s="2072"/>
      <c r="G320" s="2072"/>
      <c r="H320" s="2072"/>
    </row>
    <row r="321" spans="1:8" x14ac:dyDescent="0.2">
      <c r="A321" s="2073" t="s">
        <v>943</v>
      </c>
      <c r="B321" s="2072"/>
      <c r="C321" s="2072"/>
      <c r="D321" s="2072"/>
      <c r="E321" s="2072"/>
      <c r="F321" s="2072"/>
      <c r="G321" s="2072"/>
      <c r="H321" s="2072"/>
    </row>
    <row r="322" spans="1:8" x14ac:dyDescent="0.2">
      <c r="A322" s="2073" t="s">
        <v>944</v>
      </c>
      <c r="B322" s="2072"/>
      <c r="C322" s="2072"/>
      <c r="D322" s="2072"/>
      <c r="E322" s="2072"/>
      <c r="F322" s="2072"/>
      <c r="G322" s="2072"/>
      <c r="H322" s="2072"/>
    </row>
    <row r="323" spans="1:8" x14ac:dyDescent="0.2">
      <c r="A323" s="2073" t="s">
        <v>945</v>
      </c>
      <c r="B323" s="2072"/>
      <c r="C323" s="2072"/>
      <c r="D323" s="2072"/>
      <c r="E323" s="2072"/>
      <c r="F323" s="2072"/>
      <c r="G323" s="2072"/>
      <c r="H323" s="2072"/>
    </row>
    <row r="324" spans="1:8" x14ac:dyDescent="0.2">
      <c r="A324" s="2072"/>
      <c r="B324" s="2072"/>
      <c r="C324" s="2072"/>
      <c r="D324" s="2072"/>
      <c r="E324" s="2072"/>
      <c r="F324" s="2072"/>
      <c r="G324" s="2072"/>
      <c r="H324" s="2072"/>
    </row>
    <row r="325" spans="1:8" x14ac:dyDescent="0.2">
      <c r="A325" s="2073" t="s">
        <v>925</v>
      </c>
      <c r="B325" s="2072"/>
      <c r="C325" s="2072"/>
      <c r="D325" s="2072"/>
      <c r="E325" s="2072"/>
      <c r="F325" s="2072"/>
      <c r="G325" s="2072"/>
      <c r="H325" s="2072"/>
    </row>
    <row r="326" spans="1:8" x14ac:dyDescent="0.2">
      <c r="A326" s="2073" t="s">
        <v>926</v>
      </c>
      <c r="B326" s="2072"/>
      <c r="C326" s="2072"/>
      <c r="D326" s="2072"/>
      <c r="E326" s="2072"/>
      <c r="F326" s="2072"/>
      <c r="G326" s="2072"/>
      <c r="H326" s="2072"/>
    </row>
    <row r="327" spans="1:8" x14ac:dyDescent="0.2">
      <c r="A327" s="2073" t="s">
        <v>927</v>
      </c>
      <c r="B327" s="2072"/>
      <c r="C327" s="2072"/>
      <c r="D327" s="2072"/>
      <c r="E327" s="2072"/>
      <c r="F327" s="2072"/>
      <c r="G327" s="2072"/>
      <c r="H327" s="2072"/>
    </row>
    <row r="328" spans="1:8" x14ac:dyDescent="0.2">
      <c r="A328" s="2073" t="s">
        <v>928</v>
      </c>
      <c r="B328" s="2072"/>
      <c r="C328" s="2072"/>
      <c r="D328" s="2072"/>
      <c r="E328" s="2072"/>
      <c r="F328" s="2072"/>
      <c r="G328" s="2072"/>
      <c r="H328" s="2072"/>
    </row>
    <row r="329" spans="1:8" x14ac:dyDescent="0.2">
      <c r="A329" s="2073" t="s">
        <v>929</v>
      </c>
      <c r="B329" s="2072"/>
      <c r="C329" s="2072"/>
      <c r="D329" s="2072"/>
      <c r="E329" s="2072"/>
      <c r="F329" s="2072"/>
      <c r="G329" s="2072"/>
      <c r="H329" s="2072"/>
    </row>
    <row r="330" spans="1:8" x14ac:dyDescent="0.2">
      <c r="A330" s="2073" t="s">
        <v>930</v>
      </c>
      <c r="B330" s="2072"/>
      <c r="C330" s="2072"/>
      <c r="D330" s="2072"/>
      <c r="E330" s="2072"/>
      <c r="F330" s="2072"/>
      <c r="G330" s="2072"/>
      <c r="H330" s="2072"/>
    </row>
    <row r="331" spans="1:8" x14ac:dyDescent="0.2">
      <c r="A331" s="2073" t="s">
        <v>931</v>
      </c>
      <c r="B331" s="2072"/>
      <c r="C331" s="2072"/>
      <c r="D331" s="2072"/>
      <c r="E331" s="2072"/>
      <c r="F331" s="2072"/>
      <c r="G331" s="2072"/>
      <c r="H331" s="2072"/>
    </row>
    <row r="332" spans="1:8" x14ac:dyDescent="0.2">
      <c r="A332" s="2073" t="s">
        <v>932</v>
      </c>
      <c r="B332" s="2072"/>
      <c r="C332" s="2072"/>
      <c r="D332" s="2072"/>
      <c r="E332" s="2072"/>
      <c r="F332" s="2072"/>
      <c r="G332" s="2072"/>
      <c r="H332" s="2072"/>
    </row>
    <row r="333" spans="1:8" x14ac:dyDescent="0.2">
      <c r="A333" s="2072"/>
      <c r="B333" s="2072"/>
      <c r="C333" s="2072"/>
      <c r="D333" s="2072"/>
      <c r="E333" s="2072"/>
      <c r="F333" s="2072"/>
      <c r="G333" s="2072"/>
      <c r="H333" s="2072"/>
    </row>
    <row r="334" spans="1:8" x14ac:dyDescent="0.2">
      <c r="A334" s="2073" t="s">
        <v>890</v>
      </c>
      <c r="B334" s="2072"/>
      <c r="C334" s="2072"/>
      <c r="D334" s="2072"/>
      <c r="E334" s="2072"/>
      <c r="F334" s="2072"/>
      <c r="G334" s="2072"/>
      <c r="H334" s="2072"/>
    </row>
    <row r="335" spans="1:8" x14ac:dyDescent="0.2">
      <c r="A335" s="2073" t="s">
        <v>891</v>
      </c>
      <c r="B335" s="2072"/>
      <c r="C335" s="2072"/>
      <c r="D335" s="2072"/>
      <c r="E335" s="2072"/>
      <c r="F335" s="2072"/>
      <c r="G335" s="2072"/>
      <c r="H335" s="2072"/>
    </row>
    <row r="336" spans="1:8" x14ac:dyDescent="0.2">
      <c r="A336" s="2073" t="s">
        <v>892</v>
      </c>
      <c r="B336" s="2072"/>
      <c r="C336" s="2072"/>
      <c r="D336" s="2072"/>
      <c r="E336" s="2072"/>
      <c r="F336" s="2072"/>
      <c r="G336" s="2072"/>
      <c r="H336" s="2072"/>
    </row>
    <row r="337" spans="1:8" x14ac:dyDescent="0.2">
      <c r="A337" s="2073" t="s">
        <v>893</v>
      </c>
      <c r="B337" s="2072"/>
      <c r="C337" s="2072"/>
      <c r="D337" s="2072"/>
      <c r="E337" s="2072"/>
      <c r="F337" s="2072"/>
      <c r="G337" s="2072"/>
      <c r="H337" s="2072"/>
    </row>
    <row r="338" spans="1:8" x14ac:dyDescent="0.2">
      <c r="A338" s="2073" t="s">
        <v>894</v>
      </c>
      <c r="B338" s="2072"/>
      <c r="C338" s="2072"/>
      <c r="D338" s="2072"/>
      <c r="E338" s="2072"/>
      <c r="F338" s="2072"/>
      <c r="G338" s="2072"/>
      <c r="H338" s="2072"/>
    </row>
    <row r="339" spans="1:8" x14ac:dyDescent="0.2">
      <c r="A339" s="2073" t="s">
        <v>895</v>
      </c>
      <c r="B339" s="2072"/>
      <c r="C339" s="2072"/>
      <c r="D339" s="2072"/>
      <c r="E339" s="2072"/>
      <c r="F339" s="2072"/>
      <c r="G339" s="2072"/>
      <c r="H339" s="2072"/>
    </row>
    <row r="340" spans="1:8" x14ac:dyDescent="0.2">
      <c r="A340" s="2073" t="s">
        <v>896</v>
      </c>
      <c r="B340" s="2072"/>
      <c r="C340" s="2072"/>
      <c r="D340" s="2072"/>
      <c r="E340" s="2072"/>
      <c r="F340" s="2072"/>
      <c r="G340" s="2072"/>
      <c r="H340" s="2072"/>
    </row>
    <row r="341" spans="1:8" x14ac:dyDescent="0.2">
      <c r="A341" s="2073" t="s">
        <v>897</v>
      </c>
      <c r="B341" s="2072"/>
      <c r="C341" s="2072"/>
      <c r="D341" s="2072"/>
      <c r="E341" s="2072"/>
      <c r="F341" s="2072"/>
      <c r="G341" s="2072"/>
      <c r="H341" s="2072"/>
    </row>
    <row r="342" spans="1:8" x14ac:dyDescent="0.2">
      <c r="A342" s="2073" t="s">
        <v>898</v>
      </c>
      <c r="B342" s="2072"/>
      <c r="C342" s="2072"/>
      <c r="D342" s="2072"/>
      <c r="E342" s="2072"/>
      <c r="F342" s="2072"/>
      <c r="G342" s="2072"/>
      <c r="H342" s="2072"/>
    </row>
    <row r="343" spans="1:8" x14ac:dyDescent="0.2">
      <c r="A343" s="2073" t="s">
        <v>899</v>
      </c>
      <c r="B343" s="2072"/>
      <c r="C343" s="2072"/>
      <c r="D343" s="2072"/>
      <c r="E343" s="2072"/>
      <c r="F343" s="2072"/>
      <c r="G343" s="2072"/>
      <c r="H343" s="2072"/>
    </row>
    <row r="344" spans="1:8" x14ac:dyDescent="0.2">
      <c r="A344" s="2073" t="s">
        <v>900</v>
      </c>
      <c r="B344" s="2072"/>
      <c r="C344" s="2072"/>
      <c r="D344" s="2072"/>
      <c r="E344" s="2072"/>
      <c r="F344" s="2072"/>
      <c r="G344" s="2072"/>
      <c r="H344" s="2072"/>
    </row>
    <row r="345" spans="1:8" x14ac:dyDescent="0.2">
      <c r="A345" s="2073" t="s">
        <v>901</v>
      </c>
      <c r="B345" s="2072"/>
      <c r="C345" s="2072"/>
      <c r="D345" s="2072"/>
      <c r="E345" s="2072"/>
      <c r="F345" s="2072"/>
      <c r="G345" s="2072"/>
      <c r="H345" s="2072"/>
    </row>
    <row r="346" spans="1:8" x14ac:dyDescent="0.2">
      <c r="A346" s="2073" t="s">
        <v>902</v>
      </c>
      <c r="B346" s="2072"/>
      <c r="C346" s="2072"/>
      <c r="D346" s="2072"/>
      <c r="E346" s="2072"/>
      <c r="F346" s="2072"/>
      <c r="G346" s="2072"/>
      <c r="H346" s="2072"/>
    </row>
    <row r="347" spans="1:8" x14ac:dyDescent="0.2">
      <c r="A347" s="2073" t="s">
        <v>903</v>
      </c>
      <c r="B347" s="2072"/>
      <c r="C347" s="2072"/>
      <c r="D347" s="2072"/>
      <c r="E347" s="2072"/>
      <c r="F347" s="2072"/>
      <c r="G347" s="2072"/>
      <c r="H347" s="2072"/>
    </row>
    <row r="348" spans="1:8" x14ac:dyDescent="0.2">
      <c r="A348" s="2073" t="s">
        <v>904</v>
      </c>
      <c r="B348" s="2072"/>
      <c r="C348" s="2072"/>
      <c r="D348" s="2072"/>
      <c r="E348" s="2072"/>
      <c r="F348" s="2072"/>
      <c r="G348" s="2072"/>
      <c r="H348" s="2072"/>
    </row>
    <row r="349" spans="1:8" x14ac:dyDescent="0.2">
      <c r="A349" s="2073" t="s">
        <v>905</v>
      </c>
      <c r="B349" s="2072"/>
      <c r="C349" s="2072"/>
      <c r="D349" s="2072"/>
      <c r="E349" s="2072"/>
      <c r="F349" s="2072"/>
      <c r="G349" s="2072"/>
      <c r="H349" s="2072"/>
    </row>
    <row r="350" spans="1:8" x14ac:dyDescent="0.2">
      <c r="A350" s="2073" t="s">
        <v>906</v>
      </c>
      <c r="B350" s="2072"/>
      <c r="C350" s="2072"/>
      <c r="D350" s="2072"/>
      <c r="E350" s="2072"/>
      <c r="F350" s="2072"/>
      <c r="G350" s="2072"/>
      <c r="H350" s="2072"/>
    </row>
    <row r="351" spans="1:8" x14ac:dyDescent="0.2">
      <c r="A351" s="2073" t="s">
        <v>907</v>
      </c>
      <c r="B351" s="2072"/>
      <c r="C351" s="2072"/>
      <c r="D351" s="2072"/>
      <c r="E351" s="2072"/>
      <c r="F351" s="2072"/>
      <c r="G351" s="2072"/>
      <c r="H351" s="2072"/>
    </row>
    <row r="352" spans="1:8" x14ac:dyDescent="0.2">
      <c r="A352" s="2073" t="s">
        <v>908</v>
      </c>
      <c r="B352" s="2072"/>
      <c r="C352" s="2072"/>
      <c r="D352" s="2072"/>
      <c r="E352" s="2072"/>
      <c r="F352" s="2072"/>
      <c r="G352" s="2072"/>
      <c r="H352" s="2072"/>
    </row>
    <row r="353" spans="1:8" x14ac:dyDescent="0.2">
      <c r="A353" s="2073" t="s">
        <v>909</v>
      </c>
      <c r="B353" s="2072"/>
      <c r="C353" s="2072"/>
      <c r="D353" s="2072"/>
      <c r="E353" s="2072"/>
      <c r="F353" s="2072"/>
      <c r="G353" s="2072"/>
      <c r="H353" s="2072"/>
    </row>
    <row r="354" spans="1:8" x14ac:dyDescent="0.2">
      <c r="A354" s="2073" t="s">
        <v>910</v>
      </c>
      <c r="B354" s="2072"/>
      <c r="C354" s="2072"/>
      <c r="D354" s="2072"/>
      <c r="E354" s="2072"/>
      <c r="F354" s="2072"/>
      <c r="G354" s="2072"/>
      <c r="H354" s="2072"/>
    </row>
    <row r="355" spans="1:8" x14ac:dyDescent="0.2">
      <c r="A355" s="2073" t="s">
        <v>911</v>
      </c>
      <c r="B355" s="2072"/>
      <c r="C355" s="2072"/>
      <c r="D355" s="2072"/>
      <c r="E355" s="2072"/>
      <c r="F355" s="2072"/>
      <c r="G355" s="2072"/>
      <c r="H355" s="2072"/>
    </row>
    <row r="356" spans="1:8" x14ac:dyDescent="0.2">
      <c r="A356" s="2073" t="s">
        <v>912</v>
      </c>
      <c r="B356" s="2072"/>
      <c r="C356" s="2072"/>
      <c r="D356" s="2072"/>
      <c r="E356" s="2072"/>
      <c r="F356" s="2072"/>
      <c r="G356" s="2072"/>
      <c r="H356" s="2072"/>
    </row>
    <row r="357" spans="1:8" x14ac:dyDescent="0.2">
      <c r="A357" s="2073" t="s">
        <v>913</v>
      </c>
      <c r="B357" s="2072"/>
      <c r="C357" s="2072"/>
      <c r="D357" s="2072"/>
      <c r="E357" s="2072"/>
      <c r="F357" s="2072"/>
      <c r="G357" s="2072"/>
      <c r="H357" s="2072"/>
    </row>
    <row r="358" spans="1:8" x14ac:dyDescent="0.2">
      <c r="A358" s="2073" t="s">
        <v>914</v>
      </c>
      <c r="B358" s="2072"/>
      <c r="C358" s="2072"/>
      <c r="D358" s="2072"/>
      <c r="E358" s="2072"/>
      <c r="F358" s="2072"/>
      <c r="G358" s="2072"/>
      <c r="H358" s="2072"/>
    </row>
    <row r="359" spans="1:8" x14ac:dyDescent="0.2">
      <c r="A359" s="2073" t="s">
        <v>915</v>
      </c>
      <c r="B359" s="2072"/>
      <c r="C359" s="2072"/>
      <c r="D359" s="2072"/>
      <c r="E359" s="2072"/>
      <c r="F359" s="2072"/>
      <c r="G359" s="2072"/>
      <c r="H359" s="2072"/>
    </row>
    <row r="360" spans="1:8" x14ac:dyDescent="0.2">
      <c r="A360" s="2073" t="s">
        <v>916</v>
      </c>
      <c r="B360" s="2072"/>
      <c r="C360" s="2072"/>
      <c r="D360" s="2072"/>
      <c r="E360" s="2072"/>
      <c r="F360" s="2072"/>
      <c r="G360" s="2072"/>
      <c r="H360" s="2072"/>
    </row>
    <row r="361" spans="1:8" x14ac:dyDescent="0.2">
      <c r="A361" s="2073" t="s">
        <v>917</v>
      </c>
      <c r="B361" s="2072"/>
      <c r="C361" s="2072"/>
      <c r="D361" s="2072"/>
      <c r="E361" s="2072"/>
      <c r="F361" s="2072"/>
      <c r="G361" s="2072"/>
      <c r="H361" s="2072"/>
    </row>
    <row r="362" spans="1:8" x14ac:dyDescent="0.2">
      <c r="A362" s="2073" t="s">
        <v>918</v>
      </c>
      <c r="B362" s="2072"/>
      <c r="C362" s="2072"/>
      <c r="D362" s="2072"/>
      <c r="E362" s="2072"/>
      <c r="F362" s="2072"/>
      <c r="G362" s="2072"/>
      <c r="H362" s="2072"/>
    </row>
    <row r="363" spans="1:8" x14ac:dyDescent="0.2">
      <c r="A363" s="2073" t="s">
        <v>919</v>
      </c>
      <c r="B363" s="2072"/>
      <c r="C363" s="2072"/>
      <c r="D363" s="2072"/>
      <c r="E363" s="2072"/>
      <c r="F363" s="2072"/>
      <c r="G363" s="2072"/>
      <c r="H363" s="2072"/>
    </row>
    <row r="364" spans="1:8" x14ac:dyDescent="0.2">
      <c r="A364" s="2073" t="s">
        <v>920</v>
      </c>
      <c r="B364" s="2072"/>
      <c r="C364" s="2072"/>
      <c r="D364" s="2072"/>
      <c r="E364" s="2072"/>
      <c r="F364" s="2072"/>
      <c r="G364" s="2072"/>
      <c r="H364" s="2072"/>
    </row>
    <row r="365" spans="1:8" x14ac:dyDescent="0.2">
      <c r="A365" s="2073" t="s">
        <v>921</v>
      </c>
      <c r="B365" s="2072"/>
      <c r="C365" s="2072"/>
      <c r="D365" s="2072"/>
      <c r="E365" s="2072"/>
      <c r="F365" s="2072"/>
      <c r="G365" s="2072"/>
      <c r="H365" s="2072"/>
    </row>
    <row r="366" spans="1:8" x14ac:dyDescent="0.2">
      <c r="A366" s="2073" t="s">
        <v>922</v>
      </c>
      <c r="B366" s="2072"/>
      <c r="C366" s="2072"/>
      <c r="D366" s="2072"/>
      <c r="E366" s="2072"/>
      <c r="F366" s="2072"/>
      <c r="G366" s="2072"/>
      <c r="H366" s="2072"/>
    </row>
    <row r="367" spans="1:8" x14ac:dyDescent="0.2">
      <c r="A367" s="2073" t="s">
        <v>923</v>
      </c>
      <c r="B367" s="2072"/>
      <c r="C367" s="2072"/>
      <c r="D367" s="2072"/>
      <c r="E367" s="2072"/>
      <c r="F367" s="2072"/>
      <c r="G367" s="2072"/>
      <c r="H367" s="2072"/>
    </row>
    <row r="368" spans="1:8" x14ac:dyDescent="0.2">
      <c r="A368" s="2073" t="s">
        <v>924</v>
      </c>
      <c r="B368" s="2072"/>
      <c r="C368" s="2072"/>
      <c r="D368" s="2072"/>
      <c r="E368" s="2072"/>
      <c r="F368" s="2072"/>
      <c r="G368" s="2072"/>
      <c r="H368" s="2072"/>
    </row>
    <row r="369" spans="1:8" x14ac:dyDescent="0.2">
      <c r="A369" s="2072"/>
      <c r="B369" s="2072"/>
      <c r="C369" s="2072"/>
      <c r="D369" s="2072"/>
      <c r="E369" s="2072"/>
      <c r="F369" s="2072"/>
      <c r="G369" s="2072"/>
      <c r="H369" s="2072"/>
    </row>
    <row r="370" spans="1:8" x14ac:dyDescent="0.2">
      <c r="A370" s="2073" t="s">
        <v>882</v>
      </c>
      <c r="B370" s="2072"/>
      <c r="C370" s="2072"/>
      <c r="D370" s="2072"/>
      <c r="E370" s="2072"/>
      <c r="F370" s="2072"/>
      <c r="G370" s="2072"/>
      <c r="H370" s="2072"/>
    </row>
    <row r="371" spans="1:8" x14ac:dyDescent="0.2">
      <c r="A371" s="2073" t="s">
        <v>886</v>
      </c>
      <c r="B371" s="2072"/>
      <c r="C371" s="2072"/>
      <c r="D371" s="2072"/>
      <c r="E371" s="2072"/>
      <c r="F371" s="2072"/>
      <c r="G371" s="2072"/>
      <c r="H371" s="2072"/>
    </row>
    <row r="372" spans="1:8" x14ac:dyDescent="0.2">
      <c r="A372" s="2073" t="s">
        <v>887</v>
      </c>
      <c r="B372" s="2072"/>
      <c r="C372" s="2072"/>
      <c r="D372" s="2072"/>
      <c r="E372" s="2072"/>
      <c r="F372" s="2072"/>
      <c r="G372" s="2072"/>
      <c r="H372" s="2072"/>
    </row>
    <row r="373" spans="1:8" x14ac:dyDescent="0.2">
      <c r="A373" s="2073" t="s">
        <v>888</v>
      </c>
      <c r="B373" s="2072"/>
      <c r="C373" s="2072"/>
      <c r="D373" s="2072"/>
      <c r="E373" s="2072"/>
      <c r="F373" s="2072"/>
      <c r="G373" s="2072"/>
      <c r="H373" s="2072"/>
    </row>
    <row r="374" spans="1:8" x14ac:dyDescent="0.2">
      <c r="A374" s="2073" t="s">
        <v>889</v>
      </c>
      <c r="B374" s="2072"/>
      <c r="C374" s="2072"/>
      <c r="D374" s="2072"/>
      <c r="E374" s="2072"/>
      <c r="F374" s="2072"/>
      <c r="G374" s="2072"/>
      <c r="H374" s="2072"/>
    </row>
    <row r="375" spans="1:8" x14ac:dyDescent="0.2">
      <c r="A375" s="2072"/>
      <c r="B375" s="2072"/>
      <c r="C375" s="2072"/>
      <c r="D375" s="2072"/>
      <c r="E375" s="2072"/>
      <c r="F375" s="2072"/>
      <c r="G375" s="2072"/>
      <c r="H375" s="2072"/>
    </row>
    <row r="376" spans="1:8" x14ac:dyDescent="0.2">
      <c r="A376" s="2073" t="s">
        <v>882</v>
      </c>
      <c r="B376" s="2072"/>
      <c r="C376" s="2072"/>
      <c r="D376" s="2072"/>
      <c r="E376" s="2072"/>
      <c r="F376" s="2072"/>
      <c r="G376" s="2072"/>
      <c r="H376" s="2072"/>
    </row>
    <row r="377" spans="1:8" x14ac:dyDescent="0.2">
      <c r="A377" s="2073" t="s">
        <v>883</v>
      </c>
      <c r="B377" s="2072"/>
      <c r="C377" s="2072"/>
      <c r="D377" s="2072"/>
      <c r="E377" s="2072"/>
      <c r="F377" s="2072"/>
      <c r="G377" s="2072"/>
      <c r="H377" s="2072"/>
    </row>
    <row r="378" spans="1:8" x14ac:dyDescent="0.2">
      <c r="A378" s="2073" t="s">
        <v>884</v>
      </c>
      <c r="B378" s="2072"/>
      <c r="C378" s="2072"/>
      <c r="D378" s="2072"/>
      <c r="E378" s="2072"/>
      <c r="F378" s="2072"/>
      <c r="G378" s="2072"/>
      <c r="H378" s="2072"/>
    </row>
    <row r="379" spans="1:8" x14ac:dyDescent="0.2">
      <c r="A379" s="2073" t="s">
        <v>885</v>
      </c>
      <c r="B379" s="2072"/>
      <c r="C379" s="2072"/>
      <c r="D379" s="2072"/>
      <c r="E379" s="2072"/>
      <c r="F379" s="2072"/>
      <c r="G379" s="2072"/>
      <c r="H379" s="2072"/>
    </row>
    <row r="380" spans="1:8" x14ac:dyDescent="0.2">
      <c r="A380" s="2072"/>
      <c r="B380" s="2072"/>
      <c r="C380" s="2072"/>
      <c r="D380" s="2072"/>
      <c r="E380" s="2072"/>
      <c r="F380" s="2072"/>
      <c r="G380" s="2072"/>
      <c r="H380" s="2072"/>
    </row>
    <row r="381" spans="1:8" x14ac:dyDescent="0.2">
      <c r="A381" s="2073" t="s">
        <v>876</v>
      </c>
      <c r="B381" s="2072"/>
      <c r="C381" s="2072"/>
      <c r="D381" s="2072"/>
      <c r="E381" s="2072"/>
      <c r="F381" s="2072"/>
      <c r="G381" s="2072"/>
      <c r="H381" s="2072"/>
    </row>
    <row r="382" spans="1:8" x14ac:dyDescent="0.2">
      <c r="A382" s="2073" t="s">
        <v>877</v>
      </c>
      <c r="B382" s="2072"/>
      <c r="C382" s="2072"/>
      <c r="D382" s="2072"/>
      <c r="E382" s="2072"/>
      <c r="F382" s="2072"/>
      <c r="G382" s="2072"/>
      <c r="H382" s="2072"/>
    </row>
    <row r="383" spans="1:8" x14ac:dyDescent="0.2">
      <c r="A383" s="2073" t="s">
        <v>878</v>
      </c>
      <c r="B383" s="2072"/>
      <c r="C383" s="2072"/>
      <c r="D383" s="2072"/>
      <c r="E383" s="2072"/>
      <c r="F383" s="2072"/>
      <c r="G383" s="2072"/>
      <c r="H383" s="2072"/>
    </row>
    <row r="384" spans="1:8" x14ac:dyDescent="0.2">
      <c r="A384" s="2073" t="s">
        <v>879</v>
      </c>
      <c r="B384" s="2072"/>
      <c r="C384" s="2072"/>
      <c r="D384" s="2072"/>
      <c r="E384" s="2072"/>
      <c r="F384" s="2072"/>
      <c r="G384" s="2072"/>
      <c r="H384" s="2072"/>
    </row>
    <row r="385" spans="1:8" x14ac:dyDescent="0.2">
      <c r="A385" s="2073" t="s">
        <v>880</v>
      </c>
      <c r="B385" s="2072"/>
      <c r="C385" s="2072"/>
      <c r="D385" s="2072"/>
      <c r="E385" s="2072"/>
      <c r="F385" s="2072"/>
      <c r="G385" s="2072"/>
      <c r="H385" s="2072"/>
    </row>
    <row r="386" spans="1:8" x14ac:dyDescent="0.2">
      <c r="A386" s="2073" t="s">
        <v>881</v>
      </c>
      <c r="B386" s="2072"/>
      <c r="C386" s="2072"/>
      <c r="D386" s="2072"/>
      <c r="E386" s="2072"/>
      <c r="F386" s="2072"/>
      <c r="G386" s="2072"/>
      <c r="H386" s="2072"/>
    </row>
    <row r="387" spans="1:8" x14ac:dyDescent="0.2">
      <c r="A387" s="2072"/>
      <c r="B387" s="2072"/>
      <c r="C387" s="2072"/>
      <c r="D387" s="2072"/>
      <c r="E387" s="2072"/>
      <c r="F387" s="2072"/>
      <c r="G387" s="2072"/>
      <c r="H387" s="2072"/>
    </row>
    <row r="388" spans="1:8" x14ac:dyDescent="0.2">
      <c r="A388" s="2073" t="s">
        <v>871</v>
      </c>
      <c r="B388" s="2072"/>
      <c r="C388" s="2072"/>
      <c r="D388" s="2072"/>
      <c r="E388" s="2072"/>
      <c r="F388" s="2072"/>
      <c r="G388" s="2072"/>
      <c r="H388" s="2072"/>
    </row>
    <row r="389" spans="1:8" x14ac:dyDescent="0.2">
      <c r="A389" s="2073" t="s">
        <v>872</v>
      </c>
      <c r="B389" s="2072"/>
      <c r="C389" s="2072"/>
      <c r="D389" s="2072"/>
      <c r="E389" s="2072"/>
      <c r="F389" s="2072"/>
      <c r="G389" s="2072"/>
      <c r="H389" s="2072"/>
    </row>
    <row r="390" spans="1:8" x14ac:dyDescent="0.2">
      <c r="A390" s="2073" t="s">
        <v>873</v>
      </c>
      <c r="B390" s="2072"/>
      <c r="C390" s="2072"/>
      <c r="D390" s="2072"/>
      <c r="E390" s="2072"/>
      <c r="F390" s="2072"/>
      <c r="G390" s="2072"/>
      <c r="H390" s="2072"/>
    </row>
    <row r="391" spans="1:8" x14ac:dyDescent="0.2">
      <c r="A391" s="2073" t="s">
        <v>874</v>
      </c>
      <c r="B391" s="2072"/>
      <c r="C391" s="2072"/>
      <c r="D391" s="2072"/>
      <c r="E391" s="2072"/>
      <c r="F391" s="2072"/>
      <c r="G391" s="2072"/>
      <c r="H391" s="2072"/>
    </row>
    <row r="392" spans="1:8" x14ac:dyDescent="0.2">
      <c r="A392" s="2073" t="s">
        <v>875</v>
      </c>
      <c r="B392" s="2072"/>
      <c r="C392" s="2072"/>
      <c r="D392" s="2072"/>
      <c r="E392" s="2072"/>
      <c r="F392" s="2072"/>
      <c r="G392" s="2072"/>
      <c r="H392" s="2072"/>
    </row>
    <row r="393" spans="1:8" x14ac:dyDescent="0.2">
      <c r="A393" s="2072"/>
      <c r="B393" s="2072"/>
      <c r="C393" s="2072"/>
      <c r="D393" s="2072"/>
      <c r="E393" s="2072"/>
      <c r="F393" s="2072"/>
      <c r="G393" s="2072"/>
      <c r="H393" s="2072"/>
    </row>
    <row r="394" spans="1:8" x14ac:dyDescent="0.2">
      <c r="A394" s="2073" t="s">
        <v>869</v>
      </c>
      <c r="B394" s="2072"/>
      <c r="C394" s="2072"/>
      <c r="D394" s="2072"/>
      <c r="E394" s="2072"/>
      <c r="F394" s="2072"/>
      <c r="G394" s="2072"/>
      <c r="H394" s="2072"/>
    </row>
    <row r="395" spans="1:8" x14ac:dyDescent="0.2">
      <c r="A395" s="2073" t="s">
        <v>870</v>
      </c>
      <c r="B395" s="2072"/>
      <c r="C395" s="2072"/>
      <c r="D395" s="2072"/>
      <c r="E395" s="2072"/>
      <c r="F395" s="2072"/>
      <c r="G395" s="2072"/>
      <c r="H395" s="2072"/>
    </row>
    <row r="397" spans="1:8" x14ac:dyDescent="0.2">
      <c r="A397" s="2068" t="s">
        <v>1129</v>
      </c>
    </row>
  </sheetData>
  <mergeCells count="12">
    <mergeCell ref="A135:H135"/>
    <mergeCell ref="A136:H136"/>
    <mergeCell ref="B128:C128"/>
    <mergeCell ref="D128:F128"/>
    <mergeCell ref="G128:H128"/>
    <mergeCell ref="A114:H114"/>
    <mergeCell ref="A115:H115"/>
    <mergeCell ref="A116:H116"/>
    <mergeCell ref="A117:H117"/>
    <mergeCell ref="A119:H119"/>
    <mergeCell ref="A120:H120"/>
    <mergeCell ref="A127:H127"/>
  </mergeCells>
  <pageMargins left="0.5" right="0.5" top="0.5" bottom="0.5" header="0.5" footer="0.5"/>
  <pageSetup orientation="portrait" horizontalDpi="300" verticalDpi="0"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FD407"/>
  <sheetViews>
    <sheetView showGridLines="0" zoomScale="85" zoomScaleNormal="85" workbookViewId="0">
      <pane xSplit="1" ySplit="2" topLeftCell="EJ3" activePane="bottomRight" state="frozen"/>
      <selection activeCell="F828" sqref="F828"/>
      <selection pane="topRight" activeCell="F828" sqref="F828"/>
      <selection pane="bottomLeft" activeCell="F828" sqref="F828"/>
      <selection pane="bottomRight" activeCell="ER19" sqref="ER19"/>
    </sheetView>
  </sheetViews>
  <sheetFormatPr defaultRowHeight="12.75" outlineLevelRow="1" outlineLevelCol="2" x14ac:dyDescent="0.2"/>
  <cols>
    <col min="1" max="1" width="51" customWidth="1"/>
    <col min="2" max="5" width="9.28515625" hidden="1" customWidth="1" outlineLevel="1"/>
    <col min="6" max="6" width="9.28515625" hidden="1" customWidth="1" collapsed="1"/>
    <col min="7" max="10" width="9.28515625" hidden="1" customWidth="1" outlineLevel="1"/>
    <col min="11" max="11" width="9.28515625" hidden="1" customWidth="1" collapsed="1"/>
    <col min="12" max="15" width="9.28515625" hidden="1" customWidth="1" outlineLevel="1"/>
    <col min="16" max="16" width="9.28515625" hidden="1" customWidth="1" collapsed="1"/>
    <col min="17" max="20" width="9.28515625" hidden="1" customWidth="1" outlineLevel="1"/>
    <col min="21" max="21" width="9.28515625" customWidth="1" collapsed="1"/>
    <col min="22" max="25" width="9.28515625" hidden="1" customWidth="1" outlineLevel="1"/>
    <col min="26" max="26" width="9.28515625" customWidth="1" collapsed="1"/>
    <col min="27" max="30" width="9.28515625" hidden="1" customWidth="1" outlineLevel="1"/>
    <col min="31" max="31" width="9.28515625" customWidth="1" collapsed="1"/>
    <col min="32" max="35" width="9.28515625" hidden="1" customWidth="1" outlineLevel="1"/>
    <col min="36" max="36" width="9.28515625" customWidth="1" collapsed="1"/>
    <col min="37" max="40" width="9.28515625" hidden="1" customWidth="1" outlineLevel="1"/>
    <col min="41" max="41" width="9.28515625" customWidth="1" collapsed="1"/>
    <col min="42" max="45" width="9.28515625" hidden="1" customWidth="1" outlineLevel="1"/>
    <col min="46" max="46" width="9.28515625" customWidth="1" collapsed="1"/>
    <col min="47" max="50" width="9.28515625" hidden="1" customWidth="1" outlineLevel="1"/>
    <col min="51" max="51" width="9.28515625" customWidth="1" collapsed="1"/>
    <col min="52" max="55" width="9.28515625" hidden="1" customWidth="1" outlineLevel="1"/>
    <col min="56" max="56" width="9.28515625" customWidth="1" collapsed="1"/>
    <col min="57" max="60" width="9.28515625" hidden="1" customWidth="1" outlineLevel="1"/>
    <col min="61" max="61" width="9.28515625" customWidth="1" collapsed="1"/>
    <col min="62" max="65" width="9.28515625" hidden="1" customWidth="1" outlineLevel="1"/>
    <col min="66" max="66" width="9.28515625" customWidth="1" collapsed="1"/>
    <col min="67" max="70" width="9.28515625" hidden="1" customWidth="1" outlineLevel="1"/>
    <col min="71" max="71" width="9.28515625" customWidth="1" collapsed="1"/>
    <col min="72" max="75" width="9.28515625" hidden="1" customWidth="1" outlineLevel="1"/>
    <col min="76" max="76" width="9.28515625" customWidth="1" collapsed="1"/>
    <col min="77" max="80" width="9.28515625" hidden="1" customWidth="1" outlineLevel="1"/>
    <col min="81" max="81" width="9.28515625" customWidth="1" collapsed="1"/>
    <col min="82" max="85" width="9.28515625" hidden="1" customWidth="1" outlineLevel="1"/>
    <col min="86" max="86" width="9.28515625" customWidth="1" collapsed="1"/>
    <col min="87" max="90" width="9.28515625" hidden="1" customWidth="1" outlineLevel="1"/>
    <col min="91" max="91" width="9.28515625" customWidth="1" collapsed="1"/>
    <col min="92" max="95" width="9.28515625" hidden="1" customWidth="1" outlineLevel="1"/>
    <col min="96" max="96" width="9.28515625" customWidth="1" collapsed="1"/>
    <col min="97" max="100" width="9.28515625" hidden="1" customWidth="1" outlineLevel="1"/>
    <col min="101" max="101" width="9.28515625" customWidth="1" collapsed="1"/>
    <col min="102" max="103" width="9.28515625" hidden="1" customWidth="1" outlineLevel="1"/>
    <col min="104" max="104" width="10" hidden="1" customWidth="1" outlineLevel="1"/>
    <col min="105" max="105" width="9.28515625" hidden="1" customWidth="1" outlineLevel="1"/>
    <col min="106" max="106" width="9.28515625" customWidth="1" collapsed="1"/>
    <col min="107" max="110" width="9.28515625" hidden="1" customWidth="1" outlineLevel="1"/>
    <col min="111" max="111" width="9.28515625" customWidth="1" collapsed="1"/>
    <col min="112" max="115" width="9.28515625" hidden="1" customWidth="1" outlineLevel="1"/>
    <col min="116" max="116" width="9.28515625" customWidth="1" collapsed="1"/>
    <col min="117" max="120" width="9.28515625" hidden="1" customWidth="1" outlineLevel="1"/>
    <col min="121" max="121" width="9.28515625" customWidth="1" collapsed="1"/>
    <col min="122" max="125" width="9.28515625" hidden="1" customWidth="1" outlineLevel="1"/>
    <col min="126" max="126" width="9.28515625" customWidth="1" collapsed="1"/>
    <col min="127" max="130" width="9.28515625" hidden="1" customWidth="1" outlineLevel="1"/>
    <col min="131" max="131" width="9.28515625" customWidth="1" collapsed="1"/>
    <col min="132" max="135" width="9.28515625" customWidth="1" outlineLevel="1"/>
    <col min="136" max="136" width="9.28515625" customWidth="1"/>
    <col min="137" max="140" width="9.28515625" customWidth="1" outlineLevel="1"/>
    <col min="141" max="141" width="9.28515625" customWidth="1"/>
    <col min="142" max="145" width="9.28515625" customWidth="1" outlineLevel="1"/>
    <col min="146" max="146" width="9.28515625" customWidth="1"/>
    <col min="147" max="150" width="9.28515625" customWidth="1" outlineLevel="1"/>
    <col min="151" max="151" width="9.28515625" customWidth="1"/>
    <col min="152" max="155" width="9.28515625" hidden="1" customWidth="1" outlineLevel="1"/>
    <col min="156" max="156" width="9.28515625" customWidth="1" collapsed="1"/>
    <col min="157" max="160" width="9.28515625" hidden="1" customWidth="1" outlineLevel="1"/>
    <col min="161" max="161" width="9.28515625" customWidth="1" collapsed="1"/>
    <col min="162" max="163" width="1.7109375" customWidth="1"/>
    <col min="164" max="164" width="7.7109375" customWidth="1" outlineLevel="1"/>
    <col min="165" max="165" width="8.42578125" customWidth="1" outlineLevel="1"/>
    <col min="166" max="167" width="7.7109375" customWidth="1" outlineLevel="1"/>
    <col min="168" max="168" width="1.85546875" style="1411" customWidth="1"/>
    <col min="169" max="169" width="9.28515625" hidden="1" customWidth="1" outlineLevel="1"/>
    <col min="170" max="170" width="8.5703125" hidden="1" customWidth="1" outlineLevel="2"/>
    <col min="171" max="171" width="8.85546875" hidden="1" customWidth="1" outlineLevel="1" collapsed="1"/>
    <col min="172" max="172" width="7.7109375" hidden="1" customWidth="1" outlineLevel="2"/>
    <col min="173" max="173" width="7.7109375" hidden="1" customWidth="1" outlineLevel="1" collapsed="1"/>
    <col min="174" max="174" width="2.7109375" style="1639" customWidth="1" collapsed="1"/>
    <col min="175" max="175" width="2.7109375" style="1639" customWidth="1"/>
    <col min="176" max="176" width="13" customWidth="1"/>
    <col min="177" max="181" width="10.7109375" customWidth="1"/>
    <col min="182" max="182" width="1.7109375" customWidth="1"/>
    <col min="183" max="183" width="62.7109375" bestFit="1" customWidth="1"/>
    <col min="184" max="184" width="14.28515625" bestFit="1" customWidth="1"/>
    <col min="185" max="185" width="12.28515625" customWidth="1"/>
    <col min="186" max="187" width="8.140625" customWidth="1"/>
    <col min="188" max="188" width="11.28515625" bestFit="1" customWidth="1"/>
  </cols>
  <sheetData>
    <row r="1" spans="1:258" s="352" customFormat="1" ht="18" x14ac:dyDescent="0.25">
      <c r="A1" s="1919" t="s">
        <v>278</v>
      </c>
      <c r="B1" s="385" t="s">
        <v>120</v>
      </c>
      <c r="C1" s="385" t="s">
        <v>121</v>
      </c>
      <c r="D1" s="385" t="s">
        <v>403</v>
      </c>
      <c r="E1" s="385" t="s">
        <v>404</v>
      </c>
      <c r="F1" s="386"/>
      <c r="G1" s="385" t="str">
        <f>B1</f>
        <v>1QA</v>
      </c>
      <c r="H1" s="385" t="str">
        <f>C1</f>
        <v>2QA</v>
      </c>
      <c r="I1" s="385" t="str">
        <f>D1</f>
        <v>3QA</v>
      </c>
      <c r="J1" s="385" t="str">
        <f>E1</f>
        <v>4QA</v>
      </c>
      <c r="K1" s="386"/>
      <c r="L1" s="385" t="str">
        <f>G1</f>
        <v>1QA</v>
      </c>
      <c r="M1" s="385" t="str">
        <f>H1</f>
        <v>2QA</v>
      </c>
      <c r="N1" s="385" t="str">
        <f>I1</f>
        <v>3QA</v>
      </c>
      <c r="O1" s="385" t="str">
        <f>J1</f>
        <v>4QA</v>
      </c>
      <c r="P1" s="386"/>
      <c r="Q1" s="385" t="str">
        <f>L1</f>
        <v>1QA</v>
      </c>
      <c r="R1" s="385" t="str">
        <f>M1</f>
        <v>2QA</v>
      </c>
      <c r="S1" s="385" t="str">
        <f>N1</f>
        <v>3QA</v>
      </c>
      <c r="T1" s="385" t="str">
        <f>O1</f>
        <v>4QA</v>
      </c>
      <c r="U1" s="386"/>
      <c r="V1" s="385" t="str">
        <f>Q1</f>
        <v>1QA</v>
      </c>
      <c r="W1" s="385" t="str">
        <f>R1</f>
        <v>2QA</v>
      </c>
      <c r="X1" s="385" t="str">
        <f>S1</f>
        <v>3QA</v>
      </c>
      <c r="Y1" s="385" t="str">
        <f>T1</f>
        <v>4QA</v>
      </c>
      <c r="Z1" s="386"/>
      <c r="AA1" s="385" t="str">
        <f>V1</f>
        <v>1QA</v>
      </c>
      <c r="AB1" s="385" t="str">
        <f>W1</f>
        <v>2QA</v>
      </c>
      <c r="AC1" s="385" t="str">
        <f>X1</f>
        <v>3QA</v>
      </c>
      <c r="AD1" s="385" t="str">
        <f>Y1</f>
        <v>4QA</v>
      </c>
      <c r="AE1" s="386"/>
      <c r="AF1" s="385" t="str">
        <f>AA1</f>
        <v>1QA</v>
      </c>
      <c r="AG1" s="385" t="str">
        <f>AB1</f>
        <v>2QA</v>
      </c>
      <c r="AH1" s="385" t="str">
        <f>AC1</f>
        <v>3QA</v>
      </c>
      <c r="AI1" s="385" t="str">
        <f>AD1</f>
        <v>4QA</v>
      </c>
      <c r="AJ1" s="386"/>
      <c r="AK1" s="385" t="str">
        <f>AF1</f>
        <v>1QA</v>
      </c>
      <c r="AL1" s="385" t="str">
        <f>AG1</f>
        <v>2QA</v>
      </c>
      <c r="AM1" s="385" t="str">
        <f>AH1</f>
        <v>3QA</v>
      </c>
      <c r="AN1" s="385" t="str">
        <f>AI1</f>
        <v>4QA</v>
      </c>
      <c r="AO1" s="386"/>
      <c r="AP1" s="385" t="str">
        <f>AK1</f>
        <v>1QA</v>
      </c>
      <c r="AQ1" s="385" t="str">
        <f>AL1</f>
        <v>2QA</v>
      </c>
      <c r="AR1" s="385" t="str">
        <f>AM1</f>
        <v>3QA</v>
      </c>
      <c r="AS1" s="385" t="str">
        <f>AN1</f>
        <v>4QA</v>
      </c>
      <c r="AT1" s="386"/>
      <c r="AU1" s="385" t="str">
        <f>AP1</f>
        <v>1QA</v>
      </c>
      <c r="AV1" s="385" t="str">
        <f>AQ1</f>
        <v>2QA</v>
      </c>
      <c r="AW1" s="385" t="str">
        <f>AR1</f>
        <v>3QA</v>
      </c>
      <c r="AX1" s="385" t="str">
        <f>AS1</f>
        <v>4QA</v>
      </c>
      <c r="AY1" s="386"/>
      <c r="AZ1" s="385" t="str">
        <f>AU1</f>
        <v>1QA</v>
      </c>
      <c r="BA1" s="385" t="str">
        <f>AV1</f>
        <v>2QA</v>
      </c>
      <c r="BB1" s="385" t="str">
        <f>AW1</f>
        <v>3QA</v>
      </c>
      <c r="BC1" s="385" t="str">
        <f>AX1</f>
        <v>4QA</v>
      </c>
      <c r="BD1" s="386"/>
      <c r="BE1" s="385" t="str">
        <f>AZ1</f>
        <v>1QA</v>
      </c>
      <c r="BF1" s="385" t="str">
        <f>BA1</f>
        <v>2QA</v>
      </c>
      <c r="BG1" s="385" t="str">
        <f>BB1</f>
        <v>3QA</v>
      </c>
      <c r="BH1" s="385" t="str">
        <f>BC1</f>
        <v>4QA</v>
      </c>
      <c r="BI1" s="386"/>
      <c r="BJ1" s="385" t="str">
        <f>BE1</f>
        <v>1QA</v>
      </c>
      <c r="BK1" s="385" t="str">
        <f>BF1</f>
        <v>2QA</v>
      </c>
      <c r="BL1" s="385" t="str">
        <f>BG1</f>
        <v>3QA</v>
      </c>
      <c r="BM1" s="385" t="str">
        <f>BH1</f>
        <v>4QA</v>
      </c>
      <c r="BN1" s="386"/>
      <c r="BO1" s="385" t="str">
        <f>BJ1</f>
        <v>1QA</v>
      </c>
      <c r="BP1" s="385" t="str">
        <f>BK1</f>
        <v>2QA</v>
      </c>
      <c r="BQ1" s="385" t="str">
        <f>BL1</f>
        <v>3QA</v>
      </c>
      <c r="BR1" s="385" t="str">
        <f>BM1</f>
        <v>4QA</v>
      </c>
      <c r="BS1" s="386"/>
      <c r="BT1" s="385" t="str">
        <f>BO1</f>
        <v>1QA</v>
      </c>
      <c r="BU1" s="385" t="str">
        <f>BP1</f>
        <v>2QA</v>
      </c>
      <c r="BV1" s="385" t="str">
        <f>BQ1</f>
        <v>3QA</v>
      </c>
      <c r="BW1" s="385" t="str">
        <f>BR1</f>
        <v>4QA</v>
      </c>
      <c r="BX1" s="386"/>
      <c r="BY1" s="385" t="str">
        <f>BT1</f>
        <v>1QA</v>
      </c>
      <c r="BZ1" s="385" t="str">
        <f>BU1</f>
        <v>2QA</v>
      </c>
      <c r="CA1" s="385" t="str">
        <f>BV1</f>
        <v>3QA</v>
      </c>
      <c r="CB1" s="385" t="str">
        <f>BW1</f>
        <v>4QA</v>
      </c>
      <c r="CC1" s="386"/>
      <c r="CD1" s="385" t="str">
        <f>BY1</f>
        <v>1QA</v>
      </c>
      <c r="CE1" s="385" t="str">
        <f>BZ1</f>
        <v>2QA</v>
      </c>
      <c r="CF1" s="385" t="str">
        <f>CA1</f>
        <v>3QA</v>
      </c>
      <c r="CG1" s="385" t="str">
        <f>CB1</f>
        <v>4QA</v>
      </c>
      <c r="CH1" s="386"/>
      <c r="CI1" s="385" t="str">
        <f>CD1</f>
        <v>1QA</v>
      </c>
      <c r="CJ1" s="385" t="str">
        <f>CE1</f>
        <v>2QA</v>
      </c>
      <c r="CK1" s="385" t="str">
        <f>CF1</f>
        <v>3QA</v>
      </c>
      <c r="CL1" s="385" t="str">
        <f>CG1</f>
        <v>4QA</v>
      </c>
      <c r="CM1" s="386"/>
      <c r="CN1" s="385" t="str">
        <f>CI1</f>
        <v>1QA</v>
      </c>
      <c r="CO1" s="385" t="str">
        <f>CJ1</f>
        <v>2QA</v>
      </c>
      <c r="CP1" s="385" t="str">
        <f>CK1</f>
        <v>3QA</v>
      </c>
      <c r="CQ1" s="385" t="str">
        <f>CL1</f>
        <v>4QA</v>
      </c>
      <c r="CR1" s="386"/>
      <c r="CS1" s="385" t="str">
        <f>CN1</f>
        <v>1QA</v>
      </c>
      <c r="CT1" s="385" t="str">
        <f>CO1</f>
        <v>2QA</v>
      </c>
      <c r="CU1" s="385" t="str">
        <f>CP1</f>
        <v>3QA</v>
      </c>
      <c r="CV1" s="385" t="str">
        <f>CQ1</f>
        <v>4QA</v>
      </c>
      <c r="CW1" s="386"/>
      <c r="CX1" s="385" t="str">
        <f>CS1</f>
        <v>1QA</v>
      </c>
      <c r="CY1" s="385" t="str">
        <f>CT1</f>
        <v>2QA</v>
      </c>
      <c r="CZ1" s="385" t="str">
        <f>CU1</f>
        <v>3QA</v>
      </c>
      <c r="DA1" s="385" t="str">
        <f>CV1</f>
        <v>4QA</v>
      </c>
      <c r="DB1" s="386"/>
      <c r="DC1" s="385" t="str">
        <f>CX1</f>
        <v>1QA</v>
      </c>
      <c r="DD1" s="385" t="str">
        <f>CY1</f>
        <v>2QA</v>
      </c>
      <c r="DE1" s="385" t="str">
        <f>CZ1</f>
        <v>3QA</v>
      </c>
      <c r="DF1" s="385" t="str">
        <f>DA1</f>
        <v>4QA</v>
      </c>
      <c r="DG1" s="386"/>
      <c r="DH1" s="385" t="str">
        <f>DC1</f>
        <v>1QA</v>
      </c>
      <c r="DI1" s="385" t="str">
        <f>DD1</f>
        <v>2QA</v>
      </c>
      <c r="DJ1" s="385" t="str">
        <f>DE1</f>
        <v>3QA</v>
      </c>
      <c r="DK1" s="385" t="str">
        <f>DF1</f>
        <v>4QA</v>
      </c>
      <c r="DL1" s="386"/>
      <c r="DM1" s="385" t="str">
        <f>DH1</f>
        <v>1QA</v>
      </c>
      <c r="DN1" s="385" t="str">
        <f>DI1</f>
        <v>2QA</v>
      </c>
      <c r="DO1" s="385" t="str">
        <f>DJ1</f>
        <v>3QA</v>
      </c>
      <c r="DP1" s="385" t="str">
        <f>DK1</f>
        <v>4QA</v>
      </c>
      <c r="DQ1" s="386"/>
      <c r="DR1" s="385" t="str">
        <f>DM1</f>
        <v>1QA</v>
      </c>
      <c r="DS1" s="385" t="str">
        <f>DN1</f>
        <v>2QA</v>
      </c>
      <c r="DT1" s="387" t="s">
        <v>403</v>
      </c>
      <c r="DU1" s="385" t="str">
        <f>DP1</f>
        <v>4QA</v>
      </c>
      <c r="DV1" s="386"/>
      <c r="DW1" s="385" t="str">
        <f>DR1</f>
        <v>1QA</v>
      </c>
      <c r="DX1" s="385" t="str">
        <f>DS1</f>
        <v>2QA</v>
      </c>
      <c r="DY1" s="387" t="s">
        <v>403</v>
      </c>
      <c r="DZ1" s="385" t="str">
        <f>DU1</f>
        <v>4QA</v>
      </c>
      <c r="EA1" s="388"/>
      <c r="EB1" s="387" t="str">
        <f>DW1</f>
        <v>1QA</v>
      </c>
      <c r="EC1" s="387" t="str">
        <f>DX1</f>
        <v>2QA</v>
      </c>
      <c r="ED1" s="387" t="str">
        <f>DY1</f>
        <v>3QA</v>
      </c>
      <c r="EE1" s="387" t="str">
        <f>DZ1</f>
        <v>4QA</v>
      </c>
      <c r="EF1" s="388"/>
      <c r="EG1" s="385" t="str">
        <f>EB1</f>
        <v>1QA</v>
      </c>
      <c r="EH1" s="387" t="str">
        <f>EC1</f>
        <v>2QA</v>
      </c>
      <c r="EI1" s="387" t="str">
        <f>ED1</f>
        <v>3QA</v>
      </c>
      <c r="EJ1" s="387" t="str">
        <f>EE1</f>
        <v>4QA</v>
      </c>
      <c r="EK1" s="388"/>
      <c r="EL1" s="385" t="str">
        <f>EG1</f>
        <v>1QA</v>
      </c>
      <c r="EM1" s="385" t="str">
        <f>EH1</f>
        <v>2QA</v>
      </c>
      <c r="EN1" s="387" t="s">
        <v>403</v>
      </c>
      <c r="EO1" s="387" t="s">
        <v>404</v>
      </c>
      <c r="EP1" s="388"/>
      <c r="EQ1" s="385" t="str">
        <f>EL1</f>
        <v>1QA</v>
      </c>
      <c r="ER1" s="387">
        <v>2</v>
      </c>
      <c r="ES1" s="387">
        <f t="shared" ref="ES1:ET1" si="0">+ER1+1</f>
        <v>3</v>
      </c>
      <c r="ET1" s="387">
        <f t="shared" si="0"/>
        <v>4</v>
      </c>
      <c r="EU1" s="388" t="s">
        <v>603</v>
      </c>
      <c r="EV1" s="387"/>
      <c r="EW1" s="387"/>
      <c r="EX1" s="387"/>
      <c r="EY1" s="387"/>
      <c r="EZ1" s="388" t="s">
        <v>603</v>
      </c>
      <c r="FA1" s="387"/>
      <c r="FB1" s="387"/>
      <c r="FC1" s="387"/>
      <c r="FD1" s="387"/>
      <c r="FE1" s="388" t="s">
        <v>603</v>
      </c>
      <c r="FG1" s="460" t="s">
        <v>516</v>
      </c>
      <c r="FH1" s="761" t="s">
        <v>585</v>
      </c>
      <c r="FI1" s="761" t="s">
        <v>586</v>
      </c>
      <c r="FJ1" s="761" t="s">
        <v>587</v>
      </c>
      <c r="FK1" s="1309" t="s">
        <v>588</v>
      </c>
      <c r="FL1" s="1334"/>
      <c r="FM1" s="2060" t="s">
        <v>723</v>
      </c>
      <c r="FN1" s="2060"/>
      <c r="FO1" s="2060"/>
      <c r="FP1" s="2060"/>
      <c r="FQ1" s="2060"/>
      <c r="FR1" s="1616" t="s">
        <v>110</v>
      </c>
      <c r="FS1" s="1617"/>
      <c r="FT1" s="353"/>
      <c r="FU1" s="353"/>
      <c r="FV1" s="353"/>
      <c r="FW1" s="353"/>
      <c r="FX1" s="353"/>
      <c r="FY1" s="353"/>
      <c r="FZ1" s="460"/>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row>
    <row r="2" spans="1:258" s="352" customFormat="1" x14ac:dyDescent="0.2">
      <c r="A2" s="384"/>
      <c r="B2" s="389"/>
      <c r="C2" s="389"/>
      <c r="D2" s="389"/>
      <c r="E2" s="389"/>
      <c r="F2" s="390">
        <v>1989</v>
      </c>
      <c r="G2" s="389"/>
      <c r="H2" s="389"/>
      <c r="I2" s="389"/>
      <c r="J2" s="389"/>
      <c r="K2" s="390">
        <f>F2+1</f>
        <v>1990</v>
      </c>
      <c r="L2" s="389"/>
      <c r="M2" s="389"/>
      <c r="N2" s="389"/>
      <c r="O2" s="389"/>
      <c r="P2" s="390">
        <f>K2+1</f>
        <v>1991</v>
      </c>
      <c r="Q2" s="389"/>
      <c r="R2" s="389"/>
      <c r="S2" s="389"/>
      <c r="T2" s="389"/>
      <c r="U2" s="390">
        <f>P2+1</f>
        <v>1992</v>
      </c>
      <c r="V2" s="389"/>
      <c r="W2" s="389"/>
      <c r="X2" s="389"/>
      <c r="Y2" s="389"/>
      <c r="Z2" s="390">
        <f>U2+1</f>
        <v>1993</v>
      </c>
      <c r="AA2" s="389"/>
      <c r="AB2" s="389"/>
      <c r="AC2" s="389"/>
      <c r="AD2" s="389"/>
      <c r="AE2" s="390">
        <f>Z2+1</f>
        <v>1994</v>
      </c>
      <c r="AF2" s="389"/>
      <c r="AG2" s="389"/>
      <c r="AH2" s="389"/>
      <c r="AI2" s="389"/>
      <c r="AJ2" s="390">
        <f>AE2+1</f>
        <v>1995</v>
      </c>
      <c r="AK2" s="389"/>
      <c r="AL2" s="389"/>
      <c r="AM2" s="389"/>
      <c r="AN2" s="389"/>
      <c r="AO2" s="390">
        <f>AJ2+1</f>
        <v>1996</v>
      </c>
      <c r="AP2" s="389"/>
      <c r="AQ2" s="389"/>
      <c r="AR2" s="389"/>
      <c r="AS2" s="389"/>
      <c r="AT2" s="390">
        <f>AO2+1</f>
        <v>1997</v>
      </c>
      <c r="AU2" s="389"/>
      <c r="AV2" s="389"/>
      <c r="AW2" s="389"/>
      <c r="AX2" s="389"/>
      <c r="AY2" s="390">
        <f>AT2+1</f>
        <v>1998</v>
      </c>
      <c r="AZ2" s="389"/>
      <c r="BA2" s="389"/>
      <c r="BB2" s="389"/>
      <c r="BC2" s="389"/>
      <c r="BD2" s="390">
        <f>AY2+1</f>
        <v>1999</v>
      </c>
      <c r="BE2" s="389"/>
      <c r="BF2" s="389"/>
      <c r="BG2" s="389"/>
      <c r="BH2" s="389"/>
      <c r="BI2" s="390">
        <f>BD2+1</f>
        <v>2000</v>
      </c>
      <c r="BJ2" s="389"/>
      <c r="BK2" s="389"/>
      <c r="BL2" s="389"/>
      <c r="BM2" s="389"/>
      <c r="BN2" s="390">
        <f>BI2+1</f>
        <v>2001</v>
      </c>
      <c r="BO2" s="389"/>
      <c r="BP2" s="389"/>
      <c r="BQ2" s="389"/>
      <c r="BR2" s="389"/>
      <c r="BS2" s="390">
        <f>BN2+1</f>
        <v>2002</v>
      </c>
      <c r="BT2" s="389"/>
      <c r="BU2" s="389"/>
      <c r="BV2" s="389"/>
      <c r="BW2" s="389"/>
      <c r="BX2" s="390">
        <f>BS2+1</f>
        <v>2003</v>
      </c>
      <c r="BY2" s="389"/>
      <c r="BZ2" s="389"/>
      <c r="CA2" s="389"/>
      <c r="CB2" s="389"/>
      <c r="CC2" s="390">
        <f>BX2+1</f>
        <v>2004</v>
      </c>
      <c r="CD2" s="389"/>
      <c r="CE2" s="389"/>
      <c r="CF2" s="389"/>
      <c r="CG2" s="389"/>
      <c r="CH2" s="390">
        <f>CC2+1</f>
        <v>2005</v>
      </c>
      <c r="CI2" s="389"/>
      <c r="CJ2" s="389"/>
      <c r="CK2" s="389"/>
      <c r="CL2" s="389"/>
      <c r="CM2" s="390">
        <f>CH2+1</f>
        <v>2006</v>
      </c>
      <c r="CN2" s="389"/>
      <c r="CO2" s="389"/>
      <c r="CP2" s="389"/>
      <c r="CQ2" s="389"/>
      <c r="CR2" s="390">
        <f>CM2+1</f>
        <v>2007</v>
      </c>
      <c r="CS2" s="389"/>
      <c r="CT2" s="389"/>
      <c r="CU2" s="389"/>
      <c r="CV2" s="389"/>
      <c r="CW2" s="390">
        <f>CR2+1</f>
        <v>2008</v>
      </c>
      <c r="CX2" s="389"/>
      <c r="CY2" s="389"/>
      <c r="CZ2" s="389"/>
      <c r="DA2" s="389"/>
      <c r="DB2" s="390">
        <f>CW2+1</f>
        <v>2009</v>
      </c>
      <c r="DC2" s="389"/>
      <c r="DD2" s="389"/>
      <c r="DE2" s="389"/>
      <c r="DF2" s="389"/>
      <c r="DG2" s="390">
        <f>DB2+1</f>
        <v>2010</v>
      </c>
      <c r="DH2" s="389"/>
      <c r="DI2" s="389"/>
      <c r="DJ2" s="389"/>
      <c r="DK2" s="389"/>
      <c r="DL2" s="390">
        <f>DG2+1</f>
        <v>2011</v>
      </c>
      <c r="DM2" s="389"/>
      <c r="DN2" s="389"/>
      <c r="DO2" s="389"/>
      <c r="DP2" s="389"/>
      <c r="DQ2" s="390">
        <f>DL2+1</f>
        <v>2012</v>
      </c>
      <c r="DR2" s="389"/>
      <c r="DS2" s="389"/>
      <c r="DT2" s="389"/>
      <c r="DU2" s="389"/>
      <c r="DV2" s="390">
        <f>DQ2+1</f>
        <v>2013</v>
      </c>
      <c r="DW2" s="389"/>
      <c r="DX2" s="389"/>
      <c r="DY2" s="389"/>
      <c r="DZ2" s="389"/>
      <c r="EA2" s="390">
        <f>DV2+1</f>
        <v>2014</v>
      </c>
      <c r="EB2" s="389"/>
      <c r="EC2" s="389"/>
      <c r="ED2" s="389"/>
      <c r="EE2" s="389"/>
      <c r="EF2" s="390">
        <f>EA2+1</f>
        <v>2015</v>
      </c>
      <c r="EG2" s="389"/>
      <c r="EH2" s="389"/>
      <c r="EI2" s="389"/>
      <c r="EJ2" s="389"/>
      <c r="EK2" s="390">
        <f>EF2+1</f>
        <v>2016</v>
      </c>
      <c r="EL2" s="389"/>
      <c r="EM2" s="389"/>
      <c r="EN2" s="389"/>
      <c r="EO2" s="389"/>
      <c r="EP2" s="390">
        <f>EK2+1</f>
        <v>2017</v>
      </c>
      <c r="EQ2" s="389"/>
      <c r="ER2" s="389"/>
      <c r="ES2" s="389"/>
      <c r="ET2" s="389"/>
      <c r="EU2" s="390">
        <f>EP2+1</f>
        <v>2018</v>
      </c>
      <c r="EV2" s="389"/>
      <c r="EW2" s="389"/>
      <c r="EX2" s="389"/>
      <c r="EY2" s="389"/>
      <c r="EZ2" s="390">
        <f>EU2+1</f>
        <v>2019</v>
      </c>
      <c r="FA2" s="389"/>
      <c r="FB2" s="389"/>
      <c r="FC2" s="389"/>
      <c r="FD2" s="389"/>
      <c r="FE2" s="390">
        <f>EZ2+1</f>
        <v>2020</v>
      </c>
      <c r="FG2" s="461"/>
      <c r="FH2" s="761" t="s">
        <v>589</v>
      </c>
      <c r="FI2" s="761" t="s">
        <v>589</v>
      </c>
      <c r="FJ2" s="761" t="s">
        <v>589</v>
      </c>
      <c r="FK2" s="1309" t="s">
        <v>589</v>
      </c>
      <c r="FL2" s="1334"/>
      <c r="FM2" s="389" t="s">
        <v>632</v>
      </c>
      <c r="FN2" s="1309" t="s">
        <v>781</v>
      </c>
      <c r="FO2" s="1309" t="s">
        <v>724</v>
      </c>
      <c r="FP2" s="1309" t="s">
        <v>661</v>
      </c>
      <c r="FQ2" s="1309" t="s">
        <v>725</v>
      </c>
      <c r="FR2" s="1617"/>
      <c r="FS2" s="1617"/>
      <c r="FT2" s="353"/>
      <c r="FU2" s="353"/>
      <c r="FV2" s="353"/>
      <c r="FW2" s="353"/>
      <c r="FX2" s="353"/>
      <c r="FY2" s="353"/>
      <c r="FZ2" s="461"/>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row>
    <row r="3" spans="1:258" s="395" customFormat="1" x14ac:dyDescent="0.2">
      <c r="A3" s="391" t="s">
        <v>535</v>
      </c>
      <c r="B3" s="392" t="s">
        <v>516</v>
      </c>
      <c r="C3" s="392"/>
      <c r="D3" s="392"/>
      <c r="E3" s="392"/>
      <c r="F3" s="393"/>
      <c r="G3" s="392"/>
      <c r="H3" s="392"/>
      <c r="I3" s="392"/>
      <c r="J3" s="392"/>
      <c r="K3" s="393"/>
      <c r="L3" s="392"/>
      <c r="M3" s="392"/>
      <c r="N3" s="392"/>
      <c r="O3" s="392"/>
      <c r="P3" s="393"/>
      <c r="Q3" s="392"/>
      <c r="R3" s="392"/>
      <c r="S3" s="392"/>
      <c r="T3" s="392"/>
      <c r="U3" s="393"/>
      <c r="V3" s="392"/>
      <c r="W3" s="392"/>
      <c r="X3" s="392"/>
      <c r="Y3" s="392"/>
      <c r="Z3" s="393"/>
      <c r="AA3" s="392"/>
      <c r="AB3" s="392"/>
      <c r="AC3" s="392"/>
      <c r="AD3" s="392"/>
      <c r="AE3" s="393"/>
      <c r="AF3" s="392"/>
      <c r="AG3" s="392"/>
      <c r="AH3" s="392"/>
      <c r="AI3" s="392"/>
      <c r="AJ3" s="393"/>
      <c r="AK3" s="392"/>
      <c r="AL3" s="392"/>
      <c r="AM3" s="392"/>
      <c r="AN3" s="392"/>
      <c r="AO3" s="393"/>
      <c r="AP3" s="392"/>
      <c r="AQ3" s="392"/>
      <c r="AR3" s="392"/>
      <c r="AS3" s="392"/>
      <c r="AT3" s="393"/>
      <c r="AU3" s="392"/>
      <c r="AV3" s="392"/>
      <c r="AW3" s="392"/>
      <c r="AX3" s="392"/>
      <c r="AY3" s="393"/>
      <c r="AZ3" s="392"/>
      <c r="BA3" s="392"/>
      <c r="BB3" s="392"/>
      <c r="BC3" s="392"/>
      <c r="BD3" s="393"/>
      <c r="BE3" s="392"/>
      <c r="BF3" s="392"/>
      <c r="BG3" s="392"/>
      <c r="BH3" s="392"/>
      <c r="BI3" s="393"/>
      <c r="BJ3" s="392"/>
      <c r="BK3" s="392"/>
      <c r="BL3" s="392"/>
      <c r="BM3" s="392"/>
      <c r="BN3" s="393"/>
      <c r="BO3" s="392"/>
      <c r="BP3" s="392"/>
      <c r="BQ3" s="392"/>
      <c r="BR3" s="392"/>
      <c r="BS3" s="393"/>
      <c r="BT3" s="392"/>
      <c r="BU3" s="392"/>
      <c r="BV3" s="392"/>
      <c r="BW3" s="392"/>
      <c r="BX3" s="393"/>
      <c r="BY3" s="392"/>
      <c r="BZ3" s="392"/>
      <c r="CA3" s="392"/>
      <c r="CB3" s="392"/>
      <c r="CC3" s="393"/>
      <c r="CD3" s="392"/>
      <c r="CE3" s="392"/>
      <c r="CF3" s="392"/>
      <c r="CG3" s="392"/>
      <c r="CH3" s="393"/>
      <c r="CI3" s="392"/>
      <c r="CJ3" s="392"/>
      <c r="CK3" s="392"/>
      <c r="CL3" s="392"/>
      <c r="CM3" s="393"/>
      <c r="CN3" s="392"/>
      <c r="CO3" s="392"/>
      <c r="CP3" s="392"/>
      <c r="CQ3" s="392"/>
      <c r="CR3" s="393"/>
      <c r="CS3" s="392"/>
      <c r="CT3" s="392"/>
      <c r="CU3" s="392"/>
      <c r="CV3" s="392"/>
      <c r="CW3" s="393"/>
      <c r="CX3" s="392"/>
      <c r="CY3" s="392"/>
      <c r="CZ3" s="392"/>
      <c r="DA3" s="392"/>
      <c r="DB3" s="393"/>
      <c r="DC3" s="392"/>
      <c r="DD3" s="392"/>
      <c r="DE3" s="392"/>
      <c r="DF3" s="392"/>
      <c r="DG3" s="394"/>
      <c r="DH3" s="392"/>
      <c r="DI3" s="392"/>
      <c r="DJ3" s="392"/>
      <c r="DK3" s="392"/>
      <c r="DL3" s="394"/>
      <c r="DM3" s="392"/>
      <c r="DN3" s="392"/>
      <c r="DO3" s="392"/>
      <c r="DP3" s="392"/>
      <c r="DQ3" s="394"/>
      <c r="DR3" s="392"/>
      <c r="DS3" s="392"/>
      <c r="DU3" s="392"/>
      <c r="DV3" s="394"/>
      <c r="DW3" s="392"/>
      <c r="DX3" s="392"/>
      <c r="DZ3" s="392"/>
      <c r="EA3" s="394"/>
      <c r="EF3" s="394"/>
      <c r="EK3" s="394"/>
      <c r="EP3" s="394"/>
      <c r="EU3" s="394"/>
      <c r="EZ3" s="394"/>
      <c r="FE3" s="394"/>
      <c r="FG3" s="462"/>
      <c r="FH3" s="762"/>
      <c r="FI3" s="762"/>
      <c r="FJ3" s="762"/>
      <c r="FL3" s="1335"/>
      <c r="FR3" s="1618"/>
      <c r="FS3" s="1618"/>
      <c r="FT3" s="431"/>
      <c r="FU3" s="431"/>
      <c r="FV3" s="431"/>
      <c r="FW3" s="431"/>
      <c r="FX3" s="431"/>
      <c r="FY3" s="431"/>
      <c r="FZ3" s="462"/>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row>
    <row r="4" spans="1:258" s="397" customFormat="1" x14ac:dyDescent="0.2">
      <c r="A4" s="396" t="s">
        <v>473</v>
      </c>
      <c r="F4" s="398"/>
      <c r="K4" s="398"/>
      <c r="P4" s="398"/>
      <c r="U4" s="398"/>
      <c r="Z4" s="398"/>
      <c r="AE4" s="398"/>
      <c r="AJ4" s="398"/>
      <c r="AO4" s="398"/>
      <c r="AT4" s="398"/>
      <c r="AY4" s="398"/>
      <c r="BD4" s="398"/>
      <c r="BI4" s="398"/>
      <c r="BN4" s="398"/>
      <c r="BS4" s="398"/>
      <c r="BX4" s="398"/>
      <c r="CC4" s="398"/>
      <c r="CH4" s="398"/>
      <c r="CM4" s="398"/>
      <c r="CR4" s="398"/>
      <c r="CW4" s="398"/>
      <c r="DB4" s="398"/>
      <c r="DG4" s="398"/>
      <c r="DL4" s="398"/>
      <c r="DQ4" s="413"/>
      <c r="DV4" s="398"/>
      <c r="EA4" s="398"/>
      <c r="EB4" s="1706" t="s">
        <v>760</v>
      </c>
      <c r="EC4" s="1006"/>
      <c r="ED4" s="1006"/>
      <c r="EE4" s="1006"/>
      <c r="EF4" s="398"/>
      <c r="EJ4" s="1006"/>
      <c r="EK4" s="398"/>
      <c r="EM4" s="1006"/>
      <c r="EP4" s="413"/>
      <c r="EU4" s="413"/>
      <c r="EZ4" s="413"/>
      <c r="FE4" s="413"/>
      <c r="FG4" s="462"/>
      <c r="FH4" s="763"/>
      <c r="FI4" s="763"/>
      <c r="FJ4" s="763"/>
      <c r="FL4" s="1336"/>
      <c r="FR4" s="1619"/>
      <c r="FS4" s="1619"/>
      <c r="FT4" s="399"/>
      <c r="FU4" s="399"/>
      <c r="FV4" s="399"/>
      <c r="FW4" s="399"/>
      <c r="FX4" s="399"/>
      <c r="FY4" s="399"/>
      <c r="FZ4" s="462"/>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row>
    <row r="5" spans="1:258" s="228" customFormat="1" x14ac:dyDescent="0.2">
      <c r="A5" s="670" t="s">
        <v>314</v>
      </c>
      <c r="F5" s="229"/>
      <c r="K5" s="229"/>
      <c r="P5" s="229"/>
      <c r="Q5" s="228">
        <v>442</v>
      </c>
      <c r="R5" s="228">
        <v>438.63162055335965</v>
      </c>
      <c r="S5" s="228">
        <v>443</v>
      </c>
      <c r="T5" s="228">
        <v>441</v>
      </c>
      <c r="U5" s="229">
        <f>SUM(Q5:T5)</f>
        <v>1764.6316205533597</v>
      </c>
      <c r="V5" s="228">
        <v>394</v>
      </c>
      <c r="W5" s="228">
        <v>406</v>
      </c>
      <c r="X5" s="228">
        <v>391</v>
      </c>
      <c r="Y5" s="228">
        <v>375</v>
      </c>
      <c r="Z5" s="229">
        <f>SUM(V5:Y5)</f>
        <v>1566</v>
      </c>
      <c r="AA5" s="228">
        <v>396</v>
      </c>
      <c r="AB5" s="228">
        <v>421</v>
      </c>
      <c r="AC5" s="228">
        <v>430</v>
      </c>
      <c r="AD5" s="228">
        <v>431</v>
      </c>
      <c r="AE5" s="229">
        <f>SUM(AA5:AD5)</f>
        <v>1678</v>
      </c>
      <c r="AF5" s="228">
        <v>414</v>
      </c>
      <c r="AG5" s="228">
        <v>420</v>
      </c>
      <c r="AH5" s="228">
        <v>423</v>
      </c>
      <c r="AI5" s="228">
        <v>421</v>
      </c>
      <c r="AJ5" s="229">
        <f>SUM(AF5:AI5)</f>
        <v>1678</v>
      </c>
      <c r="AK5" s="228">
        <v>402</v>
      </c>
      <c r="AL5" s="228">
        <v>434</v>
      </c>
      <c r="AM5" s="228">
        <v>433</v>
      </c>
      <c r="AN5" s="228">
        <v>442</v>
      </c>
      <c r="AO5" s="229">
        <f>SUM(AK5:AN5)</f>
        <v>1711</v>
      </c>
      <c r="AP5" s="228">
        <v>430</v>
      </c>
      <c r="AQ5" s="228">
        <v>421</v>
      </c>
      <c r="AR5" s="228">
        <v>428</v>
      </c>
      <c r="AS5" s="228">
        <v>435</v>
      </c>
      <c r="AT5" s="229">
        <f>SUM(AP5:AS5)</f>
        <v>1714</v>
      </c>
      <c r="AU5" s="228">
        <v>430</v>
      </c>
      <c r="AV5" s="228">
        <v>444</v>
      </c>
      <c r="AW5" s="228">
        <v>442</v>
      </c>
      <c r="AX5" s="228">
        <v>445</v>
      </c>
      <c r="AY5" s="229">
        <f>SUM(AU5:AX5)</f>
        <v>1761</v>
      </c>
      <c r="AZ5" s="228">
        <v>415</v>
      </c>
      <c r="BA5" s="228">
        <v>414</v>
      </c>
      <c r="BB5" s="228">
        <v>462</v>
      </c>
      <c r="BC5" s="228">
        <v>439</v>
      </c>
      <c r="BD5" s="229">
        <f>SUM(AZ5:BC5)</f>
        <v>1730</v>
      </c>
      <c r="BE5" s="228">
        <v>416</v>
      </c>
      <c r="BF5" s="228">
        <v>434</v>
      </c>
      <c r="BG5" s="228">
        <v>459</v>
      </c>
      <c r="BH5" s="228">
        <v>446</v>
      </c>
      <c r="BI5" s="229">
        <f>SUM(BE5:BH5)</f>
        <v>1755</v>
      </c>
      <c r="BJ5" s="228">
        <v>454</v>
      </c>
      <c r="BK5" s="228">
        <v>454</v>
      </c>
      <c r="BL5" s="228">
        <v>444</v>
      </c>
      <c r="BM5" s="228">
        <v>447</v>
      </c>
      <c r="BN5" s="229">
        <f>SUM(BJ5:BM5)</f>
        <v>1799</v>
      </c>
      <c r="BO5" s="228">
        <v>405</v>
      </c>
      <c r="BP5" s="228">
        <v>409</v>
      </c>
      <c r="BQ5" s="228">
        <v>417</v>
      </c>
      <c r="BR5" s="228">
        <v>413</v>
      </c>
      <c r="BS5" s="229">
        <f>SUM(BO5:BR5)</f>
        <v>1644</v>
      </c>
      <c r="BT5" s="228">
        <v>385</v>
      </c>
      <c r="BU5" s="228">
        <v>418</v>
      </c>
      <c r="BV5" s="228">
        <v>408</v>
      </c>
      <c r="BW5" s="228">
        <v>424</v>
      </c>
      <c r="BX5" s="229">
        <f>SUM(BT5:BW5)</f>
        <v>1635</v>
      </c>
      <c r="BY5" s="228">
        <v>420</v>
      </c>
      <c r="BZ5" s="228">
        <v>427</v>
      </c>
      <c r="CA5" s="228">
        <v>423</v>
      </c>
      <c r="CB5" s="228">
        <v>460</v>
      </c>
      <c r="CC5" s="229">
        <f>SUM(BY5:CB5)</f>
        <v>1730</v>
      </c>
      <c r="CD5" s="228">
        <v>458</v>
      </c>
      <c r="CE5" s="228">
        <v>459</v>
      </c>
      <c r="CF5" s="228">
        <v>442</v>
      </c>
      <c r="CG5" s="228">
        <v>450</v>
      </c>
      <c r="CH5" s="229">
        <f>SUM(CD5:CG5)</f>
        <v>1809</v>
      </c>
      <c r="CI5" s="228">
        <v>476</v>
      </c>
      <c r="CJ5" s="228">
        <v>470</v>
      </c>
      <c r="CK5" s="228">
        <v>475</v>
      </c>
      <c r="CL5" s="228">
        <v>471</v>
      </c>
      <c r="CM5" s="229">
        <f>SUM(CI5:CL5)</f>
        <v>1892</v>
      </c>
      <c r="CN5" s="228">
        <v>462</v>
      </c>
      <c r="CO5" s="228">
        <v>466</v>
      </c>
      <c r="CP5" s="228">
        <v>465</v>
      </c>
      <c r="CQ5" s="228">
        <v>469</v>
      </c>
      <c r="CR5" s="229">
        <f>SUM(CN5:CQ5)</f>
        <v>1862</v>
      </c>
      <c r="CS5" s="228">
        <v>463</v>
      </c>
      <c r="CT5" s="228">
        <v>477</v>
      </c>
      <c r="CU5" s="228">
        <v>468</v>
      </c>
      <c r="CV5" s="228">
        <v>471</v>
      </c>
      <c r="CW5" s="229">
        <f>SUM(CS5:CV5)</f>
        <v>1879</v>
      </c>
      <c r="CX5" s="228">
        <v>431</v>
      </c>
      <c r="CY5" s="228">
        <v>375</v>
      </c>
      <c r="CZ5" s="228">
        <v>382</v>
      </c>
      <c r="DA5" s="228">
        <v>365</v>
      </c>
      <c r="DB5" s="229">
        <f>SUM(CX5:DA5)</f>
        <v>1553</v>
      </c>
      <c r="DC5" s="228">
        <v>373</v>
      </c>
      <c r="DD5" s="228">
        <v>401</v>
      </c>
      <c r="DE5" s="228">
        <v>392</v>
      </c>
      <c r="DF5" s="228">
        <v>407</v>
      </c>
      <c r="DG5" s="229">
        <f>SUM(DC5:DF5)</f>
        <v>1573</v>
      </c>
      <c r="DH5" s="228">
        <v>385</v>
      </c>
      <c r="DI5" s="228">
        <v>388</v>
      </c>
      <c r="DJ5" s="228">
        <v>386</v>
      </c>
      <c r="DK5" s="228">
        <v>374</v>
      </c>
      <c r="DL5" s="229">
        <f>SUM(DH5:DK5)</f>
        <v>1533</v>
      </c>
      <c r="DM5" s="228">
        <v>331</v>
      </c>
      <c r="DN5" s="228">
        <v>331</v>
      </c>
      <c r="DO5" s="228">
        <v>323</v>
      </c>
      <c r="DP5" s="228">
        <v>305</v>
      </c>
      <c r="DQ5" s="229">
        <f>SUM(DM5:DP5)</f>
        <v>1290</v>
      </c>
      <c r="DR5" s="228">
        <v>294.58999999999997</v>
      </c>
      <c r="DS5" s="228">
        <v>310</v>
      </c>
      <c r="DT5" s="230">
        <v>299</v>
      </c>
      <c r="DU5" s="228">
        <v>289</v>
      </c>
      <c r="DV5" s="229">
        <f>SUM(DR5:DU5)</f>
        <v>1192.5899999999999</v>
      </c>
      <c r="DW5" s="228">
        <v>293</v>
      </c>
      <c r="DX5" s="228">
        <v>330</v>
      </c>
      <c r="DY5" s="230">
        <v>319</v>
      </c>
      <c r="DZ5" s="228">
        <v>320</v>
      </c>
      <c r="EA5" s="229">
        <f>SUM(DW5:DZ5)</f>
        <v>1262</v>
      </c>
      <c r="EB5" s="228">
        <v>289</v>
      </c>
      <c r="EC5" s="228">
        <v>295</v>
      </c>
      <c r="ED5" s="230">
        <v>261</v>
      </c>
      <c r="EE5" s="228">
        <v>218</v>
      </c>
      <c r="EF5" s="229">
        <f>SUM(EB5:EE5)</f>
        <v>1063</v>
      </c>
      <c r="EG5" s="228">
        <v>200</v>
      </c>
      <c r="EH5" s="228">
        <v>195</v>
      </c>
      <c r="EI5" s="230">
        <v>207</v>
      </c>
      <c r="EJ5" s="228">
        <v>236</v>
      </c>
      <c r="EK5" s="229">
        <f>SUM(EG5:EJ5)</f>
        <v>838</v>
      </c>
      <c r="EL5" s="228">
        <v>205</v>
      </c>
      <c r="EM5" s="228">
        <v>208</v>
      </c>
      <c r="EN5" s="230">
        <v>218</v>
      </c>
      <c r="EO5" s="228">
        <v>224</v>
      </c>
      <c r="EP5" s="229">
        <f>SUM(EL5:EO5)</f>
        <v>855</v>
      </c>
      <c r="EQ5" s="228">
        <v>201</v>
      </c>
      <c r="ER5" s="230">
        <f t="shared" ref="ER5:ER6" si="1">EM5*(1+ER32)</f>
        <v>191.36</v>
      </c>
      <c r="ES5" s="230">
        <f t="shared" ref="ES5:ET6" si="2">EN5*(1+ES32)</f>
        <v>200.56</v>
      </c>
      <c r="ET5" s="230">
        <f t="shared" si="2"/>
        <v>218.4</v>
      </c>
      <c r="EU5" s="1931">
        <f>SUM(EQ5:ET5)</f>
        <v>811.32</v>
      </c>
      <c r="EV5" s="721"/>
      <c r="EW5" s="721"/>
      <c r="EX5" s="721"/>
      <c r="EY5" s="721"/>
      <c r="EZ5" s="1932">
        <f>EU5*(1+EZ32)</f>
        <v>762.64080000000001</v>
      </c>
      <c r="FA5" s="721"/>
      <c r="FB5" s="721"/>
      <c r="FC5" s="721"/>
      <c r="FD5" s="721"/>
      <c r="FE5" s="1932">
        <f>EZ5*(1+FE32)</f>
        <v>716.88235199999997</v>
      </c>
      <c r="FG5" s="464"/>
      <c r="FH5" s="1917"/>
      <c r="FJ5" s="764"/>
      <c r="FL5" s="1337"/>
      <c r="FM5" s="230">
        <f t="shared" ref="FM5:FM12" si="3">+EQ5</f>
        <v>201</v>
      </c>
      <c r="FN5" s="764">
        <f t="shared" ref="FN5:FN12" si="4">EL5</f>
        <v>205</v>
      </c>
      <c r="FO5" s="1797">
        <v>198.85</v>
      </c>
      <c r="FP5" s="1733">
        <f>+FM5/FN5-1</f>
        <v>-1.9512195121951237E-2</v>
      </c>
      <c r="FQ5" s="1519">
        <f>+FM5/FO5-1</f>
        <v>1.0812169977370001E-2</v>
      </c>
      <c r="FR5" s="1614" t="s">
        <v>818</v>
      </c>
      <c r="FS5" s="1619"/>
      <c r="FT5" s="399"/>
      <c r="FU5" s="399"/>
      <c r="FV5" s="399"/>
      <c r="FW5" s="399"/>
      <c r="FX5" s="399"/>
      <c r="FY5" s="399"/>
      <c r="FZ5" s="464"/>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row>
    <row r="6" spans="1:258" s="228" customFormat="1" x14ac:dyDescent="0.2">
      <c r="A6" s="670" t="s">
        <v>232</v>
      </c>
      <c r="F6" s="229"/>
      <c r="K6" s="229"/>
      <c r="P6" s="229"/>
      <c r="Q6" s="228">
        <v>261.3</v>
      </c>
      <c r="R6" s="228">
        <v>263.39999999999998</v>
      </c>
      <c r="S6" s="228">
        <v>272</v>
      </c>
      <c r="T6" s="228">
        <v>287</v>
      </c>
      <c r="U6" s="229">
        <f>SUM(Q6:T6)</f>
        <v>1083.7</v>
      </c>
      <c r="V6" s="228">
        <v>269</v>
      </c>
      <c r="W6" s="228">
        <v>274</v>
      </c>
      <c r="X6" s="228">
        <v>289</v>
      </c>
      <c r="Y6" s="228">
        <v>309</v>
      </c>
      <c r="Z6" s="229">
        <f>SUM(V6:Y6)</f>
        <v>1141</v>
      </c>
      <c r="AA6" s="228">
        <v>302</v>
      </c>
      <c r="AB6" s="228">
        <v>321</v>
      </c>
      <c r="AC6" s="228">
        <v>320</v>
      </c>
      <c r="AD6" s="228">
        <v>340</v>
      </c>
      <c r="AE6" s="229">
        <f>SUM(AA6:AD6)</f>
        <v>1283</v>
      </c>
      <c r="AF6" s="228">
        <v>247</v>
      </c>
      <c r="AG6" s="228">
        <v>242</v>
      </c>
      <c r="AH6" s="228">
        <v>241</v>
      </c>
      <c r="AI6" s="228">
        <v>250</v>
      </c>
      <c r="AJ6" s="229">
        <f>SUM(AF6:AI6)</f>
        <v>980</v>
      </c>
      <c r="AK6" s="228">
        <v>225</v>
      </c>
      <c r="AL6" s="228">
        <v>245</v>
      </c>
      <c r="AM6" s="228">
        <v>246</v>
      </c>
      <c r="AN6" s="228">
        <v>253</v>
      </c>
      <c r="AO6" s="229">
        <f>SUM(AK6:AN6)</f>
        <v>969</v>
      </c>
      <c r="AP6" s="228">
        <v>248</v>
      </c>
      <c r="AQ6" s="228">
        <v>259</v>
      </c>
      <c r="AR6" s="228">
        <v>259</v>
      </c>
      <c r="AS6" s="228">
        <v>264</v>
      </c>
      <c r="AT6" s="229">
        <f>SUM(AP6:AS6)</f>
        <v>1030</v>
      </c>
      <c r="AU6" s="228">
        <v>252</v>
      </c>
      <c r="AV6" s="228">
        <v>256</v>
      </c>
      <c r="AW6" s="228">
        <v>259</v>
      </c>
      <c r="AX6" s="228">
        <v>274</v>
      </c>
      <c r="AY6" s="229">
        <f>SUM(AU6:AX6)</f>
        <v>1041</v>
      </c>
      <c r="AZ6" s="228">
        <v>276</v>
      </c>
      <c r="BA6" s="228">
        <v>346</v>
      </c>
      <c r="BB6" s="228">
        <v>504</v>
      </c>
      <c r="BC6" s="228">
        <v>519</v>
      </c>
      <c r="BD6" s="229">
        <f>SUM(AZ6:BC6)</f>
        <v>1645</v>
      </c>
      <c r="BE6" s="228">
        <v>528</v>
      </c>
      <c r="BF6" s="228">
        <v>519</v>
      </c>
      <c r="BG6" s="228">
        <v>508</v>
      </c>
      <c r="BH6" s="228">
        <v>497</v>
      </c>
      <c r="BI6" s="229">
        <f>SUM(BE6:BH6)</f>
        <v>2052</v>
      </c>
      <c r="BJ6" s="228">
        <v>481</v>
      </c>
      <c r="BK6" s="228">
        <v>497</v>
      </c>
      <c r="BL6" s="228">
        <v>517</v>
      </c>
      <c r="BM6" s="228">
        <v>509</v>
      </c>
      <c r="BN6" s="229">
        <f>SUM(BJ6:BM6)</f>
        <v>2004</v>
      </c>
      <c r="BO6" s="228">
        <v>481</v>
      </c>
      <c r="BP6" s="228">
        <v>537</v>
      </c>
      <c r="BQ6" s="228">
        <v>566</v>
      </c>
      <c r="BR6" s="228">
        <v>535</v>
      </c>
      <c r="BS6" s="229">
        <f>SUM(BO6:BR6)</f>
        <v>2119</v>
      </c>
      <c r="BT6" s="228">
        <v>526</v>
      </c>
      <c r="BU6" s="228">
        <v>565</v>
      </c>
      <c r="BV6" s="228">
        <v>564</v>
      </c>
      <c r="BW6" s="228">
        <v>575</v>
      </c>
      <c r="BX6" s="229">
        <f>SUM(BT6:BW6)</f>
        <v>2230</v>
      </c>
      <c r="BY6" s="228">
        <v>549</v>
      </c>
      <c r="BZ6" s="228">
        <v>589</v>
      </c>
      <c r="CA6" s="228">
        <v>559</v>
      </c>
      <c r="CB6" s="228">
        <v>609</v>
      </c>
      <c r="CC6" s="229">
        <f>SUM(BY6:CB6)</f>
        <v>2306</v>
      </c>
      <c r="CD6" s="228">
        <v>528</v>
      </c>
      <c r="CE6" s="228">
        <v>543</v>
      </c>
      <c r="CF6" s="228">
        <v>544</v>
      </c>
      <c r="CG6" s="228">
        <v>550</v>
      </c>
      <c r="CH6" s="229">
        <f>SUM(CD6:CG6)</f>
        <v>2165</v>
      </c>
      <c r="CI6" s="228">
        <v>516</v>
      </c>
      <c r="CJ6" s="228">
        <v>547</v>
      </c>
      <c r="CK6" s="228">
        <v>564</v>
      </c>
      <c r="CL6" s="228">
        <v>552</v>
      </c>
      <c r="CM6" s="229">
        <f>SUM(CI6:CL6)</f>
        <v>2179</v>
      </c>
      <c r="CN6" s="228">
        <v>509</v>
      </c>
      <c r="CO6" s="228">
        <v>539</v>
      </c>
      <c r="CP6" s="228">
        <v>530</v>
      </c>
      <c r="CQ6" s="228">
        <v>533</v>
      </c>
      <c r="CR6" s="229">
        <f>SUM(CN6:CQ6)</f>
        <v>2111</v>
      </c>
      <c r="CS6" s="228">
        <v>508</v>
      </c>
      <c r="CT6" s="228">
        <v>530</v>
      </c>
      <c r="CU6" s="228">
        <v>532</v>
      </c>
      <c r="CV6" s="228">
        <v>499</v>
      </c>
      <c r="CW6" s="229">
        <f>SUM(CS6:CV6)</f>
        <v>2069</v>
      </c>
      <c r="CX6" s="228">
        <v>440</v>
      </c>
      <c r="CY6" s="228">
        <v>457</v>
      </c>
      <c r="CZ6" s="228">
        <v>481</v>
      </c>
      <c r="DA6" s="228">
        <v>524</v>
      </c>
      <c r="DB6" s="229">
        <f>SUM(CX6:DA6)</f>
        <v>1902</v>
      </c>
      <c r="DC6" s="228">
        <v>500</v>
      </c>
      <c r="DD6" s="228">
        <v>538</v>
      </c>
      <c r="DE6" s="228">
        <v>574</v>
      </c>
      <c r="DF6" s="228">
        <v>611</v>
      </c>
      <c r="DG6" s="229">
        <f>SUM(DC6:DF6)</f>
        <v>2223</v>
      </c>
      <c r="DH6" s="228">
        <v>553</v>
      </c>
      <c r="DI6" s="228">
        <v>581</v>
      </c>
      <c r="DJ6" s="228">
        <v>576</v>
      </c>
      <c r="DK6" s="228">
        <v>579</v>
      </c>
      <c r="DL6" s="229">
        <f>SUM(DH6:DK6)</f>
        <v>2289</v>
      </c>
      <c r="DM6" s="228">
        <v>600</v>
      </c>
      <c r="DN6" s="228">
        <v>629</v>
      </c>
      <c r="DO6" s="228">
        <v>622</v>
      </c>
      <c r="DP6" s="228">
        <v>600</v>
      </c>
      <c r="DQ6" s="229">
        <f>SUM(DM6:DP6)</f>
        <v>2451</v>
      </c>
      <c r="DR6" s="228">
        <v>615</v>
      </c>
      <c r="DS6" s="228">
        <v>644</v>
      </c>
      <c r="DT6" s="230">
        <v>657</v>
      </c>
      <c r="DU6" s="228">
        <v>666</v>
      </c>
      <c r="DV6" s="229">
        <f>SUM(DR6:DU6)</f>
        <v>2582</v>
      </c>
      <c r="DW6" s="228">
        <v>647</v>
      </c>
      <c r="DX6" s="228">
        <v>691</v>
      </c>
      <c r="DY6" s="230">
        <v>691</v>
      </c>
      <c r="DZ6" s="228">
        <v>699.30000000000007</v>
      </c>
      <c r="EA6" s="229">
        <f>SUM(DW6:DZ6)</f>
        <v>2728.3</v>
      </c>
      <c r="EB6" s="228">
        <v>655</v>
      </c>
      <c r="EC6" s="228">
        <v>723</v>
      </c>
      <c r="ED6" s="230">
        <v>731</v>
      </c>
      <c r="EE6" s="228">
        <v>729</v>
      </c>
      <c r="EF6" s="229">
        <f>SUM(EB6:EE6)</f>
        <v>2838</v>
      </c>
      <c r="EG6" s="228">
        <v>678</v>
      </c>
      <c r="EH6" s="228">
        <v>694</v>
      </c>
      <c r="EI6" s="230">
        <v>681</v>
      </c>
      <c r="EJ6" s="228">
        <v>758</v>
      </c>
      <c r="EK6" s="229">
        <f>SUM(EG6:EJ6)</f>
        <v>2811</v>
      </c>
      <c r="EL6" s="228">
        <v>688</v>
      </c>
      <c r="EM6" s="228">
        <v>718</v>
      </c>
      <c r="EN6" s="230">
        <v>718</v>
      </c>
      <c r="EO6" s="228">
        <v>719</v>
      </c>
      <c r="EP6" s="229">
        <f>SUM(EL6:EO6)</f>
        <v>2843</v>
      </c>
      <c r="EQ6" s="228">
        <v>689</v>
      </c>
      <c r="ER6" s="230">
        <f t="shared" si="1"/>
        <v>728.77</v>
      </c>
      <c r="ES6" s="230">
        <f t="shared" si="2"/>
        <v>743.13</v>
      </c>
      <c r="ET6" s="230">
        <f t="shared" si="2"/>
        <v>754.95</v>
      </c>
      <c r="EU6" s="229">
        <f>SUM(EQ6:ET6)</f>
        <v>2915.8500000000004</v>
      </c>
      <c r="EZ6" s="231">
        <f>EU6*(1+EZ33)</f>
        <v>3032.4840000000004</v>
      </c>
      <c r="FE6" s="231">
        <f>EZ6*(1+FE33)</f>
        <v>3153.7833600000004</v>
      </c>
      <c r="FG6" s="465"/>
      <c r="FH6" s="1444"/>
      <c r="FI6" s="1719"/>
      <c r="FJ6" s="764"/>
      <c r="FL6" s="1337"/>
      <c r="FM6" s="230">
        <f t="shared" si="3"/>
        <v>689</v>
      </c>
      <c r="FN6" s="764">
        <f t="shared" si="4"/>
        <v>688</v>
      </c>
      <c r="FO6" s="1797">
        <v>691.43999999999994</v>
      </c>
      <c r="FP6" s="1733">
        <f t="shared" ref="FP6:FP23" si="5">+FM6/FN6-1</f>
        <v>1.4534883720929148E-3</v>
      </c>
      <c r="FQ6" s="1519">
        <f t="shared" ref="FQ6:FQ23" si="6">+FM6/FO6-1</f>
        <v>-3.5288672914496333E-3</v>
      </c>
      <c r="FR6" s="1619" t="s">
        <v>630</v>
      </c>
      <c r="FS6" s="1619"/>
      <c r="FT6" s="399"/>
      <c r="FU6" s="399"/>
      <c r="FV6" s="399"/>
      <c r="FW6" s="399"/>
      <c r="FX6" s="399"/>
      <c r="FY6" s="399"/>
      <c r="FZ6" s="465"/>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c r="IW6"/>
      <c r="IX6"/>
    </row>
    <row r="7" spans="1:258" s="228" customFormat="1" x14ac:dyDescent="0.2">
      <c r="A7" s="670" t="s">
        <v>456</v>
      </c>
      <c r="F7" s="229"/>
      <c r="K7" s="229"/>
      <c r="P7" s="229"/>
      <c r="Q7" s="228">
        <f t="shared" ref="Q7:CB7" si="7">SUM(Q8:Q22)</f>
        <v>625</v>
      </c>
      <c r="R7" s="228">
        <f t="shared" si="7"/>
        <v>656.93675889328063</v>
      </c>
      <c r="S7" s="228">
        <f t="shared" si="7"/>
        <v>617</v>
      </c>
      <c r="T7" s="228">
        <f t="shared" si="7"/>
        <v>647</v>
      </c>
      <c r="U7" s="229">
        <f t="shared" si="7"/>
        <v>2545.9367588932805</v>
      </c>
      <c r="V7" s="228">
        <f t="shared" si="7"/>
        <v>642</v>
      </c>
      <c r="W7" s="228">
        <f t="shared" si="7"/>
        <v>670</v>
      </c>
      <c r="X7" s="228">
        <f t="shared" si="7"/>
        <v>649</v>
      </c>
      <c r="Y7" s="228">
        <f t="shared" si="7"/>
        <v>676</v>
      </c>
      <c r="Z7" s="229">
        <f t="shared" si="7"/>
        <v>2637</v>
      </c>
      <c r="AA7" s="228">
        <f t="shared" si="7"/>
        <v>678</v>
      </c>
      <c r="AB7" s="228">
        <f t="shared" si="7"/>
        <v>720</v>
      </c>
      <c r="AC7" s="228">
        <f t="shared" si="7"/>
        <v>689</v>
      </c>
      <c r="AD7" s="228">
        <f t="shared" si="7"/>
        <v>715</v>
      </c>
      <c r="AE7" s="229">
        <f t="shared" si="7"/>
        <v>2802</v>
      </c>
      <c r="AF7" s="228">
        <f t="shared" si="7"/>
        <v>730</v>
      </c>
      <c r="AG7" s="228">
        <f t="shared" si="7"/>
        <v>740</v>
      </c>
      <c r="AH7" s="228">
        <f t="shared" si="7"/>
        <v>714</v>
      </c>
      <c r="AI7" s="228">
        <f t="shared" si="7"/>
        <v>721</v>
      </c>
      <c r="AJ7" s="229">
        <f t="shared" si="7"/>
        <v>2905</v>
      </c>
      <c r="AK7" s="228">
        <f t="shared" si="7"/>
        <v>702</v>
      </c>
      <c r="AL7" s="228">
        <f t="shared" si="7"/>
        <v>731</v>
      </c>
      <c r="AM7" s="228">
        <f t="shared" si="7"/>
        <v>705</v>
      </c>
      <c r="AN7" s="228">
        <f t="shared" si="7"/>
        <v>717</v>
      </c>
      <c r="AO7" s="229">
        <f t="shared" si="7"/>
        <v>2855</v>
      </c>
      <c r="AP7" s="228">
        <f t="shared" si="7"/>
        <v>729</v>
      </c>
      <c r="AQ7" s="228">
        <f t="shared" si="7"/>
        <v>757</v>
      </c>
      <c r="AR7" s="228">
        <f t="shared" si="7"/>
        <v>730</v>
      </c>
      <c r="AS7" s="228">
        <f t="shared" si="7"/>
        <v>762</v>
      </c>
      <c r="AT7" s="229">
        <f t="shared" si="7"/>
        <v>2978</v>
      </c>
      <c r="AU7" s="228">
        <f t="shared" si="7"/>
        <v>724</v>
      </c>
      <c r="AV7" s="228">
        <f t="shared" si="7"/>
        <v>749</v>
      </c>
      <c r="AW7" s="228">
        <f t="shared" si="7"/>
        <v>717</v>
      </c>
      <c r="AX7" s="228">
        <f t="shared" si="7"/>
        <v>744</v>
      </c>
      <c r="AY7" s="229">
        <f t="shared" si="7"/>
        <v>2934</v>
      </c>
      <c r="AZ7" s="228">
        <f t="shared" si="7"/>
        <v>795</v>
      </c>
      <c r="BA7" s="228">
        <f t="shared" si="7"/>
        <v>808</v>
      </c>
      <c r="BB7" s="228">
        <f t="shared" si="7"/>
        <v>869</v>
      </c>
      <c r="BC7" s="228">
        <f t="shared" si="7"/>
        <v>886</v>
      </c>
      <c r="BD7" s="229">
        <f t="shared" si="7"/>
        <v>3358</v>
      </c>
      <c r="BE7" s="228">
        <f t="shared" si="7"/>
        <v>903</v>
      </c>
      <c r="BF7" s="228">
        <f t="shared" si="7"/>
        <v>906</v>
      </c>
      <c r="BG7" s="228">
        <f t="shared" si="7"/>
        <v>854</v>
      </c>
      <c r="BH7" s="228">
        <f t="shared" si="7"/>
        <v>848</v>
      </c>
      <c r="BI7" s="229">
        <f t="shared" si="7"/>
        <v>3511</v>
      </c>
      <c r="BJ7" s="228">
        <f t="shared" si="7"/>
        <v>838</v>
      </c>
      <c r="BK7" s="228">
        <f t="shared" si="7"/>
        <v>846</v>
      </c>
      <c r="BL7" s="228">
        <f t="shared" si="7"/>
        <v>813</v>
      </c>
      <c r="BM7" s="228">
        <f t="shared" si="7"/>
        <v>818</v>
      </c>
      <c r="BN7" s="229">
        <f t="shared" si="7"/>
        <v>3315</v>
      </c>
      <c r="BO7" s="228">
        <f t="shared" si="7"/>
        <v>812</v>
      </c>
      <c r="BP7" s="228">
        <f t="shared" si="7"/>
        <v>864</v>
      </c>
      <c r="BQ7" s="228">
        <f t="shared" si="7"/>
        <v>829</v>
      </c>
      <c r="BR7" s="228">
        <f t="shared" si="7"/>
        <v>823</v>
      </c>
      <c r="BS7" s="229">
        <f t="shared" si="7"/>
        <v>3328</v>
      </c>
      <c r="BT7" s="228">
        <f t="shared" si="7"/>
        <v>837</v>
      </c>
      <c r="BU7" s="228">
        <f t="shared" si="7"/>
        <v>864</v>
      </c>
      <c r="BV7" s="228">
        <f t="shared" si="7"/>
        <v>849</v>
      </c>
      <c r="BW7" s="228">
        <f t="shared" si="7"/>
        <v>868</v>
      </c>
      <c r="BX7" s="229">
        <f t="shared" si="7"/>
        <v>3418</v>
      </c>
      <c r="BY7" s="228">
        <f t="shared" si="7"/>
        <v>855</v>
      </c>
      <c r="BZ7" s="228">
        <f t="shared" si="7"/>
        <v>890</v>
      </c>
      <c r="CA7" s="228">
        <f t="shared" si="7"/>
        <v>835</v>
      </c>
      <c r="CB7" s="228">
        <f t="shared" si="7"/>
        <v>914</v>
      </c>
      <c r="CC7" s="229">
        <f t="shared" ref="CC7:DL7" si="8">SUM(CC8:CC22)</f>
        <v>3494</v>
      </c>
      <c r="CD7" s="228">
        <f t="shared" si="8"/>
        <v>858</v>
      </c>
      <c r="CE7" s="228">
        <f t="shared" si="8"/>
        <v>867</v>
      </c>
      <c r="CF7" s="228">
        <f t="shared" si="8"/>
        <v>833</v>
      </c>
      <c r="CG7" s="228">
        <f t="shared" si="8"/>
        <v>818</v>
      </c>
      <c r="CH7" s="229">
        <f t="shared" si="8"/>
        <v>3376</v>
      </c>
      <c r="CI7" s="228">
        <f t="shared" si="8"/>
        <v>834</v>
      </c>
      <c r="CJ7" s="228">
        <f t="shared" si="8"/>
        <v>853</v>
      </c>
      <c r="CK7" s="228">
        <f t="shared" si="8"/>
        <v>813</v>
      </c>
      <c r="CL7" s="228">
        <f t="shared" si="8"/>
        <v>787</v>
      </c>
      <c r="CM7" s="229">
        <f t="shared" si="8"/>
        <v>3287</v>
      </c>
      <c r="CN7" s="228">
        <f t="shared" si="8"/>
        <v>784</v>
      </c>
      <c r="CO7" s="228">
        <f t="shared" si="8"/>
        <v>822</v>
      </c>
      <c r="CP7" s="228">
        <f t="shared" si="8"/>
        <v>778</v>
      </c>
      <c r="CQ7" s="228">
        <f t="shared" si="8"/>
        <v>759</v>
      </c>
      <c r="CR7" s="229">
        <f t="shared" si="8"/>
        <v>3143</v>
      </c>
      <c r="CS7" s="228">
        <f t="shared" si="8"/>
        <v>746</v>
      </c>
      <c r="CT7" s="228">
        <f t="shared" si="8"/>
        <v>768</v>
      </c>
      <c r="CU7" s="228">
        <f t="shared" si="8"/>
        <v>732</v>
      </c>
      <c r="CV7" s="228">
        <f t="shared" si="8"/>
        <v>633</v>
      </c>
      <c r="CW7" s="229">
        <f t="shared" si="8"/>
        <v>2879</v>
      </c>
      <c r="CX7" s="228">
        <f t="shared" si="8"/>
        <v>548</v>
      </c>
      <c r="CY7" s="228">
        <f t="shared" si="8"/>
        <v>579</v>
      </c>
      <c r="CZ7" s="228">
        <f t="shared" si="8"/>
        <v>602</v>
      </c>
      <c r="DA7" s="228">
        <f t="shared" si="8"/>
        <v>609</v>
      </c>
      <c r="DB7" s="229">
        <f t="shared" si="8"/>
        <v>2338</v>
      </c>
      <c r="DC7" s="228">
        <f t="shared" si="8"/>
        <v>613</v>
      </c>
      <c r="DD7" s="228">
        <f t="shared" si="8"/>
        <v>659</v>
      </c>
      <c r="DE7" s="228">
        <f t="shared" si="8"/>
        <v>643</v>
      </c>
      <c r="DF7" s="228">
        <f t="shared" si="8"/>
        <v>673</v>
      </c>
      <c r="DG7" s="229">
        <f t="shared" si="8"/>
        <v>2588</v>
      </c>
      <c r="DH7" s="228">
        <f t="shared" si="8"/>
        <v>654</v>
      </c>
      <c r="DI7" s="228">
        <f t="shared" si="8"/>
        <v>677</v>
      </c>
      <c r="DJ7" s="228">
        <f t="shared" si="8"/>
        <v>657</v>
      </c>
      <c r="DK7" s="228">
        <f t="shared" si="8"/>
        <v>666</v>
      </c>
      <c r="DL7" s="229">
        <f t="shared" si="8"/>
        <v>2654</v>
      </c>
      <c r="DM7" s="228">
        <f t="shared" ref="DM7:DV7" si="9">SUM(DM8:DM22)</f>
        <v>671</v>
      </c>
      <c r="DN7" s="228">
        <f t="shared" si="9"/>
        <v>680</v>
      </c>
      <c r="DO7" s="228">
        <f t="shared" si="9"/>
        <v>655</v>
      </c>
      <c r="DP7" s="228">
        <f>SUM(DP8:DP22)</f>
        <v>662</v>
      </c>
      <c r="DQ7" s="229">
        <f t="shared" si="9"/>
        <v>2668</v>
      </c>
      <c r="DR7" s="228">
        <f>SUM(DR8:DR22)</f>
        <v>666</v>
      </c>
      <c r="DS7" s="228">
        <f>SUM(DS8:DS22)</f>
        <v>702</v>
      </c>
      <c r="DT7" s="230">
        <f>SUM(DT8:DT22)</f>
        <v>687</v>
      </c>
      <c r="DU7" s="228">
        <f>SUM(DU8:DU22)</f>
        <v>707</v>
      </c>
      <c r="DV7" s="229">
        <f t="shared" si="9"/>
        <v>2762</v>
      </c>
      <c r="DW7" s="228">
        <f>SUM(DW8:DW12,DW16,DW19)</f>
        <v>680</v>
      </c>
      <c r="DX7" s="228">
        <f t="shared" ref="DX7:EA7" si="10">SUM(DX8:DX12,DX16,DX19)</f>
        <v>760</v>
      </c>
      <c r="DY7" s="230">
        <f t="shared" si="10"/>
        <v>748</v>
      </c>
      <c r="DZ7" s="228">
        <f t="shared" si="10"/>
        <v>744</v>
      </c>
      <c r="EA7" s="229">
        <f t="shared" si="10"/>
        <v>2932</v>
      </c>
      <c r="EB7" s="228">
        <f>SUM(EB8:EB12,EB16,EB19)</f>
        <v>690.82999999999993</v>
      </c>
      <c r="EC7" s="228">
        <f t="shared" ref="EC7:EE7" si="11">SUM(EC8:EC12,EC16,EC19)</f>
        <v>741</v>
      </c>
      <c r="ED7" s="230">
        <f t="shared" si="11"/>
        <v>720</v>
      </c>
      <c r="EE7" s="228">
        <f t="shared" si="11"/>
        <v>708</v>
      </c>
      <c r="EF7" s="229">
        <f t="shared" ref="EF7" si="12">SUM(EF8:EF12,EF16,EF19)</f>
        <v>2859.83</v>
      </c>
      <c r="EG7" s="228">
        <f t="shared" ref="EG7" si="13">SUM(EG8:EG12,EG16,EG19)</f>
        <v>673</v>
      </c>
      <c r="EH7" s="228">
        <f t="shared" ref="EH7" si="14">SUM(EH8:EH12,EH16,EH19)</f>
        <v>706</v>
      </c>
      <c r="EI7" s="230">
        <f t="shared" ref="EI7:EM7" si="15">SUM(EI8:EI12,EI16,EI19)</f>
        <v>686</v>
      </c>
      <c r="EJ7" s="228">
        <f t="shared" si="15"/>
        <v>737</v>
      </c>
      <c r="EK7" s="229">
        <f t="shared" si="15"/>
        <v>2802</v>
      </c>
      <c r="EL7" s="228">
        <f t="shared" si="15"/>
        <v>699</v>
      </c>
      <c r="EM7" s="228">
        <f t="shared" si="15"/>
        <v>694</v>
      </c>
      <c r="EN7" s="230">
        <f t="shared" ref="EN7:EQ7" si="16">SUM(EN8:EN12,EN16,EN19)</f>
        <v>651</v>
      </c>
      <c r="EO7" s="228">
        <f t="shared" si="16"/>
        <v>658</v>
      </c>
      <c r="EP7" s="229">
        <f t="shared" si="16"/>
        <v>2702</v>
      </c>
      <c r="EQ7" s="228">
        <f t="shared" si="16"/>
        <v>642</v>
      </c>
      <c r="ER7" s="230">
        <f t="shared" ref="ER7" si="17">SUM(ER8:ER12,ER16,ER19)</f>
        <v>665.43999999999994</v>
      </c>
      <c r="ES7" s="230">
        <f t="shared" ref="ES7:EU7" si="18">SUM(ES8:ES12,ES16,ES19)</f>
        <v>654.44000000000005</v>
      </c>
      <c r="ET7" s="230">
        <f t="shared" si="18"/>
        <v>672.20500000000004</v>
      </c>
      <c r="EU7" s="229">
        <f t="shared" si="18"/>
        <v>2634.085</v>
      </c>
      <c r="EV7" s="228">
        <f t="shared" ref="EV7" si="19">SUM(EV8:EV12,EV16,EV19)</f>
        <v>0</v>
      </c>
      <c r="EW7" s="228">
        <f t="shared" ref="EW7" si="20">SUM(EW8:EW12,EW16,EW19)</f>
        <v>0</v>
      </c>
      <c r="EX7" s="228">
        <f t="shared" ref="EX7" si="21">SUM(EX8:EX12,EX16,EX19)</f>
        <v>0</v>
      </c>
      <c r="EY7" s="228">
        <f t="shared" ref="EY7" si="22">SUM(EY8:EY12,EY16,EY19)</f>
        <v>0</v>
      </c>
      <c r="EZ7" s="231">
        <f t="shared" ref="EZ7:FD7" si="23">SUM(EZ8:EZ12,EZ16,EZ19)</f>
        <v>2645.80825</v>
      </c>
      <c r="FA7" s="228">
        <f t="shared" si="23"/>
        <v>0</v>
      </c>
      <c r="FB7" s="228">
        <f t="shared" si="23"/>
        <v>0</v>
      </c>
      <c r="FC7" s="228">
        <f t="shared" si="23"/>
        <v>0</v>
      </c>
      <c r="FD7" s="228">
        <f t="shared" si="23"/>
        <v>0</v>
      </c>
      <c r="FE7" s="231">
        <f t="shared" ref="FE7" si="24">SUM(FE8:FE12,FE16,FE19)</f>
        <v>2676.0108419999997</v>
      </c>
      <c r="FG7" s="468"/>
      <c r="FH7" s="1924"/>
      <c r="FI7" s="764"/>
      <c r="FJ7" s="764"/>
      <c r="FL7" s="1337"/>
      <c r="FM7" s="230">
        <f t="shared" si="3"/>
        <v>642</v>
      </c>
      <c r="FN7" s="764">
        <f t="shared" si="4"/>
        <v>699</v>
      </c>
      <c r="FO7" s="1797">
        <v>645.24</v>
      </c>
      <c r="FP7" s="1733">
        <f t="shared" si="5"/>
        <v>-8.1545064377682386E-2</v>
      </c>
      <c r="FQ7" s="1519">
        <f t="shared" si="6"/>
        <v>-5.0213873907383189E-3</v>
      </c>
      <c r="FR7" s="1619"/>
      <c r="FS7" s="1619"/>
      <c r="FT7" s="399"/>
      <c r="FU7" s="399"/>
      <c r="FV7" s="399"/>
      <c r="FW7" s="399"/>
      <c r="FX7" s="399"/>
      <c r="FY7" s="399"/>
      <c r="FZ7" s="468"/>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row>
    <row r="8" spans="1:258" s="228" customFormat="1" x14ac:dyDescent="0.2">
      <c r="A8" s="1700" t="s">
        <v>747</v>
      </c>
      <c r="F8" s="229"/>
      <c r="K8" s="229"/>
      <c r="P8" s="229"/>
      <c r="U8" s="229"/>
      <c r="Z8" s="229"/>
      <c r="AE8" s="229"/>
      <c r="AJ8" s="229"/>
      <c r="AO8" s="229"/>
      <c r="AT8" s="229"/>
      <c r="AU8" s="228">
        <v>69</v>
      </c>
      <c r="AV8" s="228">
        <v>67</v>
      </c>
      <c r="AW8" s="228">
        <v>64</v>
      </c>
      <c r="AX8" s="228">
        <v>77</v>
      </c>
      <c r="AY8" s="229">
        <f t="shared" ref="AY8:AY22" si="25">SUM(AU8:AX8)</f>
        <v>277</v>
      </c>
      <c r="AZ8" s="228">
        <v>76</v>
      </c>
      <c r="BA8" s="228">
        <v>73</v>
      </c>
      <c r="BB8" s="228">
        <v>84</v>
      </c>
      <c r="BC8" s="228">
        <v>93</v>
      </c>
      <c r="BD8" s="229">
        <f t="shared" ref="BD8:BD22" si="26">SUM(AZ8:BC8)</f>
        <v>326</v>
      </c>
      <c r="BE8" s="228">
        <v>92</v>
      </c>
      <c r="BF8" s="228">
        <v>87</v>
      </c>
      <c r="BG8" s="228">
        <v>86</v>
      </c>
      <c r="BH8" s="228">
        <v>96</v>
      </c>
      <c r="BI8" s="229">
        <f t="shared" ref="BI8:BI22" si="27">SUM(BE8:BH8)</f>
        <v>361</v>
      </c>
      <c r="BJ8" s="228">
        <v>100</v>
      </c>
      <c r="BK8" s="228">
        <v>92</v>
      </c>
      <c r="BL8" s="228">
        <v>88</v>
      </c>
      <c r="BM8" s="228">
        <v>92</v>
      </c>
      <c r="BN8" s="229">
        <f t="shared" ref="BN8:BN22" si="28">SUM(BJ8:BM8)</f>
        <v>372</v>
      </c>
      <c r="BO8" s="228">
        <v>93</v>
      </c>
      <c r="BP8" s="228">
        <v>88</v>
      </c>
      <c r="BQ8" s="228">
        <v>87</v>
      </c>
      <c r="BR8" s="228">
        <v>93</v>
      </c>
      <c r="BS8" s="229">
        <f t="shared" ref="BS8:BS22" si="29">SUM(BO8:BR8)</f>
        <v>361</v>
      </c>
      <c r="BT8" s="228">
        <v>91</v>
      </c>
      <c r="BU8" s="228">
        <v>89</v>
      </c>
      <c r="BV8" s="228">
        <v>88</v>
      </c>
      <c r="BW8" s="228">
        <v>95</v>
      </c>
      <c r="BX8" s="229">
        <f t="shared" ref="BX8:BX22" si="30">SUM(BT8:BW8)</f>
        <v>363</v>
      </c>
      <c r="BY8" s="228">
        <v>92</v>
      </c>
      <c r="BZ8" s="228">
        <v>89</v>
      </c>
      <c r="CA8" s="228">
        <v>82</v>
      </c>
      <c r="CB8" s="228">
        <v>93</v>
      </c>
      <c r="CC8" s="229">
        <f t="shared" ref="CC8:CC22" si="31">SUM(BY8:CB8)</f>
        <v>356</v>
      </c>
      <c r="CD8" s="228">
        <v>92</v>
      </c>
      <c r="CE8" s="228">
        <v>87</v>
      </c>
      <c r="CF8" s="228">
        <v>88</v>
      </c>
      <c r="CG8" s="228">
        <v>90</v>
      </c>
      <c r="CH8" s="229">
        <f t="shared" ref="CH8:CH22" si="32">SUM(CD8:CG8)</f>
        <v>357</v>
      </c>
      <c r="CI8" s="228">
        <v>96</v>
      </c>
      <c r="CJ8" s="228">
        <v>96</v>
      </c>
      <c r="CK8" s="228">
        <v>102</v>
      </c>
      <c r="CL8" s="228">
        <v>103</v>
      </c>
      <c r="CM8" s="229">
        <f t="shared" ref="CM8:CM22" si="33">SUM(CI8:CL8)</f>
        <v>397</v>
      </c>
      <c r="CN8" s="228">
        <v>97</v>
      </c>
      <c r="CO8" s="228">
        <v>103</v>
      </c>
      <c r="CP8" s="228">
        <v>101</v>
      </c>
      <c r="CQ8" s="228">
        <v>109</v>
      </c>
      <c r="CR8" s="229">
        <f t="shared" ref="CR8:CR22" si="34">SUM(CN8:CQ8)</f>
        <v>410</v>
      </c>
      <c r="CS8" s="228">
        <v>109</v>
      </c>
      <c r="CT8" s="228">
        <v>108</v>
      </c>
      <c r="CU8" s="228">
        <v>106</v>
      </c>
      <c r="CV8" s="228">
        <v>109</v>
      </c>
      <c r="CW8" s="229">
        <f t="shared" ref="CW8:CW22" si="35">SUM(CS8:CV8)</f>
        <v>432</v>
      </c>
      <c r="CX8" s="228">
        <v>109</v>
      </c>
      <c r="CY8" s="228">
        <v>106</v>
      </c>
      <c r="CZ8" s="228">
        <v>101</v>
      </c>
      <c r="DA8" s="228">
        <v>112</v>
      </c>
      <c r="DB8" s="229">
        <f t="shared" ref="DB8:DB22" si="36">SUM(CX8:DA8)</f>
        <v>428</v>
      </c>
      <c r="DC8" s="228">
        <v>114</v>
      </c>
      <c r="DD8" s="228">
        <v>107</v>
      </c>
      <c r="DE8" s="228">
        <v>104</v>
      </c>
      <c r="DF8" s="228">
        <v>121</v>
      </c>
      <c r="DG8" s="229">
        <f t="shared" ref="DG8:DG22" si="37">SUM(DC8:DF8)</f>
        <v>446</v>
      </c>
      <c r="DH8" s="228">
        <v>109</v>
      </c>
      <c r="DI8" s="228">
        <v>109</v>
      </c>
      <c r="DJ8" s="228">
        <v>96</v>
      </c>
      <c r="DK8" s="228">
        <v>110</v>
      </c>
      <c r="DL8" s="229">
        <f t="shared" ref="DL8:DL22" si="38">SUM(DH8:DK8)</f>
        <v>424</v>
      </c>
      <c r="DM8" s="228">
        <v>108</v>
      </c>
      <c r="DN8" s="228">
        <v>101</v>
      </c>
      <c r="DO8" s="228">
        <v>88</v>
      </c>
      <c r="DP8" s="228">
        <v>97</v>
      </c>
      <c r="DQ8" s="229">
        <f t="shared" ref="DQ8:DQ22" si="39">SUM(DM8:DP8)</f>
        <v>394</v>
      </c>
      <c r="DR8" s="228">
        <v>95</v>
      </c>
      <c r="DS8" s="228">
        <v>95</v>
      </c>
      <c r="DT8" s="230">
        <v>87</v>
      </c>
      <c r="DU8" s="228">
        <v>113</v>
      </c>
      <c r="DV8" s="229">
        <f t="shared" ref="DV8:DV22" si="40">SUM(DR8:DU8)</f>
        <v>390</v>
      </c>
      <c r="DW8" s="1703">
        <f>106+23</f>
        <v>129</v>
      </c>
      <c r="DX8" s="1703">
        <f>105+25</f>
        <v>130</v>
      </c>
      <c r="DY8" s="1703">
        <f>98+23</f>
        <v>121</v>
      </c>
      <c r="DZ8" s="1703">
        <f>110+23</f>
        <v>133</v>
      </c>
      <c r="EA8" s="1704">
        <f t="shared" ref="EA8:EA19" si="41">SUM(DW8:DZ8)</f>
        <v>513</v>
      </c>
      <c r="EB8" s="1703">
        <f>109+23</f>
        <v>132</v>
      </c>
      <c r="EC8" s="1703">
        <f>101+24</f>
        <v>125</v>
      </c>
      <c r="ED8" s="1703">
        <f>98+23</f>
        <v>121</v>
      </c>
      <c r="EE8" s="1703">
        <f>103+22</f>
        <v>125</v>
      </c>
      <c r="EF8" s="1704">
        <f t="shared" ref="EF8:EF19" si="42">SUM(EB8:EE8)</f>
        <v>503</v>
      </c>
      <c r="EG8" s="1705">
        <f>99+22</f>
        <v>121</v>
      </c>
      <c r="EH8" s="1705">
        <f>93+23</f>
        <v>116</v>
      </c>
      <c r="EI8" s="1705">
        <v>109</v>
      </c>
      <c r="EJ8" s="1703">
        <v>131</v>
      </c>
      <c r="EK8" s="1704">
        <f t="shared" ref="EK8:EK12" si="43">SUM(EG8:EJ8)</f>
        <v>477</v>
      </c>
      <c r="EL8" s="1705">
        <v>121</v>
      </c>
      <c r="EM8" s="1705">
        <v>114</v>
      </c>
      <c r="EN8" s="1705">
        <v>106</v>
      </c>
      <c r="EO8" s="1703">
        <v>113</v>
      </c>
      <c r="EP8" s="1704">
        <f t="shared" ref="EP8:EP12" si="44">SUM(EL8:EO8)</f>
        <v>454</v>
      </c>
      <c r="EQ8" s="1705">
        <v>107</v>
      </c>
      <c r="ER8" s="230">
        <f t="shared" ref="ER8:ER9" si="45">EM8*(1+ER30)</f>
        <v>104.31</v>
      </c>
      <c r="ES8" s="230">
        <f t="shared" ref="ES8:ET9" si="46">EN8*(1+ES30)</f>
        <v>102.82</v>
      </c>
      <c r="ET8" s="230">
        <f t="shared" si="46"/>
        <v>116.39</v>
      </c>
      <c r="EU8" s="229">
        <f t="shared" ref="EU8:EU19" si="47">SUM(EQ8:ET8)</f>
        <v>430.52</v>
      </c>
      <c r="EZ8" s="231">
        <f>EU8*(1+EZ30)</f>
        <v>436.97779999999995</v>
      </c>
      <c r="FE8" s="231">
        <f>EZ8*(1+FE30)</f>
        <v>443.53246699999988</v>
      </c>
      <c r="FG8" s="463"/>
      <c r="FH8" s="764"/>
      <c r="FI8" s="764"/>
      <c r="FJ8" s="764"/>
      <c r="FL8" s="1337"/>
      <c r="FM8" s="230">
        <f t="shared" si="3"/>
        <v>107</v>
      </c>
      <c r="FN8" s="764">
        <f t="shared" si="4"/>
        <v>121</v>
      </c>
      <c r="FO8" s="1797">
        <v>111.92500000000001</v>
      </c>
      <c r="FP8" s="1733">
        <f t="shared" si="5"/>
        <v>-0.11570247933884292</v>
      </c>
      <c r="FQ8" s="1519">
        <f t="shared" si="6"/>
        <v>-4.4002680366316826E-2</v>
      </c>
      <c r="FR8" s="1619"/>
      <c r="FS8" s="1619"/>
      <c r="FT8" s="856"/>
      <c r="FU8" s="856">
        <v>2013</v>
      </c>
      <c r="FV8" s="399"/>
      <c r="FW8" s="399"/>
      <c r="FX8" s="399"/>
      <c r="FY8" s="399"/>
      <c r="FZ8" s="463"/>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row>
    <row r="9" spans="1:258" s="228" customFormat="1" x14ac:dyDescent="0.2">
      <c r="A9" s="566" t="s">
        <v>157</v>
      </c>
      <c r="F9" s="229"/>
      <c r="K9" s="229"/>
      <c r="P9" s="229"/>
      <c r="U9" s="229"/>
      <c r="Z9" s="229"/>
      <c r="AE9" s="229"/>
      <c r="AJ9" s="229"/>
      <c r="AO9" s="229"/>
      <c r="AT9" s="229"/>
      <c r="AU9" s="228">
        <v>98</v>
      </c>
      <c r="AV9" s="228">
        <v>108</v>
      </c>
      <c r="AW9" s="228">
        <v>87</v>
      </c>
      <c r="AX9" s="228">
        <v>119</v>
      </c>
      <c r="AY9" s="229">
        <f t="shared" si="25"/>
        <v>412</v>
      </c>
      <c r="AZ9" s="228">
        <v>119</v>
      </c>
      <c r="BA9" s="228">
        <v>132</v>
      </c>
      <c r="BB9" s="228">
        <v>145</v>
      </c>
      <c r="BC9" s="228">
        <v>157</v>
      </c>
      <c r="BD9" s="229">
        <f t="shared" si="26"/>
        <v>553</v>
      </c>
      <c r="BE9" s="228">
        <v>158</v>
      </c>
      <c r="BF9" s="228">
        <v>158</v>
      </c>
      <c r="BG9" s="228">
        <v>132</v>
      </c>
      <c r="BH9" s="228">
        <v>138</v>
      </c>
      <c r="BI9" s="229">
        <f t="shared" si="27"/>
        <v>586</v>
      </c>
      <c r="BJ9" s="228">
        <v>127</v>
      </c>
      <c r="BK9" s="228">
        <v>139</v>
      </c>
      <c r="BL9" s="228">
        <v>119</v>
      </c>
      <c r="BM9" s="228">
        <v>131</v>
      </c>
      <c r="BN9" s="229">
        <f t="shared" si="28"/>
        <v>516</v>
      </c>
      <c r="BO9" s="228">
        <v>129</v>
      </c>
      <c r="BP9" s="228">
        <v>148</v>
      </c>
      <c r="BQ9" s="228">
        <v>124</v>
      </c>
      <c r="BR9" s="228">
        <v>137</v>
      </c>
      <c r="BS9" s="229">
        <f t="shared" si="29"/>
        <v>538</v>
      </c>
      <c r="BT9" s="228">
        <v>131</v>
      </c>
      <c r="BU9" s="228">
        <v>139</v>
      </c>
      <c r="BV9" s="228">
        <v>120</v>
      </c>
      <c r="BW9" s="228">
        <v>139</v>
      </c>
      <c r="BX9" s="229">
        <f t="shared" si="30"/>
        <v>529</v>
      </c>
      <c r="BY9" s="228">
        <v>125</v>
      </c>
      <c r="BZ9" s="228">
        <v>135</v>
      </c>
      <c r="CA9" s="228">
        <v>112</v>
      </c>
      <c r="CB9" s="228">
        <v>135</v>
      </c>
      <c r="CC9" s="229">
        <f t="shared" si="31"/>
        <v>507</v>
      </c>
      <c r="CD9" s="228">
        <v>125</v>
      </c>
      <c r="CE9" s="228">
        <v>124</v>
      </c>
      <c r="CF9" s="228">
        <v>114</v>
      </c>
      <c r="CG9" s="228">
        <v>125</v>
      </c>
      <c r="CH9" s="229">
        <f t="shared" si="32"/>
        <v>488</v>
      </c>
      <c r="CI9" s="228">
        <v>127</v>
      </c>
      <c r="CJ9" s="228">
        <v>124</v>
      </c>
      <c r="CK9" s="228">
        <v>100</v>
      </c>
      <c r="CL9" s="228">
        <v>112</v>
      </c>
      <c r="CM9" s="229">
        <f t="shared" si="33"/>
        <v>463</v>
      </c>
      <c r="CN9" s="228">
        <v>109</v>
      </c>
      <c r="CO9" s="228">
        <v>119</v>
      </c>
      <c r="CP9" s="228">
        <v>102</v>
      </c>
      <c r="CQ9" s="228">
        <v>109</v>
      </c>
      <c r="CR9" s="229">
        <f t="shared" si="34"/>
        <v>439</v>
      </c>
      <c r="CS9" s="228">
        <v>96</v>
      </c>
      <c r="CT9" s="228">
        <v>92</v>
      </c>
      <c r="CU9" s="228">
        <v>79</v>
      </c>
      <c r="CV9" s="228">
        <v>76</v>
      </c>
      <c r="CW9" s="229">
        <f t="shared" si="35"/>
        <v>343</v>
      </c>
      <c r="CX9" s="228">
        <v>45</v>
      </c>
      <c r="CY9" s="228">
        <v>54</v>
      </c>
      <c r="CZ9" s="228">
        <v>57</v>
      </c>
      <c r="DA9" s="228">
        <v>78</v>
      </c>
      <c r="DB9" s="229">
        <f t="shared" si="36"/>
        <v>234</v>
      </c>
      <c r="DC9" s="228">
        <v>74</v>
      </c>
      <c r="DD9" s="228">
        <v>88</v>
      </c>
      <c r="DE9" s="228">
        <v>82</v>
      </c>
      <c r="DF9" s="228">
        <v>96</v>
      </c>
      <c r="DG9" s="229">
        <f t="shared" si="37"/>
        <v>340</v>
      </c>
      <c r="DH9" s="228">
        <v>89</v>
      </c>
      <c r="DI9" s="228">
        <v>87</v>
      </c>
      <c r="DJ9" s="228">
        <v>86</v>
      </c>
      <c r="DK9" s="228">
        <v>99</v>
      </c>
      <c r="DL9" s="229">
        <f t="shared" si="38"/>
        <v>361</v>
      </c>
      <c r="DM9" s="228">
        <v>105</v>
      </c>
      <c r="DN9" s="228">
        <v>111</v>
      </c>
      <c r="DO9" s="228">
        <v>100</v>
      </c>
      <c r="DP9" s="228">
        <v>109</v>
      </c>
      <c r="DQ9" s="229">
        <f t="shared" si="39"/>
        <v>425</v>
      </c>
      <c r="DR9" s="228">
        <v>105</v>
      </c>
      <c r="DS9" s="228">
        <v>113</v>
      </c>
      <c r="DT9" s="230">
        <v>101</v>
      </c>
      <c r="DU9" s="228">
        <v>113</v>
      </c>
      <c r="DV9" s="229">
        <f t="shared" si="40"/>
        <v>432</v>
      </c>
      <c r="DW9" s="228">
        <v>98</v>
      </c>
      <c r="DX9" s="228">
        <v>114</v>
      </c>
      <c r="DY9" s="230">
        <v>109</v>
      </c>
      <c r="DZ9" s="228">
        <v>114</v>
      </c>
      <c r="EA9" s="229">
        <f t="shared" si="41"/>
        <v>435</v>
      </c>
      <c r="EB9" s="228">
        <v>100.94</v>
      </c>
      <c r="EC9" s="228">
        <v>120</v>
      </c>
      <c r="ED9" s="230">
        <v>109</v>
      </c>
      <c r="EE9" s="228">
        <v>120</v>
      </c>
      <c r="EF9" s="229">
        <f t="shared" si="42"/>
        <v>449.94</v>
      </c>
      <c r="EG9" s="721">
        <v>113</v>
      </c>
      <c r="EH9" s="721">
        <v>121</v>
      </c>
      <c r="EI9" s="1701">
        <v>115</v>
      </c>
      <c r="EJ9" s="228">
        <v>133</v>
      </c>
      <c r="EK9" s="229">
        <f t="shared" si="43"/>
        <v>482</v>
      </c>
      <c r="EL9" s="721">
        <v>119</v>
      </c>
      <c r="EM9" s="721">
        <v>116</v>
      </c>
      <c r="EN9" s="1701">
        <v>105</v>
      </c>
      <c r="EO9" s="228">
        <v>117</v>
      </c>
      <c r="EP9" s="229">
        <f t="shared" si="44"/>
        <v>457</v>
      </c>
      <c r="EQ9" s="721">
        <v>112</v>
      </c>
      <c r="ER9" s="230">
        <f t="shared" si="45"/>
        <v>118.32000000000001</v>
      </c>
      <c r="ES9" s="230">
        <f t="shared" si="46"/>
        <v>107.10000000000001</v>
      </c>
      <c r="ET9" s="230">
        <f t="shared" si="46"/>
        <v>119.92499999999998</v>
      </c>
      <c r="EU9" s="229">
        <f t="shared" si="47"/>
        <v>457.34500000000003</v>
      </c>
      <c r="EZ9" s="231">
        <f>EU9*(1+EZ31)</f>
        <v>443.62465000000003</v>
      </c>
      <c r="FE9" s="231">
        <f>EZ9*(1+FE31)</f>
        <v>448.06089650000001</v>
      </c>
      <c r="FG9" s="464"/>
      <c r="FH9" s="764"/>
      <c r="FI9" s="764"/>
      <c r="FJ9" s="764"/>
      <c r="FL9" s="1337"/>
      <c r="FM9" s="230">
        <f t="shared" si="3"/>
        <v>112</v>
      </c>
      <c r="FN9" s="764">
        <f t="shared" si="4"/>
        <v>119</v>
      </c>
      <c r="FO9" s="1797">
        <v>111.265</v>
      </c>
      <c r="FP9" s="1733">
        <f t="shared" si="5"/>
        <v>-5.8823529411764719E-2</v>
      </c>
      <c r="FQ9" s="1519">
        <f t="shared" si="6"/>
        <v>6.6058508965083362E-3</v>
      </c>
      <c r="FR9" s="1619"/>
      <c r="FS9" s="1619"/>
      <c r="FT9" s="856" t="s">
        <v>231</v>
      </c>
      <c r="FU9" s="856">
        <v>40.65</v>
      </c>
      <c r="FV9" s="399"/>
      <c r="FW9" s="399"/>
      <c r="FX9" s="399"/>
      <c r="FY9" s="399"/>
      <c r="FZ9" s="464"/>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row>
    <row r="10" spans="1:258" s="228" customFormat="1" x14ac:dyDescent="0.2">
      <c r="A10" s="1700" t="s">
        <v>748</v>
      </c>
      <c r="F10" s="229"/>
      <c r="K10" s="229"/>
      <c r="P10" s="229"/>
      <c r="U10" s="229"/>
      <c r="Z10" s="229"/>
      <c r="AE10" s="229"/>
      <c r="AJ10" s="229"/>
      <c r="AO10" s="229"/>
      <c r="AT10" s="229"/>
      <c r="AU10" s="228">
        <v>135</v>
      </c>
      <c r="AV10" s="228">
        <v>138</v>
      </c>
      <c r="AW10" s="228">
        <v>131</v>
      </c>
      <c r="AX10" s="228">
        <v>135</v>
      </c>
      <c r="AY10" s="229">
        <f t="shared" si="25"/>
        <v>539</v>
      </c>
      <c r="AZ10" s="228">
        <v>148</v>
      </c>
      <c r="BA10" s="228">
        <v>128</v>
      </c>
      <c r="BB10" s="228">
        <v>127</v>
      </c>
      <c r="BC10" s="228">
        <v>124</v>
      </c>
      <c r="BD10" s="229">
        <f t="shared" si="26"/>
        <v>527</v>
      </c>
      <c r="BE10" s="228">
        <v>131</v>
      </c>
      <c r="BF10" s="228">
        <v>123</v>
      </c>
      <c r="BG10" s="228">
        <v>115</v>
      </c>
      <c r="BH10" s="228">
        <v>118</v>
      </c>
      <c r="BI10" s="229">
        <f t="shared" si="27"/>
        <v>487</v>
      </c>
      <c r="BJ10" s="228">
        <v>119</v>
      </c>
      <c r="BK10" s="228">
        <v>105</v>
      </c>
      <c r="BL10" s="228">
        <v>101</v>
      </c>
      <c r="BM10" s="228">
        <v>116</v>
      </c>
      <c r="BN10" s="229">
        <f t="shared" si="28"/>
        <v>441</v>
      </c>
      <c r="BO10" s="228">
        <v>119</v>
      </c>
      <c r="BP10" s="228">
        <v>119</v>
      </c>
      <c r="BQ10" s="228">
        <v>113</v>
      </c>
      <c r="BR10" s="228">
        <v>112</v>
      </c>
      <c r="BS10" s="229">
        <f t="shared" si="29"/>
        <v>463</v>
      </c>
      <c r="BT10" s="228">
        <v>117</v>
      </c>
      <c r="BU10" s="228">
        <v>113</v>
      </c>
      <c r="BV10" s="228">
        <v>114</v>
      </c>
      <c r="BW10" s="228">
        <v>116</v>
      </c>
      <c r="BX10" s="229">
        <f t="shared" si="30"/>
        <v>460</v>
      </c>
      <c r="BY10" s="228">
        <v>120</v>
      </c>
      <c r="BZ10" s="228">
        <v>121</v>
      </c>
      <c r="CA10" s="228">
        <v>107</v>
      </c>
      <c r="CB10" s="228">
        <v>123</v>
      </c>
      <c r="CC10" s="229">
        <f t="shared" si="31"/>
        <v>471</v>
      </c>
      <c r="CD10" s="228">
        <v>117</v>
      </c>
      <c r="CE10" s="228">
        <v>117</v>
      </c>
      <c r="CF10" s="228">
        <v>111</v>
      </c>
      <c r="CG10" s="228">
        <f>99</f>
        <v>99</v>
      </c>
      <c r="CH10" s="229">
        <f t="shared" si="32"/>
        <v>444</v>
      </c>
      <c r="CI10" s="228">
        <v>88</v>
      </c>
      <c r="CJ10" s="228">
        <v>94</v>
      </c>
      <c r="CK10" s="228">
        <v>93</v>
      </c>
      <c r="CL10" s="228">
        <v>87</v>
      </c>
      <c r="CM10" s="229">
        <f t="shared" si="33"/>
        <v>362</v>
      </c>
      <c r="CN10" s="228">
        <v>92</v>
      </c>
      <c r="CO10" s="228">
        <v>89</v>
      </c>
      <c r="CP10" s="228">
        <v>90</v>
      </c>
      <c r="CQ10" s="228">
        <v>92</v>
      </c>
      <c r="CR10" s="229">
        <f t="shared" si="34"/>
        <v>363</v>
      </c>
      <c r="CS10" s="228">
        <v>91</v>
      </c>
      <c r="CT10" s="228">
        <v>90</v>
      </c>
      <c r="CU10" s="228">
        <v>87</v>
      </c>
      <c r="CV10" s="228">
        <v>66</v>
      </c>
      <c r="CW10" s="229">
        <f t="shared" si="35"/>
        <v>334</v>
      </c>
      <c r="CX10" s="228">
        <v>60</v>
      </c>
      <c r="CY10" s="228">
        <v>74</v>
      </c>
      <c r="CZ10" s="228">
        <v>77</v>
      </c>
      <c r="DA10" s="228">
        <v>78</v>
      </c>
      <c r="DB10" s="229">
        <f t="shared" si="36"/>
        <v>289</v>
      </c>
      <c r="DC10" s="228">
        <v>79</v>
      </c>
      <c r="DD10" s="228">
        <v>80</v>
      </c>
      <c r="DE10" s="228">
        <v>78</v>
      </c>
      <c r="DF10" s="228">
        <v>76</v>
      </c>
      <c r="DG10" s="229">
        <f t="shared" si="37"/>
        <v>313</v>
      </c>
      <c r="DH10" s="228">
        <v>83</v>
      </c>
      <c r="DI10" s="228">
        <v>80</v>
      </c>
      <c r="DJ10" s="228">
        <v>80</v>
      </c>
      <c r="DK10" s="228">
        <v>78</v>
      </c>
      <c r="DL10" s="229">
        <f t="shared" si="38"/>
        <v>321</v>
      </c>
      <c r="DM10" s="228">
        <v>80</v>
      </c>
      <c r="DN10" s="228">
        <v>79</v>
      </c>
      <c r="DO10" s="228">
        <v>80</v>
      </c>
      <c r="DP10" s="228">
        <v>82</v>
      </c>
      <c r="DQ10" s="229">
        <f t="shared" si="39"/>
        <v>321</v>
      </c>
      <c r="DR10" s="228">
        <v>84</v>
      </c>
      <c r="DS10" s="228">
        <v>86</v>
      </c>
      <c r="DT10" s="230">
        <v>80</v>
      </c>
      <c r="DU10" s="228">
        <v>77</v>
      </c>
      <c r="DV10" s="229">
        <f t="shared" si="40"/>
        <v>327</v>
      </c>
      <c r="DW10" s="228">
        <v>83</v>
      </c>
      <c r="DX10" s="228">
        <v>86</v>
      </c>
      <c r="DY10" s="230">
        <v>82</v>
      </c>
      <c r="DZ10" s="228">
        <v>79</v>
      </c>
      <c r="EA10" s="229">
        <f t="shared" si="41"/>
        <v>330</v>
      </c>
      <c r="EB10" s="228">
        <v>78</v>
      </c>
      <c r="EC10" s="228">
        <v>78</v>
      </c>
      <c r="ED10" s="230">
        <v>71</v>
      </c>
      <c r="EE10" s="228">
        <v>74</v>
      </c>
      <c r="EF10" s="229">
        <f t="shared" si="42"/>
        <v>301</v>
      </c>
      <c r="EG10" s="721">
        <v>76</v>
      </c>
      <c r="EH10" s="721">
        <v>72</v>
      </c>
      <c r="EI10" s="1701">
        <v>72</v>
      </c>
      <c r="EJ10" s="228">
        <v>80</v>
      </c>
      <c r="EK10" s="229">
        <f t="shared" si="43"/>
        <v>300</v>
      </c>
      <c r="EL10" s="721">
        <v>77</v>
      </c>
      <c r="EM10" s="721">
        <v>78</v>
      </c>
      <c r="EN10" s="1701">
        <v>68</v>
      </c>
      <c r="EO10" s="228">
        <v>68</v>
      </c>
      <c r="EP10" s="229">
        <f t="shared" si="44"/>
        <v>291</v>
      </c>
      <c r="EQ10" s="721">
        <v>64</v>
      </c>
      <c r="ER10" s="230">
        <f t="shared" ref="ER10:ER12" si="48">EM10*(1+ER34)</f>
        <v>61.620000000000005</v>
      </c>
      <c r="ES10" s="230">
        <f t="shared" ref="ES10:ET12" si="49">EN10*(1+ES34)</f>
        <v>69.36</v>
      </c>
      <c r="ET10" s="230">
        <f t="shared" si="49"/>
        <v>69.36</v>
      </c>
      <c r="EU10" s="229">
        <f t="shared" si="47"/>
        <v>264.34000000000003</v>
      </c>
      <c r="EZ10" s="231">
        <f>EU10*(1+EZ34)</f>
        <v>266.98340000000002</v>
      </c>
      <c r="FE10" s="231">
        <f>EZ10*(1+FE34)</f>
        <v>269.653234</v>
      </c>
      <c r="FG10" s="466"/>
      <c r="FH10" s="764"/>
      <c r="FI10" s="764"/>
      <c r="FJ10" s="764"/>
      <c r="FL10" s="1337"/>
      <c r="FM10" s="230">
        <f t="shared" si="3"/>
        <v>64</v>
      </c>
      <c r="FN10" s="764">
        <f t="shared" si="4"/>
        <v>77</v>
      </c>
      <c r="FO10" s="1797">
        <v>64.679999999999993</v>
      </c>
      <c r="FP10" s="1733">
        <f t="shared" si="5"/>
        <v>-0.16883116883116878</v>
      </c>
      <c r="FQ10" s="1519">
        <f t="shared" si="6"/>
        <v>-1.0513296227581792E-2</v>
      </c>
      <c r="FR10" s="1619"/>
      <c r="FS10" s="1619"/>
      <c r="FT10" s="856" t="s">
        <v>508</v>
      </c>
      <c r="FU10" s="856">
        <f>+DQ19+FU9</f>
        <v>511.65</v>
      </c>
      <c r="FV10" s="399"/>
      <c r="FW10" s="399"/>
      <c r="FX10" s="399"/>
      <c r="FY10" s="399"/>
      <c r="FZ10" s="466"/>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row>
    <row r="11" spans="1:258" s="228" customFormat="1" x14ac:dyDescent="0.2">
      <c r="A11" s="566" t="s">
        <v>159</v>
      </c>
      <c r="F11" s="229"/>
      <c r="K11" s="229"/>
      <c r="P11" s="229"/>
      <c r="U11" s="229"/>
      <c r="Z11" s="229"/>
      <c r="AE11" s="229"/>
      <c r="AJ11" s="229"/>
      <c r="AO11" s="229"/>
      <c r="AT11" s="229"/>
      <c r="AU11" s="228">
        <v>118</v>
      </c>
      <c r="AV11" s="228">
        <v>116</v>
      </c>
      <c r="AW11" s="228">
        <v>115</v>
      </c>
      <c r="AX11" s="228">
        <v>108</v>
      </c>
      <c r="AY11" s="229">
        <f t="shared" si="25"/>
        <v>457</v>
      </c>
      <c r="AZ11" s="228">
        <v>121</v>
      </c>
      <c r="BA11" s="228">
        <v>121</v>
      </c>
      <c r="BB11" s="228">
        <v>132</v>
      </c>
      <c r="BC11" s="228">
        <v>131</v>
      </c>
      <c r="BD11" s="229">
        <f t="shared" si="26"/>
        <v>505</v>
      </c>
      <c r="BE11" s="228">
        <f>137+16</f>
        <v>153</v>
      </c>
      <c r="BF11" s="228">
        <f>135+16</f>
        <v>151</v>
      </c>
      <c r="BG11" s="228">
        <f>128+14</f>
        <v>142</v>
      </c>
      <c r="BH11" s="228">
        <f>123+14</f>
        <v>137</v>
      </c>
      <c r="BI11" s="229">
        <f t="shared" si="27"/>
        <v>583</v>
      </c>
      <c r="BJ11" s="228">
        <f>122+14</f>
        <v>136</v>
      </c>
      <c r="BK11" s="228">
        <f>121+13</f>
        <v>134</v>
      </c>
      <c r="BL11" s="228">
        <f>120+12</f>
        <v>132</v>
      </c>
      <c r="BM11" s="228">
        <f>115+12</f>
        <v>127</v>
      </c>
      <c r="BN11" s="229">
        <f t="shared" si="28"/>
        <v>529</v>
      </c>
      <c r="BO11" s="228">
        <v>110</v>
      </c>
      <c r="BP11" s="228">
        <v>114</v>
      </c>
      <c r="BQ11" s="228">
        <v>114</v>
      </c>
      <c r="BR11" s="228">
        <v>111</v>
      </c>
      <c r="BS11" s="229">
        <f t="shared" si="29"/>
        <v>449</v>
      </c>
      <c r="BT11" s="228">
        <v>114</v>
      </c>
      <c r="BU11" s="228">
        <v>116</v>
      </c>
      <c r="BV11" s="228">
        <v>115</v>
      </c>
      <c r="BW11" s="228">
        <v>114</v>
      </c>
      <c r="BX11" s="229">
        <f t="shared" si="30"/>
        <v>459</v>
      </c>
      <c r="BY11" s="228">
        <v>114</v>
      </c>
      <c r="BZ11" s="228">
        <v>115</v>
      </c>
      <c r="CA11" s="228">
        <v>115</v>
      </c>
      <c r="CB11" s="228">
        <v>121</v>
      </c>
      <c r="CC11" s="229">
        <f t="shared" si="31"/>
        <v>465</v>
      </c>
      <c r="CD11" s="228">
        <v>113</v>
      </c>
      <c r="CE11" s="228">
        <v>113</v>
      </c>
      <c r="CF11" s="228">
        <v>107</v>
      </c>
      <c r="CG11" s="228">
        <v>106</v>
      </c>
      <c r="CH11" s="229">
        <f t="shared" si="32"/>
        <v>439</v>
      </c>
      <c r="CI11" s="228">
        <v>106</v>
      </c>
      <c r="CJ11" s="228">
        <v>103</v>
      </c>
      <c r="CK11" s="228">
        <v>100</v>
      </c>
      <c r="CL11" s="228">
        <v>95</v>
      </c>
      <c r="CM11" s="229">
        <f t="shared" si="33"/>
        <v>404</v>
      </c>
      <c r="CN11" s="228">
        <v>102</v>
      </c>
      <c r="CO11" s="228">
        <v>100</v>
      </c>
      <c r="CP11" s="228">
        <v>96</v>
      </c>
      <c r="CQ11" s="228">
        <v>87</v>
      </c>
      <c r="CR11" s="229">
        <f t="shared" si="34"/>
        <v>385</v>
      </c>
      <c r="CS11" s="228">
        <v>87</v>
      </c>
      <c r="CT11" s="228">
        <v>90</v>
      </c>
      <c r="CU11" s="228">
        <v>90</v>
      </c>
      <c r="CV11" s="228">
        <v>77</v>
      </c>
      <c r="CW11" s="229">
        <f t="shared" si="35"/>
        <v>344</v>
      </c>
      <c r="CX11" s="228">
        <v>65</v>
      </c>
      <c r="CY11" s="228">
        <v>64</v>
      </c>
      <c r="CZ11" s="228">
        <v>67</v>
      </c>
      <c r="DA11" s="228">
        <v>62</v>
      </c>
      <c r="DB11" s="229">
        <f t="shared" si="36"/>
        <v>258</v>
      </c>
      <c r="DC11" s="228">
        <v>63</v>
      </c>
      <c r="DD11" s="228">
        <v>65</v>
      </c>
      <c r="DE11" s="228">
        <v>67</v>
      </c>
      <c r="DF11" s="228">
        <v>70</v>
      </c>
      <c r="DG11" s="229">
        <f t="shared" si="37"/>
        <v>265</v>
      </c>
      <c r="DH11" s="228">
        <v>69</v>
      </c>
      <c r="DI11" s="228">
        <v>70</v>
      </c>
      <c r="DJ11" s="228">
        <v>73</v>
      </c>
      <c r="DK11" s="228">
        <v>69</v>
      </c>
      <c r="DL11" s="229">
        <f t="shared" si="38"/>
        <v>281</v>
      </c>
      <c r="DM11" s="228">
        <v>73</v>
      </c>
      <c r="DN11" s="228">
        <v>71</v>
      </c>
      <c r="DO11" s="228">
        <v>73</v>
      </c>
      <c r="DP11" s="228">
        <v>69</v>
      </c>
      <c r="DQ11" s="229">
        <f t="shared" si="39"/>
        <v>286</v>
      </c>
      <c r="DR11" s="228">
        <v>73</v>
      </c>
      <c r="DS11" s="228">
        <v>74</v>
      </c>
      <c r="DT11" s="230">
        <v>77</v>
      </c>
      <c r="DU11" s="228">
        <v>74</v>
      </c>
      <c r="DV11" s="229">
        <f t="shared" si="40"/>
        <v>298</v>
      </c>
      <c r="DW11" s="228">
        <v>74</v>
      </c>
      <c r="DX11" s="228">
        <v>79</v>
      </c>
      <c r="DY11" s="230">
        <v>77</v>
      </c>
      <c r="DZ11" s="228">
        <v>77</v>
      </c>
      <c r="EA11" s="229">
        <f t="shared" si="41"/>
        <v>307</v>
      </c>
      <c r="EB11" s="228">
        <v>72.89</v>
      </c>
      <c r="EC11" s="228">
        <v>74</v>
      </c>
      <c r="ED11" s="230">
        <v>73</v>
      </c>
      <c r="EE11" s="228">
        <v>70</v>
      </c>
      <c r="EF11" s="229">
        <f t="shared" si="42"/>
        <v>289.89</v>
      </c>
      <c r="EG11" s="721">
        <v>68</v>
      </c>
      <c r="EH11" s="721">
        <v>68</v>
      </c>
      <c r="EI11" s="1701">
        <v>68</v>
      </c>
      <c r="EJ11" s="228">
        <v>70</v>
      </c>
      <c r="EK11" s="229">
        <f t="shared" si="43"/>
        <v>274</v>
      </c>
      <c r="EL11" s="721">
        <v>67</v>
      </c>
      <c r="EM11" s="721">
        <v>67</v>
      </c>
      <c r="EN11" s="1701">
        <v>64</v>
      </c>
      <c r="EO11" s="228">
        <v>66</v>
      </c>
      <c r="EP11" s="229">
        <f t="shared" si="44"/>
        <v>264</v>
      </c>
      <c r="EQ11" s="721">
        <v>67</v>
      </c>
      <c r="ER11" s="230">
        <f t="shared" si="48"/>
        <v>66.33</v>
      </c>
      <c r="ES11" s="230">
        <f t="shared" si="49"/>
        <v>64</v>
      </c>
      <c r="ET11" s="230">
        <f t="shared" si="49"/>
        <v>66</v>
      </c>
      <c r="EU11" s="229">
        <f t="shared" si="47"/>
        <v>263.33</v>
      </c>
      <c r="EZ11" s="231">
        <f>EU11*(1+EZ35)</f>
        <v>264.64664999999997</v>
      </c>
      <c r="FE11" s="231">
        <f>EZ11*(1+FE35)</f>
        <v>265.96988324999995</v>
      </c>
      <c r="FG11" s="467"/>
      <c r="FH11" s="764"/>
      <c r="FI11" s="764"/>
      <c r="FJ11" s="764"/>
      <c r="FL11" s="1337"/>
      <c r="FM11" s="230">
        <f t="shared" si="3"/>
        <v>67</v>
      </c>
      <c r="FN11" s="764">
        <f t="shared" si="4"/>
        <v>67</v>
      </c>
      <c r="FO11" s="1797">
        <v>65.995000000000005</v>
      </c>
      <c r="FP11" s="1733">
        <f t="shared" si="5"/>
        <v>0</v>
      </c>
      <c r="FQ11" s="1519">
        <f t="shared" si="6"/>
        <v>1.5228426395939021E-2</v>
      </c>
      <c r="FR11" s="1619"/>
      <c r="FS11" s="1619"/>
      <c r="FT11" s="856" t="s">
        <v>509</v>
      </c>
      <c r="FU11" s="857">
        <f>+FU10/DQ19-1</f>
        <v>8.6305732484076358E-2</v>
      </c>
      <c r="FV11" s="399"/>
      <c r="FW11" s="399"/>
      <c r="FX11" s="399"/>
      <c r="FY11" s="399"/>
      <c r="FZ11" s="467"/>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row>
    <row r="12" spans="1:258" s="228" customFormat="1" x14ac:dyDescent="0.2">
      <c r="A12" s="1700" t="s">
        <v>750</v>
      </c>
      <c r="F12" s="229"/>
      <c r="K12" s="229"/>
      <c r="P12" s="229"/>
      <c r="U12" s="229"/>
      <c r="Z12" s="229"/>
      <c r="AE12" s="229"/>
      <c r="AJ12" s="229"/>
      <c r="AO12" s="229"/>
      <c r="AT12" s="229"/>
      <c r="AU12" s="228">
        <v>88</v>
      </c>
      <c r="AV12" s="228">
        <v>103</v>
      </c>
      <c r="AW12" s="228">
        <v>109</v>
      </c>
      <c r="AX12" s="228">
        <v>102</v>
      </c>
      <c r="AY12" s="229">
        <f t="shared" si="25"/>
        <v>402</v>
      </c>
      <c r="AZ12" s="228">
        <v>104</v>
      </c>
      <c r="BA12" s="228">
        <v>112</v>
      </c>
      <c r="BB12" s="228">
        <v>110</v>
      </c>
      <c r="BC12" s="228">
        <v>107</v>
      </c>
      <c r="BD12" s="229">
        <f t="shared" si="26"/>
        <v>433</v>
      </c>
      <c r="BE12" s="228">
        <v>96</v>
      </c>
      <c r="BF12" s="228">
        <v>115</v>
      </c>
      <c r="BG12" s="228">
        <v>115</v>
      </c>
      <c r="BH12" s="228">
        <v>104</v>
      </c>
      <c r="BI12" s="229">
        <f t="shared" si="27"/>
        <v>430</v>
      </c>
      <c r="BJ12" s="228">
        <v>96</v>
      </c>
      <c r="BK12" s="228">
        <v>113</v>
      </c>
      <c r="BL12" s="228">
        <v>118</v>
      </c>
      <c r="BM12" s="228">
        <v>108</v>
      </c>
      <c r="BN12" s="229">
        <f t="shared" si="28"/>
        <v>435</v>
      </c>
      <c r="BO12" s="228">
        <v>93</v>
      </c>
      <c r="BP12" s="228">
        <v>115</v>
      </c>
      <c r="BQ12" s="228">
        <v>115</v>
      </c>
      <c r="BR12" s="228">
        <v>101</v>
      </c>
      <c r="BS12" s="229">
        <f t="shared" si="29"/>
        <v>424</v>
      </c>
      <c r="BT12" s="228">
        <v>101</v>
      </c>
      <c r="BU12" s="228">
        <v>125</v>
      </c>
      <c r="BV12" s="228">
        <v>130</v>
      </c>
      <c r="BW12" s="228">
        <v>120</v>
      </c>
      <c r="BX12" s="229">
        <f t="shared" si="30"/>
        <v>476</v>
      </c>
      <c r="BY12" s="228">
        <v>112</v>
      </c>
      <c r="BZ12" s="228">
        <v>134</v>
      </c>
      <c r="CA12" s="228">
        <v>126</v>
      </c>
      <c r="CB12" s="228">
        <v>134</v>
      </c>
      <c r="CC12" s="229">
        <f t="shared" si="31"/>
        <v>506</v>
      </c>
      <c r="CD12" s="228">
        <v>115</v>
      </c>
      <c r="CE12" s="228">
        <v>136</v>
      </c>
      <c r="CF12" s="228">
        <v>132</v>
      </c>
      <c r="CG12" s="228">
        <v>122</v>
      </c>
      <c r="CH12" s="229">
        <f t="shared" si="32"/>
        <v>505</v>
      </c>
      <c r="CI12" s="228">
        <v>124</v>
      </c>
      <c r="CJ12" s="228">
        <v>144</v>
      </c>
      <c r="CK12" s="228">
        <v>133</v>
      </c>
      <c r="CL12" s="228">
        <v>123</v>
      </c>
      <c r="CM12" s="229">
        <f t="shared" si="33"/>
        <v>524</v>
      </c>
      <c r="CN12" s="228">
        <v>128</v>
      </c>
      <c r="CO12" s="228">
        <v>150</v>
      </c>
      <c r="CP12" s="228">
        <v>140</v>
      </c>
      <c r="CQ12" s="228">
        <v>128</v>
      </c>
      <c r="CR12" s="229">
        <f t="shared" si="34"/>
        <v>546</v>
      </c>
      <c r="CS12" s="228">
        <v>115</v>
      </c>
      <c r="CT12" s="228">
        <v>133</v>
      </c>
      <c r="CU12" s="228">
        <v>126</v>
      </c>
      <c r="CV12" s="228">
        <v>113</v>
      </c>
      <c r="CW12" s="229">
        <f t="shared" si="35"/>
        <v>487</v>
      </c>
      <c r="CX12" s="228">
        <v>91</v>
      </c>
      <c r="CY12" s="228">
        <v>106</v>
      </c>
      <c r="CZ12" s="228">
        <v>109</v>
      </c>
      <c r="DA12" s="228">
        <v>99</v>
      </c>
      <c r="DB12" s="229">
        <f t="shared" si="36"/>
        <v>405</v>
      </c>
      <c r="DC12" s="228">
        <v>85</v>
      </c>
      <c r="DD12" s="228">
        <v>113</v>
      </c>
      <c r="DE12" s="228">
        <v>113</v>
      </c>
      <c r="DF12" s="228">
        <v>107</v>
      </c>
      <c r="DG12" s="229">
        <f t="shared" si="37"/>
        <v>418</v>
      </c>
      <c r="DH12" s="228">
        <v>95</v>
      </c>
      <c r="DI12" s="228">
        <v>117</v>
      </c>
      <c r="DJ12" s="228">
        <v>116</v>
      </c>
      <c r="DK12" s="228">
        <v>111</v>
      </c>
      <c r="DL12" s="229">
        <f t="shared" si="38"/>
        <v>439</v>
      </c>
      <c r="DM12" s="228">
        <v>91</v>
      </c>
      <c r="DN12" s="228">
        <v>106</v>
      </c>
      <c r="DO12" s="228">
        <f>74+33</f>
        <v>107</v>
      </c>
      <c r="DP12" s="228">
        <v>104</v>
      </c>
      <c r="DQ12" s="229">
        <f t="shared" si="39"/>
        <v>408</v>
      </c>
      <c r="DR12" s="228">
        <v>89</v>
      </c>
      <c r="DS12" s="228">
        <v>110</v>
      </c>
      <c r="DT12" s="230">
        <f>76+44</f>
        <v>120</v>
      </c>
      <c r="DU12" s="228">
        <v>106</v>
      </c>
      <c r="DV12" s="229">
        <f t="shared" si="40"/>
        <v>425</v>
      </c>
      <c r="DW12" s="1703">
        <f t="shared" ref="DW12:DZ12" si="50">DW13</f>
        <v>53</v>
      </c>
      <c r="DX12" s="1703">
        <f t="shared" si="50"/>
        <v>78</v>
      </c>
      <c r="DY12" s="1703">
        <f t="shared" si="50"/>
        <v>83</v>
      </c>
      <c r="DZ12" s="1703">
        <f t="shared" si="50"/>
        <v>74</v>
      </c>
      <c r="EA12" s="1704">
        <f t="shared" si="41"/>
        <v>288</v>
      </c>
      <c r="EB12" s="1703">
        <f t="shared" ref="EB12:EE12" si="51">EB13</f>
        <v>59</v>
      </c>
      <c r="EC12" s="1703">
        <f t="shared" si="51"/>
        <v>82</v>
      </c>
      <c r="ED12" s="1703">
        <f t="shared" si="51"/>
        <v>87</v>
      </c>
      <c r="EE12" s="1703">
        <f t="shared" si="51"/>
        <v>78</v>
      </c>
      <c r="EF12" s="1704">
        <f t="shared" si="42"/>
        <v>306</v>
      </c>
      <c r="EG12" s="1705">
        <f>EG13</f>
        <v>58</v>
      </c>
      <c r="EH12" s="1705">
        <f>EH13</f>
        <v>86</v>
      </c>
      <c r="EI12" s="1705">
        <v>86</v>
      </c>
      <c r="EJ12" s="1703">
        <v>80</v>
      </c>
      <c r="EK12" s="1704">
        <f t="shared" si="43"/>
        <v>310</v>
      </c>
      <c r="EL12" s="1705">
        <v>70</v>
      </c>
      <c r="EM12" s="1705">
        <v>83</v>
      </c>
      <c r="EN12" s="1705">
        <v>80</v>
      </c>
      <c r="EO12" s="1703">
        <v>75</v>
      </c>
      <c r="EP12" s="1704">
        <f t="shared" si="44"/>
        <v>308</v>
      </c>
      <c r="EQ12" s="1705">
        <v>66</v>
      </c>
      <c r="ER12" s="230">
        <f t="shared" si="48"/>
        <v>86.320000000000007</v>
      </c>
      <c r="ES12" s="230">
        <f t="shared" si="49"/>
        <v>83.2</v>
      </c>
      <c r="ET12" s="230">
        <f t="shared" si="49"/>
        <v>76.875</v>
      </c>
      <c r="EU12" s="229">
        <f t="shared" si="47"/>
        <v>312.39499999999998</v>
      </c>
      <c r="EZ12" s="231">
        <f>EU12*(1+EZ36)</f>
        <v>317.08092499999998</v>
      </c>
      <c r="FE12" s="231">
        <f>EZ12*(1+FE36)</f>
        <v>321.83713887499994</v>
      </c>
      <c r="FG12" s="466"/>
      <c r="FH12" s="764"/>
      <c r="FI12" s="764"/>
      <c r="FJ12" s="764"/>
      <c r="FL12" s="1337"/>
      <c r="FM12" s="230">
        <f t="shared" si="3"/>
        <v>66</v>
      </c>
      <c r="FN12" s="764">
        <f t="shared" si="4"/>
        <v>70</v>
      </c>
      <c r="FO12" s="1797">
        <v>66.149999999999991</v>
      </c>
      <c r="FP12" s="1733">
        <f t="shared" si="5"/>
        <v>-5.7142857142857162E-2</v>
      </c>
      <c r="FQ12" s="1519">
        <f t="shared" si="6"/>
        <v>-2.2675736961449422E-3</v>
      </c>
      <c r="FR12" s="1619"/>
      <c r="FS12" s="1619"/>
      <c r="FT12" s="399"/>
      <c r="FU12" s="399"/>
      <c r="FV12" s="399"/>
      <c r="FW12" s="399"/>
      <c r="FX12" s="399"/>
      <c r="FY12" s="399"/>
      <c r="FZ12" s="466"/>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row>
    <row r="13" spans="1:258" s="228" customFormat="1" hidden="1" outlineLevel="1" x14ac:dyDescent="0.2">
      <c r="A13" s="1702" t="s">
        <v>750</v>
      </c>
      <c r="F13" s="229"/>
      <c r="K13" s="229"/>
      <c r="P13" s="229"/>
      <c r="U13" s="229"/>
      <c r="Z13" s="229"/>
      <c r="AE13" s="229"/>
      <c r="AJ13" s="229"/>
      <c r="AO13" s="229"/>
      <c r="AT13" s="229"/>
      <c r="AY13" s="229"/>
      <c r="BD13" s="229"/>
      <c r="BI13" s="229"/>
      <c r="BN13" s="229"/>
      <c r="BS13" s="229"/>
      <c r="BX13" s="229"/>
      <c r="CC13" s="229"/>
      <c r="CH13" s="229"/>
      <c r="CM13" s="229"/>
      <c r="CR13" s="229"/>
      <c r="CW13" s="229"/>
      <c r="DB13" s="229"/>
      <c r="DG13" s="229"/>
      <c r="DL13" s="229"/>
      <c r="DQ13" s="229"/>
      <c r="DT13" s="230"/>
      <c r="DV13" s="229"/>
      <c r="DW13" s="228">
        <f>85-DW14-DW15</f>
        <v>53</v>
      </c>
      <c r="DX13" s="228">
        <f>120-DX14-DX15</f>
        <v>78</v>
      </c>
      <c r="DY13" s="228">
        <f>129-DY14-DY15</f>
        <v>83</v>
      </c>
      <c r="DZ13" s="228">
        <f>117-DZ14-DZ15</f>
        <v>74</v>
      </c>
      <c r="EA13" s="229"/>
      <c r="EB13" s="228">
        <f>91-EB14-EB15</f>
        <v>59</v>
      </c>
      <c r="EC13" s="228">
        <f>125-EC14-EC15</f>
        <v>82</v>
      </c>
      <c r="ED13" s="228">
        <f>127-ED14-ED15</f>
        <v>87</v>
      </c>
      <c r="EE13" s="228">
        <f>119-EE14-EE15</f>
        <v>78</v>
      </c>
      <c r="EF13" s="229"/>
      <c r="EG13" s="721">
        <f>95-EG14-EG15</f>
        <v>58</v>
      </c>
      <c r="EH13" s="721">
        <f>135-EH14-EH15</f>
        <v>86</v>
      </c>
      <c r="EI13" s="1701"/>
      <c r="EJ13" s="721"/>
      <c r="EK13" s="229"/>
      <c r="EL13" s="721"/>
      <c r="EM13" s="721"/>
      <c r="EN13" s="1701"/>
      <c r="EO13" s="721"/>
      <c r="EP13" s="229"/>
      <c r="EQ13" s="721"/>
      <c r="ER13" s="230"/>
      <c r="ES13" s="230"/>
      <c r="ET13" s="230"/>
      <c r="EU13" s="229"/>
      <c r="EZ13" s="231"/>
      <c r="FE13" s="231"/>
      <c r="FG13" s="466"/>
      <c r="FH13" s="764"/>
      <c r="FI13" s="764"/>
      <c r="FJ13" s="764"/>
      <c r="FL13" s="1337"/>
      <c r="FM13" s="230"/>
      <c r="FN13" s="764"/>
      <c r="FO13" s="1797"/>
      <c r="FP13" s="1733"/>
      <c r="FQ13" s="1519"/>
      <c r="FR13" s="1619"/>
      <c r="FS13" s="1619"/>
      <c r="FT13" s="399"/>
      <c r="FU13" s="399"/>
      <c r="FV13" s="399"/>
      <c r="FW13" s="399"/>
      <c r="FX13" s="399"/>
      <c r="FY13" s="399"/>
      <c r="FZ13" s="466"/>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row>
    <row r="14" spans="1:258" s="228" customFormat="1" hidden="1" outlineLevel="1" x14ac:dyDescent="0.2">
      <c r="A14" s="1702" t="s">
        <v>755</v>
      </c>
      <c r="F14" s="229"/>
      <c r="K14" s="229"/>
      <c r="P14" s="229"/>
      <c r="U14" s="229"/>
      <c r="Z14" s="229"/>
      <c r="AE14" s="229"/>
      <c r="AJ14" s="229"/>
      <c r="AO14" s="229"/>
      <c r="AT14" s="229"/>
      <c r="AY14" s="229"/>
      <c r="BD14" s="229"/>
      <c r="BI14" s="229"/>
      <c r="BN14" s="229"/>
      <c r="BS14" s="229"/>
      <c r="BX14" s="229"/>
      <c r="CC14" s="229"/>
      <c r="CH14" s="229"/>
      <c r="CM14" s="229"/>
      <c r="CR14" s="229"/>
      <c r="CW14" s="229"/>
      <c r="DB14" s="229"/>
      <c r="DG14" s="229"/>
      <c r="DL14" s="229"/>
      <c r="DQ14" s="229"/>
      <c r="DT14" s="230"/>
      <c r="DV14" s="229"/>
      <c r="DW14" s="228">
        <f t="shared" ref="DW14:DZ14" si="52">+DW21</f>
        <v>19</v>
      </c>
      <c r="DX14" s="228">
        <f t="shared" si="52"/>
        <v>29</v>
      </c>
      <c r="DY14" s="228">
        <f t="shared" si="52"/>
        <v>30</v>
      </c>
      <c r="DZ14" s="228">
        <f t="shared" si="52"/>
        <v>30</v>
      </c>
      <c r="EA14" s="229"/>
      <c r="EB14" s="228">
        <f t="shared" ref="EB14:EE14" si="53">+EB21</f>
        <v>21</v>
      </c>
      <c r="EC14" s="228">
        <f t="shared" si="53"/>
        <v>29</v>
      </c>
      <c r="ED14" s="228">
        <f t="shared" si="53"/>
        <v>28</v>
      </c>
      <c r="EE14" s="228">
        <f t="shared" si="53"/>
        <v>27</v>
      </c>
      <c r="EF14" s="229"/>
      <c r="EG14" s="721">
        <f>+EG21</f>
        <v>25</v>
      </c>
      <c r="EH14" s="721">
        <f>+EH21</f>
        <v>34</v>
      </c>
      <c r="EI14" s="1701"/>
      <c r="EK14" s="229"/>
      <c r="EL14" s="721"/>
      <c r="EM14" s="721"/>
      <c r="EN14" s="1701"/>
      <c r="EP14" s="229"/>
      <c r="EQ14" s="721"/>
      <c r="ER14" s="230"/>
      <c r="ES14" s="230"/>
      <c r="ET14" s="230"/>
      <c r="EU14" s="229"/>
      <c r="EZ14" s="231"/>
      <c r="FE14" s="231"/>
      <c r="FG14" s="466"/>
      <c r="FH14" s="764"/>
      <c r="FI14" s="764"/>
      <c r="FJ14" s="764"/>
      <c r="FL14" s="1337"/>
      <c r="FM14" s="230"/>
      <c r="FN14" s="764"/>
      <c r="FO14" s="1797"/>
      <c r="FP14" s="1733"/>
      <c r="FQ14" s="1519"/>
      <c r="FR14" s="1619"/>
      <c r="FS14" s="1619"/>
      <c r="FT14" s="399"/>
      <c r="FU14" s="399"/>
      <c r="FV14" s="399"/>
      <c r="FW14" s="399"/>
      <c r="FX14" s="399"/>
      <c r="FY14" s="399"/>
      <c r="FZ14" s="466"/>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row>
    <row r="15" spans="1:258" s="228" customFormat="1" hidden="1" outlineLevel="1" x14ac:dyDescent="0.2">
      <c r="A15" s="1702" t="s">
        <v>753</v>
      </c>
      <c r="F15" s="229"/>
      <c r="K15" s="229"/>
      <c r="P15" s="229"/>
      <c r="U15" s="229"/>
      <c r="Z15" s="229"/>
      <c r="AE15" s="229"/>
      <c r="AJ15" s="229"/>
      <c r="AO15" s="229"/>
      <c r="AT15" s="229"/>
      <c r="AY15" s="229"/>
      <c r="BD15" s="229"/>
      <c r="BI15" s="229"/>
      <c r="BN15" s="229"/>
      <c r="BS15" s="229"/>
      <c r="BX15" s="229"/>
      <c r="CC15" s="229"/>
      <c r="CH15" s="229"/>
      <c r="CM15" s="229"/>
      <c r="CR15" s="229"/>
      <c r="CW15" s="229"/>
      <c r="DB15" s="229"/>
      <c r="DG15" s="229"/>
      <c r="DL15" s="229"/>
      <c r="DQ15" s="229"/>
      <c r="DT15" s="230"/>
      <c r="DV15" s="229"/>
      <c r="DW15" s="228">
        <f t="shared" ref="DW15:DZ15" si="54">+DW18</f>
        <v>13</v>
      </c>
      <c r="DX15" s="228">
        <f t="shared" si="54"/>
        <v>13</v>
      </c>
      <c r="DY15" s="228">
        <f t="shared" si="54"/>
        <v>16</v>
      </c>
      <c r="DZ15" s="228">
        <f t="shared" si="54"/>
        <v>13</v>
      </c>
      <c r="EA15" s="229"/>
      <c r="EB15" s="228">
        <f t="shared" ref="EB15:EE15" si="55">+EB18</f>
        <v>11</v>
      </c>
      <c r="EC15" s="228">
        <f t="shared" si="55"/>
        <v>14</v>
      </c>
      <c r="ED15" s="228">
        <f t="shared" si="55"/>
        <v>12</v>
      </c>
      <c r="EE15" s="228">
        <f t="shared" si="55"/>
        <v>14</v>
      </c>
      <c r="EF15" s="229"/>
      <c r="EG15" s="721">
        <f>+EG18</f>
        <v>12</v>
      </c>
      <c r="EH15" s="721">
        <f>+EH18</f>
        <v>15</v>
      </c>
      <c r="EI15" s="1701"/>
      <c r="EK15" s="229"/>
      <c r="EL15" s="721"/>
      <c r="EM15" s="721"/>
      <c r="EN15" s="1701"/>
      <c r="EP15" s="229"/>
      <c r="EQ15" s="721"/>
      <c r="ER15" s="230"/>
      <c r="ES15" s="230"/>
      <c r="ET15" s="230"/>
      <c r="EU15" s="229"/>
      <c r="EZ15" s="231"/>
      <c r="FE15" s="231"/>
      <c r="FG15" s="466"/>
      <c r="FH15" s="764"/>
      <c r="FI15" s="764"/>
      <c r="FJ15" s="764"/>
      <c r="FL15" s="1337"/>
      <c r="FM15" s="230"/>
      <c r="FN15" s="764"/>
      <c r="FO15" s="1797"/>
      <c r="FP15" s="1733"/>
      <c r="FQ15" s="1519"/>
      <c r="FR15" s="1619"/>
      <c r="FS15" s="1619"/>
      <c r="FT15" s="399"/>
      <c r="FU15" s="399"/>
      <c r="FV15" s="399"/>
      <c r="FW15" s="399"/>
      <c r="FX15" s="399"/>
      <c r="FY15" s="399"/>
      <c r="FZ15" s="466"/>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row>
    <row r="16" spans="1:258" s="228" customFormat="1" collapsed="1" x14ac:dyDescent="0.2">
      <c r="A16" s="1700" t="s">
        <v>749</v>
      </c>
      <c r="F16" s="229"/>
      <c r="K16" s="229"/>
      <c r="P16" s="229"/>
      <c r="Q16" s="228">
        <v>625</v>
      </c>
      <c r="R16" s="228">
        <v>656.93675889328063</v>
      </c>
      <c r="S16" s="228">
        <v>617</v>
      </c>
      <c r="T16" s="228">
        <v>647</v>
      </c>
      <c r="U16" s="229">
        <v>2545.9367588932805</v>
      </c>
      <c r="V16" s="228">
        <v>642</v>
      </c>
      <c r="W16" s="228">
        <v>670</v>
      </c>
      <c r="X16" s="228">
        <v>649</v>
      </c>
      <c r="Y16" s="228">
        <v>676</v>
      </c>
      <c r="Z16" s="229">
        <v>2637</v>
      </c>
      <c r="AA16" s="228">
        <v>678</v>
      </c>
      <c r="AB16" s="228">
        <v>720</v>
      </c>
      <c r="AC16" s="228">
        <v>689</v>
      </c>
      <c r="AD16" s="228">
        <v>715</v>
      </c>
      <c r="AE16" s="229">
        <v>2802</v>
      </c>
      <c r="AF16" s="228">
        <v>730</v>
      </c>
      <c r="AG16" s="228">
        <v>740</v>
      </c>
      <c r="AH16" s="228">
        <v>714</v>
      </c>
      <c r="AI16" s="228">
        <v>721</v>
      </c>
      <c r="AJ16" s="229">
        <v>2905</v>
      </c>
      <c r="AK16" s="228">
        <v>702</v>
      </c>
      <c r="AL16" s="228">
        <v>731</v>
      </c>
      <c r="AM16" s="228">
        <v>705</v>
      </c>
      <c r="AN16" s="228">
        <v>717</v>
      </c>
      <c r="AO16" s="229">
        <v>2855</v>
      </c>
      <c r="AP16" s="228">
        <v>729</v>
      </c>
      <c r="AQ16" s="228">
        <v>757</v>
      </c>
      <c r="AR16" s="228">
        <v>730</v>
      </c>
      <c r="AS16" s="228">
        <v>762</v>
      </c>
      <c r="AT16" s="229">
        <v>2978</v>
      </c>
      <c r="AU16" s="228">
        <v>69</v>
      </c>
      <c r="AV16" s="228">
        <v>71</v>
      </c>
      <c r="AW16" s="228">
        <v>66</v>
      </c>
      <c r="AX16" s="228">
        <v>62</v>
      </c>
      <c r="AY16" s="229">
        <f t="shared" si="25"/>
        <v>268</v>
      </c>
      <c r="AZ16" s="228">
        <v>72</v>
      </c>
      <c r="BA16" s="228">
        <v>78</v>
      </c>
      <c r="BB16" s="228">
        <v>85</v>
      </c>
      <c r="BC16" s="228">
        <v>84</v>
      </c>
      <c r="BD16" s="229">
        <f t="shared" si="26"/>
        <v>319</v>
      </c>
      <c r="BE16" s="228">
        <v>91</v>
      </c>
      <c r="BF16" s="228">
        <v>89</v>
      </c>
      <c r="BG16" s="228">
        <v>84</v>
      </c>
      <c r="BH16" s="228">
        <v>79</v>
      </c>
      <c r="BI16" s="229">
        <f t="shared" si="27"/>
        <v>343</v>
      </c>
      <c r="BJ16" s="228">
        <v>81</v>
      </c>
      <c r="BK16" s="228">
        <v>83</v>
      </c>
      <c r="BL16" s="228">
        <v>81</v>
      </c>
      <c r="BM16" s="228">
        <v>74</v>
      </c>
      <c r="BN16" s="229">
        <f t="shared" si="28"/>
        <v>319</v>
      </c>
      <c r="BO16" s="228">
        <v>77</v>
      </c>
      <c r="BP16" s="228">
        <v>80</v>
      </c>
      <c r="BQ16" s="228">
        <v>83</v>
      </c>
      <c r="BR16" s="228">
        <v>79</v>
      </c>
      <c r="BS16" s="229">
        <f t="shared" si="29"/>
        <v>319</v>
      </c>
      <c r="BT16" s="228">
        <v>88</v>
      </c>
      <c r="BU16" s="228">
        <v>87</v>
      </c>
      <c r="BV16" s="228">
        <v>85</v>
      </c>
      <c r="BW16" s="228">
        <v>88</v>
      </c>
      <c r="BX16" s="229">
        <f t="shared" si="30"/>
        <v>348</v>
      </c>
      <c r="BY16" s="228">
        <v>94</v>
      </c>
      <c r="BZ16" s="228">
        <v>95</v>
      </c>
      <c r="CA16" s="228">
        <v>95</v>
      </c>
      <c r="CB16" s="228">
        <v>96</v>
      </c>
      <c r="CC16" s="229">
        <f t="shared" si="31"/>
        <v>380</v>
      </c>
      <c r="CD16" s="228">
        <v>93</v>
      </c>
      <c r="CE16" s="228">
        <v>92</v>
      </c>
      <c r="CF16" s="228">
        <v>88</v>
      </c>
      <c r="CG16" s="228">
        <v>88</v>
      </c>
      <c r="CH16" s="229">
        <f t="shared" si="32"/>
        <v>361</v>
      </c>
      <c r="CI16" s="228">
        <v>94</v>
      </c>
      <c r="CJ16" s="228">
        <v>95</v>
      </c>
      <c r="CK16" s="228">
        <v>91</v>
      </c>
      <c r="CL16" s="228">
        <v>84</v>
      </c>
      <c r="CM16" s="229">
        <f t="shared" si="33"/>
        <v>364</v>
      </c>
      <c r="CN16" s="228">
        <v>93</v>
      </c>
      <c r="CO16" s="228">
        <v>94</v>
      </c>
      <c r="CP16" s="228">
        <v>89</v>
      </c>
      <c r="CQ16" s="228">
        <v>79</v>
      </c>
      <c r="CR16" s="229">
        <f t="shared" si="34"/>
        <v>355</v>
      </c>
      <c r="CS16" s="228">
        <v>92</v>
      </c>
      <c r="CT16" s="228">
        <v>96</v>
      </c>
      <c r="CU16" s="228">
        <v>92</v>
      </c>
      <c r="CV16" s="228">
        <v>57</v>
      </c>
      <c r="CW16" s="229">
        <f t="shared" si="35"/>
        <v>337</v>
      </c>
      <c r="CX16" s="228">
        <v>48</v>
      </c>
      <c r="CY16" s="228">
        <v>45</v>
      </c>
      <c r="CZ16" s="228">
        <v>55</v>
      </c>
      <c r="DA16" s="228">
        <v>52</v>
      </c>
      <c r="DB16" s="229">
        <f t="shared" si="36"/>
        <v>200</v>
      </c>
      <c r="DC16" s="228">
        <v>61</v>
      </c>
      <c r="DD16" s="228">
        <v>65</v>
      </c>
      <c r="DE16" s="228">
        <v>57</v>
      </c>
      <c r="DF16" s="228">
        <v>60</v>
      </c>
      <c r="DG16" s="229">
        <f t="shared" si="37"/>
        <v>243</v>
      </c>
      <c r="DH16" s="228">
        <v>67</v>
      </c>
      <c r="DI16" s="228">
        <v>68</v>
      </c>
      <c r="DJ16" s="228">
        <v>66</v>
      </c>
      <c r="DK16" s="228">
        <v>64</v>
      </c>
      <c r="DL16" s="229">
        <f t="shared" si="38"/>
        <v>265</v>
      </c>
      <c r="DM16" s="228">
        <v>72</v>
      </c>
      <c r="DN16" s="228">
        <v>67</v>
      </c>
      <c r="DO16" s="228">
        <v>64</v>
      </c>
      <c r="DP16" s="228">
        <v>60</v>
      </c>
      <c r="DQ16" s="229">
        <f t="shared" si="39"/>
        <v>263</v>
      </c>
      <c r="DR16" s="228">
        <v>66</v>
      </c>
      <c r="DS16" s="228">
        <v>66</v>
      </c>
      <c r="DT16" s="230">
        <v>67</v>
      </c>
      <c r="DU16" s="228">
        <v>63</v>
      </c>
      <c r="DV16" s="229">
        <f t="shared" si="40"/>
        <v>262</v>
      </c>
      <c r="DW16" s="1703">
        <f t="shared" ref="DW16:DZ16" si="56">SUM(DW17:DW18)</f>
        <v>78</v>
      </c>
      <c r="DX16" s="1703">
        <f t="shared" si="56"/>
        <v>87</v>
      </c>
      <c r="DY16" s="1703">
        <f t="shared" si="56"/>
        <v>87</v>
      </c>
      <c r="DZ16" s="1703">
        <f t="shared" si="56"/>
        <v>79</v>
      </c>
      <c r="EA16" s="1704">
        <f t="shared" ref="EA16" si="57">SUM(DW16:DZ16)</f>
        <v>331</v>
      </c>
      <c r="EB16" s="1703">
        <f t="shared" ref="EB16:EE16" si="58">SUM(EB17:EB18)</f>
        <v>72</v>
      </c>
      <c r="EC16" s="1703">
        <f t="shared" si="58"/>
        <v>75</v>
      </c>
      <c r="ED16" s="1703">
        <f t="shared" si="58"/>
        <v>72</v>
      </c>
      <c r="EE16" s="1703">
        <f t="shared" si="58"/>
        <v>65</v>
      </c>
      <c r="EF16" s="1704">
        <f t="shared" si="42"/>
        <v>284</v>
      </c>
      <c r="EG16" s="1705">
        <f t="shared" ref="EG16:EH16" si="59">SUM(EG17:EG18)</f>
        <v>62</v>
      </c>
      <c r="EH16" s="1705">
        <f t="shared" si="59"/>
        <v>71</v>
      </c>
      <c r="EI16" s="1705">
        <f>SUM(EI17:EI18)</f>
        <v>63</v>
      </c>
      <c r="EJ16" s="1703">
        <v>63</v>
      </c>
      <c r="EK16" s="1704">
        <f t="shared" ref="EK16" si="60">SUM(EG16:EJ16)</f>
        <v>259</v>
      </c>
      <c r="EL16" s="1705">
        <v>70</v>
      </c>
      <c r="EM16" s="1705">
        <v>67</v>
      </c>
      <c r="EN16" s="1705">
        <v>64</v>
      </c>
      <c r="EO16" s="1703">
        <v>55</v>
      </c>
      <c r="EP16" s="1704">
        <f t="shared" ref="EP16" si="61">SUM(EL16:EO16)</f>
        <v>256</v>
      </c>
      <c r="EQ16" s="1705">
        <v>64</v>
      </c>
      <c r="ER16" s="230">
        <f t="shared" ref="ER16" si="62">EM16*(1+ER37)</f>
        <v>69.680000000000007</v>
      </c>
      <c r="ES16" s="230">
        <f>EN16*(1+ES37)</f>
        <v>65.599999999999994</v>
      </c>
      <c r="ET16" s="230">
        <f>EO16*(1+ET37)</f>
        <v>56.374999999999993</v>
      </c>
      <c r="EU16" s="229">
        <f t="shared" si="47"/>
        <v>255.655</v>
      </c>
      <c r="EZ16" s="231">
        <f>EU16*(1+EZ37)</f>
        <v>259.489825</v>
      </c>
      <c r="FE16" s="231">
        <f>EZ16*(1+FE37)</f>
        <v>263.38217237499998</v>
      </c>
      <c r="FG16" s="468"/>
      <c r="FH16" s="764"/>
      <c r="FI16" s="764"/>
      <c r="FJ16" s="764"/>
      <c r="FL16" s="1337"/>
      <c r="FM16" s="230">
        <f>+EQ16</f>
        <v>64</v>
      </c>
      <c r="FN16" s="764">
        <f>EL16</f>
        <v>70</v>
      </c>
      <c r="FO16" s="1797">
        <v>65.099999999999994</v>
      </c>
      <c r="FP16" s="1733">
        <f t="shared" si="5"/>
        <v>-8.5714285714285743E-2</v>
      </c>
      <c r="FQ16" s="1519">
        <f t="shared" si="6"/>
        <v>-1.6897081413210335E-2</v>
      </c>
      <c r="FR16" s="1619"/>
      <c r="FS16" s="1619"/>
      <c r="FT16" s="399"/>
      <c r="FU16" s="399"/>
      <c r="FV16" s="399"/>
      <c r="FW16" s="399"/>
      <c r="FX16" s="399"/>
      <c r="FY16" s="399"/>
      <c r="FZ16" s="468"/>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row>
    <row r="17" spans="1:258" s="228" customFormat="1" hidden="1" outlineLevel="1" x14ac:dyDescent="0.2">
      <c r="A17" s="1702" t="s">
        <v>752</v>
      </c>
      <c r="F17" s="229"/>
      <c r="K17" s="229"/>
      <c r="P17" s="229"/>
      <c r="U17" s="229"/>
      <c r="Z17" s="229"/>
      <c r="AE17" s="229"/>
      <c r="AJ17" s="229"/>
      <c r="AO17" s="229"/>
      <c r="AT17" s="229"/>
      <c r="AY17" s="229"/>
      <c r="BD17" s="229"/>
      <c r="BI17" s="229"/>
      <c r="BN17" s="229"/>
      <c r="BS17" s="229"/>
      <c r="BX17" s="229"/>
      <c r="CC17" s="229"/>
      <c r="CH17" s="229"/>
      <c r="CM17" s="229"/>
      <c r="CR17" s="229"/>
      <c r="CW17" s="229"/>
      <c r="DB17" s="229"/>
      <c r="DG17" s="229"/>
      <c r="DL17" s="229"/>
      <c r="DQ17" s="229"/>
      <c r="DT17" s="230"/>
      <c r="DV17" s="229"/>
      <c r="DW17" s="228">
        <v>65</v>
      </c>
      <c r="DX17" s="228">
        <v>74</v>
      </c>
      <c r="DY17" s="230">
        <v>71</v>
      </c>
      <c r="DZ17" s="228">
        <v>66</v>
      </c>
      <c r="EA17" s="1704"/>
      <c r="EB17" s="228">
        <v>61</v>
      </c>
      <c r="EC17" s="228">
        <v>61</v>
      </c>
      <c r="ED17" s="230">
        <v>60</v>
      </c>
      <c r="EE17" s="228">
        <v>51</v>
      </c>
      <c r="EF17" s="229"/>
      <c r="EG17" s="228">
        <v>50</v>
      </c>
      <c r="EH17" s="228">
        <v>56</v>
      </c>
      <c r="EI17" s="230">
        <v>58</v>
      </c>
      <c r="EJ17" s="1732"/>
      <c r="EK17" s="229"/>
      <c r="EM17" s="721"/>
      <c r="EN17" s="230"/>
      <c r="EO17" s="721"/>
      <c r="EP17" s="229"/>
      <c r="ER17" s="230"/>
      <c r="ES17" s="230"/>
      <c r="ET17" s="230"/>
      <c r="EU17" s="229"/>
      <c r="EZ17" s="231"/>
      <c r="FE17" s="231"/>
      <c r="FG17" s="468"/>
      <c r="FH17" s="764"/>
      <c r="FI17" s="764"/>
      <c r="FJ17" s="764"/>
      <c r="FL17" s="1337"/>
      <c r="FM17" s="230"/>
      <c r="FN17" s="764">
        <f>EL17</f>
        <v>0</v>
      </c>
      <c r="FO17" s="1797"/>
      <c r="FP17" s="1733"/>
      <c r="FQ17" s="1519"/>
      <c r="FR17" s="1619"/>
      <c r="FS17" s="1619"/>
      <c r="FT17" s="399"/>
      <c r="FU17" s="399"/>
      <c r="FV17" s="399"/>
      <c r="FW17" s="399"/>
      <c r="FX17" s="399"/>
      <c r="FY17" s="399"/>
      <c r="FZ17" s="468"/>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row>
    <row r="18" spans="1:258" s="228" customFormat="1" hidden="1" outlineLevel="1" x14ac:dyDescent="0.2">
      <c r="A18" s="1702" t="s">
        <v>753</v>
      </c>
      <c r="F18" s="229"/>
      <c r="K18" s="229"/>
      <c r="P18" s="229"/>
      <c r="U18" s="229"/>
      <c r="Z18" s="229"/>
      <c r="AE18" s="229"/>
      <c r="AJ18" s="229"/>
      <c r="AO18" s="229"/>
      <c r="AT18" s="229"/>
      <c r="AY18" s="229"/>
      <c r="BD18" s="229"/>
      <c r="BI18" s="229"/>
      <c r="BN18" s="229"/>
      <c r="BS18" s="229"/>
      <c r="BX18" s="229"/>
      <c r="CC18" s="229"/>
      <c r="CH18" s="229"/>
      <c r="CM18" s="229"/>
      <c r="CR18" s="229"/>
      <c r="CW18" s="229"/>
      <c r="DB18" s="229"/>
      <c r="DG18" s="229"/>
      <c r="DL18" s="229"/>
      <c r="DQ18" s="229"/>
      <c r="DT18" s="230"/>
      <c r="DV18" s="229"/>
      <c r="DW18" s="228">
        <f>78-DW17</f>
        <v>13</v>
      </c>
      <c r="DX18" s="228">
        <f>87-DX17</f>
        <v>13</v>
      </c>
      <c r="DY18" s="230">
        <f>87-DY17</f>
        <v>16</v>
      </c>
      <c r="DZ18" s="228">
        <f>79-DZ17</f>
        <v>13</v>
      </c>
      <c r="EA18" s="229"/>
      <c r="EB18" s="228">
        <f>72-EB17</f>
        <v>11</v>
      </c>
      <c r="EC18" s="228">
        <f>75-EC17</f>
        <v>14</v>
      </c>
      <c r="ED18" s="230">
        <f>72-ED17</f>
        <v>12</v>
      </c>
      <c r="EE18" s="228">
        <f>65-EE17</f>
        <v>14</v>
      </c>
      <c r="EF18" s="229"/>
      <c r="EG18" s="228">
        <f>62-EG17</f>
        <v>12</v>
      </c>
      <c r="EH18" s="228">
        <f>71-EH17</f>
        <v>15</v>
      </c>
      <c r="EI18" s="230">
        <v>5</v>
      </c>
      <c r="EJ18" s="1732"/>
      <c r="EK18" s="229"/>
      <c r="EM18" s="721"/>
      <c r="EN18" s="230"/>
      <c r="EO18" s="721"/>
      <c r="EP18" s="229"/>
      <c r="ER18" s="230"/>
      <c r="ES18" s="230"/>
      <c r="ET18" s="230"/>
      <c r="EU18" s="229"/>
      <c r="EZ18" s="231"/>
      <c r="FE18" s="231"/>
      <c r="FG18" s="468"/>
      <c r="FH18" s="764"/>
      <c r="FI18" s="764"/>
      <c r="FJ18" s="764"/>
      <c r="FL18" s="1337"/>
      <c r="FM18" s="230"/>
      <c r="FN18" s="764"/>
      <c r="FO18" s="1797"/>
      <c r="FP18" s="1733"/>
      <c r="FQ18" s="1519"/>
      <c r="FR18" s="1619"/>
      <c r="FS18" s="1619"/>
      <c r="FT18" s="399"/>
      <c r="FU18" s="399"/>
      <c r="FV18" s="399"/>
      <c r="FW18" s="399"/>
      <c r="FX18" s="399"/>
      <c r="FY18" s="399"/>
      <c r="FZ18" s="46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row>
    <row r="19" spans="1:258" s="228" customFormat="1" collapsed="1" x14ac:dyDescent="0.2">
      <c r="A19" s="1700" t="s">
        <v>751</v>
      </c>
      <c r="F19" s="229"/>
      <c r="K19" s="229"/>
      <c r="P19" s="229"/>
      <c r="U19" s="229"/>
      <c r="Z19" s="229"/>
      <c r="AE19" s="229"/>
      <c r="AJ19" s="229"/>
      <c r="AO19" s="229"/>
      <c r="AT19" s="229"/>
      <c r="AU19" s="228">
        <v>112</v>
      </c>
      <c r="AV19" s="228">
        <v>112</v>
      </c>
      <c r="AW19" s="228">
        <v>112</v>
      </c>
      <c r="AX19" s="228">
        <v>108</v>
      </c>
      <c r="AY19" s="229">
        <f t="shared" si="25"/>
        <v>444</v>
      </c>
      <c r="AZ19" s="228">
        <v>121</v>
      </c>
      <c r="BA19" s="228">
        <v>129</v>
      </c>
      <c r="BB19" s="228">
        <v>147</v>
      </c>
      <c r="BC19" s="228">
        <v>148</v>
      </c>
      <c r="BD19" s="229">
        <f t="shared" si="26"/>
        <v>545</v>
      </c>
      <c r="BE19" s="228">
        <v>142</v>
      </c>
      <c r="BF19" s="228">
        <v>145</v>
      </c>
      <c r="BG19" s="228">
        <v>140</v>
      </c>
      <c r="BH19" s="228">
        <v>137</v>
      </c>
      <c r="BI19" s="229">
        <f t="shared" si="27"/>
        <v>564</v>
      </c>
      <c r="BJ19" s="228">
        <v>140</v>
      </c>
      <c r="BK19" s="228">
        <v>138</v>
      </c>
      <c r="BL19" s="228">
        <v>133</v>
      </c>
      <c r="BM19" s="228">
        <v>129</v>
      </c>
      <c r="BN19" s="229">
        <f t="shared" si="28"/>
        <v>540</v>
      </c>
      <c r="BO19" s="228">
        <v>134</v>
      </c>
      <c r="BP19" s="228">
        <v>139</v>
      </c>
      <c r="BQ19" s="228">
        <v>133</v>
      </c>
      <c r="BR19" s="228">
        <v>133</v>
      </c>
      <c r="BS19" s="229">
        <f t="shared" si="29"/>
        <v>539</v>
      </c>
      <c r="BT19" s="228">
        <v>137</v>
      </c>
      <c r="BU19" s="228">
        <v>133</v>
      </c>
      <c r="BV19" s="228">
        <v>136</v>
      </c>
      <c r="BW19" s="228">
        <v>135</v>
      </c>
      <c r="BX19" s="229">
        <f t="shared" si="30"/>
        <v>541</v>
      </c>
      <c r="BY19" s="228">
        <v>139</v>
      </c>
      <c r="BZ19" s="228">
        <v>140</v>
      </c>
      <c r="CA19" s="228">
        <v>139</v>
      </c>
      <c r="CB19" s="228">
        <v>146</v>
      </c>
      <c r="CC19" s="229">
        <f t="shared" si="31"/>
        <v>564</v>
      </c>
      <c r="CD19" s="228">
        <v>140</v>
      </c>
      <c r="CE19" s="228">
        <v>135</v>
      </c>
      <c r="CF19" s="228">
        <v>131</v>
      </c>
      <c r="CG19" s="228">
        <v>127</v>
      </c>
      <c r="CH19" s="229">
        <f t="shared" si="32"/>
        <v>533</v>
      </c>
      <c r="CI19" s="228">
        <v>135</v>
      </c>
      <c r="CJ19" s="228">
        <v>134</v>
      </c>
      <c r="CK19" s="228">
        <v>133</v>
      </c>
      <c r="CL19" s="228">
        <v>126</v>
      </c>
      <c r="CM19" s="229">
        <f t="shared" si="33"/>
        <v>528</v>
      </c>
      <c r="CN19" s="228">
        <v>134</v>
      </c>
      <c r="CO19" s="228">
        <v>136</v>
      </c>
      <c r="CP19" s="228">
        <v>131</v>
      </c>
      <c r="CQ19" s="228">
        <v>126</v>
      </c>
      <c r="CR19" s="229">
        <f t="shared" si="34"/>
        <v>527</v>
      </c>
      <c r="CS19" s="228">
        <v>129</v>
      </c>
      <c r="CT19" s="228">
        <v>131</v>
      </c>
      <c r="CU19" s="228">
        <v>125</v>
      </c>
      <c r="CV19" s="228">
        <v>108</v>
      </c>
      <c r="CW19" s="229">
        <f t="shared" si="35"/>
        <v>493</v>
      </c>
      <c r="CX19" s="228">
        <v>105</v>
      </c>
      <c r="CY19" s="228">
        <v>105</v>
      </c>
      <c r="CZ19" s="228">
        <v>110</v>
      </c>
      <c r="DA19" s="228">
        <v>104</v>
      </c>
      <c r="DB19" s="229">
        <f t="shared" si="36"/>
        <v>424</v>
      </c>
      <c r="DC19" s="228">
        <v>112</v>
      </c>
      <c r="DD19" s="228">
        <v>116</v>
      </c>
      <c r="DE19" s="228">
        <v>116</v>
      </c>
      <c r="DF19" s="228">
        <v>117</v>
      </c>
      <c r="DG19" s="229">
        <f t="shared" si="37"/>
        <v>461</v>
      </c>
      <c r="DH19" s="228">
        <v>117</v>
      </c>
      <c r="DI19" s="228">
        <v>119</v>
      </c>
      <c r="DJ19" s="228">
        <v>116</v>
      </c>
      <c r="DK19" s="228">
        <v>110</v>
      </c>
      <c r="DL19" s="229">
        <f t="shared" si="38"/>
        <v>462</v>
      </c>
      <c r="DM19" s="228">
        <v>117</v>
      </c>
      <c r="DN19" s="228">
        <v>120</v>
      </c>
      <c r="DO19" s="228">
        <v>118</v>
      </c>
      <c r="DP19" s="228">
        <v>116</v>
      </c>
      <c r="DQ19" s="229">
        <f t="shared" si="39"/>
        <v>471</v>
      </c>
      <c r="DR19" s="228">
        <v>130</v>
      </c>
      <c r="DS19" s="228">
        <v>133</v>
      </c>
      <c r="DT19" s="230">
        <v>132</v>
      </c>
      <c r="DU19" s="228">
        <v>137</v>
      </c>
      <c r="DV19" s="229">
        <f t="shared" si="40"/>
        <v>532</v>
      </c>
      <c r="DW19" s="1703">
        <f t="shared" ref="DW19" si="63">SUM(DW20:DW21)</f>
        <v>165</v>
      </c>
      <c r="DX19" s="1703">
        <f t="shared" ref="DX19:DZ19" si="64">SUM(DX20:DX21)</f>
        <v>186</v>
      </c>
      <c r="DY19" s="1703">
        <f t="shared" si="64"/>
        <v>189</v>
      </c>
      <c r="DZ19" s="1703">
        <f t="shared" si="64"/>
        <v>188</v>
      </c>
      <c r="EA19" s="1704">
        <f t="shared" si="41"/>
        <v>728</v>
      </c>
      <c r="EB19" s="1703">
        <f t="shared" ref="EB19" si="65">SUM(EB20:EB21)</f>
        <v>176</v>
      </c>
      <c r="EC19" s="1703">
        <f t="shared" ref="EC19" si="66">SUM(EC20:EC21)</f>
        <v>187</v>
      </c>
      <c r="ED19" s="1703">
        <f t="shared" ref="ED19" si="67">SUM(ED20:ED21)</f>
        <v>187</v>
      </c>
      <c r="EE19" s="1703">
        <f t="shared" ref="EE19" si="68">SUM(EE20:EE21)</f>
        <v>176</v>
      </c>
      <c r="EF19" s="1704">
        <f t="shared" si="42"/>
        <v>726</v>
      </c>
      <c r="EG19" s="1703">
        <f t="shared" ref="EG19:EH19" si="69">SUM(EG20:EG21)</f>
        <v>175</v>
      </c>
      <c r="EH19" s="1703">
        <f t="shared" si="69"/>
        <v>172</v>
      </c>
      <c r="EI19" s="1703">
        <f>SUM(EI20:EI21)</f>
        <v>173</v>
      </c>
      <c r="EJ19" s="1703">
        <v>180</v>
      </c>
      <c r="EK19" s="1704">
        <f t="shared" ref="EK19" si="70">SUM(EG19:EJ19)</f>
        <v>700</v>
      </c>
      <c r="EL19" s="1703">
        <v>175</v>
      </c>
      <c r="EM19" s="1703">
        <v>169</v>
      </c>
      <c r="EN19" s="1703">
        <v>164</v>
      </c>
      <c r="EO19" s="1703">
        <v>164</v>
      </c>
      <c r="EP19" s="1704">
        <f t="shared" ref="EP19" si="71">SUM(EL19:EO19)</f>
        <v>672</v>
      </c>
      <c r="EQ19" s="1703">
        <v>162</v>
      </c>
      <c r="ER19" s="230">
        <f t="shared" ref="ER19" si="72">EM19*(1+ER38)</f>
        <v>158.85999999999999</v>
      </c>
      <c r="ES19" s="230">
        <f>EN19*(1+ES38)</f>
        <v>162.35999999999999</v>
      </c>
      <c r="ET19" s="230">
        <f>EO19*(1+ET38)</f>
        <v>167.28</v>
      </c>
      <c r="EU19" s="229">
        <f t="shared" si="47"/>
        <v>650.5</v>
      </c>
      <c r="EZ19" s="231">
        <f>EU19*(1+EZ38)</f>
        <v>657.005</v>
      </c>
      <c r="FE19" s="231">
        <f>EZ19*(1+FE38)</f>
        <v>663.57505000000003</v>
      </c>
      <c r="FG19" s="469"/>
      <c r="FH19" s="1020"/>
      <c r="FI19" s="764"/>
      <c r="FJ19" s="764"/>
      <c r="FL19" s="1337"/>
      <c r="FM19" s="230">
        <f>+EQ19</f>
        <v>162</v>
      </c>
      <c r="FN19" s="764">
        <f>EL19</f>
        <v>175</v>
      </c>
      <c r="FO19" s="1797">
        <v>160.125</v>
      </c>
      <c r="FP19" s="1733">
        <f t="shared" si="5"/>
        <v>-7.4285714285714288E-2</v>
      </c>
      <c r="FQ19" s="1519">
        <f t="shared" si="6"/>
        <v>1.1709601873536313E-2</v>
      </c>
      <c r="FR19" s="1619"/>
      <c r="FS19" s="1619"/>
      <c r="FT19" s="399"/>
      <c r="FU19" s="399"/>
      <c r="FV19" s="399"/>
      <c r="FW19" s="399"/>
      <c r="FX19" s="399"/>
      <c r="FY19" s="399"/>
      <c r="FZ19" s="46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row>
    <row r="20" spans="1:258" s="228" customFormat="1" hidden="1" outlineLevel="1" x14ac:dyDescent="0.2">
      <c r="A20" s="1702" t="s">
        <v>754</v>
      </c>
      <c r="F20" s="229"/>
      <c r="K20" s="229"/>
      <c r="P20" s="229"/>
      <c r="U20" s="229"/>
      <c r="Z20" s="229"/>
      <c r="AE20" s="229"/>
      <c r="AJ20" s="229"/>
      <c r="AO20" s="229"/>
      <c r="AT20" s="229"/>
      <c r="AY20" s="229"/>
      <c r="BD20" s="229"/>
      <c r="BI20" s="229"/>
      <c r="BN20" s="229"/>
      <c r="BS20" s="229"/>
      <c r="BX20" s="229"/>
      <c r="CC20" s="229"/>
      <c r="CH20" s="229"/>
      <c r="CM20" s="229"/>
      <c r="CR20" s="229"/>
      <c r="CW20" s="229"/>
      <c r="DB20" s="229"/>
      <c r="DG20" s="229"/>
      <c r="DL20" s="229"/>
      <c r="DQ20" s="229"/>
      <c r="DT20" s="230"/>
      <c r="DV20" s="229"/>
      <c r="DW20" s="228">
        <v>146</v>
      </c>
      <c r="DX20" s="228">
        <v>157</v>
      </c>
      <c r="DY20" s="230">
        <v>159</v>
      </c>
      <c r="DZ20" s="228">
        <v>158</v>
      </c>
      <c r="EA20" s="229"/>
      <c r="EB20" s="228">
        <v>155</v>
      </c>
      <c r="EC20" s="228">
        <v>158</v>
      </c>
      <c r="ED20" s="230">
        <v>159</v>
      </c>
      <c r="EE20" s="228">
        <v>149</v>
      </c>
      <c r="EF20" s="229"/>
      <c r="EG20" s="228">
        <v>150</v>
      </c>
      <c r="EH20" s="228">
        <v>138</v>
      </c>
      <c r="EI20" s="230">
        <v>141</v>
      </c>
      <c r="EJ20" s="1732"/>
      <c r="EK20" s="229"/>
      <c r="EM20" s="721"/>
      <c r="EN20" s="230"/>
      <c r="EO20" s="721"/>
      <c r="EP20" s="229"/>
      <c r="ER20" s="230"/>
      <c r="ES20" s="230"/>
      <c r="ET20" s="230"/>
      <c r="EU20" s="229"/>
      <c r="EZ20" s="231"/>
      <c r="FE20" s="231"/>
      <c r="FG20" s="469"/>
      <c r="FH20" s="1020"/>
      <c r="FI20" s="764"/>
      <c r="FJ20" s="764"/>
      <c r="FL20" s="1337"/>
      <c r="FM20" s="230"/>
      <c r="FN20" s="764">
        <f>EL20</f>
        <v>0</v>
      </c>
      <c r="FO20" s="1797"/>
      <c r="FP20" s="1733"/>
      <c r="FQ20" s="1519"/>
      <c r="FR20" s="1619"/>
      <c r="FS20" s="1619"/>
      <c r="FT20" s="399"/>
      <c r="FU20" s="399"/>
      <c r="FV20" s="399"/>
      <c r="FW20" s="399"/>
      <c r="FX20" s="399"/>
      <c r="FY20" s="399"/>
      <c r="FZ20" s="469"/>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row>
    <row r="21" spans="1:258" s="228" customFormat="1" hidden="1" outlineLevel="1" x14ac:dyDescent="0.2">
      <c r="A21" s="1702" t="s">
        <v>755</v>
      </c>
      <c r="F21" s="229"/>
      <c r="K21" s="229"/>
      <c r="P21" s="229"/>
      <c r="U21" s="229"/>
      <c r="Z21" s="229"/>
      <c r="AE21" s="229"/>
      <c r="AJ21" s="229"/>
      <c r="AO21" s="229"/>
      <c r="AT21" s="229"/>
      <c r="AY21" s="229"/>
      <c r="BD21" s="229"/>
      <c r="BI21" s="229"/>
      <c r="BN21" s="229"/>
      <c r="BS21" s="229"/>
      <c r="BX21" s="229"/>
      <c r="CC21" s="229"/>
      <c r="CH21" s="229"/>
      <c r="CM21" s="229"/>
      <c r="CR21" s="229"/>
      <c r="CW21" s="229"/>
      <c r="DB21" s="229"/>
      <c r="DG21" s="229"/>
      <c r="DL21" s="229"/>
      <c r="DQ21" s="229"/>
      <c r="DT21" s="230"/>
      <c r="DV21" s="229"/>
      <c r="DW21" s="228">
        <f>165-DW20</f>
        <v>19</v>
      </c>
      <c r="DX21" s="228">
        <f>186-DX20</f>
        <v>29</v>
      </c>
      <c r="DY21" s="230">
        <f>189-DY20</f>
        <v>30</v>
      </c>
      <c r="DZ21" s="228">
        <f>188-DZ20</f>
        <v>30</v>
      </c>
      <c r="EA21" s="229"/>
      <c r="EB21" s="228">
        <f>176-EB20</f>
        <v>21</v>
      </c>
      <c r="EC21" s="228">
        <f>187-EC20</f>
        <v>29</v>
      </c>
      <c r="ED21" s="230">
        <f>187-ED20</f>
        <v>28</v>
      </c>
      <c r="EE21" s="228">
        <f>176-EE20</f>
        <v>27</v>
      </c>
      <c r="EF21" s="229"/>
      <c r="EG21" s="228">
        <f>175-EG20</f>
        <v>25</v>
      </c>
      <c r="EH21" s="228">
        <f>172-EH20</f>
        <v>34</v>
      </c>
      <c r="EI21" s="230">
        <f>173-EI20</f>
        <v>32</v>
      </c>
      <c r="EJ21" s="1732"/>
      <c r="EK21" s="229"/>
      <c r="EM21" s="721"/>
      <c r="EN21" s="230"/>
      <c r="EO21" s="721"/>
      <c r="EP21" s="229"/>
      <c r="ER21" s="230"/>
      <c r="ES21" s="230"/>
      <c r="ET21" s="230"/>
      <c r="EU21" s="229"/>
      <c r="EZ21" s="231"/>
      <c r="FE21" s="231"/>
      <c r="FG21" s="469"/>
      <c r="FH21" s="1020"/>
      <c r="FI21" s="764"/>
      <c r="FJ21" s="764"/>
      <c r="FL21" s="1337"/>
      <c r="FM21" s="230"/>
      <c r="FN21" s="764"/>
      <c r="FO21" s="1797"/>
      <c r="FP21" s="1733"/>
      <c r="FQ21" s="1519"/>
      <c r="FR21" s="1619"/>
      <c r="FS21" s="1619"/>
      <c r="FT21" s="399"/>
      <c r="FU21" s="399"/>
      <c r="FV21" s="399"/>
      <c r="FW21" s="399"/>
      <c r="FX21" s="399"/>
      <c r="FY21" s="399"/>
      <c r="FZ21" s="469"/>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row>
    <row r="22" spans="1:258" s="228" customFormat="1" hidden="1" outlineLevel="1" x14ac:dyDescent="0.2">
      <c r="A22" s="566" t="s">
        <v>162</v>
      </c>
      <c r="F22" s="229"/>
      <c r="K22" s="229"/>
      <c r="P22" s="229"/>
      <c r="U22" s="229"/>
      <c r="Z22" s="229"/>
      <c r="AE22" s="229"/>
      <c r="AJ22" s="229"/>
      <c r="AO22" s="229"/>
      <c r="AT22" s="229"/>
      <c r="AU22" s="228">
        <v>35</v>
      </c>
      <c r="AV22" s="228">
        <v>34</v>
      </c>
      <c r="AW22" s="228">
        <v>33</v>
      </c>
      <c r="AX22" s="228">
        <v>33</v>
      </c>
      <c r="AY22" s="229">
        <f t="shared" si="25"/>
        <v>135</v>
      </c>
      <c r="AZ22" s="228">
        <v>34</v>
      </c>
      <c r="BA22" s="228">
        <v>35</v>
      </c>
      <c r="BB22" s="228">
        <v>39</v>
      </c>
      <c r="BC22" s="228">
        <v>42</v>
      </c>
      <c r="BD22" s="229">
        <f t="shared" si="26"/>
        <v>150</v>
      </c>
      <c r="BE22" s="228">
        <v>40</v>
      </c>
      <c r="BF22" s="228">
        <v>38</v>
      </c>
      <c r="BG22" s="228">
        <v>40</v>
      </c>
      <c r="BH22" s="228">
        <v>39</v>
      </c>
      <c r="BI22" s="229">
        <f t="shared" si="27"/>
        <v>157</v>
      </c>
      <c r="BJ22" s="228">
        <v>39</v>
      </c>
      <c r="BK22" s="228">
        <v>42</v>
      </c>
      <c r="BL22" s="228">
        <v>41</v>
      </c>
      <c r="BM22" s="228">
        <v>41</v>
      </c>
      <c r="BN22" s="229">
        <f t="shared" si="28"/>
        <v>163</v>
      </c>
      <c r="BO22" s="228">
        <v>57</v>
      </c>
      <c r="BP22" s="228">
        <v>61</v>
      </c>
      <c r="BQ22" s="228">
        <v>60</v>
      </c>
      <c r="BR22" s="228">
        <v>57</v>
      </c>
      <c r="BS22" s="229">
        <f t="shared" si="29"/>
        <v>235</v>
      </c>
      <c r="BT22" s="228">
        <v>58</v>
      </c>
      <c r="BU22" s="228">
        <v>62</v>
      </c>
      <c r="BV22" s="228">
        <v>61</v>
      </c>
      <c r="BW22" s="228">
        <v>61</v>
      </c>
      <c r="BX22" s="229">
        <f t="shared" si="30"/>
        <v>242</v>
      </c>
      <c r="BY22" s="228">
        <v>59</v>
      </c>
      <c r="BZ22" s="228">
        <v>61</v>
      </c>
      <c r="CA22" s="228">
        <v>59</v>
      </c>
      <c r="CB22" s="228">
        <v>66</v>
      </c>
      <c r="CC22" s="229">
        <f t="shared" si="31"/>
        <v>245</v>
      </c>
      <c r="CD22" s="228">
        <v>63</v>
      </c>
      <c r="CE22" s="228">
        <v>63</v>
      </c>
      <c r="CF22" s="228">
        <v>62</v>
      </c>
      <c r="CG22" s="228">
        <v>61</v>
      </c>
      <c r="CH22" s="229">
        <f t="shared" si="32"/>
        <v>249</v>
      </c>
      <c r="CI22" s="228">
        <v>64</v>
      </c>
      <c r="CJ22" s="228">
        <v>63</v>
      </c>
      <c r="CK22" s="228">
        <v>61</v>
      </c>
      <c r="CL22" s="228">
        <v>57</v>
      </c>
      <c r="CM22" s="229">
        <f t="shared" si="33"/>
        <v>245</v>
      </c>
      <c r="CN22" s="228">
        <v>29</v>
      </c>
      <c r="CO22" s="228">
        <v>31</v>
      </c>
      <c r="CP22" s="228">
        <v>29</v>
      </c>
      <c r="CQ22" s="228">
        <v>29</v>
      </c>
      <c r="CR22" s="229">
        <f t="shared" si="34"/>
        <v>118</v>
      </c>
      <c r="CS22" s="228">
        <v>27</v>
      </c>
      <c r="CT22" s="228">
        <v>28</v>
      </c>
      <c r="CU22" s="228">
        <v>27</v>
      </c>
      <c r="CV22" s="228">
        <v>27</v>
      </c>
      <c r="CW22" s="229">
        <f t="shared" si="35"/>
        <v>109</v>
      </c>
      <c r="CX22" s="228">
        <v>25</v>
      </c>
      <c r="CY22" s="228">
        <v>25</v>
      </c>
      <c r="CZ22" s="228">
        <v>26</v>
      </c>
      <c r="DA22" s="228">
        <v>24</v>
      </c>
      <c r="DB22" s="229">
        <f t="shared" si="36"/>
        <v>100</v>
      </c>
      <c r="DC22" s="228">
        <v>25</v>
      </c>
      <c r="DD22" s="228">
        <v>25</v>
      </c>
      <c r="DE22" s="228">
        <v>26</v>
      </c>
      <c r="DF22" s="228">
        <v>26</v>
      </c>
      <c r="DG22" s="229">
        <f t="shared" si="37"/>
        <v>102</v>
      </c>
      <c r="DH22" s="228">
        <v>25</v>
      </c>
      <c r="DI22" s="228">
        <v>27</v>
      </c>
      <c r="DJ22" s="228">
        <v>24</v>
      </c>
      <c r="DK22" s="228">
        <v>25</v>
      </c>
      <c r="DL22" s="229">
        <f t="shared" si="38"/>
        <v>101</v>
      </c>
      <c r="DM22" s="228">
        <v>25</v>
      </c>
      <c r="DN22" s="228">
        <v>25</v>
      </c>
      <c r="DO22" s="228">
        <v>25</v>
      </c>
      <c r="DP22" s="228">
        <v>25</v>
      </c>
      <c r="DQ22" s="229">
        <f t="shared" si="39"/>
        <v>100</v>
      </c>
      <c r="DR22" s="228">
        <v>24</v>
      </c>
      <c r="DS22" s="228">
        <v>25</v>
      </c>
      <c r="DT22" s="230">
        <v>23</v>
      </c>
      <c r="DU22" s="228">
        <v>24</v>
      </c>
      <c r="DV22" s="229">
        <f t="shared" si="40"/>
        <v>96</v>
      </c>
      <c r="DY22" s="230"/>
      <c r="EA22" s="229"/>
      <c r="ED22" s="230"/>
      <c r="EF22" s="229"/>
      <c r="EI22" s="230"/>
      <c r="EK22" s="229"/>
      <c r="EN22" s="230"/>
      <c r="EP22" s="229"/>
      <c r="ER22" s="230"/>
      <c r="ES22" s="230"/>
      <c r="ET22" s="230"/>
      <c r="EU22" s="229"/>
      <c r="EZ22" s="231"/>
      <c r="FE22" s="231"/>
      <c r="FG22" s="468"/>
      <c r="FH22" s="764"/>
      <c r="FI22" s="764"/>
      <c r="FJ22" s="764"/>
      <c r="FL22" s="1337"/>
      <c r="FM22" s="230">
        <f t="shared" ref="FM22:FM27" si="73">+EQ22</f>
        <v>0</v>
      </c>
      <c r="FN22" s="764">
        <f t="shared" ref="FN22:FN27" si="74">EL22</f>
        <v>0</v>
      </c>
      <c r="FO22" s="1797"/>
      <c r="FP22" s="1521" t="e">
        <f t="shared" si="5"/>
        <v>#DIV/0!</v>
      </c>
      <c r="FQ22" s="1521" t="e">
        <f t="shared" si="6"/>
        <v>#DIV/0!</v>
      </c>
      <c r="FR22" s="1619"/>
      <c r="FS22" s="1619"/>
      <c r="FT22" s="399"/>
      <c r="FU22" s="399"/>
      <c r="FV22" s="399"/>
      <c r="FW22" s="399"/>
      <c r="FX22" s="399"/>
      <c r="FY22" s="399"/>
      <c r="FZ22" s="468"/>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row>
    <row r="23" spans="1:258" s="223" customFormat="1" collapsed="1" x14ac:dyDescent="0.2">
      <c r="A23" s="554" t="s">
        <v>131</v>
      </c>
      <c r="F23" s="224"/>
      <c r="K23" s="224"/>
      <c r="P23" s="224"/>
      <c r="Q23" s="223">
        <f t="shared" ref="Q23:AV23" si="75">Q10+Q16++Q11+Q8+Q19+Q12+Q22+Q5+Q9+Q6</f>
        <v>1328.3</v>
      </c>
      <c r="R23" s="223">
        <f t="shared" si="75"/>
        <v>1358.9683794466405</v>
      </c>
      <c r="S23" s="223">
        <f t="shared" si="75"/>
        <v>1332</v>
      </c>
      <c r="T23" s="223">
        <f t="shared" si="75"/>
        <v>1375</v>
      </c>
      <c r="U23" s="224">
        <f t="shared" si="75"/>
        <v>5394.2683794466402</v>
      </c>
      <c r="V23" s="223">
        <f t="shared" si="75"/>
        <v>1305</v>
      </c>
      <c r="W23" s="223">
        <f t="shared" si="75"/>
        <v>1350</v>
      </c>
      <c r="X23" s="223">
        <f t="shared" si="75"/>
        <v>1329</v>
      </c>
      <c r="Y23" s="223">
        <f t="shared" si="75"/>
        <v>1360</v>
      </c>
      <c r="Z23" s="224">
        <f t="shared" si="75"/>
        <v>5344</v>
      </c>
      <c r="AA23" s="223">
        <f t="shared" si="75"/>
        <v>1376</v>
      </c>
      <c r="AB23" s="223">
        <f t="shared" si="75"/>
        <v>1462</v>
      </c>
      <c r="AC23" s="223">
        <f t="shared" si="75"/>
        <v>1439</v>
      </c>
      <c r="AD23" s="223">
        <f t="shared" si="75"/>
        <v>1486</v>
      </c>
      <c r="AE23" s="224">
        <f t="shared" si="75"/>
        <v>5763</v>
      </c>
      <c r="AF23" s="223">
        <f t="shared" si="75"/>
        <v>1391</v>
      </c>
      <c r="AG23" s="223">
        <f t="shared" si="75"/>
        <v>1402</v>
      </c>
      <c r="AH23" s="223">
        <f t="shared" si="75"/>
        <v>1378</v>
      </c>
      <c r="AI23" s="223">
        <f t="shared" si="75"/>
        <v>1392</v>
      </c>
      <c r="AJ23" s="224">
        <f t="shared" si="75"/>
        <v>5563</v>
      </c>
      <c r="AK23" s="223">
        <f t="shared" si="75"/>
        <v>1329</v>
      </c>
      <c r="AL23" s="223">
        <f t="shared" si="75"/>
        <v>1410</v>
      </c>
      <c r="AM23" s="223">
        <f t="shared" si="75"/>
        <v>1384</v>
      </c>
      <c r="AN23" s="223">
        <f t="shared" si="75"/>
        <v>1412</v>
      </c>
      <c r="AO23" s="224">
        <f t="shared" si="75"/>
        <v>5535</v>
      </c>
      <c r="AP23" s="223">
        <f t="shared" si="75"/>
        <v>1407</v>
      </c>
      <c r="AQ23" s="223">
        <f t="shared" si="75"/>
        <v>1437</v>
      </c>
      <c r="AR23" s="223">
        <f t="shared" si="75"/>
        <v>1417</v>
      </c>
      <c r="AS23" s="223">
        <f t="shared" si="75"/>
        <v>1461</v>
      </c>
      <c r="AT23" s="224">
        <f t="shared" si="75"/>
        <v>5722</v>
      </c>
      <c r="AU23" s="223">
        <f t="shared" si="75"/>
        <v>1406</v>
      </c>
      <c r="AV23" s="223">
        <f t="shared" si="75"/>
        <v>1449</v>
      </c>
      <c r="AW23" s="223">
        <f t="shared" ref="AW23:CB23" si="76">AW10+AW16++AW11+AW8+AW19+AW12+AW22+AW5+AW9+AW6</f>
        <v>1418</v>
      </c>
      <c r="AX23" s="223">
        <f t="shared" si="76"/>
        <v>1463</v>
      </c>
      <c r="AY23" s="224">
        <f t="shared" si="76"/>
        <v>5736</v>
      </c>
      <c r="AZ23" s="223">
        <f t="shared" si="76"/>
        <v>1486</v>
      </c>
      <c r="BA23" s="223">
        <f t="shared" si="76"/>
        <v>1568</v>
      </c>
      <c r="BB23" s="223">
        <f t="shared" si="76"/>
        <v>1835</v>
      </c>
      <c r="BC23" s="223">
        <f t="shared" si="76"/>
        <v>1844</v>
      </c>
      <c r="BD23" s="224">
        <f t="shared" si="76"/>
        <v>6733</v>
      </c>
      <c r="BE23" s="223">
        <f t="shared" si="76"/>
        <v>1847</v>
      </c>
      <c r="BF23" s="223">
        <f t="shared" si="76"/>
        <v>1859</v>
      </c>
      <c r="BG23" s="223">
        <f t="shared" si="76"/>
        <v>1821</v>
      </c>
      <c r="BH23" s="223">
        <f t="shared" si="76"/>
        <v>1791</v>
      </c>
      <c r="BI23" s="224">
        <f t="shared" si="76"/>
        <v>7318</v>
      </c>
      <c r="BJ23" s="223">
        <f t="shared" si="76"/>
        <v>1773</v>
      </c>
      <c r="BK23" s="223">
        <f t="shared" si="76"/>
        <v>1797</v>
      </c>
      <c r="BL23" s="223">
        <f t="shared" si="76"/>
        <v>1774</v>
      </c>
      <c r="BM23" s="223">
        <f t="shared" si="76"/>
        <v>1774</v>
      </c>
      <c r="BN23" s="224">
        <f t="shared" si="76"/>
        <v>7118</v>
      </c>
      <c r="BO23" s="223">
        <f t="shared" si="76"/>
        <v>1698</v>
      </c>
      <c r="BP23" s="223">
        <f t="shared" si="76"/>
        <v>1810</v>
      </c>
      <c r="BQ23" s="223">
        <f t="shared" si="76"/>
        <v>1812</v>
      </c>
      <c r="BR23" s="223">
        <f t="shared" si="76"/>
        <v>1771</v>
      </c>
      <c r="BS23" s="224">
        <f t="shared" si="76"/>
        <v>7091</v>
      </c>
      <c r="BT23" s="223">
        <f t="shared" si="76"/>
        <v>1748</v>
      </c>
      <c r="BU23" s="223">
        <f t="shared" si="76"/>
        <v>1847</v>
      </c>
      <c r="BV23" s="223">
        <f t="shared" si="76"/>
        <v>1821</v>
      </c>
      <c r="BW23" s="223">
        <f t="shared" si="76"/>
        <v>1867</v>
      </c>
      <c r="BX23" s="224">
        <f t="shared" si="76"/>
        <v>7283</v>
      </c>
      <c r="BY23" s="223">
        <f t="shared" si="76"/>
        <v>1824</v>
      </c>
      <c r="BZ23" s="223">
        <f t="shared" si="76"/>
        <v>1906</v>
      </c>
      <c r="CA23" s="223">
        <f t="shared" si="76"/>
        <v>1817</v>
      </c>
      <c r="CB23" s="223">
        <f t="shared" si="76"/>
        <v>1983</v>
      </c>
      <c r="CC23" s="224">
        <f t="shared" ref="CC23:DH23" si="77">CC10+CC16++CC11+CC8+CC19+CC12+CC22+CC5+CC9+CC6</f>
        <v>7530</v>
      </c>
      <c r="CD23" s="223">
        <f t="shared" si="77"/>
        <v>1844</v>
      </c>
      <c r="CE23" s="223">
        <f t="shared" si="77"/>
        <v>1869</v>
      </c>
      <c r="CF23" s="223">
        <f t="shared" si="77"/>
        <v>1819</v>
      </c>
      <c r="CG23" s="223">
        <f t="shared" si="77"/>
        <v>1818</v>
      </c>
      <c r="CH23" s="224">
        <f t="shared" si="77"/>
        <v>7350</v>
      </c>
      <c r="CI23" s="223">
        <f t="shared" si="77"/>
        <v>1826</v>
      </c>
      <c r="CJ23" s="223">
        <f t="shared" si="77"/>
        <v>1870</v>
      </c>
      <c r="CK23" s="223">
        <f t="shared" si="77"/>
        <v>1852</v>
      </c>
      <c r="CL23" s="223">
        <f t="shared" si="77"/>
        <v>1810</v>
      </c>
      <c r="CM23" s="224">
        <f t="shared" si="77"/>
        <v>7358</v>
      </c>
      <c r="CN23" s="223">
        <f t="shared" si="77"/>
        <v>1755</v>
      </c>
      <c r="CO23" s="223">
        <f t="shared" si="77"/>
        <v>1827</v>
      </c>
      <c r="CP23" s="223">
        <f t="shared" si="77"/>
        <v>1773</v>
      </c>
      <c r="CQ23" s="223">
        <f t="shared" si="77"/>
        <v>1761</v>
      </c>
      <c r="CR23" s="224">
        <f t="shared" si="77"/>
        <v>7116</v>
      </c>
      <c r="CS23" s="223">
        <f t="shared" si="77"/>
        <v>1717</v>
      </c>
      <c r="CT23" s="223">
        <f t="shared" si="77"/>
        <v>1775</v>
      </c>
      <c r="CU23" s="223">
        <f t="shared" si="77"/>
        <v>1732</v>
      </c>
      <c r="CV23" s="223">
        <f t="shared" si="77"/>
        <v>1603</v>
      </c>
      <c r="CW23" s="224">
        <f t="shared" si="77"/>
        <v>6827</v>
      </c>
      <c r="CX23" s="223">
        <f t="shared" si="77"/>
        <v>1419</v>
      </c>
      <c r="CY23" s="223">
        <f t="shared" si="77"/>
        <v>1411</v>
      </c>
      <c r="CZ23" s="223">
        <f t="shared" si="77"/>
        <v>1465</v>
      </c>
      <c r="DA23" s="223">
        <f t="shared" si="77"/>
        <v>1498</v>
      </c>
      <c r="DB23" s="224">
        <f t="shared" si="77"/>
        <v>5793</v>
      </c>
      <c r="DC23" s="223">
        <f t="shared" si="77"/>
        <v>1486</v>
      </c>
      <c r="DD23" s="223">
        <f t="shared" si="77"/>
        <v>1598</v>
      </c>
      <c r="DE23" s="223">
        <f t="shared" si="77"/>
        <v>1609</v>
      </c>
      <c r="DF23" s="223">
        <f t="shared" si="77"/>
        <v>1691</v>
      </c>
      <c r="DG23" s="224">
        <f t="shared" si="77"/>
        <v>6384</v>
      </c>
      <c r="DH23" s="223">
        <f t="shared" si="77"/>
        <v>1592</v>
      </c>
      <c r="DI23" s="223">
        <f t="shared" ref="DI23:EA23" si="78">DI10+DI16++DI11+DI8+DI19+DI12+DI22+DI5+DI9+DI6</f>
        <v>1646</v>
      </c>
      <c r="DJ23" s="223">
        <f t="shared" si="78"/>
        <v>1619</v>
      </c>
      <c r="DK23" s="223">
        <f t="shared" si="78"/>
        <v>1619</v>
      </c>
      <c r="DL23" s="224">
        <f t="shared" si="78"/>
        <v>6476</v>
      </c>
      <c r="DM23" s="223">
        <f t="shared" si="78"/>
        <v>1602</v>
      </c>
      <c r="DN23" s="223">
        <f t="shared" si="78"/>
        <v>1640</v>
      </c>
      <c r="DO23" s="223">
        <f t="shared" si="78"/>
        <v>1600</v>
      </c>
      <c r="DP23" s="223">
        <f t="shared" si="78"/>
        <v>1567</v>
      </c>
      <c r="DQ23" s="224">
        <f t="shared" si="78"/>
        <v>6409</v>
      </c>
      <c r="DR23" s="223">
        <f t="shared" si="78"/>
        <v>1575.59</v>
      </c>
      <c r="DS23" s="223">
        <f t="shared" si="78"/>
        <v>1656</v>
      </c>
      <c r="DT23" s="223">
        <f t="shared" si="78"/>
        <v>1643</v>
      </c>
      <c r="DU23" s="223">
        <f t="shared" si="78"/>
        <v>1662</v>
      </c>
      <c r="DV23" s="224">
        <f t="shared" si="78"/>
        <v>6536.59</v>
      </c>
      <c r="DW23" s="223">
        <f t="shared" si="78"/>
        <v>1620</v>
      </c>
      <c r="DX23" s="223">
        <f t="shared" si="78"/>
        <v>1781</v>
      </c>
      <c r="DY23" s="223">
        <f t="shared" si="78"/>
        <v>1758</v>
      </c>
      <c r="DZ23" s="223">
        <f t="shared" si="78"/>
        <v>1763.3000000000002</v>
      </c>
      <c r="EA23" s="224">
        <f t="shared" si="78"/>
        <v>6922.3</v>
      </c>
      <c r="EB23" s="223">
        <f>EB10+EB16++EB11+EB8+EB19+EB12+EB5+EB9+EB6</f>
        <v>1634.83</v>
      </c>
      <c r="EC23" s="223">
        <f t="shared" ref="EC23:EZ23" si="79">EC10+EC16++EC11+EC8+EC19+EC12+EC5+EC9+EC6</f>
        <v>1759</v>
      </c>
      <c r="ED23" s="223">
        <f t="shared" si="79"/>
        <v>1712</v>
      </c>
      <c r="EE23" s="223">
        <f t="shared" si="79"/>
        <v>1655</v>
      </c>
      <c r="EF23" s="224">
        <f t="shared" si="79"/>
        <v>6760.83</v>
      </c>
      <c r="EG23" s="223">
        <f t="shared" si="79"/>
        <v>1551</v>
      </c>
      <c r="EH23" s="223">
        <f t="shared" si="79"/>
        <v>1595</v>
      </c>
      <c r="EI23" s="223">
        <f t="shared" si="79"/>
        <v>1574</v>
      </c>
      <c r="EJ23" s="223">
        <f t="shared" ref="EJ23:EN23" si="80">EJ10+EJ16++EJ11+EJ8+EJ19+EJ12+EJ5+EJ9+EJ6</f>
        <v>1731</v>
      </c>
      <c r="EK23" s="224">
        <f t="shared" si="80"/>
        <v>6451</v>
      </c>
      <c r="EL23" s="223">
        <f t="shared" si="80"/>
        <v>1592</v>
      </c>
      <c r="EM23" s="223">
        <f t="shared" si="80"/>
        <v>1620</v>
      </c>
      <c r="EN23" s="223">
        <f t="shared" si="80"/>
        <v>1587</v>
      </c>
      <c r="EO23" s="223">
        <f t="shared" ref="EO23:EQ23" si="81">EO10+EO16++EO11+EO8+EO19+EO12+EO5+EO9+EO6</f>
        <v>1601</v>
      </c>
      <c r="EP23" s="224">
        <f t="shared" si="81"/>
        <v>6400</v>
      </c>
      <c r="EQ23" s="223">
        <f t="shared" si="81"/>
        <v>1532</v>
      </c>
      <c r="ER23" s="223">
        <f t="shared" ref="ER23" si="82">ER10+ER16++ER11+ER8+ER19+ER12+ER5+ER9+ER6</f>
        <v>1585.5700000000002</v>
      </c>
      <c r="ES23" s="223">
        <f t="shared" si="79"/>
        <v>1598.13</v>
      </c>
      <c r="ET23" s="223">
        <f t="shared" si="79"/>
        <v>1645.5549999999998</v>
      </c>
      <c r="EU23" s="224">
        <f t="shared" si="79"/>
        <v>6361.2550000000001</v>
      </c>
      <c r="EV23" s="223">
        <f t="shared" si="79"/>
        <v>0</v>
      </c>
      <c r="EW23" s="223">
        <f t="shared" si="79"/>
        <v>0</v>
      </c>
      <c r="EX23" s="223">
        <f t="shared" si="79"/>
        <v>0</v>
      </c>
      <c r="EY23" s="223">
        <f t="shared" si="79"/>
        <v>0</v>
      </c>
      <c r="EZ23" s="224">
        <f t="shared" si="79"/>
        <v>6440.9330499999996</v>
      </c>
      <c r="FA23" s="223">
        <f t="shared" ref="FA23:FE23" si="83">FA10+FA16++FA11+FA8+FA19+FA12+FA5+FA9+FA6</f>
        <v>0</v>
      </c>
      <c r="FB23" s="223">
        <f t="shared" si="83"/>
        <v>0</v>
      </c>
      <c r="FC23" s="223">
        <f t="shared" si="83"/>
        <v>0</v>
      </c>
      <c r="FD23" s="223">
        <f t="shared" si="83"/>
        <v>0</v>
      </c>
      <c r="FE23" s="224">
        <f t="shared" si="83"/>
        <v>6546.6765539999997</v>
      </c>
      <c r="FF23" s="11"/>
      <c r="FG23" s="468"/>
      <c r="FH23" s="765"/>
      <c r="FI23" s="765"/>
      <c r="FJ23" s="765"/>
      <c r="FK23" s="11"/>
      <c r="FL23" s="1336"/>
      <c r="FM23" s="223">
        <f t="shared" si="73"/>
        <v>1532</v>
      </c>
      <c r="FN23" s="1415">
        <f t="shared" si="74"/>
        <v>1592</v>
      </c>
      <c r="FO23" s="1798">
        <v>1535.53</v>
      </c>
      <c r="FP23" s="1734">
        <f t="shared" si="5"/>
        <v>-3.7688442211055273E-2</v>
      </c>
      <c r="FQ23" s="1522">
        <f t="shared" si="6"/>
        <v>-2.2988805168248083E-3</v>
      </c>
      <c r="FR23" s="1619"/>
      <c r="FS23" s="1619"/>
      <c r="FT23" s="399"/>
      <c r="FU23" s="399"/>
      <c r="FV23" s="399"/>
      <c r="FW23" s="399"/>
      <c r="FX23" s="399"/>
      <c r="FY23" s="399"/>
      <c r="FZ23" s="468"/>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row>
    <row r="24" spans="1:258" s="55" customFormat="1" x14ac:dyDescent="0.2">
      <c r="A24" s="558" t="s">
        <v>336</v>
      </c>
      <c r="F24" s="54"/>
      <c r="K24" s="54"/>
      <c r="P24" s="54"/>
      <c r="R24" s="55">
        <f>R23/Q23-1</f>
        <v>2.3088443459038377E-2</v>
      </c>
      <c r="S24" s="55">
        <f>S23/R23-1</f>
        <v>-1.9844743891408112E-2</v>
      </c>
      <c r="T24" s="55">
        <f>T23/S23-1</f>
        <v>3.228228228228236E-2</v>
      </c>
      <c r="U24" s="54"/>
      <c r="V24" s="55">
        <f>V23/T23-1</f>
        <v>-5.0909090909090904E-2</v>
      </c>
      <c r="W24" s="55">
        <f>W23/V23-1</f>
        <v>3.4482758620689724E-2</v>
      </c>
      <c r="X24" s="55">
        <f>X23/W23-1</f>
        <v>-1.5555555555555545E-2</v>
      </c>
      <c r="Y24" s="55">
        <f>Y23/X23-1</f>
        <v>2.332580887885638E-2</v>
      </c>
      <c r="Z24" s="54"/>
      <c r="AA24" s="55">
        <f>AA23/Y23-1</f>
        <v>1.1764705882352899E-2</v>
      </c>
      <c r="AB24" s="55">
        <f>AB23/AA23-1</f>
        <v>6.25E-2</v>
      </c>
      <c r="AC24" s="55">
        <f>AC23/AB23-1</f>
        <v>-1.5731874145006874E-2</v>
      </c>
      <c r="AD24" s="55">
        <f>AD23/AC23-1</f>
        <v>3.2661570535093887E-2</v>
      </c>
      <c r="AE24" s="54"/>
      <c r="AF24" s="55">
        <f>AF23/AD23-1</f>
        <v>-6.3930013458950219E-2</v>
      </c>
      <c r="AG24" s="55">
        <f>AG23/AF23-1</f>
        <v>7.9079798705967708E-3</v>
      </c>
      <c r="AH24" s="55">
        <f>AH23/AG23-1</f>
        <v>-1.7118402282453649E-2</v>
      </c>
      <c r="AI24" s="55">
        <f>AI23/AH23-1</f>
        <v>1.0159651669085612E-2</v>
      </c>
      <c r="AJ24" s="54"/>
      <c r="AK24" s="55">
        <f>AK23/AI23-1</f>
        <v>-4.5258620689655138E-2</v>
      </c>
      <c r="AL24" s="55">
        <f>AL23/AK23-1</f>
        <v>6.0948081264108334E-2</v>
      </c>
      <c r="AM24" s="55">
        <f>AM23/AL23-1</f>
        <v>-1.8439716312056764E-2</v>
      </c>
      <c r="AN24" s="55">
        <f>AN23/AM23-1</f>
        <v>2.0231213872832443E-2</v>
      </c>
      <c r="AO24" s="54"/>
      <c r="AP24" s="55">
        <f>AP23/AN23-1</f>
        <v>-3.5410764872521039E-3</v>
      </c>
      <c r="AQ24" s="55">
        <f>AQ23/AP23-1</f>
        <v>2.1321961620469176E-2</v>
      </c>
      <c r="AR24" s="55">
        <f>AR23/AQ23-1</f>
        <v>-1.391788448155884E-2</v>
      </c>
      <c r="AS24" s="55">
        <f>AS23/AR23-1</f>
        <v>3.1051517290049402E-2</v>
      </c>
      <c r="AT24" s="54"/>
      <c r="AU24" s="55">
        <f>AU23/AS23-1</f>
        <v>-3.7645448323066377E-2</v>
      </c>
      <c r="AV24" s="55">
        <f>AV23/AU23-1</f>
        <v>3.0583214793741043E-2</v>
      </c>
      <c r="AW24" s="55">
        <f>AW23/AV23-1</f>
        <v>-2.1394064872325758E-2</v>
      </c>
      <c r="AX24" s="55">
        <f>AX23/AW23-1</f>
        <v>3.1734837799717974E-2</v>
      </c>
      <c r="AY24" s="54"/>
      <c r="AZ24" s="55">
        <f>AZ23/AX23-1</f>
        <v>1.5721120984278913E-2</v>
      </c>
      <c r="BA24" s="55">
        <f>BA23/AZ23-1</f>
        <v>5.5181695827725363E-2</v>
      </c>
      <c r="BB24" s="55">
        <f>BB23/BA23-1</f>
        <v>0.17028061224489788</v>
      </c>
      <c r="BC24" s="55">
        <f>BC23/BB23-1</f>
        <v>4.9046321525885173E-3</v>
      </c>
      <c r="BD24" s="54"/>
      <c r="BE24" s="55">
        <f>BE23/BC23-1</f>
        <v>1.6268980477223138E-3</v>
      </c>
      <c r="BF24" s="55">
        <f>BF23/BE23-1</f>
        <v>6.4970221981592857E-3</v>
      </c>
      <c r="BG24" s="55">
        <f>BG23/BF23-1</f>
        <v>-2.0441097364174321E-2</v>
      </c>
      <c r="BH24" s="55">
        <f>BH23/BG23-1</f>
        <v>-1.6474464579901205E-2</v>
      </c>
      <c r="BI24" s="54"/>
      <c r="BJ24" s="55">
        <f>BJ23/BH23-1</f>
        <v>-1.0050251256281451E-2</v>
      </c>
      <c r="BK24" s="55">
        <f>BK23/BJ23-1</f>
        <v>1.3536379018612488E-2</v>
      </c>
      <c r="BL24" s="55">
        <f>BL23/BK23-1</f>
        <v>-1.2799109627156358E-2</v>
      </c>
      <c r="BM24" s="55">
        <f>BM23/BL23-1</f>
        <v>0</v>
      </c>
      <c r="BN24" s="54"/>
      <c r="BO24" s="55">
        <f>BO23/BM23-1</f>
        <v>-4.284103720405863E-2</v>
      </c>
      <c r="BP24" s="55">
        <f>BP23/BO23-1</f>
        <v>6.5959952885747963E-2</v>
      </c>
      <c r="BQ24" s="55">
        <f>BQ23/BP23-1</f>
        <v>1.1049723756906271E-3</v>
      </c>
      <c r="BR24" s="55">
        <f>BR23/BQ23-1</f>
        <v>-2.2626931567328867E-2</v>
      </c>
      <c r="BS24" s="54"/>
      <c r="BT24" s="55">
        <f>BT23/BR23-1</f>
        <v>-1.2987012987012991E-2</v>
      </c>
      <c r="BU24" s="55">
        <f>BU23/BT23-1</f>
        <v>5.6636155606407224E-2</v>
      </c>
      <c r="BV24" s="55">
        <f>BV23/BU23-1</f>
        <v>-1.4076881429344934E-2</v>
      </c>
      <c r="BW24" s="55">
        <f>BW23/BV23-1</f>
        <v>2.5260845689181854E-2</v>
      </c>
      <c r="BX24" s="54"/>
      <c r="BY24" s="55">
        <f>BY23/BW23-1</f>
        <v>-2.3031601499732157E-2</v>
      </c>
      <c r="BZ24" s="55">
        <f>BZ23/BY23-1</f>
        <v>4.4956140350877138E-2</v>
      </c>
      <c r="CA24" s="55">
        <f>CA23/BZ23-1</f>
        <v>-4.6694648478489031E-2</v>
      </c>
      <c r="CB24" s="55">
        <f>CB23/CA23-1</f>
        <v>9.1359383599339594E-2</v>
      </c>
      <c r="CC24" s="54"/>
      <c r="CD24" s="55">
        <f>CD23/CB23-1</f>
        <v>-7.0095814422592051E-2</v>
      </c>
      <c r="CE24" s="55">
        <f>CE23/CD23-1</f>
        <v>1.3557483731019504E-2</v>
      </c>
      <c r="CF24" s="55">
        <f>CF23/CE23-1</f>
        <v>-2.6752273943285165E-2</v>
      </c>
      <c r="CG24" s="55">
        <f>CG23/CF23-1</f>
        <v>-5.4975261132494957E-4</v>
      </c>
      <c r="CH24" s="54"/>
      <c r="CI24" s="55">
        <f>CI23/CG23-1</f>
        <v>4.4004400440043057E-3</v>
      </c>
      <c r="CJ24" s="55">
        <f>CJ23/CI23-1</f>
        <v>2.4096385542168752E-2</v>
      </c>
      <c r="CK24" s="55">
        <f>CK23/CJ23-1</f>
        <v>-9.6256684491978772E-3</v>
      </c>
      <c r="CL24" s="55">
        <f>CL23/CK23-1</f>
        <v>-2.2678185745140356E-2</v>
      </c>
      <c r="CM24" s="54"/>
      <c r="CN24" s="55">
        <f>CN23/CL23-1</f>
        <v>-3.0386740331491691E-2</v>
      </c>
      <c r="CO24" s="55">
        <f>CO23/CN23-1</f>
        <v>4.1025641025641102E-2</v>
      </c>
      <c r="CP24" s="55">
        <f>CP23/CO23-1</f>
        <v>-2.9556650246305383E-2</v>
      </c>
      <c r="CQ24" s="55">
        <f>CQ23/CP23-1</f>
        <v>-6.7681895093062439E-3</v>
      </c>
      <c r="CR24" s="54"/>
      <c r="CS24" s="55">
        <f>CS23/CQ23-1</f>
        <v>-2.4985803520726879E-2</v>
      </c>
      <c r="CT24" s="55">
        <f>CT23/CS23-1</f>
        <v>3.3779848573092686E-2</v>
      </c>
      <c r="CU24" s="55">
        <f>CU23/CT23-1</f>
        <v>-2.4225352112676068E-2</v>
      </c>
      <c r="CV24" s="55">
        <f>CV23/CU23-1</f>
        <v>-7.448036951501158E-2</v>
      </c>
      <c r="CW24" s="54"/>
      <c r="CX24" s="55">
        <f>CX23/CV23-1</f>
        <v>-0.11478477854023705</v>
      </c>
      <c r="CY24" s="55">
        <f>CY23/CX23-1</f>
        <v>-5.6377730796335346E-3</v>
      </c>
      <c r="CZ24" s="55">
        <f>CZ23/CY23-1</f>
        <v>3.8270729978738594E-2</v>
      </c>
      <c r="DA24" s="55">
        <f>DA23/CZ23-1</f>
        <v>2.2525597269624553E-2</v>
      </c>
      <c r="DB24" s="54"/>
      <c r="DC24" s="55">
        <f>DC23/DA23-1</f>
        <v>-8.0106809078771546E-3</v>
      </c>
      <c r="DD24" s="55">
        <f>DD23/DC23-1</f>
        <v>7.5370121130551748E-2</v>
      </c>
      <c r="DE24" s="55">
        <f>DE23/DD23-1</f>
        <v>6.8836045056319684E-3</v>
      </c>
      <c r="DF24" s="55">
        <f>DF23/DE23-1</f>
        <v>5.0963331261653311E-2</v>
      </c>
      <c r="DG24" s="54"/>
      <c r="DH24" s="55">
        <f>DH23/DF23-1</f>
        <v>-5.8545239503252522E-2</v>
      </c>
      <c r="DI24" s="55">
        <f>DI23/DH23-1</f>
        <v>3.3919597989949812E-2</v>
      </c>
      <c r="DJ24" s="55">
        <f>DJ23/DI23-1</f>
        <v>-1.6403402187120331E-2</v>
      </c>
      <c r="DK24" s="55">
        <f>DK23/DJ23-1</f>
        <v>0</v>
      </c>
      <c r="DL24" s="54"/>
      <c r="DM24" s="55">
        <f>DM23/DK23-1</f>
        <v>-1.050030883261277E-2</v>
      </c>
      <c r="DN24" s="55">
        <f>DN23/DM23-1</f>
        <v>2.372034956304625E-2</v>
      </c>
      <c r="DO24" s="55">
        <f>DO23/DN23-1</f>
        <v>-2.4390243902439046E-2</v>
      </c>
      <c r="DP24" s="55">
        <f>DP23/DO23-1</f>
        <v>-2.0625000000000004E-2</v>
      </c>
      <c r="DQ24" s="54"/>
      <c r="DR24" s="55">
        <f>DR23/DP23-1</f>
        <v>5.4818123803446195E-3</v>
      </c>
      <c r="DS24" s="55">
        <f>DS23/DR23-1</f>
        <v>5.1034850436979307E-2</v>
      </c>
      <c r="DT24" s="55">
        <f>DT23/DS23-1</f>
        <v>-7.8502415458937547E-3</v>
      </c>
      <c r="DU24" s="55">
        <f>DU23/DT23-1</f>
        <v>1.1564211807668867E-2</v>
      </c>
      <c r="DV24" s="54"/>
      <c r="DW24" s="55">
        <f>DW23/DU23-1</f>
        <v>-2.5270758122743708E-2</v>
      </c>
      <c r="DX24" s="55">
        <f>DX23/DW23-1</f>
        <v>9.9382716049382758E-2</v>
      </c>
      <c r="DY24" s="55">
        <f>DY23/DX23-1</f>
        <v>-1.2914093206063959E-2</v>
      </c>
      <c r="DZ24" s="55">
        <f>DZ23/DY23-1</f>
        <v>3.0147895335610464E-3</v>
      </c>
      <c r="EA24" s="54"/>
      <c r="EB24" s="55">
        <f>EB23/DZ23-1</f>
        <v>-7.2857709975614027E-2</v>
      </c>
      <c r="EC24" s="55">
        <f>EC23/EB23-1</f>
        <v>7.5952851366808849E-2</v>
      </c>
      <c r="ED24" s="55">
        <f>ED23/EC23-1</f>
        <v>-2.6719727117680447E-2</v>
      </c>
      <c r="EE24" s="55">
        <f>EE23/ED23-1</f>
        <v>-3.3294392523364524E-2</v>
      </c>
      <c r="EF24" s="54"/>
      <c r="EG24" s="55">
        <f>EG23/EE23-1</f>
        <v>-6.2839879154078515E-2</v>
      </c>
      <c r="EH24" s="55">
        <f>EH23/EG23-1</f>
        <v>2.8368794326241176E-2</v>
      </c>
      <c r="EI24" s="55">
        <f>EI23/EH23-1</f>
        <v>-1.3166144200627006E-2</v>
      </c>
      <c r="EJ24" s="55">
        <f>EJ23/EI23-1</f>
        <v>9.9745870393900926E-2</v>
      </c>
      <c r="EK24" s="54"/>
      <c r="EL24" s="55">
        <f>EL23/EJ23-1</f>
        <v>-8.0300404390525659E-2</v>
      </c>
      <c r="EM24" s="55">
        <f>EM23/EL23-1</f>
        <v>1.7587939698492372E-2</v>
      </c>
      <c r="EN24" s="55">
        <f>EN23/EM23-1</f>
        <v>-2.0370370370370372E-2</v>
      </c>
      <c r="EO24" s="55">
        <f>EO23/EN23-1</f>
        <v>8.8216761184625181E-3</v>
      </c>
      <c r="EP24" s="54"/>
      <c r="EQ24" s="55">
        <f>EQ23/EO23-1</f>
        <v>-4.30980637101811E-2</v>
      </c>
      <c r="ER24" s="55">
        <f t="shared" ref="ER24" si="84">ER23/EQ23-1</f>
        <v>3.4967362924282153E-2</v>
      </c>
      <c r="ES24" s="55">
        <f t="shared" ref="ES24:ET24" si="85">ES23/ER23-1</f>
        <v>7.9214415005328664E-3</v>
      </c>
      <c r="ET24" s="55">
        <f t="shared" si="85"/>
        <v>2.967530801624374E-2</v>
      </c>
      <c r="EU24" s="54"/>
      <c r="EZ24" s="54"/>
      <c r="FE24" s="54"/>
      <c r="FG24" s="471"/>
      <c r="FH24" s="766">
        <f>AVERAGE(CI24,CN24,CS24,CX24,DC24,DH24,DM24,DR24,DW24,EB24,EG24,EL24,EQ24)</f>
        <v>-4.0130624197307091E-2</v>
      </c>
      <c r="FI24" s="766">
        <f>AVERAGE(CJ24,CO24,CT24,CY24,DD24,DI24,DN24,DS24,DX24,EC24,EH24)</f>
        <v>4.3728489356748085E-2</v>
      </c>
      <c r="FJ24" s="766">
        <f>AVERAGE(CK24,CP24,CU24,CZ24,DE24,DJ24,DO24,DT24,DY24,ED24,EI24)</f>
        <v>-1.0881562589421211E-2</v>
      </c>
      <c r="FK24" s="1408">
        <f>AVERAGE(CL24,CQ24,CV24,DA24,DF24,DK24,DP24,DU24,DZ24,EE24,EJ24,EO24)</f>
        <v>3.2324449243373763E-3</v>
      </c>
      <c r="FL24" s="1338"/>
      <c r="FM24" s="55">
        <f t="shared" si="73"/>
        <v>-4.30980637101811E-2</v>
      </c>
      <c r="FN24" s="1416">
        <f t="shared" si="74"/>
        <v>-8.0300404390525659E-2</v>
      </c>
      <c r="FO24" s="1799">
        <v>-4.0893191755153047E-2</v>
      </c>
      <c r="FP24" s="1735"/>
      <c r="FQ24" s="1503">
        <f>+(FM24-FO24)*10000</f>
        <v>-22.048719550280538</v>
      </c>
      <c r="FR24" s="1619"/>
      <c r="FS24" s="1619"/>
      <c r="FT24" s="432"/>
      <c r="FU24" s="432"/>
      <c r="FV24" s="432"/>
      <c r="FW24" s="432"/>
      <c r="FX24" s="432"/>
      <c r="FY24" s="432"/>
      <c r="FZ24" s="471"/>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row>
    <row r="25" spans="1:258" s="55" customFormat="1" x14ac:dyDescent="0.2">
      <c r="A25" s="558" t="s">
        <v>330</v>
      </c>
      <c r="F25" s="54"/>
      <c r="K25" s="54"/>
      <c r="P25" s="54"/>
      <c r="Q25" s="55">
        <f>Q23/U$23</f>
        <v>0.24624284639991548</v>
      </c>
      <c r="R25" s="55">
        <f>R23/U$23</f>
        <v>0.25192821043621255</v>
      </c>
      <c r="S25" s="55">
        <f>S23/U$23</f>
        <v>0.24692875962108515</v>
      </c>
      <c r="T25" s="55">
        <f>T23/U$23</f>
        <v>0.25490018354278687</v>
      </c>
      <c r="U25" s="54"/>
      <c r="V25" s="55">
        <f>V23/Z$23</f>
        <v>0.24419910179640719</v>
      </c>
      <c r="W25" s="55">
        <f>W23/Z$23</f>
        <v>0.25261976047904194</v>
      </c>
      <c r="X25" s="55">
        <f>X23/Z$23</f>
        <v>0.24869011976047903</v>
      </c>
      <c r="Y25" s="55">
        <f>Y23/Z$23</f>
        <v>0.25449101796407186</v>
      </c>
      <c r="Z25" s="54"/>
      <c r="AA25" s="55">
        <f>AA23/AE$23</f>
        <v>0.23876453236161721</v>
      </c>
      <c r="AB25" s="55">
        <f>AB23/AE$23</f>
        <v>0.25368731563421831</v>
      </c>
      <c r="AC25" s="55">
        <f>AC23/AE$23</f>
        <v>0.24969633871247615</v>
      </c>
      <c r="AD25" s="55">
        <f>AD23/AE$23</f>
        <v>0.25785181329168838</v>
      </c>
      <c r="AE25" s="54"/>
      <c r="AF25" s="55">
        <f>AF23/AJ$23</f>
        <v>0.25004493978069386</v>
      </c>
      <c r="AG25" s="55">
        <f>AG23/AJ$23</f>
        <v>0.25202229013122418</v>
      </c>
      <c r="AH25" s="55">
        <f>AH23/AJ$23</f>
        <v>0.24770807118461263</v>
      </c>
      <c r="AI25" s="55">
        <f>AI23/AJ$23</f>
        <v>0.25022469890346938</v>
      </c>
      <c r="AJ25" s="54"/>
      <c r="AK25" s="55">
        <f>AK23/AO$23</f>
        <v>0.24010840108401085</v>
      </c>
      <c r="AL25" s="55">
        <f>AL23/AO$23</f>
        <v>0.25474254742547425</v>
      </c>
      <c r="AM25" s="55">
        <f>AM23/AO$23</f>
        <v>0.25004516711833785</v>
      </c>
      <c r="AN25" s="55">
        <f>AN23/AO$23</f>
        <v>0.25510388437217707</v>
      </c>
      <c r="AO25" s="54"/>
      <c r="AP25" s="55">
        <f>AP23/AT$23</f>
        <v>0.2458930443900734</v>
      </c>
      <c r="AQ25" s="55">
        <f>AQ23/AT$23</f>
        <v>0.25113596644529884</v>
      </c>
      <c r="AR25" s="55">
        <f>AR23/AT$23</f>
        <v>0.24764068507514855</v>
      </c>
      <c r="AS25" s="55">
        <f>AS23/AT$23</f>
        <v>0.25533030408947921</v>
      </c>
      <c r="AT25" s="54"/>
      <c r="AU25" s="55">
        <f>AU23/AY$23</f>
        <v>0.24511854951185494</v>
      </c>
      <c r="AV25" s="55">
        <f>AV23/AY$23</f>
        <v>0.2526150627615063</v>
      </c>
      <c r="AW25" s="55">
        <f>AW23/AY$23</f>
        <v>0.24721059972105996</v>
      </c>
      <c r="AX25" s="55">
        <f>AX23/AY$23</f>
        <v>0.25505578800557882</v>
      </c>
      <c r="AY25" s="54"/>
      <c r="AZ25" s="55">
        <f>AZ23/BD$23</f>
        <v>0.22070399524728948</v>
      </c>
      <c r="BA25" s="55">
        <f>BA23/BD$23</f>
        <v>0.23288281598098914</v>
      </c>
      <c r="BB25" s="55">
        <f>BB23/BD$23</f>
        <v>0.27253824446754787</v>
      </c>
      <c r="BC25" s="55">
        <f>BC23/BD$23</f>
        <v>0.27387494430417347</v>
      </c>
      <c r="BD25" s="54"/>
      <c r="BE25" s="55">
        <f>BE23/BI$23</f>
        <v>0.25239136376059035</v>
      </c>
      <c r="BF25" s="55">
        <f>BF23/BI$23</f>
        <v>0.25403115605356658</v>
      </c>
      <c r="BG25" s="55">
        <f>BG23/BI$23</f>
        <v>0.24883848045914184</v>
      </c>
      <c r="BH25" s="55">
        <f>BH23/BI$23</f>
        <v>0.2447389997267013</v>
      </c>
      <c r="BI25" s="54"/>
      <c r="BJ25" s="55">
        <f>BJ23/BN$23</f>
        <v>0.24908682214105085</v>
      </c>
      <c r="BK25" s="55">
        <f>BK23/BN$23</f>
        <v>0.25245855577409387</v>
      </c>
      <c r="BL25" s="55">
        <f>BL23/BN$23</f>
        <v>0.24922731104242765</v>
      </c>
      <c r="BM25" s="55">
        <f>BM23/BN$23</f>
        <v>0.24922731104242765</v>
      </c>
      <c r="BN25" s="54"/>
      <c r="BO25" s="55">
        <f>BO23/BS$23</f>
        <v>0.23945846848117333</v>
      </c>
      <c r="BP25" s="55">
        <f>BP23/BS$23</f>
        <v>0.25525313778028486</v>
      </c>
      <c r="BQ25" s="55">
        <f>BQ23/BS$23</f>
        <v>0.25553518544634041</v>
      </c>
      <c r="BR25" s="55">
        <f>BR23/BS$23</f>
        <v>0.24975320829220138</v>
      </c>
      <c r="BS25" s="54"/>
      <c r="BT25" s="55">
        <f>BT23/BX$23</f>
        <v>0.24001098448441577</v>
      </c>
      <c r="BU25" s="55">
        <f>BU23/BX$23</f>
        <v>0.25360428394892215</v>
      </c>
      <c r="BV25" s="55">
        <f>BV23/BX$23</f>
        <v>0.25003432651379925</v>
      </c>
      <c r="BW25" s="55">
        <f>BW23/BX$23</f>
        <v>0.25635040505286283</v>
      </c>
      <c r="BX25" s="54"/>
      <c r="BY25" s="55">
        <f>BY23/CC$23</f>
        <v>0.24223107569721117</v>
      </c>
      <c r="BZ25" s="55">
        <f>BZ23/CC$23</f>
        <v>0.25312084993359896</v>
      </c>
      <c r="CA25" s="55">
        <f>CA23/CC$23</f>
        <v>0.24130146082337317</v>
      </c>
      <c r="CB25" s="55">
        <f>CB23/CC$23</f>
        <v>0.26334661354581673</v>
      </c>
      <c r="CC25" s="54"/>
      <c r="CD25" s="55">
        <f>CD23/CH$23</f>
        <v>0.25088435374149659</v>
      </c>
      <c r="CE25" s="55">
        <f>CE23/CH$23</f>
        <v>0.25428571428571428</v>
      </c>
      <c r="CF25" s="55">
        <f>CF23/CH$23</f>
        <v>0.2474829931972789</v>
      </c>
      <c r="CG25" s="55">
        <f>CG23/CH$23</f>
        <v>0.2473469387755102</v>
      </c>
      <c r="CH25" s="54"/>
      <c r="CI25" s="55">
        <f>CI23/CM$23</f>
        <v>0.24816526229953792</v>
      </c>
      <c r="CJ25" s="55">
        <f>CJ23/CM$23</f>
        <v>0.25414514813808098</v>
      </c>
      <c r="CK25" s="55">
        <f>CK23/CM$23</f>
        <v>0.25169883120413156</v>
      </c>
      <c r="CL25" s="55">
        <f>CL23/CM$23</f>
        <v>0.24599075835824952</v>
      </c>
      <c r="CM25" s="54"/>
      <c r="CN25" s="55">
        <f>CN23/CR$23</f>
        <v>0.24662731871838112</v>
      </c>
      <c r="CO25" s="55">
        <f>CO23/CR$23</f>
        <v>0.25674536256323777</v>
      </c>
      <c r="CP25" s="55">
        <f>CP23/CR$23</f>
        <v>0.24915682967959527</v>
      </c>
      <c r="CQ25" s="55">
        <f>CQ23/CR$23</f>
        <v>0.24747048903878582</v>
      </c>
      <c r="CR25" s="54"/>
      <c r="CS25" s="55">
        <f>CS23/CW$23</f>
        <v>0.2515013915336165</v>
      </c>
      <c r="CT25" s="55">
        <f>CT23/CW$23</f>
        <v>0.25999707045554415</v>
      </c>
      <c r="CU25" s="55">
        <f>CU23/CW$23</f>
        <v>0.25369854987549434</v>
      </c>
      <c r="CV25" s="55">
        <f>CV23/CW$23</f>
        <v>0.23480298813534495</v>
      </c>
      <c r="CW25" s="54"/>
      <c r="CX25" s="55">
        <f>CX23/DB$23</f>
        <v>0.24495080269290523</v>
      </c>
      <c r="CY25" s="55">
        <f>CY23/DB$23</f>
        <v>0.24356982565164853</v>
      </c>
      <c r="CZ25" s="55">
        <f>CZ23/DB$23</f>
        <v>0.25289142068013121</v>
      </c>
      <c r="DA25" s="55">
        <f>DA23/DB$23</f>
        <v>0.25858795097531506</v>
      </c>
      <c r="DB25" s="54"/>
      <c r="DC25" s="55">
        <f>DC23/DG$23</f>
        <v>0.23276942355889724</v>
      </c>
      <c r="DD25" s="55">
        <f>DD23/DG$23</f>
        <v>0.25031328320802004</v>
      </c>
      <c r="DE25" s="55">
        <f>DE23/DG$23</f>
        <v>0.25203634085213034</v>
      </c>
      <c r="DF25" s="55">
        <f>DF23/DG$23</f>
        <v>0.26488095238095238</v>
      </c>
      <c r="DG25" s="54"/>
      <c r="DH25" s="55">
        <f>DH23/DL$23</f>
        <v>0.24583075972822729</v>
      </c>
      <c r="DI25" s="55">
        <f>DI23/DL$23</f>
        <v>0.25416924027177268</v>
      </c>
      <c r="DJ25" s="55">
        <f>DJ23/DL$23</f>
        <v>0.25</v>
      </c>
      <c r="DK25" s="55">
        <f>DK23/DL$23</f>
        <v>0.25</v>
      </c>
      <c r="DL25" s="54"/>
      <c r="DM25" s="55">
        <f>DM23/DQ$23</f>
        <v>0.24996099235450148</v>
      </c>
      <c r="DN25" s="55">
        <f>DN23/DQ$23</f>
        <v>0.25589015447027619</v>
      </c>
      <c r="DO25" s="55">
        <f>DO23/DQ$23</f>
        <v>0.24964893119051335</v>
      </c>
      <c r="DP25" s="55">
        <f>DP23/DQ$23</f>
        <v>0.24449992198470899</v>
      </c>
      <c r="DQ25" s="54"/>
      <c r="DR25" s="55">
        <f>DR23/DV$23</f>
        <v>0.24104158284365393</v>
      </c>
      <c r="DS25" s="55">
        <f>DS23/DV$23</f>
        <v>0.25334310397317256</v>
      </c>
      <c r="DT25" s="55">
        <f>DT23/DV23</f>
        <v>0.2513542994129967</v>
      </c>
      <c r="DU25" s="55">
        <f>DU23/DV$23</f>
        <v>0.25426101377017679</v>
      </c>
      <c r="DV25" s="54"/>
      <c r="DW25" s="55">
        <f>DW23/EA$23</f>
        <v>0.23402626294728629</v>
      </c>
      <c r="DX25" s="55">
        <f>DX23/EA$23</f>
        <v>0.25728442858587464</v>
      </c>
      <c r="DY25" s="55">
        <f>DY23/EA23</f>
        <v>0.25396183349464774</v>
      </c>
      <c r="DZ25" s="55">
        <f>DZ23/EA$23</f>
        <v>0.25472747497219134</v>
      </c>
      <c r="EA25" s="54"/>
      <c r="EB25" s="55">
        <f>EB23/EF$23</f>
        <v>0.24180906782155445</v>
      </c>
      <c r="EC25" s="55">
        <f>EC23/EF$23</f>
        <v>0.26017515600895158</v>
      </c>
      <c r="ED25" s="55">
        <f>ED23/EF23</f>
        <v>0.25322334683759246</v>
      </c>
      <c r="EE25" s="55">
        <f>EE23/EF$23</f>
        <v>0.24479242933190157</v>
      </c>
      <c r="EF25" s="54"/>
      <c r="EG25" s="55">
        <f>EG23/EK$23</f>
        <v>0.24042784064486125</v>
      </c>
      <c r="EH25" s="55">
        <f>EH23/EK$23</f>
        <v>0.2472484886064176</v>
      </c>
      <c r="EI25" s="55">
        <f>EI23/EK23</f>
        <v>0.24399317935203843</v>
      </c>
      <c r="EJ25" s="55">
        <f>EJ23/EK$23</f>
        <v>0.26833049139668269</v>
      </c>
      <c r="EK25" s="54"/>
      <c r="EL25" s="55">
        <f>EL23/EP$23</f>
        <v>0.24875</v>
      </c>
      <c r="EM25" s="55">
        <f>EM23/EP$23</f>
        <v>0.25312499999999999</v>
      </c>
      <c r="EN25" s="55">
        <f>EN23/EP23</f>
        <v>0.24796874999999999</v>
      </c>
      <c r="EO25" s="55">
        <f>EO23/EP$23</f>
        <v>0.25015625000000002</v>
      </c>
      <c r="EP25" s="54"/>
      <c r="EQ25" s="55">
        <f>EQ23/EU$23</f>
        <v>0.24083298028455077</v>
      </c>
      <c r="ER25" s="55">
        <f>ER23/EU23</f>
        <v>0.24925427451029714</v>
      </c>
      <c r="ES25" s="55">
        <f>ES23/EU23</f>
        <v>0.2512287276645882</v>
      </c>
      <c r="ET25" s="55">
        <f>ET23/EU23</f>
        <v>0.25868401754056392</v>
      </c>
      <c r="EU25" s="54"/>
      <c r="EZ25" s="54"/>
      <c r="FE25" s="54"/>
      <c r="FG25" s="468"/>
      <c r="FH25" s="765"/>
      <c r="FI25" s="765"/>
      <c r="FJ25" s="765"/>
      <c r="FK25" s="11"/>
      <c r="FL25" s="1336"/>
      <c r="FM25" s="55">
        <f t="shared" si="73"/>
        <v>0.24083298028455077</v>
      </c>
      <c r="FN25" s="1416">
        <f t="shared" si="74"/>
        <v>0.24875</v>
      </c>
      <c r="FO25" s="1799">
        <v>0.24137670850657467</v>
      </c>
      <c r="FP25" s="1735"/>
      <c r="FQ25" s="1503">
        <f>+(FM25-FO25)*10000</f>
        <v>-5.4372822202389255</v>
      </c>
      <c r="FR25" s="1619"/>
      <c r="FS25" s="1619"/>
      <c r="FT25" s="432"/>
      <c r="FU25" s="432"/>
      <c r="FV25" s="432"/>
      <c r="FW25" s="432"/>
      <c r="FX25" s="432"/>
      <c r="FY25" s="432"/>
      <c r="FZ25" s="468"/>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row>
    <row r="26" spans="1:258" s="11" customFormat="1" x14ac:dyDescent="0.2">
      <c r="A26" s="555" t="s">
        <v>402</v>
      </c>
      <c r="F26" s="17"/>
      <c r="K26" s="17"/>
      <c r="P26" s="17"/>
      <c r="Q26" s="11">
        <f t="shared" ref="Q26:AV26" si="86">Q23-Q6</f>
        <v>1067</v>
      </c>
      <c r="R26" s="11">
        <f t="shared" si="86"/>
        <v>1095.5683794466404</v>
      </c>
      <c r="S26" s="11">
        <f t="shared" si="86"/>
        <v>1060</v>
      </c>
      <c r="T26" s="11">
        <f t="shared" si="86"/>
        <v>1088</v>
      </c>
      <c r="U26" s="17">
        <f t="shared" si="86"/>
        <v>4310.5683794466404</v>
      </c>
      <c r="V26" s="11">
        <f t="shared" si="86"/>
        <v>1036</v>
      </c>
      <c r="W26" s="11">
        <f t="shared" si="86"/>
        <v>1076</v>
      </c>
      <c r="X26" s="11">
        <f t="shared" si="86"/>
        <v>1040</v>
      </c>
      <c r="Y26" s="11">
        <f t="shared" si="86"/>
        <v>1051</v>
      </c>
      <c r="Z26" s="17">
        <f t="shared" si="86"/>
        <v>4203</v>
      </c>
      <c r="AA26" s="11">
        <f t="shared" si="86"/>
        <v>1074</v>
      </c>
      <c r="AB26" s="11">
        <f t="shared" si="86"/>
        <v>1141</v>
      </c>
      <c r="AC26" s="11">
        <f t="shared" si="86"/>
        <v>1119</v>
      </c>
      <c r="AD26" s="11">
        <f t="shared" si="86"/>
        <v>1146</v>
      </c>
      <c r="AE26" s="17">
        <f t="shared" si="86"/>
        <v>4480</v>
      </c>
      <c r="AF26" s="11">
        <f t="shared" si="86"/>
        <v>1144</v>
      </c>
      <c r="AG26" s="11">
        <f t="shared" si="86"/>
        <v>1160</v>
      </c>
      <c r="AH26" s="11">
        <f t="shared" si="86"/>
        <v>1137</v>
      </c>
      <c r="AI26" s="11">
        <f t="shared" si="86"/>
        <v>1142</v>
      </c>
      <c r="AJ26" s="17">
        <f t="shared" si="86"/>
        <v>4583</v>
      </c>
      <c r="AK26" s="11">
        <f t="shared" si="86"/>
        <v>1104</v>
      </c>
      <c r="AL26" s="11">
        <f t="shared" si="86"/>
        <v>1165</v>
      </c>
      <c r="AM26" s="11">
        <f t="shared" si="86"/>
        <v>1138</v>
      </c>
      <c r="AN26" s="11">
        <f t="shared" si="86"/>
        <v>1159</v>
      </c>
      <c r="AO26" s="17">
        <f t="shared" si="86"/>
        <v>4566</v>
      </c>
      <c r="AP26" s="11">
        <f t="shared" si="86"/>
        <v>1159</v>
      </c>
      <c r="AQ26" s="11">
        <f t="shared" si="86"/>
        <v>1178</v>
      </c>
      <c r="AR26" s="11">
        <f t="shared" si="86"/>
        <v>1158</v>
      </c>
      <c r="AS26" s="11">
        <f t="shared" si="86"/>
        <v>1197</v>
      </c>
      <c r="AT26" s="17">
        <f t="shared" si="86"/>
        <v>4692</v>
      </c>
      <c r="AU26" s="11">
        <f t="shared" si="86"/>
        <v>1154</v>
      </c>
      <c r="AV26" s="11">
        <f t="shared" si="86"/>
        <v>1193</v>
      </c>
      <c r="AW26" s="11">
        <f t="shared" ref="AW26:CB26" si="87">AW23-AW6</f>
        <v>1159</v>
      </c>
      <c r="AX26" s="11">
        <f t="shared" si="87"/>
        <v>1189</v>
      </c>
      <c r="AY26" s="17">
        <f t="shared" si="87"/>
        <v>4695</v>
      </c>
      <c r="AZ26" s="11">
        <f t="shared" si="87"/>
        <v>1210</v>
      </c>
      <c r="BA26" s="11">
        <f t="shared" si="87"/>
        <v>1222</v>
      </c>
      <c r="BB26" s="11">
        <f t="shared" si="87"/>
        <v>1331</v>
      </c>
      <c r="BC26" s="11">
        <f t="shared" si="87"/>
        <v>1325</v>
      </c>
      <c r="BD26" s="17">
        <f t="shared" si="87"/>
        <v>5088</v>
      </c>
      <c r="BE26" s="11">
        <f t="shared" si="87"/>
        <v>1319</v>
      </c>
      <c r="BF26" s="11">
        <f t="shared" si="87"/>
        <v>1340</v>
      </c>
      <c r="BG26" s="11">
        <f t="shared" si="87"/>
        <v>1313</v>
      </c>
      <c r="BH26" s="11">
        <f t="shared" si="87"/>
        <v>1294</v>
      </c>
      <c r="BI26" s="17">
        <f t="shared" si="87"/>
        <v>5266</v>
      </c>
      <c r="BJ26" s="11">
        <f t="shared" si="87"/>
        <v>1292</v>
      </c>
      <c r="BK26" s="11">
        <f t="shared" si="87"/>
        <v>1300</v>
      </c>
      <c r="BL26" s="11">
        <f t="shared" si="87"/>
        <v>1257</v>
      </c>
      <c r="BM26" s="11">
        <f t="shared" si="87"/>
        <v>1265</v>
      </c>
      <c r="BN26" s="17">
        <f t="shared" si="87"/>
        <v>5114</v>
      </c>
      <c r="BO26" s="11">
        <f t="shared" si="87"/>
        <v>1217</v>
      </c>
      <c r="BP26" s="11">
        <f t="shared" si="87"/>
        <v>1273</v>
      </c>
      <c r="BQ26" s="11">
        <f t="shared" si="87"/>
        <v>1246</v>
      </c>
      <c r="BR26" s="11">
        <f t="shared" si="87"/>
        <v>1236</v>
      </c>
      <c r="BS26" s="17">
        <f t="shared" si="87"/>
        <v>4972</v>
      </c>
      <c r="BT26" s="11">
        <f t="shared" si="87"/>
        <v>1222</v>
      </c>
      <c r="BU26" s="11">
        <f t="shared" si="87"/>
        <v>1282</v>
      </c>
      <c r="BV26" s="11">
        <f t="shared" si="87"/>
        <v>1257</v>
      </c>
      <c r="BW26" s="11">
        <f t="shared" si="87"/>
        <v>1292</v>
      </c>
      <c r="BX26" s="17">
        <f t="shared" si="87"/>
        <v>5053</v>
      </c>
      <c r="BY26" s="11">
        <f t="shared" si="87"/>
        <v>1275</v>
      </c>
      <c r="BZ26" s="11">
        <f t="shared" si="87"/>
        <v>1317</v>
      </c>
      <c r="CA26" s="11">
        <f t="shared" si="87"/>
        <v>1258</v>
      </c>
      <c r="CB26" s="11">
        <f t="shared" si="87"/>
        <v>1374</v>
      </c>
      <c r="CC26" s="17">
        <f t="shared" ref="CC26:DH26" si="88">CC23-CC6</f>
        <v>5224</v>
      </c>
      <c r="CD26" s="11">
        <f t="shared" si="88"/>
        <v>1316</v>
      </c>
      <c r="CE26" s="11">
        <f t="shared" si="88"/>
        <v>1326</v>
      </c>
      <c r="CF26" s="11">
        <f t="shared" si="88"/>
        <v>1275</v>
      </c>
      <c r="CG26" s="11">
        <f t="shared" si="88"/>
        <v>1268</v>
      </c>
      <c r="CH26" s="17">
        <f t="shared" si="88"/>
        <v>5185</v>
      </c>
      <c r="CI26" s="11">
        <f t="shared" si="88"/>
        <v>1310</v>
      </c>
      <c r="CJ26" s="11">
        <f t="shared" si="88"/>
        <v>1323</v>
      </c>
      <c r="CK26" s="11">
        <f t="shared" si="88"/>
        <v>1288</v>
      </c>
      <c r="CL26" s="11">
        <f t="shared" si="88"/>
        <v>1258</v>
      </c>
      <c r="CM26" s="17">
        <f t="shared" si="88"/>
        <v>5179</v>
      </c>
      <c r="CN26" s="11">
        <f t="shared" si="88"/>
        <v>1246</v>
      </c>
      <c r="CO26" s="11">
        <f t="shared" si="88"/>
        <v>1288</v>
      </c>
      <c r="CP26" s="11">
        <f t="shared" si="88"/>
        <v>1243</v>
      </c>
      <c r="CQ26" s="11">
        <f t="shared" si="88"/>
        <v>1228</v>
      </c>
      <c r="CR26" s="17">
        <f t="shared" si="88"/>
        <v>5005</v>
      </c>
      <c r="CS26" s="11">
        <f t="shared" si="88"/>
        <v>1209</v>
      </c>
      <c r="CT26" s="11">
        <f t="shared" si="88"/>
        <v>1245</v>
      </c>
      <c r="CU26" s="11">
        <f t="shared" si="88"/>
        <v>1200</v>
      </c>
      <c r="CV26" s="11">
        <f t="shared" si="88"/>
        <v>1104</v>
      </c>
      <c r="CW26" s="17">
        <f t="shared" si="88"/>
        <v>4758</v>
      </c>
      <c r="CX26" s="11">
        <f t="shared" si="88"/>
        <v>979</v>
      </c>
      <c r="CY26" s="11">
        <f t="shared" si="88"/>
        <v>954</v>
      </c>
      <c r="CZ26" s="11">
        <f t="shared" si="88"/>
        <v>984</v>
      </c>
      <c r="DA26" s="11">
        <f t="shared" si="88"/>
        <v>974</v>
      </c>
      <c r="DB26" s="17">
        <f t="shared" si="88"/>
        <v>3891</v>
      </c>
      <c r="DC26" s="11">
        <f t="shared" si="88"/>
        <v>986</v>
      </c>
      <c r="DD26" s="11">
        <f t="shared" si="88"/>
        <v>1060</v>
      </c>
      <c r="DE26" s="11">
        <f t="shared" si="88"/>
        <v>1035</v>
      </c>
      <c r="DF26" s="11">
        <f t="shared" si="88"/>
        <v>1080</v>
      </c>
      <c r="DG26" s="17">
        <f t="shared" si="88"/>
        <v>4161</v>
      </c>
      <c r="DH26" s="11">
        <f t="shared" si="88"/>
        <v>1039</v>
      </c>
      <c r="DI26" s="11">
        <f t="shared" ref="DI26:EC26" si="89">DI23-DI6</f>
        <v>1065</v>
      </c>
      <c r="DJ26" s="11">
        <f t="shared" si="89"/>
        <v>1043</v>
      </c>
      <c r="DK26" s="11">
        <f t="shared" si="89"/>
        <v>1040</v>
      </c>
      <c r="DL26" s="17">
        <f t="shared" si="89"/>
        <v>4187</v>
      </c>
      <c r="DM26" s="11">
        <f t="shared" si="89"/>
        <v>1002</v>
      </c>
      <c r="DN26" s="11">
        <f t="shared" si="89"/>
        <v>1011</v>
      </c>
      <c r="DO26" s="11">
        <f t="shared" si="89"/>
        <v>978</v>
      </c>
      <c r="DP26" s="11">
        <f t="shared" si="89"/>
        <v>967</v>
      </c>
      <c r="DQ26" s="17">
        <f t="shared" si="89"/>
        <v>3958</v>
      </c>
      <c r="DR26" s="11">
        <f t="shared" si="89"/>
        <v>960.58999999999992</v>
      </c>
      <c r="DS26" s="11">
        <f t="shared" si="89"/>
        <v>1012</v>
      </c>
      <c r="DT26" s="11">
        <f t="shared" si="89"/>
        <v>986</v>
      </c>
      <c r="DU26" s="11">
        <f t="shared" si="89"/>
        <v>996</v>
      </c>
      <c r="DV26" s="17">
        <f t="shared" si="89"/>
        <v>3954.59</v>
      </c>
      <c r="DW26" s="11">
        <f t="shared" si="89"/>
        <v>973</v>
      </c>
      <c r="DX26" s="11">
        <f t="shared" si="89"/>
        <v>1090</v>
      </c>
      <c r="DY26" s="11">
        <f t="shared" si="89"/>
        <v>1067</v>
      </c>
      <c r="DZ26" s="11">
        <f t="shared" si="89"/>
        <v>1064</v>
      </c>
      <c r="EA26" s="17">
        <f t="shared" si="89"/>
        <v>4194</v>
      </c>
      <c r="EB26" s="11">
        <f t="shared" si="89"/>
        <v>979.82999999999993</v>
      </c>
      <c r="EC26" s="11">
        <f t="shared" si="89"/>
        <v>1036</v>
      </c>
      <c r="ED26" s="11">
        <f t="shared" ref="ED26:EI26" si="90">ED23-ED6</f>
        <v>981</v>
      </c>
      <c r="EE26" s="11">
        <f t="shared" si="90"/>
        <v>926</v>
      </c>
      <c r="EF26" s="17">
        <f t="shared" si="90"/>
        <v>3922.83</v>
      </c>
      <c r="EG26" s="11">
        <f t="shared" si="90"/>
        <v>873</v>
      </c>
      <c r="EH26" s="11">
        <f t="shared" si="90"/>
        <v>901</v>
      </c>
      <c r="EI26" s="11">
        <f t="shared" si="90"/>
        <v>893</v>
      </c>
      <c r="EJ26" s="11">
        <f t="shared" ref="EJ26:EN26" si="91">EJ23-EJ6</f>
        <v>973</v>
      </c>
      <c r="EK26" s="17">
        <f t="shared" si="91"/>
        <v>3640</v>
      </c>
      <c r="EL26" s="11">
        <f t="shared" si="91"/>
        <v>904</v>
      </c>
      <c r="EM26" s="11">
        <f t="shared" si="91"/>
        <v>902</v>
      </c>
      <c r="EN26" s="11">
        <f t="shared" si="91"/>
        <v>869</v>
      </c>
      <c r="EO26" s="11">
        <f t="shared" ref="EO26:EQ26" si="92">EO23-EO6</f>
        <v>882</v>
      </c>
      <c r="EP26" s="17">
        <f t="shared" si="92"/>
        <v>3557</v>
      </c>
      <c r="EQ26" s="11">
        <f t="shared" si="92"/>
        <v>843</v>
      </c>
      <c r="ER26" s="11">
        <f t="shared" ref="ER26" si="93">ER23-ER6</f>
        <v>856.80000000000018</v>
      </c>
      <c r="ES26" s="11">
        <f t="shared" ref="ES26:EU26" si="94">ES23-ES6</f>
        <v>855.00000000000011</v>
      </c>
      <c r="ET26" s="11">
        <f t="shared" si="94"/>
        <v>890.60499999999979</v>
      </c>
      <c r="EU26" s="17">
        <f t="shared" si="94"/>
        <v>3445.4049999999997</v>
      </c>
      <c r="EZ26" s="17">
        <f>EZ23-EZ6</f>
        <v>3408.4490499999993</v>
      </c>
      <c r="FE26" s="17">
        <f>FE23-FE6</f>
        <v>3392.8931939999993</v>
      </c>
      <c r="FG26" s="470"/>
      <c r="FH26" s="765"/>
      <c r="FI26" s="765"/>
      <c r="FJ26" s="765"/>
      <c r="FL26" s="1336"/>
      <c r="FM26" s="11">
        <f t="shared" si="73"/>
        <v>843</v>
      </c>
      <c r="FN26" s="765">
        <f t="shared" si="74"/>
        <v>904</v>
      </c>
      <c r="FO26" s="1800">
        <v>844.09</v>
      </c>
      <c r="FP26" s="1734">
        <f>+FM26/FN26-1</f>
        <v>-6.7477876106194712E-2</v>
      </c>
      <c r="FQ26" s="1522">
        <f>+FM26/FO26-1</f>
        <v>-1.2913314930872444E-3</v>
      </c>
      <c r="FR26" s="1619"/>
      <c r="FS26" s="1619"/>
      <c r="FT26" s="399"/>
      <c r="FU26" s="399"/>
      <c r="FV26" s="399"/>
      <c r="FW26" s="399"/>
      <c r="FX26" s="399"/>
      <c r="FY26" s="399"/>
      <c r="FZ26" s="470"/>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row>
    <row r="27" spans="1:258" s="55" customFormat="1" x14ac:dyDescent="0.2">
      <c r="A27" s="558" t="s">
        <v>336</v>
      </c>
      <c r="F27" s="54"/>
      <c r="K27" s="54"/>
      <c r="P27" s="54"/>
      <c r="R27" s="55">
        <f>R26/Q26-1</f>
        <v>2.6774488703505517E-2</v>
      </c>
      <c r="S27" s="55">
        <f>S26/R26-1</f>
        <v>-3.2465686408917338E-2</v>
      </c>
      <c r="T27" s="55">
        <f>T26/S26-1</f>
        <v>2.6415094339622636E-2</v>
      </c>
      <c r="U27" s="54"/>
      <c r="V27" s="55">
        <f>V26/T26-1</f>
        <v>-4.7794117647058876E-2</v>
      </c>
      <c r="W27" s="55">
        <f>W26/V26-1</f>
        <v>3.8610038610038533E-2</v>
      </c>
      <c r="X27" s="55">
        <f>X26/W26-1</f>
        <v>-3.3457249070631967E-2</v>
      </c>
      <c r="Y27" s="55">
        <f>Y26/X26-1</f>
        <v>1.0576923076923039E-2</v>
      </c>
      <c r="Z27" s="54"/>
      <c r="AA27" s="55">
        <f>AA26/Y26-1</f>
        <v>2.1883920076118057E-2</v>
      </c>
      <c r="AB27" s="55">
        <f>AB26/AA26-1</f>
        <v>6.2383612662942234E-2</v>
      </c>
      <c r="AC27" s="55">
        <f>AC26/AB26-1</f>
        <v>-1.9281332164767795E-2</v>
      </c>
      <c r="AD27" s="55">
        <f>AD26/AC26-1</f>
        <v>2.4128686327077764E-2</v>
      </c>
      <c r="AE27" s="54"/>
      <c r="AF27" s="55">
        <f>AF26/AD26-1</f>
        <v>-1.7452006980802626E-3</v>
      </c>
      <c r="AG27" s="55">
        <f>AG26/AF26-1</f>
        <v>1.3986013986013957E-2</v>
      </c>
      <c r="AH27" s="55">
        <f>AH26/AG26-1</f>
        <v>-1.9827586206896508E-2</v>
      </c>
      <c r="AI27" s="55">
        <f>AI26/AH26-1</f>
        <v>4.3975373790676731E-3</v>
      </c>
      <c r="AJ27" s="54"/>
      <c r="AK27" s="55">
        <f>AK26/AI26-1</f>
        <v>-3.3274956217162921E-2</v>
      </c>
      <c r="AL27" s="55">
        <f>AL26/AK26-1</f>
        <v>5.5253623188405765E-2</v>
      </c>
      <c r="AM27" s="55">
        <f>AM26/AL26-1</f>
        <v>-2.3175965665236054E-2</v>
      </c>
      <c r="AN27" s="55">
        <f>AN26/AM26-1</f>
        <v>1.8453427065026284E-2</v>
      </c>
      <c r="AO27" s="54"/>
      <c r="AP27" s="55">
        <f>AP26/AN26-1</f>
        <v>0</v>
      </c>
      <c r="AQ27" s="55">
        <f>AQ26/AP26-1</f>
        <v>1.6393442622950838E-2</v>
      </c>
      <c r="AR27" s="55">
        <f>AR26/AQ26-1</f>
        <v>-1.697792869269954E-2</v>
      </c>
      <c r="AS27" s="55">
        <f>AS26/AR26-1</f>
        <v>3.3678756476683835E-2</v>
      </c>
      <c r="AT27" s="54"/>
      <c r="AU27" s="55">
        <f>AU26/AS26-1</f>
        <v>-3.5923141186299135E-2</v>
      </c>
      <c r="AV27" s="55">
        <f>AV26/AU26-1</f>
        <v>3.3795493934142051E-2</v>
      </c>
      <c r="AW27" s="55">
        <f>AW26/AV26-1</f>
        <v>-2.849958088851634E-2</v>
      </c>
      <c r="AX27" s="55">
        <f>AX26/AW26-1</f>
        <v>2.5884383088869756E-2</v>
      </c>
      <c r="AY27" s="54"/>
      <c r="AZ27" s="55">
        <f>AZ26/AX26-1</f>
        <v>1.766190075693852E-2</v>
      </c>
      <c r="BA27" s="55">
        <f>BA26/AZ26-1</f>
        <v>9.917355371900749E-3</v>
      </c>
      <c r="BB27" s="55">
        <f>BB26/BA26-1</f>
        <v>8.9198036006546744E-2</v>
      </c>
      <c r="BC27" s="55">
        <f>BC26/BB26-1</f>
        <v>-4.5078888054094213E-3</v>
      </c>
      <c r="BD27" s="54"/>
      <c r="BE27" s="55">
        <f>BE26/BC26-1</f>
        <v>-4.5283018867924296E-3</v>
      </c>
      <c r="BF27" s="55">
        <f>BF26/BE26-1</f>
        <v>1.5921152388172821E-2</v>
      </c>
      <c r="BG27" s="55">
        <f>BG26/BF26-1</f>
        <v>-2.0149253731343242E-2</v>
      </c>
      <c r="BH27" s="55">
        <f>BH26/BG26-1</f>
        <v>-1.4470677837014501E-2</v>
      </c>
      <c r="BI27" s="54"/>
      <c r="BJ27" s="55">
        <f>BJ26/BH26-1</f>
        <v>-1.5455950540957941E-3</v>
      </c>
      <c r="BK27" s="55">
        <f>BK26/BJ26-1</f>
        <v>6.1919504643963563E-3</v>
      </c>
      <c r="BL27" s="55">
        <f>BL26/BK26-1</f>
        <v>-3.3076923076923115E-2</v>
      </c>
      <c r="BM27" s="55">
        <f>BM26/BL26-1</f>
        <v>6.364359586316537E-3</v>
      </c>
      <c r="BN27" s="54"/>
      <c r="BO27" s="55">
        <f>BO26/BM26-1</f>
        <v>-3.7944664031620556E-2</v>
      </c>
      <c r="BP27" s="55">
        <f>BP26/BO26-1</f>
        <v>4.6014790468364763E-2</v>
      </c>
      <c r="BQ27" s="55">
        <f>BQ26/BP26-1</f>
        <v>-2.1209740769835062E-2</v>
      </c>
      <c r="BR27" s="55">
        <f>BR26/BQ26-1</f>
        <v>-8.0256821829856051E-3</v>
      </c>
      <c r="BS27" s="54"/>
      <c r="BT27" s="55">
        <f>BT26/BR26-1</f>
        <v>-1.132686084142398E-2</v>
      </c>
      <c r="BU27" s="55">
        <f>BU26/BT26-1</f>
        <v>4.9099836333878821E-2</v>
      </c>
      <c r="BV27" s="55">
        <f>BV26/BU26-1</f>
        <v>-1.9500780031201259E-2</v>
      </c>
      <c r="BW27" s="55">
        <f>BW26/BV26-1</f>
        <v>2.7844073190135266E-2</v>
      </c>
      <c r="BX27" s="54"/>
      <c r="BY27" s="55">
        <f>BY26/BW26-1</f>
        <v>-1.3157894736842146E-2</v>
      </c>
      <c r="BZ27" s="55">
        <f>BZ26/BY26-1</f>
        <v>3.2941176470588251E-2</v>
      </c>
      <c r="CA27" s="55">
        <f>CA26/BZ26-1</f>
        <v>-4.4798785117691753E-2</v>
      </c>
      <c r="CB27" s="55">
        <f>CB26/CA26-1</f>
        <v>9.2209856915739241E-2</v>
      </c>
      <c r="CC27" s="54"/>
      <c r="CD27" s="55">
        <f>CD26/CB26-1</f>
        <v>-4.2212518195050897E-2</v>
      </c>
      <c r="CE27" s="55">
        <f>CE26/CD26-1</f>
        <v>7.5987841945288626E-3</v>
      </c>
      <c r="CF27" s="55">
        <f>CF26/CE26-1</f>
        <v>-3.8461538461538436E-2</v>
      </c>
      <c r="CG27" s="55">
        <f>CG26/CF26-1</f>
        <v>-5.4901960784313752E-3</v>
      </c>
      <c r="CH27" s="54"/>
      <c r="CI27" s="55">
        <f>CI26/CG26-1</f>
        <v>3.3123028391167209E-2</v>
      </c>
      <c r="CJ27" s="55">
        <f>CJ26/CI26-1</f>
        <v>9.92366412213741E-3</v>
      </c>
      <c r="CK27" s="55">
        <f>CK26/CJ26-1</f>
        <v>-2.6455026455026509E-2</v>
      </c>
      <c r="CL27" s="55">
        <f>CL26/CK26-1</f>
        <v>-2.329192546583847E-2</v>
      </c>
      <c r="CM27" s="54"/>
      <c r="CN27" s="55">
        <f>CN26/CL26-1</f>
        <v>-9.5389507154213238E-3</v>
      </c>
      <c r="CO27" s="55">
        <f>CO26/CN26-1</f>
        <v>3.3707865168539408E-2</v>
      </c>
      <c r="CP27" s="55">
        <f>CP26/CO26-1</f>
        <v>-3.4937888198757761E-2</v>
      </c>
      <c r="CQ27" s="55">
        <f>CQ26/CP26-1</f>
        <v>-1.2067578439259874E-2</v>
      </c>
      <c r="CR27" s="54"/>
      <c r="CS27" s="55">
        <f>CS26/CQ26-1</f>
        <v>-1.5472312703583069E-2</v>
      </c>
      <c r="CT27" s="55">
        <f>CT26/CS26-1</f>
        <v>2.977667493796532E-2</v>
      </c>
      <c r="CU27" s="55">
        <f>CU26/CT26-1</f>
        <v>-3.6144578313253017E-2</v>
      </c>
      <c r="CV27" s="55">
        <f>CV26/CU26-1</f>
        <v>-7.999999999999996E-2</v>
      </c>
      <c r="CW27" s="54"/>
      <c r="CX27" s="55">
        <f>CX26/CV26-1</f>
        <v>-0.11322463768115942</v>
      </c>
      <c r="CY27" s="55">
        <f>CY26/CX26-1</f>
        <v>-2.5536261491317713E-2</v>
      </c>
      <c r="CZ27" s="55">
        <f>CZ26/CY26-1</f>
        <v>3.1446540880503138E-2</v>
      </c>
      <c r="DA27" s="55">
        <f>DA26/CZ26-1</f>
        <v>-1.0162601626016232E-2</v>
      </c>
      <c r="DB27" s="54"/>
      <c r="DC27" s="55">
        <f>DC26/DA26-1</f>
        <v>1.2320328542094527E-2</v>
      </c>
      <c r="DD27" s="55">
        <f>DD26/DC26-1</f>
        <v>7.5050709939147975E-2</v>
      </c>
      <c r="DE27" s="55">
        <f>DE26/DD26-1</f>
        <v>-2.3584905660377409E-2</v>
      </c>
      <c r="DF27" s="55">
        <f>DF26/DE26-1</f>
        <v>4.3478260869565188E-2</v>
      </c>
      <c r="DG27" s="54"/>
      <c r="DH27" s="55">
        <f>DH26/DF26-1</f>
        <v>-3.7962962962962976E-2</v>
      </c>
      <c r="DI27" s="55">
        <f>DI26/DH26-1</f>
        <v>2.5024061597689995E-2</v>
      </c>
      <c r="DJ27" s="55">
        <f>DJ26/DI26-1</f>
        <v>-2.0657276995305174E-2</v>
      </c>
      <c r="DK27" s="55">
        <f>DK26/DJ26-1</f>
        <v>-2.8763183125599667E-3</v>
      </c>
      <c r="DL27" s="54"/>
      <c r="DM27" s="55">
        <f>DM26/DK26-1</f>
        <v>-3.653846153846152E-2</v>
      </c>
      <c r="DN27" s="55">
        <f>DN26/DM26-1</f>
        <v>8.9820359281436168E-3</v>
      </c>
      <c r="DO27" s="55">
        <f>DO26/DN26-1</f>
        <v>-3.2640949554896159E-2</v>
      </c>
      <c r="DP27" s="55">
        <f>DP26/DO26-1</f>
        <v>-1.1247443762781195E-2</v>
      </c>
      <c r="DQ27" s="54"/>
      <c r="DR27" s="55">
        <f>DR26/DP26-1</f>
        <v>-6.6287487073424245E-3</v>
      </c>
      <c r="DS27" s="55">
        <f>DS26/DR26-1</f>
        <v>5.3519191330328342E-2</v>
      </c>
      <c r="DT27" s="55">
        <f>DT26/DS26-1</f>
        <v>-2.5691699604743046E-2</v>
      </c>
      <c r="DU27" s="55">
        <f>DU26/DT26-1</f>
        <v>1.0141987829614507E-2</v>
      </c>
      <c r="DV27" s="54"/>
      <c r="DW27" s="55">
        <f>DW26/DU26-1</f>
        <v>-2.3092369477911601E-2</v>
      </c>
      <c r="DX27" s="55">
        <f>DX26/DW26-1</f>
        <v>0.12024665981500515</v>
      </c>
      <c r="DY27" s="55">
        <f>DY26/DX26-1</f>
        <v>-2.1100917431192689E-2</v>
      </c>
      <c r="DZ27" s="55">
        <f>DZ26/DY26-1</f>
        <v>-2.811621368322359E-3</v>
      </c>
      <c r="EA27" s="54"/>
      <c r="EB27" s="55">
        <f>EB26/DZ26-1</f>
        <v>-7.9107142857142931E-2</v>
      </c>
      <c r="EC27" s="55">
        <f>EC26/EB26-1</f>
        <v>5.7326270883724773E-2</v>
      </c>
      <c r="ED27" s="55">
        <f>ED26/EC26-1</f>
        <v>-5.3088803088803038E-2</v>
      </c>
      <c r="EE27" s="55">
        <f>EE26/ED26-1</f>
        <v>-5.606523955147813E-2</v>
      </c>
      <c r="EF27" s="54"/>
      <c r="EG27" s="55">
        <f>EG26/EE26-1</f>
        <v>-5.7235421166306644E-2</v>
      </c>
      <c r="EH27" s="55">
        <f>EH26/EG26-1</f>
        <v>3.2073310423825996E-2</v>
      </c>
      <c r="EI27" s="55">
        <f>EI26/EH26-1</f>
        <v>-8.8790233074361735E-3</v>
      </c>
      <c r="EJ27" s="55">
        <f>EJ26/EI26-1</f>
        <v>8.9585666293393151E-2</v>
      </c>
      <c r="EK27" s="54"/>
      <c r="EL27" s="55">
        <f>EL26/EJ26-1</f>
        <v>-7.091469681397744E-2</v>
      </c>
      <c r="EM27" s="55">
        <f>EM26/EL26-1</f>
        <v>-2.2123893805309214E-3</v>
      </c>
      <c r="EN27" s="55">
        <f>EN26/EM26-1</f>
        <v>-3.6585365853658569E-2</v>
      </c>
      <c r="EO27" s="55">
        <f>EO26/EN26-1</f>
        <v>1.4959723820483273E-2</v>
      </c>
      <c r="EP27" s="54"/>
      <c r="EQ27" s="55">
        <f>EQ26/EO26-1</f>
        <v>-4.4217687074829981E-2</v>
      </c>
      <c r="ER27" s="55">
        <f t="shared" ref="ER27" si="95">ER26/EQ26-1</f>
        <v>1.6370106761566028E-2</v>
      </c>
      <c r="ES27" s="55">
        <f t="shared" ref="ES27:ET27" si="96">ES26/ER26-1</f>
        <v>-2.1008403361345573E-3</v>
      </c>
      <c r="ET27" s="55">
        <f t="shared" si="96"/>
        <v>4.1643274853800705E-2</v>
      </c>
      <c r="EU27" s="54"/>
      <c r="EZ27" s="54"/>
      <c r="FE27" s="54"/>
      <c r="FG27" s="471"/>
      <c r="FH27" s="766">
        <f>AVERAGE(CI27,CN27,CS27,CX27,DC27,DH27,DM27,DR27,DW27,EB27,EG27,EL27,EQ27)</f>
        <v>-3.449923344352597E-2</v>
      </c>
      <c r="FI27" s="766">
        <f>AVERAGE(CJ27,CO27,CT27,CY27,DD27,DI27,DN27,DS27,DX27,EC27,EH27)</f>
        <v>3.8190380241380932E-2</v>
      </c>
      <c r="FJ27" s="766">
        <f>AVERAGE(CK27,CP27,CU27,CZ27,DE27,DJ27,DO27,DT27,DY27,ED27,EI27)</f>
        <v>-2.2884957066298894E-2</v>
      </c>
      <c r="FK27" s="1408">
        <f>AVERAGE(CL27,CQ27,CV27,DA27,DF27,DK27,DP27,DU27,DZ27,EE27,EJ27,EO27)</f>
        <v>-3.3630908094333389E-3</v>
      </c>
      <c r="FL27" s="1338"/>
      <c r="FM27" s="55">
        <f t="shared" si="73"/>
        <v>-4.4217687074829981E-2</v>
      </c>
      <c r="FN27" s="1416">
        <f t="shared" si="74"/>
        <v>-7.091469681397744E-2</v>
      </c>
      <c r="FO27" s="1799">
        <v>-4.2981859410430756E-2</v>
      </c>
      <c r="FP27" s="1736"/>
      <c r="FQ27" s="1503">
        <f>+(FM27-FO27)*10000</f>
        <v>-12.35827664399225</v>
      </c>
      <c r="FR27" s="1614"/>
      <c r="FS27" s="1619"/>
      <c r="FT27" s="432"/>
      <c r="FU27" s="432"/>
      <c r="FV27" s="432"/>
      <c r="FW27" s="432"/>
      <c r="FX27" s="432"/>
      <c r="FY27" s="432"/>
      <c r="FZ27" s="471"/>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row>
    <row r="28" spans="1:258" s="401" customFormat="1" x14ac:dyDescent="0.2">
      <c r="A28" s="400" t="s">
        <v>130</v>
      </c>
      <c r="F28" s="402"/>
      <c r="K28" s="402"/>
      <c r="P28" s="402"/>
      <c r="U28" s="402"/>
      <c r="Z28" s="402"/>
      <c r="AE28" s="402"/>
      <c r="AJ28" s="402"/>
      <c r="AO28" s="402"/>
      <c r="AT28" s="402"/>
      <c r="AY28" s="402"/>
      <c r="BD28" s="402"/>
      <c r="BI28" s="402"/>
      <c r="BN28" s="402"/>
      <c r="BS28" s="402"/>
      <c r="BX28" s="402"/>
      <c r="CC28" s="402"/>
      <c r="CH28" s="402"/>
      <c r="CM28" s="402"/>
      <c r="CR28" s="402"/>
      <c r="CW28" s="402"/>
      <c r="DB28" s="402"/>
      <c r="DG28" s="402"/>
      <c r="DL28" s="402"/>
      <c r="DQ28" s="402"/>
      <c r="DV28" s="402"/>
      <c r="EA28" s="402"/>
      <c r="EB28" s="1706" t="s">
        <v>756</v>
      </c>
      <c r="EF28" s="402"/>
      <c r="EG28" s="412"/>
      <c r="EK28" s="402"/>
      <c r="EL28" s="412"/>
      <c r="EP28" s="402"/>
      <c r="EQ28" s="412"/>
      <c r="ER28" s="412"/>
      <c r="ES28" s="412"/>
      <c r="ET28" s="412"/>
      <c r="EU28" s="1922">
        <f>(EU7+EU6)/(EP7+EP6)-1</f>
        <v>8.8999098286746126E-4</v>
      </c>
      <c r="EZ28" s="402"/>
      <c r="FE28" s="402"/>
      <c r="FG28" s="472"/>
      <c r="FH28" s="768"/>
      <c r="FI28" s="768"/>
      <c r="FJ28" s="768"/>
      <c r="FL28" s="1339"/>
      <c r="FN28" s="768"/>
      <c r="FO28" s="1801"/>
      <c r="FP28" s="1737"/>
      <c r="FQ28" s="1507" t="s">
        <v>726</v>
      </c>
      <c r="FR28" s="1614"/>
      <c r="FS28" s="1619"/>
      <c r="FT28" s="403"/>
      <c r="FU28" s="403"/>
      <c r="FV28" s="403"/>
      <c r="FW28" s="403"/>
      <c r="FX28" s="403"/>
      <c r="FY28" s="403"/>
      <c r="FZ28" s="472"/>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row>
    <row r="29" spans="1:258" s="55" customFormat="1" x14ac:dyDescent="0.2">
      <c r="A29" s="685" t="str">
        <f>A7&amp;" YoY % Chg."</f>
        <v>Merchandise YoY % Chg.</v>
      </c>
      <c r="F29" s="686"/>
      <c r="K29" s="686"/>
      <c r="P29" s="686"/>
      <c r="U29" s="686"/>
      <c r="V29" s="55">
        <f t="shared" ref="V29:BA29" si="97">V7/Q7-1</f>
        <v>2.7199999999999891E-2</v>
      </c>
      <c r="W29" s="55">
        <f t="shared" si="97"/>
        <v>1.9885081676243255E-2</v>
      </c>
      <c r="X29" s="55">
        <f t="shared" si="97"/>
        <v>5.1863857374392142E-2</v>
      </c>
      <c r="Y29" s="55">
        <f t="shared" si="97"/>
        <v>4.4822256568779029E-2</v>
      </c>
      <c r="Z29" s="686">
        <f t="shared" si="97"/>
        <v>3.5768068782001006E-2</v>
      </c>
      <c r="AA29" s="55">
        <f t="shared" si="97"/>
        <v>5.6074766355140193E-2</v>
      </c>
      <c r="AB29" s="55">
        <f t="shared" si="97"/>
        <v>7.4626865671641784E-2</v>
      </c>
      <c r="AC29" s="55">
        <f t="shared" si="97"/>
        <v>6.1633281972264919E-2</v>
      </c>
      <c r="AD29" s="55">
        <f t="shared" si="97"/>
        <v>5.7692307692307709E-2</v>
      </c>
      <c r="AE29" s="686">
        <f t="shared" si="97"/>
        <v>6.2571103526734895E-2</v>
      </c>
      <c r="AF29" s="55">
        <f t="shared" si="97"/>
        <v>7.6696165191740384E-2</v>
      </c>
      <c r="AG29" s="55">
        <f t="shared" si="97"/>
        <v>2.7777777777777679E-2</v>
      </c>
      <c r="AH29" s="55">
        <f t="shared" si="97"/>
        <v>3.6284470246734424E-2</v>
      </c>
      <c r="AI29" s="55">
        <f t="shared" si="97"/>
        <v>8.3916083916084627E-3</v>
      </c>
      <c r="AJ29" s="686">
        <f t="shared" si="97"/>
        <v>3.6759457530335382E-2</v>
      </c>
      <c r="AK29" s="55">
        <f t="shared" si="97"/>
        <v>-3.8356164383561597E-2</v>
      </c>
      <c r="AL29" s="55">
        <f t="shared" si="97"/>
        <v>-1.2162162162162149E-2</v>
      </c>
      <c r="AM29" s="55">
        <f t="shared" si="97"/>
        <v>-1.2605042016806678E-2</v>
      </c>
      <c r="AN29" s="55">
        <f t="shared" si="97"/>
        <v>-5.5478502080443803E-3</v>
      </c>
      <c r="AO29" s="686">
        <f t="shared" si="97"/>
        <v>-1.7211703958691871E-2</v>
      </c>
      <c r="AP29" s="55">
        <f t="shared" si="97"/>
        <v>3.8461538461538547E-2</v>
      </c>
      <c r="AQ29" s="55">
        <f t="shared" si="97"/>
        <v>3.5567715458276306E-2</v>
      </c>
      <c r="AR29" s="55">
        <f t="shared" si="97"/>
        <v>3.5460992907801359E-2</v>
      </c>
      <c r="AS29" s="55">
        <f t="shared" si="97"/>
        <v>6.2761506276150625E-2</v>
      </c>
      <c r="AT29" s="686">
        <f t="shared" si="97"/>
        <v>4.3082311733800394E-2</v>
      </c>
      <c r="AU29" s="55">
        <f t="shared" si="97"/>
        <v>-6.8587105624142719E-3</v>
      </c>
      <c r="AV29" s="55">
        <f t="shared" si="97"/>
        <v>-1.0568031704095149E-2</v>
      </c>
      <c r="AW29" s="55">
        <f t="shared" si="97"/>
        <v>-1.7808219178082174E-2</v>
      </c>
      <c r="AX29" s="55">
        <f t="shared" si="97"/>
        <v>-2.3622047244094446E-2</v>
      </c>
      <c r="AY29" s="686">
        <f t="shared" si="97"/>
        <v>-1.4775016789791762E-2</v>
      </c>
      <c r="AZ29" s="55">
        <f t="shared" si="97"/>
        <v>9.8066298342541547E-2</v>
      </c>
      <c r="BA29" s="55">
        <f t="shared" si="97"/>
        <v>7.8771695594125557E-2</v>
      </c>
      <c r="BB29" s="55">
        <f t="shared" ref="BB29:CG29" si="98">BB7/AW7-1</f>
        <v>0.21199442119944223</v>
      </c>
      <c r="BC29" s="55">
        <f t="shared" si="98"/>
        <v>0.19086021505376349</v>
      </c>
      <c r="BD29" s="686">
        <f t="shared" si="98"/>
        <v>0.14451261077027944</v>
      </c>
      <c r="BE29" s="55">
        <f t="shared" si="98"/>
        <v>0.13584905660377355</v>
      </c>
      <c r="BF29" s="55">
        <f t="shared" si="98"/>
        <v>0.12128712871287139</v>
      </c>
      <c r="BG29" s="55">
        <f t="shared" si="98"/>
        <v>-1.7261219792865323E-2</v>
      </c>
      <c r="BH29" s="55">
        <f t="shared" si="98"/>
        <v>-4.2889390519187387E-2</v>
      </c>
      <c r="BI29" s="686">
        <f t="shared" si="98"/>
        <v>4.5562835020845682E-2</v>
      </c>
      <c r="BJ29" s="55">
        <f t="shared" si="98"/>
        <v>-7.1982281284606819E-2</v>
      </c>
      <c r="BK29" s="55">
        <f t="shared" si="98"/>
        <v>-6.6225165562913912E-2</v>
      </c>
      <c r="BL29" s="55">
        <f t="shared" si="98"/>
        <v>-4.8009367681498882E-2</v>
      </c>
      <c r="BM29" s="55">
        <f t="shared" si="98"/>
        <v>-3.5377358490566002E-2</v>
      </c>
      <c r="BN29" s="686">
        <f t="shared" si="98"/>
        <v>-5.5824551409854761E-2</v>
      </c>
      <c r="BO29" s="55">
        <f t="shared" si="98"/>
        <v>-3.1026252983293534E-2</v>
      </c>
      <c r="BP29" s="55">
        <f t="shared" si="98"/>
        <v>2.1276595744680771E-2</v>
      </c>
      <c r="BQ29" s="55">
        <f t="shared" si="98"/>
        <v>1.9680196801967975E-2</v>
      </c>
      <c r="BR29" s="55">
        <f t="shared" si="98"/>
        <v>6.1124694376528677E-3</v>
      </c>
      <c r="BS29" s="686">
        <f t="shared" si="98"/>
        <v>3.9215686274509665E-3</v>
      </c>
      <c r="BT29" s="55">
        <f t="shared" si="98"/>
        <v>3.0788177339901468E-2</v>
      </c>
      <c r="BU29" s="55">
        <f t="shared" si="98"/>
        <v>0</v>
      </c>
      <c r="BV29" s="55">
        <f t="shared" si="98"/>
        <v>2.4125452352231624E-2</v>
      </c>
      <c r="BW29" s="55">
        <f t="shared" si="98"/>
        <v>5.4678007290400954E-2</v>
      </c>
      <c r="BX29" s="686">
        <f t="shared" si="98"/>
        <v>2.7043269230769162E-2</v>
      </c>
      <c r="BY29" s="55">
        <f t="shared" si="98"/>
        <v>2.1505376344086002E-2</v>
      </c>
      <c r="BZ29" s="55">
        <f t="shared" si="98"/>
        <v>3.009259259259256E-2</v>
      </c>
      <c r="CA29" s="55">
        <f t="shared" si="98"/>
        <v>-1.6489988221436991E-2</v>
      </c>
      <c r="CB29" s="55">
        <f t="shared" si="98"/>
        <v>5.2995391705069173E-2</v>
      </c>
      <c r="CC29" s="686">
        <f t="shared" si="98"/>
        <v>2.2235225277940307E-2</v>
      </c>
      <c r="CD29" s="55">
        <f t="shared" si="98"/>
        <v>3.5087719298245723E-3</v>
      </c>
      <c r="CE29" s="55">
        <f t="shared" si="98"/>
        <v>-2.5842696629213457E-2</v>
      </c>
      <c r="CF29" s="55">
        <f t="shared" si="98"/>
        <v>-2.3952095808382756E-3</v>
      </c>
      <c r="CG29" s="55">
        <f t="shared" si="98"/>
        <v>-0.10503282275711157</v>
      </c>
      <c r="CH29" s="686">
        <f t="shared" ref="CH29:DM29" si="99">CH7/CC7-1</f>
        <v>-3.3772180881511127E-2</v>
      </c>
      <c r="CI29" s="55">
        <f t="shared" si="99"/>
        <v>-2.7972027972028024E-2</v>
      </c>
      <c r="CJ29" s="55">
        <f t="shared" si="99"/>
        <v>-1.6147635524798143E-2</v>
      </c>
      <c r="CK29" s="55">
        <f t="shared" si="99"/>
        <v>-2.4009603841536609E-2</v>
      </c>
      <c r="CL29" s="55">
        <f t="shared" si="99"/>
        <v>-3.7897310513447469E-2</v>
      </c>
      <c r="CM29" s="686">
        <f t="shared" si="99"/>
        <v>-2.6362559241706163E-2</v>
      </c>
      <c r="CN29" s="55">
        <f t="shared" si="99"/>
        <v>-5.9952038369304517E-2</v>
      </c>
      <c r="CO29" s="55">
        <f t="shared" si="99"/>
        <v>-3.6342321219226315E-2</v>
      </c>
      <c r="CP29" s="55">
        <f t="shared" si="99"/>
        <v>-4.3050430504305015E-2</v>
      </c>
      <c r="CQ29" s="55">
        <f t="shared" si="99"/>
        <v>-3.5578144853875449E-2</v>
      </c>
      <c r="CR29" s="686">
        <f t="shared" si="99"/>
        <v>-4.3808944326133248E-2</v>
      </c>
      <c r="CS29" s="55">
        <f t="shared" si="99"/>
        <v>-4.8469387755102011E-2</v>
      </c>
      <c r="CT29" s="55">
        <f t="shared" si="99"/>
        <v>-6.5693430656934337E-2</v>
      </c>
      <c r="CU29" s="55">
        <f t="shared" si="99"/>
        <v>-5.9125964010282805E-2</v>
      </c>
      <c r="CV29" s="55">
        <f t="shared" si="99"/>
        <v>-0.16600790513833996</v>
      </c>
      <c r="CW29" s="686">
        <f t="shared" si="99"/>
        <v>-8.3996181991727648E-2</v>
      </c>
      <c r="CX29" s="55">
        <f t="shared" si="99"/>
        <v>-0.26541554959785518</v>
      </c>
      <c r="CY29" s="55">
        <f t="shared" si="99"/>
        <v>-0.24609375</v>
      </c>
      <c r="CZ29" s="55">
        <f t="shared" si="99"/>
        <v>-0.17759562841530052</v>
      </c>
      <c r="DA29" s="55">
        <f t="shared" si="99"/>
        <v>-3.7914691943127909E-2</v>
      </c>
      <c r="DB29" s="686">
        <f t="shared" si="99"/>
        <v>-0.18791246960750263</v>
      </c>
      <c r="DC29" s="55">
        <f t="shared" si="99"/>
        <v>0.11861313868613133</v>
      </c>
      <c r="DD29" s="55">
        <f t="shared" si="99"/>
        <v>0.13816925734024177</v>
      </c>
      <c r="DE29" s="55">
        <f t="shared" si="99"/>
        <v>6.8106312292358862E-2</v>
      </c>
      <c r="DF29" s="55">
        <f t="shared" si="99"/>
        <v>0.1050903119868638</v>
      </c>
      <c r="DG29" s="686">
        <f t="shared" si="99"/>
        <v>0.1069289991445681</v>
      </c>
      <c r="DH29" s="55">
        <f t="shared" si="99"/>
        <v>6.6884176182707922E-2</v>
      </c>
      <c r="DI29" s="55">
        <f t="shared" si="99"/>
        <v>2.7314112291350501E-2</v>
      </c>
      <c r="DJ29" s="55">
        <f t="shared" si="99"/>
        <v>2.1772939346811793E-2</v>
      </c>
      <c r="DK29" s="55">
        <f t="shared" si="99"/>
        <v>-1.0401188707280795E-2</v>
      </c>
      <c r="DL29" s="686">
        <f t="shared" si="99"/>
        <v>2.5502318392581103E-2</v>
      </c>
      <c r="DM29" s="55">
        <f t="shared" si="99"/>
        <v>2.5993883792049033E-2</v>
      </c>
      <c r="DN29" s="55">
        <f t="shared" ref="DN29:ED29" si="100">DN7/DI7-1</f>
        <v>4.4313146233383449E-3</v>
      </c>
      <c r="DO29" s="55">
        <f t="shared" si="100"/>
        <v>-3.0441400304414001E-3</v>
      </c>
      <c r="DP29" s="55">
        <f t="shared" si="100"/>
        <v>-6.0060060060059817E-3</v>
      </c>
      <c r="DQ29" s="686">
        <f t="shared" si="100"/>
        <v>5.2750565184627174E-3</v>
      </c>
      <c r="DR29" s="55">
        <f t="shared" si="100"/>
        <v>-7.4515648286139768E-3</v>
      </c>
      <c r="DS29" s="55">
        <f t="shared" si="100"/>
        <v>3.2352941176470695E-2</v>
      </c>
      <c r="DT29" s="55">
        <f t="shared" si="100"/>
        <v>4.8854961832061061E-2</v>
      </c>
      <c r="DU29" s="55">
        <f t="shared" si="100"/>
        <v>6.7975830815709903E-2</v>
      </c>
      <c r="DV29" s="686">
        <f t="shared" si="100"/>
        <v>3.5232383808095902E-2</v>
      </c>
      <c r="DW29" s="55">
        <f t="shared" si="100"/>
        <v>2.1021021021021102E-2</v>
      </c>
      <c r="DX29" s="55">
        <f t="shared" si="100"/>
        <v>8.2621082621082698E-2</v>
      </c>
      <c r="DY29" s="55">
        <f t="shared" si="100"/>
        <v>8.879184861717615E-2</v>
      </c>
      <c r="DZ29" s="55">
        <f t="shared" si="100"/>
        <v>5.2333804809052253E-2</v>
      </c>
      <c r="EA29" s="686">
        <f t="shared" si="100"/>
        <v>6.1549601737871162E-2</v>
      </c>
      <c r="EB29" s="55">
        <f t="shared" si="100"/>
        <v>1.5926470588235153E-2</v>
      </c>
      <c r="EC29" s="55">
        <f t="shared" si="100"/>
        <v>-2.5000000000000022E-2</v>
      </c>
      <c r="ED29" s="55">
        <f t="shared" si="100"/>
        <v>-3.7433155080213942E-2</v>
      </c>
      <c r="EE29" s="55">
        <f t="shared" ref="EE29:EH29" si="101">EE7/DZ7-1</f>
        <v>-4.8387096774193505E-2</v>
      </c>
      <c r="EF29" s="686">
        <f t="shared" si="101"/>
        <v>-2.4614597544338368E-2</v>
      </c>
      <c r="EG29" s="1607">
        <f t="shared" si="101"/>
        <v>-2.5809533459751233E-2</v>
      </c>
      <c r="EH29" s="1607">
        <f t="shared" si="101"/>
        <v>-4.7233468286099867E-2</v>
      </c>
      <c r="EI29" s="55">
        <f>EI7/ED7-1</f>
        <v>-4.7222222222222276E-2</v>
      </c>
      <c r="EJ29" s="55">
        <f t="shared" ref="EJ29:EJ31" si="102">EJ7/EE7-1</f>
        <v>4.0960451977401169E-2</v>
      </c>
      <c r="EK29" s="686">
        <f t="shared" ref="EK29:EQ31" si="103">EK7/EF7-1</f>
        <v>-2.0221481696464427E-2</v>
      </c>
      <c r="EL29" s="1607">
        <f t="shared" si="103"/>
        <v>3.8632986627043175E-2</v>
      </c>
      <c r="EM29" s="1607">
        <f t="shared" si="103"/>
        <v>-1.6997167138810165E-2</v>
      </c>
      <c r="EN29" s="55">
        <f>EN7/EI7-1</f>
        <v>-5.1020408163265252E-2</v>
      </c>
      <c r="EO29" s="55">
        <f t="shared" ref="EO29:EO31" si="104">EO7/EJ7-1</f>
        <v>-0.10719131614653998</v>
      </c>
      <c r="EP29" s="686">
        <f t="shared" si="103"/>
        <v>-3.5688793718772316E-2</v>
      </c>
      <c r="EQ29" s="1607">
        <f t="shared" si="103"/>
        <v>-8.1545064377682386E-2</v>
      </c>
      <c r="ER29" s="1607">
        <f t="shared" ref="ER29" si="105">ER7/EM7-1</f>
        <v>-4.1152737752161439E-2</v>
      </c>
      <c r="ES29" s="1607">
        <f t="shared" ref="ES29:ET29" si="106">ES7/EN7-1</f>
        <v>5.2841781874040095E-3</v>
      </c>
      <c r="ET29" s="1607">
        <f t="shared" si="106"/>
        <v>2.1588145896656696E-2</v>
      </c>
      <c r="EU29" s="1676">
        <f>EU7/EP7-1</f>
        <v>-2.5135085122131695E-2</v>
      </c>
      <c r="EV29" s="1298"/>
      <c r="EW29" s="1298"/>
      <c r="EX29" s="1298"/>
      <c r="EY29" s="1298"/>
      <c r="EZ29" s="1173">
        <f>EZ7/EU7-1</f>
        <v>4.4505966967656185E-3</v>
      </c>
      <c r="FA29" s="1298"/>
      <c r="FB29" s="1298"/>
      <c r="FC29" s="1298"/>
      <c r="FD29" s="1298"/>
      <c r="FE29" s="1173">
        <f>FE7/EZ7-1</f>
        <v>1.141526110216029E-2</v>
      </c>
      <c r="FG29" s="693"/>
      <c r="FH29" s="767"/>
      <c r="FI29" s="767"/>
      <c r="FJ29" s="767"/>
      <c r="FK29" s="185"/>
      <c r="FL29" s="1338"/>
      <c r="FM29" s="1523">
        <f t="shared" ref="FM29:FM40" si="107">+EQ29</f>
        <v>-8.1545064377682386E-2</v>
      </c>
      <c r="FN29" s="1416">
        <f t="shared" ref="FN29:FN40" si="108">EL29</f>
        <v>3.8632986627043175E-2</v>
      </c>
      <c r="FO29" s="1802">
        <v>-7.690987124463522E-2</v>
      </c>
      <c r="FP29" s="1736"/>
      <c r="FQ29" s="1506">
        <f>+(FM29-FO29)*10000</f>
        <v>-46.351931330471665</v>
      </c>
      <c r="FR29" s="1615"/>
      <c r="FS29" s="1619"/>
      <c r="FT29" s="432"/>
      <c r="FU29" s="432"/>
      <c r="FV29" s="432"/>
      <c r="FW29" s="432"/>
      <c r="FX29" s="432"/>
      <c r="FY29" s="432"/>
      <c r="FZ29" s="693"/>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row>
    <row r="30" spans="1:258" s="55" customFormat="1" x14ac:dyDescent="0.2">
      <c r="A30" s="685" t="str">
        <f>A8&amp;" YoY % Chg."</f>
        <v>Agricultural &amp; Food Products YoY % Chg.</v>
      </c>
      <c r="F30" s="686"/>
      <c r="K30" s="686"/>
      <c r="P30" s="686"/>
      <c r="U30" s="686"/>
      <c r="Z30" s="686"/>
      <c r="AE30" s="686"/>
      <c r="AJ30" s="686"/>
      <c r="AO30" s="686"/>
      <c r="AT30" s="686"/>
      <c r="AY30" s="686"/>
      <c r="AZ30" s="55">
        <f t="shared" ref="AZ30:BI31" si="109">AZ8/AU8-1</f>
        <v>0.10144927536231885</v>
      </c>
      <c r="BA30" s="55">
        <f t="shared" si="109"/>
        <v>8.9552238805970186E-2</v>
      </c>
      <c r="BB30" s="55">
        <f t="shared" si="109"/>
        <v>0.3125</v>
      </c>
      <c r="BC30" s="55">
        <f t="shared" si="109"/>
        <v>0.20779220779220786</v>
      </c>
      <c r="BD30" s="686">
        <f t="shared" si="109"/>
        <v>0.17689530685920585</v>
      </c>
      <c r="BE30" s="55">
        <f t="shared" si="109"/>
        <v>0.21052631578947367</v>
      </c>
      <c r="BF30" s="55">
        <f t="shared" si="109"/>
        <v>0.19178082191780832</v>
      </c>
      <c r="BG30" s="55">
        <f t="shared" si="109"/>
        <v>2.3809523809523725E-2</v>
      </c>
      <c r="BH30" s="55">
        <f t="shared" si="109"/>
        <v>3.2258064516129004E-2</v>
      </c>
      <c r="BI30" s="686">
        <f t="shared" si="109"/>
        <v>0.1073619631901841</v>
      </c>
      <c r="BJ30" s="55">
        <f t="shared" ref="BJ30:BS31" si="110">BJ8/BE8-1</f>
        <v>8.6956521739130377E-2</v>
      </c>
      <c r="BK30" s="55">
        <f t="shared" si="110"/>
        <v>5.7471264367816133E-2</v>
      </c>
      <c r="BL30" s="55">
        <f t="shared" si="110"/>
        <v>2.3255813953488413E-2</v>
      </c>
      <c r="BM30" s="55">
        <f t="shared" si="110"/>
        <v>-4.166666666666663E-2</v>
      </c>
      <c r="BN30" s="686">
        <f t="shared" si="110"/>
        <v>3.0470914127423754E-2</v>
      </c>
      <c r="BO30" s="55">
        <f t="shared" si="110"/>
        <v>-6.9999999999999951E-2</v>
      </c>
      <c r="BP30" s="55">
        <f t="shared" si="110"/>
        <v>-4.3478260869565188E-2</v>
      </c>
      <c r="BQ30" s="55">
        <f t="shared" si="110"/>
        <v>-1.1363636363636354E-2</v>
      </c>
      <c r="BR30" s="55">
        <f t="shared" si="110"/>
        <v>1.0869565217391353E-2</v>
      </c>
      <c r="BS30" s="686">
        <f t="shared" si="110"/>
        <v>-2.9569892473118253E-2</v>
      </c>
      <c r="BT30" s="55">
        <f t="shared" ref="BT30:CC31" si="111">BT8/BO8-1</f>
        <v>-2.1505376344086002E-2</v>
      </c>
      <c r="BU30" s="55">
        <f t="shared" si="111"/>
        <v>1.1363636363636465E-2</v>
      </c>
      <c r="BV30" s="55">
        <f t="shared" si="111"/>
        <v>1.1494252873563315E-2</v>
      </c>
      <c r="BW30" s="55">
        <f t="shared" si="111"/>
        <v>2.1505376344086002E-2</v>
      </c>
      <c r="BX30" s="686">
        <f t="shared" si="111"/>
        <v>5.5401662049860967E-3</v>
      </c>
      <c r="BY30" s="55">
        <f t="shared" si="111"/>
        <v>1.098901098901095E-2</v>
      </c>
      <c r="BZ30" s="55">
        <f t="shared" si="111"/>
        <v>0</v>
      </c>
      <c r="CA30" s="55">
        <f t="shared" si="111"/>
        <v>-6.8181818181818232E-2</v>
      </c>
      <c r="CB30" s="55">
        <f t="shared" si="111"/>
        <v>-2.1052631578947323E-2</v>
      </c>
      <c r="CC30" s="686">
        <f t="shared" si="111"/>
        <v>-1.9283746556473802E-2</v>
      </c>
      <c r="CD30" s="55">
        <f t="shared" ref="CD30:CM31" si="112">CD8/BY8-1</f>
        <v>0</v>
      </c>
      <c r="CE30" s="55">
        <f t="shared" si="112"/>
        <v>-2.2471910112359605E-2</v>
      </c>
      <c r="CF30" s="55">
        <f t="shared" si="112"/>
        <v>7.3170731707317138E-2</v>
      </c>
      <c r="CG30" s="55">
        <f t="shared" si="112"/>
        <v>-3.2258064516129004E-2</v>
      </c>
      <c r="CH30" s="686">
        <f t="shared" si="112"/>
        <v>2.8089887640450062E-3</v>
      </c>
      <c r="CI30" s="55">
        <f t="shared" si="112"/>
        <v>4.3478260869565188E-2</v>
      </c>
      <c r="CJ30" s="55">
        <f t="shared" si="112"/>
        <v>0.10344827586206895</v>
      </c>
      <c r="CK30" s="55">
        <f t="shared" si="112"/>
        <v>0.15909090909090917</v>
      </c>
      <c r="CL30" s="55">
        <f t="shared" si="112"/>
        <v>0.14444444444444438</v>
      </c>
      <c r="CM30" s="686">
        <f t="shared" si="112"/>
        <v>0.11204481792717091</v>
      </c>
      <c r="CN30" s="55">
        <f t="shared" ref="CN30:CW31" si="113">CN8/CI8-1</f>
        <v>1.0416666666666741E-2</v>
      </c>
      <c r="CO30" s="55">
        <f t="shared" si="113"/>
        <v>7.2916666666666741E-2</v>
      </c>
      <c r="CP30" s="55">
        <f t="shared" si="113"/>
        <v>-9.8039215686274161E-3</v>
      </c>
      <c r="CQ30" s="55">
        <f t="shared" si="113"/>
        <v>5.8252427184465994E-2</v>
      </c>
      <c r="CR30" s="686">
        <f t="shared" si="113"/>
        <v>3.2745591939546514E-2</v>
      </c>
      <c r="CS30" s="55">
        <f t="shared" si="113"/>
        <v>0.12371134020618557</v>
      </c>
      <c r="CT30" s="55">
        <f t="shared" si="113"/>
        <v>4.8543689320388328E-2</v>
      </c>
      <c r="CU30" s="55">
        <f t="shared" si="113"/>
        <v>4.9504950495049549E-2</v>
      </c>
      <c r="CV30" s="55">
        <f t="shared" si="113"/>
        <v>0</v>
      </c>
      <c r="CW30" s="686">
        <f t="shared" si="113"/>
        <v>5.3658536585365901E-2</v>
      </c>
      <c r="CX30" s="55">
        <f t="shared" ref="CX30:DG31" si="114">CX8/CS8-1</f>
        <v>0</v>
      </c>
      <c r="CY30" s="55">
        <f t="shared" si="114"/>
        <v>-1.851851851851849E-2</v>
      </c>
      <c r="CZ30" s="55">
        <f t="shared" si="114"/>
        <v>-4.7169811320754707E-2</v>
      </c>
      <c r="DA30" s="55">
        <f t="shared" si="114"/>
        <v>2.7522935779816571E-2</v>
      </c>
      <c r="DB30" s="686">
        <f t="shared" si="114"/>
        <v>-9.2592592592593004E-3</v>
      </c>
      <c r="DC30" s="55">
        <f t="shared" si="114"/>
        <v>4.587155963302747E-2</v>
      </c>
      <c r="DD30" s="55">
        <f t="shared" si="114"/>
        <v>9.4339622641510523E-3</v>
      </c>
      <c r="DE30" s="55">
        <f t="shared" si="114"/>
        <v>2.9702970297029729E-2</v>
      </c>
      <c r="DF30" s="55">
        <f t="shared" si="114"/>
        <v>8.0357142857142794E-2</v>
      </c>
      <c r="DG30" s="686">
        <f t="shared" si="114"/>
        <v>4.20560747663552E-2</v>
      </c>
      <c r="DH30" s="55">
        <f t="shared" ref="DH30:DQ31" si="115">DH8/DC8-1</f>
        <v>-4.3859649122807043E-2</v>
      </c>
      <c r="DI30" s="55">
        <f t="shared" si="115"/>
        <v>1.8691588785046731E-2</v>
      </c>
      <c r="DJ30" s="55">
        <f t="shared" si="115"/>
        <v>-7.6923076923076872E-2</v>
      </c>
      <c r="DK30" s="55">
        <f t="shared" si="115"/>
        <v>-9.0909090909090939E-2</v>
      </c>
      <c r="DL30" s="686">
        <f t="shared" si="115"/>
        <v>-4.9327354260089717E-2</v>
      </c>
      <c r="DM30" s="55">
        <f t="shared" si="115"/>
        <v>-9.1743119266054496E-3</v>
      </c>
      <c r="DN30" s="55">
        <f t="shared" si="115"/>
        <v>-7.3394495412844041E-2</v>
      </c>
      <c r="DO30" s="55">
        <f t="shared" si="115"/>
        <v>-8.333333333333337E-2</v>
      </c>
      <c r="DP30" s="55">
        <f t="shared" si="115"/>
        <v>-0.11818181818181817</v>
      </c>
      <c r="DQ30" s="686">
        <f t="shared" si="115"/>
        <v>-7.0754716981132115E-2</v>
      </c>
      <c r="DR30" s="55">
        <f t="shared" ref="DR30:EA31" si="116">DR8/DM8-1</f>
        <v>-0.12037037037037035</v>
      </c>
      <c r="DS30" s="55">
        <f t="shared" si="116"/>
        <v>-5.9405940594059459E-2</v>
      </c>
      <c r="DT30" s="55">
        <f t="shared" si="116"/>
        <v>-1.1363636363636354E-2</v>
      </c>
      <c r="DU30" s="55">
        <f t="shared" si="116"/>
        <v>0.1649484536082475</v>
      </c>
      <c r="DV30" s="686">
        <f t="shared" si="116"/>
        <v>-1.0152284263959421E-2</v>
      </c>
      <c r="DW30" s="55">
        <f t="shared" si="116"/>
        <v>0.35789473684210527</v>
      </c>
      <c r="DX30" s="55">
        <f t="shared" si="116"/>
        <v>0.36842105263157898</v>
      </c>
      <c r="DY30" s="55">
        <f t="shared" si="116"/>
        <v>0.39080459770114939</v>
      </c>
      <c r="DZ30" s="55">
        <f t="shared" si="116"/>
        <v>0.17699115044247793</v>
      </c>
      <c r="EA30" s="686">
        <f t="shared" si="116"/>
        <v>0.31538461538461537</v>
      </c>
      <c r="EB30" s="55">
        <f t="shared" ref="EB30:EI31" si="117">EB8/DW8-1</f>
        <v>2.3255813953488413E-2</v>
      </c>
      <c r="EC30" s="55">
        <f t="shared" si="117"/>
        <v>-3.8461538461538436E-2</v>
      </c>
      <c r="ED30" s="55">
        <f t="shared" si="117"/>
        <v>0</v>
      </c>
      <c r="EE30" s="55">
        <f t="shared" si="117"/>
        <v>-6.0150375939849621E-2</v>
      </c>
      <c r="EF30" s="686">
        <f t="shared" si="117"/>
        <v>-1.9493177387914229E-2</v>
      </c>
      <c r="EG30" s="1607">
        <f t="shared" si="117"/>
        <v>-8.333333333333337E-2</v>
      </c>
      <c r="EH30" s="1607">
        <f t="shared" si="117"/>
        <v>-7.1999999999999953E-2</v>
      </c>
      <c r="EI30" s="55">
        <f t="shared" si="117"/>
        <v>-9.9173553719008267E-2</v>
      </c>
      <c r="EJ30" s="55">
        <f t="shared" si="102"/>
        <v>4.8000000000000043E-2</v>
      </c>
      <c r="EK30" s="686">
        <f t="shared" si="103"/>
        <v>-5.1689860834990053E-2</v>
      </c>
      <c r="EL30" s="1607">
        <f t="shared" si="103"/>
        <v>0</v>
      </c>
      <c r="EM30" s="1607">
        <f t="shared" si="103"/>
        <v>-1.7241379310344862E-2</v>
      </c>
      <c r="EN30" s="55">
        <f t="shared" si="103"/>
        <v>-2.752293577981646E-2</v>
      </c>
      <c r="EO30" s="55">
        <f t="shared" si="104"/>
        <v>-0.13740458015267176</v>
      </c>
      <c r="EP30" s="686">
        <f t="shared" si="103"/>
        <v>-4.8218029350104774E-2</v>
      </c>
      <c r="EQ30" s="1607">
        <f t="shared" si="103"/>
        <v>-0.11570247933884292</v>
      </c>
      <c r="ER30" s="1164">
        <v>-8.5000000000000006E-2</v>
      </c>
      <c r="ES30" s="1164">
        <v>-0.03</v>
      </c>
      <c r="ET30" s="1164">
        <v>0.03</v>
      </c>
      <c r="EU30" s="1676">
        <f>EU8/EP8-1</f>
        <v>-5.1718061674008831E-2</v>
      </c>
      <c r="EV30" s="1298"/>
      <c r="EW30" s="1298"/>
      <c r="EX30" s="1298"/>
      <c r="EY30" s="1298"/>
      <c r="EZ30" s="1012">
        <v>1.4999999999999999E-2</v>
      </c>
      <c r="FA30" s="1298"/>
      <c r="FB30" s="1298"/>
      <c r="FC30" s="1298"/>
      <c r="FD30" s="1298"/>
      <c r="FE30" s="1012">
        <v>1.4999999999999999E-2</v>
      </c>
      <c r="FG30" s="468"/>
      <c r="FH30" s="767"/>
      <c r="FI30" s="767"/>
      <c r="FJ30" s="767"/>
      <c r="FK30" s="185"/>
      <c r="FL30" s="1338"/>
      <c r="FM30" s="1524">
        <f t="shared" si="107"/>
        <v>-0.11570247933884292</v>
      </c>
      <c r="FN30" s="1416">
        <f t="shared" si="108"/>
        <v>0</v>
      </c>
      <c r="FO30" s="1803">
        <v>-7.4999999999999997E-2</v>
      </c>
      <c r="FP30" s="1736"/>
      <c r="FQ30" s="1506">
        <f t="shared" ref="FQ30:FQ40" si="118">+(FM30-FO30)*10000</f>
        <v>-407.02479338842926</v>
      </c>
      <c r="FR30" s="2000"/>
      <c r="FS30" s="1619"/>
      <c r="FT30" s="432"/>
      <c r="FU30" s="432"/>
      <c r="FV30" s="432"/>
      <c r="FW30" s="432"/>
      <c r="FX30" s="432"/>
      <c r="FY30" s="432"/>
      <c r="FZ30" s="468"/>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row>
    <row r="31" spans="1:258" s="55" customFormat="1" x14ac:dyDescent="0.2">
      <c r="A31" s="685" t="str">
        <f>A9&amp;" YoY % Chg."</f>
        <v>Automotive YoY % Chg.</v>
      </c>
      <c r="F31" s="686"/>
      <c r="K31" s="686"/>
      <c r="P31" s="686"/>
      <c r="U31" s="686"/>
      <c r="Z31" s="686"/>
      <c r="AE31" s="686"/>
      <c r="AJ31" s="686"/>
      <c r="AO31" s="686"/>
      <c r="AT31" s="686"/>
      <c r="AY31" s="686"/>
      <c r="AZ31" s="55">
        <f t="shared" si="109"/>
        <v>0.21428571428571419</v>
      </c>
      <c r="BA31" s="55">
        <f t="shared" si="109"/>
        <v>0.22222222222222232</v>
      </c>
      <c r="BB31" s="55">
        <f t="shared" si="109"/>
        <v>0.66666666666666674</v>
      </c>
      <c r="BC31" s="55">
        <f t="shared" si="109"/>
        <v>0.31932773109243695</v>
      </c>
      <c r="BD31" s="686">
        <f t="shared" si="109"/>
        <v>0.34223300970873782</v>
      </c>
      <c r="BE31" s="55">
        <f t="shared" si="109"/>
        <v>0.32773109243697474</v>
      </c>
      <c r="BF31" s="55">
        <f t="shared" si="109"/>
        <v>0.19696969696969702</v>
      </c>
      <c r="BG31" s="55">
        <f t="shared" si="109"/>
        <v>-8.9655172413793061E-2</v>
      </c>
      <c r="BH31" s="55">
        <f t="shared" si="109"/>
        <v>-0.12101910828025475</v>
      </c>
      <c r="BI31" s="686">
        <f t="shared" si="109"/>
        <v>5.9674502712477429E-2</v>
      </c>
      <c r="BJ31" s="55">
        <f t="shared" si="110"/>
        <v>-0.19620253164556967</v>
      </c>
      <c r="BK31" s="55">
        <f t="shared" si="110"/>
        <v>-0.120253164556962</v>
      </c>
      <c r="BL31" s="55">
        <f t="shared" si="110"/>
        <v>-9.8484848484848508E-2</v>
      </c>
      <c r="BM31" s="55">
        <f t="shared" si="110"/>
        <v>-5.0724637681159424E-2</v>
      </c>
      <c r="BN31" s="686">
        <f t="shared" si="110"/>
        <v>-0.11945392491467577</v>
      </c>
      <c r="BO31" s="55">
        <f t="shared" si="110"/>
        <v>1.5748031496062964E-2</v>
      </c>
      <c r="BP31" s="55">
        <f t="shared" si="110"/>
        <v>6.4748201438848962E-2</v>
      </c>
      <c r="BQ31" s="55">
        <f t="shared" si="110"/>
        <v>4.2016806722689148E-2</v>
      </c>
      <c r="BR31" s="55">
        <f t="shared" si="110"/>
        <v>4.5801526717557328E-2</v>
      </c>
      <c r="BS31" s="686">
        <f t="shared" si="110"/>
        <v>4.2635658914728758E-2</v>
      </c>
      <c r="BT31" s="55">
        <f t="shared" si="111"/>
        <v>1.5503875968992276E-2</v>
      </c>
      <c r="BU31" s="55">
        <f t="shared" si="111"/>
        <v>-6.0810810810810856E-2</v>
      </c>
      <c r="BV31" s="55">
        <f t="shared" si="111"/>
        <v>-3.2258064516129004E-2</v>
      </c>
      <c r="BW31" s="55">
        <f t="shared" si="111"/>
        <v>1.4598540145985384E-2</v>
      </c>
      <c r="BX31" s="686">
        <f t="shared" si="111"/>
        <v>-1.6728624535315983E-2</v>
      </c>
      <c r="BY31" s="55">
        <f t="shared" si="111"/>
        <v>-4.5801526717557217E-2</v>
      </c>
      <c r="BZ31" s="55">
        <f t="shared" si="111"/>
        <v>-2.877697841726623E-2</v>
      </c>
      <c r="CA31" s="55">
        <f t="shared" si="111"/>
        <v>-6.6666666666666652E-2</v>
      </c>
      <c r="CB31" s="55">
        <f t="shared" si="111"/>
        <v>-2.877697841726623E-2</v>
      </c>
      <c r="CC31" s="686">
        <f t="shared" si="111"/>
        <v>-4.1587901701323204E-2</v>
      </c>
      <c r="CD31" s="55">
        <f t="shared" si="112"/>
        <v>0</v>
      </c>
      <c r="CE31" s="55">
        <f t="shared" si="112"/>
        <v>-8.1481481481481488E-2</v>
      </c>
      <c r="CF31" s="55">
        <f t="shared" si="112"/>
        <v>1.7857142857142794E-2</v>
      </c>
      <c r="CG31" s="55">
        <f t="shared" si="112"/>
        <v>-7.407407407407407E-2</v>
      </c>
      <c r="CH31" s="686">
        <f t="shared" si="112"/>
        <v>-3.7475345167652829E-2</v>
      </c>
      <c r="CI31" s="55">
        <f t="shared" si="112"/>
        <v>1.6000000000000014E-2</v>
      </c>
      <c r="CJ31" s="55">
        <f t="shared" si="112"/>
        <v>0</v>
      </c>
      <c r="CK31" s="55">
        <f t="shared" si="112"/>
        <v>-0.1228070175438597</v>
      </c>
      <c r="CL31" s="55">
        <f t="shared" si="112"/>
        <v>-0.10399999999999998</v>
      </c>
      <c r="CM31" s="686">
        <f t="shared" si="112"/>
        <v>-5.1229508196721341E-2</v>
      </c>
      <c r="CN31" s="55">
        <f t="shared" si="113"/>
        <v>-0.1417322834645669</v>
      </c>
      <c r="CO31" s="55">
        <f t="shared" si="113"/>
        <v>-4.0322580645161255E-2</v>
      </c>
      <c r="CP31" s="55">
        <f t="shared" si="113"/>
        <v>2.0000000000000018E-2</v>
      </c>
      <c r="CQ31" s="55">
        <f t="shared" si="113"/>
        <v>-2.6785714285714302E-2</v>
      </c>
      <c r="CR31" s="686">
        <f t="shared" si="113"/>
        <v>-5.1835853131749432E-2</v>
      </c>
      <c r="CS31" s="55">
        <f t="shared" si="113"/>
        <v>-0.11926605504587151</v>
      </c>
      <c r="CT31" s="55">
        <f t="shared" si="113"/>
        <v>-0.22689075630252098</v>
      </c>
      <c r="CU31" s="55">
        <f t="shared" si="113"/>
        <v>-0.22549019607843135</v>
      </c>
      <c r="CV31" s="55">
        <f t="shared" si="113"/>
        <v>-0.30275229357798161</v>
      </c>
      <c r="CW31" s="686">
        <f t="shared" si="113"/>
        <v>-0.21867881548974943</v>
      </c>
      <c r="CX31" s="55">
        <f t="shared" si="114"/>
        <v>-0.53125</v>
      </c>
      <c r="CY31" s="55">
        <f t="shared" si="114"/>
        <v>-0.41304347826086951</v>
      </c>
      <c r="CZ31" s="55">
        <f t="shared" si="114"/>
        <v>-0.27848101265822789</v>
      </c>
      <c r="DA31" s="55">
        <f t="shared" si="114"/>
        <v>2.6315789473684292E-2</v>
      </c>
      <c r="DB31" s="686">
        <f t="shared" si="114"/>
        <v>-0.31778425655976672</v>
      </c>
      <c r="DC31" s="55">
        <f t="shared" si="114"/>
        <v>0.64444444444444438</v>
      </c>
      <c r="DD31" s="55">
        <f t="shared" si="114"/>
        <v>0.62962962962962954</v>
      </c>
      <c r="DE31" s="55">
        <f t="shared" si="114"/>
        <v>0.43859649122807021</v>
      </c>
      <c r="DF31" s="55">
        <f t="shared" si="114"/>
        <v>0.23076923076923084</v>
      </c>
      <c r="DG31" s="686">
        <f t="shared" si="114"/>
        <v>0.45299145299145294</v>
      </c>
      <c r="DH31" s="55">
        <f t="shared" si="115"/>
        <v>0.20270270270270263</v>
      </c>
      <c r="DI31" s="55">
        <f t="shared" si="115"/>
        <v>-1.1363636363636354E-2</v>
      </c>
      <c r="DJ31" s="55">
        <f t="shared" si="115"/>
        <v>4.8780487804878092E-2</v>
      </c>
      <c r="DK31" s="55">
        <f t="shared" si="115"/>
        <v>3.125E-2</v>
      </c>
      <c r="DL31" s="686">
        <f t="shared" si="115"/>
        <v>6.1764705882352944E-2</v>
      </c>
      <c r="DM31" s="55">
        <f t="shared" si="115"/>
        <v>0.1797752808988764</v>
      </c>
      <c r="DN31" s="55">
        <f t="shared" si="115"/>
        <v>0.27586206896551735</v>
      </c>
      <c r="DO31" s="55">
        <f t="shared" si="115"/>
        <v>0.16279069767441867</v>
      </c>
      <c r="DP31" s="55">
        <f t="shared" si="115"/>
        <v>0.10101010101010099</v>
      </c>
      <c r="DQ31" s="686">
        <f t="shared" si="115"/>
        <v>0.17728531855955687</v>
      </c>
      <c r="DR31" s="55">
        <f t="shared" si="116"/>
        <v>0</v>
      </c>
      <c r="DS31" s="55">
        <f t="shared" si="116"/>
        <v>1.8018018018018056E-2</v>
      </c>
      <c r="DT31" s="55">
        <f t="shared" si="116"/>
        <v>1.0000000000000009E-2</v>
      </c>
      <c r="DU31" s="55">
        <f t="shared" si="116"/>
        <v>3.669724770642202E-2</v>
      </c>
      <c r="DV31" s="686">
        <f t="shared" si="116"/>
        <v>1.6470588235294015E-2</v>
      </c>
      <c r="DW31" s="55">
        <f t="shared" si="116"/>
        <v>-6.6666666666666652E-2</v>
      </c>
      <c r="DX31" s="55">
        <f t="shared" si="116"/>
        <v>8.8495575221239076E-3</v>
      </c>
      <c r="DY31" s="55">
        <f t="shared" si="116"/>
        <v>7.9207920792079278E-2</v>
      </c>
      <c r="DZ31" s="55">
        <f t="shared" si="116"/>
        <v>8.8495575221239076E-3</v>
      </c>
      <c r="EA31" s="686">
        <f t="shared" si="116"/>
        <v>6.9444444444444198E-3</v>
      </c>
      <c r="EB31" s="55">
        <f t="shared" si="117"/>
        <v>3.0000000000000027E-2</v>
      </c>
      <c r="EC31" s="55">
        <f t="shared" si="117"/>
        <v>5.2631578947368363E-2</v>
      </c>
      <c r="ED31" s="55">
        <f t="shared" si="117"/>
        <v>0</v>
      </c>
      <c r="EE31" s="55">
        <f t="shared" si="117"/>
        <v>5.2631578947368363E-2</v>
      </c>
      <c r="EF31" s="686">
        <f t="shared" si="117"/>
        <v>3.4344827586206828E-2</v>
      </c>
      <c r="EG31" s="1607">
        <f t="shared" si="117"/>
        <v>0.11947691698038443</v>
      </c>
      <c r="EH31" s="1607">
        <f t="shared" si="117"/>
        <v>8.3333333333333037E-3</v>
      </c>
      <c r="EI31" s="55">
        <f t="shared" si="117"/>
        <v>5.504587155963292E-2</v>
      </c>
      <c r="EJ31" s="55">
        <f t="shared" si="102"/>
        <v>0.10833333333333339</v>
      </c>
      <c r="EK31" s="686">
        <f t="shared" si="103"/>
        <v>7.1253944970440575E-2</v>
      </c>
      <c r="EL31" s="1607">
        <f t="shared" si="103"/>
        <v>5.3097345132743445E-2</v>
      </c>
      <c r="EM31" s="1607">
        <f t="shared" si="103"/>
        <v>-4.132231404958675E-2</v>
      </c>
      <c r="EN31" s="55">
        <f t="shared" si="103"/>
        <v>-8.6956521739130488E-2</v>
      </c>
      <c r="EO31" s="55">
        <f t="shared" si="104"/>
        <v>-0.12030075187969924</v>
      </c>
      <c r="EP31" s="686">
        <f t="shared" si="103"/>
        <v>-5.1867219917012486E-2</v>
      </c>
      <c r="EQ31" s="1607">
        <f t="shared" si="103"/>
        <v>-5.8823529411764719E-2</v>
      </c>
      <c r="ER31" s="2038">
        <v>0.02</v>
      </c>
      <c r="ES31" s="2038">
        <v>0.02</v>
      </c>
      <c r="ET31" s="2038">
        <v>2.5000000000000001E-2</v>
      </c>
      <c r="EU31" s="1695">
        <f>EU9/EP9-1</f>
        <v>7.5492341356686588E-4</v>
      </c>
      <c r="EV31" s="1298"/>
      <c r="EW31" s="1298"/>
      <c r="EX31" s="1298"/>
      <c r="EY31" s="1298"/>
      <c r="EZ31" s="1012">
        <v>-0.03</v>
      </c>
      <c r="FA31" s="1298"/>
      <c r="FB31" s="1298"/>
      <c r="FC31" s="1298"/>
      <c r="FD31" s="1298"/>
      <c r="FE31" s="1012">
        <v>0.01</v>
      </c>
      <c r="FG31" s="468"/>
      <c r="FH31" s="767"/>
      <c r="FI31" s="767"/>
      <c r="FJ31" s="767"/>
      <c r="FK31" s="185"/>
      <c r="FL31" s="1338"/>
      <c r="FM31" s="1524">
        <f t="shared" si="107"/>
        <v>-5.8823529411764719E-2</v>
      </c>
      <c r="FN31" s="1416">
        <f t="shared" si="108"/>
        <v>5.3097345132743445E-2</v>
      </c>
      <c r="FO31" s="1803">
        <v>-6.5000000000000002E-2</v>
      </c>
      <c r="FP31" s="1736"/>
      <c r="FQ31" s="1506">
        <f t="shared" si="118"/>
        <v>61.764705882352835</v>
      </c>
      <c r="FR31" s="1999"/>
      <c r="FS31" s="1619"/>
      <c r="FT31" s="432"/>
      <c r="FU31" s="432"/>
      <c r="FV31" s="432"/>
      <c r="FW31" s="432"/>
      <c r="FX31" s="432"/>
      <c r="FY31" s="432"/>
      <c r="FZ31" s="468"/>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row>
    <row r="32" spans="1:258" s="55" customFormat="1" x14ac:dyDescent="0.2">
      <c r="A32" s="685" t="str">
        <f>A5&amp;" YoY % Chg."</f>
        <v>Coal Carloads YoY % Chg.</v>
      </c>
      <c r="F32" s="686"/>
      <c r="K32" s="686"/>
      <c r="P32" s="686"/>
      <c r="U32" s="686"/>
      <c r="V32" s="55">
        <f t="shared" ref="V32:AE33" si="119">V5/Q5-1</f>
        <v>-0.10859728506787325</v>
      </c>
      <c r="W32" s="55">
        <f t="shared" si="119"/>
        <v>-7.4394136273606803E-2</v>
      </c>
      <c r="X32" s="55">
        <f t="shared" si="119"/>
        <v>-0.11738148984198649</v>
      </c>
      <c r="Y32" s="55">
        <f t="shared" si="119"/>
        <v>-0.14965986394557829</v>
      </c>
      <c r="Z32" s="686">
        <f t="shared" si="119"/>
        <v>-0.11256265513992769</v>
      </c>
      <c r="AA32" s="55">
        <f t="shared" si="119"/>
        <v>5.0761421319795996E-3</v>
      </c>
      <c r="AB32" s="55">
        <f t="shared" si="119"/>
        <v>3.6945812807881673E-2</v>
      </c>
      <c r="AC32" s="55">
        <f t="shared" si="119"/>
        <v>9.9744245524296726E-2</v>
      </c>
      <c r="AD32" s="55">
        <f t="shared" si="119"/>
        <v>0.14933333333333332</v>
      </c>
      <c r="AE32" s="686">
        <f t="shared" si="119"/>
        <v>7.1519795657726704E-2</v>
      </c>
      <c r="AF32" s="55">
        <f t="shared" ref="AF32:AO33" si="120">AF5/AA5-1</f>
        <v>4.5454545454545414E-2</v>
      </c>
      <c r="AG32" s="55">
        <f t="shared" si="120"/>
        <v>-2.3752969121140222E-3</v>
      </c>
      <c r="AH32" s="55">
        <f t="shared" si="120"/>
        <v>-1.6279069767441867E-2</v>
      </c>
      <c r="AI32" s="55">
        <f t="shared" si="120"/>
        <v>-2.3201856148491906E-2</v>
      </c>
      <c r="AJ32" s="686">
        <f t="shared" si="120"/>
        <v>0</v>
      </c>
      <c r="AK32" s="55">
        <f t="shared" si="120"/>
        <v>-2.8985507246376829E-2</v>
      </c>
      <c r="AL32" s="55">
        <f t="shared" si="120"/>
        <v>3.3333333333333437E-2</v>
      </c>
      <c r="AM32" s="55">
        <f t="shared" si="120"/>
        <v>2.3640661938534313E-2</v>
      </c>
      <c r="AN32" s="55">
        <f t="shared" si="120"/>
        <v>4.9881235154394243E-2</v>
      </c>
      <c r="AO32" s="686">
        <f t="shared" si="120"/>
        <v>1.966626936829563E-2</v>
      </c>
      <c r="AP32" s="55">
        <f t="shared" ref="AP32:AY33" si="121">AP5/AK5-1</f>
        <v>6.9651741293532243E-2</v>
      </c>
      <c r="AQ32" s="55">
        <f t="shared" si="121"/>
        <v>-2.9953917050691281E-2</v>
      </c>
      <c r="AR32" s="55">
        <f t="shared" si="121"/>
        <v>-1.1547344110854452E-2</v>
      </c>
      <c r="AS32" s="55">
        <f t="shared" si="121"/>
        <v>-1.5837104072398245E-2</v>
      </c>
      <c r="AT32" s="686">
        <f t="shared" si="121"/>
        <v>1.753360607831711E-3</v>
      </c>
      <c r="AU32" s="55">
        <f t="shared" si="121"/>
        <v>0</v>
      </c>
      <c r="AV32" s="55">
        <f t="shared" si="121"/>
        <v>5.4631828978622288E-2</v>
      </c>
      <c r="AW32" s="55">
        <f t="shared" si="121"/>
        <v>3.2710280373831724E-2</v>
      </c>
      <c r="AX32" s="55">
        <f t="shared" si="121"/>
        <v>2.2988505747126409E-2</v>
      </c>
      <c r="AY32" s="686">
        <f t="shared" si="121"/>
        <v>2.7421236872812171E-2</v>
      </c>
      <c r="AZ32" s="55">
        <f t="shared" ref="AZ32:BI33" si="122">AZ5/AU5-1</f>
        <v>-3.4883720930232509E-2</v>
      </c>
      <c r="BA32" s="55">
        <f t="shared" si="122"/>
        <v>-6.7567567567567544E-2</v>
      </c>
      <c r="BB32" s="55">
        <f t="shared" si="122"/>
        <v>4.5248868778280604E-2</v>
      </c>
      <c r="BC32" s="55">
        <f t="shared" si="122"/>
        <v>-1.3483146067415741E-2</v>
      </c>
      <c r="BD32" s="686">
        <f t="shared" si="122"/>
        <v>-1.7603634298693938E-2</v>
      </c>
      <c r="BE32" s="55">
        <f t="shared" si="122"/>
        <v>2.4096385542169418E-3</v>
      </c>
      <c r="BF32" s="55">
        <f t="shared" si="122"/>
        <v>4.8309178743961345E-2</v>
      </c>
      <c r="BG32" s="55">
        <f t="shared" si="122"/>
        <v>-6.4935064935064402E-3</v>
      </c>
      <c r="BH32" s="55">
        <f t="shared" si="122"/>
        <v>1.5945330296127658E-2</v>
      </c>
      <c r="BI32" s="686">
        <f t="shared" si="122"/>
        <v>1.4450867052023142E-2</v>
      </c>
      <c r="BJ32" s="55">
        <f t="shared" ref="BJ32:BS33" si="123">BJ5/BE5-1</f>
        <v>9.1346153846153744E-2</v>
      </c>
      <c r="BK32" s="55">
        <f t="shared" si="123"/>
        <v>4.6082949308755783E-2</v>
      </c>
      <c r="BL32" s="55">
        <f t="shared" si="123"/>
        <v>-3.2679738562091498E-2</v>
      </c>
      <c r="BM32" s="55">
        <f t="shared" si="123"/>
        <v>2.2421524663676085E-3</v>
      </c>
      <c r="BN32" s="686">
        <f t="shared" si="123"/>
        <v>2.5071225071225056E-2</v>
      </c>
      <c r="BO32" s="55">
        <f t="shared" si="123"/>
        <v>-0.10792951541850215</v>
      </c>
      <c r="BP32" s="55">
        <f t="shared" si="123"/>
        <v>-9.9118942731277526E-2</v>
      </c>
      <c r="BQ32" s="55">
        <f t="shared" si="123"/>
        <v>-6.0810810810810856E-2</v>
      </c>
      <c r="BR32" s="55">
        <f t="shared" si="123"/>
        <v>-7.6062639821029121E-2</v>
      </c>
      <c r="BS32" s="686">
        <f t="shared" si="123"/>
        <v>-8.6158977209560894E-2</v>
      </c>
      <c r="BT32" s="55">
        <f t="shared" ref="BT32:CC33" si="124">BT5/BO5-1</f>
        <v>-4.9382716049382713E-2</v>
      </c>
      <c r="BU32" s="55">
        <f t="shared" si="124"/>
        <v>2.2004889975550057E-2</v>
      </c>
      <c r="BV32" s="55">
        <f t="shared" si="124"/>
        <v>-2.1582733812949617E-2</v>
      </c>
      <c r="BW32" s="55">
        <f t="shared" si="124"/>
        <v>2.6634382566586012E-2</v>
      </c>
      <c r="BX32" s="686">
        <f t="shared" si="124"/>
        <v>-5.4744525547445466E-3</v>
      </c>
      <c r="BY32" s="55">
        <f t="shared" si="124"/>
        <v>9.0909090909090828E-2</v>
      </c>
      <c r="BZ32" s="55">
        <f t="shared" si="124"/>
        <v>2.1531100478468845E-2</v>
      </c>
      <c r="CA32" s="55">
        <f t="shared" si="124"/>
        <v>3.6764705882353033E-2</v>
      </c>
      <c r="CB32" s="55">
        <f t="shared" si="124"/>
        <v>8.4905660377358583E-2</v>
      </c>
      <c r="CC32" s="686">
        <f t="shared" si="124"/>
        <v>5.8103975535168217E-2</v>
      </c>
      <c r="CD32" s="55">
        <f t="shared" ref="CD32:CM33" si="125">CD5/BY5-1</f>
        <v>9.0476190476190377E-2</v>
      </c>
      <c r="CE32" s="55">
        <f t="shared" si="125"/>
        <v>7.4941451990632402E-2</v>
      </c>
      <c r="CF32" s="55">
        <f t="shared" si="125"/>
        <v>4.4917257683215084E-2</v>
      </c>
      <c r="CG32" s="55">
        <f t="shared" si="125"/>
        <v>-2.1739130434782594E-2</v>
      </c>
      <c r="CH32" s="686">
        <f t="shared" si="125"/>
        <v>4.5664739884393013E-2</v>
      </c>
      <c r="CI32" s="55">
        <f t="shared" si="125"/>
        <v>3.9301310043668103E-2</v>
      </c>
      <c r="CJ32" s="55">
        <f t="shared" si="125"/>
        <v>2.3965141612200425E-2</v>
      </c>
      <c r="CK32" s="55">
        <f t="shared" si="125"/>
        <v>7.4660633484162853E-2</v>
      </c>
      <c r="CL32" s="55">
        <f t="shared" si="125"/>
        <v>4.6666666666666634E-2</v>
      </c>
      <c r="CM32" s="686">
        <f t="shared" si="125"/>
        <v>4.5881702598120411E-2</v>
      </c>
      <c r="CN32" s="55">
        <f t="shared" ref="CN32:CW33" si="126">CN5/CI5-1</f>
        <v>-2.9411764705882359E-2</v>
      </c>
      <c r="CO32" s="55">
        <f t="shared" si="126"/>
        <v>-8.5106382978723527E-3</v>
      </c>
      <c r="CP32" s="55">
        <f t="shared" si="126"/>
        <v>-2.1052631578947323E-2</v>
      </c>
      <c r="CQ32" s="55">
        <f t="shared" si="126"/>
        <v>-4.2462845010615702E-3</v>
      </c>
      <c r="CR32" s="686">
        <f t="shared" si="126"/>
        <v>-1.5856236786469302E-2</v>
      </c>
      <c r="CS32" s="55">
        <f t="shared" si="126"/>
        <v>2.1645021645022577E-3</v>
      </c>
      <c r="CT32" s="55">
        <f t="shared" si="126"/>
        <v>2.3605150214592197E-2</v>
      </c>
      <c r="CU32" s="55">
        <f t="shared" si="126"/>
        <v>6.4516129032257119E-3</v>
      </c>
      <c r="CV32" s="55">
        <f t="shared" si="126"/>
        <v>4.2643923240939241E-3</v>
      </c>
      <c r="CW32" s="686">
        <f t="shared" si="126"/>
        <v>9.129967776584369E-3</v>
      </c>
      <c r="CX32" s="55">
        <f t="shared" ref="CX32:DG33" si="127">CX5/CS5-1</f>
        <v>-6.9114470842332576E-2</v>
      </c>
      <c r="CY32" s="55">
        <f t="shared" si="127"/>
        <v>-0.21383647798742134</v>
      </c>
      <c r="CZ32" s="55">
        <f t="shared" si="127"/>
        <v>-0.18376068376068377</v>
      </c>
      <c r="DA32" s="55">
        <f t="shared" si="127"/>
        <v>-0.22505307855626322</v>
      </c>
      <c r="DB32" s="686">
        <f t="shared" si="127"/>
        <v>-0.17349654071314524</v>
      </c>
      <c r="DC32" s="55">
        <f t="shared" si="127"/>
        <v>-0.13457076566125292</v>
      </c>
      <c r="DD32" s="55">
        <f t="shared" si="127"/>
        <v>6.9333333333333247E-2</v>
      </c>
      <c r="DE32" s="55">
        <f t="shared" si="127"/>
        <v>2.6178010471204161E-2</v>
      </c>
      <c r="DF32" s="55">
        <f t="shared" si="127"/>
        <v>0.1150684931506849</v>
      </c>
      <c r="DG32" s="686">
        <f t="shared" si="127"/>
        <v>1.2878300064391501E-2</v>
      </c>
      <c r="DH32" s="55">
        <f t="shared" ref="DH32:DQ33" si="128">DH5/DC5-1</f>
        <v>3.2171581769437019E-2</v>
      </c>
      <c r="DI32" s="55">
        <f t="shared" si="128"/>
        <v>-3.2418952618453845E-2</v>
      </c>
      <c r="DJ32" s="55">
        <f t="shared" si="128"/>
        <v>-1.5306122448979553E-2</v>
      </c>
      <c r="DK32" s="55">
        <f t="shared" si="128"/>
        <v>-8.108108108108103E-2</v>
      </c>
      <c r="DL32" s="686">
        <f t="shared" si="128"/>
        <v>-2.5429116338207214E-2</v>
      </c>
      <c r="DM32" s="55">
        <f t="shared" si="128"/>
        <v>-0.14025974025974031</v>
      </c>
      <c r="DN32" s="55">
        <f t="shared" si="128"/>
        <v>-0.14690721649484539</v>
      </c>
      <c r="DO32" s="55">
        <f t="shared" si="128"/>
        <v>-0.16321243523316065</v>
      </c>
      <c r="DP32" s="55">
        <f t="shared" si="128"/>
        <v>-0.18449197860962563</v>
      </c>
      <c r="DQ32" s="686">
        <f t="shared" si="128"/>
        <v>-0.15851272015655582</v>
      </c>
      <c r="DR32" s="55">
        <f t="shared" ref="DR32:EA33" si="129">DR5/DM5-1</f>
        <v>-0.1100000000000001</v>
      </c>
      <c r="DS32" s="55">
        <f t="shared" si="129"/>
        <v>-6.3444108761329332E-2</v>
      </c>
      <c r="DT32" s="55">
        <f t="shared" si="129"/>
        <v>-7.4303405572755388E-2</v>
      </c>
      <c r="DU32" s="55">
        <f t="shared" si="129"/>
        <v>-5.2459016393442637E-2</v>
      </c>
      <c r="DV32" s="686">
        <f t="shared" si="129"/>
        <v>-7.5511627906976853E-2</v>
      </c>
      <c r="DW32" s="55">
        <f t="shared" si="129"/>
        <v>-5.3973318849925844E-3</v>
      </c>
      <c r="DX32" s="55">
        <f t="shared" si="129"/>
        <v>6.4516129032258007E-2</v>
      </c>
      <c r="DY32" s="55">
        <f t="shared" si="129"/>
        <v>6.6889632107023367E-2</v>
      </c>
      <c r="DZ32" s="55">
        <f t="shared" si="129"/>
        <v>0.10726643598615926</v>
      </c>
      <c r="EA32" s="686">
        <f t="shared" si="129"/>
        <v>5.8201058201058364E-2</v>
      </c>
      <c r="EB32" s="55">
        <f t="shared" ref="EB32:EI33" si="130">EB5/DW5-1</f>
        <v>-1.3651877133105783E-2</v>
      </c>
      <c r="EC32" s="55">
        <f t="shared" si="130"/>
        <v>-0.10606060606060608</v>
      </c>
      <c r="ED32" s="55">
        <f t="shared" si="130"/>
        <v>-0.18181818181818177</v>
      </c>
      <c r="EE32" s="55">
        <f t="shared" si="130"/>
        <v>-0.31874999999999998</v>
      </c>
      <c r="EF32" s="686">
        <f t="shared" si="130"/>
        <v>-0.15768621236133118</v>
      </c>
      <c r="EG32" s="1607">
        <f t="shared" si="130"/>
        <v>-0.30795847750865057</v>
      </c>
      <c r="EH32" s="1607">
        <f t="shared" si="130"/>
        <v>-0.33898305084745761</v>
      </c>
      <c r="EI32" s="55">
        <f t="shared" si="130"/>
        <v>-0.2068965517241379</v>
      </c>
      <c r="EJ32" s="55">
        <f t="shared" ref="EJ32:EJ33" si="131">EJ5/EE5-1</f>
        <v>8.256880733944949E-2</v>
      </c>
      <c r="EK32" s="686">
        <f t="shared" ref="EK32:EQ33" si="132">EK5/EF5-1</f>
        <v>-0.21166509877704609</v>
      </c>
      <c r="EL32" s="1607">
        <f t="shared" si="132"/>
        <v>2.4999999999999911E-2</v>
      </c>
      <c r="EM32" s="1607">
        <f t="shared" si="132"/>
        <v>6.6666666666666652E-2</v>
      </c>
      <c r="EN32" s="55">
        <f t="shared" si="132"/>
        <v>5.3140096618357502E-2</v>
      </c>
      <c r="EO32" s="55">
        <f t="shared" si="132"/>
        <v>-5.084745762711862E-2</v>
      </c>
      <c r="EP32" s="686">
        <f t="shared" si="132"/>
        <v>2.028639618138417E-2</v>
      </c>
      <c r="EQ32" s="1607">
        <f t="shared" si="132"/>
        <v>-1.9512195121951237E-2</v>
      </c>
      <c r="ER32" s="2038">
        <v>-0.08</v>
      </c>
      <c r="ES32" s="2038">
        <v>-0.08</v>
      </c>
      <c r="ET32" s="2038">
        <v>-2.5000000000000001E-2</v>
      </c>
      <c r="EU32" s="1695">
        <f>EU5/EP5-1</f>
        <v>-5.1087719298245515E-2</v>
      </c>
      <c r="EV32" s="1298"/>
      <c r="EW32" s="1298"/>
      <c r="EX32" s="1298"/>
      <c r="EY32" s="1298"/>
      <c r="EZ32" s="1012">
        <v>-0.06</v>
      </c>
      <c r="FA32" s="1298"/>
      <c r="FB32" s="1298"/>
      <c r="FC32" s="1298"/>
      <c r="FD32" s="1298"/>
      <c r="FE32" s="1012">
        <v>-0.06</v>
      </c>
      <c r="FG32" s="464"/>
      <c r="FH32" s="767"/>
      <c r="FI32" s="767"/>
      <c r="FJ32" s="767"/>
      <c r="FK32" s="185"/>
      <c r="FL32" s="1338"/>
      <c r="FM32" s="1524">
        <f t="shared" si="107"/>
        <v>-1.9512195121951237E-2</v>
      </c>
      <c r="FN32" s="1416">
        <f t="shared" si="108"/>
        <v>2.4999999999999911E-2</v>
      </c>
      <c r="FO32" s="1803">
        <v>-0.03</v>
      </c>
      <c r="FP32" s="1736"/>
      <c r="FQ32" s="1506">
        <f t="shared" si="118"/>
        <v>104.87804878048762</v>
      </c>
      <c r="FR32" s="2000"/>
      <c r="FS32" s="1619"/>
      <c r="FT32" s="432"/>
      <c r="FU32" s="432"/>
      <c r="FV32" s="432"/>
      <c r="FW32" s="432"/>
      <c r="FX32" s="432"/>
      <c r="FY32" s="432"/>
      <c r="FZ32" s="464"/>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c r="IW32"/>
      <c r="IX32"/>
    </row>
    <row r="33" spans="1:258" s="55" customFormat="1" x14ac:dyDescent="0.2">
      <c r="A33" s="685" t="str">
        <f>A6&amp;" YoY % Chg."</f>
        <v>Total Intermodal Units YoY % Chg.</v>
      </c>
      <c r="F33" s="686"/>
      <c r="K33" s="686"/>
      <c r="P33" s="686"/>
      <c r="U33" s="686"/>
      <c r="V33" s="55">
        <f t="shared" si="119"/>
        <v>2.9468044393417436E-2</v>
      </c>
      <c r="W33" s="55">
        <f t="shared" si="119"/>
        <v>4.0242976461655422E-2</v>
      </c>
      <c r="X33" s="55">
        <f t="shared" si="119"/>
        <v>6.25E-2</v>
      </c>
      <c r="Y33" s="55">
        <f t="shared" si="119"/>
        <v>7.6655052264808399E-2</v>
      </c>
      <c r="Z33" s="686">
        <f t="shared" si="119"/>
        <v>5.2874411737565685E-2</v>
      </c>
      <c r="AA33" s="55">
        <f t="shared" si="119"/>
        <v>0.12267657992565062</v>
      </c>
      <c r="AB33" s="55">
        <f t="shared" si="119"/>
        <v>0.17153284671532854</v>
      </c>
      <c r="AC33" s="55">
        <f t="shared" si="119"/>
        <v>0.10726643598615926</v>
      </c>
      <c r="AD33" s="55">
        <f t="shared" si="119"/>
        <v>0.10032362459546929</v>
      </c>
      <c r="AE33" s="686">
        <f t="shared" si="119"/>
        <v>0.12445223488168278</v>
      </c>
      <c r="AF33" s="55">
        <f t="shared" si="120"/>
        <v>-0.18211920529801329</v>
      </c>
      <c r="AG33" s="55">
        <f t="shared" si="120"/>
        <v>-0.24610591900311529</v>
      </c>
      <c r="AH33" s="55">
        <f t="shared" si="120"/>
        <v>-0.24687499999999996</v>
      </c>
      <c r="AI33" s="55">
        <f t="shared" si="120"/>
        <v>-0.26470588235294112</v>
      </c>
      <c r="AJ33" s="686">
        <f t="shared" si="120"/>
        <v>-0.23616523772408415</v>
      </c>
      <c r="AK33" s="55">
        <f t="shared" si="120"/>
        <v>-8.9068825910931126E-2</v>
      </c>
      <c r="AL33" s="55">
        <f t="shared" si="120"/>
        <v>1.2396694214876103E-2</v>
      </c>
      <c r="AM33" s="55">
        <f t="shared" si="120"/>
        <v>2.0746887966804906E-2</v>
      </c>
      <c r="AN33" s="55">
        <f t="shared" si="120"/>
        <v>1.2000000000000011E-2</v>
      </c>
      <c r="AO33" s="686">
        <f t="shared" si="120"/>
        <v>-1.1224489795918391E-2</v>
      </c>
      <c r="AP33" s="55">
        <f t="shared" si="121"/>
        <v>0.10222222222222221</v>
      </c>
      <c r="AQ33" s="55">
        <f t="shared" si="121"/>
        <v>5.7142857142857162E-2</v>
      </c>
      <c r="AR33" s="55">
        <f t="shared" si="121"/>
        <v>5.2845528455284452E-2</v>
      </c>
      <c r="AS33" s="55">
        <f t="shared" si="121"/>
        <v>4.3478260869565188E-2</v>
      </c>
      <c r="AT33" s="686">
        <f t="shared" si="121"/>
        <v>6.2951496388028882E-2</v>
      </c>
      <c r="AU33" s="55">
        <f t="shared" si="121"/>
        <v>1.6129032258064502E-2</v>
      </c>
      <c r="AV33" s="55">
        <f t="shared" si="121"/>
        <v>-1.158301158301156E-2</v>
      </c>
      <c r="AW33" s="55">
        <f t="shared" si="121"/>
        <v>0</v>
      </c>
      <c r="AX33" s="55">
        <f t="shared" si="121"/>
        <v>3.7878787878787845E-2</v>
      </c>
      <c r="AY33" s="686">
        <f t="shared" si="121"/>
        <v>1.0679611650485477E-2</v>
      </c>
      <c r="AZ33" s="55">
        <f t="shared" si="122"/>
        <v>9.5238095238095344E-2</v>
      </c>
      <c r="BA33" s="55">
        <f t="shared" si="122"/>
        <v>0.3515625</v>
      </c>
      <c r="BB33" s="55">
        <f t="shared" si="122"/>
        <v>0.94594594594594605</v>
      </c>
      <c r="BC33" s="55">
        <f t="shared" si="122"/>
        <v>0.8941605839416058</v>
      </c>
      <c r="BD33" s="686">
        <f t="shared" si="122"/>
        <v>0.58021133525456281</v>
      </c>
      <c r="BE33" s="55">
        <f t="shared" si="122"/>
        <v>0.91304347826086962</v>
      </c>
      <c r="BF33" s="55">
        <f t="shared" si="122"/>
        <v>0.5</v>
      </c>
      <c r="BG33" s="55">
        <f t="shared" si="122"/>
        <v>7.9365079365079083E-3</v>
      </c>
      <c r="BH33" s="55">
        <f t="shared" si="122"/>
        <v>-4.2389210019267876E-2</v>
      </c>
      <c r="BI33" s="686">
        <f t="shared" si="122"/>
        <v>0.24741641337386011</v>
      </c>
      <c r="BJ33" s="55">
        <f t="shared" si="123"/>
        <v>-8.9015151515151492E-2</v>
      </c>
      <c r="BK33" s="55">
        <f t="shared" si="123"/>
        <v>-4.2389210019267876E-2</v>
      </c>
      <c r="BL33" s="55">
        <f t="shared" si="123"/>
        <v>1.7716535433070835E-2</v>
      </c>
      <c r="BM33" s="55">
        <f t="shared" si="123"/>
        <v>2.4144869215291687E-2</v>
      </c>
      <c r="BN33" s="686">
        <f t="shared" si="123"/>
        <v>-2.3391812865497075E-2</v>
      </c>
      <c r="BO33" s="55">
        <f t="shared" si="123"/>
        <v>0</v>
      </c>
      <c r="BP33" s="55">
        <f t="shared" si="123"/>
        <v>8.0482897384305918E-2</v>
      </c>
      <c r="BQ33" s="55">
        <f t="shared" si="123"/>
        <v>9.4777562862669251E-2</v>
      </c>
      <c r="BR33" s="55">
        <f t="shared" si="123"/>
        <v>5.1080550098231869E-2</v>
      </c>
      <c r="BS33" s="686">
        <f t="shared" si="123"/>
        <v>5.738522954091807E-2</v>
      </c>
      <c r="BT33" s="55">
        <f t="shared" si="124"/>
        <v>9.3555093555093505E-2</v>
      </c>
      <c r="BU33" s="55">
        <f t="shared" si="124"/>
        <v>5.2141527001862142E-2</v>
      </c>
      <c r="BV33" s="55">
        <f t="shared" si="124"/>
        <v>-3.5335689045936647E-3</v>
      </c>
      <c r="BW33" s="55">
        <f t="shared" si="124"/>
        <v>7.4766355140186924E-2</v>
      </c>
      <c r="BX33" s="686">
        <f t="shared" si="124"/>
        <v>5.2383199622463517E-2</v>
      </c>
      <c r="BY33" s="55">
        <f t="shared" si="124"/>
        <v>4.3726235741444963E-2</v>
      </c>
      <c r="BZ33" s="55">
        <f t="shared" si="124"/>
        <v>4.2477876106194801E-2</v>
      </c>
      <c r="CA33" s="55">
        <f t="shared" si="124"/>
        <v>-8.8652482269503396E-3</v>
      </c>
      <c r="CB33" s="55">
        <f t="shared" si="124"/>
        <v>5.913043478260871E-2</v>
      </c>
      <c r="CC33" s="686">
        <f t="shared" si="124"/>
        <v>3.4080717488789158E-2</v>
      </c>
      <c r="CD33" s="55">
        <f t="shared" si="125"/>
        <v>-3.8251366120218622E-2</v>
      </c>
      <c r="CE33" s="55">
        <f t="shared" si="125"/>
        <v>-7.8098471986417617E-2</v>
      </c>
      <c r="CF33" s="55">
        <f t="shared" si="125"/>
        <v>-2.6833631484794229E-2</v>
      </c>
      <c r="CG33" s="55">
        <f t="shared" si="125"/>
        <v>-9.6880131362889976E-2</v>
      </c>
      <c r="CH33" s="686">
        <f t="shared" si="125"/>
        <v>-6.1144839549002628E-2</v>
      </c>
      <c r="CI33" s="55">
        <f t="shared" si="125"/>
        <v>-2.2727272727272707E-2</v>
      </c>
      <c r="CJ33" s="55">
        <f t="shared" si="125"/>
        <v>7.3664825046040328E-3</v>
      </c>
      <c r="CK33" s="55">
        <f t="shared" si="125"/>
        <v>3.6764705882353033E-2</v>
      </c>
      <c r="CL33" s="55">
        <f t="shared" si="125"/>
        <v>3.6363636363636598E-3</v>
      </c>
      <c r="CM33" s="686">
        <f t="shared" si="125"/>
        <v>6.4665127020784308E-3</v>
      </c>
      <c r="CN33" s="55">
        <f t="shared" si="126"/>
        <v>-1.3565891472868241E-2</v>
      </c>
      <c r="CO33" s="55">
        <f t="shared" si="126"/>
        <v>-1.4625228519195566E-2</v>
      </c>
      <c r="CP33" s="55">
        <f t="shared" si="126"/>
        <v>-6.0283687943262443E-2</v>
      </c>
      <c r="CQ33" s="55">
        <f t="shared" si="126"/>
        <v>-3.4420289855072506E-2</v>
      </c>
      <c r="CR33" s="686">
        <f t="shared" si="126"/>
        <v>-3.1206975676915993E-2</v>
      </c>
      <c r="CS33" s="55">
        <f t="shared" si="126"/>
        <v>-1.9646365422396617E-3</v>
      </c>
      <c r="CT33" s="55">
        <f t="shared" si="126"/>
        <v>-1.6697588126159513E-2</v>
      </c>
      <c r="CU33" s="55">
        <f t="shared" si="126"/>
        <v>3.7735849056603765E-3</v>
      </c>
      <c r="CV33" s="55">
        <f t="shared" si="126"/>
        <v>-6.3789868667917471E-2</v>
      </c>
      <c r="CW33" s="686">
        <f t="shared" si="126"/>
        <v>-1.9895783988631011E-2</v>
      </c>
      <c r="CX33" s="55">
        <f t="shared" si="127"/>
        <v>-0.13385826771653542</v>
      </c>
      <c r="CY33" s="55">
        <f t="shared" si="127"/>
        <v>-0.13773584905660374</v>
      </c>
      <c r="CZ33" s="55">
        <f t="shared" si="127"/>
        <v>-9.5864661654135319E-2</v>
      </c>
      <c r="DA33" s="55">
        <f t="shared" si="127"/>
        <v>5.0100200400801542E-2</v>
      </c>
      <c r="DB33" s="686">
        <f t="shared" si="127"/>
        <v>-8.0715321411309771E-2</v>
      </c>
      <c r="DC33" s="55">
        <f t="shared" si="127"/>
        <v>0.13636363636363646</v>
      </c>
      <c r="DD33" s="55">
        <f t="shared" si="127"/>
        <v>0.17724288840262581</v>
      </c>
      <c r="DE33" s="55">
        <f t="shared" si="127"/>
        <v>0.1933471933471933</v>
      </c>
      <c r="DF33" s="55">
        <f t="shared" si="127"/>
        <v>0.16603053435114501</v>
      </c>
      <c r="DG33" s="686">
        <f t="shared" si="127"/>
        <v>0.16876971608832814</v>
      </c>
      <c r="DH33" s="55">
        <f t="shared" si="128"/>
        <v>0.10600000000000009</v>
      </c>
      <c r="DI33" s="55">
        <f t="shared" si="128"/>
        <v>7.9925650557620909E-2</v>
      </c>
      <c r="DJ33" s="55">
        <f t="shared" si="128"/>
        <v>3.4843205574912606E-3</v>
      </c>
      <c r="DK33" s="55">
        <f t="shared" si="128"/>
        <v>-5.2373158756137461E-2</v>
      </c>
      <c r="DL33" s="686">
        <f t="shared" si="128"/>
        <v>2.9689608636977116E-2</v>
      </c>
      <c r="DM33" s="55">
        <f t="shared" si="128"/>
        <v>8.4990958408679873E-2</v>
      </c>
      <c r="DN33" s="55">
        <f t="shared" si="128"/>
        <v>8.2616179001721246E-2</v>
      </c>
      <c r="DO33" s="55">
        <f t="shared" si="128"/>
        <v>7.986111111111116E-2</v>
      </c>
      <c r="DP33" s="55">
        <f t="shared" si="128"/>
        <v>3.6269430051813378E-2</v>
      </c>
      <c r="DQ33" s="686">
        <f t="shared" si="128"/>
        <v>7.0773263433813849E-2</v>
      </c>
      <c r="DR33" s="55">
        <f t="shared" si="129"/>
        <v>2.4999999999999911E-2</v>
      </c>
      <c r="DS33" s="55">
        <f t="shared" si="129"/>
        <v>2.3847376788553198E-2</v>
      </c>
      <c r="DT33" s="55">
        <f t="shared" si="129"/>
        <v>5.6270096463022501E-2</v>
      </c>
      <c r="DU33" s="55">
        <f t="shared" si="129"/>
        <v>0.1100000000000001</v>
      </c>
      <c r="DV33" s="686">
        <f t="shared" si="129"/>
        <v>5.3447572419420553E-2</v>
      </c>
      <c r="DW33" s="55">
        <f t="shared" si="129"/>
        <v>5.2032520325203224E-2</v>
      </c>
      <c r="DX33" s="55">
        <f t="shared" si="129"/>
        <v>7.2981366459627273E-2</v>
      </c>
      <c r="DY33" s="55">
        <f t="shared" si="129"/>
        <v>5.1750380517503913E-2</v>
      </c>
      <c r="DZ33" s="55">
        <f t="shared" si="129"/>
        <v>5.0000000000000044E-2</v>
      </c>
      <c r="EA33" s="686">
        <f t="shared" si="129"/>
        <v>5.6661502711076839E-2</v>
      </c>
      <c r="EB33" s="55">
        <f t="shared" si="130"/>
        <v>1.2364760432766575E-2</v>
      </c>
      <c r="EC33" s="55">
        <f t="shared" si="130"/>
        <v>4.6309696092619479E-2</v>
      </c>
      <c r="ED33" s="55">
        <f t="shared" si="130"/>
        <v>5.7887120115774238E-2</v>
      </c>
      <c r="EE33" s="55">
        <f t="shared" si="130"/>
        <v>4.2471042471042386E-2</v>
      </c>
      <c r="EF33" s="686">
        <f t="shared" si="130"/>
        <v>4.020818824909278E-2</v>
      </c>
      <c r="EG33" s="1607">
        <f t="shared" si="130"/>
        <v>3.5114503816793929E-2</v>
      </c>
      <c r="EH33" s="1607">
        <f t="shared" si="130"/>
        <v>-4.0110650069156262E-2</v>
      </c>
      <c r="EI33" s="55">
        <f t="shared" si="130"/>
        <v>-6.8399452804377536E-2</v>
      </c>
      <c r="EJ33" s="55">
        <f t="shared" si="131"/>
        <v>3.9780521262002821E-2</v>
      </c>
      <c r="EK33" s="686">
        <f t="shared" si="132"/>
        <v>-9.5137420718816035E-3</v>
      </c>
      <c r="EL33" s="1607">
        <f t="shared" si="132"/>
        <v>1.4749262536873253E-2</v>
      </c>
      <c r="EM33" s="1607">
        <f t="shared" si="132"/>
        <v>3.4582132564841439E-2</v>
      </c>
      <c r="EN33" s="55">
        <f t="shared" si="132"/>
        <v>5.4331864904552107E-2</v>
      </c>
      <c r="EO33" s="55">
        <f t="shared" si="132"/>
        <v>-5.1451187335092352E-2</v>
      </c>
      <c r="EP33" s="686">
        <f t="shared" si="132"/>
        <v>1.1383849163998594E-2</v>
      </c>
      <c r="EQ33" s="1607">
        <f t="shared" si="132"/>
        <v>1.4534883720929148E-3</v>
      </c>
      <c r="ER33" s="2038">
        <v>1.4999999999999999E-2</v>
      </c>
      <c r="ES33" s="2038">
        <v>3.5000000000000003E-2</v>
      </c>
      <c r="ET33" s="2038">
        <v>0.05</v>
      </c>
      <c r="EU33" s="1676">
        <f>EU6/EP6-1</f>
        <v>2.5624340485402852E-2</v>
      </c>
      <c r="EV33" s="1298"/>
      <c r="EW33" s="1298"/>
      <c r="EX33" s="1298"/>
      <c r="EY33" s="1298"/>
      <c r="EZ33" s="1012">
        <v>0.04</v>
      </c>
      <c r="FA33" s="1298"/>
      <c r="FB33" s="1298"/>
      <c r="FC33" s="1298"/>
      <c r="FD33" s="1298"/>
      <c r="FE33" s="1012">
        <v>0.04</v>
      </c>
      <c r="FG33" s="468"/>
      <c r="FH33" s="767"/>
      <c r="FI33" s="767"/>
      <c r="FJ33" s="767"/>
      <c r="FK33" s="185"/>
      <c r="FL33" s="1338"/>
      <c r="FM33" s="1524">
        <f t="shared" si="107"/>
        <v>1.4534883720929148E-3</v>
      </c>
      <c r="FN33" s="1416">
        <f t="shared" si="108"/>
        <v>1.4749262536873253E-2</v>
      </c>
      <c r="FO33" s="1803">
        <v>5.0000000000000001E-3</v>
      </c>
      <c r="FP33" s="1736"/>
      <c r="FQ33" s="1506">
        <f t="shared" si="118"/>
        <v>-35.465116279070855</v>
      </c>
      <c r="FR33" s="2001"/>
      <c r="FS33" s="1619"/>
      <c r="FT33" s="432"/>
      <c r="FU33" s="432"/>
      <c r="FV33" s="432"/>
      <c r="FW33" s="432"/>
      <c r="FX33" s="432"/>
      <c r="FY33" s="432"/>
      <c r="FZ33" s="468"/>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c r="IU33"/>
      <c r="IV33"/>
      <c r="IW33"/>
      <c r="IX33"/>
    </row>
    <row r="34" spans="1:258" s="55" customFormat="1" x14ac:dyDescent="0.2">
      <c r="A34" s="685" t="str">
        <f>A10&amp;" YoY % Chg."</f>
        <v>Fertilizer YoY % Chg.</v>
      </c>
      <c r="F34" s="686"/>
      <c r="K34" s="686"/>
      <c r="P34" s="686"/>
      <c r="U34" s="686"/>
      <c r="Z34" s="686"/>
      <c r="AE34" s="686"/>
      <c r="AJ34" s="686"/>
      <c r="AO34" s="686"/>
      <c r="AT34" s="686"/>
      <c r="AY34" s="686"/>
      <c r="AZ34" s="55">
        <f t="shared" ref="AZ34:BI36" si="133">AZ10/AU10-1</f>
        <v>9.6296296296296324E-2</v>
      </c>
      <c r="BA34" s="55">
        <f t="shared" si="133"/>
        <v>-7.2463768115942018E-2</v>
      </c>
      <c r="BB34" s="55">
        <f t="shared" si="133"/>
        <v>-3.0534351145038219E-2</v>
      </c>
      <c r="BC34" s="55">
        <f t="shared" si="133"/>
        <v>-8.1481481481481488E-2</v>
      </c>
      <c r="BD34" s="686">
        <f t="shared" si="133"/>
        <v>-2.2263450834879461E-2</v>
      </c>
      <c r="BE34" s="55">
        <f t="shared" si="133"/>
        <v>-0.11486486486486491</v>
      </c>
      <c r="BF34" s="55">
        <f t="shared" si="133"/>
        <v>-3.90625E-2</v>
      </c>
      <c r="BG34" s="55">
        <f t="shared" si="133"/>
        <v>-9.4488188976378007E-2</v>
      </c>
      <c r="BH34" s="55">
        <f t="shared" si="133"/>
        <v>-4.8387096774193505E-2</v>
      </c>
      <c r="BI34" s="686">
        <f t="shared" si="133"/>
        <v>-7.5901328273244806E-2</v>
      </c>
      <c r="BJ34" s="55">
        <f t="shared" ref="BJ34:BS36" si="134">BJ10/BE10-1</f>
        <v>-9.1603053435114545E-2</v>
      </c>
      <c r="BK34" s="55">
        <f t="shared" si="134"/>
        <v>-0.14634146341463417</v>
      </c>
      <c r="BL34" s="55">
        <f t="shared" si="134"/>
        <v>-0.12173913043478257</v>
      </c>
      <c r="BM34" s="55">
        <f t="shared" si="134"/>
        <v>-1.6949152542372836E-2</v>
      </c>
      <c r="BN34" s="686">
        <f t="shared" si="134"/>
        <v>-9.4455852156057452E-2</v>
      </c>
      <c r="BO34" s="55">
        <f t="shared" si="134"/>
        <v>0</v>
      </c>
      <c r="BP34" s="55">
        <f t="shared" si="134"/>
        <v>0.1333333333333333</v>
      </c>
      <c r="BQ34" s="55">
        <f t="shared" si="134"/>
        <v>0.11881188118811892</v>
      </c>
      <c r="BR34" s="55">
        <f t="shared" si="134"/>
        <v>-3.4482758620689613E-2</v>
      </c>
      <c r="BS34" s="686">
        <f t="shared" si="134"/>
        <v>4.9886621315192725E-2</v>
      </c>
      <c r="BT34" s="55">
        <f t="shared" ref="BT34:CC36" si="135">BT10/BO10-1</f>
        <v>-1.6806722689075682E-2</v>
      </c>
      <c r="BU34" s="55">
        <f t="shared" si="135"/>
        <v>-5.0420168067226934E-2</v>
      </c>
      <c r="BV34" s="55">
        <f t="shared" si="135"/>
        <v>8.8495575221239076E-3</v>
      </c>
      <c r="BW34" s="55">
        <f t="shared" si="135"/>
        <v>3.5714285714285809E-2</v>
      </c>
      <c r="BX34" s="686">
        <f t="shared" si="135"/>
        <v>-6.4794816414687206E-3</v>
      </c>
      <c r="BY34" s="55">
        <f t="shared" si="135"/>
        <v>2.564102564102555E-2</v>
      </c>
      <c r="BZ34" s="55">
        <f t="shared" si="135"/>
        <v>7.079646017699126E-2</v>
      </c>
      <c r="CA34" s="55">
        <f t="shared" si="135"/>
        <v>-6.1403508771929793E-2</v>
      </c>
      <c r="CB34" s="55">
        <f t="shared" si="135"/>
        <v>6.0344827586206851E-2</v>
      </c>
      <c r="CC34" s="686">
        <f t="shared" si="135"/>
        <v>2.3913043478260843E-2</v>
      </c>
      <c r="CD34" s="55">
        <f t="shared" ref="CD34:CM36" si="136">CD10/BY10-1</f>
        <v>-2.5000000000000022E-2</v>
      </c>
      <c r="CE34" s="55">
        <f t="shared" si="136"/>
        <v>-3.3057851239669422E-2</v>
      </c>
      <c r="CF34" s="55">
        <f t="shared" si="136"/>
        <v>3.7383177570093462E-2</v>
      </c>
      <c r="CG34" s="55">
        <f t="shared" si="136"/>
        <v>-0.19512195121951215</v>
      </c>
      <c r="CH34" s="686">
        <f t="shared" si="136"/>
        <v>-5.7324840764331197E-2</v>
      </c>
      <c r="CI34" s="55">
        <f t="shared" si="136"/>
        <v>-0.24786324786324787</v>
      </c>
      <c r="CJ34" s="55">
        <f t="shared" si="136"/>
        <v>-0.19658119658119655</v>
      </c>
      <c r="CK34" s="55">
        <f t="shared" si="136"/>
        <v>-0.16216216216216217</v>
      </c>
      <c r="CL34" s="55">
        <f t="shared" si="136"/>
        <v>-0.12121212121212122</v>
      </c>
      <c r="CM34" s="686">
        <f t="shared" si="136"/>
        <v>-0.18468468468468469</v>
      </c>
      <c r="CN34" s="55">
        <f t="shared" ref="CN34:CW36" si="137">CN10/CI10-1</f>
        <v>4.5454545454545414E-2</v>
      </c>
      <c r="CO34" s="55">
        <f t="shared" si="137"/>
        <v>-5.3191489361702149E-2</v>
      </c>
      <c r="CP34" s="55">
        <f t="shared" si="137"/>
        <v>-3.2258064516129004E-2</v>
      </c>
      <c r="CQ34" s="55">
        <f t="shared" si="137"/>
        <v>5.7471264367816133E-2</v>
      </c>
      <c r="CR34" s="686">
        <f t="shared" si="137"/>
        <v>2.7624309392264568E-3</v>
      </c>
      <c r="CS34" s="55">
        <f t="shared" si="137"/>
        <v>-1.0869565217391353E-2</v>
      </c>
      <c r="CT34" s="55">
        <f t="shared" si="137"/>
        <v>1.1235955056179803E-2</v>
      </c>
      <c r="CU34" s="55">
        <f t="shared" si="137"/>
        <v>-3.3333333333333326E-2</v>
      </c>
      <c r="CV34" s="55">
        <f t="shared" si="137"/>
        <v>-0.28260869565217395</v>
      </c>
      <c r="CW34" s="686">
        <f t="shared" si="137"/>
        <v>-7.9889807162534465E-2</v>
      </c>
      <c r="CX34" s="55">
        <f t="shared" ref="CX34:DG36" si="138">CX10/CS10-1</f>
        <v>-0.34065934065934067</v>
      </c>
      <c r="CY34" s="55">
        <f t="shared" si="138"/>
        <v>-0.17777777777777781</v>
      </c>
      <c r="CZ34" s="55">
        <f t="shared" si="138"/>
        <v>-0.11494252873563215</v>
      </c>
      <c r="DA34" s="55">
        <f t="shared" si="138"/>
        <v>0.18181818181818188</v>
      </c>
      <c r="DB34" s="686">
        <f t="shared" si="138"/>
        <v>-0.1347305389221557</v>
      </c>
      <c r="DC34" s="55">
        <f t="shared" si="138"/>
        <v>0.31666666666666665</v>
      </c>
      <c r="DD34" s="55">
        <f t="shared" si="138"/>
        <v>8.1081081081081141E-2</v>
      </c>
      <c r="DE34" s="55">
        <f t="shared" si="138"/>
        <v>1.298701298701288E-2</v>
      </c>
      <c r="DF34" s="55">
        <f t="shared" si="138"/>
        <v>-2.5641025641025661E-2</v>
      </c>
      <c r="DG34" s="686">
        <f t="shared" si="138"/>
        <v>8.3044982698961878E-2</v>
      </c>
      <c r="DH34" s="55">
        <f t="shared" ref="DH34:DQ36" si="139">DH10/DC10-1</f>
        <v>5.0632911392405111E-2</v>
      </c>
      <c r="DI34" s="55">
        <f t="shared" si="139"/>
        <v>0</v>
      </c>
      <c r="DJ34" s="55">
        <f t="shared" si="139"/>
        <v>2.564102564102555E-2</v>
      </c>
      <c r="DK34" s="55">
        <f t="shared" si="139"/>
        <v>2.6315789473684292E-2</v>
      </c>
      <c r="DL34" s="686">
        <f t="shared" si="139"/>
        <v>2.5559105431310014E-2</v>
      </c>
      <c r="DM34" s="55">
        <f t="shared" si="139"/>
        <v>-3.6144578313253017E-2</v>
      </c>
      <c r="DN34" s="55">
        <f t="shared" si="139"/>
        <v>-1.2499999999999956E-2</v>
      </c>
      <c r="DO34" s="55">
        <f t="shared" si="139"/>
        <v>0</v>
      </c>
      <c r="DP34" s="55">
        <f t="shared" si="139"/>
        <v>5.1282051282051322E-2</v>
      </c>
      <c r="DQ34" s="686">
        <f t="shared" si="139"/>
        <v>0</v>
      </c>
      <c r="DR34" s="55">
        <f t="shared" ref="DR34:EA36" si="140">DR10/DM10-1</f>
        <v>5.0000000000000044E-2</v>
      </c>
      <c r="DS34" s="55">
        <f t="shared" si="140"/>
        <v>8.8607594936708889E-2</v>
      </c>
      <c r="DT34" s="55">
        <f t="shared" si="140"/>
        <v>0</v>
      </c>
      <c r="DU34" s="55">
        <f t="shared" si="140"/>
        <v>-6.0975609756097615E-2</v>
      </c>
      <c r="DV34" s="686">
        <f t="shared" si="140"/>
        <v>1.8691588785046731E-2</v>
      </c>
      <c r="DW34" s="55">
        <f t="shared" si="140"/>
        <v>-1.1904761904761862E-2</v>
      </c>
      <c r="DX34" s="55">
        <f t="shared" si="140"/>
        <v>0</v>
      </c>
      <c r="DY34" s="55">
        <f t="shared" si="140"/>
        <v>2.4999999999999911E-2</v>
      </c>
      <c r="DZ34" s="55">
        <f t="shared" si="140"/>
        <v>2.5974025974025983E-2</v>
      </c>
      <c r="EA34" s="686">
        <f t="shared" si="140"/>
        <v>9.1743119266054496E-3</v>
      </c>
      <c r="EB34" s="55">
        <f t="shared" ref="EB34:EI36" si="141">EB10/DW10-1</f>
        <v>-6.0240963855421659E-2</v>
      </c>
      <c r="EC34" s="55">
        <f t="shared" si="141"/>
        <v>-9.3023255813953543E-2</v>
      </c>
      <c r="ED34" s="55">
        <f t="shared" si="141"/>
        <v>-0.13414634146341464</v>
      </c>
      <c r="EE34" s="55">
        <f t="shared" si="141"/>
        <v>-6.3291139240506333E-2</v>
      </c>
      <c r="EF34" s="686">
        <f t="shared" si="141"/>
        <v>-8.787878787878789E-2</v>
      </c>
      <c r="EG34" s="1607">
        <f t="shared" si="141"/>
        <v>-2.5641025641025661E-2</v>
      </c>
      <c r="EH34" s="1607">
        <f t="shared" si="141"/>
        <v>-7.6923076923076872E-2</v>
      </c>
      <c r="EI34" s="55">
        <f t="shared" si="141"/>
        <v>1.4084507042253502E-2</v>
      </c>
      <c r="EJ34" s="55">
        <f t="shared" ref="EJ34:EJ36" si="142">EJ10/EE10-1</f>
        <v>8.1081081081081141E-2</v>
      </c>
      <c r="EK34" s="686">
        <f t="shared" ref="EK34:EQ36" si="143">EK10/EF10-1</f>
        <v>-3.3222591362126463E-3</v>
      </c>
      <c r="EL34" s="1607">
        <f t="shared" si="143"/>
        <v>1.3157894736842035E-2</v>
      </c>
      <c r="EM34" s="1607">
        <f t="shared" si="143"/>
        <v>8.3333333333333259E-2</v>
      </c>
      <c r="EN34" s="55">
        <f t="shared" si="143"/>
        <v>-5.555555555555558E-2</v>
      </c>
      <c r="EO34" s="55">
        <f t="shared" si="143"/>
        <v>-0.15000000000000002</v>
      </c>
      <c r="EP34" s="686">
        <f t="shared" si="143"/>
        <v>-3.0000000000000027E-2</v>
      </c>
      <c r="EQ34" s="1607">
        <f t="shared" si="143"/>
        <v>-0.16883116883116878</v>
      </c>
      <c r="ER34" s="1164">
        <v>-0.21</v>
      </c>
      <c r="ES34" s="1164">
        <v>0.02</v>
      </c>
      <c r="ET34" s="1164">
        <v>0.02</v>
      </c>
      <c r="EU34" s="1676">
        <f>EU10/EP10-1</f>
        <v>-9.161512027491403E-2</v>
      </c>
      <c r="EV34" s="1298"/>
      <c r="EW34" s="1298"/>
      <c r="EX34" s="1298"/>
      <c r="EY34" s="1298"/>
      <c r="EZ34" s="1012">
        <v>0.01</v>
      </c>
      <c r="FA34" s="1298"/>
      <c r="FB34" s="1298"/>
      <c r="FC34" s="1298"/>
      <c r="FD34" s="1298"/>
      <c r="FE34" s="1012">
        <v>0.01</v>
      </c>
      <c r="FG34" s="468"/>
      <c r="FH34" s="767"/>
      <c r="FI34" s="767"/>
      <c r="FJ34" s="767"/>
      <c r="FK34" s="185"/>
      <c r="FL34" s="1338"/>
      <c r="FM34" s="1524">
        <f t="shared" si="107"/>
        <v>-0.16883116883116878</v>
      </c>
      <c r="FN34" s="1416">
        <f t="shared" si="108"/>
        <v>1.3157894736842035E-2</v>
      </c>
      <c r="FO34" s="1803">
        <v>-0.16</v>
      </c>
      <c r="FP34" s="1736"/>
      <c r="FQ34" s="1506">
        <f t="shared" si="118"/>
        <v>-88.311688311687732</v>
      </c>
      <c r="FR34" s="1999"/>
      <c r="FS34" s="1619"/>
      <c r="FT34" s="432"/>
      <c r="FU34" s="432"/>
      <c r="FV34" s="432"/>
      <c r="FW34" s="432"/>
      <c r="FX34" s="432"/>
      <c r="FY34" s="432"/>
      <c r="FZ34" s="468"/>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c r="IU34"/>
      <c r="IV34"/>
      <c r="IW34"/>
      <c r="IX34"/>
    </row>
    <row r="35" spans="1:258" s="55" customFormat="1" x14ac:dyDescent="0.2">
      <c r="A35" s="685" t="str">
        <f>A11&amp;" YoY % Chg."</f>
        <v>Forest Products  YoY % Chg.</v>
      </c>
      <c r="F35" s="686"/>
      <c r="K35" s="686"/>
      <c r="P35" s="686"/>
      <c r="U35" s="686"/>
      <c r="Z35" s="686"/>
      <c r="AE35" s="686"/>
      <c r="AJ35" s="686"/>
      <c r="AO35" s="686"/>
      <c r="AT35" s="686"/>
      <c r="AY35" s="686"/>
      <c r="AZ35" s="55">
        <f t="shared" si="133"/>
        <v>2.5423728813559254E-2</v>
      </c>
      <c r="BA35" s="55">
        <f t="shared" si="133"/>
        <v>4.31034482758621E-2</v>
      </c>
      <c r="BB35" s="55">
        <f t="shared" si="133"/>
        <v>0.14782608695652177</v>
      </c>
      <c r="BC35" s="55">
        <f t="shared" si="133"/>
        <v>0.21296296296296302</v>
      </c>
      <c r="BD35" s="686">
        <f t="shared" si="133"/>
        <v>0.10503282275711157</v>
      </c>
      <c r="BE35" s="55">
        <f t="shared" si="133"/>
        <v>0.26446280991735538</v>
      </c>
      <c r="BF35" s="55">
        <f t="shared" si="133"/>
        <v>0.24793388429752072</v>
      </c>
      <c r="BG35" s="55">
        <f t="shared" si="133"/>
        <v>7.575757575757569E-2</v>
      </c>
      <c r="BH35" s="55">
        <f t="shared" si="133"/>
        <v>4.5801526717557328E-2</v>
      </c>
      <c r="BI35" s="686">
        <f t="shared" si="133"/>
        <v>0.15445544554455437</v>
      </c>
      <c r="BJ35" s="55">
        <f t="shared" si="134"/>
        <v>-0.11111111111111116</v>
      </c>
      <c r="BK35" s="55">
        <f t="shared" si="134"/>
        <v>-0.11258278145695366</v>
      </c>
      <c r="BL35" s="55">
        <f t="shared" si="134"/>
        <v>-7.0422535211267623E-2</v>
      </c>
      <c r="BM35" s="55">
        <f t="shared" si="134"/>
        <v>-7.2992700729927029E-2</v>
      </c>
      <c r="BN35" s="686">
        <f t="shared" si="134"/>
        <v>-9.2624356775300121E-2</v>
      </c>
      <c r="BO35" s="55">
        <f t="shared" si="134"/>
        <v>-0.19117647058823528</v>
      </c>
      <c r="BP35" s="55">
        <f t="shared" si="134"/>
        <v>-0.14925373134328357</v>
      </c>
      <c r="BQ35" s="55">
        <f t="shared" si="134"/>
        <v>-0.13636363636363635</v>
      </c>
      <c r="BR35" s="55">
        <f t="shared" si="134"/>
        <v>-0.12598425196850394</v>
      </c>
      <c r="BS35" s="686">
        <f t="shared" si="134"/>
        <v>-0.15122873345935728</v>
      </c>
      <c r="BT35" s="55">
        <f t="shared" si="135"/>
        <v>3.6363636363636376E-2</v>
      </c>
      <c r="BU35" s="55">
        <f t="shared" si="135"/>
        <v>1.7543859649122862E-2</v>
      </c>
      <c r="BV35" s="55">
        <f t="shared" si="135"/>
        <v>8.7719298245614308E-3</v>
      </c>
      <c r="BW35" s="55">
        <f t="shared" si="135"/>
        <v>2.7027027027026973E-2</v>
      </c>
      <c r="BX35" s="686">
        <f t="shared" si="135"/>
        <v>2.2271714922049046E-2</v>
      </c>
      <c r="BY35" s="55">
        <f t="shared" si="135"/>
        <v>0</v>
      </c>
      <c r="BZ35" s="55">
        <f t="shared" si="135"/>
        <v>-8.6206896551723755E-3</v>
      </c>
      <c r="CA35" s="55">
        <f t="shared" si="135"/>
        <v>0</v>
      </c>
      <c r="CB35" s="55">
        <f t="shared" si="135"/>
        <v>6.1403508771929793E-2</v>
      </c>
      <c r="CC35" s="686">
        <f t="shared" si="135"/>
        <v>1.3071895424836555E-2</v>
      </c>
      <c r="CD35" s="55">
        <f t="shared" si="136"/>
        <v>-8.7719298245614308E-3</v>
      </c>
      <c r="CE35" s="55">
        <f t="shared" si="136"/>
        <v>-1.7391304347826098E-2</v>
      </c>
      <c r="CF35" s="55">
        <f t="shared" si="136"/>
        <v>-6.956521739130439E-2</v>
      </c>
      <c r="CG35" s="55">
        <f t="shared" si="136"/>
        <v>-0.12396694214876036</v>
      </c>
      <c r="CH35" s="686">
        <f t="shared" si="136"/>
        <v>-5.5913978494623651E-2</v>
      </c>
      <c r="CI35" s="55">
        <f t="shared" si="136"/>
        <v>-6.1946902654867242E-2</v>
      </c>
      <c r="CJ35" s="55">
        <f t="shared" si="136"/>
        <v>-8.8495575221238965E-2</v>
      </c>
      <c r="CK35" s="55">
        <f t="shared" si="136"/>
        <v>-6.5420560747663559E-2</v>
      </c>
      <c r="CL35" s="55">
        <f t="shared" si="136"/>
        <v>-0.10377358490566035</v>
      </c>
      <c r="CM35" s="686">
        <f t="shared" si="136"/>
        <v>-7.9726651480637845E-2</v>
      </c>
      <c r="CN35" s="55">
        <f t="shared" si="137"/>
        <v>-3.7735849056603765E-2</v>
      </c>
      <c r="CO35" s="55">
        <f t="shared" si="137"/>
        <v>-2.9126213592232997E-2</v>
      </c>
      <c r="CP35" s="55">
        <f t="shared" si="137"/>
        <v>-4.0000000000000036E-2</v>
      </c>
      <c r="CQ35" s="55">
        <f t="shared" si="137"/>
        <v>-8.4210526315789513E-2</v>
      </c>
      <c r="CR35" s="686">
        <f t="shared" si="137"/>
        <v>-4.7029702970297071E-2</v>
      </c>
      <c r="CS35" s="55">
        <f t="shared" si="137"/>
        <v>-0.1470588235294118</v>
      </c>
      <c r="CT35" s="55">
        <f t="shared" si="137"/>
        <v>-9.9999999999999978E-2</v>
      </c>
      <c r="CU35" s="55">
        <f t="shared" si="137"/>
        <v>-6.25E-2</v>
      </c>
      <c r="CV35" s="55">
        <f t="shared" si="137"/>
        <v>-0.11494252873563215</v>
      </c>
      <c r="CW35" s="686">
        <f t="shared" si="137"/>
        <v>-0.10649350649350653</v>
      </c>
      <c r="CX35" s="55">
        <f t="shared" si="138"/>
        <v>-0.25287356321839083</v>
      </c>
      <c r="CY35" s="55">
        <f t="shared" si="138"/>
        <v>-0.28888888888888886</v>
      </c>
      <c r="CZ35" s="55">
        <f t="shared" si="138"/>
        <v>-0.25555555555555554</v>
      </c>
      <c r="DA35" s="55">
        <f t="shared" si="138"/>
        <v>-0.19480519480519476</v>
      </c>
      <c r="DB35" s="686">
        <f t="shared" si="138"/>
        <v>-0.25</v>
      </c>
      <c r="DC35" s="55">
        <f t="shared" si="138"/>
        <v>-3.0769230769230771E-2</v>
      </c>
      <c r="DD35" s="55">
        <f t="shared" si="138"/>
        <v>1.5625E-2</v>
      </c>
      <c r="DE35" s="55">
        <f t="shared" si="138"/>
        <v>0</v>
      </c>
      <c r="DF35" s="55">
        <f t="shared" si="138"/>
        <v>0.12903225806451624</v>
      </c>
      <c r="DG35" s="686">
        <f t="shared" si="138"/>
        <v>2.7131782945736482E-2</v>
      </c>
      <c r="DH35" s="55">
        <f t="shared" si="139"/>
        <v>9.5238095238095344E-2</v>
      </c>
      <c r="DI35" s="55">
        <f t="shared" si="139"/>
        <v>7.6923076923076872E-2</v>
      </c>
      <c r="DJ35" s="55">
        <f t="shared" si="139"/>
        <v>8.9552238805970186E-2</v>
      </c>
      <c r="DK35" s="55">
        <f t="shared" si="139"/>
        <v>-1.4285714285714235E-2</v>
      </c>
      <c r="DL35" s="686">
        <f t="shared" si="139"/>
        <v>6.0377358490566024E-2</v>
      </c>
      <c r="DM35" s="55">
        <f t="shared" si="139"/>
        <v>5.7971014492753659E-2</v>
      </c>
      <c r="DN35" s="55">
        <f t="shared" si="139"/>
        <v>1.4285714285714235E-2</v>
      </c>
      <c r="DO35" s="55">
        <f t="shared" si="139"/>
        <v>0</v>
      </c>
      <c r="DP35" s="55">
        <f t="shared" si="139"/>
        <v>0</v>
      </c>
      <c r="DQ35" s="686">
        <f t="shared" si="139"/>
        <v>1.7793594306049876E-2</v>
      </c>
      <c r="DR35" s="55">
        <f t="shared" si="140"/>
        <v>0</v>
      </c>
      <c r="DS35" s="55">
        <f t="shared" si="140"/>
        <v>4.2253521126760507E-2</v>
      </c>
      <c r="DT35" s="55">
        <f t="shared" si="140"/>
        <v>5.4794520547945202E-2</v>
      </c>
      <c r="DU35" s="55">
        <f t="shared" si="140"/>
        <v>7.2463768115942129E-2</v>
      </c>
      <c r="DV35" s="686">
        <f t="shared" si="140"/>
        <v>4.195804195804187E-2</v>
      </c>
      <c r="DW35" s="55">
        <f t="shared" si="140"/>
        <v>1.3698630136986356E-2</v>
      </c>
      <c r="DX35" s="55">
        <f t="shared" si="140"/>
        <v>6.7567567567567544E-2</v>
      </c>
      <c r="DY35" s="55">
        <f t="shared" si="140"/>
        <v>0</v>
      </c>
      <c r="DZ35" s="55">
        <f t="shared" si="140"/>
        <v>4.0540540540540571E-2</v>
      </c>
      <c r="EA35" s="686">
        <f t="shared" si="140"/>
        <v>3.0201342281879207E-2</v>
      </c>
      <c r="EB35" s="55">
        <f t="shared" si="141"/>
        <v>-1.5000000000000013E-2</v>
      </c>
      <c r="EC35" s="55">
        <f t="shared" si="141"/>
        <v>-6.3291139240506333E-2</v>
      </c>
      <c r="ED35" s="55">
        <f t="shared" si="141"/>
        <v>-5.1948051948051965E-2</v>
      </c>
      <c r="EE35" s="55">
        <f t="shared" si="141"/>
        <v>-9.0909090909090939E-2</v>
      </c>
      <c r="EF35" s="686">
        <f t="shared" si="141"/>
        <v>-5.5732899022801319E-2</v>
      </c>
      <c r="EG35" s="1607">
        <f t="shared" si="141"/>
        <v>-6.7087391960488407E-2</v>
      </c>
      <c r="EH35" s="1607">
        <f t="shared" si="141"/>
        <v>-8.108108108108103E-2</v>
      </c>
      <c r="EI35" s="55">
        <f t="shared" si="141"/>
        <v>-6.8493150684931559E-2</v>
      </c>
      <c r="EJ35" s="55">
        <f t="shared" si="142"/>
        <v>0</v>
      </c>
      <c r="EK35" s="686">
        <f t="shared" si="143"/>
        <v>-5.4813894925661466E-2</v>
      </c>
      <c r="EL35" s="1607">
        <f t="shared" si="143"/>
        <v>-1.4705882352941124E-2</v>
      </c>
      <c r="EM35" s="1607">
        <f t="shared" si="143"/>
        <v>-1.4705882352941124E-2</v>
      </c>
      <c r="EN35" s="55">
        <f t="shared" si="143"/>
        <v>-5.8823529411764719E-2</v>
      </c>
      <c r="EO35" s="55">
        <f t="shared" si="143"/>
        <v>-5.7142857142857162E-2</v>
      </c>
      <c r="EP35" s="686">
        <f t="shared" si="143"/>
        <v>-3.6496350364963459E-2</v>
      </c>
      <c r="EQ35" s="1607">
        <f t="shared" si="143"/>
        <v>0</v>
      </c>
      <c r="ER35" s="1164">
        <v>-0.01</v>
      </c>
      <c r="ES35" s="1164">
        <v>0</v>
      </c>
      <c r="ET35" s="1164">
        <v>0</v>
      </c>
      <c r="EU35" s="1676">
        <f>EU11/EP11-1</f>
        <v>-2.5378787878788112E-3</v>
      </c>
      <c r="EV35" s="1298"/>
      <c r="EW35" s="1298"/>
      <c r="EX35" s="1298"/>
      <c r="EY35" s="1298"/>
      <c r="EZ35" s="1012">
        <v>5.0000000000000001E-3</v>
      </c>
      <c r="FA35" s="1298"/>
      <c r="FB35" s="1298"/>
      <c r="FC35" s="1298"/>
      <c r="FD35" s="1298"/>
      <c r="FE35" s="1012">
        <v>5.0000000000000001E-3</v>
      </c>
      <c r="FG35" s="688"/>
      <c r="FH35" s="767"/>
      <c r="FI35" s="767"/>
      <c r="FJ35" s="767"/>
      <c r="FK35" s="185"/>
      <c r="FL35" s="1338"/>
      <c r="FM35" s="1524">
        <f t="shared" si="107"/>
        <v>0</v>
      </c>
      <c r="FN35" s="1416">
        <f t="shared" si="108"/>
        <v>-1.4705882352941124E-2</v>
      </c>
      <c r="FO35" s="1803">
        <v>-1.4999999999999999E-2</v>
      </c>
      <c r="FP35" s="1736"/>
      <c r="FQ35" s="1506">
        <f t="shared" si="118"/>
        <v>150</v>
      </c>
      <c r="FR35" s="1999"/>
      <c r="FS35" s="1619"/>
      <c r="FT35" s="432"/>
      <c r="FU35" s="432"/>
      <c r="FV35" s="432"/>
      <c r="FW35" s="432"/>
      <c r="FX35" s="432"/>
      <c r="FY35" s="432"/>
      <c r="FZ35" s="688"/>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c r="IW35"/>
      <c r="IX35"/>
    </row>
    <row r="36" spans="1:258" s="55" customFormat="1" x14ac:dyDescent="0.2">
      <c r="A36" s="685" t="str">
        <f>A12&amp;" YoY % Chg."</f>
        <v>Minerals YoY % Chg.</v>
      </c>
      <c r="F36" s="686"/>
      <c r="K36" s="686"/>
      <c r="P36" s="686"/>
      <c r="U36" s="686"/>
      <c r="Z36" s="686"/>
      <c r="AE36" s="686"/>
      <c r="AJ36" s="686"/>
      <c r="AO36" s="686"/>
      <c r="AT36" s="686"/>
      <c r="AY36" s="686"/>
      <c r="AZ36" s="55">
        <f t="shared" si="133"/>
        <v>0.18181818181818188</v>
      </c>
      <c r="BA36" s="55">
        <f t="shared" si="133"/>
        <v>8.737864077669899E-2</v>
      </c>
      <c r="BB36" s="55">
        <f t="shared" si="133"/>
        <v>9.1743119266054496E-3</v>
      </c>
      <c r="BC36" s="55">
        <f t="shared" si="133"/>
        <v>4.9019607843137303E-2</v>
      </c>
      <c r="BD36" s="686">
        <f t="shared" si="133"/>
        <v>7.7114427860696555E-2</v>
      </c>
      <c r="BE36" s="55">
        <f t="shared" si="133"/>
        <v>-7.6923076923076872E-2</v>
      </c>
      <c r="BF36" s="55">
        <f t="shared" si="133"/>
        <v>2.6785714285714191E-2</v>
      </c>
      <c r="BG36" s="55">
        <f t="shared" si="133"/>
        <v>4.5454545454545414E-2</v>
      </c>
      <c r="BH36" s="55">
        <f t="shared" si="133"/>
        <v>-2.8037383177570097E-2</v>
      </c>
      <c r="BI36" s="686">
        <f t="shared" si="133"/>
        <v>-6.9284064665127154E-3</v>
      </c>
      <c r="BJ36" s="55">
        <f t="shared" si="134"/>
        <v>0</v>
      </c>
      <c r="BK36" s="55">
        <f t="shared" si="134"/>
        <v>-1.7391304347826098E-2</v>
      </c>
      <c r="BL36" s="55">
        <f t="shared" si="134"/>
        <v>2.6086956521739202E-2</v>
      </c>
      <c r="BM36" s="55">
        <f t="shared" si="134"/>
        <v>3.8461538461538547E-2</v>
      </c>
      <c r="BN36" s="686">
        <f t="shared" si="134"/>
        <v>1.1627906976744207E-2</v>
      </c>
      <c r="BO36" s="55">
        <f t="shared" si="134"/>
        <v>-3.125E-2</v>
      </c>
      <c r="BP36" s="55">
        <f t="shared" si="134"/>
        <v>1.7699115044247815E-2</v>
      </c>
      <c r="BQ36" s="55">
        <f t="shared" si="134"/>
        <v>-2.5423728813559365E-2</v>
      </c>
      <c r="BR36" s="55">
        <f t="shared" si="134"/>
        <v>-6.481481481481477E-2</v>
      </c>
      <c r="BS36" s="686">
        <f t="shared" si="134"/>
        <v>-2.5287356321839094E-2</v>
      </c>
      <c r="BT36" s="55">
        <f t="shared" si="135"/>
        <v>8.602150537634401E-2</v>
      </c>
      <c r="BU36" s="55">
        <f t="shared" si="135"/>
        <v>8.6956521739130377E-2</v>
      </c>
      <c r="BV36" s="55">
        <f t="shared" si="135"/>
        <v>0.13043478260869557</v>
      </c>
      <c r="BW36" s="55">
        <f t="shared" si="135"/>
        <v>0.18811881188118806</v>
      </c>
      <c r="BX36" s="686">
        <f t="shared" si="135"/>
        <v>0.12264150943396235</v>
      </c>
      <c r="BY36" s="55">
        <f t="shared" si="135"/>
        <v>0.10891089108910901</v>
      </c>
      <c r="BZ36" s="55">
        <f t="shared" si="135"/>
        <v>7.2000000000000064E-2</v>
      </c>
      <c r="CA36" s="55">
        <f t="shared" si="135"/>
        <v>-3.0769230769230771E-2</v>
      </c>
      <c r="CB36" s="55">
        <f t="shared" si="135"/>
        <v>0.1166666666666667</v>
      </c>
      <c r="CC36" s="686">
        <f t="shared" si="135"/>
        <v>6.3025210084033612E-2</v>
      </c>
      <c r="CD36" s="55">
        <f t="shared" si="136"/>
        <v>2.6785714285714191E-2</v>
      </c>
      <c r="CE36" s="55">
        <f t="shared" si="136"/>
        <v>1.4925373134328401E-2</v>
      </c>
      <c r="CF36" s="55">
        <f t="shared" si="136"/>
        <v>4.7619047619047672E-2</v>
      </c>
      <c r="CG36" s="55">
        <f t="shared" si="136"/>
        <v>-8.9552238805970186E-2</v>
      </c>
      <c r="CH36" s="686">
        <f t="shared" si="136"/>
        <v>-1.9762845849802257E-3</v>
      </c>
      <c r="CI36" s="55">
        <f t="shared" si="136"/>
        <v>7.8260869565217384E-2</v>
      </c>
      <c r="CJ36" s="55">
        <f t="shared" si="136"/>
        <v>5.8823529411764719E-2</v>
      </c>
      <c r="CK36" s="55">
        <f t="shared" si="136"/>
        <v>7.575757575757569E-3</v>
      </c>
      <c r="CL36" s="55">
        <f t="shared" si="136"/>
        <v>8.1967213114753079E-3</v>
      </c>
      <c r="CM36" s="686">
        <f t="shared" si="136"/>
        <v>3.7623762376237657E-2</v>
      </c>
      <c r="CN36" s="55">
        <f t="shared" si="137"/>
        <v>3.2258064516129004E-2</v>
      </c>
      <c r="CO36" s="55">
        <f t="shared" si="137"/>
        <v>4.1666666666666741E-2</v>
      </c>
      <c r="CP36" s="55">
        <f t="shared" si="137"/>
        <v>5.2631578947368363E-2</v>
      </c>
      <c r="CQ36" s="55">
        <f t="shared" si="137"/>
        <v>4.0650406504065151E-2</v>
      </c>
      <c r="CR36" s="686">
        <f t="shared" si="137"/>
        <v>4.1984732824427384E-2</v>
      </c>
      <c r="CS36" s="55">
        <f t="shared" si="137"/>
        <v>-0.1015625</v>
      </c>
      <c r="CT36" s="55">
        <f t="shared" si="137"/>
        <v>-0.11333333333333329</v>
      </c>
      <c r="CU36" s="55">
        <f t="shared" si="137"/>
        <v>-9.9999999999999978E-2</v>
      </c>
      <c r="CV36" s="55">
        <f t="shared" si="137"/>
        <v>-0.1171875</v>
      </c>
      <c r="CW36" s="686">
        <f t="shared" si="137"/>
        <v>-0.10805860805860801</v>
      </c>
      <c r="CX36" s="55">
        <f t="shared" si="138"/>
        <v>-0.20869565217391306</v>
      </c>
      <c r="CY36" s="55">
        <f t="shared" si="138"/>
        <v>-0.20300751879699253</v>
      </c>
      <c r="CZ36" s="55">
        <f t="shared" si="138"/>
        <v>-0.13492063492063489</v>
      </c>
      <c r="DA36" s="55">
        <f t="shared" si="138"/>
        <v>-0.12389380530973448</v>
      </c>
      <c r="DB36" s="686">
        <f t="shared" si="138"/>
        <v>-0.16837782340862428</v>
      </c>
      <c r="DC36" s="55">
        <f t="shared" si="138"/>
        <v>-6.5934065934065922E-2</v>
      </c>
      <c r="DD36" s="55">
        <f t="shared" si="138"/>
        <v>6.60377358490567E-2</v>
      </c>
      <c r="DE36" s="55">
        <f t="shared" si="138"/>
        <v>3.669724770642202E-2</v>
      </c>
      <c r="DF36" s="55">
        <f t="shared" si="138"/>
        <v>8.0808080808080884E-2</v>
      </c>
      <c r="DG36" s="686">
        <f t="shared" si="138"/>
        <v>3.2098765432098775E-2</v>
      </c>
      <c r="DH36" s="55">
        <f t="shared" si="139"/>
        <v>0.11764705882352944</v>
      </c>
      <c r="DI36" s="55">
        <f t="shared" si="139"/>
        <v>3.539823008849563E-2</v>
      </c>
      <c r="DJ36" s="55">
        <f t="shared" si="139"/>
        <v>2.6548672566371723E-2</v>
      </c>
      <c r="DK36" s="55">
        <f t="shared" si="139"/>
        <v>3.7383177570093462E-2</v>
      </c>
      <c r="DL36" s="686">
        <f t="shared" si="139"/>
        <v>5.0239234449760861E-2</v>
      </c>
      <c r="DM36" s="55">
        <f t="shared" si="139"/>
        <v>-4.2105263157894757E-2</v>
      </c>
      <c r="DN36" s="55">
        <f t="shared" si="139"/>
        <v>-9.4017094017094016E-2</v>
      </c>
      <c r="DO36" s="55">
        <f t="shared" si="139"/>
        <v>-7.7586206896551713E-2</v>
      </c>
      <c r="DP36" s="55">
        <f t="shared" si="139"/>
        <v>-6.3063063063063085E-2</v>
      </c>
      <c r="DQ36" s="686">
        <f t="shared" si="139"/>
        <v>-7.0615034168564961E-2</v>
      </c>
      <c r="DR36" s="55">
        <f t="shared" si="140"/>
        <v>-2.1978021978022011E-2</v>
      </c>
      <c r="DS36" s="55">
        <f t="shared" si="140"/>
        <v>3.7735849056603765E-2</v>
      </c>
      <c r="DT36" s="55">
        <f t="shared" si="140"/>
        <v>0.12149532710280364</v>
      </c>
      <c r="DU36" s="55">
        <f t="shared" si="140"/>
        <v>1.9230769230769162E-2</v>
      </c>
      <c r="DV36" s="686">
        <f t="shared" si="140"/>
        <v>4.1666666666666741E-2</v>
      </c>
      <c r="DW36" s="55">
        <f t="shared" si="140"/>
        <v>-0.4044943820224719</v>
      </c>
      <c r="DX36" s="55">
        <f t="shared" si="140"/>
        <v>-0.29090909090909089</v>
      </c>
      <c r="DY36" s="55">
        <f t="shared" si="140"/>
        <v>-0.30833333333333335</v>
      </c>
      <c r="DZ36" s="55">
        <f t="shared" si="140"/>
        <v>-0.30188679245283023</v>
      </c>
      <c r="EA36" s="686">
        <f t="shared" si="140"/>
        <v>-0.32235294117647062</v>
      </c>
      <c r="EB36" s="55">
        <f t="shared" si="141"/>
        <v>0.1132075471698113</v>
      </c>
      <c r="EC36" s="55">
        <f t="shared" si="141"/>
        <v>5.1282051282051322E-2</v>
      </c>
      <c r="ED36" s="55">
        <f t="shared" si="141"/>
        <v>4.8192771084337283E-2</v>
      </c>
      <c r="EE36" s="55">
        <f t="shared" si="141"/>
        <v>5.4054054054053946E-2</v>
      </c>
      <c r="EF36" s="686">
        <f t="shared" si="141"/>
        <v>6.25E-2</v>
      </c>
      <c r="EG36" s="1607">
        <f t="shared" si="141"/>
        <v>-1.6949152542372836E-2</v>
      </c>
      <c r="EH36" s="1607">
        <f t="shared" si="141"/>
        <v>4.8780487804878092E-2</v>
      </c>
      <c r="EI36" s="55">
        <f t="shared" si="141"/>
        <v>-1.1494252873563204E-2</v>
      </c>
      <c r="EJ36" s="55">
        <f t="shared" si="142"/>
        <v>2.564102564102555E-2</v>
      </c>
      <c r="EK36" s="686">
        <f t="shared" si="143"/>
        <v>1.3071895424836555E-2</v>
      </c>
      <c r="EL36" s="1607">
        <f t="shared" si="143"/>
        <v>0.2068965517241379</v>
      </c>
      <c r="EM36" s="1607">
        <f t="shared" si="143"/>
        <v>-3.4883720930232509E-2</v>
      </c>
      <c r="EN36" s="55">
        <f t="shared" si="143"/>
        <v>-6.9767441860465129E-2</v>
      </c>
      <c r="EO36" s="55">
        <f t="shared" si="143"/>
        <v>-6.25E-2</v>
      </c>
      <c r="EP36" s="686">
        <f t="shared" si="143"/>
        <v>-6.4516129032258229E-3</v>
      </c>
      <c r="EQ36" s="1607">
        <f t="shared" si="143"/>
        <v>-5.7142857142857162E-2</v>
      </c>
      <c r="ER36" s="1164">
        <v>0.04</v>
      </c>
      <c r="ES36" s="1164">
        <v>0.04</v>
      </c>
      <c r="ET36" s="1164">
        <v>2.5000000000000001E-2</v>
      </c>
      <c r="EU36" s="1676">
        <f>EU12/EP12-1</f>
        <v>1.4269480519480515E-2</v>
      </c>
      <c r="EV36" s="1298"/>
      <c r="EW36" s="1298"/>
      <c r="EX36" s="1298"/>
      <c r="EY36" s="1298"/>
      <c r="EZ36" s="1012">
        <v>1.4999999999999999E-2</v>
      </c>
      <c r="FA36" s="1298"/>
      <c r="FB36" s="1298"/>
      <c r="FC36" s="1298"/>
      <c r="FD36" s="1298"/>
      <c r="FE36" s="1012">
        <v>1.4999999999999999E-2</v>
      </c>
      <c r="FG36" s="466"/>
      <c r="FH36" s="767"/>
      <c r="FI36" s="767"/>
      <c r="FJ36" s="767"/>
      <c r="FK36" s="185"/>
      <c r="FL36" s="1338"/>
      <c r="FM36" s="1524">
        <f t="shared" si="107"/>
        <v>-5.7142857142857162E-2</v>
      </c>
      <c r="FN36" s="1416">
        <f t="shared" si="108"/>
        <v>0.2068965517241379</v>
      </c>
      <c r="FO36" s="1803">
        <v>-5.5E-2</v>
      </c>
      <c r="FP36" s="1736"/>
      <c r="FQ36" s="1506">
        <f t="shared" si="118"/>
        <v>-21.428571428571615</v>
      </c>
      <c r="FR36" s="1999"/>
      <c r="FS36" s="1619"/>
      <c r="FT36" s="432"/>
      <c r="FU36" s="432"/>
      <c r="FV36" s="432"/>
      <c r="FW36" s="432"/>
      <c r="FX36" s="432"/>
      <c r="FY36" s="432"/>
      <c r="FZ36" s="46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c r="IW36"/>
      <c r="IX36"/>
    </row>
    <row r="37" spans="1:258" s="55" customFormat="1" x14ac:dyDescent="0.2">
      <c r="A37" s="685" t="str">
        <f>A16&amp;" YoY % Chg."</f>
        <v>Metals + Equipment YoY % Chg.</v>
      </c>
      <c r="F37" s="686"/>
      <c r="K37" s="686"/>
      <c r="P37" s="686"/>
      <c r="U37" s="686"/>
      <c r="Z37" s="686"/>
      <c r="AE37" s="686"/>
      <c r="AJ37" s="686"/>
      <c r="AO37" s="686"/>
      <c r="AT37" s="686"/>
      <c r="AY37" s="686"/>
      <c r="AZ37" s="55">
        <f t="shared" ref="AZ37:CE37" si="144">AZ16/AU16-1</f>
        <v>4.3478260869565188E-2</v>
      </c>
      <c r="BA37" s="55">
        <f t="shared" si="144"/>
        <v>9.8591549295774739E-2</v>
      </c>
      <c r="BB37" s="55">
        <f t="shared" si="144"/>
        <v>0.28787878787878785</v>
      </c>
      <c r="BC37" s="55">
        <f t="shared" si="144"/>
        <v>0.35483870967741926</v>
      </c>
      <c r="BD37" s="686">
        <f t="shared" si="144"/>
        <v>0.19029850746268662</v>
      </c>
      <c r="BE37" s="55">
        <f t="shared" si="144"/>
        <v>0.26388888888888884</v>
      </c>
      <c r="BF37" s="55">
        <f t="shared" si="144"/>
        <v>0.14102564102564097</v>
      </c>
      <c r="BG37" s="55">
        <f t="shared" si="144"/>
        <v>-1.1764705882352899E-2</v>
      </c>
      <c r="BH37" s="55">
        <f t="shared" si="144"/>
        <v>-5.9523809523809534E-2</v>
      </c>
      <c r="BI37" s="686">
        <f t="shared" si="144"/>
        <v>7.5235109717868287E-2</v>
      </c>
      <c r="BJ37" s="55">
        <f t="shared" si="144"/>
        <v>-0.10989010989010994</v>
      </c>
      <c r="BK37" s="55">
        <f t="shared" si="144"/>
        <v>-6.7415730337078705E-2</v>
      </c>
      <c r="BL37" s="55">
        <f t="shared" si="144"/>
        <v>-3.5714285714285698E-2</v>
      </c>
      <c r="BM37" s="55">
        <f t="shared" si="144"/>
        <v>-6.3291139240506333E-2</v>
      </c>
      <c r="BN37" s="686">
        <f t="shared" si="144"/>
        <v>-6.9970845481049593E-2</v>
      </c>
      <c r="BO37" s="55">
        <f t="shared" si="144"/>
        <v>-4.9382716049382713E-2</v>
      </c>
      <c r="BP37" s="55">
        <f t="shared" si="144"/>
        <v>-3.6144578313253017E-2</v>
      </c>
      <c r="BQ37" s="55">
        <f t="shared" si="144"/>
        <v>2.4691358024691468E-2</v>
      </c>
      <c r="BR37" s="55">
        <f t="shared" si="144"/>
        <v>6.7567567567567544E-2</v>
      </c>
      <c r="BS37" s="686">
        <f t="shared" si="144"/>
        <v>0</v>
      </c>
      <c r="BT37" s="55">
        <f t="shared" si="144"/>
        <v>0.14285714285714279</v>
      </c>
      <c r="BU37" s="55">
        <f t="shared" si="144"/>
        <v>8.7499999999999911E-2</v>
      </c>
      <c r="BV37" s="55">
        <f t="shared" si="144"/>
        <v>2.4096385542168752E-2</v>
      </c>
      <c r="BW37" s="55">
        <f t="shared" si="144"/>
        <v>0.11392405063291133</v>
      </c>
      <c r="BX37" s="686">
        <f t="shared" si="144"/>
        <v>9.0909090909090828E-2</v>
      </c>
      <c r="BY37" s="55">
        <f t="shared" si="144"/>
        <v>6.8181818181818121E-2</v>
      </c>
      <c r="BZ37" s="55">
        <f t="shared" si="144"/>
        <v>9.1954022988505857E-2</v>
      </c>
      <c r="CA37" s="55">
        <f t="shared" si="144"/>
        <v>0.11764705882352944</v>
      </c>
      <c r="CB37" s="55">
        <f t="shared" si="144"/>
        <v>9.0909090909090828E-2</v>
      </c>
      <c r="CC37" s="686">
        <f t="shared" si="144"/>
        <v>9.1954022988505857E-2</v>
      </c>
      <c r="CD37" s="55">
        <f t="shared" si="144"/>
        <v>-1.0638297872340385E-2</v>
      </c>
      <c r="CE37" s="55">
        <f t="shared" si="144"/>
        <v>-3.157894736842104E-2</v>
      </c>
      <c r="CF37" s="55">
        <f t="shared" ref="CF37:DK37" si="145">CF16/CA16-1</f>
        <v>-7.3684210526315796E-2</v>
      </c>
      <c r="CG37" s="55">
        <f t="shared" si="145"/>
        <v>-8.333333333333337E-2</v>
      </c>
      <c r="CH37" s="686">
        <f t="shared" si="145"/>
        <v>-5.0000000000000044E-2</v>
      </c>
      <c r="CI37" s="55">
        <f t="shared" si="145"/>
        <v>1.0752688172043001E-2</v>
      </c>
      <c r="CJ37" s="55">
        <f t="shared" si="145"/>
        <v>3.2608695652173836E-2</v>
      </c>
      <c r="CK37" s="55">
        <f t="shared" si="145"/>
        <v>3.4090909090909172E-2</v>
      </c>
      <c r="CL37" s="55">
        <f t="shared" si="145"/>
        <v>-4.5454545454545414E-2</v>
      </c>
      <c r="CM37" s="686">
        <f t="shared" si="145"/>
        <v>8.310249307479145E-3</v>
      </c>
      <c r="CN37" s="55">
        <f t="shared" si="145"/>
        <v>-1.0638297872340385E-2</v>
      </c>
      <c r="CO37" s="55">
        <f t="shared" si="145"/>
        <v>-1.0526315789473717E-2</v>
      </c>
      <c r="CP37" s="55">
        <f t="shared" si="145"/>
        <v>-2.1978021978022011E-2</v>
      </c>
      <c r="CQ37" s="55">
        <f t="shared" si="145"/>
        <v>-5.9523809523809534E-2</v>
      </c>
      <c r="CR37" s="686">
        <f t="shared" si="145"/>
        <v>-2.4725274725274748E-2</v>
      </c>
      <c r="CS37" s="55">
        <f t="shared" si="145"/>
        <v>-1.0752688172043001E-2</v>
      </c>
      <c r="CT37" s="55">
        <f t="shared" si="145"/>
        <v>2.1276595744680771E-2</v>
      </c>
      <c r="CU37" s="55">
        <f t="shared" si="145"/>
        <v>3.3707865168539408E-2</v>
      </c>
      <c r="CV37" s="55">
        <f t="shared" si="145"/>
        <v>-0.27848101265822789</v>
      </c>
      <c r="CW37" s="686">
        <f t="shared" si="145"/>
        <v>-5.070422535211272E-2</v>
      </c>
      <c r="CX37" s="55">
        <f t="shared" si="145"/>
        <v>-0.47826086956521741</v>
      </c>
      <c r="CY37" s="55">
        <f t="shared" si="145"/>
        <v>-0.53125</v>
      </c>
      <c r="CZ37" s="55">
        <f t="shared" si="145"/>
        <v>-0.40217391304347827</v>
      </c>
      <c r="DA37" s="55">
        <f t="shared" si="145"/>
        <v>-8.7719298245614086E-2</v>
      </c>
      <c r="DB37" s="686">
        <f t="shared" si="145"/>
        <v>-0.40652818991097928</v>
      </c>
      <c r="DC37" s="55">
        <f t="shared" si="145"/>
        <v>0.27083333333333326</v>
      </c>
      <c r="DD37" s="55">
        <f t="shared" si="145"/>
        <v>0.44444444444444442</v>
      </c>
      <c r="DE37" s="55">
        <f t="shared" si="145"/>
        <v>3.6363636363636376E-2</v>
      </c>
      <c r="DF37" s="55">
        <f t="shared" si="145"/>
        <v>0.15384615384615374</v>
      </c>
      <c r="DG37" s="686">
        <f t="shared" si="145"/>
        <v>0.21500000000000008</v>
      </c>
      <c r="DH37" s="55">
        <f t="shared" si="145"/>
        <v>9.8360655737705027E-2</v>
      </c>
      <c r="DI37" s="55">
        <f t="shared" si="145"/>
        <v>4.6153846153846212E-2</v>
      </c>
      <c r="DJ37" s="55">
        <f t="shared" si="145"/>
        <v>0.15789473684210531</v>
      </c>
      <c r="DK37" s="55">
        <f t="shared" si="145"/>
        <v>6.6666666666666652E-2</v>
      </c>
      <c r="DL37" s="686">
        <f t="shared" ref="DL37:EI37" si="146">DL16/DG16-1</f>
        <v>9.0534979423868345E-2</v>
      </c>
      <c r="DM37" s="55">
        <f t="shared" si="146"/>
        <v>7.4626865671641784E-2</v>
      </c>
      <c r="DN37" s="55">
        <f t="shared" si="146"/>
        <v>-1.4705882352941124E-2</v>
      </c>
      <c r="DO37" s="55">
        <f t="shared" si="146"/>
        <v>-3.0303030303030276E-2</v>
      </c>
      <c r="DP37" s="55">
        <f t="shared" si="146"/>
        <v>-6.25E-2</v>
      </c>
      <c r="DQ37" s="686">
        <f t="shared" si="146"/>
        <v>-7.547169811320753E-3</v>
      </c>
      <c r="DR37" s="55">
        <f t="shared" si="146"/>
        <v>-8.333333333333337E-2</v>
      </c>
      <c r="DS37" s="55">
        <f t="shared" si="146"/>
        <v>-1.4925373134328401E-2</v>
      </c>
      <c r="DT37" s="55">
        <f t="shared" si="146"/>
        <v>4.6875E-2</v>
      </c>
      <c r="DU37" s="55">
        <f t="shared" si="146"/>
        <v>5.0000000000000044E-2</v>
      </c>
      <c r="DV37" s="686">
        <f t="shared" si="146"/>
        <v>-3.8022813688213253E-3</v>
      </c>
      <c r="DW37" s="55">
        <f t="shared" si="146"/>
        <v>0.18181818181818188</v>
      </c>
      <c r="DX37" s="55">
        <f t="shared" si="146"/>
        <v>0.31818181818181812</v>
      </c>
      <c r="DY37" s="55">
        <f t="shared" si="146"/>
        <v>0.29850746268656714</v>
      </c>
      <c r="DZ37" s="55">
        <f t="shared" si="146"/>
        <v>0.25396825396825395</v>
      </c>
      <c r="EA37" s="686">
        <f t="shared" si="146"/>
        <v>0.26335877862595414</v>
      </c>
      <c r="EB37" s="55">
        <f t="shared" si="146"/>
        <v>-7.6923076923076872E-2</v>
      </c>
      <c r="EC37" s="55">
        <f t="shared" si="146"/>
        <v>-0.13793103448275867</v>
      </c>
      <c r="ED37" s="55">
        <f t="shared" si="146"/>
        <v>-0.17241379310344829</v>
      </c>
      <c r="EE37" s="55">
        <f t="shared" si="146"/>
        <v>-0.17721518987341767</v>
      </c>
      <c r="EF37" s="686">
        <f t="shared" si="146"/>
        <v>-0.14199395770392753</v>
      </c>
      <c r="EG37" s="1607">
        <f t="shared" si="146"/>
        <v>-0.13888888888888884</v>
      </c>
      <c r="EH37" s="1607">
        <f t="shared" si="146"/>
        <v>-5.3333333333333344E-2</v>
      </c>
      <c r="EI37" s="55">
        <f t="shared" si="146"/>
        <v>-0.125</v>
      </c>
      <c r="EJ37" s="55">
        <f t="shared" ref="EJ37" si="147">EJ16/EE16-1</f>
        <v>-3.0769230769230771E-2</v>
      </c>
      <c r="EK37" s="686">
        <f t="shared" ref="EK37:EQ37" si="148">EK16/EF16-1</f>
        <v>-8.8028169014084501E-2</v>
      </c>
      <c r="EL37" s="1607">
        <f t="shared" si="148"/>
        <v>0.12903225806451624</v>
      </c>
      <c r="EM37" s="1607">
        <f t="shared" si="148"/>
        <v>-5.633802816901412E-2</v>
      </c>
      <c r="EN37" s="55">
        <f t="shared" si="148"/>
        <v>1.5873015873015817E-2</v>
      </c>
      <c r="EO37" s="55">
        <f t="shared" si="148"/>
        <v>-0.12698412698412698</v>
      </c>
      <c r="EP37" s="686">
        <f t="shared" si="148"/>
        <v>-1.158301158301156E-2</v>
      </c>
      <c r="EQ37" s="1607">
        <f t="shared" si="148"/>
        <v>-8.5714285714285743E-2</v>
      </c>
      <c r="ER37" s="1164">
        <v>0.04</v>
      </c>
      <c r="ES37" s="1164">
        <v>2.5000000000000001E-2</v>
      </c>
      <c r="ET37" s="1164">
        <v>2.5000000000000001E-2</v>
      </c>
      <c r="EU37" s="1676">
        <f>EU16/EP16-1</f>
        <v>-1.3476562499999956E-3</v>
      </c>
      <c r="EV37" s="1298"/>
      <c r="EW37" s="1298"/>
      <c r="EX37" s="1298"/>
      <c r="EY37" s="1298"/>
      <c r="EZ37" s="1012">
        <v>1.4999999999999999E-2</v>
      </c>
      <c r="FA37" s="1298"/>
      <c r="FB37" s="1298"/>
      <c r="FC37" s="1298"/>
      <c r="FD37" s="1298"/>
      <c r="FE37" s="1012">
        <v>1.4999999999999999E-2</v>
      </c>
      <c r="FG37" s="466"/>
      <c r="FH37" s="767"/>
      <c r="FI37" s="767"/>
      <c r="FJ37" s="767"/>
      <c r="FK37" s="185"/>
      <c r="FL37" s="1338"/>
      <c r="FM37" s="1524">
        <f t="shared" si="107"/>
        <v>-8.5714285714285743E-2</v>
      </c>
      <c r="FN37" s="1416">
        <f t="shared" si="108"/>
        <v>0.12903225806451624</v>
      </c>
      <c r="FO37" s="1803">
        <v>-7.0000000000000007E-2</v>
      </c>
      <c r="FP37" s="1736"/>
      <c r="FQ37" s="1506">
        <f t="shared" si="118"/>
        <v>-157.14285714285737</v>
      </c>
      <c r="FR37" s="2000"/>
      <c r="FS37" s="1619"/>
      <c r="FT37" s="432"/>
      <c r="FU37" s="432"/>
      <c r="FV37" s="432"/>
      <c r="FW37" s="432"/>
      <c r="FX37" s="432"/>
      <c r="FY37" s="432"/>
      <c r="FZ37" s="466"/>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row>
    <row r="38" spans="1:258" s="55" customFormat="1" x14ac:dyDescent="0.2">
      <c r="A38" s="685" t="str">
        <f>A19&amp;" YoY % Chg."</f>
        <v>Chemicals (Includes Waste) YoY % Chg.</v>
      </c>
      <c r="F38" s="686"/>
      <c r="K38" s="686"/>
      <c r="P38" s="686"/>
      <c r="U38" s="686"/>
      <c r="Z38" s="686"/>
      <c r="AE38" s="686"/>
      <c r="AJ38" s="686"/>
      <c r="AO38" s="686"/>
      <c r="AT38" s="686"/>
      <c r="AY38" s="686"/>
      <c r="AZ38" s="55">
        <f t="shared" ref="AZ38:CE38" si="149">AZ19/AU19-1</f>
        <v>8.0357142857142794E-2</v>
      </c>
      <c r="BA38" s="55">
        <f t="shared" si="149"/>
        <v>0.15178571428571419</v>
      </c>
      <c r="BB38" s="55">
        <f t="shared" si="149"/>
        <v>0.3125</v>
      </c>
      <c r="BC38" s="55">
        <f t="shared" si="149"/>
        <v>0.37037037037037046</v>
      </c>
      <c r="BD38" s="686">
        <f t="shared" si="149"/>
        <v>0.22747747747747749</v>
      </c>
      <c r="BE38" s="55">
        <f t="shared" si="149"/>
        <v>0.17355371900826455</v>
      </c>
      <c r="BF38" s="55">
        <f t="shared" si="149"/>
        <v>0.12403100775193798</v>
      </c>
      <c r="BG38" s="55">
        <f t="shared" si="149"/>
        <v>-4.7619047619047672E-2</v>
      </c>
      <c r="BH38" s="55">
        <f t="shared" si="149"/>
        <v>-7.4324324324324342E-2</v>
      </c>
      <c r="BI38" s="686">
        <f t="shared" si="149"/>
        <v>3.4862385321100975E-2</v>
      </c>
      <c r="BJ38" s="55">
        <f t="shared" si="149"/>
        <v>-1.4084507042253502E-2</v>
      </c>
      <c r="BK38" s="55">
        <f t="shared" si="149"/>
        <v>-4.8275862068965503E-2</v>
      </c>
      <c r="BL38" s="55">
        <f t="shared" si="149"/>
        <v>-5.0000000000000044E-2</v>
      </c>
      <c r="BM38" s="55">
        <f t="shared" si="149"/>
        <v>-5.8394160583941646E-2</v>
      </c>
      <c r="BN38" s="686">
        <f t="shared" si="149"/>
        <v>-4.2553191489361653E-2</v>
      </c>
      <c r="BO38" s="55">
        <f t="shared" si="149"/>
        <v>-4.2857142857142816E-2</v>
      </c>
      <c r="BP38" s="55">
        <f t="shared" si="149"/>
        <v>7.2463768115942351E-3</v>
      </c>
      <c r="BQ38" s="55">
        <f t="shared" si="149"/>
        <v>0</v>
      </c>
      <c r="BR38" s="55">
        <f t="shared" si="149"/>
        <v>3.1007751937984551E-2</v>
      </c>
      <c r="BS38" s="686">
        <f t="shared" si="149"/>
        <v>-1.8518518518518823E-3</v>
      </c>
      <c r="BT38" s="55">
        <f t="shared" si="149"/>
        <v>2.2388059701492491E-2</v>
      </c>
      <c r="BU38" s="55">
        <f t="shared" si="149"/>
        <v>-4.3165467625899234E-2</v>
      </c>
      <c r="BV38" s="55">
        <f t="shared" si="149"/>
        <v>2.2556390977443552E-2</v>
      </c>
      <c r="BW38" s="55">
        <f t="shared" si="149"/>
        <v>1.5037593984962516E-2</v>
      </c>
      <c r="BX38" s="686">
        <f t="shared" si="149"/>
        <v>3.7105751391466324E-3</v>
      </c>
      <c r="BY38" s="55">
        <f t="shared" si="149"/>
        <v>1.4598540145985384E-2</v>
      </c>
      <c r="BZ38" s="55">
        <f t="shared" si="149"/>
        <v>5.2631578947368363E-2</v>
      </c>
      <c r="CA38" s="55">
        <f t="shared" si="149"/>
        <v>2.2058823529411686E-2</v>
      </c>
      <c r="CB38" s="55">
        <f t="shared" si="149"/>
        <v>8.1481481481481488E-2</v>
      </c>
      <c r="CC38" s="686">
        <f t="shared" si="149"/>
        <v>4.2513863216266268E-2</v>
      </c>
      <c r="CD38" s="55">
        <f t="shared" si="149"/>
        <v>7.194244604316502E-3</v>
      </c>
      <c r="CE38" s="55">
        <f t="shared" si="149"/>
        <v>-3.5714285714285698E-2</v>
      </c>
      <c r="CF38" s="55">
        <f t="shared" ref="CF38:DK38" si="150">CF19/CA19-1</f>
        <v>-5.7553956834532349E-2</v>
      </c>
      <c r="CG38" s="55">
        <f t="shared" si="150"/>
        <v>-0.13013698630136983</v>
      </c>
      <c r="CH38" s="686">
        <f t="shared" si="150"/>
        <v>-5.4964539007092195E-2</v>
      </c>
      <c r="CI38" s="55">
        <f t="shared" si="150"/>
        <v>-3.5714285714285698E-2</v>
      </c>
      <c r="CJ38" s="55">
        <f t="shared" si="150"/>
        <v>-7.4074074074074181E-3</v>
      </c>
      <c r="CK38" s="55">
        <f t="shared" si="150"/>
        <v>1.5267175572519109E-2</v>
      </c>
      <c r="CL38" s="55">
        <f t="shared" si="150"/>
        <v>-7.8740157480314821E-3</v>
      </c>
      <c r="CM38" s="686">
        <f t="shared" si="150"/>
        <v>-9.3808630393996673E-3</v>
      </c>
      <c r="CN38" s="55">
        <f t="shared" si="150"/>
        <v>-7.4074074074074181E-3</v>
      </c>
      <c r="CO38" s="55">
        <f t="shared" si="150"/>
        <v>1.4925373134328401E-2</v>
      </c>
      <c r="CP38" s="55">
        <f t="shared" si="150"/>
        <v>-1.5037593984962405E-2</v>
      </c>
      <c r="CQ38" s="55">
        <f t="shared" si="150"/>
        <v>0</v>
      </c>
      <c r="CR38" s="686">
        <f t="shared" si="150"/>
        <v>-1.8939393939394478E-3</v>
      </c>
      <c r="CS38" s="55">
        <f t="shared" si="150"/>
        <v>-3.7313432835820892E-2</v>
      </c>
      <c r="CT38" s="55">
        <f t="shared" si="150"/>
        <v>-3.6764705882352922E-2</v>
      </c>
      <c r="CU38" s="55">
        <f t="shared" si="150"/>
        <v>-4.5801526717557217E-2</v>
      </c>
      <c r="CV38" s="55">
        <f t="shared" si="150"/>
        <v>-0.1428571428571429</v>
      </c>
      <c r="CW38" s="686">
        <f t="shared" si="150"/>
        <v>-6.4516129032258118E-2</v>
      </c>
      <c r="CX38" s="55">
        <f t="shared" si="150"/>
        <v>-0.18604651162790697</v>
      </c>
      <c r="CY38" s="55">
        <f t="shared" si="150"/>
        <v>-0.19847328244274809</v>
      </c>
      <c r="CZ38" s="55">
        <f t="shared" si="150"/>
        <v>-0.12</v>
      </c>
      <c r="DA38" s="55">
        <f t="shared" si="150"/>
        <v>-3.703703703703709E-2</v>
      </c>
      <c r="DB38" s="686">
        <f t="shared" si="150"/>
        <v>-0.13995943204868155</v>
      </c>
      <c r="DC38" s="55">
        <f t="shared" si="150"/>
        <v>6.6666666666666652E-2</v>
      </c>
      <c r="DD38" s="55">
        <f t="shared" si="150"/>
        <v>0.10476190476190483</v>
      </c>
      <c r="DE38" s="55">
        <f t="shared" si="150"/>
        <v>5.4545454545454453E-2</v>
      </c>
      <c r="DF38" s="55">
        <f t="shared" si="150"/>
        <v>0.125</v>
      </c>
      <c r="DG38" s="686">
        <f t="shared" si="150"/>
        <v>8.7264150943396235E-2</v>
      </c>
      <c r="DH38" s="55">
        <f t="shared" si="150"/>
        <v>4.4642857142857206E-2</v>
      </c>
      <c r="DI38" s="55">
        <f t="shared" si="150"/>
        <v>2.5862068965517349E-2</v>
      </c>
      <c r="DJ38" s="55">
        <f t="shared" si="150"/>
        <v>0</v>
      </c>
      <c r="DK38" s="55">
        <f t="shared" si="150"/>
        <v>-5.9829059829059839E-2</v>
      </c>
      <c r="DL38" s="686">
        <f t="shared" ref="DL38:EI38" si="151">DL19/DG19-1</f>
        <v>2.1691973969630851E-3</v>
      </c>
      <c r="DM38" s="55">
        <f t="shared" si="151"/>
        <v>0</v>
      </c>
      <c r="DN38" s="55">
        <f t="shared" si="151"/>
        <v>8.4033613445377853E-3</v>
      </c>
      <c r="DO38" s="55">
        <f t="shared" si="151"/>
        <v>1.7241379310344751E-2</v>
      </c>
      <c r="DP38" s="55">
        <f t="shared" si="151"/>
        <v>5.4545454545454453E-2</v>
      </c>
      <c r="DQ38" s="686">
        <f t="shared" si="151"/>
        <v>1.9480519480519431E-2</v>
      </c>
      <c r="DR38" s="55">
        <f t="shared" si="151"/>
        <v>0.11111111111111116</v>
      </c>
      <c r="DS38" s="55">
        <f t="shared" si="151"/>
        <v>0.10833333333333339</v>
      </c>
      <c r="DT38" s="55">
        <f t="shared" si="151"/>
        <v>0.11864406779661008</v>
      </c>
      <c r="DU38" s="55">
        <f t="shared" si="151"/>
        <v>0.18103448275862077</v>
      </c>
      <c r="DV38" s="686">
        <f t="shared" si="151"/>
        <v>0.12951167728237789</v>
      </c>
      <c r="DW38" s="55">
        <f t="shared" si="151"/>
        <v>0.26923076923076916</v>
      </c>
      <c r="DX38" s="55">
        <f t="shared" si="151"/>
        <v>0.39849624060150379</v>
      </c>
      <c r="DY38" s="55">
        <f t="shared" si="151"/>
        <v>0.43181818181818188</v>
      </c>
      <c r="DZ38" s="55">
        <f t="shared" si="151"/>
        <v>0.37226277372262784</v>
      </c>
      <c r="EA38" s="686">
        <f t="shared" si="151"/>
        <v>0.36842105263157898</v>
      </c>
      <c r="EB38" s="55">
        <f t="shared" si="151"/>
        <v>6.6666666666666652E-2</v>
      </c>
      <c r="EC38" s="55">
        <f t="shared" si="151"/>
        <v>5.3763440860215006E-3</v>
      </c>
      <c r="ED38" s="55">
        <f t="shared" si="151"/>
        <v>-1.0582010582010581E-2</v>
      </c>
      <c r="EE38" s="55">
        <f t="shared" si="151"/>
        <v>-6.3829787234042534E-2</v>
      </c>
      <c r="EF38" s="686">
        <f t="shared" si="151"/>
        <v>-2.7472527472527375E-3</v>
      </c>
      <c r="EG38" s="1607">
        <f t="shared" si="151"/>
        <v>-5.6818181818182323E-3</v>
      </c>
      <c r="EH38" s="1607">
        <f t="shared" si="151"/>
        <v>-8.0213903743315496E-2</v>
      </c>
      <c r="EI38" s="55">
        <f t="shared" si="151"/>
        <v>-7.4866310160427774E-2</v>
      </c>
      <c r="EJ38" s="55">
        <f t="shared" ref="EJ38" si="152">EJ19/EE19-1</f>
        <v>2.2727272727272707E-2</v>
      </c>
      <c r="EK38" s="686">
        <f t="shared" ref="EK38:EQ38" si="153">EK19/EF19-1</f>
        <v>-3.5812672176308569E-2</v>
      </c>
      <c r="EL38" s="1607">
        <f t="shared" si="153"/>
        <v>0</v>
      </c>
      <c r="EM38" s="1607">
        <f t="shared" si="153"/>
        <v>-1.744186046511631E-2</v>
      </c>
      <c r="EN38" s="55">
        <f t="shared" si="153"/>
        <v>-5.2023121387283267E-2</v>
      </c>
      <c r="EO38" s="55">
        <f t="shared" si="153"/>
        <v>-8.8888888888888906E-2</v>
      </c>
      <c r="EP38" s="686">
        <f t="shared" si="153"/>
        <v>-4.0000000000000036E-2</v>
      </c>
      <c r="EQ38" s="1607">
        <f t="shared" si="153"/>
        <v>-7.4285714285714288E-2</v>
      </c>
      <c r="ER38" s="1164">
        <v>-0.06</v>
      </c>
      <c r="ES38" s="1164">
        <v>-0.01</v>
      </c>
      <c r="ET38" s="1164">
        <v>0.02</v>
      </c>
      <c r="EU38" s="1676">
        <f>EU19/EP19-1</f>
        <v>-3.1994047619047672E-2</v>
      </c>
      <c r="EV38" s="1298"/>
      <c r="EW38" s="1298"/>
      <c r="EX38" s="1298"/>
      <c r="EY38" s="1298"/>
      <c r="EZ38" s="1012">
        <v>0.01</v>
      </c>
      <c r="FA38" s="1298"/>
      <c r="FB38" s="1298"/>
      <c r="FC38" s="1298"/>
      <c r="FD38" s="1298"/>
      <c r="FE38" s="1012">
        <v>0.01</v>
      </c>
      <c r="FG38" s="689"/>
      <c r="FH38" s="767"/>
      <c r="FI38" s="767"/>
      <c r="FJ38" s="767"/>
      <c r="FK38" s="185"/>
      <c r="FL38" s="1338"/>
      <c r="FM38" s="1524">
        <f t="shared" si="107"/>
        <v>-7.4285714285714288E-2</v>
      </c>
      <c r="FN38" s="1416">
        <f t="shared" si="108"/>
        <v>0</v>
      </c>
      <c r="FO38" s="1803">
        <v>-8.5000000000000006E-2</v>
      </c>
      <c r="FP38" s="1736"/>
      <c r="FQ38" s="1506">
        <f t="shared" si="118"/>
        <v>107.14285714285718</v>
      </c>
      <c r="FR38" s="1999"/>
      <c r="FS38" s="1619"/>
      <c r="FT38" s="432"/>
      <c r="FU38" s="432"/>
      <c r="FV38" s="432"/>
      <c r="FW38" s="432"/>
      <c r="FX38" s="432"/>
      <c r="FY38" s="432"/>
      <c r="FZ38" s="689"/>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row>
    <row r="39" spans="1:258" s="691" customFormat="1" hidden="1" outlineLevel="1" x14ac:dyDescent="0.2">
      <c r="A39" s="690" t="str">
        <f t="shared" ref="A39:A40" si="154">A22&amp;" YoY % Chg."</f>
        <v>Food &amp; Consumer  YoY % Chg.</v>
      </c>
      <c r="F39" s="692"/>
      <c r="K39" s="692"/>
      <c r="P39" s="692"/>
      <c r="U39" s="692"/>
      <c r="Z39" s="692"/>
      <c r="AE39" s="692"/>
      <c r="AJ39" s="692"/>
      <c r="AO39" s="692"/>
      <c r="AT39" s="692"/>
      <c r="AY39" s="692"/>
      <c r="AZ39" s="691">
        <f t="shared" ref="AZ39:BI39" si="155">AZ22/AU22-1</f>
        <v>-2.8571428571428581E-2</v>
      </c>
      <c r="BA39" s="691">
        <f t="shared" si="155"/>
        <v>2.9411764705882248E-2</v>
      </c>
      <c r="BB39" s="691">
        <f t="shared" si="155"/>
        <v>0.18181818181818188</v>
      </c>
      <c r="BC39" s="691">
        <f t="shared" si="155"/>
        <v>0.27272727272727271</v>
      </c>
      <c r="BD39" s="692">
        <f t="shared" si="155"/>
        <v>0.11111111111111116</v>
      </c>
      <c r="BE39" s="691">
        <f t="shared" si="155"/>
        <v>0.17647058823529416</v>
      </c>
      <c r="BF39" s="691">
        <f t="shared" si="155"/>
        <v>8.5714285714285632E-2</v>
      </c>
      <c r="BG39" s="691">
        <f t="shared" si="155"/>
        <v>2.564102564102555E-2</v>
      </c>
      <c r="BH39" s="691">
        <f t="shared" si="155"/>
        <v>-7.1428571428571397E-2</v>
      </c>
      <c r="BI39" s="692">
        <f t="shared" si="155"/>
        <v>4.6666666666666634E-2</v>
      </c>
      <c r="BJ39" s="691">
        <f t="shared" ref="BJ39:BS39" si="156">BJ22/BE22-1</f>
        <v>-2.5000000000000022E-2</v>
      </c>
      <c r="BK39" s="691">
        <f t="shared" si="156"/>
        <v>0.10526315789473695</v>
      </c>
      <c r="BL39" s="691">
        <f t="shared" si="156"/>
        <v>2.4999999999999911E-2</v>
      </c>
      <c r="BM39" s="691">
        <f t="shared" si="156"/>
        <v>5.1282051282051322E-2</v>
      </c>
      <c r="BN39" s="692">
        <f t="shared" si="156"/>
        <v>3.8216560509554132E-2</v>
      </c>
      <c r="BO39" s="691">
        <f t="shared" si="156"/>
        <v>0.46153846153846145</v>
      </c>
      <c r="BP39" s="691">
        <f t="shared" si="156"/>
        <v>0.45238095238095233</v>
      </c>
      <c r="BQ39" s="691">
        <f t="shared" si="156"/>
        <v>0.46341463414634143</v>
      </c>
      <c r="BR39" s="691">
        <f t="shared" si="156"/>
        <v>0.39024390243902429</v>
      </c>
      <c r="BS39" s="692">
        <f t="shared" si="156"/>
        <v>0.44171779141104284</v>
      </c>
      <c r="BT39" s="691">
        <f t="shared" ref="BT39:CC39" si="157">BT22/BO22-1</f>
        <v>1.7543859649122862E-2</v>
      </c>
      <c r="BU39" s="691">
        <f t="shared" si="157"/>
        <v>1.6393442622950838E-2</v>
      </c>
      <c r="BV39" s="691">
        <f t="shared" si="157"/>
        <v>1.6666666666666607E-2</v>
      </c>
      <c r="BW39" s="691">
        <f t="shared" si="157"/>
        <v>7.0175438596491224E-2</v>
      </c>
      <c r="BX39" s="692">
        <f t="shared" si="157"/>
        <v>2.9787234042553123E-2</v>
      </c>
      <c r="BY39" s="691">
        <f t="shared" si="157"/>
        <v>1.7241379310344751E-2</v>
      </c>
      <c r="BZ39" s="691">
        <f t="shared" si="157"/>
        <v>-1.6129032258064502E-2</v>
      </c>
      <c r="CA39" s="691">
        <f t="shared" si="157"/>
        <v>-3.2786885245901676E-2</v>
      </c>
      <c r="CB39" s="691">
        <f t="shared" si="157"/>
        <v>8.1967213114754189E-2</v>
      </c>
      <c r="CC39" s="692">
        <f t="shared" si="157"/>
        <v>1.2396694214876103E-2</v>
      </c>
      <c r="CD39" s="691">
        <f t="shared" ref="CD39:CM39" si="158">CD22/BY22-1</f>
        <v>6.7796610169491567E-2</v>
      </c>
      <c r="CE39" s="691">
        <f t="shared" si="158"/>
        <v>3.2786885245901676E-2</v>
      </c>
      <c r="CF39" s="691">
        <f t="shared" si="158"/>
        <v>5.0847457627118731E-2</v>
      </c>
      <c r="CG39" s="691">
        <f t="shared" si="158"/>
        <v>-7.5757575757575801E-2</v>
      </c>
      <c r="CH39" s="692">
        <f t="shared" si="158"/>
        <v>1.6326530612244872E-2</v>
      </c>
      <c r="CI39" s="691">
        <f t="shared" si="158"/>
        <v>1.5873015873015817E-2</v>
      </c>
      <c r="CJ39" s="691">
        <f t="shared" si="158"/>
        <v>0</v>
      </c>
      <c r="CK39" s="691">
        <f t="shared" si="158"/>
        <v>-1.6129032258064502E-2</v>
      </c>
      <c r="CL39" s="691">
        <f t="shared" si="158"/>
        <v>-6.557377049180324E-2</v>
      </c>
      <c r="CM39" s="692">
        <f t="shared" si="158"/>
        <v>-1.6064257028112428E-2</v>
      </c>
      <c r="CN39" s="691">
        <f t="shared" ref="CN39:CW39" si="159">CN22/CI22-1</f>
        <v>-0.546875</v>
      </c>
      <c r="CO39" s="691">
        <f t="shared" si="159"/>
        <v>-0.50793650793650791</v>
      </c>
      <c r="CP39" s="691">
        <f t="shared" si="159"/>
        <v>-0.52459016393442626</v>
      </c>
      <c r="CQ39" s="691">
        <f t="shared" si="159"/>
        <v>-0.49122807017543857</v>
      </c>
      <c r="CR39" s="692">
        <f t="shared" si="159"/>
        <v>-0.51836734693877551</v>
      </c>
      <c r="CS39" s="691">
        <f t="shared" si="159"/>
        <v>-6.8965517241379337E-2</v>
      </c>
      <c r="CT39" s="691">
        <f t="shared" si="159"/>
        <v>-9.6774193548387122E-2</v>
      </c>
      <c r="CU39" s="691">
        <f t="shared" si="159"/>
        <v>-6.8965517241379337E-2</v>
      </c>
      <c r="CV39" s="691">
        <f t="shared" si="159"/>
        <v>-6.8965517241379337E-2</v>
      </c>
      <c r="CW39" s="692">
        <f t="shared" si="159"/>
        <v>-7.6271186440677985E-2</v>
      </c>
      <c r="CX39" s="691">
        <f t="shared" ref="CX39:DF39" si="160">CX22/CS22-1</f>
        <v>-7.407407407407407E-2</v>
      </c>
      <c r="CY39" s="691">
        <f t="shared" si="160"/>
        <v>-0.1071428571428571</v>
      </c>
      <c r="CZ39" s="691">
        <f t="shared" si="160"/>
        <v>-3.703703703703709E-2</v>
      </c>
      <c r="DA39" s="691">
        <f t="shared" si="160"/>
        <v>-0.11111111111111116</v>
      </c>
      <c r="DB39" s="692">
        <f t="shared" si="160"/>
        <v>-8.256880733944949E-2</v>
      </c>
      <c r="DC39" s="691">
        <f t="shared" si="160"/>
        <v>0</v>
      </c>
      <c r="DD39" s="691">
        <f t="shared" si="160"/>
        <v>0</v>
      </c>
      <c r="DE39" s="691">
        <f t="shared" si="160"/>
        <v>0</v>
      </c>
      <c r="DF39" s="691">
        <f t="shared" si="160"/>
        <v>8.3333333333333259E-2</v>
      </c>
      <c r="DG39" s="692">
        <f t="shared" ref="DG39:DL39" si="161">DG22/DB22-1</f>
        <v>2.0000000000000018E-2</v>
      </c>
      <c r="DH39" s="691">
        <f t="shared" si="161"/>
        <v>0</v>
      </c>
      <c r="DI39" s="691">
        <f t="shared" si="161"/>
        <v>8.0000000000000071E-2</v>
      </c>
      <c r="DJ39" s="691">
        <f t="shared" si="161"/>
        <v>-7.6923076923076872E-2</v>
      </c>
      <c r="DK39" s="691">
        <f t="shared" si="161"/>
        <v>-3.8461538461538436E-2</v>
      </c>
      <c r="DL39" s="692">
        <f t="shared" si="161"/>
        <v>-9.8039215686274161E-3</v>
      </c>
      <c r="DM39" s="691">
        <f t="shared" ref="DM39:DU40" si="162">DM22/DH22-1</f>
        <v>0</v>
      </c>
      <c r="DN39" s="691">
        <f t="shared" si="162"/>
        <v>-7.407407407407407E-2</v>
      </c>
      <c r="DO39" s="691">
        <f t="shared" si="162"/>
        <v>4.1666666666666741E-2</v>
      </c>
      <c r="DP39" s="691">
        <f t="shared" si="162"/>
        <v>0</v>
      </c>
      <c r="DQ39" s="692">
        <f t="shared" ref="DQ39:DQ40" si="163">DQ22/DL22-1</f>
        <v>-9.9009900990099098E-3</v>
      </c>
      <c r="DR39" s="691">
        <f t="shared" si="162"/>
        <v>-4.0000000000000036E-2</v>
      </c>
      <c r="DS39" s="691">
        <f t="shared" si="162"/>
        <v>0</v>
      </c>
      <c r="DT39" s="691">
        <f t="shared" si="162"/>
        <v>-7.999999999999996E-2</v>
      </c>
      <c r="DU39" s="691">
        <f t="shared" si="162"/>
        <v>-4.0000000000000036E-2</v>
      </c>
      <c r="DV39" s="692">
        <f t="shared" ref="DV39:DV40" si="164">DV22/DQ22-1</f>
        <v>-4.0000000000000036E-2</v>
      </c>
      <c r="EA39" s="692"/>
      <c r="EF39" s="692"/>
      <c r="EG39" s="1677"/>
      <c r="EH39" s="1677"/>
      <c r="EK39" s="692"/>
      <c r="EL39" s="1677"/>
      <c r="EM39" s="1677"/>
      <c r="EP39" s="692"/>
      <c r="EQ39" s="1677"/>
      <c r="ER39" s="1678"/>
      <c r="ES39" s="1678"/>
      <c r="ET39" s="1678"/>
      <c r="EU39" s="1679"/>
      <c r="EV39" s="1654"/>
      <c r="EW39" s="1654"/>
      <c r="EX39" s="1654"/>
      <c r="EY39" s="1654"/>
      <c r="EZ39" s="1655"/>
      <c r="FA39" s="1654"/>
      <c r="FB39" s="1654"/>
      <c r="FC39" s="1654"/>
      <c r="FD39" s="1654"/>
      <c r="FE39" s="1655"/>
      <c r="FG39" s="466"/>
      <c r="FH39" s="767"/>
      <c r="FI39" s="767"/>
      <c r="FJ39" s="767"/>
      <c r="FK39" s="185"/>
      <c r="FL39" s="1338"/>
      <c r="FM39" s="1525">
        <f t="shared" si="107"/>
        <v>0</v>
      </c>
      <c r="FN39" s="1417">
        <f t="shared" si="108"/>
        <v>0</v>
      </c>
      <c r="FO39" s="1804"/>
      <c r="FP39" s="1505"/>
      <c r="FQ39" s="1612">
        <f t="shared" si="118"/>
        <v>0</v>
      </c>
      <c r="FR39" s="1615" t="s">
        <v>736</v>
      </c>
      <c r="FS39" s="1619"/>
      <c r="FT39" s="432"/>
      <c r="FU39" s="432"/>
      <c r="FV39" s="432"/>
      <c r="FW39" s="432"/>
      <c r="FX39" s="432"/>
      <c r="FY39" s="432"/>
      <c r="FZ39" s="466"/>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row>
    <row r="40" spans="1:258" s="185" customFormat="1" collapsed="1" x14ac:dyDescent="0.2">
      <c r="A40" s="556" t="str">
        <f t="shared" si="154"/>
        <v>Total Carloads YoY % Chg.</v>
      </c>
      <c r="F40" s="225"/>
      <c r="K40" s="225"/>
      <c r="P40" s="225"/>
      <c r="U40" s="225"/>
      <c r="V40" s="185">
        <f t="shared" ref="V40:AY40" si="165">V23/Q23-1</f>
        <v>-1.7541218098321099E-2</v>
      </c>
      <c r="W40" s="185">
        <f t="shared" si="165"/>
        <v>-6.5994025926433553E-3</v>
      </c>
      <c r="X40" s="185">
        <f t="shared" si="165"/>
        <v>-2.2522522522522292E-3</v>
      </c>
      <c r="Y40" s="185">
        <f t="shared" si="165"/>
        <v>-1.0909090909090868E-2</v>
      </c>
      <c r="Z40" s="225">
        <f t="shared" si="165"/>
        <v>-9.3188502889797187E-3</v>
      </c>
      <c r="AA40" s="185">
        <f t="shared" si="165"/>
        <v>5.4406130268199293E-2</v>
      </c>
      <c r="AB40" s="185">
        <f t="shared" si="165"/>
        <v>8.2962962962962905E-2</v>
      </c>
      <c r="AC40" s="185">
        <f t="shared" si="165"/>
        <v>8.2768999247554653E-2</v>
      </c>
      <c r="AD40" s="185">
        <f t="shared" si="165"/>
        <v>9.2647058823529305E-2</v>
      </c>
      <c r="AE40" s="225">
        <f t="shared" si="165"/>
        <v>7.8405688622754433E-2</v>
      </c>
      <c r="AF40" s="185">
        <f t="shared" si="165"/>
        <v>1.0901162790697638E-2</v>
      </c>
      <c r="AG40" s="185">
        <f t="shared" si="165"/>
        <v>-4.1039671682626566E-2</v>
      </c>
      <c r="AH40" s="185">
        <f t="shared" si="165"/>
        <v>-4.2390548992355837E-2</v>
      </c>
      <c r="AI40" s="185">
        <f t="shared" si="165"/>
        <v>-6.3257065948855939E-2</v>
      </c>
      <c r="AJ40" s="225">
        <f t="shared" si="165"/>
        <v>-3.4704147145583897E-2</v>
      </c>
      <c r="AK40" s="185">
        <f t="shared" si="165"/>
        <v>-4.4572250179726769E-2</v>
      </c>
      <c r="AL40" s="185">
        <f t="shared" si="165"/>
        <v>5.7061340941511052E-3</v>
      </c>
      <c r="AM40" s="185">
        <f t="shared" si="165"/>
        <v>4.3541364296080243E-3</v>
      </c>
      <c r="AN40" s="185">
        <f t="shared" si="165"/>
        <v>1.4367816091954033E-2</v>
      </c>
      <c r="AO40" s="225">
        <f t="shared" si="165"/>
        <v>-5.0332554377134908E-3</v>
      </c>
      <c r="AP40" s="185">
        <f t="shared" si="165"/>
        <v>5.8690744920993243E-2</v>
      </c>
      <c r="AQ40" s="185">
        <f t="shared" si="165"/>
        <v>1.9148936170212849E-2</v>
      </c>
      <c r="AR40" s="185">
        <f t="shared" si="165"/>
        <v>2.3843930635838229E-2</v>
      </c>
      <c r="AS40" s="185">
        <f t="shared" si="165"/>
        <v>3.4702549575070796E-2</v>
      </c>
      <c r="AT40" s="225">
        <f t="shared" si="165"/>
        <v>3.3785004516711847E-2</v>
      </c>
      <c r="AU40" s="185">
        <f t="shared" si="165"/>
        <v>-7.1073205401561701E-4</v>
      </c>
      <c r="AV40" s="185">
        <f t="shared" si="165"/>
        <v>8.3507306889352151E-3</v>
      </c>
      <c r="AW40" s="185">
        <f t="shared" si="165"/>
        <v>7.057163020465218E-4</v>
      </c>
      <c r="AX40" s="185">
        <f t="shared" si="165"/>
        <v>1.3689253935660339E-3</v>
      </c>
      <c r="AY40" s="225">
        <f t="shared" si="165"/>
        <v>2.4466969591052656E-3</v>
      </c>
      <c r="AZ40" s="185">
        <f t="shared" ref="AZ40:CE40" si="166">AZ23/AU23-1</f>
        <v>5.6899004267425335E-2</v>
      </c>
      <c r="BA40" s="185">
        <f t="shared" si="166"/>
        <v>8.212560386473422E-2</v>
      </c>
      <c r="BB40" s="185">
        <f t="shared" si="166"/>
        <v>0.29407616361071942</v>
      </c>
      <c r="BC40" s="185">
        <f t="shared" si="166"/>
        <v>0.26042378673957622</v>
      </c>
      <c r="BD40" s="225">
        <f t="shared" si="166"/>
        <v>0.17381450488145056</v>
      </c>
      <c r="BE40" s="185">
        <f t="shared" si="166"/>
        <v>0.24293405114401079</v>
      </c>
      <c r="BF40" s="185">
        <f t="shared" si="166"/>
        <v>0.18558673469387754</v>
      </c>
      <c r="BG40" s="185">
        <f t="shared" si="166"/>
        <v>-7.629427792915533E-3</v>
      </c>
      <c r="BH40" s="185">
        <f t="shared" si="166"/>
        <v>-2.8741865509761433E-2</v>
      </c>
      <c r="BI40" s="225">
        <f t="shared" si="166"/>
        <v>8.6885489380662317E-2</v>
      </c>
      <c r="BJ40" s="185">
        <f t="shared" si="166"/>
        <v>-4.0064970221981633E-2</v>
      </c>
      <c r="BK40" s="185">
        <f t="shared" si="166"/>
        <v>-3.3351264120494939E-2</v>
      </c>
      <c r="BL40" s="185">
        <f t="shared" si="166"/>
        <v>-2.5809994508511847E-2</v>
      </c>
      <c r="BM40" s="185">
        <f t="shared" si="166"/>
        <v>-9.4919039642658021E-3</v>
      </c>
      <c r="BN40" s="225">
        <f t="shared" si="166"/>
        <v>-2.7329871549603757E-2</v>
      </c>
      <c r="BO40" s="185">
        <f t="shared" si="166"/>
        <v>-4.2301184433164107E-2</v>
      </c>
      <c r="BP40" s="185">
        <f t="shared" si="166"/>
        <v>7.2342793544797335E-3</v>
      </c>
      <c r="BQ40" s="185">
        <f t="shared" si="166"/>
        <v>2.1420518602029315E-2</v>
      </c>
      <c r="BR40" s="185">
        <f t="shared" si="166"/>
        <v>-1.6910935738444488E-3</v>
      </c>
      <c r="BS40" s="225">
        <f t="shared" si="166"/>
        <v>-3.7932003371733414E-3</v>
      </c>
      <c r="BT40" s="185">
        <f t="shared" si="166"/>
        <v>2.9446407538280317E-2</v>
      </c>
      <c r="BU40" s="185">
        <f t="shared" si="166"/>
        <v>2.0441988950276269E-2</v>
      </c>
      <c r="BV40" s="185">
        <f t="shared" si="166"/>
        <v>4.9668874172186239E-3</v>
      </c>
      <c r="BW40" s="185">
        <f t="shared" si="166"/>
        <v>5.4206662902315017E-2</v>
      </c>
      <c r="BX40" s="225">
        <f t="shared" si="166"/>
        <v>2.7076575941334058E-2</v>
      </c>
      <c r="BY40" s="185">
        <f t="shared" si="166"/>
        <v>4.3478260869565188E-2</v>
      </c>
      <c r="BZ40" s="185">
        <f t="shared" si="166"/>
        <v>3.1943692474282637E-2</v>
      </c>
      <c r="CA40" s="185">
        <f t="shared" si="166"/>
        <v>-2.1965952773201902E-3</v>
      </c>
      <c r="CB40" s="185">
        <f t="shared" si="166"/>
        <v>6.2131762185324124E-2</v>
      </c>
      <c r="CC40" s="225">
        <f t="shared" si="166"/>
        <v>3.3914595633667499E-2</v>
      </c>
      <c r="CD40" s="185">
        <f t="shared" si="166"/>
        <v>1.0964912280701844E-2</v>
      </c>
      <c r="CE40" s="185">
        <f t="shared" si="166"/>
        <v>-1.9412381951731339E-2</v>
      </c>
      <c r="CF40" s="185">
        <f t="shared" ref="CF40:DC40" si="167">CF23/CA23-1</f>
        <v>1.1007154650521933E-3</v>
      </c>
      <c r="CG40" s="185">
        <f t="shared" si="167"/>
        <v>-8.3207261724659642E-2</v>
      </c>
      <c r="CH40" s="225">
        <f t="shared" si="167"/>
        <v>-2.3904382470119501E-2</v>
      </c>
      <c r="CI40" s="185">
        <f t="shared" si="167"/>
        <v>-9.761388286334105E-3</v>
      </c>
      <c r="CJ40" s="185">
        <f t="shared" si="167"/>
        <v>5.3504547886573661E-4</v>
      </c>
      <c r="CK40" s="185">
        <f t="shared" si="167"/>
        <v>1.8141836173721781E-2</v>
      </c>
      <c r="CL40" s="185">
        <f t="shared" si="167"/>
        <v>-4.4004400440044167E-3</v>
      </c>
      <c r="CM40" s="225">
        <f t="shared" si="167"/>
        <v>1.0884353741495989E-3</v>
      </c>
      <c r="CN40" s="185">
        <f t="shared" si="167"/>
        <v>-3.8882803943044886E-2</v>
      </c>
      <c r="CO40" s="185">
        <f t="shared" si="167"/>
        <v>-2.2994652406417071E-2</v>
      </c>
      <c r="CP40" s="185">
        <f t="shared" si="167"/>
        <v>-4.2656587473002161E-2</v>
      </c>
      <c r="CQ40" s="185">
        <f t="shared" si="167"/>
        <v>-2.707182320441992E-2</v>
      </c>
      <c r="CR40" s="225">
        <f t="shared" si="167"/>
        <v>-3.2889372111986948E-2</v>
      </c>
      <c r="CS40" s="185">
        <f t="shared" si="167"/>
        <v>-2.165242165242165E-2</v>
      </c>
      <c r="CT40" s="185">
        <f t="shared" si="167"/>
        <v>-2.8461959496442257E-2</v>
      </c>
      <c r="CU40" s="185">
        <f t="shared" si="167"/>
        <v>-2.3124647490129768E-2</v>
      </c>
      <c r="CV40" s="185">
        <f t="shared" si="167"/>
        <v>-8.972174900624641E-2</v>
      </c>
      <c r="CW40" s="225">
        <f t="shared" si="167"/>
        <v>-4.0612703766160774E-2</v>
      </c>
      <c r="CX40" s="185">
        <f t="shared" si="167"/>
        <v>-0.17355853232382057</v>
      </c>
      <c r="CY40" s="185">
        <f t="shared" si="167"/>
        <v>-0.20507042253521124</v>
      </c>
      <c r="CZ40" s="185">
        <f t="shared" si="167"/>
        <v>-0.15415704387990758</v>
      </c>
      <c r="DA40" s="185">
        <f t="shared" si="167"/>
        <v>-6.5502183406113579E-2</v>
      </c>
      <c r="DB40" s="225">
        <f t="shared" si="167"/>
        <v>-0.15145744836677899</v>
      </c>
      <c r="DC40" s="185">
        <f t="shared" si="167"/>
        <v>4.721634954193088E-2</v>
      </c>
      <c r="DD40" s="185">
        <f t="shared" ref="DD40:ED40" si="168">DD23/CY23-1</f>
        <v>0.1325301204819278</v>
      </c>
      <c r="DE40" s="185">
        <f t="shared" si="168"/>
        <v>9.8293515358361727E-2</v>
      </c>
      <c r="DF40" s="185">
        <f t="shared" si="168"/>
        <v>0.1288384512683578</v>
      </c>
      <c r="DG40" s="225">
        <f>DG23/DB23-1</f>
        <v>0.10201967892283781</v>
      </c>
      <c r="DH40" s="185">
        <f t="shared" si="168"/>
        <v>7.1332436069986516E-2</v>
      </c>
      <c r="DI40" s="185">
        <f t="shared" si="168"/>
        <v>3.0037546933667114E-2</v>
      </c>
      <c r="DJ40" s="185">
        <f t="shared" si="168"/>
        <v>6.2150403977625501E-3</v>
      </c>
      <c r="DK40" s="185">
        <f t="shared" si="168"/>
        <v>-4.2578356002365481E-2</v>
      </c>
      <c r="DL40" s="225">
        <f>DL23/DG23-1</f>
        <v>1.4411027568922208E-2</v>
      </c>
      <c r="DM40" s="185">
        <f t="shared" si="168"/>
        <v>6.2814070351759899E-3</v>
      </c>
      <c r="DN40" s="185">
        <f t="shared" si="168"/>
        <v>-3.6452004860266785E-3</v>
      </c>
      <c r="DO40" s="185">
        <f t="shared" si="162"/>
        <v>-1.1735639283508292E-2</v>
      </c>
      <c r="DP40" s="185">
        <f t="shared" si="168"/>
        <v>-3.2118591723286016E-2</v>
      </c>
      <c r="DQ40" s="225">
        <f t="shared" si="163"/>
        <v>-1.0345892526250733E-2</v>
      </c>
      <c r="DR40" s="185">
        <f t="shared" si="168"/>
        <v>-1.6485642946317158E-2</v>
      </c>
      <c r="DS40" s="185">
        <f t="shared" si="168"/>
        <v>9.7560975609756184E-3</v>
      </c>
      <c r="DT40" s="185">
        <f t="shared" si="168"/>
        <v>2.6874999999999982E-2</v>
      </c>
      <c r="DU40" s="185">
        <f t="shared" si="168"/>
        <v>6.0625398851308132E-2</v>
      </c>
      <c r="DV40" s="225">
        <f t="shared" si="164"/>
        <v>1.9907941956623487E-2</v>
      </c>
      <c r="DW40" s="185">
        <f t="shared" si="168"/>
        <v>2.8186266731827558E-2</v>
      </c>
      <c r="DX40" s="185">
        <f t="shared" si="168"/>
        <v>7.5483091787439616E-2</v>
      </c>
      <c r="DY40" s="185">
        <f t="shared" si="168"/>
        <v>6.9993913572732769E-2</v>
      </c>
      <c r="DZ40" s="185">
        <f t="shared" si="168"/>
        <v>6.0950661853188981E-2</v>
      </c>
      <c r="EA40" s="225">
        <f t="shared" ref="EA40" si="169">EA23/DV23-1</f>
        <v>5.900783130041809E-2</v>
      </c>
      <c r="EB40" s="185">
        <f t="shared" si="168"/>
        <v>9.1543209876543408E-3</v>
      </c>
      <c r="EC40" s="185">
        <f t="shared" si="168"/>
        <v>-1.2352610892756855E-2</v>
      </c>
      <c r="ED40" s="185">
        <f t="shared" si="168"/>
        <v>-2.6166097838452806E-2</v>
      </c>
      <c r="EE40" s="185">
        <f t="shared" ref="EE40" si="170">EE23/DZ23-1</f>
        <v>-6.1418930414563699E-2</v>
      </c>
      <c r="EF40" s="225">
        <f t="shared" ref="EF40:EI40" si="171">EF23/EA23-1</f>
        <v>-2.3326062146974302E-2</v>
      </c>
      <c r="EG40" s="1680">
        <f t="shared" si="171"/>
        <v>-5.1277502859624513E-2</v>
      </c>
      <c r="EH40" s="1680">
        <f t="shared" si="171"/>
        <v>-9.3234792495736185E-2</v>
      </c>
      <c r="EI40" s="185">
        <f t="shared" si="171"/>
        <v>-8.0607476635514042E-2</v>
      </c>
      <c r="EJ40" s="185">
        <f t="shared" ref="EJ40" si="172">EJ23/EE23-1</f>
        <v>4.5921450151057419E-2</v>
      </c>
      <c r="EK40" s="225">
        <f t="shared" ref="EK40:EQ40" si="173">EK23/EF23-1</f>
        <v>-4.5827213522599997E-2</v>
      </c>
      <c r="EL40" s="1680">
        <f t="shared" si="173"/>
        <v>2.6434558349452075E-2</v>
      </c>
      <c r="EM40" s="1680">
        <f t="shared" si="173"/>
        <v>1.5673981191222541E-2</v>
      </c>
      <c r="EN40" s="185">
        <f t="shared" si="173"/>
        <v>8.2592121982210109E-3</v>
      </c>
      <c r="EO40" s="185">
        <f t="shared" si="173"/>
        <v>-7.5101097631426916E-2</v>
      </c>
      <c r="EP40" s="225">
        <f t="shared" si="173"/>
        <v>-7.9057510463493852E-3</v>
      </c>
      <c r="EQ40" s="1680">
        <f t="shared" si="173"/>
        <v>-3.7688442211055273E-2</v>
      </c>
      <c r="ER40" s="1680">
        <f t="shared" ref="ER40" si="174">ER23/EM23-1</f>
        <v>-2.1253086419752987E-2</v>
      </c>
      <c r="ES40" s="1680">
        <f t="shared" ref="ES40:EU40" si="175">ES23/EN23-1</f>
        <v>7.0132325141778473E-3</v>
      </c>
      <c r="ET40" s="1680">
        <f t="shared" si="175"/>
        <v>2.7829481574016102E-2</v>
      </c>
      <c r="EU40" s="1681">
        <f t="shared" si="175"/>
        <v>-6.0539062500000185E-3</v>
      </c>
      <c r="EV40" s="722"/>
      <c r="EW40" s="722"/>
      <c r="EX40" s="722"/>
      <c r="EY40" s="722"/>
      <c r="EZ40" s="1191">
        <f>EZ23/EU23-1</f>
        <v>1.2525523658460491E-2</v>
      </c>
      <c r="FA40" s="722"/>
      <c r="FB40" s="722"/>
      <c r="FC40" s="722"/>
      <c r="FD40" s="722"/>
      <c r="FE40" s="1191">
        <f>FE23/EZ23-1</f>
        <v>1.6417420143809869E-2</v>
      </c>
      <c r="FG40" s="466"/>
      <c r="FH40" s="767"/>
      <c r="FI40" s="767"/>
      <c r="FJ40" s="767"/>
      <c r="FL40" s="1338"/>
      <c r="FM40" s="1526">
        <f t="shared" si="107"/>
        <v>-3.7688442211055273E-2</v>
      </c>
      <c r="FN40" s="767">
        <f t="shared" si="108"/>
        <v>2.6434558349452075E-2</v>
      </c>
      <c r="FO40" s="1805">
        <v>-3.5471105527638214E-2</v>
      </c>
      <c r="FP40" s="1738"/>
      <c r="FQ40" s="1506">
        <f t="shared" si="118"/>
        <v>-22.173366834170594</v>
      </c>
      <c r="FR40" s="1614"/>
      <c r="FS40" s="1619"/>
      <c r="FT40" s="432"/>
      <c r="FU40" s="432"/>
      <c r="FV40" s="432"/>
      <c r="FW40" s="432"/>
      <c r="FX40" s="432"/>
      <c r="FY40" s="432"/>
      <c r="FZ40" s="466"/>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row>
    <row r="41" spans="1:258" s="397" customFormat="1" x14ac:dyDescent="0.2">
      <c r="A41" s="396" t="s">
        <v>429</v>
      </c>
      <c r="F41" s="398"/>
      <c r="K41" s="398"/>
      <c r="P41" s="398"/>
      <c r="U41" s="398"/>
      <c r="Z41" s="398"/>
      <c r="AE41" s="398"/>
      <c r="AJ41" s="398"/>
      <c r="AO41" s="398"/>
      <c r="AT41" s="398"/>
      <c r="AY41" s="398"/>
      <c r="BD41" s="398"/>
      <c r="BI41" s="398"/>
      <c r="BN41" s="398"/>
      <c r="BS41" s="398"/>
      <c r="BX41" s="398"/>
      <c r="CC41" s="398"/>
      <c r="CH41" s="398"/>
      <c r="CM41" s="398"/>
      <c r="CR41" s="398"/>
      <c r="CW41" s="398"/>
      <c r="DB41" s="398"/>
      <c r="DG41" s="398"/>
      <c r="DL41" s="398"/>
      <c r="DQ41" s="398"/>
      <c r="DV41" s="398"/>
      <c r="EA41" s="398"/>
      <c r="EF41" s="398"/>
      <c r="EK41" s="398"/>
      <c r="EP41" s="398"/>
      <c r="EU41" s="398"/>
      <c r="EZ41" s="398"/>
      <c r="FE41" s="398"/>
      <c r="FG41" s="477"/>
      <c r="FH41" s="763"/>
      <c r="FI41" s="763"/>
      <c r="FJ41" s="763"/>
      <c r="FL41" s="1336"/>
      <c r="FN41" s="763"/>
      <c r="FO41" s="1739"/>
      <c r="FP41" s="1739"/>
      <c r="FQ41" s="727"/>
      <c r="FR41" s="1619"/>
      <c r="FS41" s="1615"/>
      <c r="FT41" s="399"/>
      <c r="FU41" s="399"/>
      <c r="FV41" s="399"/>
      <c r="FW41" s="399"/>
      <c r="FX41" s="399"/>
      <c r="FY41" s="399"/>
      <c r="FZ41" s="477"/>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row>
    <row r="42" spans="1:258" s="11" customFormat="1" x14ac:dyDescent="0.2">
      <c r="A42" s="570" t="s">
        <v>146</v>
      </c>
      <c r="F42" s="17"/>
      <c r="K42" s="17"/>
      <c r="P42" s="17"/>
      <c r="U42" s="17"/>
      <c r="Z42" s="17"/>
      <c r="AE42" s="17"/>
      <c r="AJ42" s="17"/>
      <c r="AO42" s="17"/>
      <c r="AT42" s="17"/>
      <c r="AY42" s="17"/>
      <c r="BD42" s="17"/>
      <c r="BI42" s="17"/>
      <c r="BJ42" s="11">
        <f t="shared" ref="BJ42:CO42" si="176">BJ45/BJ23*1000</f>
        <v>30456.852791878173</v>
      </c>
      <c r="BK42" s="11">
        <f t="shared" si="176"/>
        <v>29104.062326099054</v>
      </c>
      <c r="BL42" s="11">
        <f t="shared" si="176"/>
        <v>28579.481397970689</v>
      </c>
      <c r="BM42" s="11">
        <f t="shared" si="176"/>
        <v>32694.475760992107</v>
      </c>
      <c r="BN42" s="17">
        <f t="shared" si="176"/>
        <v>30205.113796010115</v>
      </c>
      <c r="BO42" s="11">
        <f t="shared" si="176"/>
        <v>29564.193168433452</v>
      </c>
      <c r="BP42" s="11">
        <f t="shared" si="176"/>
        <v>28121.54696132597</v>
      </c>
      <c r="BQ42" s="11">
        <f t="shared" si="176"/>
        <v>27207.505518763795</v>
      </c>
      <c r="BR42" s="11">
        <f t="shared" si="176"/>
        <v>32185.206098249579</v>
      </c>
      <c r="BS42" s="17">
        <f t="shared" si="176"/>
        <v>29248.342969961926</v>
      </c>
      <c r="BT42" s="11">
        <f t="shared" si="176"/>
        <v>32608.695652173916</v>
      </c>
      <c r="BU42" s="11">
        <f t="shared" si="176"/>
        <v>31672.983216025987</v>
      </c>
      <c r="BV42" s="11">
        <f t="shared" si="176"/>
        <v>32015.376166941238</v>
      </c>
      <c r="BW42" s="11">
        <f t="shared" si="176"/>
        <v>32726.298875200853</v>
      </c>
      <c r="BX42" s="17">
        <f t="shared" si="176"/>
        <v>32253.192365783336</v>
      </c>
      <c r="BY42" s="11">
        <f t="shared" si="176"/>
        <v>32949.561403508771</v>
      </c>
      <c r="BZ42" s="11">
        <f t="shared" si="176"/>
        <v>32581.322140608605</v>
      </c>
      <c r="CA42" s="11">
        <f t="shared" si="176"/>
        <v>32250.963126031918</v>
      </c>
      <c r="CB42" s="11">
        <f t="shared" si="176"/>
        <v>34241.048915784166</v>
      </c>
      <c r="CC42" s="17">
        <f t="shared" si="176"/>
        <v>33027.88844621514</v>
      </c>
      <c r="CD42" s="11">
        <f t="shared" si="176"/>
        <v>33731.019522776573</v>
      </c>
      <c r="CE42" s="11">
        <f t="shared" si="176"/>
        <v>33440.342429106473</v>
      </c>
      <c r="CF42" s="11">
        <f t="shared" si="176"/>
        <v>33369.983507421661</v>
      </c>
      <c r="CG42" s="11">
        <f t="shared" si="176"/>
        <v>34103.410341034105</v>
      </c>
      <c r="CH42" s="17">
        <f t="shared" si="176"/>
        <v>33659.863945578232</v>
      </c>
      <c r="CI42" s="11">
        <f t="shared" si="176"/>
        <v>35104.052573932095</v>
      </c>
      <c r="CJ42" s="11">
        <f t="shared" si="176"/>
        <v>34117.647058823532</v>
      </c>
      <c r="CK42" s="11">
        <f t="shared" si="176"/>
        <v>34017.278617710581</v>
      </c>
      <c r="CL42" s="11">
        <f t="shared" si="176"/>
        <v>34475.138121546959</v>
      </c>
      <c r="CM42" s="17">
        <f t="shared" si="176"/>
        <v>34425.115520521875</v>
      </c>
      <c r="CN42" s="11">
        <f t="shared" si="176"/>
        <v>35270.655270655268</v>
      </c>
      <c r="CO42" s="11">
        <f t="shared" si="176"/>
        <v>35084.838533114395</v>
      </c>
      <c r="CP42" s="11">
        <f t="shared" ref="CP42:DQ42" si="177">CP45/CP23*1000</f>
        <v>34630.56965595037</v>
      </c>
      <c r="CQ42" s="11">
        <f t="shared" si="177"/>
        <v>34582.623509369674</v>
      </c>
      <c r="CR42" s="17">
        <f t="shared" si="177"/>
        <v>34893.198426082068</v>
      </c>
      <c r="CS42" s="11">
        <f t="shared" si="177"/>
        <v>36517.181129877688</v>
      </c>
      <c r="CT42" s="11">
        <f t="shared" si="177"/>
        <v>36140.845070422532</v>
      </c>
      <c r="CU42" s="11">
        <f t="shared" si="177"/>
        <v>35941.108545034644</v>
      </c>
      <c r="CV42" s="11">
        <f t="shared" si="177"/>
        <v>36119.775421085462</v>
      </c>
      <c r="CW42" s="17">
        <f t="shared" si="177"/>
        <v>36179.874029588398</v>
      </c>
      <c r="CX42" s="11">
        <f t="shared" si="177"/>
        <v>37420.718816067652</v>
      </c>
      <c r="CY42" s="11">
        <f t="shared" si="177"/>
        <v>36853.295535081503</v>
      </c>
      <c r="CZ42" s="11">
        <f t="shared" si="177"/>
        <v>36313.993174061427</v>
      </c>
      <c r="DA42" s="11">
        <f t="shared" si="177"/>
        <v>34445.927903871823</v>
      </c>
      <c r="DB42" s="17">
        <f t="shared" si="177"/>
        <v>36233.385119972379</v>
      </c>
      <c r="DC42" s="11">
        <f t="shared" si="177"/>
        <v>36541.049798115753</v>
      </c>
      <c r="DD42" s="11">
        <f t="shared" si="177"/>
        <v>36420.525657071339</v>
      </c>
      <c r="DE42" s="11">
        <f t="shared" si="177"/>
        <v>35301.429459291481</v>
      </c>
      <c r="DF42" s="11">
        <f t="shared" si="177"/>
        <v>35304.553518628032</v>
      </c>
      <c r="DG42" s="17">
        <f t="shared" si="177"/>
        <v>35870.92731829574</v>
      </c>
      <c r="DH42" s="11">
        <f t="shared" si="177"/>
        <v>36055.276381909549</v>
      </c>
      <c r="DI42" s="11">
        <f t="shared" si="177"/>
        <v>35358.444714459292</v>
      </c>
      <c r="DJ42" s="11">
        <f t="shared" si="177"/>
        <v>34774.552192711555</v>
      </c>
      <c r="DK42" s="11">
        <f t="shared" si="177"/>
        <v>35021.618282890668</v>
      </c>
      <c r="DL42" s="17">
        <f t="shared" si="177"/>
        <v>35299.567634342187</v>
      </c>
      <c r="DM42" s="11">
        <f t="shared" si="177"/>
        <v>35455.680399500619</v>
      </c>
      <c r="DN42" s="11">
        <f t="shared" si="177"/>
        <v>34878.048780487799</v>
      </c>
      <c r="DO42" s="11">
        <f>DO45/DO23*1000</f>
        <v>34750</v>
      </c>
      <c r="DP42" s="11">
        <f>DP45/DP23*1000</f>
        <v>34333.120612635612</v>
      </c>
      <c r="DQ42" s="17">
        <f t="shared" si="177"/>
        <v>34857.232017475428</v>
      </c>
      <c r="DR42" s="11">
        <f t="shared" ref="DR42:EA42" si="178">DR45/DR23*1000</f>
        <v>35351.836454915298</v>
      </c>
      <c r="DS42" s="11">
        <f t="shared" si="178"/>
        <v>34661.835748792269</v>
      </c>
      <c r="DT42" s="11">
        <f t="shared" si="178"/>
        <v>34266.5855143031</v>
      </c>
      <c r="DU42" s="11">
        <f>DU45/DU23*1000</f>
        <v>34897.71359807461</v>
      </c>
      <c r="DV42" s="17">
        <f t="shared" si="178"/>
        <v>34788.781306461009</v>
      </c>
      <c r="DW42" s="11">
        <f>DW45/DW23*1000</f>
        <v>35493.827160493827</v>
      </c>
      <c r="DX42" s="11">
        <f>DX45/DX23*1000</f>
        <v>35654.126895002802</v>
      </c>
      <c r="DY42" s="11">
        <f>DY45/DY23*1000</f>
        <v>34812.286689419794</v>
      </c>
      <c r="DZ42" s="11">
        <f>DZ45/DZ23*1000</f>
        <v>35449.658554171961</v>
      </c>
      <c r="EA42" s="17">
        <f t="shared" si="178"/>
        <v>35350.733560893263</v>
      </c>
      <c r="EB42" s="11">
        <f>EB45/EB23*1000</f>
        <v>35905.874005248254</v>
      </c>
      <c r="EC42" s="11">
        <f>EC45/EC23*1000</f>
        <v>34110.289937464462</v>
      </c>
      <c r="ED42" s="11">
        <f t="shared" ref="ED42:EI42" si="179">ED45/ED23*1000</f>
        <v>33119.15887850467</v>
      </c>
      <c r="EE42" s="11">
        <f t="shared" si="179"/>
        <v>32628.398791540782</v>
      </c>
      <c r="EF42" s="17">
        <f t="shared" si="179"/>
        <v>33930.74518956992</v>
      </c>
      <c r="EG42" s="11">
        <f t="shared" si="179"/>
        <v>33010.96067053514</v>
      </c>
      <c r="EH42" s="11">
        <f t="shared" si="179"/>
        <v>32476.489028213167</v>
      </c>
      <c r="EI42" s="11">
        <f t="shared" si="179"/>
        <v>32083.862770012707</v>
      </c>
      <c r="EJ42" s="11">
        <f t="shared" ref="EJ42:EN42" si="180">EJ45/EJ23*1000</f>
        <v>32524.552281917971</v>
      </c>
      <c r="EK42" s="17">
        <f t="shared" si="180"/>
        <v>32522.089598511862</v>
      </c>
      <c r="EL42" s="11">
        <f t="shared" si="180"/>
        <v>33605.527638190957</v>
      </c>
      <c r="EM42" s="11">
        <f t="shared" si="180"/>
        <v>32716.04938271605</v>
      </c>
      <c r="EN42" s="11">
        <f t="shared" si="180"/>
        <v>32451.165721487079</v>
      </c>
      <c r="EO42" s="11">
        <f t="shared" ref="EO42:EQ42" si="181">EO45/EO23*1000</f>
        <v>31480.324797001875</v>
      </c>
      <c r="EP42" s="17">
        <f t="shared" si="181"/>
        <v>32562.5</v>
      </c>
      <c r="EQ42" s="11">
        <f t="shared" si="181"/>
        <v>31853.785900783289</v>
      </c>
      <c r="ER42" s="11">
        <f t="shared" ref="ER42" si="182">ER45/ER23*1000</f>
        <v>31989.796154832617</v>
      </c>
      <c r="ES42" s="11">
        <f t="shared" ref="ES42:ET42" si="183">ES45/ES23*1000</f>
        <v>32012.801292405242</v>
      </c>
      <c r="ET42" s="11">
        <f t="shared" si="183"/>
        <v>31280.037712031743</v>
      </c>
      <c r="EU42" s="17">
        <f>EU45/EU23*1000</f>
        <v>31779.21678597571</v>
      </c>
      <c r="EZ42" s="17">
        <f>EZ45/EZ23*1000</f>
        <v>31375.650985962613</v>
      </c>
      <c r="FE42" s="17">
        <f>FE45/FE23*1000</f>
        <v>31043.850141461629</v>
      </c>
      <c r="FG42" s="464"/>
      <c r="FH42" s="765"/>
      <c r="FI42" s="765"/>
      <c r="FJ42" s="765"/>
      <c r="FL42" s="1336"/>
      <c r="FM42" s="1527">
        <f t="shared" ref="FM42:FM57" si="184">+EQ42</f>
        <v>31853.785900783289</v>
      </c>
      <c r="FN42" s="765">
        <f t="shared" ref="FN42:FN57" si="185">EL42</f>
        <v>33605.527638190957</v>
      </c>
      <c r="FO42" s="1800">
        <v>32728.340669989997</v>
      </c>
      <c r="FP42" s="1734">
        <f>+FM42/FN42-1</f>
        <v>-5.212659525145813E-2</v>
      </c>
      <c r="FQ42" s="1522">
        <f>+FM42/FO42-1</f>
        <v>-2.6721634867624799E-2</v>
      </c>
      <c r="FR42" s="1619"/>
      <c r="FS42" s="1615"/>
      <c r="FT42" s="399"/>
      <c r="FU42" s="399"/>
      <c r="FV42" s="399"/>
      <c r="FW42" s="399"/>
      <c r="FX42" s="399"/>
      <c r="FY42" s="399"/>
      <c r="FZ42" s="464"/>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row>
    <row r="43" spans="1:258" s="8" customFormat="1" x14ac:dyDescent="0.2">
      <c r="A43" s="29" t="s">
        <v>463</v>
      </c>
      <c r="B43" s="10"/>
      <c r="C43" s="10"/>
      <c r="D43" s="10"/>
      <c r="E43" s="10"/>
      <c r="F43" s="9"/>
      <c r="G43" s="10"/>
      <c r="H43" s="10"/>
      <c r="I43" s="10"/>
      <c r="J43" s="10"/>
      <c r="K43" s="9"/>
      <c r="L43" s="10"/>
      <c r="M43" s="10"/>
      <c r="N43" s="10"/>
      <c r="O43" s="10"/>
      <c r="P43" s="9"/>
      <c r="Q43" s="10"/>
      <c r="R43" s="10"/>
      <c r="S43" s="10"/>
      <c r="T43" s="10"/>
      <c r="U43" s="9"/>
      <c r="V43" s="10"/>
      <c r="W43" s="10"/>
      <c r="X43" s="10"/>
      <c r="Y43" s="10"/>
      <c r="Z43" s="9"/>
      <c r="AA43" s="10"/>
      <c r="AB43" s="10"/>
      <c r="AC43" s="10"/>
      <c r="AD43" s="10"/>
      <c r="AE43" s="9"/>
      <c r="AF43" s="10"/>
      <c r="AG43" s="10"/>
      <c r="AH43" s="10"/>
      <c r="AI43" s="10"/>
      <c r="AJ43" s="9"/>
      <c r="AK43" s="10"/>
      <c r="AL43" s="10"/>
      <c r="AM43" s="10"/>
      <c r="AN43" s="10"/>
      <c r="AO43" s="9"/>
      <c r="AP43" s="10"/>
      <c r="AQ43" s="10"/>
      <c r="AR43" s="10"/>
      <c r="AS43" s="10"/>
      <c r="AT43" s="9"/>
      <c r="AU43" s="10"/>
      <c r="AV43" s="10"/>
      <c r="AW43" s="10"/>
      <c r="AX43" s="10"/>
      <c r="AY43" s="9"/>
      <c r="AZ43" s="10"/>
      <c r="BA43" s="10"/>
      <c r="BB43" s="10"/>
      <c r="BC43" s="10"/>
      <c r="BD43" s="9"/>
      <c r="BE43" s="10"/>
      <c r="BF43" s="10"/>
      <c r="BG43" s="10"/>
      <c r="BH43" s="10"/>
      <c r="BI43" s="9"/>
      <c r="BJ43" s="10"/>
      <c r="BK43" s="10"/>
      <c r="BL43" s="10"/>
      <c r="BM43" s="10"/>
      <c r="BN43" s="9"/>
      <c r="BO43" s="10">
        <f t="shared" ref="BO43:EC43" si="186">BO42/BJ42-1</f>
        <v>-2.9308990969768356E-2</v>
      </c>
      <c r="BP43" s="10">
        <f t="shared" si="186"/>
        <v>-3.3758701921553169E-2</v>
      </c>
      <c r="BQ43" s="10">
        <f t="shared" si="186"/>
        <v>-4.8005625438126809E-2</v>
      </c>
      <c r="BR43" s="10">
        <f t="shared" si="186"/>
        <v>-1.557662727078013E-2</v>
      </c>
      <c r="BS43" s="9">
        <f t="shared" si="186"/>
        <v>-3.1675789487493056E-2</v>
      </c>
      <c r="BT43" s="10">
        <f t="shared" si="186"/>
        <v>0.10297938680062368</v>
      </c>
      <c r="BU43" s="10">
        <f t="shared" si="186"/>
        <v>0.12628879412587479</v>
      </c>
      <c r="BV43" s="10">
        <f t="shared" si="186"/>
        <v>0.17671118893504101</v>
      </c>
      <c r="BW43" s="10">
        <f t="shared" si="186"/>
        <v>1.6811847508433564E-2</v>
      </c>
      <c r="BX43" s="9">
        <f t="shared" si="186"/>
        <v>0.10273571391402903</v>
      </c>
      <c r="BY43" s="10">
        <f t="shared" si="186"/>
        <v>1.0453216374268992E-2</v>
      </c>
      <c r="BZ43" s="10">
        <f t="shared" si="186"/>
        <v>2.8678666559044386E-2</v>
      </c>
      <c r="CA43" s="10">
        <f t="shared" si="186"/>
        <v>7.3585566467260222E-3</v>
      </c>
      <c r="CB43" s="10">
        <f t="shared" si="186"/>
        <v>4.6285406313732347E-2</v>
      </c>
      <c r="CC43" s="9">
        <f t="shared" si="186"/>
        <v>2.4019206274094707E-2</v>
      </c>
      <c r="CD43" s="10">
        <f t="shared" si="186"/>
        <v>2.3716798827694952E-2</v>
      </c>
      <c r="CE43" s="10">
        <f t="shared" si="186"/>
        <v>2.6365421415087464E-2</v>
      </c>
      <c r="CF43" s="10">
        <f t="shared" si="186"/>
        <v>3.4697270187460161E-2</v>
      </c>
      <c r="CG43" s="10">
        <f t="shared" si="186"/>
        <v>-4.0196950475607229E-3</v>
      </c>
      <c r="CH43" s="9">
        <f t="shared" si="186"/>
        <v>1.9134601971065868E-2</v>
      </c>
      <c r="CI43" s="10">
        <f t="shared" si="186"/>
        <v>4.0705352834899955E-2</v>
      </c>
      <c r="CJ43" s="10">
        <f t="shared" si="186"/>
        <v>2.0254117647058978E-2</v>
      </c>
      <c r="CK43" s="10">
        <f t="shared" si="186"/>
        <v>1.9397525627933287E-2</v>
      </c>
      <c r="CL43" s="10">
        <f t="shared" si="186"/>
        <v>1.0900017822135011E-2</v>
      </c>
      <c r="CM43" s="9">
        <f t="shared" si="186"/>
        <v>2.2734838625043441E-2</v>
      </c>
      <c r="CN43" s="10">
        <f t="shared" si="186"/>
        <v>4.7459676164822717E-3</v>
      </c>
      <c r="CO43" s="10">
        <f t="shared" si="186"/>
        <v>2.8348715625766685E-2</v>
      </c>
      <c r="CP43" s="10">
        <f t="shared" si="186"/>
        <v>1.8028809568572779E-2</v>
      </c>
      <c r="CQ43" s="10">
        <f t="shared" si="186"/>
        <v>3.1177652557550228E-3</v>
      </c>
      <c r="CR43" s="9">
        <f t="shared" si="186"/>
        <v>1.3597133908850756E-2</v>
      </c>
      <c r="CS43" s="10">
        <f t="shared" si="186"/>
        <v>3.5341726703317367E-2</v>
      </c>
      <c r="CT43" s="10">
        <f t="shared" si="186"/>
        <v>3.0098657467425349E-2</v>
      </c>
      <c r="CU43" s="10">
        <f t="shared" si="186"/>
        <v>3.7843411243426939E-2</v>
      </c>
      <c r="CV43" s="10">
        <f t="shared" si="186"/>
        <v>4.4448678432372768E-2</v>
      </c>
      <c r="CW43" s="9">
        <f t="shared" si="186"/>
        <v>3.6874682217281629E-2</v>
      </c>
      <c r="CX43" s="10">
        <f t="shared" si="186"/>
        <v>2.4742810321980446E-2</v>
      </c>
      <c r="CY43" s="10">
        <f t="shared" si="186"/>
        <v>1.9713165623845175E-2</v>
      </c>
      <c r="CZ43" s="10">
        <f t="shared" si="186"/>
        <v>1.0374878353002215E-2</v>
      </c>
      <c r="DA43" s="10">
        <f t="shared" si="186"/>
        <v>-4.634158152147605E-2</v>
      </c>
      <c r="DB43" s="9">
        <f t="shared" si="186"/>
        <v>1.4790292066859667E-3</v>
      </c>
      <c r="DC43" s="10">
        <f t="shared" si="186"/>
        <v>-2.3507539293290858E-2</v>
      </c>
      <c r="DD43" s="10">
        <f t="shared" si="186"/>
        <v>-1.1743044189852725E-2</v>
      </c>
      <c r="DE43" s="10">
        <f t="shared" si="186"/>
        <v>-2.7883568461240071E-2</v>
      </c>
      <c r="DF43" s="10">
        <f t="shared" si="186"/>
        <v>2.4926766877999995E-2</v>
      </c>
      <c r="DG43" s="9">
        <f>DG42/DB42-1</f>
        <v>-1.0003420891437687E-2</v>
      </c>
      <c r="DH43" s="10">
        <f t="shared" si="186"/>
        <v>-1.3293909695808792E-2</v>
      </c>
      <c r="DI43" s="10">
        <f t="shared" si="186"/>
        <v>-2.9161603888213983E-2</v>
      </c>
      <c r="DJ43" s="10">
        <f t="shared" si="186"/>
        <v>-1.4925097217026395E-2</v>
      </c>
      <c r="DK43" s="10">
        <f t="shared" si="186"/>
        <v>-8.014128704051604E-3</v>
      </c>
      <c r="DL43" s="9">
        <f>DL42/DG42-1</f>
        <v>-1.5928210577988988E-2</v>
      </c>
      <c r="DM43" s="10">
        <f t="shared" si="186"/>
        <v>-1.6629909477265059E-2</v>
      </c>
      <c r="DN43" s="10">
        <f t="shared" si="186"/>
        <v>-1.358645545218351E-2</v>
      </c>
      <c r="DO43" s="10">
        <f t="shared" si="186"/>
        <v>-7.060390763766744E-4</v>
      </c>
      <c r="DP43" s="10">
        <f t="shared" si="186"/>
        <v>-1.9659219191233479E-2</v>
      </c>
      <c r="DQ43" s="9">
        <f>DQ42/DL42-1</f>
        <v>-1.2530907501439814E-2</v>
      </c>
      <c r="DR43" s="10">
        <f t="shared" si="186"/>
        <v>-2.9288380145366943E-3</v>
      </c>
      <c r="DS43" s="10">
        <f t="shared" si="186"/>
        <v>-6.1991148947669883E-3</v>
      </c>
      <c r="DT43" s="10">
        <f t="shared" ref="DT43:EA43" si="187">DT42/DO42-1</f>
        <v>-1.3911208221493498E-2</v>
      </c>
      <c r="DU43" s="10">
        <f t="shared" si="186"/>
        <v>1.6444557772916646E-2</v>
      </c>
      <c r="DV43" s="9">
        <f t="shared" si="187"/>
        <v>-1.9637448831307802E-3</v>
      </c>
      <c r="DW43" s="10">
        <f t="shared" si="186"/>
        <v>4.0165015404394211E-3</v>
      </c>
      <c r="DX43" s="10">
        <f t="shared" si="186"/>
        <v>2.8627772441195853E-2</v>
      </c>
      <c r="DY43" s="10">
        <f t="shared" si="187"/>
        <v>1.592516928448906E-2</v>
      </c>
      <c r="DZ43" s="10">
        <f t="shared" si="186"/>
        <v>1.5816077879893031E-2</v>
      </c>
      <c r="EA43" s="9">
        <f t="shared" si="187"/>
        <v>1.6153260715916051E-2</v>
      </c>
      <c r="EB43" s="10">
        <f t="shared" si="186"/>
        <v>1.1608971973950721E-2</v>
      </c>
      <c r="EC43" s="10">
        <f t="shared" si="186"/>
        <v>-4.3300371990169784E-2</v>
      </c>
      <c r="ED43" s="10">
        <f t="shared" ref="ED43:EI43" si="188">ED42/DY42-1</f>
        <v>-4.863592633315017E-2</v>
      </c>
      <c r="EE43" s="10">
        <f t="shared" si="188"/>
        <v>-7.9584962950204674E-2</v>
      </c>
      <c r="EF43" s="9">
        <f t="shared" si="188"/>
        <v>-4.0168568747727673E-2</v>
      </c>
      <c r="EG43" s="10">
        <f t="shared" si="188"/>
        <v>-8.0625062470000675E-2</v>
      </c>
      <c r="EH43" s="10">
        <f t="shared" si="188"/>
        <v>-4.7897596656217178E-2</v>
      </c>
      <c r="EI43" s="10">
        <f t="shared" si="188"/>
        <v>-3.1259734351644419E-2</v>
      </c>
      <c r="EJ43" s="10">
        <f t="shared" ref="EJ43" si="189">EJ42/EE42-1</f>
        <v>-3.1827032115879783E-3</v>
      </c>
      <c r="EK43" s="9">
        <f t="shared" ref="EK43:EQ43" si="190">EK42/EF42-1</f>
        <v>-4.1515610199185038E-2</v>
      </c>
      <c r="EL43" s="10">
        <f t="shared" si="190"/>
        <v>1.8011198570979881E-2</v>
      </c>
      <c r="EM43" s="10">
        <f t="shared" si="190"/>
        <v>7.3764240430906902E-3</v>
      </c>
      <c r="EN43" s="10">
        <f t="shared" si="190"/>
        <v>1.1448214764765652E-2</v>
      </c>
      <c r="EO43" s="10">
        <f t="shared" si="190"/>
        <v>-3.2105821960741743E-2</v>
      </c>
      <c r="EP43" s="9">
        <f t="shared" si="190"/>
        <v>1.2425524308865565E-3</v>
      </c>
      <c r="EQ43" s="10">
        <f t="shared" si="190"/>
        <v>-5.212659525145813E-2</v>
      </c>
      <c r="ER43" s="10">
        <f t="shared" ref="ER43" si="191">ER42/EM42-1</f>
        <v>-2.2198683569267241E-2</v>
      </c>
      <c r="ES43" s="10">
        <f t="shared" ref="ES43:EU43" si="192">ES42/EN42-1</f>
        <v>-1.3508433960250033E-2</v>
      </c>
      <c r="ET43" s="10">
        <f t="shared" si="192"/>
        <v>-6.3622941078805839E-3</v>
      </c>
      <c r="EU43" s="9">
        <f t="shared" si="192"/>
        <v>-2.4054762810726715E-2</v>
      </c>
      <c r="EV43" s="13"/>
      <c r="EW43" s="13"/>
      <c r="EX43" s="13"/>
      <c r="EY43" s="13"/>
      <c r="EZ43" s="9">
        <f>EZ42/EU42-1</f>
        <v>-1.269904802031474E-2</v>
      </c>
      <c r="FA43" s="13"/>
      <c r="FB43" s="13"/>
      <c r="FC43" s="13"/>
      <c r="FD43" s="13"/>
      <c r="FE43" s="9">
        <f>FE42/EZ42-1</f>
        <v>-1.0575106302955439E-2</v>
      </c>
      <c r="FG43" s="478"/>
      <c r="FH43" s="769"/>
      <c r="FI43" s="769"/>
      <c r="FJ43" s="769"/>
      <c r="FK43" s="103"/>
      <c r="FL43" s="1340"/>
      <c r="FM43" s="1141">
        <f t="shared" si="184"/>
        <v>-5.212659525145813E-2</v>
      </c>
      <c r="FN43" s="1418">
        <f t="shared" si="185"/>
        <v>1.8011198570979881E-2</v>
      </c>
      <c r="FO43" s="1750">
        <v>-2.610246081076506E-2</v>
      </c>
      <c r="FP43" s="1740"/>
      <c r="FQ43" s="1506">
        <f>+(FM43-FO43)*10000</f>
        <v>-260.24134440693069</v>
      </c>
      <c r="FR43" s="1619"/>
      <c r="FS43" s="1619"/>
      <c r="FT43" s="355"/>
      <c r="FU43" s="355"/>
      <c r="FV43" s="355"/>
      <c r="FW43" s="355"/>
      <c r="FX43" s="355"/>
      <c r="FY43" s="355"/>
      <c r="FZ43" s="478"/>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row>
    <row r="44" spans="1:258" s="55" customFormat="1" x14ac:dyDescent="0.2">
      <c r="A44" s="383" t="s">
        <v>336</v>
      </c>
      <c r="F44" s="54"/>
      <c r="K44" s="54"/>
      <c r="P44" s="54"/>
      <c r="U44" s="54"/>
      <c r="Z44" s="54"/>
      <c r="AE44" s="54"/>
      <c r="AJ44" s="54"/>
      <c r="AO44" s="54"/>
      <c r="AT44" s="54"/>
      <c r="AY44" s="54"/>
      <c r="BD44" s="54"/>
      <c r="BI44" s="54"/>
      <c r="BK44" s="55">
        <f>BK42/BJ42-1</f>
        <v>-4.4416620293081022E-2</v>
      </c>
      <c r="BL44" s="55">
        <f>BL42/BK42-1</f>
        <v>-1.8024319844104686E-2</v>
      </c>
      <c r="BM44" s="55">
        <f>BM42/BL42-1</f>
        <v>0.14398422090729768</v>
      </c>
      <c r="BN44" s="54"/>
      <c r="BO44" s="55">
        <f>BO42/BM42-1</f>
        <v>-9.5743471020673376E-2</v>
      </c>
      <c r="BP44" s="55">
        <f>BP42/BO42-1</f>
        <v>-4.8797076885826796E-2</v>
      </c>
      <c r="BQ44" s="55">
        <f>BQ42/BP42-1</f>
        <v>-3.2503241867142152E-2</v>
      </c>
      <c r="BR44" s="55">
        <f>BR42/BQ42-1</f>
        <v>0.18295321399651598</v>
      </c>
      <c r="BS44" s="54"/>
      <c r="BT44" s="55">
        <f>BT42/BR42-1</f>
        <v>1.3157894736842035E-2</v>
      </c>
      <c r="BU44" s="55">
        <f>BU42/BT42-1</f>
        <v>-2.8695181375203105E-2</v>
      </c>
      <c r="BV44" s="55">
        <f>BV42/BU42-1</f>
        <v>1.0810252655392594E-2</v>
      </c>
      <c r="BW44" s="55">
        <f>BW42/BV42-1</f>
        <v>2.2205664695381877E-2</v>
      </c>
      <c r="BX44" s="54"/>
      <c r="BY44" s="55">
        <f>BY42/BW42-1</f>
        <v>6.8221135900308205E-3</v>
      </c>
      <c r="BZ44" s="55">
        <f>BZ42/BY42-1</f>
        <v>-1.117584718019804E-2</v>
      </c>
      <c r="CA44" s="55">
        <f>CA42/BZ42-1</f>
        <v>-1.0139521445783672E-2</v>
      </c>
      <c r="CB44" s="55">
        <f>CB42/CA42-1</f>
        <v>6.1706243685662798E-2</v>
      </c>
      <c r="CC44" s="54"/>
      <c r="CD44" s="55">
        <f>CD42/CB42-1</f>
        <v>-1.4895261948955185E-2</v>
      </c>
      <c r="CE44" s="55">
        <f>CE42/CD42-1</f>
        <v>-8.6175009763289623E-3</v>
      </c>
      <c r="CF44" s="55">
        <f>CF42/CE42-1</f>
        <v>-2.104013194062615E-3</v>
      </c>
      <c r="CG44" s="55">
        <f>CG42/CF42-1</f>
        <v>2.197863937958866E-2</v>
      </c>
      <c r="CH44" s="54"/>
      <c r="CI44" s="55">
        <f>CI42/CG42-1</f>
        <v>2.9341412571105563E-2</v>
      </c>
      <c r="CJ44" s="55">
        <f>CJ42/CI42-1</f>
        <v>-2.8099476920253275E-2</v>
      </c>
      <c r="CK44" s="55">
        <f>CK42/CJ42-1</f>
        <v>-2.9418336188278271E-3</v>
      </c>
      <c r="CL44" s="55">
        <f>CL42/CK42-1</f>
        <v>1.345961589055511E-2</v>
      </c>
      <c r="CM44" s="54"/>
      <c r="CN44" s="55">
        <f>CN42/CL42-1</f>
        <v>2.3075096793045535E-2</v>
      </c>
      <c r="CO44" s="55">
        <f>CO42/CN42-1</f>
        <v>-5.2683097638810406E-3</v>
      </c>
      <c r="CP44" s="55">
        <f>CP42/CO42-1</f>
        <v>-1.2947726030868467E-2</v>
      </c>
      <c r="CQ44" s="55">
        <f>CQ42/CP42-1</f>
        <v>-1.3845035486576007E-3</v>
      </c>
      <c r="CR44" s="54"/>
      <c r="CS44" s="55">
        <f>CS42/CQ42-1</f>
        <v>5.5940163706315493E-2</v>
      </c>
      <c r="CT44" s="55">
        <f>CT42/CS42-1</f>
        <v>-1.0305725902464147E-2</v>
      </c>
      <c r="CU44" s="55">
        <f>CU42/CT42-1</f>
        <v>-5.5266146931177706E-3</v>
      </c>
      <c r="CV44" s="55">
        <f>CV42/CU42-1</f>
        <v>4.9711008726107675E-3</v>
      </c>
      <c r="CW44" s="54"/>
      <c r="CX44" s="55">
        <f>CX42/CV42-1</f>
        <v>3.6017482938798917E-2</v>
      </c>
      <c r="CY44" s="55">
        <f>CY42/CX42-1</f>
        <v>-1.516334530544905E-2</v>
      </c>
      <c r="CZ44" s="55">
        <f>CZ42/CY42-1</f>
        <v>-1.4633762142294726E-2</v>
      </c>
      <c r="DA44" s="55">
        <f>DA42/CZ42-1</f>
        <v>-5.1442022947890353E-2</v>
      </c>
      <c r="DB44" s="54"/>
      <c r="DC44" s="55">
        <f>DC42/DA42-1</f>
        <v>6.0823499953050586E-2</v>
      </c>
      <c r="DD44" s="55">
        <f>DD42/DC42-1</f>
        <v>-3.2983217972744061E-3</v>
      </c>
      <c r="DE44" s="55">
        <f>DE42/DD42-1</f>
        <v>-3.0727074296429735E-2</v>
      </c>
      <c r="DF44" s="55">
        <f>DF42/DE42-1</f>
        <v>8.8496680854088794E-5</v>
      </c>
      <c r="DG44" s="54"/>
      <c r="DH44" s="55">
        <f>DH42/DF42-1</f>
        <v>2.1264193665143205E-2</v>
      </c>
      <c r="DI44" s="55">
        <f>DI42/DH42-1</f>
        <v>-1.9326759835902596E-2</v>
      </c>
      <c r="DJ44" s="55">
        <f>DJ42/DI42-1</f>
        <v>-1.6513523896851789E-2</v>
      </c>
      <c r="DK44" s="55">
        <f>DK42/DJ42-1</f>
        <v>7.1047957371221937E-3</v>
      </c>
      <c r="DL44" s="54"/>
      <c r="DM44" s="55">
        <f>DM42/DK42-1</f>
        <v>1.2394119343765553E-2</v>
      </c>
      <c r="DN44" s="55">
        <f>DN42/DM42-1</f>
        <v>-1.6291652353143227E-2</v>
      </c>
      <c r="DO44" s="55">
        <f>DO42/DN42-1</f>
        <v>-3.6713286713284665E-3</v>
      </c>
      <c r="DP44" s="55">
        <f>DP42/DO42-1</f>
        <v>-1.1996529132788147E-2</v>
      </c>
      <c r="DQ44" s="54"/>
      <c r="DR44" s="55">
        <f>DR42/DP42-1</f>
        <v>2.9671519049298656E-2</v>
      </c>
      <c r="DS44" s="55">
        <f>DS42/DR42-1</f>
        <v>-1.951810076410021E-2</v>
      </c>
      <c r="DT44" s="55">
        <f>DT42/DS42-1</f>
        <v>-1.1403038123938392E-2</v>
      </c>
      <c r="DU44" s="55">
        <f>DU42/DT42-1</f>
        <v>1.841817835944215E-2</v>
      </c>
      <c r="DV44" s="54"/>
      <c r="DW44" s="55">
        <f>DW42/DU42-1</f>
        <v>1.708173690932302E-2</v>
      </c>
      <c r="DX44" s="55">
        <f>DX42/DW42-1</f>
        <v>4.516270780948517E-3</v>
      </c>
      <c r="DY44" s="55">
        <f>DY42/DX42-1</f>
        <v>-2.3611297734540737E-2</v>
      </c>
      <c r="DZ44" s="55">
        <f>DZ42/DY42-1</f>
        <v>1.8308819252194519E-2</v>
      </c>
      <c r="EA44" s="54"/>
      <c r="EB44" s="55">
        <f>EB42/DZ42-1</f>
        <v>1.286938914740543E-2</v>
      </c>
      <c r="EC44" s="55">
        <f>EC42/EB42-1</f>
        <v>-5.00080869086027E-2</v>
      </c>
      <c r="ED44" s="55">
        <f>ED42/EC42-1</f>
        <v>-2.9056658878504615E-2</v>
      </c>
      <c r="EE44" s="55">
        <f>EE42/ED42-1</f>
        <v>-1.4818011796863817E-2</v>
      </c>
      <c r="EF44" s="54"/>
      <c r="EG44" s="55">
        <f>EG42/EE42-1</f>
        <v>1.1724813143253021E-2</v>
      </c>
      <c r="EH44" s="55">
        <f>EH42/EG42-1</f>
        <v>-1.6190732758620707E-2</v>
      </c>
      <c r="EI44" s="55">
        <f>EI42/EH42-1</f>
        <v>-1.208955370327669E-2</v>
      </c>
      <c r="EJ44" s="55">
        <f>EJ42/EI42-1</f>
        <v>1.373555033146312E-2</v>
      </c>
      <c r="EK44" s="54"/>
      <c r="EL44" s="55">
        <f>EL42/EJ42-1</f>
        <v>3.3235672144023676E-2</v>
      </c>
      <c r="EM44" s="55">
        <f>EM42/EL42-1</f>
        <v>-2.6468212761047716E-2</v>
      </c>
      <c r="EN44" s="55">
        <f>EN42/EM42-1</f>
        <v>-8.0964439847345249E-3</v>
      </c>
      <c r="EO44" s="55">
        <f>EO42/EN42-1</f>
        <v>-2.9916981498213979E-2</v>
      </c>
      <c r="EP44" s="54"/>
      <c r="EQ44" s="55">
        <f>EQ42/EO42-1</f>
        <v>1.186331799908813E-2</v>
      </c>
      <c r="ER44" s="55">
        <f t="shared" ref="ER44" si="193">ER42/EQ42-1</f>
        <v>4.2698301066306232E-3</v>
      </c>
      <c r="ES44" s="55">
        <f t="shared" ref="ES44:ET44" si="194">ES42/ER42-1</f>
        <v>7.1913986138816277E-4</v>
      </c>
      <c r="ET44" s="55">
        <f t="shared" si="194"/>
        <v>-2.2889705080178069E-2</v>
      </c>
      <c r="EU44" s="54"/>
      <c r="EZ44" s="54"/>
      <c r="FE44" s="54"/>
      <c r="FG44" s="471"/>
      <c r="FH44" s="766">
        <f>AVERAGE(CI44,CN44,CS44,CX44,DC44,DH44,DM44,DR44,DW44,EB44,EG44,EL44,EQ44)</f>
        <v>2.7330955181816677E-2</v>
      </c>
      <c r="FI44" s="766">
        <f>AVERAGE(CJ44,CO44,CT44,CY44,DD44,DI44,DN44,DS44,DX44,EC44,EH44)</f>
        <v>-1.6268567411703894E-2</v>
      </c>
      <c r="FJ44" s="766">
        <f>AVERAGE(CK44,CP44,CU44,CZ44,DE44,DJ44,DO44,DT44,DY44,ED44,EI44)</f>
        <v>-1.4829310162725384E-2</v>
      </c>
      <c r="FK44" s="1408">
        <f>AVERAGE(CL44,CQ44,CV44,DA44,DF44,DK44,DP44,DU44,DZ44,EE44,EJ44,EO44)</f>
        <v>-2.7892909833476622E-3</v>
      </c>
      <c r="FL44" s="1338"/>
      <c r="FM44" s="1523">
        <f t="shared" si="184"/>
        <v>1.186331799908813E-2</v>
      </c>
      <c r="FN44" s="1416">
        <f t="shared" si="185"/>
        <v>3.3235672144023676E-2</v>
      </c>
      <c r="FO44" s="1799">
        <v>3.9644313743134596E-2</v>
      </c>
      <c r="FP44" s="1741"/>
      <c r="FQ44" s="1506">
        <f>+(FM44-FO44)*10000</f>
        <v>-277.80995744046464</v>
      </c>
      <c r="FR44" s="1619"/>
      <c r="FS44" s="1619"/>
      <c r="FT44" s="432"/>
      <c r="FU44" s="432"/>
      <c r="FV44" s="432"/>
      <c r="FW44" s="432"/>
      <c r="FX44" s="432"/>
      <c r="FY44" s="432"/>
      <c r="FZ44" s="471"/>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row>
    <row r="45" spans="1:258" s="11" customFormat="1" x14ac:dyDescent="0.2">
      <c r="A45" s="570" t="s">
        <v>472</v>
      </c>
      <c r="F45" s="17"/>
      <c r="K45" s="17"/>
      <c r="P45" s="17"/>
      <c r="U45" s="17"/>
      <c r="Z45" s="17"/>
      <c r="AE45" s="17"/>
      <c r="AJ45" s="17"/>
      <c r="AO45" s="17"/>
      <c r="AT45" s="17"/>
      <c r="AY45" s="17"/>
      <c r="BD45" s="17"/>
      <c r="BI45" s="17"/>
      <c r="BJ45" s="11">
        <v>54000</v>
      </c>
      <c r="BK45" s="11">
        <v>52300</v>
      </c>
      <c r="BL45" s="11">
        <v>50700</v>
      </c>
      <c r="BM45" s="11">
        <v>58000</v>
      </c>
      <c r="BN45" s="17">
        <f>SUM(BJ45:BM45)</f>
        <v>215000</v>
      </c>
      <c r="BO45" s="11">
        <v>50200</v>
      </c>
      <c r="BP45" s="11">
        <v>50900</v>
      </c>
      <c r="BQ45" s="11">
        <v>49300</v>
      </c>
      <c r="BR45" s="11">
        <v>57000</v>
      </c>
      <c r="BS45" s="17">
        <f>SUM(BO45:BR45)</f>
        <v>207400</v>
      </c>
      <c r="BT45" s="11">
        <v>57000</v>
      </c>
      <c r="BU45" s="11">
        <v>58500</v>
      </c>
      <c r="BV45" s="11">
        <v>58300</v>
      </c>
      <c r="BW45" s="11">
        <v>61100</v>
      </c>
      <c r="BX45" s="17">
        <f>SUM(BT45:BW45)</f>
        <v>234900</v>
      </c>
      <c r="BY45" s="11">
        <v>60100</v>
      </c>
      <c r="BZ45" s="11">
        <v>62100</v>
      </c>
      <c r="CA45" s="11">
        <v>58600</v>
      </c>
      <c r="CB45" s="11">
        <v>67900</v>
      </c>
      <c r="CC45" s="17">
        <f>SUM(BY45:CB45)</f>
        <v>248700</v>
      </c>
      <c r="CD45" s="11">
        <v>62200</v>
      </c>
      <c r="CE45" s="11">
        <v>62500</v>
      </c>
      <c r="CF45" s="11">
        <v>60700</v>
      </c>
      <c r="CG45" s="11">
        <v>62000</v>
      </c>
      <c r="CH45" s="17">
        <f>SUM(CD45:CG45)</f>
        <v>247400</v>
      </c>
      <c r="CI45" s="11">
        <v>64100</v>
      </c>
      <c r="CJ45" s="11">
        <v>63800</v>
      </c>
      <c r="CK45" s="11">
        <v>63000</v>
      </c>
      <c r="CL45" s="11">
        <v>62400</v>
      </c>
      <c r="CM45" s="17">
        <f>SUM(CI45:CL45)</f>
        <v>253300</v>
      </c>
      <c r="CN45" s="11">
        <v>61900</v>
      </c>
      <c r="CO45" s="11">
        <v>64100</v>
      </c>
      <c r="CP45" s="11">
        <v>61400</v>
      </c>
      <c r="CQ45" s="11">
        <v>60900</v>
      </c>
      <c r="CR45" s="17">
        <f>SUM(CN45:CQ45)</f>
        <v>248300</v>
      </c>
      <c r="CS45" s="11">
        <v>62700</v>
      </c>
      <c r="CT45" s="11">
        <v>64150</v>
      </c>
      <c r="CU45" s="11">
        <v>62250</v>
      </c>
      <c r="CV45" s="11">
        <v>57900</v>
      </c>
      <c r="CW45" s="17">
        <f>SUM(CS45:CV45)</f>
        <v>247000</v>
      </c>
      <c r="CX45" s="11">
        <v>53100</v>
      </c>
      <c r="CY45" s="11">
        <v>52000</v>
      </c>
      <c r="CZ45" s="11">
        <v>53200</v>
      </c>
      <c r="DA45" s="11">
        <v>51600</v>
      </c>
      <c r="DB45" s="17">
        <f>SUM(CX45:DA45)</f>
        <v>209900</v>
      </c>
      <c r="DC45" s="11">
        <v>54300</v>
      </c>
      <c r="DD45" s="11">
        <v>58200</v>
      </c>
      <c r="DE45" s="11">
        <v>56800</v>
      </c>
      <c r="DF45" s="11">
        <v>59700</v>
      </c>
      <c r="DG45" s="17">
        <f>SUM(DC45:DF45)</f>
        <v>229000</v>
      </c>
      <c r="DH45" s="11">
        <v>57400</v>
      </c>
      <c r="DI45" s="11">
        <v>58200</v>
      </c>
      <c r="DJ45" s="11">
        <v>56300</v>
      </c>
      <c r="DK45" s="11">
        <v>56700</v>
      </c>
      <c r="DL45" s="668">
        <f>SUM(DH45:DK45)</f>
        <v>228600</v>
      </c>
      <c r="DM45" s="11">
        <v>56800</v>
      </c>
      <c r="DN45" s="11">
        <v>57200</v>
      </c>
      <c r="DO45" s="11">
        <v>55600</v>
      </c>
      <c r="DP45" s="11">
        <v>53800</v>
      </c>
      <c r="DQ45" s="17">
        <f t="shared" ref="DQ45:DV45" si="195">DQ47+DQ49+DQ51</f>
        <v>223400</v>
      </c>
      <c r="DR45" s="11">
        <f t="shared" si="195"/>
        <v>55700</v>
      </c>
      <c r="DS45" s="11">
        <f t="shared" si="195"/>
        <v>57400</v>
      </c>
      <c r="DT45" s="11">
        <f t="shared" si="195"/>
        <v>56300</v>
      </c>
      <c r="DU45" s="11">
        <f t="shared" si="195"/>
        <v>58000</v>
      </c>
      <c r="DV45" s="17">
        <f t="shared" si="195"/>
        <v>227400</v>
      </c>
      <c r="DW45" s="11">
        <f>DW47+DW49+DW51</f>
        <v>57500</v>
      </c>
      <c r="DX45" s="11">
        <f>DX47+DX49+DX51</f>
        <v>63500</v>
      </c>
      <c r="DY45" s="11">
        <f>DY47+DY49+DY51</f>
        <v>61200</v>
      </c>
      <c r="DZ45" s="11">
        <f>DZ47+DZ49+DZ51</f>
        <v>62508.382928571424</v>
      </c>
      <c r="EA45" s="17">
        <f>EA47+EA49+EA51</f>
        <v>244708.38292857143</v>
      </c>
      <c r="EB45" s="11">
        <f t="shared" ref="EB45:EF45" si="196">EB47+EB49+EB51</f>
        <v>58700</v>
      </c>
      <c r="EC45" s="11">
        <f t="shared" si="196"/>
        <v>60000</v>
      </c>
      <c r="ED45" s="11">
        <f t="shared" si="196"/>
        <v>56700</v>
      </c>
      <c r="EE45" s="11">
        <f t="shared" si="196"/>
        <v>54000</v>
      </c>
      <c r="EF45" s="17">
        <f t="shared" si="196"/>
        <v>229400</v>
      </c>
      <c r="EG45" s="11">
        <f>EG47+EG49+EG51</f>
        <v>51200</v>
      </c>
      <c r="EH45" s="11">
        <f>EH47+EH49+EH51</f>
        <v>51800</v>
      </c>
      <c r="EI45" s="11">
        <f>EI47+EI49+EI51</f>
        <v>50500</v>
      </c>
      <c r="EJ45" s="11">
        <f>EJ47+EJ49+EJ51</f>
        <v>56300</v>
      </c>
      <c r="EK45" s="17">
        <f t="shared" ref="EK45" si="197">EK47+EK49+EK51</f>
        <v>209800</v>
      </c>
      <c r="EL45" s="11">
        <f>EL47+EL49+EL51</f>
        <v>53500</v>
      </c>
      <c r="EM45" s="11">
        <f>EM47+EM49+EM51</f>
        <v>53000</v>
      </c>
      <c r="EN45" s="11">
        <f>EN47+EN49+EN51</f>
        <v>51500</v>
      </c>
      <c r="EO45" s="11">
        <f>EO47+EO49+EO51</f>
        <v>50400</v>
      </c>
      <c r="EP45" s="17">
        <f t="shared" ref="EP45" si="198">EP47+EP49+EP51</f>
        <v>208400</v>
      </c>
      <c r="EQ45" s="11">
        <f>EQ47+EQ49+EQ51</f>
        <v>48800</v>
      </c>
      <c r="ER45" s="11">
        <f t="shared" ref="ER45" si="199">ER47+ER49+ER51</f>
        <v>50722.061089217961</v>
      </c>
      <c r="ES45" s="11">
        <f t="shared" ref="ES45:EU45" si="200">ES47+ES49+ES51</f>
        <v>51160.61812943159</v>
      </c>
      <c r="ET45" s="11">
        <f t="shared" si="200"/>
        <v>51473.022457222389</v>
      </c>
      <c r="EU45" s="17">
        <f t="shared" si="200"/>
        <v>202155.70167587191</v>
      </c>
      <c r="EZ45" s="17">
        <f>EZ47+EZ49+EZ51</f>
        <v>202088.46740075166</v>
      </c>
      <c r="FE45" s="17">
        <f>FE47+FE49+FE51</f>
        <v>203234.04586699643</v>
      </c>
      <c r="FG45" s="479"/>
      <c r="FH45" s="765"/>
      <c r="FI45" s="765"/>
      <c r="FJ45" s="765"/>
      <c r="FL45" s="1336"/>
      <c r="FM45" s="1527">
        <f t="shared" si="184"/>
        <v>48800</v>
      </c>
      <c r="FN45" s="765">
        <f t="shared" si="185"/>
        <v>53500</v>
      </c>
      <c r="FO45" s="1800">
        <v>50255.34894898974</v>
      </c>
      <c r="FP45" s="1734">
        <f>+FM45/FN45-1</f>
        <v>-8.785046728971968E-2</v>
      </c>
      <c r="FQ45" s="1522">
        <f>+FM45/FO45-1</f>
        <v>-2.8959085538674767E-2</v>
      </c>
      <c r="FR45" s="1614"/>
      <c r="FS45" s="1619"/>
      <c r="FT45" s="399"/>
      <c r="FU45" s="399"/>
      <c r="FV45" s="399"/>
      <c r="FW45" s="399"/>
      <c r="FX45" s="399"/>
      <c r="FY45" s="399"/>
      <c r="FZ45" s="479"/>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row>
    <row r="46" spans="1:258" s="12" customFormat="1" x14ac:dyDescent="0.2">
      <c r="A46" s="29" t="s">
        <v>463</v>
      </c>
      <c r="B46" s="10"/>
      <c r="C46" s="10"/>
      <c r="D46" s="10"/>
      <c r="E46" s="10"/>
      <c r="F46" s="9"/>
      <c r="G46" s="10"/>
      <c r="H46" s="10"/>
      <c r="I46" s="10"/>
      <c r="J46" s="10"/>
      <c r="K46" s="9"/>
      <c r="L46" s="10"/>
      <c r="M46" s="10"/>
      <c r="N46" s="10"/>
      <c r="O46" s="10"/>
      <c r="P46" s="9"/>
      <c r="Q46" s="10"/>
      <c r="R46" s="10"/>
      <c r="S46" s="10"/>
      <c r="T46" s="10"/>
      <c r="U46" s="9"/>
      <c r="V46" s="10"/>
      <c r="W46" s="10"/>
      <c r="X46" s="10"/>
      <c r="Y46" s="10"/>
      <c r="Z46" s="9"/>
      <c r="AA46" s="10"/>
      <c r="AB46" s="10"/>
      <c r="AC46" s="10"/>
      <c r="AD46" s="10"/>
      <c r="AE46" s="9"/>
      <c r="AF46" s="10"/>
      <c r="AG46" s="10"/>
      <c r="AH46" s="10"/>
      <c r="AI46" s="10"/>
      <c r="AJ46" s="9"/>
      <c r="AK46" s="10"/>
      <c r="AL46" s="10"/>
      <c r="AM46" s="10"/>
      <c r="AN46" s="10"/>
      <c r="AO46" s="9"/>
      <c r="AP46" s="10"/>
      <c r="AQ46" s="10"/>
      <c r="AR46" s="10"/>
      <c r="AS46" s="10"/>
      <c r="AT46" s="9"/>
      <c r="AU46" s="10"/>
      <c r="AV46" s="10"/>
      <c r="AW46" s="10"/>
      <c r="AX46" s="10"/>
      <c r="AY46" s="9"/>
      <c r="AZ46" s="10"/>
      <c r="BA46" s="10"/>
      <c r="BB46" s="10"/>
      <c r="BC46" s="10"/>
      <c r="BD46" s="9"/>
      <c r="BE46" s="10"/>
      <c r="BF46" s="10"/>
      <c r="BG46" s="10"/>
      <c r="BH46" s="10"/>
      <c r="BI46" s="9"/>
      <c r="BJ46" s="10"/>
      <c r="BK46" s="10"/>
      <c r="BL46" s="10"/>
      <c r="BM46" s="10"/>
      <c r="BN46" s="9"/>
      <c r="BO46" s="10">
        <f t="shared" ref="BO46:DK46" si="201">BO45/BJ45-1</f>
        <v>-7.0370370370370416E-2</v>
      </c>
      <c r="BP46" s="10">
        <f t="shared" si="201"/>
        <v>-2.6768642447418722E-2</v>
      </c>
      <c r="BQ46" s="10">
        <f t="shared" si="201"/>
        <v>-2.7613412228796874E-2</v>
      </c>
      <c r="BR46" s="10">
        <f t="shared" si="201"/>
        <v>-1.7241379310344862E-2</v>
      </c>
      <c r="BS46" s="9">
        <f t="shared" si="201"/>
        <v>-3.5348837209302375E-2</v>
      </c>
      <c r="BT46" s="10">
        <f t="shared" si="201"/>
        <v>0.13545816733067739</v>
      </c>
      <c r="BU46" s="10">
        <f t="shared" si="201"/>
        <v>0.14931237721021606</v>
      </c>
      <c r="BV46" s="10">
        <f t="shared" si="201"/>
        <v>0.18255578093306291</v>
      </c>
      <c r="BW46" s="10">
        <f t="shared" si="201"/>
        <v>7.192982456140351E-2</v>
      </c>
      <c r="BX46" s="9">
        <f t="shared" si="201"/>
        <v>0.13259402121504338</v>
      </c>
      <c r="BY46" s="10">
        <f t="shared" si="201"/>
        <v>5.4385964912280649E-2</v>
      </c>
      <c r="BZ46" s="10">
        <f t="shared" si="201"/>
        <v>6.1538461538461542E-2</v>
      </c>
      <c r="CA46" s="10">
        <f t="shared" si="201"/>
        <v>5.145797598627766E-3</v>
      </c>
      <c r="CB46" s="10">
        <f t="shared" si="201"/>
        <v>0.1112929623567922</v>
      </c>
      <c r="CC46" s="9">
        <f t="shared" si="201"/>
        <v>5.874840357598976E-2</v>
      </c>
      <c r="CD46" s="10">
        <f t="shared" si="201"/>
        <v>3.4941763727121433E-2</v>
      </c>
      <c r="CE46" s="10">
        <f t="shared" si="201"/>
        <v>6.441223832528209E-3</v>
      </c>
      <c r="CF46" s="10">
        <f t="shared" si="201"/>
        <v>3.5836177474402708E-2</v>
      </c>
      <c r="CG46" s="10">
        <f t="shared" si="201"/>
        <v>-8.6892488954344649E-2</v>
      </c>
      <c r="CH46" s="9">
        <f t="shared" si="201"/>
        <v>-5.2271813429835001E-3</v>
      </c>
      <c r="CI46" s="10">
        <f t="shared" si="201"/>
        <v>3.0546623794212246E-2</v>
      </c>
      <c r="CJ46" s="10">
        <f t="shared" si="201"/>
        <v>2.079999999999993E-2</v>
      </c>
      <c r="CK46" s="10">
        <f t="shared" si="201"/>
        <v>3.7891268533772671E-2</v>
      </c>
      <c r="CL46" s="10">
        <f t="shared" si="201"/>
        <v>6.4516129032257119E-3</v>
      </c>
      <c r="CM46" s="9">
        <f t="shared" si="201"/>
        <v>2.3848019401778497E-2</v>
      </c>
      <c r="CN46" s="10">
        <f t="shared" si="201"/>
        <v>-3.4321372854914212E-2</v>
      </c>
      <c r="CO46" s="10">
        <f t="shared" si="201"/>
        <v>4.7021943573668512E-3</v>
      </c>
      <c r="CP46" s="10">
        <f t="shared" si="201"/>
        <v>-2.5396825396825418E-2</v>
      </c>
      <c r="CQ46" s="10">
        <f t="shared" si="201"/>
        <v>-2.4038461538461564E-2</v>
      </c>
      <c r="CR46" s="9">
        <f t="shared" si="201"/>
        <v>-1.9739439399921066E-2</v>
      </c>
      <c r="CS46" s="10">
        <f t="shared" si="201"/>
        <v>1.292407108239102E-2</v>
      </c>
      <c r="CT46" s="10">
        <f t="shared" si="201"/>
        <v>7.800312012480326E-4</v>
      </c>
      <c r="CU46" s="10">
        <f t="shared" si="201"/>
        <v>1.3843648208468951E-2</v>
      </c>
      <c r="CV46" s="10">
        <f t="shared" si="201"/>
        <v>-4.9261083743842415E-2</v>
      </c>
      <c r="CW46" s="9">
        <f t="shared" si="201"/>
        <v>-5.2356020942407877E-3</v>
      </c>
      <c r="CX46" s="10">
        <f t="shared" si="201"/>
        <v>-0.15311004784688997</v>
      </c>
      <c r="CY46" s="10">
        <f t="shared" si="201"/>
        <v>-0.1893998441153546</v>
      </c>
      <c r="CZ46" s="10">
        <f t="shared" si="201"/>
        <v>-0.14538152610441768</v>
      </c>
      <c r="DA46" s="664">
        <f t="shared" si="201"/>
        <v>-0.10880829015544047</v>
      </c>
      <c r="DB46" s="657">
        <f t="shared" si="201"/>
        <v>-0.15020242914979753</v>
      </c>
      <c r="DC46" s="10">
        <f t="shared" si="201"/>
        <v>2.2598870056497189E-2</v>
      </c>
      <c r="DD46" s="10">
        <f t="shared" si="201"/>
        <v>0.11923076923076925</v>
      </c>
      <c r="DE46" s="10">
        <f t="shared" si="201"/>
        <v>6.7669172932330879E-2</v>
      </c>
      <c r="DF46" s="664">
        <f t="shared" si="201"/>
        <v>0.15697674418604657</v>
      </c>
      <c r="DG46" s="662">
        <f t="shared" si="201"/>
        <v>9.0995712243925775E-2</v>
      </c>
      <c r="DH46" s="14">
        <f>DH45/DC45-1</f>
        <v>5.7090239410681365E-2</v>
      </c>
      <c r="DI46" s="10">
        <f t="shared" si="201"/>
        <v>0</v>
      </c>
      <c r="DJ46" s="10">
        <f t="shared" si="201"/>
        <v>-8.8028169014084945E-3</v>
      </c>
      <c r="DK46" s="664">
        <f t="shared" si="201"/>
        <v>-5.0251256281407031E-2</v>
      </c>
      <c r="DL46" s="661">
        <f t="shared" ref="DL46:ED46" si="202">DL45/DG45-1</f>
        <v>-1.7467248908297206E-3</v>
      </c>
      <c r="DM46" s="14">
        <f t="shared" si="202"/>
        <v>-1.0452961672473893E-2</v>
      </c>
      <c r="DN46" s="10">
        <f t="shared" si="202"/>
        <v>-1.718213058419249E-2</v>
      </c>
      <c r="DO46" s="10">
        <f t="shared" si="202"/>
        <v>-1.243339253996445E-2</v>
      </c>
      <c r="DP46" s="664">
        <f t="shared" si="202"/>
        <v>-5.1146384479717866E-2</v>
      </c>
      <c r="DQ46" s="15">
        <f t="shared" si="202"/>
        <v>-2.2747156605424368E-2</v>
      </c>
      <c r="DR46" s="14">
        <f t="shared" si="202"/>
        <v>-1.9366197183098621E-2</v>
      </c>
      <c r="DS46" s="10">
        <f t="shared" si="202"/>
        <v>3.4965034965035446E-3</v>
      </c>
      <c r="DT46" s="14">
        <f t="shared" ref="DT46:EA46" si="203">DT45/DO45-1</f>
        <v>1.2589928057553879E-2</v>
      </c>
      <c r="DU46" s="664">
        <f t="shared" si="202"/>
        <v>7.8066914498141182E-2</v>
      </c>
      <c r="DV46" s="15">
        <f t="shared" si="203"/>
        <v>1.7905102954342E-2</v>
      </c>
      <c r="DW46" s="14">
        <f t="shared" si="202"/>
        <v>3.2315978456014305E-2</v>
      </c>
      <c r="DX46" s="10">
        <f t="shared" si="202"/>
        <v>0.10627177700348422</v>
      </c>
      <c r="DY46" s="14">
        <f t="shared" si="203"/>
        <v>8.7033747779751369E-2</v>
      </c>
      <c r="DZ46" s="664">
        <f t="shared" si="202"/>
        <v>7.7730740147783139E-2</v>
      </c>
      <c r="EA46" s="15">
        <f t="shared" si="203"/>
        <v>7.6114260899610597E-2</v>
      </c>
      <c r="EB46" s="14">
        <f t="shared" si="202"/>
        <v>2.0869565217391362E-2</v>
      </c>
      <c r="EC46" s="10">
        <f t="shared" si="202"/>
        <v>-5.5118110236220486E-2</v>
      </c>
      <c r="ED46" s="14">
        <f t="shared" si="202"/>
        <v>-7.3529411764705843E-2</v>
      </c>
      <c r="EE46" s="664">
        <f t="shared" ref="EE46:EI46" si="204">EE45/DZ45-1</f>
        <v>-0.13611587006328396</v>
      </c>
      <c r="EF46" s="15">
        <f t="shared" si="204"/>
        <v>-6.2557656363737335E-2</v>
      </c>
      <c r="EG46" s="14">
        <f t="shared" si="204"/>
        <v>-0.12776831345826234</v>
      </c>
      <c r="EH46" s="10">
        <f t="shared" si="204"/>
        <v>-0.13666666666666671</v>
      </c>
      <c r="EI46" s="14">
        <f t="shared" si="204"/>
        <v>-0.10934744268077601</v>
      </c>
      <c r="EJ46" s="664">
        <f t="shared" ref="EJ46" si="205">EJ45/EE45-1</f>
        <v>4.2592592592592515E-2</v>
      </c>
      <c r="EK46" s="15">
        <f t="shared" ref="EK46:EQ46" si="206">EK45/EF45-1</f>
        <v>-8.544027898866613E-2</v>
      </c>
      <c r="EL46" s="14">
        <f t="shared" si="206"/>
        <v>4.4921875E-2</v>
      </c>
      <c r="EM46" s="10">
        <f t="shared" si="206"/>
        <v>2.316602316602312E-2</v>
      </c>
      <c r="EN46" s="14">
        <f t="shared" si="206"/>
        <v>1.980198019801982E-2</v>
      </c>
      <c r="EO46" s="664">
        <f t="shared" si="206"/>
        <v>-0.10479573712255774</v>
      </c>
      <c r="EP46" s="15">
        <f t="shared" si="206"/>
        <v>-6.673021925643452E-3</v>
      </c>
      <c r="EQ46" s="14">
        <f t="shared" si="206"/>
        <v>-8.785046728971968E-2</v>
      </c>
      <c r="ER46" s="14">
        <f t="shared" ref="ER46" si="207">ER45/EM45-1</f>
        <v>-4.2979979448717676E-2</v>
      </c>
      <c r="ES46" s="14">
        <f t="shared" ref="ES46:EU46" si="208">ES45/EN45-1</f>
        <v>-6.5899392343380381E-3</v>
      </c>
      <c r="ET46" s="14">
        <f t="shared" si="208"/>
        <v>2.1290128119491936E-2</v>
      </c>
      <c r="EU46" s="15">
        <f t="shared" si="208"/>
        <v>-2.9963043781804699E-2</v>
      </c>
      <c r="EV46" s="337"/>
      <c r="EW46" s="337"/>
      <c r="EX46" s="337"/>
      <c r="EY46" s="337"/>
      <c r="EZ46" s="15">
        <f>EZ45/EU45-1</f>
        <v>-3.3258658827273191E-4</v>
      </c>
      <c r="FA46" s="337"/>
      <c r="FB46" s="337"/>
      <c r="FC46" s="337"/>
      <c r="FD46" s="337"/>
      <c r="FE46" s="15">
        <f>FE45/EZ45-1</f>
        <v>5.6686978776132602E-3</v>
      </c>
      <c r="FF46" s="13"/>
      <c r="FG46" s="475"/>
      <c r="FH46" s="770"/>
      <c r="FI46" s="770"/>
      <c r="FJ46" s="770"/>
      <c r="FK46" s="13"/>
      <c r="FL46" s="1341"/>
      <c r="FM46" s="1141">
        <f t="shared" si="184"/>
        <v>-8.785046728971968E-2</v>
      </c>
      <c r="FN46" s="1419">
        <f t="shared" si="185"/>
        <v>4.4921875E-2</v>
      </c>
      <c r="FO46" s="1806">
        <v>-6.0647683196453417E-2</v>
      </c>
      <c r="FP46" s="1742"/>
      <c r="FQ46" s="1506">
        <f>+(FM46-FO46)*10000</f>
        <v>-272.02784093266263</v>
      </c>
      <c r="FR46" s="1619"/>
      <c r="FS46" s="1619"/>
      <c r="FT46" s="355"/>
      <c r="FU46" s="355"/>
      <c r="FV46" s="355"/>
      <c r="FW46" s="355"/>
      <c r="FX46" s="355"/>
      <c r="FY46" s="355"/>
      <c r="FZ46" s="475"/>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row>
    <row r="47" spans="1:258" s="651" customFormat="1" x14ac:dyDescent="0.2">
      <c r="A47" s="566" t="s">
        <v>456</v>
      </c>
      <c r="B47" s="638"/>
      <c r="C47" s="638"/>
      <c r="D47" s="638"/>
      <c r="E47" s="638"/>
      <c r="F47" s="639"/>
      <c r="G47" s="638"/>
      <c r="H47" s="638"/>
      <c r="I47" s="638"/>
      <c r="J47" s="638"/>
      <c r="K47" s="639"/>
      <c r="L47" s="638"/>
      <c r="M47" s="638"/>
      <c r="N47" s="638"/>
      <c r="O47" s="638"/>
      <c r="P47" s="639"/>
      <c r="Q47" s="638"/>
      <c r="R47" s="638"/>
      <c r="S47" s="638"/>
      <c r="T47" s="638"/>
      <c r="U47" s="639"/>
      <c r="V47" s="638"/>
      <c r="W47" s="638"/>
      <c r="X47" s="638"/>
      <c r="Y47" s="638"/>
      <c r="Z47" s="639"/>
      <c r="AA47" s="638"/>
      <c r="AB47" s="638"/>
      <c r="AC47" s="638"/>
      <c r="AD47" s="638"/>
      <c r="AE47" s="639"/>
      <c r="AF47" s="638"/>
      <c r="AG47" s="638"/>
      <c r="AH47" s="638"/>
      <c r="AI47" s="638"/>
      <c r="AJ47" s="639"/>
      <c r="AK47" s="638"/>
      <c r="AL47" s="638"/>
      <c r="AM47" s="638"/>
      <c r="AN47" s="638"/>
      <c r="AO47" s="639"/>
      <c r="AP47" s="638"/>
      <c r="AQ47" s="638"/>
      <c r="AR47" s="638"/>
      <c r="AS47" s="638"/>
      <c r="AT47" s="639"/>
      <c r="AU47" s="638"/>
      <c r="AV47" s="638"/>
      <c r="AW47" s="638"/>
      <c r="AX47" s="638"/>
      <c r="AY47" s="639"/>
      <c r="AZ47" s="638"/>
      <c r="BA47" s="638"/>
      <c r="BB47" s="638"/>
      <c r="BC47" s="638"/>
      <c r="BD47" s="639"/>
      <c r="BE47" s="638"/>
      <c r="BF47" s="638"/>
      <c r="BG47" s="638"/>
      <c r="BH47" s="638"/>
      <c r="BI47" s="639"/>
      <c r="BJ47" s="638"/>
      <c r="BK47" s="638"/>
      <c r="BL47" s="638"/>
      <c r="BM47" s="638"/>
      <c r="BN47" s="639"/>
      <c r="BO47" s="638"/>
      <c r="BP47" s="638"/>
      <c r="BQ47" s="638"/>
      <c r="BR47" s="638"/>
      <c r="BS47" s="639"/>
      <c r="BT47" s="638"/>
      <c r="BU47" s="638"/>
      <c r="BV47" s="638"/>
      <c r="BW47" s="638"/>
      <c r="BX47" s="639"/>
      <c r="BY47" s="638"/>
      <c r="BZ47" s="638"/>
      <c r="CA47" s="638"/>
      <c r="CB47" s="638"/>
      <c r="CC47" s="639"/>
      <c r="CD47" s="638"/>
      <c r="CE47" s="638"/>
      <c r="CF47" s="638"/>
      <c r="CG47" s="638"/>
      <c r="CH47" s="639"/>
      <c r="CI47" s="638"/>
      <c r="CJ47" s="638"/>
      <c r="CK47" s="638"/>
      <c r="CL47" s="638"/>
      <c r="CM47" s="639"/>
      <c r="CN47" s="638"/>
      <c r="CO47" s="638"/>
      <c r="CP47" s="638"/>
      <c r="CQ47" s="638"/>
      <c r="CR47" s="639"/>
      <c r="CS47" s="638"/>
      <c r="CT47" s="638"/>
      <c r="CU47" s="638"/>
      <c r="CV47" s="638"/>
      <c r="CW47" s="639"/>
      <c r="CX47" s="638">
        <f>27800+800</f>
        <v>28600</v>
      </c>
      <c r="CY47" s="638">
        <v>29000</v>
      </c>
      <c r="CZ47" s="638">
        <v>29600</v>
      </c>
      <c r="DA47" s="665">
        <v>34000</v>
      </c>
      <c r="DB47" s="658">
        <f>SUM(CX47:DA47)</f>
        <v>121200</v>
      </c>
      <c r="DC47" s="638">
        <f>29600+1300</f>
        <v>30900</v>
      </c>
      <c r="DD47" s="638">
        <v>32500</v>
      </c>
      <c r="DE47" s="638">
        <v>31500</v>
      </c>
      <c r="DF47" s="665">
        <v>34000</v>
      </c>
      <c r="DG47" s="658">
        <f>SUM(DC47:DF47)</f>
        <v>128900</v>
      </c>
      <c r="DH47" s="649">
        <v>32600</v>
      </c>
      <c r="DI47" s="638">
        <v>33500</v>
      </c>
      <c r="DJ47" s="638">
        <v>31600</v>
      </c>
      <c r="DK47" s="665">
        <v>32700</v>
      </c>
      <c r="DL47" s="658">
        <f>SUM(DH47:DK47)</f>
        <v>130400</v>
      </c>
      <c r="DM47" s="649">
        <v>33500</v>
      </c>
      <c r="DN47" s="638">
        <v>33600</v>
      </c>
      <c r="DO47" s="638">
        <v>31900</v>
      </c>
      <c r="DP47" s="665">
        <v>31700</v>
      </c>
      <c r="DQ47" s="674">
        <f>SUM(DM47:DP47)</f>
        <v>130700</v>
      </c>
      <c r="DR47" s="649">
        <v>33500</v>
      </c>
      <c r="DS47" s="638">
        <v>34200</v>
      </c>
      <c r="DT47" s="649">
        <v>33500</v>
      </c>
      <c r="DU47" s="665">
        <v>36500</v>
      </c>
      <c r="DV47" s="674">
        <f>SUM(DR47:DU47)</f>
        <v>137700</v>
      </c>
      <c r="DW47" s="649">
        <v>35200</v>
      </c>
      <c r="DX47" s="638">
        <v>38300</v>
      </c>
      <c r="DY47" s="649">
        <v>37100</v>
      </c>
      <c r="DZ47" s="665">
        <v>38108.382928571424</v>
      </c>
      <c r="EA47" s="674">
        <f>SUM(DW47:DZ47)</f>
        <v>148708.38292857143</v>
      </c>
      <c r="EB47" s="649">
        <v>35900</v>
      </c>
      <c r="EC47" s="638">
        <v>36800</v>
      </c>
      <c r="ED47" s="649">
        <v>36000</v>
      </c>
      <c r="EE47" s="665">
        <v>35900</v>
      </c>
      <c r="EF47" s="674">
        <f>SUM(EB47:EE47)</f>
        <v>144600</v>
      </c>
      <c r="EG47" s="649">
        <v>34100</v>
      </c>
      <c r="EH47" s="638">
        <v>33900</v>
      </c>
      <c r="EI47" s="649">
        <v>32300</v>
      </c>
      <c r="EJ47" s="665">
        <v>35200</v>
      </c>
      <c r="EK47" s="674">
        <f>SUM(EG47:EJ47)</f>
        <v>135500</v>
      </c>
      <c r="EL47" s="649">
        <v>34400</v>
      </c>
      <c r="EM47" s="1984">
        <v>33700</v>
      </c>
      <c r="EN47" s="649">
        <v>31900</v>
      </c>
      <c r="EO47" s="665">
        <v>31500</v>
      </c>
      <c r="EP47" s="674">
        <f>SUM(EL47:EO47)</f>
        <v>131500</v>
      </c>
      <c r="EQ47" s="649">
        <v>31400</v>
      </c>
      <c r="ER47" s="649">
        <f t="shared" ref="ER47" si="209">EM47*(1+ER48)</f>
        <v>31972.521399410405</v>
      </c>
      <c r="ES47" s="649">
        <f t="shared" ref="ES47:ET47" si="210">EN47*(1+ES48)</f>
        <v>31984.083007240522</v>
      </c>
      <c r="ET47" s="649">
        <f t="shared" si="210"/>
        <v>32179.101925654541</v>
      </c>
      <c r="EU47" s="674">
        <f>SUM(EQ47:ET47)</f>
        <v>127535.70633230548</v>
      </c>
      <c r="EV47" s="650"/>
      <c r="EW47" s="650"/>
      <c r="EX47" s="650"/>
      <c r="EY47" s="650"/>
      <c r="EZ47" s="640">
        <f>EU47*(1+EZ48)</f>
        <v>127748.48012625059</v>
      </c>
      <c r="FA47" s="650"/>
      <c r="FB47" s="650"/>
      <c r="FC47" s="650"/>
      <c r="FD47" s="650"/>
      <c r="FE47" s="640">
        <f>EZ47*(1+FE48)</f>
        <v>128994.25547627678</v>
      </c>
      <c r="FG47" s="652"/>
      <c r="FH47" s="771" t="s">
        <v>721</v>
      </c>
      <c r="FI47" s="771" t="s">
        <v>722</v>
      </c>
      <c r="FJ47" s="771" t="s">
        <v>746</v>
      </c>
      <c r="FL47" s="1342"/>
      <c r="FM47" s="1528">
        <f t="shared" si="184"/>
        <v>31400</v>
      </c>
      <c r="FN47" s="1420">
        <f t="shared" si="185"/>
        <v>34400</v>
      </c>
      <c r="FO47" s="1807">
        <v>31106.362566732889</v>
      </c>
      <c r="FP47" s="1733">
        <f>+FM47/FN47-1</f>
        <v>-8.7209302325581439E-2</v>
      </c>
      <c r="FQ47" s="1519">
        <f>+FM47/FO47-1</f>
        <v>9.4397868808082652E-3</v>
      </c>
      <c r="FR47" s="1619"/>
      <c r="FS47" s="1619"/>
      <c r="FT47" s="399"/>
      <c r="FU47" s="399"/>
      <c r="FV47" s="399"/>
      <c r="FW47" s="399"/>
      <c r="FX47" s="399"/>
      <c r="FY47" s="399"/>
      <c r="FZ47" s="652"/>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c r="IW47"/>
      <c r="IX47"/>
    </row>
    <row r="48" spans="1:258" s="12" customFormat="1" x14ac:dyDescent="0.2">
      <c r="A48" s="648" t="s">
        <v>453</v>
      </c>
      <c r="B48" s="653"/>
      <c r="C48" s="653"/>
      <c r="D48" s="653"/>
      <c r="E48" s="653"/>
      <c r="F48" s="654"/>
      <c r="G48" s="653"/>
      <c r="H48" s="653"/>
      <c r="I48" s="653"/>
      <c r="J48" s="653"/>
      <c r="K48" s="654"/>
      <c r="L48" s="653"/>
      <c r="M48" s="653"/>
      <c r="N48" s="653"/>
      <c r="O48" s="653"/>
      <c r="P48" s="654"/>
      <c r="Q48" s="653"/>
      <c r="R48" s="653"/>
      <c r="S48" s="653"/>
      <c r="T48" s="653"/>
      <c r="U48" s="654"/>
      <c r="V48" s="653"/>
      <c r="W48" s="653"/>
      <c r="X48" s="653"/>
      <c r="Y48" s="653"/>
      <c r="Z48" s="654"/>
      <c r="AA48" s="653"/>
      <c r="AB48" s="653"/>
      <c r="AC48" s="653"/>
      <c r="AD48" s="653"/>
      <c r="AE48" s="654"/>
      <c r="AF48" s="653"/>
      <c r="AG48" s="653"/>
      <c r="AH48" s="653"/>
      <c r="AI48" s="653"/>
      <c r="AJ48" s="654"/>
      <c r="AK48" s="653"/>
      <c r="AL48" s="653"/>
      <c r="AM48" s="653"/>
      <c r="AN48" s="653"/>
      <c r="AO48" s="654"/>
      <c r="AP48" s="653"/>
      <c r="AQ48" s="653"/>
      <c r="AR48" s="653"/>
      <c r="AS48" s="653"/>
      <c r="AT48" s="654"/>
      <c r="AU48" s="653"/>
      <c r="AV48" s="653"/>
      <c r="AW48" s="653"/>
      <c r="AX48" s="653"/>
      <c r="AY48" s="654"/>
      <c r="AZ48" s="653"/>
      <c r="BA48" s="653"/>
      <c r="BB48" s="653"/>
      <c r="BC48" s="653"/>
      <c r="BD48" s="654"/>
      <c r="BE48" s="653"/>
      <c r="BF48" s="653"/>
      <c r="BG48" s="653"/>
      <c r="BH48" s="653"/>
      <c r="BI48" s="654"/>
      <c r="BJ48" s="653"/>
      <c r="BK48" s="653"/>
      <c r="BL48" s="653"/>
      <c r="BM48" s="653"/>
      <c r="BN48" s="654"/>
      <c r="BO48" s="653"/>
      <c r="BP48" s="653"/>
      <c r="BQ48" s="653"/>
      <c r="BR48" s="653"/>
      <c r="BS48" s="654"/>
      <c r="BT48" s="653"/>
      <c r="BU48" s="653"/>
      <c r="BV48" s="653"/>
      <c r="BW48" s="653"/>
      <c r="BX48" s="654"/>
      <c r="BY48" s="653"/>
      <c r="BZ48" s="653"/>
      <c r="CA48" s="653"/>
      <c r="CB48" s="653"/>
      <c r="CC48" s="654"/>
      <c r="CD48" s="653"/>
      <c r="CE48" s="653"/>
      <c r="CF48" s="653"/>
      <c r="CG48" s="653"/>
      <c r="CH48" s="654"/>
      <c r="CI48" s="653"/>
      <c r="CJ48" s="653"/>
      <c r="CK48" s="653"/>
      <c r="CL48" s="653"/>
      <c r="CM48" s="654"/>
      <c r="CN48" s="653"/>
      <c r="CO48" s="653"/>
      <c r="CP48" s="653"/>
      <c r="CQ48" s="653"/>
      <c r="CR48" s="654"/>
      <c r="CS48" s="653"/>
      <c r="CT48" s="653"/>
      <c r="CU48" s="653"/>
      <c r="CV48" s="653"/>
      <c r="CW48" s="654"/>
      <c r="CX48" s="653"/>
      <c r="CY48" s="653"/>
      <c r="CZ48" s="653"/>
      <c r="DA48" s="666"/>
      <c r="DB48" s="659"/>
      <c r="DC48" s="653">
        <f>DC47/CX47-1</f>
        <v>8.0419580419580416E-2</v>
      </c>
      <c r="DD48" s="653">
        <f>DD47/CY47-1</f>
        <v>0.1206896551724137</v>
      </c>
      <c r="DE48" s="653">
        <f>DE47/CZ47-1</f>
        <v>6.4189189189189255E-2</v>
      </c>
      <c r="DF48" s="666">
        <f>DF47/DA47-1</f>
        <v>0</v>
      </c>
      <c r="DG48" s="659">
        <f t="shared" ref="DG48:ED48" si="211">DG47/DB47-1</f>
        <v>6.353135313531344E-2</v>
      </c>
      <c r="DH48" s="655">
        <f t="shared" si="211"/>
        <v>5.5016181229773364E-2</v>
      </c>
      <c r="DI48" s="653">
        <f t="shared" si="211"/>
        <v>3.076923076923066E-2</v>
      </c>
      <c r="DJ48" s="653">
        <f t="shared" si="211"/>
        <v>3.1746031746031633E-3</v>
      </c>
      <c r="DK48" s="666">
        <f t="shared" si="211"/>
        <v>-3.8235294117647034E-2</v>
      </c>
      <c r="DL48" s="659">
        <f t="shared" si="211"/>
        <v>1.1636927851047307E-2</v>
      </c>
      <c r="DM48" s="655">
        <f t="shared" si="211"/>
        <v>2.7607361963190247E-2</v>
      </c>
      <c r="DN48" s="655">
        <f t="shared" si="211"/>
        <v>2.9850746268655914E-3</v>
      </c>
      <c r="DO48" s="653">
        <f>DO47/DJ47-1</f>
        <v>9.493670886076E-3</v>
      </c>
      <c r="DP48" s="666">
        <f t="shared" si="211"/>
        <v>-3.0581039755351647E-2</v>
      </c>
      <c r="DQ48" s="673">
        <f>DQ47/DL47-1</f>
        <v>2.3006134969325576E-3</v>
      </c>
      <c r="DR48" s="655">
        <f t="shared" si="211"/>
        <v>0</v>
      </c>
      <c r="DS48" s="655">
        <f t="shared" si="211"/>
        <v>1.7857142857142794E-2</v>
      </c>
      <c r="DT48" s="653">
        <f t="shared" si="211"/>
        <v>5.0156739811912265E-2</v>
      </c>
      <c r="DU48" s="666">
        <f t="shared" si="211"/>
        <v>0.1514195583596214</v>
      </c>
      <c r="DV48" s="673">
        <f>DV47/DQ47-1</f>
        <v>5.3557765876051988E-2</v>
      </c>
      <c r="DW48" s="655">
        <f t="shared" si="211"/>
        <v>5.0746268656716387E-2</v>
      </c>
      <c r="DX48" s="655">
        <f t="shared" si="211"/>
        <v>0.11988304093567259</v>
      </c>
      <c r="DY48" s="653">
        <f t="shared" si="211"/>
        <v>0.10746268656716418</v>
      </c>
      <c r="DZ48" s="666">
        <f t="shared" si="211"/>
        <v>4.4065285714285585E-2</v>
      </c>
      <c r="EA48" s="673">
        <f>EA47/DV47-1</f>
        <v>7.9944683577134468E-2</v>
      </c>
      <c r="EB48" s="655">
        <f t="shared" si="211"/>
        <v>1.9886363636363535E-2</v>
      </c>
      <c r="EC48" s="655">
        <f t="shared" si="211"/>
        <v>-3.9164490861618773E-2</v>
      </c>
      <c r="ED48" s="653">
        <f t="shared" si="211"/>
        <v>-2.9649595687331498E-2</v>
      </c>
      <c r="EE48" s="666">
        <f t="shared" ref="EE48:EQ48" si="212">EE47/DZ47-1</f>
        <v>-5.7950056099486447E-2</v>
      </c>
      <c r="EF48" s="673">
        <f t="shared" si="212"/>
        <v>-2.762711050758182E-2</v>
      </c>
      <c r="EG48" s="655">
        <f t="shared" si="212"/>
        <v>-5.0139275766016733E-2</v>
      </c>
      <c r="EH48" s="655">
        <f t="shared" si="212"/>
        <v>-7.8804347826086918E-2</v>
      </c>
      <c r="EI48" s="653">
        <f t="shared" si="212"/>
        <v>-0.10277777777777775</v>
      </c>
      <c r="EJ48" s="666">
        <f t="shared" si="212"/>
        <v>-1.9498607242339872E-2</v>
      </c>
      <c r="EK48" s="673">
        <f t="shared" si="212"/>
        <v>-6.2932226832641769E-2</v>
      </c>
      <c r="EL48" s="655">
        <f t="shared" si="212"/>
        <v>8.7976539589442737E-3</v>
      </c>
      <c r="EM48" s="655">
        <f t="shared" si="212"/>
        <v>-5.8997050147492347E-3</v>
      </c>
      <c r="EN48" s="653">
        <f t="shared" si="212"/>
        <v>-1.2383900928792602E-2</v>
      </c>
      <c r="EO48" s="666">
        <f t="shared" si="212"/>
        <v>-0.10511363636363635</v>
      </c>
      <c r="EP48" s="673">
        <f t="shared" si="212"/>
        <v>-2.9520295202952074E-2</v>
      </c>
      <c r="EQ48" s="655">
        <f t="shared" si="212"/>
        <v>-8.7209302325581439E-2</v>
      </c>
      <c r="ER48" s="1165">
        <f t="shared" ref="ER48" si="213">+ER29*$FI$48+$FJ$48</f>
        <v>-5.1260492599097859E-2</v>
      </c>
      <c r="ES48" s="1165">
        <f>+ES29*$FI$48+$FJ$48</f>
        <v>2.6358309479787836E-3</v>
      </c>
      <c r="ET48" s="1993">
        <f>+ET29*$FI$48+$FJ$48</f>
        <v>2.1558791290620258E-2</v>
      </c>
      <c r="EU48" s="673">
        <f>EU47/EP47-1</f>
        <v>-3.0146719906422259E-2</v>
      </c>
      <c r="EV48" s="669">
        <f>+EV29* 1.3467 + 0.0008</f>
        <v>8.0000000000000004E-4</v>
      </c>
      <c r="EW48" s="669">
        <f>+EW29* 1.3467 + 0.0008</f>
        <v>8.0000000000000004E-4</v>
      </c>
      <c r="EX48" s="669">
        <f>+EX29* 1.3467 + 0.0008</f>
        <v>8.0000000000000004E-4</v>
      </c>
      <c r="EY48" s="669">
        <f>+EY29* 1.3467 + 0.0008</f>
        <v>8.0000000000000004E-4</v>
      </c>
      <c r="EZ48" s="1011">
        <f>+EZ29*$FI$48+$FJ$48</f>
        <v>1.6683468501810187E-3</v>
      </c>
      <c r="FA48" s="669">
        <f>+FA29* 1.3467 + 0.0008</f>
        <v>8.0000000000000004E-4</v>
      </c>
      <c r="FB48" s="669">
        <f>+FB29* 1.3467 + 0.0008</f>
        <v>8.0000000000000004E-4</v>
      </c>
      <c r="FC48" s="669">
        <f>+FC29* 1.3467 + 0.0008</f>
        <v>8.0000000000000004E-4</v>
      </c>
      <c r="FD48" s="669">
        <f>+FD29* 1.3467 + 0.0008</f>
        <v>8.0000000000000004E-4</v>
      </c>
      <c r="FE48" s="1011">
        <f>+FE29*$FI$48+$FJ$48</f>
        <v>9.7517821644141633E-3</v>
      </c>
      <c r="FF48" s="13"/>
      <c r="FG48" s="475"/>
      <c r="FH48" s="1306">
        <f>+RSQ(DH48:EQ48,DH29:EQ29)</f>
        <v>0.80681564068456102</v>
      </c>
      <c r="FI48" s="1307">
        <f>+SLOPE(DH48:EQ48,DH29:EQ29)</f>
        <v>1.1606352932054986</v>
      </c>
      <c r="FJ48" s="1307">
        <f>+INTERCEPT(DH48:EQ48,DH29:EQ29)</f>
        <v>-3.4971727519089689E-3</v>
      </c>
      <c r="FK48" s="13"/>
      <c r="FL48" s="1341"/>
      <c r="FM48" s="1529">
        <f t="shared" si="184"/>
        <v>-8.7209302325581439E-2</v>
      </c>
      <c r="FN48" s="1421">
        <f t="shared" si="185"/>
        <v>8.7976539589442737E-3</v>
      </c>
      <c r="FO48" s="1808">
        <v>-9.5745274222881163E-2</v>
      </c>
      <c r="FP48" s="1742"/>
      <c r="FQ48" s="1611">
        <f>+(FM48-FO48)*10000</f>
        <v>85.359718972997243</v>
      </c>
      <c r="FR48" s="1620"/>
      <c r="FS48" s="1620"/>
      <c r="FT48" s="448"/>
      <c r="FU48" s="448"/>
      <c r="FV48" s="448"/>
      <c r="FW48" s="448"/>
      <c r="FX48" s="448"/>
      <c r="FY48" s="448"/>
      <c r="FZ48" s="475"/>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c r="IW48"/>
      <c r="IX48"/>
    </row>
    <row r="49" spans="1:258" s="651" customFormat="1" x14ac:dyDescent="0.2">
      <c r="A49" s="566" t="s">
        <v>454</v>
      </c>
      <c r="B49" s="638"/>
      <c r="C49" s="638"/>
      <c r="D49" s="638"/>
      <c r="E49" s="638"/>
      <c r="F49" s="639"/>
      <c r="G49" s="638"/>
      <c r="H49" s="638"/>
      <c r="I49" s="638"/>
      <c r="J49" s="638"/>
      <c r="K49" s="639"/>
      <c r="L49" s="638"/>
      <c r="M49" s="638"/>
      <c r="N49" s="638"/>
      <c r="O49" s="638"/>
      <c r="P49" s="639"/>
      <c r="Q49" s="638"/>
      <c r="R49" s="638"/>
      <c r="S49" s="638"/>
      <c r="T49" s="638"/>
      <c r="U49" s="639"/>
      <c r="V49" s="638"/>
      <c r="W49" s="638"/>
      <c r="X49" s="638"/>
      <c r="Y49" s="638"/>
      <c r="Z49" s="639"/>
      <c r="AA49" s="638"/>
      <c r="AB49" s="638"/>
      <c r="AC49" s="638"/>
      <c r="AD49" s="638"/>
      <c r="AE49" s="639"/>
      <c r="AF49" s="638"/>
      <c r="AG49" s="638"/>
      <c r="AH49" s="638"/>
      <c r="AI49" s="638"/>
      <c r="AJ49" s="639"/>
      <c r="AK49" s="638"/>
      <c r="AL49" s="638"/>
      <c r="AM49" s="638"/>
      <c r="AN49" s="638"/>
      <c r="AO49" s="639"/>
      <c r="AP49" s="638"/>
      <c r="AQ49" s="638"/>
      <c r="AR49" s="638"/>
      <c r="AS49" s="638"/>
      <c r="AT49" s="639"/>
      <c r="AU49" s="638"/>
      <c r="AV49" s="638"/>
      <c r="AW49" s="638"/>
      <c r="AX49" s="638"/>
      <c r="AY49" s="639"/>
      <c r="AZ49" s="638"/>
      <c r="BA49" s="638"/>
      <c r="BB49" s="638"/>
      <c r="BC49" s="638"/>
      <c r="BD49" s="639"/>
      <c r="BE49" s="638"/>
      <c r="BF49" s="638"/>
      <c r="BG49" s="638"/>
      <c r="BH49" s="638"/>
      <c r="BI49" s="639"/>
      <c r="BJ49" s="638"/>
      <c r="BK49" s="638"/>
      <c r="BL49" s="638"/>
      <c r="BM49" s="638"/>
      <c r="BN49" s="639"/>
      <c r="BO49" s="638"/>
      <c r="BP49" s="638"/>
      <c r="BQ49" s="638"/>
      <c r="BR49" s="638"/>
      <c r="BS49" s="639"/>
      <c r="BT49" s="638"/>
      <c r="BU49" s="638"/>
      <c r="BV49" s="638"/>
      <c r="BW49" s="638"/>
      <c r="BX49" s="639"/>
      <c r="BY49" s="638"/>
      <c r="BZ49" s="638"/>
      <c r="CA49" s="638"/>
      <c r="CB49" s="638"/>
      <c r="CC49" s="639"/>
      <c r="CD49" s="638"/>
      <c r="CE49" s="638"/>
      <c r="CF49" s="638"/>
      <c r="CG49" s="638"/>
      <c r="CH49" s="639"/>
      <c r="CI49" s="638"/>
      <c r="CJ49" s="638"/>
      <c r="CK49" s="638"/>
      <c r="CL49" s="638"/>
      <c r="CM49" s="639"/>
      <c r="CN49" s="638"/>
      <c r="CO49" s="638"/>
      <c r="CP49" s="638"/>
      <c r="CQ49" s="638"/>
      <c r="CR49" s="639"/>
      <c r="CS49" s="638"/>
      <c r="CT49" s="638"/>
      <c r="CU49" s="638"/>
      <c r="CV49" s="638"/>
      <c r="CW49" s="639"/>
      <c r="CX49" s="638">
        <v>20500</v>
      </c>
      <c r="CY49" s="638">
        <v>18400</v>
      </c>
      <c r="CZ49" s="638">
        <v>19200</v>
      </c>
      <c r="DA49" s="665">
        <v>17100</v>
      </c>
      <c r="DB49" s="658">
        <f>SUM(CX49:DA49)</f>
        <v>75200</v>
      </c>
      <c r="DC49" s="638">
        <v>19000</v>
      </c>
      <c r="DD49" s="638">
        <v>20500</v>
      </c>
      <c r="DE49" s="638">
        <v>19800</v>
      </c>
      <c r="DF49" s="665">
        <v>20200</v>
      </c>
      <c r="DG49" s="658">
        <f>SUM(DC49:DF49)</f>
        <v>79500</v>
      </c>
      <c r="DH49" s="649">
        <v>19400</v>
      </c>
      <c r="DI49" s="638">
        <v>19200</v>
      </c>
      <c r="DJ49" s="638">
        <v>19200</v>
      </c>
      <c r="DK49" s="665">
        <v>18500</v>
      </c>
      <c r="DL49" s="658">
        <f>SUM(DH49:DK49)</f>
        <v>76300</v>
      </c>
      <c r="DM49" s="649">
        <v>17500</v>
      </c>
      <c r="DN49" s="638">
        <v>17400</v>
      </c>
      <c r="DO49" s="638">
        <v>17400</v>
      </c>
      <c r="DP49" s="665">
        <v>15800</v>
      </c>
      <c r="DQ49" s="674">
        <f>SUM(DM49:DP49)</f>
        <v>68100</v>
      </c>
      <c r="DR49" s="649">
        <v>16300</v>
      </c>
      <c r="DS49" s="638">
        <v>16900</v>
      </c>
      <c r="DT49" s="649">
        <v>16400</v>
      </c>
      <c r="DU49" s="665">
        <v>15000</v>
      </c>
      <c r="DV49" s="674">
        <f>SUM(DR49:DU49)</f>
        <v>64600</v>
      </c>
      <c r="DW49" s="649">
        <v>16000</v>
      </c>
      <c r="DX49" s="638">
        <v>18300</v>
      </c>
      <c r="DY49" s="649">
        <v>17300</v>
      </c>
      <c r="DZ49" s="665">
        <v>17500</v>
      </c>
      <c r="EA49" s="674">
        <f>SUM(DW49:DZ49)</f>
        <v>69100</v>
      </c>
      <c r="EB49" s="649">
        <v>16100.000000000002</v>
      </c>
      <c r="EC49" s="638">
        <v>15800</v>
      </c>
      <c r="ED49" s="649">
        <v>13600</v>
      </c>
      <c r="EE49" s="665">
        <v>11000</v>
      </c>
      <c r="EF49" s="674">
        <f>SUM(EB49:EE49)</f>
        <v>56500</v>
      </c>
      <c r="EG49" s="649">
        <v>10500</v>
      </c>
      <c r="EH49" s="638">
        <v>11000</v>
      </c>
      <c r="EI49" s="649">
        <v>11500</v>
      </c>
      <c r="EJ49" s="665">
        <v>13500</v>
      </c>
      <c r="EK49" s="674">
        <f>SUM(EG49:EJ49)</f>
        <v>46500</v>
      </c>
      <c r="EL49" s="649">
        <v>12200</v>
      </c>
      <c r="EM49" s="1984">
        <v>11900</v>
      </c>
      <c r="EN49" s="649">
        <v>12200</v>
      </c>
      <c r="EO49" s="665">
        <v>11700</v>
      </c>
      <c r="EP49" s="674">
        <f>SUM(EL49:EO49)</f>
        <v>48000</v>
      </c>
      <c r="EQ49" s="649">
        <v>10300</v>
      </c>
      <c r="ER49" s="649">
        <f t="shared" ref="ER49" si="214">EM49*(1+ER50)</f>
        <v>11121.037465912688</v>
      </c>
      <c r="ES49" s="649">
        <f t="shared" ref="ES49:ET49" si="215">EN49*(1+ES50)</f>
        <v>11401.399754969312</v>
      </c>
      <c r="ET49" s="649">
        <f t="shared" si="215"/>
        <v>11621.921394005447</v>
      </c>
      <c r="EU49" s="674">
        <f>SUM(EQ49:ET49)</f>
        <v>44444.358614887446</v>
      </c>
      <c r="EV49" s="650"/>
      <c r="EW49" s="650"/>
      <c r="EX49" s="650"/>
      <c r="EY49" s="650"/>
      <c r="EZ49" s="640">
        <f>EU49*(1+EZ50)</f>
        <v>42485.143021265685</v>
      </c>
      <c r="FA49" s="650"/>
      <c r="FB49" s="650"/>
      <c r="FC49" s="650"/>
      <c r="FD49" s="650"/>
      <c r="FE49" s="640">
        <f>EZ49*(1+FE50)</f>
        <v>40612.294423634383</v>
      </c>
      <c r="FG49" s="652"/>
      <c r="FH49" s="771"/>
      <c r="FI49" s="771"/>
      <c r="FJ49" s="771"/>
      <c r="FL49" s="1342"/>
      <c r="FM49" s="1528">
        <f t="shared" si="184"/>
        <v>10300</v>
      </c>
      <c r="FN49" s="1420">
        <f t="shared" si="185"/>
        <v>12200</v>
      </c>
      <c r="FO49" s="1807">
        <v>12111.337085372817</v>
      </c>
      <c r="FP49" s="1733">
        <f>+FM49/FN49-1</f>
        <v>-0.15573770491803274</v>
      </c>
      <c r="FQ49" s="1519">
        <f>+FM49/FO49-1</f>
        <v>-0.1495571523279966</v>
      </c>
      <c r="FR49" s="1619"/>
      <c r="FS49" s="1619"/>
      <c r="FT49" s="399"/>
      <c r="FU49" s="399"/>
      <c r="FV49" s="399"/>
      <c r="FW49" s="399"/>
      <c r="FX49" s="399"/>
      <c r="FY49" s="399"/>
      <c r="FZ49" s="652"/>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c r="IW49"/>
      <c r="IX49"/>
    </row>
    <row r="50" spans="1:258" s="12" customFormat="1" x14ac:dyDescent="0.2">
      <c r="A50" s="648" t="s">
        <v>453</v>
      </c>
      <c r="B50" s="653"/>
      <c r="C50" s="653"/>
      <c r="D50" s="653"/>
      <c r="E50" s="653"/>
      <c r="F50" s="654"/>
      <c r="G50" s="653"/>
      <c r="H50" s="653"/>
      <c r="I50" s="653"/>
      <c r="J50" s="653"/>
      <c r="K50" s="654"/>
      <c r="L50" s="653"/>
      <c r="M50" s="653"/>
      <c r="N50" s="653"/>
      <c r="O50" s="653"/>
      <c r="P50" s="654"/>
      <c r="Q50" s="653"/>
      <c r="R50" s="653"/>
      <c r="S50" s="653"/>
      <c r="T50" s="653"/>
      <c r="U50" s="654"/>
      <c r="V50" s="653"/>
      <c r="W50" s="653"/>
      <c r="X50" s="653"/>
      <c r="Y50" s="653"/>
      <c r="Z50" s="654"/>
      <c r="AA50" s="653"/>
      <c r="AB50" s="653"/>
      <c r="AC50" s="653"/>
      <c r="AD50" s="653"/>
      <c r="AE50" s="654"/>
      <c r="AF50" s="653"/>
      <c r="AG50" s="653"/>
      <c r="AH50" s="653"/>
      <c r="AI50" s="653"/>
      <c r="AJ50" s="654"/>
      <c r="AK50" s="653"/>
      <c r="AL50" s="653"/>
      <c r="AM50" s="653"/>
      <c r="AN50" s="653"/>
      <c r="AO50" s="654"/>
      <c r="AP50" s="653"/>
      <c r="AQ50" s="653"/>
      <c r="AR50" s="653"/>
      <c r="AS50" s="653"/>
      <c r="AT50" s="654"/>
      <c r="AU50" s="653"/>
      <c r="AV50" s="653"/>
      <c r="AW50" s="653"/>
      <c r="AX50" s="653"/>
      <c r="AY50" s="654"/>
      <c r="AZ50" s="653"/>
      <c r="BA50" s="653"/>
      <c r="BB50" s="653"/>
      <c r="BC50" s="653"/>
      <c r="BD50" s="654"/>
      <c r="BE50" s="653"/>
      <c r="BF50" s="653"/>
      <c r="BG50" s="653"/>
      <c r="BH50" s="653"/>
      <c r="BI50" s="654"/>
      <c r="BJ50" s="653"/>
      <c r="BK50" s="653"/>
      <c r="BL50" s="653"/>
      <c r="BM50" s="653"/>
      <c r="BN50" s="654"/>
      <c r="BO50" s="653"/>
      <c r="BP50" s="653"/>
      <c r="BQ50" s="653"/>
      <c r="BR50" s="653"/>
      <c r="BS50" s="654"/>
      <c r="BT50" s="653"/>
      <c r="BU50" s="653"/>
      <c r="BV50" s="653"/>
      <c r="BW50" s="653"/>
      <c r="BX50" s="654"/>
      <c r="BY50" s="653"/>
      <c r="BZ50" s="653"/>
      <c r="CA50" s="653"/>
      <c r="CB50" s="653"/>
      <c r="CC50" s="654"/>
      <c r="CD50" s="653"/>
      <c r="CE50" s="653"/>
      <c r="CF50" s="653"/>
      <c r="CG50" s="653"/>
      <c r="CH50" s="654"/>
      <c r="CI50" s="653"/>
      <c r="CJ50" s="653"/>
      <c r="CK50" s="653"/>
      <c r="CL50" s="653"/>
      <c r="CM50" s="654"/>
      <c r="CN50" s="653"/>
      <c r="CO50" s="653"/>
      <c r="CP50" s="653"/>
      <c r="CQ50" s="653"/>
      <c r="CR50" s="654"/>
      <c r="CS50" s="653"/>
      <c r="CT50" s="653"/>
      <c r="CU50" s="653"/>
      <c r="CV50" s="653"/>
      <c r="CW50" s="654"/>
      <c r="CX50" s="653"/>
      <c r="CY50" s="653"/>
      <c r="CZ50" s="653"/>
      <c r="DA50" s="666"/>
      <c r="DB50" s="659"/>
      <c r="DC50" s="653">
        <f t="shared" ref="DC50:ED50" si="216">DC49/CX49-1</f>
        <v>-7.3170731707317027E-2</v>
      </c>
      <c r="DD50" s="653">
        <f t="shared" si="216"/>
        <v>0.11413043478260865</v>
      </c>
      <c r="DE50" s="653">
        <f t="shared" si="216"/>
        <v>3.125E-2</v>
      </c>
      <c r="DF50" s="666">
        <f t="shared" si="216"/>
        <v>0.18128654970760238</v>
      </c>
      <c r="DG50" s="659">
        <f t="shared" si="216"/>
        <v>5.7180851063829863E-2</v>
      </c>
      <c r="DH50" s="655">
        <f t="shared" si="216"/>
        <v>2.1052631578947434E-2</v>
      </c>
      <c r="DI50" s="653">
        <f t="shared" si="216"/>
        <v>-6.3414634146341409E-2</v>
      </c>
      <c r="DJ50" s="653">
        <f t="shared" si="216"/>
        <v>-3.0303030303030276E-2</v>
      </c>
      <c r="DK50" s="666">
        <f t="shared" si="216"/>
        <v>-8.4158415841584122E-2</v>
      </c>
      <c r="DL50" s="659">
        <f t="shared" si="216"/>
        <v>-4.0251572327044016E-2</v>
      </c>
      <c r="DM50" s="655">
        <f t="shared" si="216"/>
        <v>-9.7938144329896892E-2</v>
      </c>
      <c r="DN50" s="655">
        <f t="shared" si="216"/>
        <v>-9.375E-2</v>
      </c>
      <c r="DO50" s="653">
        <f t="shared" si="216"/>
        <v>-9.375E-2</v>
      </c>
      <c r="DP50" s="666">
        <f t="shared" si="216"/>
        <v>-0.1459459459459459</v>
      </c>
      <c r="DQ50" s="673">
        <f>DQ49/DL49-1</f>
        <v>-0.10747051114023587</v>
      </c>
      <c r="DR50" s="655">
        <f t="shared" si="216"/>
        <v>-6.8571428571428616E-2</v>
      </c>
      <c r="DS50" s="655">
        <f t="shared" si="216"/>
        <v>-2.8735632183908066E-2</v>
      </c>
      <c r="DT50" s="653">
        <f t="shared" si="216"/>
        <v>-5.7471264367816133E-2</v>
      </c>
      <c r="DU50" s="666">
        <f t="shared" si="216"/>
        <v>-5.0632911392405111E-2</v>
      </c>
      <c r="DV50" s="673">
        <f>DV49/DQ49-1</f>
        <v>-5.1395007342143861E-2</v>
      </c>
      <c r="DW50" s="655">
        <f t="shared" si="216"/>
        <v>-1.8404907975460127E-2</v>
      </c>
      <c r="DX50" s="655">
        <f t="shared" si="216"/>
        <v>8.2840236686390512E-2</v>
      </c>
      <c r="DY50" s="653">
        <f t="shared" si="216"/>
        <v>5.4878048780487854E-2</v>
      </c>
      <c r="DZ50" s="666">
        <f t="shared" si="216"/>
        <v>0.16666666666666674</v>
      </c>
      <c r="EA50" s="673">
        <f>EA49/DV49-1</f>
        <v>6.965944272445812E-2</v>
      </c>
      <c r="EB50" s="655">
        <f t="shared" si="216"/>
        <v>6.2500000000000888E-3</v>
      </c>
      <c r="EC50" s="655">
        <f t="shared" si="216"/>
        <v>-0.13661202185792354</v>
      </c>
      <c r="ED50" s="653">
        <f t="shared" si="216"/>
        <v>-0.21387283236994215</v>
      </c>
      <c r="EE50" s="666">
        <f t="shared" ref="EE50:EQ50" si="217">EE49/DZ49-1</f>
        <v>-0.37142857142857144</v>
      </c>
      <c r="EF50" s="673">
        <f t="shared" si="217"/>
        <v>-0.18234442836468889</v>
      </c>
      <c r="EG50" s="655">
        <f t="shared" si="217"/>
        <v>-0.34782608695652184</v>
      </c>
      <c r="EH50" s="655">
        <f t="shared" si="217"/>
        <v>-0.30379746835443033</v>
      </c>
      <c r="EI50" s="653">
        <f t="shared" si="217"/>
        <v>-0.15441176470588236</v>
      </c>
      <c r="EJ50" s="666">
        <f t="shared" si="217"/>
        <v>0.22727272727272729</v>
      </c>
      <c r="EK50" s="673">
        <f t="shared" si="217"/>
        <v>-0.17699115044247793</v>
      </c>
      <c r="EL50" s="655">
        <f t="shared" si="217"/>
        <v>0.161904761904762</v>
      </c>
      <c r="EM50" s="655">
        <f t="shared" si="217"/>
        <v>8.181818181818179E-2</v>
      </c>
      <c r="EN50" s="653">
        <f t="shared" si="217"/>
        <v>6.0869565217391397E-2</v>
      </c>
      <c r="EO50" s="666">
        <f t="shared" si="217"/>
        <v>-0.1333333333333333</v>
      </c>
      <c r="EP50" s="673">
        <f t="shared" si="217"/>
        <v>3.2258064516129004E-2</v>
      </c>
      <c r="EQ50" s="655">
        <f t="shared" si="217"/>
        <v>-0.15573770491803274</v>
      </c>
      <c r="ER50" s="1165">
        <f t="shared" ref="ER50" si="218">+ER32*$FI$50+$FJ$50</f>
        <v>-6.5459036477925239E-2</v>
      </c>
      <c r="ES50" s="1165">
        <f>+ES32*$FI$50+$FJ$50</f>
        <v>-6.5459036477925239E-2</v>
      </c>
      <c r="ET50" s="1165">
        <f>+ET32*$FI$50+$FJ$50</f>
        <v>-6.6733851277396283E-3</v>
      </c>
      <c r="EU50" s="673">
        <f>EU49/EP49-1</f>
        <v>-7.4075862189844854E-2</v>
      </c>
      <c r="EV50" s="669">
        <f>+EV32* 0.9735 + 0.0182</f>
        <v>1.8200000000000001E-2</v>
      </c>
      <c r="EW50" s="669">
        <f>+EW32* 0.9735 + 0.0182</f>
        <v>1.8200000000000001E-2</v>
      </c>
      <c r="EX50" s="669">
        <f>+EX32* 0.9735 + 0.0182</f>
        <v>1.8200000000000001E-2</v>
      </c>
      <c r="EY50" s="669">
        <f>+EY32* 0.9735 + 0.0182</f>
        <v>1.8200000000000001E-2</v>
      </c>
      <c r="EZ50" s="1308">
        <f>+EZ32*$FI$50+$FJ$50</f>
        <v>-4.4082435986948651E-2</v>
      </c>
      <c r="FA50" s="669">
        <f>+FA32* 0.9735 + 0.0182</f>
        <v>1.8200000000000001E-2</v>
      </c>
      <c r="FB50" s="669">
        <f>+FB32* 0.9735 + 0.0182</f>
        <v>1.8200000000000001E-2</v>
      </c>
      <c r="FC50" s="669">
        <f>+FC32* 0.9735 + 0.0182</f>
        <v>1.8200000000000001E-2</v>
      </c>
      <c r="FD50" s="669">
        <f>+FD32* 0.9735 + 0.0182</f>
        <v>1.8200000000000001E-2</v>
      </c>
      <c r="FE50" s="1308">
        <f>+FE32*$FI$50+$FJ$50</f>
        <v>-4.4082435986948651E-2</v>
      </c>
      <c r="FF50" s="13"/>
      <c r="FG50" s="475"/>
      <c r="FH50" s="1306">
        <f>+RSQ(DC50:EQ50,DC32:EQ32)</f>
        <v>0.8623857975753646</v>
      </c>
      <c r="FI50" s="1307">
        <f>+SLOPE(DC50:EQ50,DC32:EQ32)</f>
        <v>1.0688300245488291</v>
      </c>
      <c r="FJ50" s="1307">
        <f>+INTERCEPT(DC50:EQ50,DC32:EQ32)</f>
        <v>2.00473654859811E-2</v>
      </c>
      <c r="FK50" s="13"/>
      <c r="FL50" s="1341"/>
      <c r="FM50" s="1529">
        <f t="shared" si="184"/>
        <v>-0.15573770491803274</v>
      </c>
      <c r="FN50" s="1421">
        <f t="shared" si="185"/>
        <v>0.161904761904762</v>
      </c>
      <c r="FO50" s="1808">
        <v>-7.2674520186215008E-3</v>
      </c>
      <c r="FP50" s="1742"/>
      <c r="FQ50" s="1506">
        <f>+(FM50-FO50)*10000</f>
        <v>-1484.7025289941123</v>
      </c>
      <c r="FR50" s="1619"/>
      <c r="FS50" s="1620"/>
      <c r="FT50" s="448"/>
      <c r="FU50" s="448"/>
      <c r="FV50" s="448"/>
      <c r="FW50" s="448"/>
      <c r="FX50" s="448"/>
      <c r="FY50" s="448"/>
      <c r="FZ50" s="475"/>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c r="IW50"/>
      <c r="IX50"/>
    </row>
    <row r="51" spans="1:258" s="651" customFormat="1" x14ac:dyDescent="0.2">
      <c r="A51" s="566" t="s">
        <v>455</v>
      </c>
      <c r="B51" s="638"/>
      <c r="C51" s="638"/>
      <c r="D51" s="638"/>
      <c r="E51" s="638"/>
      <c r="F51" s="639"/>
      <c r="G51" s="638"/>
      <c r="H51" s="638"/>
      <c r="I51" s="638"/>
      <c r="J51" s="638"/>
      <c r="K51" s="639"/>
      <c r="L51" s="638"/>
      <c r="M51" s="638"/>
      <c r="N51" s="638"/>
      <c r="O51" s="638"/>
      <c r="P51" s="639"/>
      <c r="Q51" s="638"/>
      <c r="R51" s="638"/>
      <c r="S51" s="638"/>
      <c r="T51" s="638"/>
      <c r="U51" s="639"/>
      <c r="V51" s="638"/>
      <c r="W51" s="638"/>
      <c r="X51" s="638"/>
      <c r="Y51" s="638"/>
      <c r="Z51" s="639"/>
      <c r="AA51" s="638"/>
      <c r="AB51" s="638"/>
      <c r="AC51" s="638"/>
      <c r="AD51" s="638"/>
      <c r="AE51" s="639"/>
      <c r="AF51" s="638"/>
      <c r="AG51" s="638"/>
      <c r="AH51" s="638"/>
      <c r="AI51" s="638"/>
      <c r="AJ51" s="639"/>
      <c r="AK51" s="638"/>
      <c r="AL51" s="638"/>
      <c r="AM51" s="638"/>
      <c r="AN51" s="638"/>
      <c r="AO51" s="639"/>
      <c r="AP51" s="638"/>
      <c r="AQ51" s="638"/>
      <c r="AR51" s="638"/>
      <c r="AS51" s="638"/>
      <c r="AT51" s="639"/>
      <c r="AU51" s="638"/>
      <c r="AV51" s="638"/>
      <c r="AW51" s="638"/>
      <c r="AX51" s="638"/>
      <c r="AY51" s="639"/>
      <c r="AZ51" s="638"/>
      <c r="BA51" s="638"/>
      <c r="BB51" s="638"/>
      <c r="BC51" s="638"/>
      <c r="BD51" s="639"/>
      <c r="BE51" s="638"/>
      <c r="BF51" s="638"/>
      <c r="BG51" s="638"/>
      <c r="BH51" s="638"/>
      <c r="BI51" s="639"/>
      <c r="BJ51" s="638"/>
      <c r="BK51" s="638"/>
      <c r="BL51" s="638"/>
      <c r="BM51" s="638"/>
      <c r="BN51" s="639"/>
      <c r="BO51" s="638"/>
      <c r="BP51" s="638"/>
      <c r="BQ51" s="638"/>
      <c r="BR51" s="638"/>
      <c r="BS51" s="639"/>
      <c r="BT51" s="638"/>
      <c r="BU51" s="638"/>
      <c r="BV51" s="638"/>
      <c r="BW51" s="638"/>
      <c r="BX51" s="639"/>
      <c r="BY51" s="638"/>
      <c r="BZ51" s="638"/>
      <c r="CA51" s="638"/>
      <c r="CB51" s="638"/>
      <c r="CC51" s="639"/>
      <c r="CD51" s="638"/>
      <c r="CE51" s="638"/>
      <c r="CF51" s="638"/>
      <c r="CG51" s="638"/>
      <c r="CH51" s="639"/>
      <c r="CI51" s="638"/>
      <c r="CJ51" s="638"/>
      <c r="CK51" s="638"/>
      <c r="CL51" s="638"/>
      <c r="CM51" s="639"/>
      <c r="CN51" s="638"/>
      <c r="CO51" s="638"/>
      <c r="CP51" s="638"/>
      <c r="CQ51" s="638"/>
      <c r="CR51" s="639"/>
      <c r="CS51" s="638"/>
      <c r="CT51" s="638"/>
      <c r="CU51" s="638"/>
      <c r="CV51" s="638"/>
      <c r="CW51" s="639"/>
      <c r="CX51" s="638">
        <v>4000</v>
      </c>
      <c r="CY51" s="638">
        <v>4200</v>
      </c>
      <c r="CZ51" s="638">
        <v>4400</v>
      </c>
      <c r="DA51" s="665">
        <v>4700</v>
      </c>
      <c r="DB51" s="658">
        <f>SUM(CX51:DA51)</f>
        <v>17300</v>
      </c>
      <c r="DC51" s="638">
        <v>4400</v>
      </c>
      <c r="DD51" s="638">
        <v>5200</v>
      </c>
      <c r="DE51" s="638">
        <v>5200</v>
      </c>
      <c r="DF51" s="665">
        <v>5600</v>
      </c>
      <c r="DG51" s="658">
        <f>SUM(DC51:DF51)</f>
        <v>20400</v>
      </c>
      <c r="DH51" s="649">
        <v>5200</v>
      </c>
      <c r="DI51" s="638">
        <v>5600</v>
      </c>
      <c r="DJ51" s="638">
        <v>5500</v>
      </c>
      <c r="DK51" s="665">
        <v>5500</v>
      </c>
      <c r="DL51" s="658">
        <f>SUM(DH51:DK51)</f>
        <v>21800</v>
      </c>
      <c r="DM51" s="649">
        <v>5800</v>
      </c>
      <c r="DN51" s="638">
        <v>6200</v>
      </c>
      <c r="DO51" s="638">
        <v>6300</v>
      </c>
      <c r="DP51" s="665">
        <v>6300</v>
      </c>
      <c r="DQ51" s="674">
        <f>SUM(DM51:DP51)</f>
        <v>24600</v>
      </c>
      <c r="DR51" s="649">
        <v>5900</v>
      </c>
      <c r="DS51" s="638">
        <v>6300</v>
      </c>
      <c r="DT51" s="649">
        <v>6400</v>
      </c>
      <c r="DU51" s="665">
        <v>6500</v>
      </c>
      <c r="DV51" s="674">
        <f>SUM(DR51:DU51)</f>
        <v>25100</v>
      </c>
      <c r="DW51" s="649">
        <v>6300</v>
      </c>
      <c r="DX51" s="638">
        <v>6900</v>
      </c>
      <c r="DY51" s="649">
        <v>6800</v>
      </c>
      <c r="DZ51" s="665">
        <v>6900</v>
      </c>
      <c r="EA51" s="674">
        <f>SUM(DW51:DZ51)</f>
        <v>26900</v>
      </c>
      <c r="EB51" s="649">
        <v>6700</v>
      </c>
      <c r="EC51" s="638">
        <v>7400</v>
      </c>
      <c r="ED51" s="649">
        <v>7100</v>
      </c>
      <c r="EE51" s="665">
        <v>7100</v>
      </c>
      <c r="EF51" s="674">
        <f>SUM(EB51:EE51)</f>
        <v>28300</v>
      </c>
      <c r="EG51" s="649">
        <v>6600</v>
      </c>
      <c r="EH51" s="638">
        <v>6900</v>
      </c>
      <c r="EI51" s="649">
        <v>6700</v>
      </c>
      <c r="EJ51" s="665">
        <v>7600</v>
      </c>
      <c r="EK51" s="674">
        <f>SUM(EG51:EJ51)</f>
        <v>27800</v>
      </c>
      <c r="EL51" s="649">
        <v>6900</v>
      </c>
      <c r="EM51" s="1984">
        <v>7400</v>
      </c>
      <c r="EN51" s="649">
        <v>7400</v>
      </c>
      <c r="EO51" s="665">
        <v>7200</v>
      </c>
      <c r="EP51" s="674">
        <f>SUM(EL51:EO51)</f>
        <v>28900</v>
      </c>
      <c r="EQ51" s="649">
        <v>7100</v>
      </c>
      <c r="ER51" s="649">
        <f t="shared" ref="ER51" si="219">EM51*(1+ER52)</f>
        <v>7628.502223894865</v>
      </c>
      <c r="ES51" s="649">
        <f t="shared" ref="ES51:ET51" si="220">EN51*(1+ES52)</f>
        <v>7775.1353672217483</v>
      </c>
      <c r="ET51" s="649">
        <f t="shared" si="220"/>
        <v>7671.9991375624004</v>
      </c>
      <c r="EU51" s="674">
        <f>SUM(EQ51:ET51)</f>
        <v>30175.636728679016</v>
      </c>
      <c r="EV51" s="650"/>
      <c r="EW51" s="650"/>
      <c r="EX51" s="650"/>
      <c r="EY51" s="650"/>
      <c r="EZ51" s="640">
        <f>EU51*(1+EZ52)</f>
        <v>31854.844253235395</v>
      </c>
      <c r="FA51" s="650"/>
      <c r="FB51" s="650"/>
      <c r="FC51" s="650"/>
      <c r="FD51" s="650"/>
      <c r="FE51" s="640">
        <f>EZ51*(1+FE52)</f>
        <v>33627.495967085277</v>
      </c>
      <c r="FG51" s="652"/>
      <c r="FH51" s="771"/>
      <c r="FI51" s="771"/>
      <c r="FJ51" s="771"/>
      <c r="FL51" s="1342"/>
      <c r="FM51" s="1528">
        <f t="shared" si="184"/>
        <v>7100</v>
      </c>
      <c r="FN51" s="1420">
        <f t="shared" si="185"/>
        <v>6900</v>
      </c>
      <c r="FO51" s="1807">
        <v>7037.6492968840348</v>
      </c>
      <c r="FP51" s="1733">
        <f>+FM51/FN51-1</f>
        <v>2.8985507246376718E-2</v>
      </c>
      <c r="FQ51" s="1519">
        <f>+FM51/FO51-1</f>
        <v>8.8595922424794527E-3</v>
      </c>
      <c r="FR51" s="1619"/>
      <c r="FS51" s="1619"/>
      <c r="FT51" s="399"/>
      <c r="FU51" s="399"/>
      <c r="FV51" s="399"/>
      <c r="FW51" s="399"/>
      <c r="FX51" s="399"/>
      <c r="FY51" s="399"/>
      <c r="FZ51" s="652"/>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c r="IW51"/>
      <c r="IX51"/>
    </row>
    <row r="52" spans="1:258" s="12" customFormat="1" x14ac:dyDescent="0.2">
      <c r="A52" s="648" t="s">
        <v>453</v>
      </c>
      <c r="B52" s="653"/>
      <c r="C52" s="653"/>
      <c r="D52" s="653"/>
      <c r="E52" s="653"/>
      <c r="F52" s="654"/>
      <c r="G52" s="653"/>
      <c r="H52" s="653"/>
      <c r="I52" s="653"/>
      <c r="J52" s="653"/>
      <c r="K52" s="654"/>
      <c r="L52" s="653"/>
      <c r="M52" s="653"/>
      <c r="N52" s="653"/>
      <c r="O52" s="653"/>
      <c r="P52" s="654"/>
      <c r="Q52" s="653"/>
      <c r="R52" s="653"/>
      <c r="S52" s="653"/>
      <c r="T52" s="653"/>
      <c r="U52" s="654"/>
      <c r="V52" s="653"/>
      <c r="W52" s="653"/>
      <c r="X52" s="653"/>
      <c r="Y52" s="653"/>
      <c r="Z52" s="654"/>
      <c r="AA52" s="653"/>
      <c r="AB52" s="653"/>
      <c r="AC52" s="653"/>
      <c r="AD52" s="653"/>
      <c r="AE52" s="654"/>
      <c r="AF52" s="653"/>
      <c r="AG52" s="653"/>
      <c r="AH52" s="653"/>
      <c r="AI52" s="653"/>
      <c r="AJ52" s="654"/>
      <c r="AK52" s="653"/>
      <c r="AL52" s="653"/>
      <c r="AM52" s="653"/>
      <c r="AN52" s="653"/>
      <c r="AO52" s="654"/>
      <c r="AP52" s="653"/>
      <c r="AQ52" s="653"/>
      <c r="AR52" s="653"/>
      <c r="AS52" s="653"/>
      <c r="AT52" s="654"/>
      <c r="AU52" s="653"/>
      <c r="AV52" s="653"/>
      <c r="AW52" s="653"/>
      <c r="AX52" s="653"/>
      <c r="AY52" s="654"/>
      <c r="AZ52" s="653"/>
      <c r="BA52" s="653"/>
      <c r="BB52" s="653"/>
      <c r="BC52" s="653"/>
      <c r="BD52" s="654"/>
      <c r="BE52" s="653"/>
      <c r="BF52" s="653"/>
      <c r="BG52" s="653"/>
      <c r="BH52" s="653"/>
      <c r="BI52" s="654"/>
      <c r="BJ52" s="653"/>
      <c r="BK52" s="653"/>
      <c r="BL52" s="653"/>
      <c r="BM52" s="653"/>
      <c r="BN52" s="654"/>
      <c r="BO52" s="653"/>
      <c r="BP52" s="653"/>
      <c r="BQ52" s="653"/>
      <c r="BR52" s="653"/>
      <c r="BS52" s="654"/>
      <c r="BT52" s="653"/>
      <c r="BU52" s="653"/>
      <c r="BV52" s="653"/>
      <c r="BW52" s="653"/>
      <c r="BX52" s="654"/>
      <c r="BY52" s="653"/>
      <c r="BZ52" s="653"/>
      <c r="CA52" s="653"/>
      <c r="CB52" s="653"/>
      <c r="CC52" s="654"/>
      <c r="CD52" s="653"/>
      <c r="CE52" s="653"/>
      <c r="CF52" s="653"/>
      <c r="CG52" s="653"/>
      <c r="CH52" s="654"/>
      <c r="CI52" s="653"/>
      <c r="CJ52" s="653"/>
      <c r="CK52" s="653"/>
      <c r="CL52" s="653"/>
      <c r="CM52" s="654"/>
      <c r="CN52" s="653"/>
      <c r="CO52" s="653"/>
      <c r="CP52" s="653"/>
      <c r="CQ52" s="653"/>
      <c r="CR52" s="654"/>
      <c r="CS52" s="653"/>
      <c r="CT52" s="653"/>
      <c r="CU52" s="653"/>
      <c r="CV52" s="653"/>
      <c r="CW52" s="654"/>
      <c r="CX52" s="653"/>
      <c r="CY52" s="653"/>
      <c r="CZ52" s="653"/>
      <c r="DA52" s="666"/>
      <c r="DB52" s="659"/>
      <c r="DC52" s="653">
        <f t="shared" ref="DC52:ED52" si="221">DC51/CX51-1</f>
        <v>0.10000000000000009</v>
      </c>
      <c r="DD52" s="653">
        <f t="shared" si="221"/>
        <v>0.23809523809523814</v>
      </c>
      <c r="DE52" s="653">
        <f t="shared" si="221"/>
        <v>0.18181818181818188</v>
      </c>
      <c r="DF52" s="666">
        <f t="shared" si="221"/>
        <v>0.1914893617021276</v>
      </c>
      <c r="DG52" s="659">
        <f t="shared" si="221"/>
        <v>0.17919075144508678</v>
      </c>
      <c r="DH52" s="655">
        <f t="shared" si="221"/>
        <v>0.18181818181818188</v>
      </c>
      <c r="DI52" s="653">
        <f t="shared" si="221"/>
        <v>7.6923076923076872E-2</v>
      </c>
      <c r="DJ52" s="653">
        <f t="shared" si="221"/>
        <v>5.7692307692307709E-2</v>
      </c>
      <c r="DK52" s="666">
        <f t="shared" si="221"/>
        <v>-1.7857142857142905E-2</v>
      </c>
      <c r="DL52" s="659">
        <f t="shared" si="221"/>
        <v>6.8627450980392135E-2</v>
      </c>
      <c r="DM52" s="655">
        <f t="shared" si="221"/>
        <v>0.11538461538461542</v>
      </c>
      <c r="DN52" s="655">
        <f t="shared" si="221"/>
        <v>0.10714285714285721</v>
      </c>
      <c r="DO52" s="653">
        <f t="shared" si="221"/>
        <v>0.1454545454545455</v>
      </c>
      <c r="DP52" s="666">
        <f t="shared" si="221"/>
        <v>0.1454545454545455</v>
      </c>
      <c r="DQ52" s="673">
        <f>DQ51/DL51-1</f>
        <v>0.12844036697247696</v>
      </c>
      <c r="DR52" s="655">
        <f t="shared" si="221"/>
        <v>1.7241379310344751E-2</v>
      </c>
      <c r="DS52" s="655">
        <f t="shared" si="221"/>
        <v>1.6129032258064502E-2</v>
      </c>
      <c r="DT52" s="653">
        <f t="shared" si="221"/>
        <v>1.5873015873015817E-2</v>
      </c>
      <c r="DU52" s="666">
        <f t="shared" si="221"/>
        <v>3.1746031746031855E-2</v>
      </c>
      <c r="DV52" s="673">
        <f>DV51/DQ51-1</f>
        <v>2.0325203252032464E-2</v>
      </c>
      <c r="DW52" s="655">
        <f t="shared" si="221"/>
        <v>6.7796610169491567E-2</v>
      </c>
      <c r="DX52" s="655">
        <f t="shared" si="221"/>
        <v>9.5238095238095344E-2</v>
      </c>
      <c r="DY52" s="653">
        <f t="shared" si="221"/>
        <v>6.25E-2</v>
      </c>
      <c r="DZ52" s="666">
        <f t="shared" si="221"/>
        <v>6.1538461538461542E-2</v>
      </c>
      <c r="EA52" s="673">
        <f>EA51/DV51-1</f>
        <v>7.1713147410358502E-2</v>
      </c>
      <c r="EB52" s="655">
        <f t="shared" si="221"/>
        <v>6.3492063492063489E-2</v>
      </c>
      <c r="EC52" s="655">
        <f t="shared" si="221"/>
        <v>7.2463768115942129E-2</v>
      </c>
      <c r="ED52" s="653">
        <f t="shared" si="221"/>
        <v>4.4117647058823595E-2</v>
      </c>
      <c r="EE52" s="666">
        <f t="shared" ref="EE52:EQ52" si="222">EE51/DZ51-1</f>
        <v>2.8985507246376718E-2</v>
      </c>
      <c r="EF52" s="673">
        <f t="shared" si="222"/>
        <v>5.2044609665427455E-2</v>
      </c>
      <c r="EG52" s="655">
        <f t="shared" si="222"/>
        <v>-1.4925373134328401E-2</v>
      </c>
      <c r="EH52" s="655">
        <f t="shared" si="222"/>
        <v>-6.7567567567567544E-2</v>
      </c>
      <c r="EI52" s="653">
        <f t="shared" si="222"/>
        <v>-5.633802816901412E-2</v>
      </c>
      <c r="EJ52" s="666">
        <f t="shared" si="222"/>
        <v>7.0422535211267512E-2</v>
      </c>
      <c r="EK52" s="673">
        <f t="shared" si="222"/>
        <v>-1.7667844522968212E-2</v>
      </c>
      <c r="EL52" s="655">
        <f t="shared" si="222"/>
        <v>4.5454545454545414E-2</v>
      </c>
      <c r="EM52" s="655">
        <f t="shared" si="222"/>
        <v>7.2463768115942129E-2</v>
      </c>
      <c r="EN52" s="653">
        <f t="shared" si="222"/>
        <v>0.10447761194029859</v>
      </c>
      <c r="EO52" s="666">
        <f t="shared" si="222"/>
        <v>-5.2631578947368474E-2</v>
      </c>
      <c r="EP52" s="673">
        <f t="shared" si="222"/>
        <v>3.9568345323740983E-2</v>
      </c>
      <c r="EQ52" s="655">
        <f t="shared" si="222"/>
        <v>2.8985507246376718E-2</v>
      </c>
      <c r="ER52" s="1165">
        <f t="shared" ref="ER52" si="223">+ER33*$FI$52+$FJ$52</f>
        <v>3.0878678904711566E-2</v>
      </c>
      <c r="ES52" s="1165">
        <f>+ES33*$FI$52+$FJ$52</f>
        <v>5.0693968543479608E-2</v>
      </c>
      <c r="ET52" s="1165">
        <f>+ET33*$FI$52+$FJ$52</f>
        <v>6.555543577255564E-2</v>
      </c>
      <c r="EU52" s="673">
        <f>EU51/EP51-1</f>
        <v>4.4139679193045511E-2</v>
      </c>
      <c r="EV52" s="669">
        <f>+EV33*0.8873 + 0.0263</f>
        <v>2.63E-2</v>
      </c>
      <c r="EW52" s="669">
        <f>+EW33*0.8873 + 0.0263</f>
        <v>2.63E-2</v>
      </c>
      <c r="EX52" s="669">
        <f>+EX33*0.8873 + 0.0263</f>
        <v>2.63E-2</v>
      </c>
      <c r="EY52" s="669">
        <f>+EY33*0.8873 + 0.0263</f>
        <v>2.63E-2</v>
      </c>
      <c r="EZ52" s="1308">
        <f>+EZ33*$FI$52+$FJ$52</f>
        <v>5.5647790953171614E-2</v>
      </c>
      <c r="FA52" s="669">
        <f>+FA33*0.8873 + 0.0263</f>
        <v>2.63E-2</v>
      </c>
      <c r="FB52" s="669">
        <f>+FB33*0.8873 + 0.0263</f>
        <v>2.63E-2</v>
      </c>
      <c r="FC52" s="669">
        <f>+FC33*0.8873 + 0.0263</f>
        <v>2.63E-2</v>
      </c>
      <c r="FD52" s="669">
        <f>+FD33*0.8873 + 0.0263</f>
        <v>2.63E-2</v>
      </c>
      <c r="FE52" s="1308">
        <f>+FE33*$FI$52+$FJ$52</f>
        <v>5.5647790953171614E-2</v>
      </c>
      <c r="FF52" s="13"/>
      <c r="FG52" s="475"/>
      <c r="FH52" s="1306">
        <f>+RSQ(DC52:EQ52,DC33:EQ33)</f>
        <v>0.72225050728618123</v>
      </c>
      <c r="FI52" s="1307">
        <f>+SLOPE(DC52:EQ52,DC33:EQ33)</f>
        <v>0.99076448193840194</v>
      </c>
      <c r="FJ52" s="1307">
        <f>+INTERCEPT(DC52:EQ52,DC33:EQ33)</f>
        <v>1.6017211675635537E-2</v>
      </c>
      <c r="FK52" s="13"/>
      <c r="FL52" s="1341"/>
      <c r="FM52" s="1529">
        <f t="shared" si="184"/>
        <v>2.8985507246376718E-2</v>
      </c>
      <c r="FN52" s="1421">
        <f t="shared" si="185"/>
        <v>4.5454545454545414E-2</v>
      </c>
      <c r="FO52" s="1808">
        <v>1.9949173461454289E-2</v>
      </c>
      <c r="FP52" s="1742"/>
      <c r="FQ52" s="1506">
        <f>+(FM52-FO52)*10000</f>
        <v>90.363337849224294</v>
      </c>
      <c r="FR52" s="1619"/>
      <c r="FS52" s="1620"/>
      <c r="FT52" s="448"/>
      <c r="FU52" s="448"/>
      <c r="FV52" s="448"/>
      <c r="FW52" s="448"/>
      <c r="FX52" s="448"/>
      <c r="FY52" s="448"/>
      <c r="FZ52" s="475"/>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c r="IW52"/>
      <c r="IX52"/>
    </row>
    <row r="53" spans="1:258" s="11" customFormat="1" x14ac:dyDescent="0.2">
      <c r="A53" s="570" t="s">
        <v>428</v>
      </c>
      <c r="F53" s="17"/>
      <c r="K53" s="17"/>
      <c r="P53" s="17"/>
      <c r="U53" s="17"/>
      <c r="Z53" s="17"/>
      <c r="AE53" s="17"/>
      <c r="AJ53" s="17"/>
      <c r="AO53" s="17"/>
      <c r="AT53" s="17"/>
      <c r="AY53" s="17"/>
      <c r="BD53" s="17"/>
      <c r="BI53" s="17"/>
      <c r="BN53" s="17"/>
      <c r="BS53" s="17"/>
      <c r="BT53" s="11">
        <v>108800</v>
      </c>
      <c r="BU53" s="11">
        <v>113400</v>
      </c>
      <c r="BV53" s="11">
        <v>111700</v>
      </c>
      <c r="BW53" s="11">
        <v>114000</v>
      </c>
      <c r="BX53" s="17">
        <f>SUM(BT53:BW53)</f>
        <v>447900</v>
      </c>
      <c r="BY53" s="11">
        <v>115000</v>
      </c>
      <c r="BZ53" s="11">
        <v>117900</v>
      </c>
      <c r="CA53" s="11">
        <v>110500</v>
      </c>
      <c r="CB53" s="11">
        <v>122900</v>
      </c>
      <c r="CC53" s="17">
        <f>SUM(BY53:CB53)</f>
        <v>466300</v>
      </c>
      <c r="CD53" s="11">
        <v>116700</v>
      </c>
      <c r="CE53" s="11">
        <v>117000</v>
      </c>
      <c r="CF53" s="11">
        <v>113700</v>
      </c>
      <c r="CG53" s="11">
        <v>116300</v>
      </c>
      <c r="CH53" s="17">
        <f>SUM(CD53:CG53)</f>
        <v>463700</v>
      </c>
      <c r="CI53" s="11">
        <v>119100</v>
      </c>
      <c r="CJ53" s="11">
        <v>119100</v>
      </c>
      <c r="CK53" s="11">
        <v>116600</v>
      </c>
      <c r="CL53" s="11">
        <v>117600</v>
      </c>
      <c r="CM53" s="17">
        <f>SUM(CI53:CL53)</f>
        <v>472400</v>
      </c>
      <c r="CN53" s="11">
        <v>114400</v>
      </c>
      <c r="CO53" s="11">
        <v>118600</v>
      </c>
      <c r="CP53" s="11">
        <v>113200</v>
      </c>
      <c r="CQ53" s="11">
        <v>112600</v>
      </c>
      <c r="CR53" s="17">
        <f>SUM(CN53:CQ53)</f>
        <v>458800</v>
      </c>
      <c r="CS53" s="11">
        <v>113600</v>
      </c>
      <c r="CT53" s="11">
        <v>116200</v>
      </c>
      <c r="CU53" s="11">
        <v>113300</v>
      </c>
      <c r="CV53" s="11">
        <v>106700</v>
      </c>
      <c r="CW53" s="17">
        <f>SUM(CS53:CV53)</f>
        <v>449800</v>
      </c>
      <c r="CX53" s="11">
        <v>95800</v>
      </c>
      <c r="CY53" s="11">
        <v>94300</v>
      </c>
      <c r="CZ53" s="11">
        <v>96000</v>
      </c>
      <c r="DA53" s="660">
        <v>95000</v>
      </c>
      <c r="DB53" s="656">
        <f>SUM(CX53:DA53)</f>
        <v>381100</v>
      </c>
      <c r="DC53" s="11">
        <v>100300</v>
      </c>
      <c r="DD53" s="11">
        <v>105600</v>
      </c>
      <c r="DE53" s="11">
        <v>103300</v>
      </c>
      <c r="DF53" s="660">
        <v>110000</v>
      </c>
      <c r="DG53" s="656">
        <f>SUM(DC53:DF53)</f>
        <v>419200</v>
      </c>
      <c r="DH53" s="11">
        <v>103800</v>
      </c>
      <c r="DI53" s="11">
        <v>106300</v>
      </c>
      <c r="DJ53" s="11">
        <v>102600</v>
      </c>
      <c r="DK53" s="660">
        <v>104700</v>
      </c>
      <c r="DL53" s="660">
        <f>SUM(DH53:DK53)</f>
        <v>417400</v>
      </c>
      <c r="DM53" s="11">
        <v>105300</v>
      </c>
      <c r="DN53" s="11">
        <v>104400</v>
      </c>
      <c r="DO53" s="11">
        <v>101400</v>
      </c>
      <c r="DP53" s="660">
        <v>101600</v>
      </c>
      <c r="DQ53" s="675">
        <f>SUM(DM53:DP53)</f>
        <v>412700</v>
      </c>
      <c r="DR53" s="11">
        <v>103000</v>
      </c>
      <c r="DS53" s="11">
        <v>105600</v>
      </c>
      <c r="DT53" s="11">
        <v>103500</v>
      </c>
      <c r="DU53" s="660">
        <v>107100</v>
      </c>
      <c r="DV53" s="675">
        <f>SUM(DR53:DU53)</f>
        <v>419200</v>
      </c>
      <c r="DW53" s="11">
        <v>104000</v>
      </c>
      <c r="DX53" s="11">
        <v>114900</v>
      </c>
      <c r="DY53" s="11">
        <v>111400</v>
      </c>
      <c r="DZ53" s="660">
        <v>113500</v>
      </c>
      <c r="EA53" s="675">
        <f>SUM(DW53:DZ53)</f>
        <v>443800</v>
      </c>
      <c r="EB53" s="11">
        <v>107100</v>
      </c>
      <c r="EC53" s="11">
        <v>111000</v>
      </c>
      <c r="ED53" s="11">
        <v>105400</v>
      </c>
      <c r="EE53" s="660">
        <v>102400</v>
      </c>
      <c r="EF53" s="675">
        <f>SUM(EB53:EE53)</f>
        <v>425900</v>
      </c>
      <c r="EG53" s="11">
        <v>97000</v>
      </c>
      <c r="EH53" s="11">
        <v>98400</v>
      </c>
      <c r="EI53" s="11">
        <v>96900</v>
      </c>
      <c r="EJ53" s="660">
        <v>107700</v>
      </c>
      <c r="EK53" s="675">
        <f>SUM(EG53:EJ53)</f>
        <v>400000</v>
      </c>
      <c r="EL53" s="11">
        <v>100300</v>
      </c>
      <c r="EM53" s="720">
        <v>100500</v>
      </c>
      <c r="EN53" s="11">
        <v>96400</v>
      </c>
      <c r="EO53" s="660">
        <v>100100</v>
      </c>
      <c r="EP53" s="675">
        <f>SUM(EL53:EO53)</f>
        <v>397300</v>
      </c>
      <c r="EQ53" s="11">
        <v>96300</v>
      </c>
      <c r="ER53" s="11">
        <f t="shared" ref="ER53" si="224">ER45/ER55</f>
        <v>96180.512065403862</v>
      </c>
      <c r="ES53" s="11">
        <f t="shared" ref="ES53:ET53" si="225">ES45/ES55</f>
        <v>95764.729857809813</v>
      </c>
      <c r="ET53" s="11">
        <f t="shared" si="225"/>
        <v>102231.14182476113</v>
      </c>
      <c r="EU53" s="675">
        <f>SUM(EQ53:ET53)</f>
        <v>390476.38374797482</v>
      </c>
      <c r="EV53" s="339"/>
      <c r="EW53" s="339"/>
      <c r="EX53" s="339"/>
      <c r="EY53" s="339"/>
      <c r="EZ53" s="338">
        <f>EZ45/EZ55</f>
        <v>390346.51653970307</v>
      </c>
      <c r="FA53" s="339"/>
      <c r="FB53" s="339"/>
      <c r="FC53" s="339"/>
      <c r="FD53" s="339"/>
      <c r="FE53" s="338">
        <f>FE45/FE55</f>
        <v>392559.2730095454</v>
      </c>
      <c r="FG53" s="478"/>
      <c r="FH53" s="765"/>
      <c r="FI53" s="765"/>
      <c r="FJ53" s="765"/>
      <c r="FL53" s="1336"/>
      <c r="FM53" s="1527">
        <f t="shared" si="184"/>
        <v>96300</v>
      </c>
      <c r="FN53" s="765">
        <f t="shared" si="185"/>
        <v>100300</v>
      </c>
      <c r="FO53" s="1800">
        <v>94217.037375395725</v>
      </c>
      <c r="FP53" s="1733">
        <f>+FM53/FN53-1</f>
        <v>-3.9880358923230275E-2</v>
      </c>
      <c r="FQ53" s="1519">
        <f>+FM53/FO53-1</f>
        <v>2.210813121097166E-2</v>
      </c>
      <c r="FR53" s="1619"/>
      <c r="FS53" s="1619"/>
      <c r="FT53" s="399"/>
      <c r="FU53" s="399"/>
      <c r="FV53" s="399"/>
      <c r="FW53" s="399"/>
      <c r="FX53" s="399"/>
      <c r="FY53" s="399"/>
      <c r="FZ53" s="478"/>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c r="IW53"/>
      <c r="IX53"/>
    </row>
    <row r="54" spans="1:258" s="8" customFormat="1" x14ac:dyDescent="0.2">
      <c r="A54" s="29" t="s">
        <v>463</v>
      </c>
      <c r="B54" s="10"/>
      <c r="C54" s="10"/>
      <c r="D54" s="10"/>
      <c r="E54" s="10"/>
      <c r="F54" s="9"/>
      <c r="G54" s="10"/>
      <c r="H54" s="10"/>
      <c r="I54" s="10"/>
      <c r="J54" s="10"/>
      <c r="K54" s="9"/>
      <c r="L54" s="10"/>
      <c r="M54" s="10"/>
      <c r="N54" s="10"/>
      <c r="O54" s="10"/>
      <c r="P54" s="9"/>
      <c r="Q54" s="10"/>
      <c r="R54" s="10"/>
      <c r="S54" s="10"/>
      <c r="T54" s="10"/>
      <c r="U54" s="9"/>
      <c r="V54" s="10"/>
      <c r="W54" s="10"/>
      <c r="X54" s="10"/>
      <c r="Y54" s="10"/>
      <c r="Z54" s="9"/>
      <c r="AA54" s="10"/>
      <c r="AB54" s="10"/>
      <c r="AC54" s="10"/>
      <c r="AD54" s="10"/>
      <c r="AE54" s="9"/>
      <c r="AF54" s="10"/>
      <c r="AG54" s="10"/>
      <c r="AH54" s="10"/>
      <c r="AI54" s="10"/>
      <c r="AJ54" s="9"/>
      <c r="AK54" s="10"/>
      <c r="AL54" s="10"/>
      <c r="AM54" s="10"/>
      <c r="AN54" s="10"/>
      <c r="AO54" s="9"/>
      <c r="AP54" s="10"/>
      <c r="AQ54" s="10"/>
      <c r="AR54" s="10"/>
      <c r="AS54" s="10"/>
      <c r="AT54" s="9"/>
      <c r="AU54" s="10"/>
      <c r="AV54" s="10"/>
      <c r="AW54" s="10"/>
      <c r="AX54" s="10"/>
      <c r="AY54" s="9"/>
      <c r="AZ54" s="10"/>
      <c r="BA54" s="10"/>
      <c r="BB54" s="10"/>
      <c r="BC54" s="10"/>
      <c r="BD54" s="9"/>
      <c r="BE54" s="10"/>
      <c r="BF54" s="10"/>
      <c r="BG54" s="10"/>
      <c r="BH54" s="10"/>
      <c r="BI54" s="9"/>
      <c r="BJ54" s="10"/>
      <c r="BK54" s="10"/>
      <c r="BL54" s="10"/>
      <c r="BM54" s="10"/>
      <c r="BN54" s="9"/>
      <c r="BO54" s="10"/>
      <c r="BP54" s="10"/>
      <c r="BQ54" s="10"/>
      <c r="BR54" s="10"/>
      <c r="BS54" s="9"/>
      <c r="BT54" s="10"/>
      <c r="BU54" s="10"/>
      <c r="BV54" s="10"/>
      <c r="BW54" s="10"/>
      <c r="BX54" s="9"/>
      <c r="BY54" s="10">
        <f t="shared" ref="BY54:CJ54" si="226">BY53/BT53-1</f>
        <v>5.6985294117646967E-2</v>
      </c>
      <c r="BZ54" s="10">
        <f t="shared" si="226"/>
        <v>3.9682539682539764E-2</v>
      </c>
      <c r="CA54" s="10">
        <f t="shared" si="226"/>
        <v>-1.07430617726052E-2</v>
      </c>
      <c r="CB54" s="10">
        <f t="shared" si="226"/>
        <v>7.8070175438596401E-2</v>
      </c>
      <c r="CC54" s="9">
        <f t="shared" si="226"/>
        <v>4.1080598347845498E-2</v>
      </c>
      <c r="CD54" s="10">
        <f t="shared" si="226"/>
        <v>1.4782608695652177E-2</v>
      </c>
      <c r="CE54" s="10">
        <f t="shared" si="226"/>
        <v>-7.6335877862595547E-3</v>
      </c>
      <c r="CF54" s="10">
        <f t="shared" si="226"/>
        <v>2.8959276018099445E-2</v>
      </c>
      <c r="CG54" s="10">
        <f t="shared" si="226"/>
        <v>-5.3702196908055333E-2</v>
      </c>
      <c r="CH54" s="9">
        <f t="shared" si="226"/>
        <v>-5.5758095646579742E-3</v>
      </c>
      <c r="CI54" s="10">
        <f t="shared" si="226"/>
        <v>2.0565552699228773E-2</v>
      </c>
      <c r="CJ54" s="10">
        <f t="shared" si="226"/>
        <v>1.7948717948717885E-2</v>
      </c>
      <c r="CK54" s="10">
        <f t="shared" ref="CK54:EC54" si="227">CK53/CF53-1</f>
        <v>2.5505716798592815E-2</v>
      </c>
      <c r="CL54" s="10">
        <f t="shared" si="227"/>
        <v>1.1177987962166736E-2</v>
      </c>
      <c r="CM54" s="9">
        <f t="shared" si="227"/>
        <v>1.8762130687944856E-2</v>
      </c>
      <c r="CN54" s="10">
        <f t="shared" si="227"/>
        <v>-3.9462636439966392E-2</v>
      </c>
      <c r="CO54" s="10">
        <f t="shared" si="227"/>
        <v>-4.198152812762368E-3</v>
      </c>
      <c r="CP54" s="10">
        <f t="shared" si="227"/>
        <v>-2.9159519725557415E-2</v>
      </c>
      <c r="CQ54" s="10">
        <f t="shared" si="227"/>
        <v>-4.251700680272108E-2</v>
      </c>
      <c r="CR54" s="9">
        <f t="shared" si="227"/>
        <v>-2.8789161727349688E-2</v>
      </c>
      <c r="CS54" s="10">
        <f t="shared" si="227"/>
        <v>-6.9930069930069783E-3</v>
      </c>
      <c r="CT54" s="10">
        <f t="shared" si="227"/>
        <v>-2.02360876897133E-2</v>
      </c>
      <c r="CU54" s="10">
        <f t="shared" si="227"/>
        <v>8.8339222614841617E-4</v>
      </c>
      <c r="CV54" s="10">
        <f t="shared" si="227"/>
        <v>-5.2397868561278815E-2</v>
      </c>
      <c r="CW54" s="9">
        <f t="shared" si="227"/>
        <v>-1.9616390584132559E-2</v>
      </c>
      <c r="CX54" s="10">
        <f t="shared" si="227"/>
        <v>-0.15669014084507038</v>
      </c>
      <c r="CY54" s="10">
        <f t="shared" si="227"/>
        <v>-0.18846815834767638</v>
      </c>
      <c r="CZ54" s="10">
        <f t="shared" si="227"/>
        <v>-0.15269196822594877</v>
      </c>
      <c r="DA54" s="10">
        <f t="shared" si="227"/>
        <v>-0.10965323336457355</v>
      </c>
      <c r="DB54" s="9">
        <f t="shared" si="227"/>
        <v>-0.15273454868830594</v>
      </c>
      <c r="DC54" s="10">
        <f t="shared" si="227"/>
        <v>4.6972860125261029E-2</v>
      </c>
      <c r="DD54" s="10">
        <f t="shared" si="227"/>
        <v>0.11983032873806998</v>
      </c>
      <c r="DE54" s="10">
        <f t="shared" si="227"/>
        <v>7.6041666666666563E-2</v>
      </c>
      <c r="DF54" s="10">
        <f t="shared" si="227"/>
        <v>0.15789473684210531</v>
      </c>
      <c r="DG54" s="9">
        <f>DG40</f>
        <v>0.10201967892283781</v>
      </c>
      <c r="DH54" s="10">
        <f t="shared" si="227"/>
        <v>3.4895314057826532E-2</v>
      </c>
      <c r="DI54" s="10">
        <f t="shared" si="227"/>
        <v>6.6287878787878451E-3</v>
      </c>
      <c r="DJ54" s="10">
        <f t="shared" si="227"/>
        <v>-6.776379477250738E-3</v>
      </c>
      <c r="DK54" s="664">
        <f t="shared" si="227"/>
        <v>-4.8181818181818215E-2</v>
      </c>
      <c r="DL54" s="664">
        <f>DL40</f>
        <v>1.4411027568922208E-2</v>
      </c>
      <c r="DM54" s="10">
        <f t="shared" si="227"/>
        <v>1.4450867052023142E-2</v>
      </c>
      <c r="DN54" s="10">
        <f t="shared" si="227"/>
        <v>-1.7873941674506066E-2</v>
      </c>
      <c r="DO54" s="10">
        <f t="shared" si="227"/>
        <v>-1.1695906432748537E-2</v>
      </c>
      <c r="DP54" s="664">
        <f t="shared" si="227"/>
        <v>-2.9608404966571134E-2</v>
      </c>
      <c r="DQ54" s="676">
        <f>DQ40</f>
        <v>-1.0345892526250733E-2</v>
      </c>
      <c r="DR54" s="10">
        <f t="shared" si="227"/>
        <v>-2.1842355175688555E-2</v>
      </c>
      <c r="DS54" s="10">
        <f t="shared" si="227"/>
        <v>1.1494252873563315E-2</v>
      </c>
      <c r="DT54" s="14">
        <f>DT53/DO53-1</f>
        <v>2.0710059171597628E-2</v>
      </c>
      <c r="DU54" s="664">
        <f t="shared" si="227"/>
        <v>5.4133858267716439E-2</v>
      </c>
      <c r="DV54" s="676">
        <f>DV40</f>
        <v>1.9907941956623487E-2</v>
      </c>
      <c r="DW54" s="10">
        <f t="shared" si="227"/>
        <v>9.7087378640776656E-3</v>
      </c>
      <c r="DX54" s="10">
        <f t="shared" si="227"/>
        <v>8.8068181818181879E-2</v>
      </c>
      <c r="DY54" s="14">
        <f>DY53/DT53-1</f>
        <v>7.6328502415458965E-2</v>
      </c>
      <c r="DZ54" s="664">
        <f t="shared" si="227"/>
        <v>5.9757236227824473E-2</v>
      </c>
      <c r="EA54" s="676">
        <f>EA40</f>
        <v>5.900783130041809E-2</v>
      </c>
      <c r="EB54" s="10">
        <f t="shared" si="227"/>
        <v>2.9807692307692202E-2</v>
      </c>
      <c r="EC54" s="10">
        <f t="shared" si="227"/>
        <v>-3.394255874673624E-2</v>
      </c>
      <c r="ED54" s="14">
        <f>ED53/DY53-1</f>
        <v>-5.3859964093357249E-2</v>
      </c>
      <c r="EE54" s="664">
        <f>EE53/DZ53-1</f>
        <v>-9.7797356828193793E-2</v>
      </c>
      <c r="EF54" s="676">
        <f>EF40</f>
        <v>-2.3326062146974302E-2</v>
      </c>
      <c r="EG54" s="10">
        <f>EG53/EB53-1</f>
        <v>-9.4304388422035479E-2</v>
      </c>
      <c r="EH54" s="10">
        <f>EH53/EC53-1</f>
        <v>-0.11351351351351346</v>
      </c>
      <c r="EI54" s="14">
        <f>EI53/ED53-1</f>
        <v>-8.064516129032262E-2</v>
      </c>
      <c r="EJ54" s="664">
        <f>EJ53/EE53-1</f>
        <v>5.17578125E-2</v>
      </c>
      <c r="EK54" s="676">
        <f>EK40</f>
        <v>-4.5827213522599997E-2</v>
      </c>
      <c r="EL54" s="10">
        <f>EL53/EG53-1</f>
        <v>3.4020618556701132E-2</v>
      </c>
      <c r="EM54" s="10">
        <f>EM53/EH53-1</f>
        <v>2.1341463414634054E-2</v>
      </c>
      <c r="EN54" s="14">
        <f>EN53/EI53-1</f>
        <v>-5.1599587203302599E-3</v>
      </c>
      <c r="EO54" s="664">
        <f>EO53/EJ53-1</f>
        <v>-7.0566388115134604E-2</v>
      </c>
      <c r="EP54" s="676">
        <f>EP40</f>
        <v>-7.9057510463493852E-3</v>
      </c>
      <c r="EQ54" s="10">
        <f>EQ53/EL53-1</f>
        <v>-3.9880358923230275E-2</v>
      </c>
      <c r="ER54" s="14">
        <f t="shared" ref="ER54" si="228">ER53/EM53-1</f>
        <v>-4.2979979448717787E-2</v>
      </c>
      <c r="ES54" s="14">
        <f t="shared" ref="ES54:ET54" si="229">ES53/EN53-1</f>
        <v>-6.5899392343380381E-3</v>
      </c>
      <c r="ET54" s="14">
        <f t="shared" si="229"/>
        <v>2.1290128119491714E-2</v>
      </c>
      <c r="EU54" s="676">
        <f>EU40</f>
        <v>-6.0539062500000185E-3</v>
      </c>
      <c r="EV54" s="337"/>
      <c r="EW54" s="337"/>
      <c r="EX54" s="337"/>
      <c r="EY54" s="337"/>
      <c r="EZ54" s="15">
        <f>EZ53/EU53-1</f>
        <v>-3.3258658827262089E-4</v>
      </c>
      <c r="FA54" s="337"/>
      <c r="FB54" s="337"/>
      <c r="FC54" s="337"/>
      <c r="FD54" s="337"/>
      <c r="FE54" s="15">
        <f>FE53/EZ53-1</f>
        <v>5.6686978776132602E-3</v>
      </c>
      <c r="FG54" s="480"/>
      <c r="FH54" s="769"/>
      <c r="FI54" s="769"/>
      <c r="FJ54" s="769"/>
      <c r="FK54" s="103"/>
      <c r="FL54" s="1340"/>
      <c r="FM54" s="1141">
        <f t="shared" si="184"/>
        <v>-3.9880358923230275E-2</v>
      </c>
      <c r="FN54" s="1418">
        <f t="shared" si="185"/>
        <v>3.4020618556701132E-2</v>
      </c>
      <c r="FO54" s="1806">
        <v>-6.0647683196453417E-2</v>
      </c>
      <c r="FP54" s="1740"/>
      <c r="FQ54" s="1506">
        <f>+(FM54-FO54)*10000</f>
        <v>207.67324273223142</v>
      </c>
      <c r="FR54" s="1619"/>
      <c r="FS54" s="1619"/>
      <c r="FT54" s="355"/>
      <c r="FU54" s="355"/>
      <c r="FV54" s="355"/>
      <c r="FW54" s="355"/>
      <c r="FX54" s="355"/>
      <c r="FY54" s="355"/>
      <c r="FZ54" s="480"/>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c r="IW54"/>
      <c r="IX54"/>
    </row>
    <row r="55" spans="1:258" s="21" customFormat="1" x14ac:dyDescent="0.2">
      <c r="A55" s="571" t="s">
        <v>21</v>
      </c>
      <c r="F55" s="335"/>
      <c r="K55" s="335"/>
      <c r="P55" s="335"/>
      <c r="U55" s="335"/>
      <c r="Z55" s="335"/>
      <c r="AE55" s="335"/>
      <c r="AJ55" s="335"/>
      <c r="AO55" s="335"/>
      <c r="AT55" s="335"/>
      <c r="AY55" s="335"/>
      <c r="BD55" s="335"/>
      <c r="BI55" s="335"/>
      <c r="BN55" s="335"/>
      <c r="BS55" s="335"/>
      <c r="BT55" s="21">
        <f t="shared" ref="BT55:DM55" si="230">BT45/BT53</f>
        <v>0.52389705882352944</v>
      </c>
      <c r="BU55" s="21">
        <f t="shared" si="230"/>
        <v>0.51587301587301593</v>
      </c>
      <c r="BV55" s="21">
        <f t="shared" si="230"/>
        <v>0.52193375111906892</v>
      </c>
      <c r="BW55" s="21">
        <f t="shared" si="230"/>
        <v>0.53596491228070176</v>
      </c>
      <c r="BX55" s="335">
        <f t="shared" si="230"/>
        <v>0.52444742129939714</v>
      </c>
      <c r="BY55" s="21">
        <f t="shared" si="230"/>
        <v>0.52260869565217394</v>
      </c>
      <c r="BZ55" s="21">
        <f t="shared" si="230"/>
        <v>0.52671755725190839</v>
      </c>
      <c r="CA55" s="21">
        <f t="shared" si="230"/>
        <v>0.53031674208144797</v>
      </c>
      <c r="CB55" s="21">
        <f t="shared" si="230"/>
        <v>0.55248169243287226</v>
      </c>
      <c r="CC55" s="335">
        <f t="shared" si="230"/>
        <v>0.53334763028093501</v>
      </c>
      <c r="CD55" s="21">
        <f t="shared" si="230"/>
        <v>0.53299057412167949</v>
      </c>
      <c r="CE55" s="21">
        <f t="shared" si="230"/>
        <v>0.53418803418803418</v>
      </c>
      <c r="CF55" s="21">
        <f t="shared" si="230"/>
        <v>0.53386103781882144</v>
      </c>
      <c r="CG55" s="21">
        <f t="shared" si="230"/>
        <v>0.53310404127257094</v>
      </c>
      <c r="CH55" s="335">
        <f t="shared" si="230"/>
        <v>0.53353461289626913</v>
      </c>
      <c r="CI55" s="21">
        <f t="shared" si="230"/>
        <v>0.53820319059613775</v>
      </c>
      <c r="CJ55" s="21">
        <f t="shared" si="230"/>
        <v>0.53568429890848024</v>
      </c>
      <c r="CK55" s="21">
        <f t="shared" si="230"/>
        <v>0.54030874785591765</v>
      </c>
      <c r="CL55" s="21">
        <f t="shared" si="230"/>
        <v>0.53061224489795922</v>
      </c>
      <c r="CM55" s="335">
        <f t="shared" si="230"/>
        <v>0.53619813717188824</v>
      </c>
      <c r="CN55" s="21">
        <f t="shared" si="230"/>
        <v>0.54108391608391604</v>
      </c>
      <c r="CO55" s="21">
        <f t="shared" si="230"/>
        <v>0.5404721753794266</v>
      </c>
      <c r="CP55" s="21">
        <f t="shared" si="230"/>
        <v>0.54240282685512364</v>
      </c>
      <c r="CQ55" s="21">
        <f t="shared" si="230"/>
        <v>0.54085257548845467</v>
      </c>
      <c r="CR55" s="335">
        <f t="shared" si="230"/>
        <v>0.5411944202266783</v>
      </c>
      <c r="CS55" s="21">
        <f t="shared" si="230"/>
        <v>0.55193661971830987</v>
      </c>
      <c r="CT55" s="21">
        <f t="shared" si="230"/>
        <v>0.55206540447504304</v>
      </c>
      <c r="CU55" s="21">
        <f t="shared" si="230"/>
        <v>0.54942630185348629</v>
      </c>
      <c r="CV55" s="21">
        <f t="shared" si="230"/>
        <v>0.54264292408622306</v>
      </c>
      <c r="CW55" s="335">
        <f t="shared" si="230"/>
        <v>0.54913294797687862</v>
      </c>
      <c r="CX55" s="21">
        <f t="shared" si="230"/>
        <v>0.55427974947807934</v>
      </c>
      <c r="CY55" s="21">
        <f t="shared" si="230"/>
        <v>0.55143160127253443</v>
      </c>
      <c r="CZ55" s="21">
        <f t="shared" si="230"/>
        <v>0.5541666666666667</v>
      </c>
      <c r="DA55" s="21">
        <f t="shared" si="230"/>
        <v>0.54315789473684206</v>
      </c>
      <c r="DB55" s="335">
        <f t="shared" si="230"/>
        <v>0.55077407504591969</v>
      </c>
      <c r="DC55" s="21">
        <f t="shared" si="230"/>
        <v>0.54137587238285145</v>
      </c>
      <c r="DD55" s="21">
        <f t="shared" si="230"/>
        <v>0.55113636363636365</v>
      </c>
      <c r="DE55" s="21">
        <f t="shared" si="230"/>
        <v>0.54985479186834463</v>
      </c>
      <c r="DF55" s="21">
        <f t="shared" si="230"/>
        <v>0.54272727272727272</v>
      </c>
      <c r="DG55" s="335">
        <f t="shared" si="230"/>
        <v>0.54627862595419852</v>
      </c>
      <c r="DH55" s="21">
        <f t="shared" si="230"/>
        <v>0.55298651252408482</v>
      </c>
      <c r="DI55" s="21">
        <f t="shared" si="230"/>
        <v>0.54750705550329259</v>
      </c>
      <c r="DJ55" s="21">
        <f t="shared" si="230"/>
        <v>0.54873294346978563</v>
      </c>
      <c r="DK55" s="667">
        <f t="shared" si="230"/>
        <v>0.54154727793696278</v>
      </c>
      <c r="DL55" s="663">
        <f t="shared" si="230"/>
        <v>0.54767609008145668</v>
      </c>
      <c r="DM55" s="21">
        <f t="shared" si="230"/>
        <v>0.53941120607787274</v>
      </c>
      <c r="DN55" s="21">
        <f t="shared" ref="DN55:DT55" si="231">DN45/DN53</f>
        <v>0.54789272030651337</v>
      </c>
      <c r="DO55" s="21">
        <f t="shared" si="231"/>
        <v>0.5483234714003945</v>
      </c>
      <c r="DP55" s="667">
        <f t="shared" si="231"/>
        <v>0.52952755905511806</v>
      </c>
      <c r="DQ55" s="677">
        <f t="shared" si="231"/>
        <v>0.54131330264114363</v>
      </c>
      <c r="DR55" s="21">
        <f t="shared" si="231"/>
        <v>0.54077669902912617</v>
      </c>
      <c r="DS55" s="21">
        <f t="shared" si="231"/>
        <v>0.54356060606060608</v>
      </c>
      <c r="DT55" s="21">
        <f t="shared" si="231"/>
        <v>0.54396135265700485</v>
      </c>
      <c r="DU55" s="667">
        <f t="shared" ref="DU55:EA55" si="232">DU45/DU53</f>
        <v>0.54154995331465916</v>
      </c>
      <c r="DV55" s="677">
        <f t="shared" si="232"/>
        <v>0.54246183206106868</v>
      </c>
      <c r="DW55" s="21">
        <f t="shared" si="232"/>
        <v>0.55288461538461542</v>
      </c>
      <c r="DX55" s="21">
        <f t="shared" si="232"/>
        <v>0.55265448215839863</v>
      </c>
      <c r="DY55" s="21">
        <f t="shared" si="232"/>
        <v>0.54937163375224418</v>
      </c>
      <c r="DZ55" s="667">
        <f t="shared" si="232"/>
        <v>0.55073465135305222</v>
      </c>
      <c r="EA55" s="677">
        <f t="shared" si="232"/>
        <v>0.55139338199317578</v>
      </c>
      <c r="EB55" s="21">
        <f t="shared" ref="EB55:EG55" si="233">EB45/EB53</f>
        <v>0.54808590102707755</v>
      </c>
      <c r="EC55" s="21">
        <f t="shared" si="233"/>
        <v>0.54054054054054057</v>
      </c>
      <c r="ED55" s="21">
        <f t="shared" si="233"/>
        <v>0.5379506641366224</v>
      </c>
      <c r="EE55" s="667">
        <f t="shared" si="233"/>
        <v>0.52734375</v>
      </c>
      <c r="EF55" s="677">
        <f t="shared" si="233"/>
        <v>0.53862409016200985</v>
      </c>
      <c r="EG55" s="21">
        <f t="shared" si="233"/>
        <v>0.52783505154639176</v>
      </c>
      <c r="EH55" s="21">
        <f>EH45/EH53</f>
        <v>0.52642276422764223</v>
      </c>
      <c r="EI55" s="21">
        <f>EI45/EI53</f>
        <v>0.52115583075335392</v>
      </c>
      <c r="EJ55" s="667">
        <f t="shared" ref="EJ55:EL55" si="234">EJ45/EJ53</f>
        <v>0.52274837511606309</v>
      </c>
      <c r="EK55" s="677">
        <f t="shared" si="234"/>
        <v>0.52449999999999997</v>
      </c>
      <c r="EL55" s="21">
        <f t="shared" si="234"/>
        <v>0.53339980059820535</v>
      </c>
      <c r="EM55" s="21">
        <f>EM45/EM53</f>
        <v>0.52736318407960203</v>
      </c>
      <c r="EN55" s="21">
        <f>EN45/EN53</f>
        <v>0.53423236514522821</v>
      </c>
      <c r="EO55" s="667">
        <f t="shared" ref="EO55:EQ55" si="235">EO45/EO53</f>
        <v>0.50349650349650354</v>
      </c>
      <c r="EP55" s="677">
        <f t="shared" si="235"/>
        <v>0.52454064938333755</v>
      </c>
      <c r="EQ55" s="21">
        <f t="shared" si="235"/>
        <v>0.50674974039460019</v>
      </c>
      <c r="ER55" s="21">
        <f t="shared" ref="ER55" si="236">EM55+(ER56/100)</f>
        <v>0.52736318407960203</v>
      </c>
      <c r="ES55" s="21">
        <f t="shared" ref="ES55:ET55" si="237">EN55+(ES56/100)</f>
        <v>0.53423236514522821</v>
      </c>
      <c r="ET55" s="21">
        <f t="shared" si="237"/>
        <v>0.50349650349650354</v>
      </c>
      <c r="EU55" s="677">
        <f>EU45/EU53</f>
        <v>0.51771556511430217</v>
      </c>
      <c r="EZ55" s="335">
        <f>EU55+(EZ56/100)</f>
        <v>0.51771556511430217</v>
      </c>
      <c r="FE55" s="335">
        <f>EZ55+(FE56/100)</f>
        <v>0.51771556511430217</v>
      </c>
      <c r="FG55" s="476"/>
      <c r="FH55" s="772"/>
      <c r="FI55" s="772"/>
      <c r="FJ55" s="772"/>
      <c r="FL55" s="1343"/>
      <c r="FM55" s="1530">
        <f t="shared" si="184"/>
        <v>0.50674974039460019</v>
      </c>
      <c r="FN55" s="772">
        <f t="shared" si="185"/>
        <v>0.53339980059820535</v>
      </c>
      <c r="FO55" s="1809">
        <v>0.53339980059820535</v>
      </c>
      <c r="FP55" s="1743">
        <f>+(FM55-FN55)*10000</f>
        <v>-266.50060203605165</v>
      </c>
      <c r="FQ55" s="1585">
        <f>+(FM55-FO55)*10000</f>
        <v>-266.50060203605165</v>
      </c>
      <c r="FR55" s="1619"/>
      <c r="FS55" s="1619"/>
      <c r="FT55" s="433"/>
      <c r="FU55" s="433"/>
      <c r="FV55" s="433"/>
      <c r="FW55" s="433"/>
      <c r="FX55" s="433"/>
      <c r="FY55" s="433"/>
      <c r="FZ55" s="476"/>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c r="IW55"/>
      <c r="IX55"/>
    </row>
    <row r="56" spans="1:258" s="89" customFormat="1" x14ac:dyDescent="0.2">
      <c r="A56" s="572" t="s">
        <v>464</v>
      </c>
      <c r="B56" s="336"/>
      <c r="C56" s="336"/>
      <c r="D56" s="336"/>
      <c r="E56" s="336"/>
      <c r="F56" s="212"/>
      <c r="G56" s="336"/>
      <c r="H56" s="336"/>
      <c r="I56" s="336"/>
      <c r="J56" s="336"/>
      <c r="K56" s="212"/>
      <c r="L56" s="336"/>
      <c r="M56" s="336"/>
      <c r="N56" s="336"/>
      <c r="O56" s="336"/>
      <c r="P56" s="212"/>
      <c r="Q56" s="336"/>
      <c r="R56" s="336"/>
      <c r="S56" s="336"/>
      <c r="T56" s="336"/>
      <c r="U56" s="212"/>
      <c r="V56" s="336"/>
      <c r="W56" s="336"/>
      <c r="X56" s="336"/>
      <c r="Y56" s="336"/>
      <c r="Z56" s="212"/>
      <c r="AA56" s="336"/>
      <c r="AB56" s="336"/>
      <c r="AC56" s="336"/>
      <c r="AD56" s="336"/>
      <c r="AE56" s="212"/>
      <c r="AF56" s="336"/>
      <c r="AG56" s="336"/>
      <c r="AH56" s="336"/>
      <c r="AI56" s="336"/>
      <c r="AJ56" s="212"/>
      <c r="AK56" s="336"/>
      <c r="AL56" s="336"/>
      <c r="AM56" s="336"/>
      <c r="AN56" s="336"/>
      <c r="AO56" s="212"/>
      <c r="AP56" s="336"/>
      <c r="AQ56" s="336"/>
      <c r="AR56" s="336"/>
      <c r="AS56" s="336"/>
      <c r="AT56" s="212"/>
      <c r="AU56" s="336"/>
      <c r="AV56" s="336"/>
      <c r="AW56" s="336"/>
      <c r="AX56" s="336"/>
      <c r="AY56" s="212"/>
      <c r="AZ56" s="336"/>
      <c r="BA56" s="336"/>
      <c r="BB56" s="336"/>
      <c r="BC56" s="336"/>
      <c r="BD56" s="212"/>
      <c r="BE56" s="336"/>
      <c r="BF56" s="336"/>
      <c r="BG56" s="336"/>
      <c r="BH56" s="336"/>
      <c r="BI56" s="212"/>
      <c r="BJ56" s="336"/>
      <c r="BK56" s="336"/>
      <c r="BL56" s="336"/>
      <c r="BM56" s="336"/>
      <c r="BN56" s="212"/>
      <c r="BO56" s="336"/>
      <c r="BP56" s="336"/>
      <c r="BQ56" s="336"/>
      <c r="BR56" s="336"/>
      <c r="BS56" s="212"/>
      <c r="BT56" s="336"/>
      <c r="BU56" s="336"/>
      <c r="BV56" s="336"/>
      <c r="BW56" s="336"/>
      <c r="BX56" s="212"/>
      <c r="BY56" s="336">
        <f t="shared" ref="BY56:CH56" si="238">(BY55-BT55)*100</f>
        <v>-0.12883631713554999</v>
      </c>
      <c r="BZ56" s="336">
        <f t="shared" si="238"/>
        <v>1.0844541378892458</v>
      </c>
      <c r="CA56" s="336">
        <f t="shared" si="238"/>
        <v>0.83829909623790444</v>
      </c>
      <c r="CB56" s="336">
        <f t="shared" si="238"/>
        <v>1.6516780152170507</v>
      </c>
      <c r="CC56" s="212">
        <f t="shared" si="238"/>
        <v>0.89002089815378715</v>
      </c>
      <c r="CD56" s="336">
        <f t="shared" si="238"/>
        <v>1.0381878469505557</v>
      </c>
      <c r="CE56" s="336">
        <f t="shared" si="238"/>
        <v>0.74704769361257917</v>
      </c>
      <c r="CF56" s="336">
        <f t="shared" si="238"/>
        <v>0.35442957373734707</v>
      </c>
      <c r="CG56" s="336">
        <f t="shared" si="238"/>
        <v>-1.9377651160301324</v>
      </c>
      <c r="CH56" s="212">
        <f t="shared" si="238"/>
        <v>1.869826153341192E-2</v>
      </c>
      <c r="CI56" s="336">
        <f t="shared" ref="CI56:ED56" si="239">(CI55-CD55)*100</f>
        <v>0.52126164744582537</v>
      </c>
      <c r="CJ56" s="336">
        <f t="shared" si="239"/>
        <v>0.14962647204460611</v>
      </c>
      <c r="CK56" s="336">
        <f t="shared" si="239"/>
        <v>0.64477100370962104</v>
      </c>
      <c r="CL56" s="336">
        <f t="shared" si="239"/>
        <v>-0.24917963746117211</v>
      </c>
      <c r="CM56" s="212">
        <f t="shared" si="239"/>
        <v>0.26635242756191113</v>
      </c>
      <c r="CN56" s="336">
        <f t="shared" si="239"/>
        <v>0.28807254877782906</v>
      </c>
      <c r="CO56" s="336">
        <f t="shared" si="239"/>
        <v>0.47878764709463617</v>
      </c>
      <c r="CP56" s="336">
        <f t="shared" si="239"/>
        <v>0.20940789992059949</v>
      </c>
      <c r="CQ56" s="336">
        <f t="shared" si="239"/>
        <v>1.024033059049545</v>
      </c>
      <c r="CR56" s="212">
        <f t="shared" si="239"/>
        <v>0.49962830547900516</v>
      </c>
      <c r="CS56" s="336">
        <f t="shared" si="239"/>
        <v>1.0852703634393834</v>
      </c>
      <c r="CT56" s="336">
        <f t="shared" si="239"/>
        <v>1.1593229095616442</v>
      </c>
      <c r="CU56" s="336">
        <f t="shared" si="239"/>
        <v>0.70234749983626443</v>
      </c>
      <c r="CV56" s="336">
        <f t="shared" si="239"/>
        <v>0.17903485977683875</v>
      </c>
      <c r="CW56" s="212">
        <f t="shared" si="239"/>
        <v>0.79385277502003193</v>
      </c>
      <c r="CX56" s="336">
        <f t="shared" si="239"/>
        <v>0.23431297597694689</v>
      </c>
      <c r="CY56" s="336">
        <f t="shared" si="239"/>
        <v>-6.3380320250860933E-2</v>
      </c>
      <c r="CZ56" s="336">
        <f t="shared" si="239"/>
        <v>0.47403648131804088</v>
      </c>
      <c r="DA56" s="336">
        <f t="shared" si="239"/>
        <v>5.149706506190066E-2</v>
      </c>
      <c r="DB56" s="212">
        <f t="shared" si="239"/>
        <v>0.16411270690410706</v>
      </c>
      <c r="DC56" s="336">
        <f t="shared" si="239"/>
        <v>-1.2903877095227889</v>
      </c>
      <c r="DD56" s="336">
        <f t="shared" si="239"/>
        <v>-2.9523763617078647E-2</v>
      </c>
      <c r="DE56" s="336">
        <f t="shared" si="239"/>
        <v>-0.43118747983220684</v>
      </c>
      <c r="DF56" s="336">
        <f t="shared" si="239"/>
        <v>-4.3062200956933694E-2</v>
      </c>
      <c r="DG56" s="212">
        <f t="shared" si="239"/>
        <v>-0.44954490917211709</v>
      </c>
      <c r="DH56" s="336">
        <f t="shared" si="239"/>
        <v>1.1610640141233364</v>
      </c>
      <c r="DI56" s="336">
        <f t="shared" si="239"/>
        <v>-0.36293081330710519</v>
      </c>
      <c r="DJ56" s="336">
        <f t="shared" si="239"/>
        <v>-0.1121848398559</v>
      </c>
      <c r="DK56" s="336">
        <f t="shared" si="239"/>
        <v>-0.11799947903099461</v>
      </c>
      <c r="DL56" s="212">
        <f>(DL55-DG55)*100</f>
        <v>0.13974641272581634</v>
      </c>
      <c r="DM56" s="336">
        <f t="shared" si="239"/>
        <v>-1.3575306446212076</v>
      </c>
      <c r="DN56" s="336">
        <f t="shared" si="239"/>
        <v>3.8566480322077545E-2</v>
      </c>
      <c r="DO56" s="336">
        <f t="shared" si="239"/>
        <v>-4.0947206939112579E-2</v>
      </c>
      <c r="DP56" s="336">
        <f t="shared" si="239"/>
        <v>-1.2019718881844721</v>
      </c>
      <c r="DQ56" s="678">
        <f>(DQ55-DL55)*100</f>
        <v>-0.63627874403130447</v>
      </c>
      <c r="DR56" s="336">
        <f t="shared" si="239"/>
        <v>0.13654929512534331</v>
      </c>
      <c r="DS56" s="336">
        <f t="shared" si="239"/>
        <v>-0.43321142459072925</v>
      </c>
      <c r="DT56" s="210">
        <f t="shared" si="239"/>
        <v>-0.43621187433896536</v>
      </c>
      <c r="DU56" s="336">
        <f t="shared" si="239"/>
        <v>1.2022394259541103</v>
      </c>
      <c r="DV56" s="678">
        <f>(DV55-DQ55)*100</f>
        <v>0.11485294199250484</v>
      </c>
      <c r="DW56" s="336">
        <f t="shared" si="239"/>
        <v>1.2107916355489245</v>
      </c>
      <c r="DX56" s="336">
        <f t="shared" si="239"/>
        <v>0.90938760977925526</v>
      </c>
      <c r="DY56" s="210">
        <f t="shared" si="239"/>
        <v>0.54102810952393332</v>
      </c>
      <c r="DZ56" s="336">
        <f t="shared" si="239"/>
        <v>0.91846980383930577</v>
      </c>
      <c r="EA56" s="678">
        <f>(EA55-DV55)*100</f>
        <v>0.89315499321070968</v>
      </c>
      <c r="EB56" s="336">
        <f t="shared" si="239"/>
        <v>-0.47987143575378699</v>
      </c>
      <c r="EC56" s="336">
        <f t="shared" si="239"/>
        <v>-1.2113941617858059</v>
      </c>
      <c r="ED56" s="210">
        <f t="shared" si="239"/>
        <v>-1.1420969615621779</v>
      </c>
      <c r="EE56" s="336">
        <f t="shared" ref="EE56:EQ56" si="240">(EE55-DZ55)*100</f>
        <v>-2.3390901353052218</v>
      </c>
      <c r="EF56" s="678">
        <f t="shared" si="240"/>
        <v>-1.276929183116593</v>
      </c>
      <c r="EG56" s="336">
        <f t="shared" si="240"/>
        <v>-2.0250849480685784</v>
      </c>
      <c r="EH56" s="336">
        <f t="shared" si="240"/>
        <v>-1.4117776312898345</v>
      </c>
      <c r="EI56" s="210">
        <f t="shared" si="240"/>
        <v>-1.6794833383268482</v>
      </c>
      <c r="EJ56" s="336">
        <f t="shared" si="240"/>
        <v>-0.45953748839369091</v>
      </c>
      <c r="EK56" s="678">
        <f t="shared" si="240"/>
        <v>-1.4124090162009884</v>
      </c>
      <c r="EL56" s="336">
        <f t="shared" si="240"/>
        <v>0.55647490518135889</v>
      </c>
      <c r="EM56" s="336">
        <f t="shared" si="240"/>
        <v>9.4041985195980615E-2</v>
      </c>
      <c r="EN56" s="210">
        <f t="shared" si="240"/>
        <v>1.3076534391874284</v>
      </c>
      <c r="EO56" s="336">
        <f t="shared" si="240"/>
        <v>-1.9251871619559546</v>
      </c>
      <c r="EP56" s="678">
        <f t="shared" si="240"/>
        <v>4.0649383337587608E-3</v>
      </c>
      <c r="EQ56" s="336">
        <f t="shared" si="240"/>
        <v>-2.6650060203605164</v>
      </c>
      <c r="ER56" s="499">
        <v>0</v>
      </c>
      <c r="ES56" s="499">
        <v>0</v>
      </c>
      <c r="ET56" s="499">
        <v>0</v>
      </c>
      <c r="EU56" s="678">
        <f>(EU55-EP55)*100</f>
        <v>-0.68250842690353863</v>
      </c>
      <c r="EV56" s="337"/>
      <c r="EW56" s="337"/>
      <c r="EX56" s="337"/>
      <c r="EY56" s="337"/>
      <c r="EZ56" s="500">
        <v>0</v>
      </c>
      <c r="FA56" s="337"/>
      <c r="FB56" s="337"/>
      <c r="FC56" s="337"/>
      <c r="FD56" s="337"/>
      <c r="FE56" s="500">
        <v>0</v>
      </c>
      <c r="FG56" s="473"/>
      <c r="FH56" s="773"/>
      <c r="FI56" s="773"/>
      <c r="FJ56" s="773"/>
      <c r="FK56" s="1310"/>
      <c r="FL56" s="1344"/>
      <c r="FM56" s="1531">
        <f t="shared" si="184"/>
        <v>-2.6650060203605164</v>
      </c>
      <c r="FN56" s="1422">
        <f t="shared" si="185"/>
        <v>0.55647490518135889</v>
      </c>
      <c r="FO56" s="1810">
        <v>0</v>
      </c>
      <c r="FP56" s="1744"/>
      <c r="FQ56" s="755"/>
      <c r="FR56" s="1621"/>
      <c r="FS56" s="1621"/>
      <c r="FT56" s="434"/>
      <c r="FU56" s="434"/>
      <c r="FV56" s="434"/>
      <c r="FW56" s="434"/>
      <c r="FX56" s="434"/>
      <c r="FY56" s="434"/>
      <c r="FZ56" s="473"/>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row>
    <row r="57" spans="1:258" s="89" customFormat="1" x14ac:dyDescent="0.2">
      <c r="A57" s="383" t="s">
        <v>337</v>
      </c>
      <c r="B57" s="336"/>
      <c r="C57" s="336"/>
      <c r="D57" s="336"/>
      <c r="E57" s="336"/>
      <c r="F57" s="212"/>
      <c r="G57" s="336"/>
      <c r="H57" s="336"/>
      <c r="I57" s="336"/>
      <c r="J57" s="336"/>
      <c r="K57" s="212"/>
      <c r="L57" s="336"/>
      <c r="M57" s="336"/>
      <c r="N57" s="336"/>
      <c r="O57" s="336"/>
      <c r="P57" s="212"/>
      <c r="Q57" s="336"/>
      <c r="R57" s="336"/>
      <c r="S57" s="336"/>
      <c r="T57" s="336"/>
      <c r="U57" s="212"/>
      <c r="V57" s="336"/>
      <c r="W57" s="336"/>
      <c r="X57" s="336"/>
      <c r="Y57" s="336"/>
      <c r="Z57" s="212"/>
      <c r="AA57" s="336"/>
      <c r="AB57" s="336"/>
      <c r="AC57" s="336"/>
      <c r="AD57" s="336"/>
      <c r="AE57" s="212"/>
      <c r="AF57" s="336"/>
      <c r="AG57" s="336"/>
      <c r="AH57" s="336"/>
      <c r="AI57" s="336"/>
      <c r="AJ57" s="212"/>
      <c r="AK57" s="336"/>
      <c r="AL57" s="336"/>
      <c r="AM57" s="336"/>
      <c r="AN57" s="336"/>
      <c r="AO57" s="212"/>
      <c r="AP57" s="336"/>
      <c r="AQ57" s="336"/>
      <c r="AR57" s="336"/>
      <c r="AS57" s="336"/>
      <c r="AT57" s="212"/>
      <c r="AU57" s="336"/>
      <c r="AV57" s="336"/>
      <c r="AW57" s="336"/>
      <c r="AX57" s="336"/>
      <c r="AY57" s="212"/>
      <c r="AZ57" s="336"/>
      <c r="BA57" s="336"/>
      <c r="BB57" s="336"/>
      <c r="BC57" s="336"/>
      <c r="BD57" s="212"/>
      <c r="BE57" s="336"/>
      <c r="BF57" s="336"/>
      <c r="BG57" s="336"/>
      <c r="BH57" s="336"/>
      <c r="BI57" s="212"/>
      <c r="BJ57" s="336"/>
      <c r="BK57" s="336"/>
      <c r="BL57" s="336"/>
      <c r="BM57" s="336"/>
      <c r="BN57" s="212"/>
      <c r="BO57" s="336"/>
      <c r="BP57" s="336"/>
      <c r="BQ57" s="336"/>
      <c r="BR57" s="336"/>
      <c r="BS57" s="212"/>
      <c r="BT57" s="336"/>
      <c r="BU57" s="336">
        <f>(BU55-BT55)*100</f>
        <v>-0.80240429505135102</v>
      </c>
      <c r="BV57" s="336">
        <f>(BV55-BU55)*100</f>
        <v>0.60607352460529951</v>
      </c>
      <c r="BW57" s="336">
        <f>(BW55-BV55)*100</f>
        <v>1.4031161161632832</v>
      </c>
      <c r="BX57" s="212"/>
      <c r="BY57" s="336">
        <f>(BY55-BW55)*100</f>
        <v>-1.3356216628527817</v>
      </c>
      <c r="BZ57" s="336">
        <f>(BZ55-BY55)*100</f>
        <v>0.4108861599734448</v>
      </c>
      <c r="CA57" s="336">
        <f>(CA55-BZ55)*100</f>
        <v>0.35991848295395812</v>
      </c>
      <c r="CB57" s="336">
        <f>(CB55-CA55)*100</f>
        <v>2.2164950351424295</v>
      </c>
      <c r="CC57" s="212"/>
      <c r="CD57" s="336">
        <f>(CD55-CB55)*100</f>
        <v>-1.9491118311192768</v>
      </c>
      <c r="CE57" s="336">
        <f>(CE55-CD55)*100</f>
        <v>0.11974600663546831</v>
      </c>
      <c r="CF57" s="336">
        <f>(CF55-CE55)*100</f>
        <v>-3.2699636921273978E-2</v>
      </c>
      <c r="CG57" s="336">
        <f>(CG55-CF55)*100</f>
        <v>-7.5699654625049906E-2</v>
      </c>
      <c r="CH57" s="212"/>
      <c r="CI57" s="336">
        <f>(CI55-CG55)*100</f>
        <v>0.50991493235668095</v>
      </c>
      <c r="CJ57" s="336">
        <f>(CJ55-CI55)*100</f>
        <v>-0.25188916876575096</v>
      </c>
      <c r="CK57" s="336">
        <f>(CK55-CJ55)*100</f>
        <v>0.46244489474374095</v>
      </c>
      <c r="CL57" s="336">
        <f>(CL55-CK55)*100</f>
        <v>-0.96965029579584305</v>
      </c>
      <c r="CM57" s="212"/>
      <c r="CN57" s="336">
        <f>(CN55-CL55)*100</f>
        <v>1.0471671185956821</v>
      </c>
      <c r="CO57" s="336">
        <f>(CO55-CN55)*100</f>
        <v>-6.1174070448943851E-2</v>
      </c>
      <c r="CP57" s="336">
        <f>(CP55-CO55)*100</f>
        <v>0.19306514756970428</v>
      </c>
      <c r="CQ57" s="336">
        <f>(CQ55-CP55)*100</f>
        <v>-0.15502513666689755</v>
      </c>
      <c r="CR57" s="212"/>
      <c r="CS57" s="336">
        <f>(CS55-CQ55)*100</f>
        <v>1.1084044229855206</v>
      </c>
      <c r="CT57" s="336">
        <f>(CT55-CS55)*100</f>
        <v>1.2878475673316903E-2</v>
      </c>
      <c r="CU57" s="336">
        <f>(CU55-CT55)*100</f>
        <v>-0.26391026215567548</v>
      </c>
      <c r="CV57" s="336">
        <f>(CV55-CU55)*100</f>
        <v>-0.67833777672632323</v>
      </c>
      <c r="CW57" s="212"/>
      <c r="CX57" s="336">
        <f>(CX55-CV55)*100</f>
        <v>1.1636825391856287</v>
      </c>
      <c r="CY57" s="336">
        <f>(CY55-CX55)*100</f>
        <v>-0.28481482055449092</v>
      </c>
      <c r="CZ57" s="336">
        <f>(CZ55-CY55)*100</f>
        <v>0.27350653941322634</v>
      </c>
      <c r="DA57" s="336">
        <f>(DA55-CZ55)*100</f>
        <v>-1.1008771929824634</v>
      </c>
      <c r="DB57" s="212"/>
      <c r="DC57" s="336">
        <f>(DC55-DA55)*100</f>
        <v>-0.17820223539906088</v>
      </c>
      <c r="DD57" s="336">
        <f>(DD55-DC55)*100</f>
        <v>0.97604912535121935</v>
      </c>
      <c r="DE57" s="336">
        <f>(DE55-DD55)*100</f>
        <v>-0.12815717680190186</v>
      </c>
      <c r="DF57" s="336">
        <f>(DF55-DE55)*100</f>
        <v>-0.7127519141071903</v>
      </c>
      <c r="DG57" s="212"/>
      <c r="DH57" s="336">
        <f>(DH55-DF55)*100</f>
        <v>1.0259239796812092</v>
      </c>
      <c r="DI57" s="336">
        <f>(DI55-DH55)*100</f>
        <v>-0.54794570207922222</v>
      </c>
      <c r="DJ57" s="336">
        <f>(DJ55-DI55)*100</f>
        <v>0.12258879664930333</v>
      </c>
      <c r="DK57" s="336">
        <f>(DK55-DJ55)*100</f>
        <v>-0.71856655328228491</v>
      </c>
      <c r="DL57" s="212"/>
      <c r="DM57" s="336">
        <f>(DM55-DK55)*100</f>
        <v>-0.21360718590900385</v>
      </c>
      <c r="DN57" s="336">
        <f>(DN55-DM55)*100</f>
        <v>0.84815142286406298</v>
      </c>
      <c r="DO57" s="336">
        <f>(DO55-DN55)*100</f>
        <v>4.3075109388113209E-2</v>
      </c>
      <c r="DP57" s="336">
        <f>(DP55-DO55)*100</f>
        <v>-1.8795912345276444</v>
      </c>
      <c r="DQ57" s="678"/>
      <c r="DR57" s="336">
        <f>(DR55-DP55)*100</f>
        <v>1.1249139974008115</v>
      </c>
      <c r="DS57" s="336">
        <f>(DS55-DR55)*100</f>
        <v>0.27839070314799041</v>
      </c>
      <c r="DT57" s="336">
        <f>(DT55-DS55)*100</f>
        <v>4.0074659639877108E-2</v>
      </c>
      <c r="DU57" s="336">
        <f>(DU55-DT55)*100</f>
        <v>-0.24113993423456881</v>
      </c>
      <c r="DV57" s="678"/>
      <c r="DW57" s="336">
        <f>(DW55-DU55)*100</f>
        <v>1.1334662069956258</v>
      </c>
      <c r="DX57" s="336">
        <f>(DX55-DW55)*100</f>
        <v>-2.3013322621678878E-2</v>
      </c>
      <c r="DY57" s="336">
        <f>(DY55-DX55)*100</f>
        <v>-0.32828484061544483</v>
      </c>
      <c r="DZ57" s="336">
        <f>(DZ55-DY55)*100</f>
        <v>0.13630176008080364</v>
      </c>
      <c r="EA57" s="678"/>
      <c r="EB57" s="336">
        <f>(EB55-DZ55)*100</f>
        <v>-0.26487503259746692</v>
      </c>
      <c r="EC57" s="336">
        <f>(EC55-EB55)*100</f>
        <v>-0.75453604865369783</v>
      </c>
      <c r="ED57" s="336">
        <f>(ED55-EC55)*100</f>
        <v>-0.25898764039181676</v>
      </c>
      <c r="EE57" s="336">
        <f>(EE55-ED55)*100</f>
        <v>-1.0606914136622403</v>
      </c>
      <c r="EF57" s="678"/>
      <c r="EG57" s="336">
        <f>(EG55-EE55)*100</f>
        <v>4.9130154639176471E-2</v>
      </c>
      <c r="EH57" s="336">
        <f>(EH55-EG55)*100</f>
        <v>-0.14122873187495388</v>
      </c>
      <c r="EI57" s="336">
        <f>(EI55-EH55)*100</f>
        <v>-0.52669334742883045</v>
      </c>
      <c r="EJ57" s="336">
        <f>(EJ55-EI55)*100</f>
        <v>0.15925443627091695</v>
      </c>
      <c r="EK57" s="678"/>
      <c r="EL57" s="336">
        <f>(EL55-EJ55)*100</f>
        <v>1.0651425482142263</v>
      </c>
      <c r="EM57" s="336">
        <f>(EM55-EL55)*100</f>
        <v>-0.60366165186033216</v>
      </c>
      <c r="EN57" s="336">
        <f>(EN55-EM55)*100</f>
        <v>0.68691810656261731</v>
      </c>
      <c r="EO57" s="336">
        <f>(EO55-EN55)*100</f>
        <v>-3.0735861648724661</v>
      </c>
      <c r="EP57" s="678"/>
      <c r="EQ57" s="336">
        <f>(EQ55-EO55)*100</f>
        <v>0.32532368980966453</v>
      </c>
      <c r="ER57" s="336">
        <f t="shared" ref="ER57" si="241">(ER55-EQ55)*100</f>
        <v>2.0613443685001842</v>
      </c>
      <c r="ES57" s="336">
        <f t="shared" ref="ES57:ET57" si="242">(ES55-ER55)*100</f>
        <v>0.68691810656261731</v>
      </c>
      <c r="ET57" s="336">
        <f t="shared" si="242"/>
        <v>-3.0735861648724661</v>
      </c>
      <c r="EU57" s="500"/>
      <c r="EV57" s="337"/>
      <c r="EW57" s="337"/>
      <c r="EX57" s="337"/>
      <c r="EY57" s="337"/>
      <c r="EZ57" s="500"/>
      <c r="FA57" s="337"/>
      <c r="FB57" s="337"/>
      <c r="FC57" s="337"/>
      <c r="FD57" s="337"/>
      <c r="FE57" s="500"/>
      <c r="FG57" s="473"/>
      <c r="FH57" s="839">
        <f>AVERAGE(CI57,CN57,CS57,CX57,DC57,DH57,DM57,DR57,DW57,EB57,EG57,EL57,EQ57)</f>
        <v>0.60741424122759191</v>
      </c>
      <c r="FI57" s="839">
        <f>AVERAGE(CJ57,CO57,CT57,CY57,DD57,DI57,DN57,DS57,DX57,EC57,EH57)</f>
        <v>4.6243510943500994E-3</v>
      </c>
      <c r="FJ57" s="839">
        <f>AVERAGE(CK57,CP57,CU57,CZ57,DE57,DJ57,DO57,DT57,DY57,ED57,EI57)</f>
        <v>-3.375255636270038E-2</v>
      </c>
      <c r="FK57" s="1409">
        <f>AVERAGE(CL57,CQ57,CV57,DA57,DF57,DK57,DP57,DU57,DZ57,EE57,EJ57,EO57)</f>
        <v>-0.85788845170885031</v>
      </c>
      <c r="FL57" s="1345"/>
      <c r="FM57" s="1531">
        <f t="shared" si="184"/>
        <v>0.32532368980966453</v>
      </c>
      <c r="FN57" s="1422">
        <f t="shared" si="185"/>
        <v>1.0651425482142263</v>
      </c>
      <c r="FO57" s="1811">
        <v>2.9903297101701809</v>
      </c>
      <c r="FP57" s="1745"/>
      <c r="FQ57" s="1412"/>
      <c r="FR57" s="1621"/>
      <c r="FS57" s="1621"/>
      <c r="FT57" s="434"/>
      <c r="FU57" s="434"/>
      <c r="FV57" s="434"/>
      <c r="FW57" s="434"/>
      <c r="FX57" s="434"/>
      <c r="FY57" s="434"/>
      <c r="FZ57" s="473"/>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row>
    <row r="58" spans="1:258" s="352" customFormat="1" x14ac:dyDescent="0.2">
      <c r="A58" s="348" t="s">
        <v>416</v>
      </c>
      <c r="B58" s="349"/>
      <c r="C58" s="349"/>
      <c r="D58" s="349"/>
      <c r="E58" s="349"/>
      <c r="F58" s="350"/>
      <c r="G58" s="349"/>
      <c r="H58" s="349"/>
      <c r="I58" s="349"/>
      <c r="J58" s="349"/>
      <c r="K58" s="350"/>
      <c r="L58" s="349"/>
      <c r="M58" s="349"/>
      <c r="N58" s="349"/>
      <c r="O58" s="349"/>
      <c r="P58" s="350"/>
      <c r="Q58" s="349"/>
      <c r="R58" s="349"/>
      <c r="S58" s="349"/>
      <c r="T58" s="349"/>
      <c r="U58" s="350"/>
      <c r="V58" s="349"/>
      <c r="W58" s="349"/>
      <c r="X58" s="349"/>
      <c r="Y58" s="349"/>
      <c r="Z58" s="350"/>
      <c r="AA58" s="349"/>
      <c r="AB58" s="349"/>
      <c r="AC58" s="349"/>
      <c r="AD58" s="349"/>
      <c r="AE58" s="350"/>
      <c r="AF58" s="349"/>
      <c r="AG58" s="349"/>
      <c r="AH58" s="349"/>
      <c r="AI58" s="349"/>
      <c r="AJ58" s="350"/>
      <c r="AK58" s="349"/>
      <c r="AL58" s="349"/>
      <c r="AM58" s="349"/>
      <c r="AN58" s="349"/>
      <c r="AO58" s="350"/>
      <c r="AP58" s="349"/>
      <c r="AQ58" s="349"/>
      <c r="AR58" s="349"/>
      <c r="AS58" s="349"/>
      <c r="AT58" s="350"/>
      <c r="AU58" s="349"/>
      <c r="AV58" s="349"/>
      <c r="AW58" s="349"/>
      <c r="AX58" s="349"/>
      <c r="AY58" s="350"/>
      <c r="AZ58" s="349"/>
      <c r="BA58" s="349"/>
      <c r="BB58" s="349"/>
      <c r="BC58" s="349"/>
      <c r="BD58" s="350"/>
      <c r="BE58" s="349"/>
      <c r="BF58" s="349"/>
      <c r="BG58" s="349"/>
      <c r="BH58" s="349"/>
      <c r="BI58" s="350"/>
      <c r="BJ58" s="349"/>
      <c r="BK58" s="349"/>
      <c r="BL58" s="349"/>
      <c r="BM58" s="349"/>
      <c r="BN58" s="350"/>
      <c r="BO58" s="349"/>
      <c r="BP58" s="349"/>
      <c r="BQ58" s="349"/>
      <c r="BR58" s="349"/>
      <c r="BS58" s="350"/>
      <c r="BT58" s="349"/>
      <c r="BU58" s="349"/>
      <c r="BV58" s="349"/>
      <c r="BW58" s="349"/>
      <c r="BX58" s="350"/>
      <c r="BY58" s="349"/>
      <c r="BZ58" s="349"/>
      <c r="CA58" s="349"/>
      <c r="CB58" s="349"/>
      <c r="CC58" s="350"/>
      <c r="CD58" s="349"/>
      <c r="CE58" s="349"/>
      <c r="CF58" s="349"/>
      <c r="CG58" s="349"/>
      <c r="CH58" s="350"/>
      <c r="CI58" s="349"/>
      <c r="CJ58" s="349"/>
      <c r="CK58" s="349"/>
      <c r="CL58" s="349"/>
      <c r="CM58" s="350"/>
      <c r="CN58" s="349"/>
      <c r="CO58" s="349"/>
      <c r="CP58" s="349"/>
      <c r="CQ58" s="349"/>
      <c r="CR58" s="350"/>
      <c r="CS58" s="349"/>
      <c r="CT58" s="349"/>
      <c r="CU58" s="349"/>
      <c r="CV58" s="349"/>
      <c r="CW58" s="350"/>
      <c r="CX58" s="349"/>
      <c r="CY58" s="349"/>
      <c r="CZ58" s="349"/>
      <c r="DA58" s="349"/>
      <c r="DB58" s="350"/>
      <c r="DC58" s="349"/>
      <c r="DD58" s="349"/>
      <c r="DE58" s="349"/>
      <c r="DF58" s="349"/>
      <c r="DG58" s="351"/>
      <c r="DH58" s="349"/>
      <c r="DI58" s="349"/>
      <c r="DJ58" s="349"/>
      <c r="DK58" s="349"/>
      <c r="DL58" s="351"/>
      <c r="DM58" s="349"/>
      <c r="DN58" s="349"/>
      <c r="DO58" s="349"/>
      <c r="DP58" s="349"/>
      <c r="DQ58" s="679"/>
      <c r="DR58" s="349"/>
      <c r="DS58" s="349"/>
      <c r="DU58" s="349"/>
      <c r="DV58" s="679"/>
      <c r="DW58" s="349"/>
      <c r="DX58" s="349"/>
      <c r="DZ58" s="349"/>
      <c r="EA58" s="679"/>
      <c r="EB58" s="349"/>
      <c r="EC58" s="349"/>
      <c r="EE58" s="349"/>
      <c r="EF58" s="679"/>
      <c r="EG58" s="349"/>
      <c r="EH58" s="349"/>
      <c r="EJ58" s="349"/>
      <c r="EK58" s="679"/>
      <c r="EL58" s="349"/>
      <c r="EM58" s="349"/>
      <c r="EO58" s="349"/>
      <c r="EP58" s="679"/>
      <c r="EQ58" s="349"/>
      <c r="EU58" s="351"/>
      <c r="EZ58" s="351"/>
      <c r="FE58" s="351"/>
      <c r="FG58" s="468"/>
      <c r="FH58" s="774"/>
      <c r="FI58" s="774"/>
      <c r="FJ58" s="774"/>
      <c r="FL58" s="1335"/>
      <c r="FN58" s="1423"/>
      <c r="FO58" s="1746"/>
      <c r="FP58" s="1746"/>
      <c r="FQ58" s="729"/>
      <c r="FR58" s="1618"/>
      <c r="FS58" s="1618"/>
      <c r="FT58" s="431"/>
      <c r="FU58" s="431"/>
      <c r="FV58" s="431"/>
      <c r="FW58" s="431"/>
      <c r="FX58" s="431"/>
      <c r="FY58" s="431"/>
      <c r="FZ58" s="46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row>
    <row r="59" spans="1:258" s="395" customFormat="1" x14ac:dyDescent="0.2">
      <c r="A59" s="391" t="s">
        <v>311</v>
      </c>
      <c r="B59" s="392"/>
      <c r="C59" s="392"/>
      <c r="D59" s="392"/>
      <c r="E59" s="392"/>
      <c r="F59" s="393"/>
      <c r="G59" s="392"/>
      <c r="H59" s="392"/>
      <c r="I59" s="392"/>
      <c r="J59" s="392"/>
      <c r="K59" s="393"/>
      <c r="L59" s="392"/>
      <c r="M59" s="392"/>
      <c r="N59" s="392"/>
      <c r="O59" s="392"/>
      <c r="P59" s="393"/>
      <c r="Q59" s="392"/>
      <c r="R59" s="392"/>
      <c r="S59" s="392"/>
      <c r="T59" s="392"/>
      <c r="U59" s="393"/>
      <c r="V59" s="392"/>
      <c r="W59" s="392"/>
      <c r="X59" s="392"/>
      <c r="Y59" s="392"/>
      <c r="Z59" s="393"/>
      <c r="AA59" s="392"/>
      <c r="AB59" s="392"/>
      <c r="AC59" s="392"/>
      <c r="AD59" s="392"/>
      <c r="AE59" s="393"/>
      <c r="AF59" s="392"/>
      <c r="AG59" s="392"/>
      <c r="AH59" s="392"/>
      <c r="AI59" s="392"/>
      <c r="AJ59" s="393"/>
      <c r="AK59" s="392"/>
      <c r="AL59" s="392"/>
      <c r="AM59" s="392"/>
      <c r="AN59" s="392"/>
      <c r="AO59" s="393"/>
      <c r="AP59" s="392"/>
      <c r="AQ59" s="392"/>
      <c r="AR59" s="392"/>
      <c r="AS59" s="392"/>
      <c r="AT59" s="393"/>
      <c r="AU59" s="392"/>
      <c r="AV59" s="392"/>
      <c r="AW59" s="392"/>
      <c r="AX59" s="392"/>
      <c r="AY59" s="393"/>
      <c r="AZ59" s="392"/>
      <c r="BA59" s="392"/>
      <c r="BB59" s="392"/>
      <c r="BC59" s="392"/>
      <c r="BD59" s="393"/>
      <c r="BE59" s="392"/>
      <c r="BF59" s="392"/>
      <c r="BG59" s="392"/>
      <c r="BH59" s="392"/>
      <c r="BI59" s="393"/>
      <c r="BJ59" s="392"/>
      <c r="BK59" s="392"/>
      <c r="BL59" s="392"/>
      <c r="BM59" s="392"/>
      <c r="BN59" s="393"/>
      <c r="BO59" s="392"/>
      <c r="BP59" s="392"/>
      <c r="BQ59" s="392"/>
      <c r="BR59" s="392"/>
      <c r="BS59" s="393"/>
      <c r="BT59" s="392"/>
      <c r="BU59" s="392"/>
      <c r="BV59" s="392"/>
      <c r="BW59" s="392"/>
      <c r="BX59" s="393"/>
      <c r="BY59" s="392"/>
      <c r="BZ59" s="392"/>
      <c r="CA59" s="392"/>
      <c r="CB59" s="392"/>
      <c r="CC59" s="393"/>
      <c r="CD59" s="392"/>
      <c r="CE59" s="392"/>
      <c r="CF59" s="392"/>
      <c r="CG59" s="392"/>
      <c r="CH59" s="393"/>
      <c r="CI59" s="392"/>
      <c r="CJ59" s="392"/>
      <c r="CK59" s="392"/>
      <c r="CL59" s="392"/>
      <c r="CM59" s="393"/>
      <c r="CN59" s="392"/>
      <c r="CO59" s="392"/>
      <c r="CP59" s="392"/>
      <c r="CQ59" s="392"/>
      <c r="CR59" s="393"/>
      <c r="CS59" s="392"/>
      <c r="CT59" s="392"/>
      <c r="CU59" s="392"/>
      <c r="CV59" s="392"/>
      <c r="CW59" s="393"/>
      <c r="CX59" s="392"/>
      <c r="CY59" s="392"/>
      <c r="CZ59" s="392"/>
      <c r="DA59" s="392"/>
      <c r="DB59" s="393"/>
      <c r="DC59" s="392"/>
      <c r="DD59" s="392"/>
      <c r="DE59" s="392"/>
      <c r="DF59" s="392"/>
      <c r="DG59" s="394"/>
      <c r="DH59" s="392"/>
      <c r="DI59" s="392"/>
      <c r="DJ59" s="392"/>
      <c r="DK59" s="392"/>
      <c r="DL59" s="394"/>
      <c r="DM59" s="392"/>
      <c r="DN59" s="392"/>
      <c r="DO59" s="392"/>
      <c r="DP59" s="392"/>
      <c r="DQ59" s="884"/>
      <c r="DR59" s="392"/>
      <c r="DS59" s="392"/>
      <c r="DU59" s="392"/>
      <c r="DV59" s="884"/>
      <c r="DW59" s="392"/>
      <c r="DX59" s="392"/>
      <c r="DZ59" s="392"/>
      <c r="EA59" s="884"/>
      <c r="EB59" s="1709" t="s">
        <v>756</v>
      </c>
      <c r="EC59" s="392"/>
      <c r="EE59" s="392"/>
      <c r="EF59" s="884"/>
      <c r="EG59" s="392"/>
      <c r="EH59" s="392"/>
      <c r="EJ59" s="392"/>
      <c r="EK59" s="884"/>
      <c r="EL59" s="392"/>
      <c r="EM59" s="392"/>
      <c r="EO59" s="392"/>
      <c r="EP59" s="884"/>
      <c r="EQ59" s="392"/>
      <c r="EU59" s="394"/>
      <c r="EZ59" s="394"/>
      <c r="FE59" s="394"/>
      <c r="FG59" s="464"/>
      <c r="FH59" s="762"/>
      <c r="FI59" s="762"/>
      <c r="FJ59" s="762"/>
      <c r="FL59" s="1335"/>
      <c r="FN59" s="1424"/>
      <c r="FO59" s="1747"/>
      <c r="FP59" s="1747"/>
      <c r="FQ59" s="726"/>
      <c r="FR59" s="1618"/>
      <c r="FS59" s="1618"/>
      <c r="FT59" s="431"/>
      <c r="FU59" s="431"/>
      <c r="FV59" s="431"/>
      <c r="FW59" s="431"/>
      <c r="FX59" s="431"/>
      <c r="FY59" s="431"/>
      <c r="FZ59" s="464"/>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row>
    <row r="60" spans="1:258" s="110" customFormat="1" x14ac:dyDescent="0.2">
      <c r="A60" s="109" t="s">
        <v>136</v>
      </c>
      <c r="F60" s="404"/>
      <c r="K60" s="404"/>
      <c r="P60" s="404"/>
      <c r="U60" s="404"/>
      <c r="Z60" s="404"/>
      <c r="AE60" s="404"/>
      <c r="AJ60" s="404"/>
      <c r="AO60" s="404"/>
      <c r="AT60" s="404"/>
      <c r="AU60" s="110">
        <f t="shared" ref="AU60:DA60" si="243">AU71+AU73</f>
        <v>179</v>
      </c>
      <c r="AV60" s="110">
        <f t="shared" si="243"/>
        <v>171</v>
      </c>
      <c r="AW60" s="110">
        <f t="shared" si="243"/>
        <v>156</v>
      </c>
      <c r="AX60" s="110">
        <f t="shared" si="243"/>
        <v>178</v>
      </c>
      <c r="AY60" s="404">
        <f t="shared" si="243"/>
        <v>684</v>
      </c>
      <c r="AZ60" s="110">
        <f t="shared" si="243"/>
        <v>194</v>
      </c>
      <c r="BA60" s="110">
        <f t="shared" si="243"/>
        <v>178</v>
      </c>
      <c r="BB60" s="110">
        <f t="shared" si="243"/>
        <v>182</v>
      </c>
      <c r="BC60" s="110">
        <f t="shared" si="243"/>
        <v>205</v>
      </c>
      <c r="BD60" s="404">
        <f t="shared" si="243"/>
        <v>759</v>
      </c>
      <c r="BE60" s="110">
        <f t="shared" si="243"/>
        <v>215</v>
      </c>
      <c r="BF60" s="110">
        <f t="shared" si="243"/>
        <v>191</v>
      </c>
      <c r="BG60" s="110">
        <f t="shared" si="243"/>
        <v>191</v>
      </c>
      <c r="BH60" s="110">
        <f t="shared" si="243"/>
        <v>203</v>
      </c>
      <c r="BI60" s="404">
        <f>BI71+BI73</f>
        <v>800</v>
      </c>
      <c r="BJ60" s="110">
        <f t="shared" si="243"/>
        <v>223</v>
      </c>
      <c r="BK60" s="110">
        <f t="shared" si="243"/>
        <v>200</v>
      </c>
      <c r="BL60" s="110">
        <f t="shared" si="243"/>
        <v>181</v>
      </c>
      <c r="BM60" s="110">
        <f t="shared" si="243"/>
        <v>203</v>
      </c>
      <c r="BN60" s="404">
        <f>BN71+BN73</f>
        <v>807</v>
      </c>
      <c r="BO60" s="110">
        <f t="shared" si="243"/>
        <v>217</v>
      </c>
      <c r="BP60" s="110">
        <f t="shared" si="243"/>
        <v>203</v>
      </c>
      <c r="BQ60" s="110">
        <f t="shared" si="243"/>
        <v>190</v>
      </c>
      <c r="BR60" s="110">
        <f t="shared" si="243"/>
        <v>208</v>
      </c>
      <c r="BS60" s="404">
        <f>BS71+BS73</f>
        <v>818</v>
      </c>
      <c r="BT60" s="110">
        <f t="shared" si="243"/>
        <v>215</v>
      </c>
      <c r="BU60" s="110">
        <f t="shared" si="243"/>
        <v>209</v>
      </c>
      <c r="BV60" s="110">
        <f t="shared" si="243"/>
        <v>190</v>
      </c>
      <c r="BW60" s="110">
        <f t="shared" si="243"/>
        <v>212</v>
      </c>
      <c r="BX60" s="404">
        <f>BX71+BX73</f>
        <v>826</v>
      </c>
      <c r="BY60" s="110">
        <f t="shared" si="243"/>
        <v>220</v>
      </c>
      <c r="BZ60" s="110">
        <f t="shared" si="243"/>
        <v>215</v>
      </c>
      <c r="CA60" s="110">
        <f t="shared" si="243"/>
        <v>192</v>
      </c>
      <c r="CB60" s="110">
        <f t="shared" si="243"/>
        <v>226</v>
      </c>
      <c r="CC60" s="404">
        <f>CC71+CC73</f>
        <v>853</v>
      </c>
      <c r="CD60" s="110">
        <f t="shared" si="243"/>
        <v>227</v>
      </c>
      <c r="CE60" s="110">
        <f t="shared" si="243"/>
        <v>224</v>
      </c>
      <c r="CF60" s="110">
        <f t="shared" si="243"/>
        <v>216</v>
      </c>
      <c r="CG60" s="110">
        <f t="shared" si="243"/>
        <v>234</v>
      </c>
      <c r="CH60" s="404">
        <f>CH71+CH73</f>
        <v>901</v>
      </c>
      <c r="CI60" s="110">
        <f t="shared" si="243"/>
        <v>247</v>
      </c>
      <c r="CJ60" s="110">
        <f t="shared" si="243"/>
        <v>257</v>
      </c>
      <c r="CK60" s="110">
        <f t="shared" si="243"/>
        <v>258</v>
      </c>
      <c r="CL60" s="110">
        <f t="shared" si="243"/>
        <v>273</v>
      </c>
      <c r="CM60" s="404">
        <f>CM71+CM73</f>
        <v>1035</v>
      </c>
      <c r="CN60" s="110">
        <f t="shared" si="243"/>
        <v>285</v>
      </c>
      <c r="CO60" s="110">
        <f t="shared" si="243"/>
        <v>295</v>
      </c>
      <c r="CP60" s="110">
        <f t="shared" si="243"/>
        <v>291</v>
      </c>
      <c r="CQ60" s="110">
        <f t="shared" si="243"/>
        <v>336</v>
      </c>
      <c r="CR60" s="404">
        <f>CR71+CR73</f>
        <v>1207</v>
      </c>
      <c r="CS60" s="110">
        <f t="shared" si="243"/>
        <v>365</v>
      </c>
      <c r="CT60" s="110">
        <f t="shared" si="243"/>
        <v>374</v>
      </c>
      <c r="CU60" s="110">
        <f t="shared" si="243"/>
        <v>375</v>
      </c>
      <c r="CV60" s="110">
        <f t="shared" si="243"/>
        <v>357</v>
      </c>
      <c r="CW60" s="404">
        <f>CW71+CW73</f>
        <v>1471</v>
      </c>
      <c r="CX60" s="110">
        <f t="shared" si="243"/>
        <v>336</v>
      </c>
      <c r="CY60" s="110">
        <f t="shared" si="243"/>
        <v>327</v>
      </c>
      <c r="CZ60" s="110">
        <f t="shared" si="243"/>
        <v>317</v>
      </c>
      <c r="DA60" s="110">
        <f t="shared" si="243"/>
        <v>353</v>
      </c>
      <c r="DB60" s="404">
        <f>DB71+DB73</f>
        <v>1333</v>
      </c>
      <c r="DC60" s="110">
        <f>DC71+DC73</f>
        <v>390</v>
      </c>
      <c r="DD60" s="110">
        <f>DD71+DD73</f>
        <v>364</v>
      </c>
      <c r="DE60" s="110">
        <f>DE71+DE73</f>
        <v>353</v>
      </c>
      <c r="DF60" s="110">
        <f>DF71+DF73</f>
        <v>414</v>
      </c>
      <c r="DG60" s="404">
        <f>SUM(DC60:DF60)</f>
        <v>1521</v>
      </c>
      <c r="DH60" s="110">
        <f>DH71+DH73</f>
        <v>396</v>
      </c>
      <c r="DI60" s="110">
        <f>DI71+DI73</f>
        <v>392</v>
      </c>
      <c r="DJ60" s="110">
        <f>DJ71+DJ73</f>
        <v>352</v>
      </c>
      <c r="DK60" s="110">
        <f>DK71+DK73</f>
        <v>398</v>
      </c>
      <c r="DL60" s="404">
        <f>SUM(DH60:DK60)</f>
        <v>1538</v>
      </c>
      <c r="DM60" s="110">
        <f>DM71+DM73</f>
        <v>406</v>
      </c>
      <c r="DN60" s="110">
        <f>DN71+DN73</f>
        <v>386</v>
      </c>
      <c r="DO60" s="110">
        <f>DO71+DO73</f>
        <v>343</v>
      </c>
      <c r="DP60" s="110">
        <f>DP71+DP73</f>
        <v>384</v>
      </c>
      <c r="DQ60" s="680">
        <f>SUM(DM60:DP60)</f>
        <v>1519</v>
      </c>
      <c r="DR60" s="110">
        <f>DR71+DR73</f>
        <v>385</v>
      </c>
      <c r="DS60" s="110">
        <f>DS71+DS73</f>
        <v>383</v>
      </c>
      <c r="DT60" s="110">
        <f>DT71+DT73</f>
        <v>347</v>
      </c>
      <c r="DU60" s="110">
        <f>DU71+DU73</f>
        <v>425</v>
      </c>
      <c r="DV60" s="680">
        <f>SUM(DR60:DU60)</f>
        <v>1540</v>
      </c>
      <c r="DW60" s="110">
        <f t="shared" ref="DW60:DZ60" si="244">DW70+DW73</f>
        <v>483</v>
      </c>
      <c r="DX60" s="110">
        <f t="shared" si="244"/>
        <v>498</v>
      </c>
      <c r="DY60" s="110">
        <f t="shared" si="244"/>
        <v>451</v>
      </c>
      <c r="DZ60" s="110">
        <f t="shared" si="244"/>
        <v>497</v>
      </c>
      <c r="EA60" s="680">
        <f>SUM(DW60:DZ60)</f>
        <v>1929</v>
      </c>
      <c r="EB60" s="110">
        <f t="shared" ref="EB60:EE60" si="245">EB70+EB73</f>
        <v>491</v>
      </c>
      <c r="EC60" s="110">
        <f t="shared" si="245"/>
        <v>456</v>
      </c>
      <c r="ED60" s="110">
        <f t="shared" si="245"/>
        <v>432</v>
      </c>
      <c r="EE60" s="110">
        <f t="shared" si="245"/>
        <v>455</v>
      </c>
      <c r="EF60" s="680">
        <f>SUM(EB60:EE60)</f>
        <v>1834</v>
      </c>
      <c r="EG60" s="110">
        <f t="shared" ref="EG60:EH60" si="246">EG70+EG73</f>
        <v>450</v>
      </c>
      <c r="EH60" s="110">
        <f t="shared" si="246"/>
        <v>421</v>
      </c>
      <c r="EI60" s="110">
        <f>EI70+EI73</f>
        <v>399</v>
      </c>
      <c r="EJ60" s="110">
        <f>EJ70+EJ73</f>
        <v>479</v>
      </c>
      <c r="EK60" s="680">
        <f>SUM(EG60:EJ60)</f>
        <v>1749</v>
      </c>
      <c r="EL60" s="110">
        <f t="shared" ref="EL60:EM60" si="247">EL70+EL73</f>
        <v>461</v>
      </c>
      <c r="EM60" s="110">
        <f t="shared" si="247"/>
        <v>439</v>
      </c>
      <c r="EN60" s="110">
        <f>EN70+EN73</f>
        <v>394</v>
      </c>
      <c r="EO60" s="110">
        <f>EO70+EO73</f>
        <v>434</v>
      </c>
      <c r="EP60" s="680">
        <f>SUM(EL60:EO60)</f>
        <v>1728</v>
      </c>
      <c r="EQ60" s="110">
        <f t="shared" ref="EQ60" si="248">EQ70+EQ73</f>
        <v>423</v>
      </c>
      <c r="ER60" s="110">
        <f t="shared" ref="ER60" si="249">(ER8+ER10)*ER66/1000</f>
        <v>396.46467265625006</v>
      </c>
      <c r="ES60" s="110">
        <f t="shared" ref="ES60:ET60" si="250">(ES8+ES10)*ES66/1000</f>
        <v>407.4233988505747</v>
      </c>
      <c r="ET60" s="110">
        <f t="shared" si="250"/>
        <v>454.29729281767965</v>
      </c>
      <c r="EU60" s="680">
        <f>SUM(EQ60:ET60)</f>
        <v>1681.1853643245045</v>
      </c>
      <c r="EZ60" s="404">
        <f>(EZ8+EZ10)*EZ66/1000</f>
        <v>1737.2694525834868</v>
      </c>
      <c r="FE60" s="404">
        <f>(FE8+FE10)*FE66/1000</f>
        <v>1795.2348041539406</v>
      </c>
      <c r="FG60" s="474"/>
      <c r="FH60" s="815">
        <f>+(FE60/EU60)^(0.5)-1</f>
        <v>3.3362814358851356E-2</v>
      </c>
      <c r="FI60" s="775"/>
      <c r="FJ60" s="775"/>
      <c r="FL60" s="1340"/>
      <c r="FM60" s="1533">
        <f>+EQ60</f>
        <v>423</v>
      </c>
      <c r="FN60" s="775">
        <f>EL60</f>
        <v>461</v>
      </c>
      <c r="FO60" s="1812">
        <v>427.63384444444443</v>
      </c>
      <c r="FP60" s="1748">
        <f>+FM60/FN60-1</f>
        <v>-8.2429501084598678E-2</v>
      </c>
      <c r="FQ60" s="1520">
        <f>+FM60/FO60-1</f>
        <v>-1.0836009601776109E-2</v>
      </c>
      <c r="FR60" s="1619"/>
      <c r="FS60" s="1619"/>
      <c r="FT60" s="355"/>
      <c r="FU60" s="355"/>
      <c r="FV60" s="355"/>
      <c r="FW60" s="355"/>
      <c r="FX60" s="355"/>
      <c r="FY60" s="355"/>
      <c r="FZ60" s="474"/>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row>
    <row r="61" spans="1:258" s="185" customFormat="1" x14ac:dyDescent="0.2">
      <c r="A61" s="383" t="s">
        <v>465</v>
      </c>
      <c r="B61" s="10"/>
      <c r="C61" s="10"/>
      <c r="D61" s="10"/>
      <c r="E61" s="10"/>
      <c r="F61" s="9"/>
      <c r="G61" s="10"/>
      <c r="H61" s="10"/>
      <c r="I61" s="10"/>
      <c r="J61" s="10"/>
      <c r="K61" s="9"/>
      <c r="L61" s="10"/>
      <c r="M61" s="10"/>
      <c r="N61" s="10"/>
      <c r="O61" s="10"/>
      <c r="P61" s="9"/>
      <c r="Q61" s="10"/>
      <c r="R61" s="10"/>
      <c r="S61" s="10"/>
      <c r="T61" s="10"/>
      <c r="U61" s="9"/>
      <c r="V61" s="10"/>
      <c r="W61" s="10"/>
      <c r="X61" s="10"/>
      <c r="Y61" s="10"/>
      <c r="Z61" s="9"/>
      <c r="AA61" s="10"/>
      <c r="AB61" s="10"/>
      <c r="AC61" s="10"/>
      <c r="AD61" s="10"/>
      <c r="AE61" s="9"/>
      <c r="AF61" s="10"/>
      <c r="AG61" s="10"/>
      <c r="AH61" s="10"/>
      <c r="AI61" s="10"/>
      <c r="AJ61" s="9"/>
      <c r="AK61" s="10"/>
      <c r="AL61" s="10"/>
      <c r="AM61" s="10"/>
      <c r="AN61" s="10"/>
      <c r="AO61" s="9"/>
      <c r="AP61" s="10"/>
      <c r="AQ61" s="10"/>
      <c r="AR61" s="10"/>
      <c r="AS61" s="10"/>
      <c r="AT61" s="9"/>
      <c r="AU61" s="10"/>
      <c r="AV61" s="10"/>
      <c r="AW61" s="10"/>
      <c r="AX61" s="10"/>
      <c r="AY61" s="9"/>
      <c r="AZ61" s="10">
        <f t="shared" ref="AZ61:BZ61" si="251">AZ60/AU60-1</f>
        <v>8.3798882681564324E-2</v>
      </c>
      <c r="BA61" s="10">
        <f t="shared" si="251"/>
        <v>4.0935672514619936E-2</v>
      </c>
      <c r="BB61" s="10">
        <f t="shared" si="251"/>
        <v>0.16666666666666674</v>
      </c>
      <c r="BC61" s="10">
        <f t="shared" si="251"/>
        <v>0.151685393258427</v>
      </c>
      <c r="BD61" s="9">
        <f t="shared" si="251"/>
        <v>0.10964912280701755</v>
      </c>
      <c r="BE61" s="10">
        <f t="shared" si="251"/>
        <v>0.10824742268041243</v>
      </c>
      <c r="BF61" s="10">
        <f t="shared" si="251"/>
        <v>7.3033707865168607E-2</v>
      </c>
      <c r="BG61" s="10">
        <f t="shared" si="251"/>
        <v>4.9450549450549497E-2</v>
      </c>
      <c r="BH61" s="10">
        <f t="shared" si="251"/>
        <v>-9.7560975609756184E-3</v>
      </c>
      <c r="BI61" s="9">
        <f t="shared" si="251"/>
        <v>5.4018445322793207E-2</v>
      </c>
      <c r="BJ61" s="10">
        <f>BJ60/BE60-1</f>
        <v>3.7209302325581506E-2</v>
      </c>
      <c r="BK61" s="10">
        <f>BK60/BF60-1</f>
        <v>4.7120418848167533E-2</v>
      </c>
      <c r="BL61" s="10">
        <f>BL60/BG60-1</f>
        <v>-5.2356020942408432E-2</v>
      </c>
      <c r="BM61" s="10">
        <f>BM60/BH60-1</f>
        <v>0</v>
      </c>
      <c r="BN61" s="9">
        <f>BN60/BI60-1</f>
        <v>8.7500000000000355E-3</v>
      </c>
      <c r="BO61" s="10">
        <f t="shared" si="251"/>
        <v>-2.6905829596412523E-2</v>
      </c>
      <c r="BP61" s="10">
        <f t="shared" si="251"/>
        <v>1.4999999999999902E-2</v>
      </c>
      <c r="BQ61" s="10">
        <f t="shared" si="251"/>
        <v>4.9723756906077332E-2</v>
      </c>
      <c r="BR61" s="10">
        <f t="shared" si="251"/>
        <v>2.4630541871921263E-2</v>
      </c>
      <c r="BS61" s="9">
        <f t="shared" si="251"/>
        <v>1.3630731102850069E-2</v>
      </c>
      <c r="BT61" s="10">
        <f t="shared" si="251"/>
        <v>-9.2165898617511122E-3</v>
      </c>
      <c r="BU61" s="10">
        <f t="shared" si="251"/>
        <v>2.9556650246305383E-2</v>
      </c>
      <c r="BV61" s="10">
        <f t="shared" si="251"/>
        <v>0</v>
      </c>
      <c r="BW61" s="10">
        <f t="shared" si="251"/>
        <v>1.9230769230769162E-2</v>
      </c>
      <c r="BX61" s="9">
        <f t="shared" si="251"/>
        <v>9.7799511002445438E-3</v>
      </c>
      <c r="BY61" s="10">
        <f t="shared" si="251"/>
        <v>2.3255813953488413E-2</v>
      </c>
      <c r="BZ61" s="10">
        <f t="shared" si="251"/>
        <v>2.8708133971291794E-2</v>
      </c>
      <c r="CA61" s="10">
        <f t="shared" ref="CA61:ED61" si="252">CA60/BV60-1</f>
        <v>1.0526315789473717E-2</v>
      </c>
      <c r="CB61" s="10">
        <f t="shared" si="252"/>
        <v>6.60377358490567E-2</v>
      </c>
      <c r="CC61" s="9">
        <f t="shared" si="252"/>
        <v>3.2687651331719136E-2</v>
      </c>
      <c r="CD61" s="10">
        <f t="shared" si="252"/>
        <v>3.1818181818181746E-2</v>
      </c>
      <c r="CE61" s="10">
        <f t="shared" si="252"/>
        <v>4.1860465116279055E-2</v>
      </c>
      <c r="CF61" s="10">
        <f t="shared" si="252"/>
        <v>0.125</v>
      </c>
      <c r="CG61" s="10">
        <f t="shared" si="252"/>
        <v>3.539823008849563E-2</v>
      </c>
      <c r="CH61" s="9">
        <f t="shared" si="252"/>
        <v>5.6271981242672853E-2</v>
      </c>
      <c r="CI61" s="10">
        <f t="shared" si="252"/>
        <v>8.8105726872246715E-2</v>
      </c>
      <c r="CJ61" s="10">
        <f t="shared" si="252"/>
        <v>0.1473214285714286</v>
      </c>
      <c r="CK61" s="10">
        <f t="shared" si="252"/>
        <v>0.19444444444444442</v>
      </c>
      <c r="CL61" s="10">
        <f t="shared" si="252"/>
        <v>0.16666666666666674</v>
      </c>
      <c r="CM61" s="9">
        <f t="shared" si="252"/>
        <v>0.14872364039955599</v>
      </c>
      <c r="CN61" s="10">
        <f t="shared" si="252"/>
        <v>0.15384615384615374</v>
      </c>
      <c r="CO61" s="10">
        <f t="shared" si="252"/>
        <v>0.14785992217898825</v>
      </c>
      <c r="CP61" s="10">
        <f t="shared" si="252"/>
        <v>0.12790697674418605</v>
      </c>
      <c r="CQ61" s="10">
        <f t="shared" si="252"/>
        <v>0.23076923076923084</v>
      </c>
      <c r="CR61" s="9">
        <f t="shared" si="252"/>
        <v>0.16618357487922708</v>
      </c>
      <c r="CS61" s="10">
        <f t="shared" si="252"/>
        <v>0.2807017543859649</v>
      </c>
      <c r="CT61" s="10">
        <f t="shared" si="252"/>
        <v>0.26779661016949152</v>
      </c>
      <c r="CU61" s="10">
        <f t="shared" si="252"/>
        <v>0.28865979381443307</v>
      </c>
      <c r="CV61" s="10">
        <f t="shared" si="252"/>
        <v>6.25E-2</v>
      </c>
      <c r="CW61" s="9">
        <f t="shared" si="252"/>
        <v>0.21872410936205466</v>
      </c>
      <c r="CX61" s="10">
        <f t="shared" si="252"/>
        <v>-7.9452054794520555E-2</v>
      </c>
      <c r="CY61" s="10">
        <f t="shared" si="252"/>
        <v>-0.12566844919786091</v>
      </c>
      <c r="CZ61" s="10">
        <f t="shared" si="252"/>
        <v>-0.15466666666666662</v>
      </c>
      <c r="DA61" s="10">
        <f t="shared" si="252"/>
        <v>-1.1204481792717047E-2</v>
      </c>
      <c r="DB61" s="9">
        <f t="shared" si="252"/>
        <v>-9.3813732154996554E-2</v>
      </c>
      <c r="DC61" s="10">
        <f t="shared" si="252"/>
        <v>0.16071428571428581</v>
      </c>
      <c r="DD61" s="10">
        <f t="shared" si="252"/>
        <v>0.11314984709480114</v>
      </c>
      <c r="DE61" s="10">
        <f t="shared" si="252"/>
        <v>0.11356466876971605</v>
      </c>
      <c r="DF61" s="10">
        <f t="shared" si="252"/>
        <v>0.17280453257790374</v>
      </c>
      <c r="DG61" s="9">
        <f>DG60/DB60-1</f>
        <v>0.14103525881470369</v>
      </c>
      <c r="DH61" s="10">
        <f t="shared" si="252"/>
        <v>1.538461538461533E-2</v>
      </c>
      <c r="DI61" s="10">
        <f t="shared" si="252"/>
        <v>7.6923076923076872E-2</v>
      </c>
      <c r="DJ61" s="10">
        <f t="shared" si="252"/>
        <v>-2.8328611898017497E-3</v>
      </c>
      <c r="DK61" s="10">
        <f t="shared" si="252"/>
        <v>-3.8647342995169032E-2</v>
      </c>
      <c r="DL61" s="9">
        <f>DL60/DG60-1</f>
        <v>1.1176857330703394E-2</v>
      </c>
      <c r="DM61" s="10">
        <f t="shared" si="252"/>
        <v>2.5252525252525304E-2</v>
      </c>
      <c r="DN61" s="10">
        <f t="shared" si="252"/>
        <v>-1.5306122448979553E-2</v>
      </c>
      <c r="DO61" s="10">
        <f t="shared" si="252"/>
        <v>-2.5568181818181768E-2</v>
      </c>
      <c r="DP61" s="10">
        <f t="shared" si="252"/>
        <v>-3.5175879396984966E-2</v>
      </c>
      <c r="DQ61" s="676">
        <f t="shared" ref="DQ61:DV61" si="253">DQ60/DL60-1</f>
        <v>-1.2353706111833507E-2</v>
      </c>
      <c r="DR61" s="10">
        <f t="shared" si="252"/>
        <v>-5.1724137931034475E-2</v>
      </c>
      <c r="DS61" s="10">
        <f t="shared" si="252"/>
        <v>-7.7720207253886286E-3</v>
      </c>
      <c r="DT61" s="10">
        <f t="shared" si="253"/>
        <v>1.1661807580174877E-2</v>
      </c>
      <c r="DU61" s="10">
        <f t="shared" si="252"/>
        <v>0.10677083333333326</v>
      </c>
      <c r="DV61" s="676">
        <f t="shared" si="253"/>
        <v>1.3824884792626779E-2</v>
      </c>
      <c r="DW61" s="10">
        <f t="shared" si="252"/>
        <v>0.25454545454545463</v>
      </c>
      <c r="DX61" s="10">
        <f t="shared" si="252"/>
        <v>0.30026109660574418</v>
      </c>
      <c r="DY61" s="10">
        <f t="shared" si="252"/>
        <v>0.29971181556195958</v>
      </c>
      <c r="DZ61" s="10">
        <f t="shared" si="252"/>
        <v>0.16941176470588237</v>
      </c>
      <c r="EA61" s="676">
        <f>EA60/DV60-1</f>
        <v>0.25259740259740249</v>
      </c>
      <c r="EB61" s="10">
        <f t="shared" si="252"/>
        <v>1.6563146997929712E-2</v>
      </c>
      <c r="EC61" s="10">
        <f t="shared" si="252"/>
        <v>-8.4337349397590411E-2</v>
      </c>
      <c r="ED61" s="10">
        <f t="shared" si="252"/>
        <v>-4.2128603104212847E-2</v>
      </c>
      <c r="EE61" s="10">
        <f t="shared" ref="EE61:EI61" si="254">EE60/DZ60-1</f>
        <v>-8.4507042253521125E-2</v>
      </c>
      <c r="EF61" s="676">
        <f t="shared" si="254"/>
        <v>-4.924831518921724E-2</v>
      </c>
      <c r="EG61" s="10">
        <f t="shared" si="254"/>
        <v>-8.3503054989816694E-2</v>
      </c>
      <c r="EH61" s="10">
        <f t="shared" si="254"/>
        <v>-7.6754385964912242E-2</v>
      </c>
      <c r="EI61" s="10">
        <f t="shared" si="254"/>
        <v>-7.638888888888884E-2</v>
      </c>
      <c r="EJ61" s="10">
        <f t="shared" ref="EJ61" si="255">EJ60/EE60-1</f>
        <v>5.2747252747252782E-2</v>
      </c>
      <c r="EK61" s="676">
        <f t="shared" ref="EK61:EQ61" si="256">EK60/EF60-1</f>
        <v>-4.634678298800432E-2</v>
      </c>
      <c r="EL61" s="10">
        <f t="shared" si="256"/>
        <v>2.4444444444444491E-2</v>
      </c>
      <c r="EM61" s="10">
        <f t="shared" si="256"/>
        <v>4.2755344418052177E-2</v>
      </c>
      <c r="EN61" s="10">
        <f t="shared" si="256"/>
        <v>-1.253132832080206E-2</v>
      </c>
      <c r="EO61" s="10">
        <f t="shared" si="256"/>
        <v>-9.3945720250521947E-2</v>
      </c>
      <c r="EP61" s="676">
        <f t="shared" si="256"/>
        <v>-1.2006861063464824E-2</v>
      </c>
      <c r="EQ61" s="10">
        <f t="shared" si="256"/>
        <v>-8.2429501084598678E-2</v>
      </c>
      <c r="ER61" s="10">
        <f t="shared" ref="ER61" si="257">ER60/EM60-1</f>
        <v>-9.6891406249999812E-2</v>
      </c>
      <c r="ES61" s="10">
        <f t="shared" ref="ES61:EU61" si="258">ES60/EN60-1</f>
        <v>3.4069540229884954E-2</v>
      </c>
      <c r="ET61" s="10">
        <f t="shared" si="258"/>
        <v>4.6767955801105154E-2</v>
      </c>
      <c r="EU61" s="676">
        <f t="shared" si="258"/>
        <v>-2.7091803052948782E-2</v>
      </c>
      <c r="EZ61" s="9">
        <f>EZ60/EU60-1</f>
        <v>3.3359848026940586E-2</v>
      </c>
      <c r="FE61" s="9">
        <f>FE60/EZ60-1</f>
        <v>3.3365780699277092E-2</v>
      </c>
      <c r="FG61" s="468"/>
      <c r="FH61" s="767"/>
      <c r="FI61" s="767"/>
      <c r="FJ61" s="767"/>
      <c r="FL61" s="1338"/>
      <c r="FM61" s="1141">
        <f>+EQ61</f>
        <v>-8.2429501084598678E-2</v>
      </c>
      <c r="FN61" s="1418">
        <f>EL61</f>
        <v>2.4444444444444491E-2</v>
      </c>
      <c r="FO61" s="1750">
        <v>-7.2377777777777763E-2</v>
      </c>
      <c r="FP61" s="1741"/>
      <c r="FQ61" s="1503">
        <f>+(FM61-FO61)*10000</f>
        <v>-100.51723306820915</v>
      </c>
      <c r="FR61" s="1619"/>
      <c r="FS61" s="1619"/>
      <c r="FT61" s="432"/>
      <c r="FU61" s="432"/>
      <c r="FV61" s="432"/>
      <c r="FW61" s="432"/>
      <c r="FX61" s="432"/>
      <c r="FY61" s="432"/>
      <c r="FZ61" s="468"/>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row>
    <row r="62" spans="1:258" s="21" customFormat="1" x14ac:dyDescent="0.2">
      <c r="A62" s="166" t="s">
        <v>449</v>
      </c>
      <c r="B62" s="5"/>
      <c r="C62" s="5"/>
      <c r="D62" s="5"/>
      <c r="E62" s="5"/>
      <c r="F62" s="4"/>
      <c r="G62" s="5"/>
      <c r="H62" s="5"/>
      <c r="I62" s="5"/>
      <c r="J62" s="5"/>
      <c r="K62" s="4"/>
      <c r="L62" s="5"/>
      <c r="M62" s="5"/>
      <c r="N62" s="5"/>
      <c r="O62" s="5"/>
      <c r="P62" s="4"/>
      <c r="Q62" s="5"/>
      <c r="R62" s="5"/>
      <c r="S62" s="5"/>
      <c r="T62" s="5"/>
      <c r="U62" s="4"/>
      <c r="V62" s="5"/>
      <c r="W62" s="5"/>
      <c r="X62" s="5"/>
      <c r="Y62" s="5"/>
      <c r="Z62" s="4"/>
      <c r="AA62" s="5"/>
      <c r="AB62" s="5"/>
      <c r="AC62" s="5"/>
      <c r="AD62" s="5"/>
      <c r="AE62" s="4"/>
      <c r="AF62" s="5"/>
      <c r="AG62" s="5"/>
      <c r="AH62" s="5"/>
      <c r="AI62" s="5"/>
      <c r="AJ62" s="4"/>
      <c r="AK62" s="5"/>
      <c r="AL62" s="5"/>
      <c r="AM62" s="5"/>
      <c r="AN62" s="5"/>
      <c r="AO62" s="4"/>
      <c r="AP62" s="5"/>
      <c r="AQ62" s="5"/>
      <c r="AR62" s="5"/>
      <c r="AS62" s="5"/>
      <c r="AT62" s="4"/>
      <c r="AU62" s="5">
        <f t="shared" ref="AU62:BZ62" si="259">AU60/AU156</f>
        <v>0.1265912305516266</v>
      </c>
      <c r="AV62" s="5">
        <f t="shared" si="259"/>
        <v>0.12119064493267187</v>
      </c>
      <c r="AW62" s="5">
        <f t="shared" si="259"/>
        <v>0.11428571428571428</v>
      </c>
      <c r="AX62" s="5">
        <f t="shared" si="259"/>
        <v>0.12491228070175439</v>
      </c>
      <c r="AY62" s="4">
        <f t="shared" si="259"/>
        <v>0.12181656277827249</v>
      </c>
      <c r="AZ62" s="5">
        <f t="shared" si="259"/>
        <v>0.13233287858117326</v>
      </c>
      <c r="BA62" s="5">
        <f t="shared" si="259"/>
        <v>0.11550940947436729</v>
      </c>
      <c r="BB62" s="5">
        <f t="shared" si="259"/>
        <v>0.10265087422447829</v>
      </c>
      <c r="BC62" s="5">
        <f t="shared" si="259"/>
        <v>0.11376248612652608</v>
      </c>
      <c r="BD62" s="4">
        <f t="shared" si="259"/>
        <v>0.11531449407474932</v>
      </c>
      <c r="BE62" s="5">
        <f t="shared" si="259"/>
        <v>0.1192457016084304</v>
      </c>
      <c r="BF62" s="5">
        <f t="shared" si="259"/>
        <v>0.10386079390973355</v>
      </c>
      <c r="BG62" s="5">
        <f t="shared" si="259"/>
        <v>0.10682326621923938</v>
      </c>
      <c r="BH62" s="5">
        <f t="shared" si="259"/>
        <v>0.11196911196911197</v>
      </c>
      <c r="BI62" s="4">
        <f t="shared" si="259"/>
        <v>0.11045147038519951</v>
      </c>
      <c r="BJ62" s="5">
        <f t="shared" si="259"/>
        <v>0.12375138734739179</v>
      </c>
      <c r="BK62" s="5">
        <f t="shared" si="259"/>
        <v>0.10946907498631636</v>
      </c>
      <c r="BL62" s="5">
        <f t="shared" si="259"/>
        <v>0.10162829870859068</v>
      </c>
      <c r="BM62" s="5">
        <f t="shared" si="259"/>
        <v>0.11378923766816143</v>
      </c>
      <c r="BN62" s="4">
        <f t="shared" si="259"/>
        <v>0.1121768140116764</v>
      </c>
      <c r="BO62" s="5">
        <f t="shared" si="259"/>
        <v>0.12414187643020595</v>
      </c>
      <c r="BP62" s="5">
        <f t="shared" si="259"/>
        <v>0.11068702290076336</v>
      </c>
      <c r="BQ62" s="5">
        <f t="shared" si="259"/>
        <v>0.10638297872340426</v>
      </c>
      <c r="BR62" s="5">
        <f t="shared" si="259"/>
        <v>0.11460055096418732</v>
      </c>
      <c r="BS62" s="4">
        <f t="shared" si="259"/>
        <v>0.11387999443129612</v>
      </c>
      <c r="BT62" s="5">
        <f t="shared" si="259"/>
        <v>0.11729405346426623</v>
      </c>
      <c r="BU62" s="5">
        <f t="shared" si="259"/>
        <v>0.11069915254237288</v>
      </c>
      <c r="BV62" s="5">
        <f t="shared" si="259"/>
        <v>0.10410958904109589</v>
      </c>
      <c r="BW62" s="5">
        <f t="shared" si="259"/>
        <v>0.11163770405476567</v>
      </c>
      <c r="BX62" s="4">
        <f t="shared" si="259"/>
        <v>0.1109469442578912</v>
      </c>
      <c r="BY62" s="5">
        <f t="shared" si="259"/>
        <v>0.1146430432516936</v>
      </c>
      <c r="BZ62" s="5">
        <f t="shared" si="259"/>
        <v>0.10766149223835754</v>
      </c>
      <c r="CA62" s="5">
        <f t="shared" ref="CA62:DF62" si="260">CA60/CA156</f>
        <v>9.8816263510036029E-2</v>
      </c>
      <c r="CB62" s="5">
        <f t="shared" si="260"/>
        <v>0.10366972477064221</v>
      </c>
      <c r="CC62" s="4">
        <f t="shared" si="260"/>
        <v>0.10610772484139819</v>
      </c>
      <c r="CD62" s="5">
        <f t="shared" si="260"/>
        <v>0.10768500948766603</v>
      </c>
      <c r="CE62" s="5">
        <f t="shared" si="260"/>
        <v>0.10423452768729642</v>
      </c>
      <c r="CF62" s="5">
        <f t="shared" si="260"/>
        <v>0.10164705882352941</v>
      </c>
      <c r="CG62" s="5">
        <f t="shared" si="260"/>
        <v>0.10545290671473637</v>
      </c>
      <c r="CH62" s="4">
        <f t="shared" si="260"/>
        <v>0.10475526101616091</v>
      </c>
      <c r="CI62" s="5">
        <f t="shared" si="260"/>
        <v>0.10596310596310596</v>
      </c>
      <c r="CJ62" s="5">
        <f t="shared" si="260"/>
        <v>0.10615448161916563</v>
      </c>
      <c r="CK62" s="5">
        <f t="shared" si="260"/>
        <v>0.10669975186104218</v>
      </c>
      <c r="CL62" s="5">
        <f t="shared" si="260"/>
        <v>0.11393989983305509</v>
      </c>
      <c r="CM62" s="4">
        <f t="shared" si="260"/>
        <v>0.10819569307965712</v>
      </c>
      <c r="CN62" s="5">
        <f t="shared" si="260"/>
        <v>0.11767134599504542</v>
      </c>
      <c r="CO62" s="5">
        <f t="shared" si="260"/>
        <v>0.116600790513834</v>
      </c>
      <c r="CP62" s="5">
        <f t="shared" si="260"/>
        <v>0.11635345861655338</v>
      </c>
      <c r="CQ62" s="5">
        <f t="shared" si="260"/>
        <v>0.13038416763678695</v>
      </c>
      <c r="CR62" s="4">
        <f t="shared" si="260"/>
        <v>0.12033898305084746</v>
      </c>
      <c r="CS62" s="5">
        <f t="shared" si="260"/>
        <v>0.13453741245853298</v>
      </c>
      <c r="CT62" s="5">
        <f t="shared" si="260"/>
        <v>0.12865497076023391</v>
      </c>
      <c r="CU62" s="5">
        <f t="shared" si="260"/>
        <v>0.12664640324214793</v>
      </c>
      <c r="CV62" s="5">
        <f t="shared" si="260"/>
        <v>0.13350785340314136</v>
      </c>
      <c r="CW62" s="4">
        <f t="shared" si="260"/>
        <v>0.1306974677920924</v>
      </c>
      <c r="CX62" s="5">
        <f t="shared" si="260"/>
        <v>0.14953271028037382</v>
      </c>
      <c r="CY62" s="5">
        <f t="shared" si="260"/>
        <v>0.14965675057208239</v>
      </c>
      <c r="CZ62" s="5">
        <f t="shared" si="260"/>
        <v>0.13848842289209262</v>
      </c>
      <c r="DA62" s="5">
        <f t="shared" si="260"/>
        <v>0.15215517241379312</v>
      </c>
      <c r="DB62" s="4">
        <f t="shared" si="260"/>
        <v>0.14743944253954208</v>
      </c>
      <c r="DC62" s="5">
        <f t="shared" si="260"/>
        <v>0.15656362906463267</v>
      </c>
      <c r="DD62" s="5">
        <f t="shared" si="260"/>
        <v>0.13668794592564776</v>
      </c>
      <c r="DE62" s="5">
        <f t="shared" si="260"/>
        <v>0.13240810202550637</v>
      </c>
      <c r="DF62" s="5">
        <f t="shared" si="260"/>
        <v>0.14701704545454544</v>
      </c>
      <c r="DG62" s="4">
        <f t="shared" ref="DG62:EA62" si="261">DG60/DG156</f>
        <v>0.14300488905603612</v>
      </c>
      <c r="DH62" s="5">
        <f t="shared" si="261"/>
        <v>0.14007782101167315</v>
      </c>
      <c r="DI62" s="5">
        <f t="shared" si="261"/>
        <v>0.13010288748755394</v>
      </c>
      <c r="DJ62" s="5">
        <f t="shared" si="261"/>
        <v>0.11883862255232951</v>
      </c>
      <c r="DK62" s="5">
        <f t="shared" si="261"/>
        <v>0.13297694620781825</v>
      </c>
      <c r="DL62" s="4">
        <f t="shared" si="261"/>
        <v>0.13039423484527343</v>
      </c>
      <c r="DM62" s="5">
        <f t="shared" si="261"/>
        <v>0.13452617627567925</v>
      </c>
      <c r="DN62" s="5">
        <f t="shared" si="261"/>
        <v>0.12926992632283993</v>
      </c>
      <c r="DO62" s="5">
        <f t="shared" si="261"/>
        <v>0.11976256983240223</v>
      </c>
      <c r="DP62" s="5">
        <f t="shared" si="261"/>
        <v>0.13264248704663212</v>
      </c>
      <c r="DQ62" s="4">
        <f t="shared" si="261"/>
        <v>0.12913372439003656</v>
      </c>
      <c r="DR62" s="5">
        <f t="shared" si="261"/>
        <v>0.13135448652337087</v>
      </c>
      <c r="DS62" s="5">
        <f t="shared" si="261"/>
        <v>0.12640264026402639</v>
      </c>
      <c r="DT62" s="5">
        <f t="shared" si="261"/>
        <v>0.11826857532379005</v>
      </c>
      <c r="DU62" s="5">
        <f t="shared" si="261"/>
        <v>0.14017150395778363</v>
      </c>
      <c r="DV62" s="4">
        <f t="shared" si="261"/>
        <v>0.12911880607026074</v>
      </c>
      <c r="DW62" s="5">
        <f t="shared" si="261"/>
        <v>0.16334122421373012</v>
      </c>
      <c r="DX62" s="5">
        <f t="shared" si="261"/>
        <v>0.15403649860810392</v>
      </c>
      <c r="DY62" s="5">
        <f>DY60/DY156</f>
        <v>0.14076154806491886</v>
      </c>
      <c r="DZ62" s="5">
        <f>DZ60/DZ156</f>
        <v>0.15569813604872323</v>
      </c>
      <c r="EA62" s="4">
        <f t="shared" si="261"/>
        <v>0.15326462980976613</v>
      </c>
      <c r="EB62" s="5">
        <f>EB60/EB156</f>
        <v>0.16649711766700576</v>
      </c>
      <c r="EC62" s="5">
        <f>EC60/EC156</f>
        <v>0.14975369458128079</v>
      </c>
      <c r="ED62" s="5">
        <f t="shared" ref="ED62:EI62" si="262">ED60/ED156</f>
        <v>0.14698877169105137</v>
      </c>
      <c r="EE62" s="5">
        <f t="shared" si="262"/>
        <v>0.16361021215390148</v>
      </c>
      <c r="EF62" s="4">
        <f t="shared" si="262"/>
        <v>0.15656479426327471</v>
      </c>
      <c r="EG62" s="5">
        <f t="shared" si="262"/>
        <v>0.17188693659281895</v>
      </c>
      <c r="EH62" s="5">
        <f t="shared" si="262"/>
        <v>0.15569526627218935</v>
      </c>
      <c r="EI62" s="5">
        <f t="shared" si="262"/>
        <v>0.14723247232472325</v>
      </c>
      <c r="EJ62" s="5">
        <f t="shared" ref="EJ62:EN62" si="263">EJ60/EJ156</f>
        <v>0.15772143562726373</v>
      </c>
      <c r="EK62" s="4">
        <f t="shared" si="263"/>
        <v>0.15800885355497335</v>
      </c>
      <c r="EL62" s="5">
        <f t="shared" si="263"/>
        <v>0.16068316486580689</v>
      </c>
      <c r="EM62" s="5">
        <f t="shared" si="263"/>
        <v>0.14967609955676781</v>
      </c>
      <c r="EN62" s="5">
        <f t="shared" si="263"/>
        <v>0.14363835216915785</v>
      </c>
      <c r="EO62" s="5">
        <f t="shared" ref="EO62:EQ62" si="264">EO60/EO156</f>
        <v>0.15158924205378974</v>
      </c>
      <c r="EP62" s="4">
        <f t="shared" si="264"/>
        <v>0.1514726507713885</v>
      </c>
      <c r="EQ62" s="5">
        <f t="shared" si="264"/>
        <v>0.14707927677329624</v>
      </c>
      <c r="ER62" s="5">
        <f t="shared" ref="ER62" si="265">ER60/ER156</f>
        <v>0.1377145211514936</v>
      </c>
      <c r="ES62" s="5">
        <f t="shared" ref="ES62:ET62" si="266">ES60/ES156</f>
        <v>0.1415911025639752</v>
      </c>
      <c r="ET62" s="5">
        <f t="shared" si="266"/>
        <v>0.14945970248883378</v>
      </c>
      <c r="EU62" s="4">
        <f>EU60/EU156</f>
        <v>0.14403637694428517</v>
      </c>
      <c r="EZ62" s="4">
        <f>EZ60/EZ156</f>
        <v>0.1456698160364075</v>
      </c>
      <c r="FE62" s="4">
        <f>FE60/FE156</f>
        <v>0.1467332613815141</v>
      </c>
      <c r="FG62" s="478"/>
      <c r="FH62" s="772"/>
      <c r="FI62" s="772"/>
      <c r="FJ62" s="772"/>
      <c r="FL62" s="1343"/>
      <c r="FM62" s="1534">
        <f>+EQ62</f>
        <v>0.14707927677329624</v>
      </c>
      <c r="FN62" s="1425">
        <f>EL62</f>
        <v>0.16068316486580689</v>
      </c>
      <c r="FO62" s="1813">
        <v>0.15224909223655808</v>
      </c>
      <c r="FP62" s="1509"/>
      <c r="FQ62" s="1510"/>
      <c r="FR62" s="1619"/>
      <c r="FS62" s="1619"/>
      <c r="FT62" s="433"/>
      <c r="FU62" s="433"/>
      <c r="FV62" s="433"/>
      <c r="FW62" s="433"/>
      <c r="FX62" s="433"/>
      <c r="FY62" s="433"/>
      <c r="FZ62" s="478"/>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row>
    <row r="63" spans="1:258" s="21" customFormat="1" x14ac:dyDescent="0.2">
      <c r="A63" s="2046" t="s">
        <v>473</v>
      </c>
      <c r="B63" s="5"/>
      <c r="C63" s="5"/>
      <c r="D63" s="5"/>
      <c r="E63" s="5"/>
      <c r="F63" s="4"/>
      <c r="G63" s="5"/>
      <c r="H63" s="5"/>
      <c r="I63" s="5"/>
      <c r="J63" s="5"/>
      <c r="K63" s="4"/>
      <c r="L63" s="5"/>
      <c r="M63" s="5"/>
      <c r="N63" s="5"/>
      <c r="O63" s="5"/>
      <c r="P63" s="4"/>
      <c r="Q63" s="5"/>
      <c r="R63" s="5"/>
      <c r="S63" s="5"/>
      <c r="T63" s="5"/>
      <c r="U63" s="4"/>
      <c r="V63" s="5"/>
      <c r="W63" s="5"/>
      <c r="X63" s="5"/>
      <c r="Y63" s="5"/>
      <c r="Z63" s="4"/>
      <c r="AA63" s="5"/>
      <c r="AB63" s="5"/>
      <c r="AC63" s="5"/>
      <c r="AD63" s="5"/>
      <c r="AE63" s="4"/>
      <c r="AF63" s="5"/>
      <c r="AG63" s="5"/>
      <c r="AH63" s="5"/>
      <c r="AI63" s="5"/>
      <c r="AJ63" s="4"/>
      <c r="AK63" s="5"/>
      <c r="AL63" s="5"/>
      <c r="AM63" s="5"/>
      <c r="AN63" s="5"/>
      <c r="AO63" s="4"/>
      <c r="AP63" s="5"/>
      <c r="AQ63" s="5"/>
      <c r="AR63" s="5"/>
      <c r="AS63" s="5"/>
      <c r="AT63" s="4"/>
      <c r="AU63" s="5"/>
      <c r="AV63" s="5"/>
      <c r="AW63" s="5"/>
      <c r="AX63" s="5"/>
      <c r="AY63" s="4"/>
      <c r="AZ63" s="5"/>
      <c r="BA63" s="5"/>
      <c r="BB63" s="5"/>
      <c r="BC63" s="5"/>
      <c r="BD63" s="4"/>
      <c r="BE63" s="5"/>
      <c r="BF63" s="5"/>
      <c r="BG63" s="5"/>
      <c r="BH63" s="5"/>
      <c r="BI63" s="4"/>
      <c r="BJ63" s="5"/>
      <c r="BK63" s="5"/>
      <c r="BL63" s="5"/>
      <c r="BM63" s="5"/>
      <c r="BN63" s="4"/>
      <c r="BO63" s="5"/>
      <c r="BP63" s="5"/>
      <c r="BQ63" s="5"/>
      <c r="BR63" s="5"/>
      <c r="BS63" s="4"/>
      <c r="BT63" s="5"/>
      <c r="BU63" s="5"/>
      <c r="BV63" s="5"/>
      <c r="BW63" s="5"/>
      <c r="BX63" s="4"/>
      <c r="BY63" s="5"/>
      <c r="BZ63" s="5"/>
      <c r="CA63" s="5"/>
      <c r="CB63" s="5"/>
      <c r="CC63" s="4"/>
      <c r="CD63" s="5"/>
      <c r="CE63" s="5"/>
      <c r="CF63" s="5"/>
      <c r="CG63" s="5"/>
      <c r="CH63" s="4"/>
      <c r="CI63" s="5"/>
      <c r="CJ63" s="5"/>
      <c r="CK63" s="5"/>
      <c r="CL63" s="5"/>
      <c r="CM63" s="4"/>
      <c r="CN63" s="5"/>
      <c r="CO63" s="5"/>
      <c r="CP63" s="5"/>
      <c r="CQ63" s="5"/>
      <c r="CR63" s="4"/>
      <c r="CS63" s="5"/>
      <c r="CT63" s="5"/>
      <c r="CU63" s="5"/>
      <c r="CV63" s="5"/>
      <c r="CW63" s="4"/>
      <c r="CX63" s="5"/>
      <c r="CY63" s="5"/>
      <c r="CZ63" s="5"/>
      <c r="DA63" s="5"/>
      <c r="DB63" s="4"/>
      <c r="DC63" s="5"/>
      <c r="DD63" s="5"/>
      <c r="DE63" s="5"/>
      <c r="DF63" s="5"/>
      <c r="DG63" s="4"/>
      <c r="DH63" s="23">
        <f t="shared" ref="DH63:EK63" si="267">DH8</f>
        <v>109</v>
      </c>
      <c r="DI63" s="23">
        <f t="shared" si="267"/>
        <v>109</v>
      </c>
      <c r="DJ63" s="23">
        <f t="shared" si="267"/>
        <v>96</v>
      </c>
      <c r="DK63" s="23">
        <f t="shared" si="267"/>
        <v>110</v>
      </c>
      <c r="DL63" s="24">
        <f t="shared" si="267"/>
        <v>424</v>
      </c>
      <c r="DM63" s="23">
        <f t="shared" si="267"/>
        <v>108</v>
      </c>
      <c r="DN63" s="23">
        <f t="shared" si="267"/>
        <v>101</v>
      </c>
      <c r="DO63" s="23">
        <f t="shared" si="267"/>
        <v>88</v>
      </c>
      <c r="DP63" s="23">
        <f t="shared" si="267"/>
        <v>97</v>
      </c>
      <c r="DQ63" s="24">
        <f t="shared" si="267"/>
        <v>394</v>
      </c>
      <c r="DR63" s="23">
        <f t="shared" si="267"/>
        <v>95</v>
      </c>
      <c r="DS63" s="23">
        <f t="shared" si="267"/>
        <v>95</v>
      </c>
      <c r="DT63" s="23">
        <f t="shared" si="267"/>
        <v>87</v>
      </c>
      <c r="DU63" s="23">
        <f t="shared" si="267"/>
        <v>113</v>
      </c>
      <c r="DV63" s="24">
        <f t="shared" si="267"/>
        <v>390</v>
      </c>
      <c r="DW63" s="23">
        <f t="shared" si="267"/>
        <v>129</v>
      </c>
      <c r="DX63" s="23">
        <f t="shared" si="267"/>
        <v>130</v>
      </c>
      <c r="DY63" s="23">
        <f t="shared" si="267"/>
        <v>121</v>
      </c>
      <c r="DZ63" s="23">
        <f t="shared" si="267"/>
        <v>133</v>
      </c>
      <c r="EA63" s="24">
        <f t="shared" si="267"/>
        <v>513</v>
      </c>
      <c r="EB63" s="23">
        <f t="shared" si="267"/>
        <v>132</v>
      </c>
      <c r="EC63" s="23">
        <f t="shared" si="267"/>
        <v>125</v>
      </c>
      <c r="ED63" s="23">
        <f t="shared" si="267"/>
        <v>121</v>
      </c>
      <c r="EE63" s="23">
        <f t="shared" si="267"/>
        <v>125</v>
      </c>
      <c r="EF63" s="24">
        <f t="shared" si="267"/>
        <v>503</v>
      </c>
      <c r="EG63" s="23">
        <f t="shared" si="267"/>
        <v>121</v>
      </c>
      <c r="EH63" s="23">
        <f t="shared" si="267"/>
        <v>116</v>
      </c>
      <c r="EI63" s="23">
        <f t="shared" si="267"/>
        <v>109</v>
      </c>
      <c r="EJ63" s="23">
        <f t="shared" si="267"/>
        <v>131</v>
      </c>
      <c r="EK63" s="24">
        <f t="shared" si="267"/>
        <v>477</v>
      </c>
      <c r="EL63" s="23">
        <f>EL8</f>
        <v>121</v>
      </c>
      <c r="EM63" s="23">
        <f t="shared" ref="EM63:FE63" si="268">EM8</f>
        <v>114</v>
      </c>
      <c r="EN63" s="23">
        <f t="shared" si="268"/>
        <v>106</v>
      </c>
      <c r="EO63" s="23">
        <f t="shared" si="268"/>
        <v>113</v>
      </c>
      <c r="EP63" s="24">
        <f t="shared" si="268"/>
        <v>454</v>
      </c>
      <c r="EQ63" s="23">
        <f>EQ8</f>
        <v>107</v>
      </c>
      <c r="ER63" s="23">
        <f t="shared" si="268"/>
        <v>104.31</v>
      </c>
      <c r="ES63" s="23">
        <f t="shared" si="268"/>
        <v>102.82</v>
      </c>
      <c r="ET63" s="23">
        <f t="shared" si="268"/>
        <v>116.39</v>
      </c>
      <c r="EU63" s="24">
        <f t="shared" si="268"/>
        <v>430.52</v>
      </c>
      <c r="EV63" s="25">
        <f t="shared" si="268"/>
        <v>0</v>
      </c>
      <c r="EW63" s="25">
        <f t="shared" si="268"/>
        <v>0</v>
      </c>
      <c r="EX63" s="25">
        <f t="shared" si="268"/>
        <v>0</v>
      </c>
      <c r="EY63" s="25">
        <f t="shared" si="268"/>
        <v>0</v>
      </c>
      <c r="EZ63" s="24">
        <f t="shared" si="268"/>
        <v>436.97779999999995</v>
      </c>
      <c r="FA63" s="25">
        <f t="shared" si="268"/>
        <v>0</v>
      </c>
      <c r="FB63" s="25">
        <f t="shared" si="268"/>
        <v>0</v>
      </c>
      <c r="FC63" s="25">
        <f t="shared" si="268"/>
        <v>0</v>
      </c>
      <c r="FD63" s="25">
        <f t="shared" si="268"/>
        <v>0</v>
      </c>
      <c r="FE63" s="24">
        <f t="shared" si="268"/>
        <v>443.53246699999988</v>
      </c>
      <c r="FG63" s="478"/>
      <c r="FH63" s="772"/>
      <c r="FI63" s="772"/>
      <c r="FJ63" s="772"/>
      <c r="FL63" s="1343"/>
      <c r="FM63" s="1534"/>
      <c r="FN63" s="1425"/>
      <c r="FO63" s="1813">
        <v>111.92500000000001</v>
      </c>
      <c r="FP63" s="1509"/>
      <c r="FQ63" s="1510"/>
      <c r="FR63" s="1619"/>
      <c r="FS63" s="1619"/>
      <c r="FT63" s="433"/>
      <c r="FU63" s="433"/>
      <c r="FV63" s="433"/>
      <c r="FW63" s="433"/>
      <c r="FX63" s="433"/>
      <c r="FY63" s="433"/>
      <c r="FZ63" s="478"/>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row>
    <row r="64" spans="1:258" s="21" customFormat="1" x14ac:dyDescent="0.2">
      <c r="A64" s="2047" t="s">
        <v>823</v>
      </c>
      <c r="B64" s="5"/>
      <c r="C64" s="5"/>
      <c r="D64" s="5"/>
      <c r="E64" s="5"/>
      <c r="F64" s="4"/>
      <c r="G64" s="5"/>
      <c r="H64" s="5"/>
      <c r="I64" s="5"/>
      <c r="J64" s="5"/>
      <c r="K64" s="4"/>
      <c r="L64" s="5"/>
      <c r="M64" s="5"/>
      <c r="N64" s="5"/>
      <c r="O64" s="5"/>
      <c r="P64" s="4"/>
      <c r="Q64" s="5"/>
      <c r="R64" s="5"/>
      <c r="S64" s="5"/>
      <c r="T64" s="5"/>
      <c r="U64" s="4"/>
      <c r="V64" s="5"/>
      <c r="W64" s="5"/>
      <c r="X64" s="5"/>
      <c r="Y64" s="5"/>
      <c r="Z64" s="4"/>
      <c r="AA64" s="5"/>
      <c r="AB64" s="5"/>
      <c r="AC64" s="5"/>
      <c r="AD64" s="5"/>
      <c r="AE64" s="4"/>
      <c r="AF64" s="5"/>
      <c r="AG64" s="5"/>
      <c r="AH64" s="5"/>
      <c r="AI64" s="5"/>
      <c r="AJ64" s="4"/>
      <c r="AK64" s="5"/>
      <c r="AL64" s="5"/>
      <c r="AM64" s="5"/>
      <c r="AN64" s="5"/>
      <c r="AO64" s="4"/>
      <c r="AP64" s="5"/>
      <c r="AQ64" s="5"/>
      <c r="AR64" s="5"/>
      <c r="AS64" s="5"/>
      <c r="AT64" s="4"/>
      <c r="AU64" s="5"/>
      <c r="AV64" s="5"/>
      <c r="AW64" s="5"/>
      <c r="AX64" s="5"/>
      <c r="AY64" s="4"/>
      <c r="AZ64" s="5"/>
      <c r="BA64" s="5"/>
      <c r="BB64" s="5"/>
      <c r="BC64" s="5"/>
      <c r="BD64" s="4"/>
      <c r="BE64" s="5"/>
      <c r="BF64" s="5"/>
      <c r="BG64" s="5"/>
      <c r="BH64" s="5"/>
      <c r="BI64" s="4"/>
      <c r="BJ64" s="5"/>
      <c r="BK64" s="5"/>
      <c r="BL64" s="5"/>
      <c r="BM64" s="5"/>
      <c r="BN64" s="4"/>
      <c r="BO64" s="5"/>
      <c r="BP64" s="5"/>
      <c r="BQ64" s="5"/>
      <c r="BR64" s="5"/>
      <c r="BS64" s="4"/>
      <c r="BT64" s="5"/>
      <c r="BU64" s="5"/>
      <c r="BV64" s="5"/>
      <c r="BW64" s="5"/>
      <c r="BX64" s="4"/>
      <c r="BY64" s="5"/>
      <c r="BZ64" s="5"/>
      <c r="CA64" s="5"/>
      <c r="CB64" s="5"/>
      <c r="CC64" s="4"/>
      <c r="CD64" s="5"/>
      <c r="CE64" s="5"/>
      <c r="CF64" s="5"/>
      <c r="CG64" s="5"/>
      <c r="CH64" s="4"/>
      <c r="CI64" s="5"/>
      <c r="CJ64" s="5"/>
      <c r="CK64" s="5"/>
      <c r="CL64" s="5"/>
      <c r="CM64" s="4"/>
      <c r="CN64" s="5"/>
      <c r="CO64" s="5"/>
      <c r="CP64" s="5"/>
      <c r="CQ64" s="5"/>
      <c r="CR64" s="4"/>
      <c r="CS64" s="5"/>
      <c r="CT64" s="5"/>
      <c r="CU64" s="5"/>
      <c r="CV64" s="5"/>
      <c r="CW64" s="4"/>
      <c r="CX64" s="5"/>
      <c r="CY64" s="5"/>
      <c r="CZ64" s="5"/>
      <c r="DA64" s="5"/>
      <c r="DB64" s="4"/>
      <c r="DC64" s="5"/>
      <c r="DD64" s="5"/>
      <c r="DE64" s="5"/>
      <c r="DF64" s="5"/>
      <c r="DG64" s="4"/>
      <c r="DH64" s="1141"/>
      <c r="DI64" s="1141"/>
      <c r="DJ64" s="1141"/>
      <c r="DK64" s="1141"/>
      <c r="DL64" s="2048"/>
      <c r="DM64" s="1141">
        <f t="shared" ref="DM64" si="269">DM63/DH63-1</f>
        <v>-9.1743119266054496E-3</v>
      </c>
      <c r="DN64" s="1141">
        <f t="shared" ref="DN64" si="270">DN63/DI63-1</f>
        <v>-7.3394495412844041E-2</v>
      </c>
      <c r="DO64" s="1141">
        <f t="shared" ref="DO64" si="271">DO63/DJ63-1</f>
        <v>-8.333333333333337E-2</v>
      </c>
      <c r="DP64" s="1141">
        <f t="shared" ref="DP64" si="272">DP63/DK63-1</f>
        <v>-0.11818181818181817</v>
      </c>
      <c r="DQ64" s="2048">
        <f t="shared" ref="DQ64" si="273">DQ63/DL63-1</f>
        <v>-7.0754716981132115E-2</v>
      </c>
      <c r="DR64" s="1141">
        <f t="shared" ref="DR64" si="274">DR63/DM63-1</f>
        <v>-0.12037037037037035</v>
      </c>
      <c r="DS64" s="1141">
        <f t="shared" ref="DS64" si="275">DS63/DN63-1</f>
        <v>-5.9405940594059459E-2</v>
      </c>
      <c r="DT64" s="1141">
        <f t="shared" ref="DT64" si="276">DT63/DO63-1</f>
        <v>-1.1363636363636354E-2</v>
      </c>
      <c r="DU64" s="1141">
        <f t="shared" ref="DU64" si="277">DU63/DP63-1</f>
        <v>0.1649484536082475</v>
      </c>
      <c r="DV64" s="2048">
        <f t="shared" ref="DV64" si="278">DV63/DQ63-1</f>
        <v>-1.0152284263959421E-2</v>
      </c>
      <c r="DW64" s="1141">
        <f t="shared" ref="DW64" si="279">DW63/DR63-1</f>
        <v>0.35789473684210527</v>
      </c>
      <c r="DX64" s="1141">
        <f t="shared" ref="DX64" si="280">DX63/DS63-1</f>
        <v>0.36842105263157898</v>
      </c>
      <c r="DY64" s="1141">
        <f t="shared" ref="DY64" si="281">DY63/DT63-1</f>
        <v>0.39080459770114939</v>
      </c>
      <c r="DZ64" s="1141">
        <f t="shared" ref="DZ64" si="282">DZ63/DU63-1</f>
        <v>0.17699115044247793</v>
      </c>
      <c r="EA64" s="2048">
        <f t="shared" ref="EA64" si="283">EA63/DV63-1</f>
        <v>0.31538461538461537</v>
      </c>
      <c r="EB64" s="1141">
        <f t="shared" ref="EB64" si="284">EB63/DW63-1</f>
        <v>2.3255813953488413E-2</v>
      </c>
      <c r="EC64" s="1141">
        <f t="shared" ref="EC64" si="285">EC63/DX63-1</f>
        <v>-3.8461538461538436E-2</v>
      </c>
      <c r="ED64" s="1141">
        <f t="shared" ref="ED64" si="286">ED63/DY63-1</f>
        <v>0</v>
      </c>
      <c r="EE64" s="1141">
        <f t="shared" ref="EE64" si="287">EE63/DZ63-1</f>
        <v>-6.0150375939849621E-2</v>
      </c>
      <c r="EF64" s="2048">
        <f t="shared" ref="EF64" si="288">EF63/EA63-1</f>
        <v>-1.9493177387914229E-2</v>
      </c>
      <c r="EG64" s="1141">
        <f t="shared" ref="EG64" si="289">EG63/EB63-1</f>
        <v>-8.333333333333337E-2</v>
      </c>
      <c r="EH64" s="1141">
        <f t="shared" ref="EH64" si="290">EH63/EC63-1</f>
        <v>-7.1999999999999953E-2</v>
      </c>
      <c r="EI64" s="1141">
        <f t="shared" ref="EI64" si="291">EI63/ED63-1</f>
        <v>-9.9173553719008267E-2</v>
      </c>
      <c r="EJ64" s="1141">
        <f t="shared" ref="EJ64" si="292">EJ63/EE63-1</f>
        <v>4.8000000000000043E-2</v>
      </c>
      <c r="EK64" s="2048">
        <f t="shared" ref="EK64" si="293">EK63/EF63-1</f>
        <v>-5.1689860834990053E-2</v>
      </c>
      <c r="EL64" s="1141">
        <f t="shared" ref="EL64:EQ64" si="294">EL63/EG63-1</f>
        <v>0</v>
      </c>
      <c r="EM64" s="1141">
        <f t="shared" si="294"/>
        <v>-1.7241379310344862E-2</v>
      </c>
      <c r="EN64" s="1141">
        <f t="shared" si="294"/>
        <v>-2.752293577981646E-2</v>
      </c>
      <c r="EO64" s="1141">
        <f t="shared" si="294"/>
        <v>-0.13740458015267176</v>
      </c>
      <c r="EP64" s="2048">
        <f t="shared" si="294"/>
        <v>-4.8218029350104774E-2</v>
      </c>
      <c r="EQ64" s="1141">
        <f t="shared" si="294"/>
        <v>-0.11570247933884292</v>
      </c>
      <c r="ER64" s="1141">
        <f t="shared" ref="ER64" si="295">ER63/EM63-1</f>
        <v>-8.4999999999999964E-2</v>
      </c>
      <c r="ES64" s="1141">
        <f t="shared" ref="ES64" si="296">ES63/EN63-1</f>
        <v>-3.0000000000000027E-2</v>
      </c>
      <c r="ET64" s="1141">
        <f t="shared" ref="ET64" si="297">ET63/EO63-1</f>
        <v>3.0000000000000027E-2</v>
      </c>
      <c r="EU64" s="2048">
        <f t="shared" ref="EU64" si="298">EU63/EP63-1</f>
        <v>-5.1718061674008831E-2</v>
      </c>
      <c r="EV64" s="2049"/>
      <c r="EW64" s="2049"/>
      <c r="EX64" s="2049"/>
      <c r="EY64" s="2049"/>
      <c r="EZ64" s="2048">
        <f t="shared" ref="EZ64" si="299">EZ63/EU63-1</f>
        <v>1.4999999999999902E-2</v>
      </c>
      <c r="FA64" s="2049"/>
      <c r="FB64" s="2049"/>
      <c r="FC64" s="2049"/>
      <c r="FD64" s="2049"/>
      <c r="FE64" s="2048">
        <f t="shared" ref="FE64" si="300">FE63/EZ63-1</f>
        <v>1.4999999999999902E-2</v>
      </c>
      <c r="FG64" s="478"/>
      <c r="FH64" s="772"/>
      <c r="FI64" s="772"/>
      <c r="FJ64" s="772"/>
      <c r="FL64" s="1343"/>
      <c r="FM64" s="1534"/>
      <c r="FN64" s="1425"/>
      <c r="FO64" s="1813">
        <v>-7.4999999999999956E-2</v>
      </c>
      <c r="FP64" s="1509"/>
      <c r="FQ64" s="1510"/>
      <c r="FR64" s="1619"/>
      <c r="FS64" s="1619"/>
      <c r="FT64" s="433"/>
      <c r="FU64" s="433"/>
      <c r="FV64" s="433"/>
      <c r="FW64" s="433"/>
      <c r="FX64" s="433"/>
      <c r="FY64" s="433"/>
      <c r="FZ64" s="478"/>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row>
    <row r="65" spans="1:258" s="21" customFormat="1" x14ac:dyDescent="0.2">
      <c r="A65" s="2047" t="s">
        <v>824</v>
      </c>
      <c r="B65" s="5"/>
      <c r="C65" s="5"/>
      <c r="D65" s="5"/>
      <c r="E65" s="5"/>
      <c r="F65" s="4"/>
      <c r="G65" s="5"/>
      <c r="H65" s="5"/>
      <c r="I65" s="5"/>
      <c r="J65" s="5"/>
      <c r="K65" s="4"/>
      <c r="L65" s="5"/>
      <c r="M65" s="5"/>
      <c r="N65" s="5"/>
      <c r="O65" s="5"/>
      <c r="P65" s="4"/>
      <c r="Q65" s="5"/>
      <c r="R65" s="5"/>
      <c r="S65" s="5"/>
      <c r="T65" s="5"/>
      <c r="U65" s="4"/>
      <c r="V65" s="5"/>
      <c r="W65" s="5"/>
      <c r="X65" s="5"/>
      <c r="Y65" s="5"/>
      <c r="Z65" s="4"/>
      <c r="AA65" s="5"/>
      <c r="AB65" s="5"/>
      <c r="AC65" s="5"/>
      <c r="AD65" s="5"/>
      <c r="AE65" s="4"/>
      <c r="AF65" s="5"/>
      <c r="AG65" s="5"/>
      <c r="AH65" s="5"/>
      <c r="AI65" s="5"/>
      <c r="AJ65" s="4"/>
      <c r="AK65" s="5"/>
      <c r="AL65" s="5"/>
      <c r="AM65" s="5"/>
      <c r="AN65" s="5"/>
      <c r="AO65" s="4"/>
      <c r="AP65" s="5"/>
      <c r="AQ65" s="5"/>
      <c r="AR65" s="5"/>
      <c r="AS65" s="5"/>
      <c r="AT65" s="4"/>
      <c r="AU65" s="5"/>
      <c r="AV65" s="5"/>
      <c r="AW65" s="5"/>
      <c r="AX65" s="5"/>
      <c r="AY65" s="4"/>
      <c r="AZ65" s="5"/>
      <c r="BA65" s="5"/>
      <c r="BB65" s="5"/>
      <c r="BC65" s="5"/>
      <c r="BD65" s="4"/>
      <c r="BE65" s="5"/>
      <c r="BF65" s="5"/>
      <c r="BG65" s="5"/>
      <c r="BH65" s="5"/>
      <c r="BI65" s="4"/>
      <c r="BJ65" s="5"/>
      <c r="BK65" s="5"/>
      <c r="BL65" s="5"/>
      <c r="BM65" s="5"/>
      <c r="BN65" s="4"/>
      <c r="BO65" s="5"/>
      <c r="BP65" s="5"/>
      <c r="BQ65" s="5"/>
      <c r="BR65" s="5"/>
      <c r="BS65" s="4"/>
      <c r="BT65" s="5"/>
      <c r="BU65" s="5"/>
      <c r="BV65" s="5"/>
      <c r="BW65" s="5"/>
      <c r="BX65" s="4"/>
      <c r="BY65" s="5"/>
      <c r="BZ65" s="5"/>
      <c r="CA65" s="5"/>
      <c r="CB65" s="5"/>
      <c r="CC65" s="4"/>
      <c r="CD65" s="5"/>
      <c r="CE65" s="5"/>
      <c r="CF65" s="5"/>
      <c r="CG65" s="5"/>
      <c r="CH65" s="4"/>
      <c r="CI65" s="5"/>
      <c r="CJ65" s="5"/>
      <c r="CK65" s="5"/>
      <c r="CL65" s="5"/>
      <c r="CM65" s="4"/>
      <c r="CN65" s="5"/>
      <c r="CO65" s="5"/>
      <c r="CP65" s="5"/>
      <c r="CQ65" s="5"/>
      <c r="CR65" s="4"/>
      <c r="CS65" s="5"/>
      <c r="CT65" s="5"/>
      <c r="CU65" s="5"/>
      <c r="CV65" s="5"/>
      <c r="CW65" s="4"/>
      <c r="CX65" s="5"/>
      <c r="CY65" s="5"/>
      <c r="CZ65" s="5"/>
      <c r="DA65" s="5"/>
      <c r="DB65" s="4"/>
      <c r="DC65" s="5"/>
      <c r="DD65" s="5"/>
      <c r="DE65" s="5"/>
      <c r="DF65" s="5"/>
      <c r="DG65" s="4"/>
      <c r="DH65" s="1523">
        <f>DH63/DH$23</f>
        <v>6.846733668341709E-2</v>
      </c>
      <c r="DI65" s="1523">
        <f t="shared" ref="DI65:DL65" si="301">DI63/DI$23</f>
        <v>6.6221142162818949E-2</v>
      </c>
      <c r="DJ65" s="1523">
        <f t="shared" si="301"/>
        <v>5.92958616429895E-2</v>
      </c>
      <c r="DK65" s="1523">
        <f t="shared" si="301"/>
        <v>6.7943174799258807E-2</v>
      </c>
      <c r="DL65" s="1715">
        <f t="shared" si="301"/>
        <v>6.5472513897467569E-2</v>
      </c>
      <c r="DM65" s="1523">
        <f>DM63/DM$23</f>
        <v>6.741573033707865E-2</v>
      </c>
      <c r="DN65" s="1523">
        <f t="shared" ref="DN65:DQ65" si="302">DN63/DN$23</f>
        <v>6.1585365853658536E-2</v>
      </c>
      <c r="DO65" s="1523">
        <f t="shared" si="302"/>
        <v>5.5E-2</v>
      </c>
      <c r="DP65" s="1523">
        <f t="shared" si="302"/>
        <v>6.1901723037651561E-2</v>
      </c>
      <c r="DQ65" s="1715">
        <f t="shared" si="302"/>
        <v>6.1476049305663909E-2</v>
      </c>
      <c r="DR65" s="1523">
        <f>DR63/DR$23</f>
        <v>6.0294873666372602E-2</v>
      </c>
      <c r="DS65" s="1523">
        <f t="shared" ref="DS65:DV65" si="303">DS63/DS$23</f>
        <v>5.7367149758454104E-2</v>
      </c>
      <c r="DT65" s="1523">
        <f t="shared" si="303"/>
        <v>5.2951917224589168E-2</v>
      </c>
      <c r="DU65" s="1523">
        <f t="shared" si="303"/>
        <v>6.7990373044524668E-2</v>
      </c>
      <c r="DV65" s="1715">
        <f t="shared" si="303"/>
        <v>5.9664136805276144E-2</v>
      </c>
      <c r="DW65" s="1523">
        <f>DW63/DW$23</f>
        <v>7.9629629629629634E-2</v>
      </c>
      <c r="DX65" s="1523">
        <f t="shared" ref="DX65:EA65" si="304">DX63/DX$23</f>
        <v>7.2992700729927001E-2</v>
      </c>
      <c r="DY65" s="1523">
        <f t="shared" si="304"/>
        <v>6.882821387940842E-2</v>
      </c>
      <c r="DZ65" s="1523">
        <f t="shared" si="304"/>
        <v>7.5426756649464063E-2</v>
      </c>
      <c r="EA65" s="1715">
        <f t="shared" si="304"/>
        <v>7.4108316599973995E-2</v>
      </c>
      <c r="EB65" s="1523">
        <f>EB63/EB$23</f>
        <v>8.0742340182159617E-2</v>
      </c>
      <c r="EC65" s="1523">
        <f t="shared" ref="EC65:EF65" si="305">EC63/EC$23</f>
        <v>7.1063104036384314E-2</v>
      </c>
      <c r="ED65" s="1523">
        <f t="shared" si="305"/>
        <v>7.0677570093457945E-2</v>
      </c>
      <c r="EE65" s="1523">
        <f t="shared" si="305"/>
        <v>7.5528700906344406E-2</v>
      </c>
      <c r="EF65" s="1715">
        <f t="shared" si="305"/>
        <v>7.439914921688609E-2</v>
      </c>
      <c r="EG65" s="1523">
        <f>EG63/EG$23</f>
        <v>7.8014184397163122E-2</v>
      </c>
      <c r="EH65" s="1523">
        <f t="shared" ref="EH65:EK65" si="306">EH63/EH$23</f>
        <v>7.2727272727272724E-2</v>
      </c>
      <c r="EI65" s="1523">
        <f t="shared" si="306"/>
        <v>6.9250317662007621E-2</v>
      </c>
      <c r="EJ65" s="1523">
        <f t="shared" si="306"/>
        <v>7.5678798382437892E-2</v>
      </c>
      <c r="EK65" s="1715">
        <f t="shared" si="306"/>
        <v>7.3942024492326772E-2</v>
      </c>
      <c r="EL65" s="1523">
        <f>EL63/EL$23</f>
        <v>7.6005025125628137E-2</v>
      </c>
      <c r="EM65" s="1523">
        <f t="shared" ref="EM65:EU65" si="307">EM63/EM$23</f>
        <v>7.0370370370370375E-2</v>
      </c>
      <c r="EN65" s="1523">
        <f t="shared" si="307"/>
        <v>6.6792690611216135E-2</v>
      </c>
      <c r="EO65" s="1523">
        <f t="shared" si="307"/>
        <v>7.0580886945658963E-2</v>
      </c>
      <c r="EP65" s="1715">
        <f t="shared" si="307"/>
        <v>7.0937500000000001E-2</v>
      </c>
      <c r="EQ65" s="1523">
        <f>EQ63/EQ$23</f>
        <v>6.9843342036553527E-2</v>
      </c>
      <c r="ER65" s="1523">
        <f t="shared" si="307"/>
        <v>6.5787067111511943E-2</v>
      </c>
      <c r="ES65" s="1523">
        <f t="shared" si="307"/>
        <v>6.4337694680658017E-2</v>
      </c>
      <c r="ET65" s="1523">
        <f t="shared" si="307"/>
        <v>7.072993610058613E-2</v>
      </c>
      <c r="EU65" s="1715">
        <f t="shared" si="307"/>
        <v>6.7678469107118014E-2</v>
      </c>
      <c r="EV65" s="1523"/>
      <c r="EW65" s="1523"/>
      <c r="EX65" s="1523"/>
      <c r="EY65" s="1523"/>
      <c r="EZ65" s="1715">
        <f t="shared" ref="EZ65" si="308">EZ63/EZ$23</f>
        <v>6.7843866192647345E-2</v>
      </c>
      <c r="FA65" s="1523"/>
      <c r="FB65" s="1523"/>
      <c r="FC65" s="1523"/>
      <c r="FD65" s="1523"/>
      <c r="FE65" s="1715">
        <f t="shared" ref="FE65" si="309">FE63/FE$23</f>
        <v>6.7749256182360634E-2</v>
      </c>
      <c r="FG65" s="478"/>
      <c r="FH65" s="772"/>
      <c r="FI65" s="772"/>
      <c r="FJ65" s="772"/>
      <c r="FL65" s="1343"/>
      <c r="FM65" s="1534"/>
      <c r="FN65" s="1425"/>
      <c r="FO65" s="1813">
        <v>7.289014216589712E-2</v>
      </c>
      <c r="FP65" s="1509"/>
      <c r="FQ65" s="1510"/>
      <c r="FR65" s="1619"/>
      <c r="FS65" s="1619"/>
      <c r="FT65" s="433"/>
      <c r="FU65" s="433"/>
      <c r="FV65" s="433"/>
      <c r="FW65" s="433"/>
      <c r="FX65" s="433"/>
      <c r="FY65" s="433"/>
      <c r="FZ65" s="478"/>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row>
    <row r="66" spans="1:258" s="27" customFormat="1" x14ac:dyDescent="0.2">
      <c r="A66" s="573" t="s">
        <v>233</v>
      </c>
      <c r="F66" s="28"/>
      <c r="K66" s="28"/>
      <c r="P66" s="28"/>
      <c r="U66" s="28"/>
      <c r="Z66" s="28"/>
      <c r="AE66" s="28"/>
      <c r="AJ66" s="28"/>
      <c r="AO66" s="28"/>
      <c r="AT66" s="28"/>
      <c r="AU66" s="27">
        <f t="shared" ref="AU66:BZ66" si="310">AU60*1000/(AU8+AU10)</f>
        <v>877.45098039215691</v>
      </c>
      <c r="AV66" s="27">
        <f t="shared" si="310"/>
        <v>834.14634146341461</v>
      </c>
      <c r="AW66" s="27">
        <f t="shared" si="310"/>
        <v>800</v>
      </c>
      <c r="AX66" s="27">
        <f t="shared" si="310"/>
        <v>839.62264150943395</v>
      </c>
      <c r="AY66" s="28">
        <f t="shared" si="310"/>
        <v>838.23529411764707</v>
      </c>
      <c r="AZ66" s="27">
        <f t="shared" si="310"/>
        <v>866.07142857142856</v>
      </c>
      <c r="BA66" s="27">
        <f t="shared" si="310"/>
        <v>885.57213930348257</v>
      </c>
      <c r="BB66" s="27">
        <f t="shared" si="310"/>
        <v>862.55924170616117</v>
      </c>
      <c r="BC66" s="27">
        <f t="shared" si="310"/>
        <v>944.70046082949307</v>
      </c>
      <c r="BD66" s="28">
        <f t="shared" si="310"/>
        <v>889.80070339976555</v>
      </c>
      <c r="BE66" s="27">
        <f t="shared" si="310"/>
        <v>964.12556053811659</v>
      </c>
      <c r="BF66" s="27">
        <f t="shared" si="310"/>
        <v>909.52380952380952</v>
      </c>
      <c r="BG66" s="27">
        <f t="shared" si="310"/>
        <v>950.24875621890544</v>
      </c>
      <c r="BH66" s="27">
        <f t="shared" si="310"/>
        <v>948.59813084112147</v>
      </c>
      <c r="BI66" s="28">
        <f t="shared" si="310"/>
        <v>943.39622641509436</v>
      </c>
      <c r="BJ66" s="27">
        <f t="shared" si="310"/>
        <v>1018.2648401826484</v>
      </c>
      <c r="BK66" s="27">
        <f t="shared" si="310"/>
        <v>1015.2284263959391</v>
      </c>
      <c r="BL66" s="27">
        <f t="shared" si="310"/>
        <v>957.67195767195767</v>
      </c>
      <c r="BM66" s="27">
        <f t="shared" si="310"/>
        <v>975.96153846153845</v>
      </c>
      <c r="BN66" s="28">
        <f t="shared" si="310"/>
        <v>992.61992619926195</v>
      </c>
      <c r="BO66" s="27">
        <f t="shared" si="310"/>
        <v>1023.5849056603773</v>
      </c>
      <c r="BP66" s="27">
        <f t="shared" si="310"/>
        <v>980.67632850241546</v>
      </c>
      <c r="BQ66" s="27">
        <f t="shared" si="310"/>
        <v>950</v>
      </c>
      <c r="BR66" s="27">
        <f t="shared" si="310"/>
        <v>1014.6341463414634</v>
      </c>
      <c r="BS66" s="28">
        <f t="shared" si="310"/>
        <v>992.71844660194176</v>
      </c>
      <c r="BT66" s="27">
        <f t="shared" si="310"/>
        <v>1033.6538461538462</v>
      </c>
      <c r="BU66" s="27">
        <f t="shared" si="310"/>
        <v>1034.6534653465346</v>
      </c>
      <c r="BV66" s="27">
        <f t="shared" si="310"/>
        <v>940.59405940594058</v>
      </c>
      <c r="BW66" s="27">
        <f t="shared" si="310"/>
        <v>1004.739336492891</v>
      </c>
      <c r="BX66" s="28">
        <f t="shared" si="310"/>
        <v>1003.6452004860267</v>
      </c>
      <c r="BY66" s="27">
        <f t="shared" si="310"/>
        <v>1037.7358490566037</v>
      </c>
      <c r="BZ66" s="27">
        <f t="shared" si="310"/>
        <v>1023.8095238095239</v>
      </c>
      <c r="CA66" s="27">
        <f t="shared" ref="CA66:DF66" si="311">CA60*1000/(CA8+CA10)</f>
        <v>1015.8730158730159</v>
      </c>
      <c r="CB66" s="27">
        <f t="shared" si="311"/>
        <v>1046.2962962962963</v>
      </c>
      <c r="CC66" s="28">
        <f t="shared" si="311"/>
        <v>1031.4389359129384</v>
      </c>
      <c r="CD66" s="27">
        <f t="shared" si="311"/>
        <v>1086.1244019138755</v>
      </c>
      <c r="CE66" s="27">
        <f t="shared" si="311"/>
        <v>1098.0392156862745</v>
      </c>
      <c r="CF66" s="27">
        <f t="shared" si="311"/>
        <v>1085.427135678392</v>
      </c>
      <c r="CG66" s="27">
        <f t="shared" si="311"/>
        <v>1238.0952380952381</v>
      </c>
      <c r="CH66" s="28">
        <f t="shared" si="311"/>
        <v>1124.8439450686642</v>
      </c>
      <c r="CI66" s="27">
        <f t="shared" si="311"/>
        <v>1342.391304347826</v>
      </c>
      <c r="CJ66" s="27">
        <f t="shared" si="311"/>
        <v>1352.6315789473683</v>
      </c>
      <c r="CK66" s="27">
        <f t="shared" si="311"/>
        <v>1323.0769230769231</v>
      </c>
      <c r="CL66" s="27">
        <f t="shared" si="311"/>
        <v>1436.8421052631579</v>
      </c>
      <c r="CM66" s="28">
        <f t="shared" si="311"/>
        <v>1363.6363636363637</v>
      </c>
      <c r="CN66" s="27">
        <f t="shared" si="311"/>
        <v>1507.936507936508</v>
      </c>
      <c r="CO66" s="27">
        <f t="shared" si="311"/>
        <v>1536.4583333333333</v>
      </c>
      <c r="CP66" s="27">
        <f t="shared" si="311"/>
        <v>1523.5602094240837</v>
      </c>
      <c r="CQ66" s="27">
        <f t="shared" si="311"/>
        <v>1671.641791044776</v>
      </c>
      <c r="CR66" s="28">
        <f t="shared" si="311"/>
        <v>1561.4489003880983</v>
      </c>
      <c r="CS66" s="27">
        <f t="shared" si="311"/>
        <v>1825</v>
      </c>
      <c r="CT66" s="27">
        <f t="shared" si="311"/>
        <v>1888.8888888888889</v>
      </c>
      <c r="CU66" s="27">
        <f t="shared" si="311"/>
        <v>1943.0051813471503</v>
      </c>
      <c r="CV66" s="27">
        <f t="shared" si="311"/>
        <v>2040</v>
      </c>
      <c r="CW66" s="28">
        <f t="shared" si="311"/>
        <v>1920.3655352480419</v>
      </c>
      <c r="CX66" s="27">
        <f t="shared" si="311"/>
        <v>1988.1656804733727</v>
      </c>
      <c r="CY66" s="27">
        <f t="shared" si="311"/>
        <v>1816.6666666666667</v>
      </c>
      <c r="CZ66" s="27">
        <f t="shared" si="311"/>
        <v>1780.8988764044943</v>
      </c>
      <c r="DA66" s="27">
        <f t="shared" si="311"/>
        <v>1857.8947368421052</v>
      </c>
      <c r="DB66" s="28">
        <f t="shared" si="311"/>
        <v>1859.1352859135286</v>
      </c>
      <c r="DC66" s="27">
        <f t="shared" si="311"/>
        <v>2020.7253886010362</v>
      </c>
      <c r="DD66" s="27">
        <f t="shared" si="311"/>
        <v>1946.524064171123</v>
      </c>
      <c r="DE66" s="27">
        <f t="shared" si="311"/>
        <v>1939.5604395604396</v>
      </c>
      <c r="DF66" s="27">
        <f t="shared" si="311"/>
        <v>2101.5228426395938</v>
      </c>
      <c r="DG66" s="28">
        <f t="shared" ref="DG66:DN66" si="312">DG60*1000/(DG8+DG10)</f>
        <v>2003.9525691699605</v>
      </c>
      <c r="DH66" s="27">
        <f t="shared" si="312"/>
        <v>2062.5</v>
      </c>
      <c r="DI66" s="27">
        <f t="shared" si="312"/>
        <v>2074.0740740740739</v>
      </c>
      <c r="DJ66" s="27">
        <f t="shared" si="312"/>
        <v>2000</v>
      </c>
      <c r="DK66" s="27">
        <f t="shared" si="312"/>
        <v>2117.0212765957449</v>
      </c>
      <c r="DL66" s="28">
        <f t="shared" si="312"/>
        <v>2064.4295302013425</v>
      </c>
      <c r="DM66" s="27">
        <f t="shared" si="312"/>
        <v>2159.5744680851062</v>
      </c>
      <c r="DN66" s="27">
        <f t="shared" si="312"/>
        <v>2144.4444444444443</v>
      </c>
      <c r="DO66" s="27">
        <f t="shared" ref="DO66:DT66" si="313">DO60*1000/(DO8+DO10)</f>
        <v>2041.6666666666667</v>
      </c>
      <c r="DP66" s="27">
        <f t="shared" si="313"/>
        <v>2145.2513966480446</v>
      </c>
      <c r="DQ66" s="28">
        <f t="shared" si="313"/>
        <v>2124.4755244755243</v>
      </c>
      <c r="DR66" s="27">
        <f t="shared" si="313"/>
        <v>2150.8379888268155</v>
      </c>
      <c r="DS66" s="27">
        <f t="shared" si="313"/>
        <v>2116.0220994475139</v>
      </c>
      <c r="DT66" s="27">
        <f t="shared" si="313"/>
        <v>2077.8443113772455</v>
      </c>
      <c r="DU66" s="27">
        <f t="shared" ref="DU66:EA66" si="314">DU60*1000/(DU8+DU10)</f>
        <v>2236.8421052631579</v>
      </c>
      <c r="DV66" s="28">
        <f t="shared" si="314"/>
        <v>2147.8382147838215</v>
      </c>
      <c r="DW66" s="27">
        <f t="shared" si="314"/>
        <v>2278.3018867924529</v>
      </c>
      <c r="DX66" s="27">
        <f t="shared" si="314"/>
        <v>2305.5555555555557</v>
      </c>
      <c r="DY66" s="27">
        <f t="shared" si="314"/>
        <v>2221.6748768472908</v>
      </c>
      <c r="DZ66" s="27">
        <f t="shared" si="314"/>
        <v>2344.3396226415093</v>
      </c>
      <c r="EA66" s="28">
        <f t="shared" si="314"/>
        <v>2288.2562277580073</v>
      </c>
      <c r="EB66" s="27">
        <f t="shared" ref="EB66:EG66" si="315">EB60*1000/(EB8+EB10)</f>
        <v>2338.0952380952381</v>
      </c>
      <c r="EC66" s="27">
        <f t="shared" si="315"/>
        <v>2246.305418719212</v>
      </c>
      <c r="ED66" s="27">
        <f t="shared" si="315"/>
        <v>2250</v>
      </c>
      <c r="EE66" s="27">
        <f t="shared" si="315"/>
        <v>2286.43216080402</v>
      </c>
      <c r="EF66" s="28">
        <f t="shared" si="315"/>
        <v>2281.0945273631842</v>
      </c>
      <c r="EG66" s="27">
        <f t="shared" si="315"/>
        <v>2284.263959390863</v>
      </c>
      <c r="EH66" s="27">
        <f>EH60*1000/(EH8+EH10)</f>
        <v>2239.3617021276596</v>
      </c>
      <c r="EI66" s="27">
        <f>EI60*1000/(EI8+EI10)</f>
        <v>2204.4198895027625</v>
      </c>
      <c r="EJ66" s="27">
        <f t="shared" ref="EJ66" si="316">EJ60*1000/(EJ8+EJ10)</f>
        <v>2270.1421800947869</v>
      </c>
      <c r="EK66" s="28">
        <f>EK60*1000/(EK8+EK10)</f>
        <v>2250.965250965251</v>
      </c>
      <c r="EL66" s="27">
        <f t="shared" ref="EL66" si="317">EL60*1000/(EL8+EL10)</f>
        <v>2328.2828282828282</v>
      </c>
      <c r="EM66" s="27">
        <f>EM60*1000/(EM8+EM10)</f>
        <v>2286.4583333333335</v>
      </c>
      <c r="EN66" s="27">
        <f>EN60*1000/(EN8+EN10)</f>
        <v>2264.367816091954</v>
      </c>
      <c r="EO66" s="27">
        <f t="shared" ref="EO66" si="318">EO60*1000/(EO8+EO10)</f>
        <v>2397.790055248619</v>
      </c>
      <c r="EP66" s="28">
        <f>EP60*1000/(EP8+EP10)</f>
        <v>2319.4630872483222</v>
      </c>
      <c r="EQ66" s="27">
        <f t="shared" ref="EQ66" si="319">EQ60*1000/(EQ8+EQ10)</f>
        <v>2473.6842105263158</v>
      </c>
      <c r="ER66" s="27">
        <f t="shared" ref="ER66" si="320">EM66*(1+ER67)</f>
        <v>2389.3489583333335</v>
      </c>
      <c r="ES66" s="27">
        <f t="shared" ref="ES66:ET66" si="321">EN66*(1+ES67)</f>
        <v>2366.2643678160916</v>
      </c>
      <c r="ET66" s="27">
        <f t="shared" si="321"/>
        <v>2445.7458563535915</v>
      </c>
      <c r="EU66" s="28">
        <f>EU60*1000/(EU8+EU10)</f>
        <v>2419.459120289705</v>
      </c>
      <c r="EZ66" s="28">
        <f>EU66*(1+EZ67)</f>
        <v>2467.8483026954991</v>
      </c>
      <c r="FE66" s="28">
        <f>EZ66*(1+FE67)</f>
        <v>2517.2052687494092</v>
      </c>
      <c r="FG66" s="478"/>
      <c r="FH66" s="769"/>
      <c r="FI66" s="769"/>
      <c r="FJ66" s="769"/>
      <c r="FK66" s="103"/>
      <c r="FL66" s="1340"/>
      <c r="FM66" s="1535">
        <f>+EQ66</f>
        <v>2473.6842105263158</v>
      </c>
      <c r="FN66" s="1426">
        <f>EL66</f>
        <v>2328.2828282828282</v>
      </c>
      <c r="FO66" s="1814">
        <v>2421.4141414141413</v>
      </c>
      <c r="FP66" s="1749">
        <f>+FM66/FN66-1</f>
        <v>6.2450051375727789E-2</v>
      </c>
      <c r="FQ66" s="1606">
        <f>+FM66/FO66-1</f>
        <v>2.1586587861276874E-2</v>
      </c>
      <c r="FR66" s="1619"/>
      <c r="FS66" s="1619"/>
      <c r="FT66" s="355"/>
      <c r="FU66" s="355"/>
      <c r="FV66" s="355"/>
      <c r="FW66" s="355"/>
      <c r="FX66" s="355"/>
      <c r="FY66" s="355"/>
      <c r="FZ66" s="478"/>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row>
    <row r="67" spans="1:258" s="55" customFormat="1" x14ac:dyDescent="0.2">
      <c r="A67" s="383" t="s">
        <v>466</v>
      </c>
      <c r="B67" s="10"/>
      <c r="C67" s="10"/>
      <c r="D67" s="10"/>
      <c r="E67" s="10"/>
      <c r="F67" s="9"/>
      <c r="G67" s="10"/>
      <c r="H67" s="10"/>
      <c r="I67" s="10"/>
      <c r="J67" s="10"/>
      <c r="K67" s="9"/>
      <c r="L67" s="10"/>
      <c r="M67" s="10"/>
      <c r="N67" s="10"/>
      <c r="O67" s="10"/>
      <c r="P67" s="9"/>
      <c r="Q67" s="10"/>
      <c r="R67" s="10"/>
      <c r="S67" s="10"/>
      <c r="T67" s="10"/>
      <c r="U67" s="9"/>
      <c r="V67" s="10"/>
      <c r="W67" s="10"/>
      <c r="X67" s="10"/>
      <c r="Y67" s="10"/>
      <c r="Z67" s="9"/>
      <c r="AA67" s="10"/>
      <c r="AB67" s="10"/>
      <c r="AC67" s="10"/>
      <c r="AD67" s="10"/>
      <c r="AE67" s="9"/>
      <c r="AF67" s="10"/>
      <c r="AG67" s="10"/>
      <c r="AH67" s="10"/>
      <c r="AI67" s="10"/>
      <c r="AJ67" s="9"/>
      <c r="AK67" s="10"/>
      <c r="AL67" s="10"/>
      <c r="AM67" s="10"/>
      <c r="AN67" s="10"/>
      <c r="AO67" s="9"/>
      <c r="AP67" s="10"/>
      <c r="AQ67" s="10"/>
      <c r="AR67" s="10"/>
      <c r="AS67" s="10"/>
      <c r="AT67" s="9"/>
      <c r="AU67" s="10"/>
      <c r="AV67" s="10"/>
      <c r="AW67" s="10"/>
      <c r="AX67" s="10"/>
      <c r="AY67" s="9"/>
      <c r="AZ67" s="10">
        <f t="shared" ref="AZ67:BZ67" si="322">AZ66/AU66-1</f>
        <v>-1.2968874700718391E-2</v>
      </c>
      <c r="BA67" s="10">
        <f t="shared" si="322"/>
        <v>6.1650810276104862E-2</v>
      </c>
      <c r="BB67" s="10">
        <f t="shared" si="322"/>
        <v>7.8199052132701397E-2</v>
      </c>
      <c r="BC67" s="10">
        <f t="shared" si="322"/>
        <v>0.12514886345984566</v>
      </c>
      <c r="BD67" s="9">
        <f t="shared" si="322"/>
        <v>6.1516628617264146E-2</v>
      </c>
      <c r="BE67" s="10">
        <f t="shared" si="322"/>
        <v>0.11321714206462952</v>
      </c>
      <c r="BF67" s="10">
        <f t="shared" si="322"/>
        <v>2.7046548956661365E-2</v>
      </c>
      <c r="BG67" s="10">
        <f t="shared" si="322"/>
        <v>0.10166201957246734</v>
      </c>
      <c r="BH67" s="10">
        <f t="shared" si="322"/>
        <v>4.1258263049919197E-3</v>
      </c>
      <c r="BI67" s="9">
        <f t="shared" si="322"/>
        <v>6.0233176722102044E-2</v>
      </c>
      <c r="BJ67" s="10">
        <f>BJ66/BE66-1</f>
        <v>5.6153764468514389E-2</v>
      </c>
      <c r="BK67" s="10">
        <f>BK66/BF66-1</f>
        <v>0.11621973582799594</v>
      </c>
      <c r="BL67" s="10">
        <f>BL66/BG66-1</f>
        <v>7.8118507437878737E-3</v>
      </c>
      <c r="BM67" s="10">
        <f>BM66/BH66-1</f>
        <v>2.8846153846153966E-2</v>
      </c>
      <c r="BN67" s="9">
        <f>BN66/BI66-1</f>
        <v>5.2177121771217694E-2</v>
      </c>
      <c r="BO67" s="10">
        <f t="shared" si="322"/>
        <v>5.2246382942719993E-3</v>
      </c>
      <c r="BP67" s="10">
        <f t="shared" si="322"/>
        <v>-3.4033816425120822E-2</v>
      </c>
      <c r="BQ67" s="10">
        <f t="shared" si="322"/>
        <v>-8.0110497237568801E-3</v>
      </c>
      <c r="BR67" s="10">
        <f t="shared" si="322"/>
        <v>3.9625135167607795E-2</v>
      </c>
      <c r="BS67" s="9">
        <f t="shared" si="322"/>
        <v>9.9252896380130906E-5</v>
      </c>
      <c r="BT67" s="10">
        <f t="shared" si="322"/>
        <v>9.8369372562920887E-3</v>
      </c>
      <c r="BU67" s="10">
        <f t="shared" si="322"/>
        <v>5.5040725747451669E-2</v>
      </c>
      <c r="BV67" s="10">
        <f t="shared" si="322"/>
        <v>-9.9009900990099098E-3</v>
      </c>
      <c r="BW67" s="10">
        <f t="shared" si="322"/>
        <v>-9.7520962449872961E-3</v>
      </c>
      <c r="BX67" s="9">
        <f t="shared" si="322"/>
        <v>1.1006901223088006E-2</v>
      </c>
      <c r="BY67" s="10">
        <f t="shared" si="322"/>
        <v>3.9491004826677223E-3</v>
      </c>
      <c r="BZ67" s="10">
        <f t="shared" si="322"/>
        <v>-1.0480747322852535E-2</v>
      </c>
      <c r="CA67" s="10">
        <f t="shared" ref="CA67:DC67" si="323">CA66/BV66-1</f>
        <v>8.0033416875522123E-2</v>
      </c>
      <c r="CB67" s="10">
        <f t="shared" si="323"/>
        <v>4.136093640810623E-2</v>
      </c>
      <c r="CC67" s="9">
        <f t="shared" si="323"/>
        <v>2.769278965659594E-2</v>
      </c>
      <c r="CD67" s="10">
        <f t="shared" si="323"/>
        <v>4.6628969117007424E-2</v>
      </c>
      <c r="CE67" s="10">
        <f t="shared" si="323"/>
        <v>7.2503419972640204E-2</v>
      </c>
      <c r="CF67" s="10">
        <f t="shared" si="323"/>
        <v>6.8467336683417201E-2</v>
      </c>
      <c r="CG67" s="10">
        <f t="shared" si="323"/>
        <v>0.18331226295828063</v>
      </c>
      <c r="CH67" s="9">
        <f t="shared" si="323"/>
        <v>9.0557963155668553E-2</v>
      </c>
      <c r="CI67" s="10">
        <f t="shared" si="323"/>
        <v>0.23594617889293246</v>
      </c>
      <c r="CJ67" s="10">
        <f t="shared" si="323"/>
        <v>0.23186090225563905</v>
      </c>
      <c r="CK67" s="10">
        <f t="shared" si="323"/>
        <v>0.21894586894586898</v>
      </c>
      <c r="CL67" s="10">
        <f t="shared" si="323"/>
        <v>0.16052631578947363</v>
      </c>
      <c r="CM67" s="9">
        <f t="shared" si="323"/>
        <v>0.21228937544142878</v>
      </c>
      <c r="CN67" s="10">
        <f t="shared" si="323"/>
        <v>0.12332112332112333</v>
      </c>
      <c r="CO67" s="10">
        <f t="shared" si="323"/>
        <v>0.13590304798962394</v>
      </c>
      <c r="CP67" s="10">
        <f t="shared" si="323"/>
        <v>0.15152806526238893</v>
      </c>
      <c r="CQ67" s="10">
        <f t="shared" si="323"/>
        <v>0.16341370072713346</v>
      </c>
      <c r="CR67" s="9">
        <f t="shared" si="323"/>
        <v>0.14506252695127198</v>
      </c>
      <c r="CS67" s="10">
        <f t="shared" si="323"/>
        <v>0.21026315789473693</v>
      </c>
      <c r="CT67" s="10">
        <f t="shared" si="323"/>
        <v>0.22937853107344641</v>
      </c>
      <c r="CU67" s="10">
        <f t="shared" si="323"/>
        <v>0.27530580631376522</v>
      </c>
      <c r="CV67" s="10">
        <f t="shared" si="323"/>
        <v>0.22035714285714292</v>
      </c>
      <c r="CW67" s="9">
        <f t="shared" si="323"/>
        <v>0.22986127485230856</v>
      </c>
      <c r="CX67" s="10">
        <f t="shared" si="323"/>
        <v>8.9405852314176748E-2</v>
      </c>
      <c r="CY67" s="10">
        <f t="shared" si="323"/>
        <v>-3.8235294117647034E-2</v>
      </c>
      <c r="CZ67" s="10">
        <f t="shared" si="323"/>
        <v>-8.3430711610486874E-2</v>
      </c>
      <c r="DA67" s="10">
        <f t="shared" si="323"/>
        <v>-8.9267285861713175E-2</v>
      </c>
      <c r="DB67" s="9">
        <f t="shared" si="323"/>
        <v>-3.1884684561684029E-2</v>
      </c>
      <c r="DC67" s="10">
        <f t="shared" si="323"/>
        <v>1.6376757957068833E-2</v>
      </c>
      <c r="DD67" s="10">
        <f t="shared" ref="DD67:ED67" si="324">DD66/CY66-1</f>
        <v>7.1481136240985066E-2</v>
      </c>
      <c r="DE67" s="10">
        <f t="shared" si="324"/>
        <v>8.9090720005546631E-2</v>
      </c>
      <c r="DF67" s="10">
        <f t="shared" si="324"/>
        <v>0.13113127507513545</v>
      </c>
      <c r="DG67" s="9">
        <f t="shared" si="324"/>
        <v>7.7894967813099569E-2</v>
      </c>
      <c r="DH67" s="10">
        <f t="shared" si="324"/>
        <v>2.0673076923076961E-2</v>
      </c>
      <c r="DI67" s="10">
        <f t="shared" si="324"/>
        <v>6.5527065527065442E-2</v>
      </c>
      <c r="DJ67" s="10">
        <f t="shared" si="324"/>
        <v>3.1161473087818692E-2</v>
      </c>
      <c r="DK67" s="10">
        <f t="shared" si="324"/>
        <v>7.3748586699560192E-3</v>
      </c>
      <c r="DL67" s="9">
        <f>DL66/DG66-1</f>
        <v>3.0178838542287201E-2</v>
      </c>
      <c r="DM67" s="10">
        <f t="shared" si="324"/>
        <v>4.7066408768536405E-2</v>
      </c>
      <c r="DN67" s="10">
        <f t="shared" si="324"/>
        <v>3.392857142857153E-2</v>
      </c>
      <c r="DO67" s="10">
        <f t="shared" si="324"/>
        <v>2.0833333333333481E-2</v>
      </c>
      <c r="DP67" s="10">
        <f t="shared" si="324"/>
        <v>1.3334830577468315E-2</v>
      </c>
      <c r="DQ67" s="9">
        <f>DQ66/DL66-1</f>
        <v>2.9085998526830581E-2</v>
      </c>
      <c r="DR67" s="10">
        <f t="shared" si="324"/>
        <v>-4.0454633018686126E-3</v>
      </c>
      <c r="DS67" s="10">
        <f t="shared" si="324"/>
        <v>-1.3253943262817258E-2</v>
      </c>
      <c r="DT67" s="911">
        <f t="shared" si="324"/>
        <v>1.7719662715385498E-2</v>
      </c>
      <c r="DU67" s="10">
        <f t="shared" si="324"/>
        <v>4.2694627192982448E-2</v>
      </c>
      <c r="DV67" s="9">
        <f>DV66/DQ66-1</f>
        <v>1.0996921376190016E-2</v>
      </c>
      <c r="DW67" s="10">
        <f t="shared" si="324"/>
        <v>5.9262435677530201E-2</v>
      </c>
      <c r="DX67" s="10">
        <f t="shared" si="324"/>
        <v>8.9570641137220797E-2</v>
      </c>
      <c r="DY67" s="911">
        <f t="shared" si="324"/>
        <v>6.9221050240626969E-2</v>
      </c>
      <c r="DZ67" s="10">
        <f t="shared" si="324"/>
        <v>4.8057713651498357E-2</v>
      </c>
      <c r="EA67" s="9">
        <f>EA66/DV66-1</f>
        <v>6.5376438508111256E-2</v>
      </c>
      <c r="EB67" s="10">
        <f t="shared" si="324"/>
        <v>2.6244700778862207E-2</v>
      </c>
      <c r="EC67" s="10">
        <f t="shared" si="324"/>
        <v>-2.5698854531426174E-2</v>
      </c>
      <c r="ED67" s="911">
        <f t="shared" si="324"/>
        <v>1.2749445676274895E-2</v>
      </c>
      <c r="EE67" s="10">
        <f t="shared" ref="EE67:EQ67" si="325">EE66/DZ66-1</f>
        <v>-2.4700969636917036E-2</v>
      </c>
      <c r="EF67" s="9">
        <f t="shared" si="325"/>
        <v>-3.1297633140673353E-3</v>
      </c>
      <c r="EG67" s="10">
        <f t="shared" si="325"/>
        <v>-2.3023561156657379E-2</v>
      </c>
      <c r="EH67" s="10">
        <f t="shared" si="325"/>
        <v>-3.0911720791341191E-3</v>
      </c>
      <c r="EI67" s="911">
        <f t="shared" si="325"/>
        <v>-2.025782688766109E-2</v>
      </c>
      <c r="EJ67" s="10">
        <f t="shared" si="325"/>
        <v>-7.1246289255766371E-3</v>
      </c>
      <c r="EK67" s="9">
        <f t="shared" si="325"/>
        <v>-1.3208254211525716E-2</v>
      </c>
      <c r="EL67" s="10">
        <f t="shared" si="325"/>
        <v>1.9270482603815919E-2</v>
      </c>
      <c r="EM67" s="10">
        <f t="shared" si="325"/>
        <v>2.1031274742676187E-2</v>
      </c>
      <c r="EN67" s="911">
        <f t="shared" si="325"/>
        <v>2.7194422838705767E-2</v>
      </c>
      <c r="EO67" s="10">
        <f t="shared" si="325"/>
        <v>5.6229022249391525E-2</v>
      </c>
      <c r="EP67" s="9">
        <f t="shared" si="325"/>
        <v>3.0430428125755471E-2</v>
      </c>
      <c r="EQ67" s="10">
        <f t="shared" si="325"/>
        <v>6.2450051375727789E-2</v>
      </c>
      <c r="ER67" s="1166">
        <v>4.4999999999999998E-2</v>
      </c>
      <c r="ES67" s="1166">
        <v>4.4999999999999998E-2</v>
      </c>
      <c r="ET67" s="1166">
        <v>0.02</v>
      </c>
      <c r="EU67" s="9">
        <f>EU66/EP66-1</f>
        <v>4.3111715634160941E-2</v>
      </c>
      <c r="EV67" s="318"/>
      <c r="EW67" s="318"/>
      <c r="EX67" s="318"/>
      <c r="EY67" s="318"/>
      <c r="EZ67" s="317">
        <v>0.02</v>
      </c>
      <c r="FA67" s="318"/>
      <c r="FB67" s="318"/>
      <c r="FC67" s="318"/>
      <c r="FD67" s="318"/>
      <c r="FE67" s="317">
        <v>0.02</v>
      </c>
      <c r="FG67" s="466"/>
      <c r="FH67" s="767"/>
      <c r="FI67" s="767"/>
      <c r="FJ67" s="767"/>
      <c r="FK67" s="185"/>
      <c r="FL67" s="1338"/>
      <c r="FM67" s="1536">
        <f>+EQ67</f>
        <v>6.2450051375727789E-2</v>
      </c>
      <c r="FN67" s="1418">
        <f>EL67</f>
        <v>1.9270482603815919E-2</v>
      </c>
      <c r="FO67" s="1815">
        <v>0.04</v>
      </c>
      <c r="FP67" s="1741"/>
      <c r="FQ67" s="1982">
        <f>+(FM67-FO67)</f>
        <v>2.2450051375727788E-2</v>
      </c>
      <c r="FR67" s="1619"/>
      <c r="FS67" s="1619"/>
      <c r="FT67" s="432"/>
      <c r="FU67" s="432"/>
      <c r="FV67" s="432"/>
      <c r="FW67" s="432"/>
      <c r="FX67" s="432"/>
      <c r="FY67" s="432"/>
      <c r="FZ67" s="466"/>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row>
    <row r="68" spans="1:258" s="55" customFormat="1" x14ac:dyDescent="0.2">
      <c r="A68" s="383" t="s">
        <v>336</v>
      </c>
      <c r="F68" s="54"/>
      <c r="K68" s="54"/>
      <c r="P68" s="54"/>
      <c r="U68" s="54"/>
      <c r="Z68" s="54"/>
      <c r="AE68" s="54"/>
      <c r="AJ68" s="54"/>
      <c r="AO68" s="54"/>
      <c r="AT68" s="54"/>
      <c r="AV68" s="55">
        <f>AV66/AU66-1</f>
        <v>-4.9352772857337635E-2</v>
      </c>
      <c r="AW68" s="55">
        <f>AW66/AV66-1</f>
        <v>-4.0935672514619825E-2</v>
      </c>
      <c r="AX68" s="55">
        <f>AX66/AW66-1</f>
        <v>4.952830188679247E-2</v>
      </c>
      <c r="AY68" s="54"/>
      <c r="AZ68" s="55">
        <f>AZ66/AX66-1</f>
        <v>3.1500802568218189E-2</v>
      </c>
      <c r="BA68" s="55">
        <f>BA66/AZ66-1</f>
        <v>2.2516284556598487E-2</v>
      </c>
      <c r="BB68" s="55">
        <f>BB66/BA66-1</f>
        <v>-2.5986474253155034E-2</v>
      </c>
      <c r="BC68" s="55">
        <f>BC66/BB66-1</f>
        <v>9.5229655137489155E-2</v>
      </c>
      <c r="BD68" s="54"/>
      <c r="BE68" s="55">
        <f>BE66/BC66-1</f>
        <v>2.0562178715957558E-2</v>
      </c>
      <c r="BF68" s="55">
        <f>BF66/BE66-1</f>
        <v>-5.6633444075304573E-2</v>
      </c>
      <c r="BG68" s="55">
        <f>BG66/BF66-1</f>
        <v>4.4776119402984982E-2</v>
      </c>
      <c r="BH68" s="55">
        <f>BH66/BG66-1</f>
        <v>-1.737045554631278E-3</v>
      </c>
      <c r="BI68" s="54"/>
      <c r="BJ68" s="55">
        <f>BJ66/BH66-1</f>
        <v>7.3441752704860974E-2</v>
      </c>
      <c r="BK68" s="55">
        <f>BK66/BJ66-1</f>
        <v>-2.9819489654230313E-3</v>
      </c>
      <c r="BL68" s="55">
        <f>BL66/BK66-1</f>
        <v>-5.6693121693121684E-2</v>
      </c>
      <c r="BM68" s="55">
        <f>BM66/BL66-1</f>
        <v>1.9097960050998619E-2</v>
      </c>
      <c r="BN68" s="54"/>
      <c r="BO68" s="55">
        <f>BO66/BM66-1</f>
        <v>4.8796356538711727E-2</v>
      </c>
      <c r="BP68" s="55">
        <f>BP66/BO66-1</f>
        <v>-4.1919900264921317E-2</v>
      </c>
      <c r="BQ68" s="55">
        <f>BQ66/BP66-1</f>
        <v>-3.1280788177339924E-2</v>
      </c>
      <c r="BR68" s="55">
        <f>BR66/BQ66-1</f>
        <v>6.8035943517329889E-2</v>
      </c>
      <c r="BS68" s="54"/>
      <c r="BT68" s="55">
        <f>BT66/BR66-1</f>
        <v>1.8745377218934989E-2</v>
      </c>
      <c r="BU68" s="55">
        <f>BU66/BT66-1</f>
        <v>9.670734515312418E-4</v>
      </c>
      <c r="BV68" s="55">
        <f>BV66/BU66-1</f>
        <v>-9.0909090909090939E-2</v>
      </c>
      <c r="BW68" s="55">
        <f>BW66/BV66-1</f>
        <v>6.8196557745073605E-2</v>
      </c>
      <c r="BX68" s="54"/>
      <c r="BY68" s="55">
        <f>BY66/BW66-1</f>
        <v>3.2840868636525355E-2</v>
      </c>
      <c r="BZ68" s="55">
        <f>BZ66/BY66-1</f>
        <v>-1.3419913419913332E-2</v>
      </c>
      <c r="CA68" s="55">
        <f>CA66/BZ66-1</f>
        <v>-7.7519379844961378E-3</v>
      </c>
      <c r="CB68" s="55">
        <f>CB66/CA66-1</f>
        <v>2.9947916666666741E-2</v>
      </c>
      <c r="CC68" s="54"/>
      <c r="CD68" s="55">
        <f>CD66/CB66-1</f>
        <v>3.8065800059279287E-2</v>
      </c>
      <c r="CE68" s="55">
        <f>CE66/CD66-1</f>
        <v>1.0970026777230801E-2</v>
      </c>
      <c r="CF68" s="55">
        <f>CF66/CE66-1</f>
        <v>-1.1486001435750071E-2</v>
      </c>
      <c r="CG68" s="55">
        <f>CG66/CF66-1</f>
        <v>0.14065255731922388</v>
      </c>
      <c r="CH68" s="54"/>
      <c r="CI68" s="55">
        <f>CI66/CG66-1</f>
        <v>8.4239130434782483E-2</v>
      </c>
      <c r="CJ68" s="55">
        <f>CJ66/CI66-1</f>
        <v>7.6283826976346614E-3</v>
      </c>
      <c r="CK68" s="55">
        <f>CK66/CJ66-1</f>
        <v>-2.1849745585154068E-2</v>
      </c>
      <c r="CL68" s="55">
        <f>CL66/CK66-1</f>
        <v>8.5985312117503154E-2</v>
      </c>
      <c r="CM68" s="54"/>
      <c r="CN68" s="55">
        <f>CN66/CL66-1</f>
        <v>4.9479620908192246E-2</v>
      </c>
      <c r="CO68" s="55">
        <f>CO66/CN66-1</f>
        <v>1.8914473684210398E-2</v>
      </c>
      <c r="CP68" s="55">
        <f>CP66/CO66-1</f>
        <v>-8.3947111544946384E-3</v>
      </c>
      <c r="CQ68" s="55">
        <f>CQ66/CP66-1</f>
        <v>9.719444017028267E-2</v>
      </c>
      <c r="CR68" s="54"/>
      <c r="CS68" s="55">
        <f>CS66/CQ66-1</f>
        <v>9.1741071428571574E-2</v>
      </c>
      <c r="CT68" s="55">
        <f>CT66/CS66-1</f>
        <v>3.5007610350076046E-2</v>
      </c>
      <c r="CU68" s="55">
        <f>CU66/CT66-1</f>
        <v>2.8649801889667703E-2</v>
      </c>
      <c r="CV68" s="55">
        <f>CV66/CU66-1</f>
        <v>4.9919999999999964E-2</v>
      </c>
      <c r="CW68" s="54"/>
      <c r="CX68" s="55">
        <f>CX66/CV66-1</f>
        <v>-2.5408980160111394E-2</v>
      </c>
      <c r="CY68" s="55">
        <f>CY66/CX66-1</f>
        <v>-8.6259920634920606E-2</v>
      </c>
      <c r="CZ68" s="55">
        <f>CZ66/CY66-1</f>
        <v>-1.9688691887434384E-2</v>
      </c>
      <c r="DA68" s="55">
        <f>DA66/CZ66-1</f>
        <v>4.3234268636891837E-2</v>
      </c>
      <c r="DB68" s="54"/>
      <c r="DC68" s="55">
        <f>DC66/DA66-1</f>
        <v>8.7642560436818506E-2</v>
      </c>
      <c r="DD68" s="55">
        <f>DD66/DC66-1</f>
        <v>-3.6720142602495565E-2</v>
      </c>
      <c r="DE68" s="55">
        <f>DE66/DD66-1</f>
        <v>-3.5774664895543706E-3</v>
      </c>
      <c r="DF68" s="55">
        <f>DF66/DE66-1</f>
        <v>8.350469507197178E-2</v>
      </c>
      <c r="DG68" s="54"/>
      <c r="DH68" s="55">
        <f>DH66/DF66-1</f>
        <v>-1.8568840579710089E-2</v>
      </c>
      <c r="DI68" s="55">
        <f>DI66/DH66-1</f>
        <v>5.6116722783388084E-3</v>
      </c>
      <c r="DJ68" s="55">
        <f>DJ66/DI66-1</f>
        <v>-3.5714285714285587E-2</v>
      </c>
      <c r="DK68" s="55">
        <f>DK66/DJ66-1</f>
        <v>5.8510638297872397E-2</v>
      </c>
      <c r="DL68" s="54"/>
      <c r="DM68" s="55">
        <f>DM66/DK66-1</f>
        <v>2.0100502512562679E-2</v>
      </c>
      <c r="DN68" s="55">
        <f>DN66/DM66-1</f>
        <v>-7.0060207991242684E-3</v>
      </c>
      <c r="DO68" s="55">
        <f>DO66/DN66-1</f>
        <v>-4.7927461139896321E-2</v>
      </c>
      <c r="DP68" s="55">
        <f>DP66/DO66-1</f>
        <v>5.0735377950062555E-2</v>
      </c>
      <c r="DQ68" s="54"/>
      <c r="DR68" s="55">
        <f>DR66/DP66-1</f>
        <v>2.6041666666665186E-3</v>
      </c>
      <c r="DS68" s="55">
        <f>DS66/DR66-1</f>
        <v>-1.6187127789337619E-2</v>
      </c>
      <c r="DT68" s="55">
        <f>DT66/DS66-1</f>
        <v>-1.8042244492737836E-2</v>
      </c>
      <c r="DU68" s="55">
        <f>DU66/DT66-1</f>
        <v>7.6520552100712846E-2</v>
      </c>
      <c r="DV68" s="54"/>
      <c r="DW68" s="55">
        <f>DW66/DU66-1</f>
        <v>1.8534961154273111E-2</v>
      </c>
      <c r="DX68" s="55">
        <f>DX66/DW66-1</f>
        <v>1.1962272831838039E-2</v>
      </c>
      <c r="DY68" s="55">
        <f>DY66/DX66-1</f>
        <v>-3.6381981126476393E-2</v>
      </c>
      <c r="DZ68" s="55">
        <f>DZ66/DY66-1</f>
        <v>5.5212734803162578E-2</v>
      </c>
      <c r="EA68" s="54"/>
      <c r="EB68" s="55">
        <f>EB66/DZ66-1</f>
        <v>-2.663600651528153E-3</v>
      </c>
      <c r="EC68" s="55">
        <f>EC66/EB66-1</f>
        <v>-3.9258374885876801E-2</v>
      </c>
      <c r="ED68" s="55">
        <f>ED66/EC66-1</f>
        <v>1.6447368421053099E-3</v>
      </c>
      <c r="EE68" s="55">
        <f>EE66/ED66-1</f>
        <v>1.6192071468453362E-2</v>
      </c>
      <c r="EF68" s="54"/>
      <c r="EG68" s="55">
        <f>EG66/EE66-1</f>
        <v>-9.482902883917177E-4</v>
      </c>
      <c r="EH68" s="55">
        <f>EH66/EG66-1</f>
        <v>-1.9657210401891279E-2</v>
      </c>
      <c r="EI68" s="55">
        <f>EI66/EH66-1</f>
        <v>-1.5603469770737899E-2</v>
      </c>
      <c r="EJ68" s="55">
        <f>EJ66/EI66-1</f>
        <v>2.9813871170818018E-2</v>
      </c>
      <c r="EK68" s="54"/>
      <c r="EL68" s="55">
        <f>EL66/EJ66-1</f>
        <v>2.5611016216444016E-2</v>
      </c>
      <c r="EM68" s="55">
        <f>EM66/EL66-1</f>
        <v>-1.7963665943600771E-2</v>
      </c>
      <c r="EN68" s="55">
        <f>EN66/EM66-1</f>
        <v>-9.6614562878015731E-3</v>
      </c>
      <c r="EO68" s="55">
        <f>EO66/EN66-1</f>
        <v>5.8922511708781045E-2</v>
      </c>
      <c r="EP68" s="54"/>
      <c r="EQ68" s="55">
        <f>EQ66/EO66-1</f>
        <v>3.1651709919961135E-2</v>
      </c>
      <c r="ER68" s="55">
        <f t="shared" ref="ER68" si="326">ER66/EQ66-1</f>
        <v>-3.4092974290780065E-2</v>
      </c>
      <c r="ES68" s="55">
        <f t="shared" ref="ES68:ET68" si="327">ES66/ER66-1</f>
        <v>-9.6614562878015731E-3</v>
      </c>
      <c r="ET68" s="55">
        <f t="shared" si="327"/>
        <v>3.3589437265987288E-2</v>
      </c>
      <c r="EU68" s="54"/>
      <c r="EZ68" s="54"/>
      <c r="FE68" s="54"/>
      <c r="FG68" s="481"/>
      <c r="FH68" s="766">
        <f>AVERAGE(CI68,CN68,CS68,CX68,DC68,DH68,DM68,DR68,DW68,EB68,EG68,EL68,EQ68)</f>
        <v>2.8001155999886992E-2</v>
      </c>
      <c r="FI68" s="766">
        <f>AVERAGE(CJ68,CO68,CT68,CY68,DD68,DI68,DN68,DS68,DX68,EC68,EH68)</f>
        <v>-1.1451307751958927E-2</v>
      </c>
      <c r="FJ68" s="766">
        <f>AVERAGE(CK68,CP68,CU68,CZ68,DE68,DJ68,DO68,DT68,DY68,ED68,EI68)</f>
        <v>-1.6080501693545315E-2</v>
      </c>
      <c r="FK68" s="1408">
        <f>AVERAGE(CL68,CQ68,CV68,DA68,DF68,DK68,DP68,DU68,DZ68,EE68,EJ68,EO68)</f>
        <v>5.8812206124709353E-2</v>
      </c>
      <c r="FL68" s="1338"/>
      <c r="FM68" s="1523">
        <f>+EQ68</f>
        <v>3.1651709919961135E-2</v>
      </c>
      <c r="FN68" s="1416">
        <f>EL68</f>
        <v>2.5611016216444016E-2</v>
      </c>
      <c r="FO68" s="1799">
        <v>9.8524414653446968E-3</v>
      </c>
      <c r="FP68" s="1741"/>
      <c r="FQ68" s="1503">
        <f>+(FM68-FO68)*10000</f>
        <v>217.99268454616438</v>
      </c>
      <c r="FR68" s="1619"/>
      <c r="FS68" s="1619"/>
      <c r="FT68" s="432"/>
      <c r="FU68" s="432"/>
      <c r="FV68" s="432"/>
      <c r="FW68" s="432"/>
      <c r="FX68" s="432"/>
      <c r="FY68" s="432"/>
      <c r="FZ68" s="481"/>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row>
    <row r="69" spans="1:258" s="36" customFormat="1" x14ac:dyDescent="0.2">
      <c r="A69" s="574" t="s">
        <v>448</v>
      </c>
      <c r="B69" s="33"/>
      <c r="C69" s="33"/>
      <c r="D69" s="33"/>
      <c r="E69" s="33"/>
      <c r="F69" s="32"/>
      <c r="G69" s="33"/>
      <c r="H69" s="33"/>
      <c r="I69" s="33"/>
      <c r="J69" s="33"/>
      <c r="K69" s="32"/>
      <c r="L69" s="33"/>
      <c r="M69" s="33"/>
      <c r="N69" s="33"/>
      <c r="O69" s="33"/>
      <c r="P69" s="32"/>
      <c r="Q69" s="33"/>
      <c r="R69" s="33"/>
      <c r="S69" s="33"/>
      <c r="T69" s="33"/>
      <c r="U69" s="32"/>
      <c r="V69" s="33"/>
      <c r="W69" s="33"/>
      <c r="X69" s="33"/>
      <c r="Y69" s="33"/>
      <c r="Z69" s="32"/>
      <c r="AA69" s="33"/>
      <c r="AB69" s="33"/>
      <c r="AC69" s="33"/>
      <c r="AD69" s="33"/>
      <c r="AE69" s="32"/>
      <c r="AF69" s="33"/>
      <c r="AG69" s="33"/>
      <c r="AH69" s="33"/>
      <c r="AI69" s="33"/>
      <c r="AJ69" s="32"/>
      <c r="AK69" s="33"/>
      <c r="AL69" s="33"/>
      <c r="AM69" s="33"/>
      <c r="AN69" s="33"/>
      <c r="AO69" s="32"/>
      <c r="AP69" s="33"/>
      <c r="AQ69" s="33"/>
      <c r="AR69" s="33"/>
      <c r="AS69" s="33"/>
      <c r="AT69" s="32"/>
      <c r="AU69" s="33"/>
      <c r="AV69" s="33"/>
      <c r="AW69" s="33"/>
      <c r="AX69" s="33"/>
      <c r="AY69" s="32"/>
      <c r="AZ69" s="33"/>
      <c r="BA69" s="33"/>
      <c r="BB69" s="33"/>
      <c r="BC69" s="33"/>
      <c r="BD69" s="32"/>
      <c r="BE69" s="33"/>
      <c r="BF69" s="33"/>
      <c r="BG69" s="33"/>
      <c r="BH69" s="33"/>
      <c r="BI69" s="32"/>
      <c r="BJ69" s="33"/>
      <c r="BK69" s="33"/>
      <c r="BL69" s="33"/>
      <c r="BM69" s="33"/>
      <c r="BN69" s="32"/>
      <c r="BO69" s="33"/>
      <c r="BP69" s="33"/>
      <c r="BQ69" s="33"/>
      <c r="BR69" s="33"/>
      <c r="BS69" s="32"/>
      <c r="BT69" s="33"/>
      <c r="BU69" s="33"/>
      <c r="BV69" s="33"/>
      <c r="BW69" s="33"/>
      <c r="BX69" s="32"/>
      <c r="BY69" s="33"/>
      <c r="BZ69" s="33"/>
      <c r="CA69" s="33"/>
      <c r="CB69" s="33"/>
      <c r="CC69" s="32"/>
      <c r="CD69" s="33"/>
      <c r="CE69" s="33"/>
      <c r="CF69" s="33"/>
      <c r="CG69" s="33"/>
      <c r="CH69" s="32"/>
      <c r="CI69" s="33"/>
      <c r="CJ69" s="33"/>
      <c r="CK69" s="33"/>
      <c r="CL69" s="33"/>
      <c r="CM69" s="32"/>
      <c r="CN69" s="33"/>
      <c r="CO69" s="33"/>
      <c r="CP69" s="33"/>
      <c r="CQ69" s="33"/>
      <c r="CR69" s="32"/>
      <c r="CS69" s="33"/>
      <c r="CT69" s="33"/>
      <c r="CU69" s="33"/>
      <c r="CV69" s="33"/>
      <c r="CW69" s="32"/>
      <c r="CX69" s="33"/>
      <c r="CY69" s="33"/>
      <c r="CZ69" s="33"/>
      <c r="DA69" s="33"/>
      <c r="DB69" s="32"/>
      <c r="DC69" s="33"/>
      <c r="DD69" s="33"/>
      <c r="DE69" s="33"/>
      <c r="DF69" s="33"/>
      <c r="DG69" s="32"/>
      <c r="DH69" s="33"/>
      <c r="DI69" s="33"/>
      <c r="DJ69" s="33"/>
      <c r="DK69" s="33"/>
      <c r="DL69" s="32"/>
      <c r="DM69" s="33"/>
      <c r="DN69" s="33"/>
      <c r="DO69" s="33"/>
      <c r="DP69" s="33"/>
      <c r="DQ69" s="32"/>
      <c r="DR69" s="33"/>
      <c r="DS69" s="33"/>
      <c r="DT69" s="33"/>
      <c r="DU69" s="33"/>
      <c r="DV69" s="32"/>
      <c r="DW69" s="33"/>
      <c r="DX69" s="33"/>
      <c r="DY69" s="33"/>
      <c r="DZ69" s="33"/>
      <c r="EA69" s="32"/>
      <c r="EB69" s="33"/>
      <c r="EC69" s="33"/>
      <c r="ED69" s="33"/>
      <c r="EE69" s="33"/>
      <c r="EF69" s="32"/>
      <c r="EG69" s="33"/>
      <c r="EH69" s="33"/>
      <c r="EI69" s="33"/>
      <c r="EJ69" s="33"/>
      <c r="EK69" s="32"/>
      <c r="EL69" s="33"/>
      <c r="EM69" s="33"/>
      <c r="EN69" s="33"/>
      <c r="EO69" s="33"/>
      <c r="EP69" s="32"/>
      <c r="EQ69" s="33"/>
      <c r="ER69" s="33"/>
      <c r="ES69" s="33"/>
      <c r="ET69" s="33"/>
      <c r="EU69" s="32"/>
      <c r="EV69" s="34"/>
      <c r="EW69" s="34"/>
      <c r="EX69" s="34"/>
      <c r="EY69" s="34"/>
      <c r="EZ69" s="32"/>
      <c r="FA69" s="34"/>
      <c r="FB69" s="34"/>
      <c r="FC69" s="34"/>
      <c r="FD69" s="34"/>
      <c r="FE69" s="32"/>
      <c r="FF69" s="35"/>
      <c r="FG69" s="466"/>
      <c r="FH69" s="776"/>
      <c r="FI69" s="776"/>
      <c r="FJ69" s="776"/>
      <c r="FK69" s="83"/>
      <c r="FL69" s="1346"/>
      <c r="FM69" s="1537"/>
      <c r="FN69" s="1427">
        <f>EL69</f>
        <v>0</v>
      </c>
      <c r="FO69" s="1414"/>
      <c r="FP69" s="1414"/>
      <c r="FQ69" s="1414"/>
      <c r="FR69" s="1619"/>
      <c r="FS69" s="1619"/>
      <c r="FT69" s="354"/>
      <c r="FU69" s="354"/>
      <c r="FV69" s="354"/>
      <c r="FW69" s="354"/>
      <c r="FX69" s="354"/>
      <c r="FY69" s="354"/>
      <c r="FZ69" s="466"/>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row>
    <row r="70" spans="1:258" s="45" customFormat="1" x14ac:dyDescent="0.2">
      <c r="A70" s="1707" t="s">
        <v>758</v>
      </c>
      <c r="B70" s="10"/>
      <c r="C70" s="10"/>
      <c r="D70" s="10"/>
      <c r="E70" s="10"/>
      <c r="F70" s="9"/>
      <c r="G70" s="10"/>
      <c r="H70" s="10"/>
      <c r="I70" s="10"/>
      <c r="J70" s="10"/>
      <c r="K70" s="9"/>
      <c r="L70" s="10"/>
      <c r="M70" s="10"/>
      <c r="N70" s="10"/>
      <c r="O70" s="10"/>
      <c r="P70" s="9"/>
      <c r="Q70" s="10"/>
      <c r="R70" s="10"/>
      <c r="S70" s="10"/>
      <c r="T70" s="10"/>
      <c r="U70" s="9"/>
      <c r="V70" s="10"/>
      <c r="W70" s="10"/>
      <c r="X70" s="10"/>
      <c r="Y70" s="10"/>
      <c r="Z70" s="9"/>
      <c r="AA70" s="10"/>
      <c r="AB70" s="10"/>
      <c r="AC70" s="10"/>
      <c r="AD70" s="10"/>
      <c r="AE70" s="9"/>
      <c r="AF70" s="10"/>
      <c r="AG70" s="10"/>
      <c r="AH70" s="10"/>
      <c r="AI70" s="10"/>
      <c r="AJ70" s="9"/>
      <c r="AK70" s="10"/>
      <c r="AL70" s="10"/>
      <c r="AM70" s="10"/>
      <c r="AN70" s="10"/>
      <c r="AO70" s="9"/>
      <c r="AP70" s="10"/>
      <c r="AQ70" s="10"/>
      <c r="AR70" s="10"/>
      <c r="AS70" s="10"/>
      <c r="AT70" s="9"/>
      <c r="AU70" s="10"/>
      <c r="AV70" s="10"/>
      <c r="AW70" s="10"/>
      <c r="AX70" s="10"/>
      <c r="AY70" s="9"/>
      <c r="AZ70" s="10"/>
      <c r="BA70" s="10"/>
      <c r="BB70" s="10"/>
      <c r="BC70" s="10"/>
      <c r="BD70" s="9"/>
      <c r="BE70" s="10"/>
      <c r="BF70" s="10"/>
      <c r="BG70" s="10"/>
      <c r="BH70" s="10"/>
      <c r="BI70" s="9"/>
      <c r="BJ70" s="10"/>
      <c r="BK70" s="10"/>
      <c r="BL70" s="10"/>
      <c r="BM70" s="10"/>
      <c r="BN70" s="9"/>
      <c r="BO70" s="10"/>
      <c r="BP70" s="10"/>
      <c r="BQ70" s="10"/>
      <c r="BR70" s="10"/>
      <c r="BS70" s="9"/>
      <c r="BT70" s="10"/>
      <c r="BU70" s="10"/>
      <c r="BV70" s="10"/>
      <c r="BW70" s="10"/>
      <c r="BX70" s="9"/>
      <c r="BY70" s="10"/>
      <c r="BZ70" s="10"/>
      <c r="CA70" s="10"/>
      <c r="CB70" s="10"/>
      <c r="CC70" s="9"/>
      <c r="CD70" s="10"/>
      <c r="CE70" s="10"/>
      <c r="CF70" s="10"/>
      <c r="CG70" s="10"/>
      <c r="CH70" s="9"/>
      <c r="CI70" s="10"/>
      <c r="CJ70" s="10"/>
      <c r="CK70" s="10"/>
      <c r="CL70" s="10"/>
      <c r="CM70" s="9"/>
      <c r="CN70" s="10"/>
      <c r="CO70" s="10"/>
      <c r="CP70" s="10"/>
      <c r="CQ70" s="10"/>
      <c r="CR70" s="9"/>
      <c r="CS70" s="10"/>
      <c r="CT70" s="10"/>
      <c r="CU70" s="10"/>
      <c r="CV70" s="10"/>
      <c r="CW70" s="9"/>
      <c r="CX70" s="10"/>
      <c r="CY70" s="10"/>
      <c r="CZ70" s="10"/>
      <c r="DA70" s="10"/>
      <c r="DB70" s="9"/>
      <c r="DC70" s="10"/>
      <c r="DD70" s="10"/>
      <c r="DE70" s="10"/>
      <c r="DF70" s="10"/>
      <c r="DG70" s="9"/>
      <c r="DH70" s="10"/>
      <c r="DI70" s="10"/>
      <c r="DJ70" s="10"/>
      <c r="DK70" s="10"/>
      <c r="DL70" s="9"/>
      <c r="DM70" s="10"/>
      <c r="DN70" s="10"/>
      <c r="DO70" s="10"/>
      <c r="DP70" s="10"/>
      <c r="DQ70" s="9"/>
      <c r="DR70" s="10"/>
      <c r="DS70" s="10"/>
      <c r="DT70" s="10"/>
      <c r="DU70" s="10"/>
      <c r="DV70" s="9"/>
      <c r="DW70" s="8">
        <v>349</v>
      </c>
      <c r="DX70" s="8">
        <v>355</v>
      </c>
      <c r="DY70" s="8">
        <v>324</v>
      </c>
      <c r="DZ70" s="8">
        <v>367</v>
      </c>
      <c r="EA70" s="38">
        <f>SUM(DW70:DZ70)</f>
        <v>1395</v>
      </c>
      <c r="EB70" s="8">
        <v>355</v>
      </c>
      <c r="EC70" s="8">
        <v>334</v>
      </c>
      <c r="ED70" s="8">
        <v>321</v>
      </c>
      <c r="EE70" s="8">
        <v>335</v>
      </c>
      <c r="EF70" s="38">
        <f>SUM(EB70:EE70)</f>
        <v>1345</v>
      </c>
      <c r="EG70" s="8">
        <v>323</v>
      </c>
      <c r="EH70" s="8">
        <v>307</v>
      </c>
      <c r="EI70" s="8">
        <v>295</v>
      </c>
      <c r="EJ70" s="8">
        <v>361</v>
      </c>
      <c r="EK70" s="38">
        <f>SUM(EG70:EJ70)</f>
        <v>1286</v>
      </c>
      <c r="EL70" s="8">
        <v>332</v>
      </c>
      <c r="EM70" s="8">
        <v>321</v>
      </c>
      <c r="EN70" s="94">
        <v>288</v>
      </c>
      <c r="EO70" s="8">
        <v>321</v>
      </c>
      <c r="EP70" s="38">
        <f>SUM(EL70:EO70)</f>
        <v>1262</v>
      </c>
      <c r="EQ70" s="8">
        <v>307</v>
      </c>
      <c r="ER70" s="10"/>
      <c r="ES70" s="10"/>
      <c r="ET70" s="10"/>
      <c r="EU70" s="9"/>
      <c r="EV70" s="316"/>
      <c r="EW70" s="316"/>
      <c r="EX70" s="316"/>
      <c r="EY70" s="316"/>
      <c r="EZ70" s="9"/>
      <c r="FA70" s="316"/>
      <c r="FB70" s="316"/>
      <c r="FC70" s="316"/>
      <c r="FD70" s="316"/>
      <c r="FE70" s="9"/>
      <c r="FF70" s="44"/>
      <c r="FG70" s="466"/>
      <c r="FH70" s="776"/>
      <c r="FI70" s="776"/>
      <c r="FJ70" s="776"/>
      <c r="FK70" s="83"/>
      <c r="FL70" s="1346"/>
      <c r="FM70" s="1141"/>
      <c r="FN70" s="1418"/>
      <c r="FO70" s="1750"/>
      <c r="FP70" s="1750"/>
      <c r="FQ70" s="1413"/>
      <c r="FR70" s="1619"/>
      <c r="FS70" s="1619"/>
      <c r="FT70" s="354"/>
      <c r="FU70" s="354"/>
      <c r="FV70" s="354"/>
      <c r="FW70" s="354"/>
      <c r="FX70" s="354"/>
      <c r="FY70" s="354"/>
      <c r="FZ70" s="466"/>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row>
    <row r="71" spans="1:258" s="39" customFormat="1" hidden="1" outlineLevel="1" x14ac:dyDescent="0.2">
      <c r="A71" s="583" t="s">
        <v>136</v>
      </c>
      <c r="B71" s="8"/>
      <c r="C71" s="8"/>
      <c r="D71" s="8"/>
      <c r="E71" s="8"/>
      <c r="F71" s="38"/>
      <c r="G71" s="8"/>
      <c r="H71" s="8"/>
      <c r="I71" s="8"/>
      <c r="J71" s="8"/>
      <c r="K71" s="38"/>
      <c r="L71" s="8"/>
      <c r="M71" s="8"/>
      <c r="N71" s="8"/>
      <c r="O71" s="8"/>
      <c r="P71" s="38"/>
      <c r="Q71" s="8"/>
      <c r="R71" s="8"/>
      <c r="S71" s="8"/>
      <c r="T71" s="8"/>
      <c r="U71" s="38"/>
      <c r="V71" s="8"/>
      <c r="W71" s="8"/>
      <c r="X71" s="8"/>
      <c r="Y71" s="8"/>
      <c r="Z71" s="38"/>
      <c r="AA71" s="8"/>
      <c r="AB71" s="8"/>
      <c r="AC71" s="8"/>
      <c r="AD71" s="8"/>
      <c r="AE71" s="38"/>
      <c r="AF71" s="8"/>
      <c r="AG71" s="8"/>
      <c r="AH71" s="8"/>
      <c r="AI71" s="8"/>
      <c r="AJ71" s="38"/>
      <c r="AK71" s="8"/>
      <c r="AL71" s="8"/>
      <c r="AM71" s="8"/>
      <c r="AN71" s="8"/>
      <c r="AO71" s="38"/>
      <c r="AP71" s="8"/>
      <c r="AQ71" s="8"/>
      <c r="AR71" s="8"/>
      <c r="AS71" s="8"/>
      <c r="AT71" s="38"/>
      <c r="AU71" s="8">
        <v>96</v>
      </c>
      <c r="AV71" s="8">
        <v>92</v>
      </c>
      <c r="AW71" s="8">
        <v>87</v>
      </c>
      <c r="AX71" s="8">
        <v>105</v>
      </c>
      <c r="AY71" s="38">
        <v>380</v>
      </c>
      <c r="AZ71" s="8">
        <v>104</v>
      </c>
      <c r="BA71" s="8">
        <v>100</v>
      </c>
      <c r="BB71" s="8">
        <v>111</v>
      </c>
      <c r="BC71" s="8">
        <v>126</v>
      </c>
      <c r="BD71" s="38">
        <v>441</v>
      </c>
      <c r="BE71" s="8">
        <v>122</v>
      </c>
      <c r="BF71" s="8">
        <v>117</v>
      </c>
      <c r="BG71" s="8">
        <v>116</v>
      </c>
      <c r="BH71" s="8">
        <v>128</v>
      </c>
      <c r="BI71" s="38">
        <f>SUM(BE71:BH71)</f>
        <v>483</v>
      </c>
      <c r="BJ71" s="8">
        <v>134</v>
      </c>
      <c r="BK71" s="8">
        <v>125</v>
      </c>
      <c r="BL71" s="8">
        <v>118</v>
      </c>
      <c r="BM71" s="8">
        <v>124</v>
      </c>
      <c r="BN71" s="38">
        <f>SUM(BJ71:BM71)</f>
        <v>501</v>
      </c>
      <c r="BO71" s="8">
        <v>128</v>
      </c>
      <c r="BP71" s="8">
        <v>120</v>
      </c>
      <c r="BQ71" s="8">
        <v>117</v>
      </c>
      <c r="BR71" s="8">
        <v>129</v>
      </c>
      <c r="BS71" s="38">
        <f>SUM(BO71:BR71)</f>
        <v>494</v>
      </c>
      <c r="BT71" s="8">
        <v>128</v>
      </c>
      <c r="BU71" s="8">
        <v>124</v>
      </c>
      <c r="BV71" s="8">
        <v>116</v>
      </c>
      <c r="BW71" s="8">
        <v>129</v>
      </c>
      <c r="BX71" s="38">
        <f>SUM(BT71:BW71)</f>
        <v>497</v>
      </c>
      <c r="BY71" s="8">
        <v>131</v>
      </c>
      <c r="BZ71" s="8">
        <v>127</v>
      </c>
      <c r="CA71" s="8">
        <v>117</v>
      </c>
      <c r="CB71" s="8">
        <v>137</v>
      </c>
      <c r="CC71" s="38">
        <f>SUM(BY71:CB71)</f>
        <v>512</v>
      </c>
      <c r="CD71" s="8">
        <v>137</v>
      </c>
      <c r="CE71" s="8">
        <v>133</v>
      </c>
      <c r="CF71" s="8">
        <v>133</v>
      </c>
      <c r="CG71" s="8">
        <v>147</v>
      </c>
      <c r="CH71" s="38">
        <f>SUM(CD71:CG71)</f>
        <v>550</v>
      </c>
      <c r="CI71" s="8">
        <v>157</v>
      </c>
      <c r="CJ71" s="8">
        <v>164</v>
      </c>
      <c r="CK71" s="8">
        <v>176</v>
      </c>
      <c r="CL71" s="8">
        <v>184</v>
      </c>
      <c r="CM71" s="38">
        <f>SUM(CI71:CL71)</f>
        <v>681</v>
      </c>
      <c r="CN71" s="8">
        <v>179</v>
      </c>
      <c r="CO71" s="8">
        <v>191</v>
      </c>
      <c r="CP71" s="8">
        <v>190</v>
      </c>
      <c r="CQ71" s="8">
        <v>226</v>
      </c>
      <c r="CR71" s="38">
        <f>SUM(CN71:CQ71)</f>
        <v>786</v>
      </c>
      <c r="CS71" s="8">
        <v>235</v>
      </c>
      <c r="CT71" s="8">
        <v>246</v>
      </c>
      <c r="CU71" s="8">
        <v>258</v>
      </c>
      <c r="CV71" s="8">
        <v>271</v>
      </c>
      <c r="CW71" s="38">
        <f>SUM(CS71:CV71)</f>
        <v>1010</v>
      </c>
      <c r="CX71" s="8">
        <v>249</v>
      </c>
      <c r="CY71" s="8">
        <v>233</v>
      </c>
      <c r="CZ71" s="8">
        <v>223</v>
      </c>
      <c r="DA71" s="8">
        <v>255</v>
      </c>
      <c r="DB71" s="38">
        <f>SUM(CX71:DA71)</f>
        <v>960</v>
      </c>
      <c r="DC71" s="8">
        <v>267</v>
      </c>
      <c r="DD71" s="8">
        <v>255</v>
      </c>
      <c r="DE71" s="8">
        <v>246</v>
      </c>
      <c r="DF71" s="8">
        <v>288</v>
      </c>
      <c r="DG71" s="38">
        <f>SUM(DC71:DF71)</f>
        <v>1056</v>
      </c>
      <c r="DH71" s="8">
        <v>260</v>
      </c>
      <c r="DI71" s="8">
        <v>273</v>
      </c>
      <c r="DJ71" s="8">
        <v>234</v>
      </c>
      <c r="DK71" s="8">
        <v>281</v>
      </c>
      <c r="DL71" s="38">
        <f>SUM(DH71:DK71)</f>
        <v>1048</v>
      </c>
      <c r="DM71" s="8">
        <v>275</v>
      </c>
      <c r="DN71" s="8">
        <v>261</v>
      </c>
      <c r="DO71" s="8">
        <v>220</v>
      </c>
      <c r="DP71" s="8">
        <v>251</v>
      </c>
      <c r="DQ71" s="38">
        <f>SUM(DM71:DP71)</f>
        <v>1007</v>
      </c>
      <c r="DR71" s="8">
        <v>241</v>
      </c>
      <c r="DS71" s="8">
        <v>248</v>
      </c>
      <c r="DT71" s="8">
        <v>223</v>
      </c>
      <c r="DU71" s="8">
        <v>301</v>
      </c>
      <c r="DV71" s="38">
        <f>SUM(DR71:DU71)</f>
        <v>1013</v>
      </c>
      <c r="DW71" s="8">
        <v>284</v>
      </c>
      <c r="DX71" s="8">
        <v>285</v>
      </c>
      <c r="DY71" s="8">
        <v>260</v>
      </c>
      <c r="DZ71" s="8">
        <v>301</v>
      </c>
      <c r="EA71" s="38"/>
      <c r="EB71" s="8">
        <f t="shared" ref="EB71:EE71" si="328">EB70-EB72</f>
        <v>291</v>
      </c>
      <c r="EC71" s="8">
        <f t="shared" si="328"/>
        <v>266</v>
      </c>
      <c r="ED71" s="8">
        <f t="shared" si="328"/>
        <v>257</v>
      </c>
      <c r="EE71" s="8">
        <f t="shared" si="328"/>
        <v>273</v>
      </c>
      <c r="EF71" s="38"/>
      <c r="EG71" s="8">
        <f t="shared" ref="EG71:EH71" si="329">EG70-EG72</f>
        <v>263</v>
      </c>
      <c r="EH71" s="8">
        <f t="shared" si="329"/>
        <v>243</v>
      </c>
      <c r="EI71" s="8">
        <f>EI70-EI72</f>
        <v>231</v>
      </c>
      <c r="EJ71" s="8"/>
      <c r="EK71" s="38"/>
      <c r="EL71" s="8"/>
      <c r="EM71" s="8"/>
      <c r="EN71" s="94"/>
      <c r="EO71" s="8"/>
      <c r="EP71" s="38"/>
      <c r="EQ71" s="8"/>
      <c r="ER71" s="8"/>
      <c r="ES71" s="8"/>
      <c r="ET71" s="8"/>
      <c r="EU71" s="38"/>
      <c r="EV71" s="8"/>
      <c r="EW71" s="8"/>
      <c r="EX71" s="8"/>
      <c r="EY71" s="8"/>
      <c r="EZ71" s="38"/>
      <c r="FA71" s="8"/>
      <c r="FB71" s="8"/>
      <c r="FC71" s="8"/>
      <c r="FD71" s="8"/>
      <c r="FE71" s="38"/>
      <c r="FG71" s="478"/>
      <c r="FH71" s="777"/>
      <c r="FI71" s="777"/>
      <c r="FJ71" s="777"/>
      <c r="FK71" s="175"/>
      <c r="FL71" s="1347"/>
      <c r="FM71" s="1155">
        <f>+EQ71</f>
        <v>0</v>
      </c>
      <c r="FN71" s="1428">
        <f>EL71</f>
        <v>0</v>
      </c>
      <c r="FO71" s="1816"/>
      <c r="FP71" s="1733" t="e">
        <f>+FM71/FN71-1</f>
        <v>#DIV/0!</v>
      </c>
      <c r="FQ71" s="1519" t="e">
        <f>+FM71/FO71-1</f>
        <v>#DIV/0!</v>
      </c>
      <c r="FR71" s="1619"/>
      <c r="FS71" s="1619"/>
      <c r="FT71" s="355"/>
      <c r="FU71" s="355"/>
      <c r="FV71" s="355"/>
      <c r="FW71" s="355"/>
      <c r="FX71" s="355"/>
      <c r="FY71" s="355"/>
      <c r="FZ71" s="478"/>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row>
    <row r="72" spans="1:258" s="39" customFormat="1" hidden="1" outlineLevel="1" x14ac:dyDescent="0.2">
      <c r="A72" s="1708" t="s">
        <v>757</v>
      </c>
      <c r="B72" s="8"/>
      <c r="C72" s="8"/>
      <c r="D72" s="8"/>
      <c r="E72" s="8"/>
      <c r="F72" s="38"/>
      <c r="G72" s="8"/>
      <c r="H72" s="8"/>
      <c r="I72" s="8"/>
      <c r="J72" s="8"/>
      <c r="K72" s="38"/>
      <c r="L72" s="8"/>
      <c r="M72" s="8"/>
      <c r="N72" s="8"/>
      <c r="O72" s="8"/>
      <c r="P72" s="38"/>
      <c r="Q72" s="8"/>
      <c r="R72" s="8"/>
      <c r="S72" s="8"/>
      <c r="T72" s="8"/>
      <c r="U72" s="38"/>
      <c r="V72" s="8"/>
      <c r="W72" s="8"/>
      <c r="X72" s="8"/>
      <c r="Y72" s="8"/>
      <c r="Z72" s="38"/>
      <c r="AA72" s="8"/>
      <c r="AB72" s="8"/>
      <c r="AC72" s="8"/>
      <c r="AD72" s="8"/>
      <c r="AE72" s="38"/>
      <c r="AF72" s="8"/>
      <c r="AG72" s="8"/>
      <c r="AH72" s="8"/>
      <c r="AI72" s="8"/>
      <c r="AJ72" s="38"/>
      <c r="AK72" s="8"/>
      <c r="AL72" s="8"/>
      <c r="AM72" s="8"/>
      <c r="AN72" s="8"/>
      <c r="AO72" s="38"/>
      <c r="AP72" s="8"/>
      <c r="AQ72" s="8"/>
      <c r="AR72" s="8"/>
      <c r="AS72" s="8"/>
      <c r="AT72" s="38"/>
      <c r="AU72" s="8"/>
      <c r="AV72" s="8"/>
      <c r="AW72" s="8"/>
      <c r="AX72" s="8"/>
      <c r="AY72" s="38"/>
      <c r="AZ72" s="8"/>
      <c r="BA72" s="8"/>
      <c r="BB72" s="8"/>
      <c r="BC72" s="8"/>
      <c r="BD72" s="38"/>
      <c r="BE72" s="8"/>
      <c r="BF72" s="8"/>
      <c r="BG72" s="8"/>
      <c r="BH72" s="8"/>
      <c r="BI72" s="38"/>
      <c r="BJ72" s="8"/>
      <c r="BK72" s="8"/>
      <c r="BL72" s="8"/>
      <c r="BM72" s="8"/>
      <c r="BN72" s="38"/>
      <c r="BO72" s="8"/>
      <c r="BP72" s="8"/>
      <c r="BQ72" s="8"/>
      <c r="BR72" s="8"/>
      <c r="BS72" s="38"/>
      <c r="BT72" s="8"/>
      <c r="BU72" s="8"/>
      <c r="BV72" s="8"/>
      <c r="BW72" s="8"/>
      <c r="BX72" s="38"/>
      <c r="BY72" s="8"/>
      <c r="BZ72" s="8"/>
      <c r="CA72" s="8"/>
      <c r="CB72" s="8"/>
      <c r="CC72" s="38"/>
      <c r="CD72" s="8"/>
      <c r="CE72" s="8"/>
      <c r="CF72" s="8"/>
      <c r="CG72" s="8"/>
      <c r="CH72" s="38"/>
      <c r="CI72" s="8"/>
      <c r="CJ72" s="8"/>
      <c r="CK72" s="8"/>
      <c r="CL72" s="8"/>
      <c r="CM72" s="38"/>
      <c r="CN72" s="8"/>
      <c r="CO72" s="8"/>
      <c r="CP72" s="8"/>
      <c r="CQ72" s="8"/>
      <c r="CR72" s="38"/>
      <c r="CS72" s="8"/>
      <c r="CT72" s="8"/>
      <c r="CU72" s="8"/>
      <c r="CV72" s="8"/>
      <c r="CW72" s="38"/>
      <c r="CX72" s="8"/>
      <c r="CY72" s="8"/>
      <c r="CZ72" s="8"/>
      <c r="DA72" s="8"/>
      <c r="DB72" s="38"/>
      <c r="DC72" s="8"/>
      <c r="DD72" s="8"/>
      <c r="DE72" s="8"/>
      <c r="DF72" s="8"/>
      <c r="DG72" s="38"/>
      <c r="DH72" s="8"/>
      <c r="DI72" s="8"/>
      <c r="DJ72" s="8"/>
      <c r="DK72" s="8"/>
      <c r="DL72" s="38"/>
      <c r="DM72" s="8"/>
      <c r="DN72" s="8"/>
      <c r="DO72" s="8"/>
      <c r="DP72" s="8"/>
      <c r="DQ72" s="38"/>
      <c r="DR72" s="8"/>
      <c r="DS72" s="8"/>
      <c r="DT72" s="8"/>
      <c r="DU72" s="8"/>
      <c r="DV72" s="38"/>
      <c r="DW72" s="8">
        <f t="shared" ref="DW72:DZ72" si="330">DW112</f>
        <v>65</v>
      </c>
      <c r="DX72" s="8">
        <f t="shared" si="330"/>
        <v>70</v>
      </c>
      <c r="DY72" s="8">
        <f t="shared" si="330"/>
        <v>64</v>
      </c>
      <c r="DZ72" s="8">
        <f t="shared" si="330"/>
        <v>66</v>
      </c>
      <c r="EA72" s="38"/>
      <c r="EB72" s="8">
        <f t="shared" ref="EB72:EE72" si="331">EB112</f>
        <v>64</v>
      </c>
      <c r="EC72" s="8">
        <f t="shared" si="331"/>
        <v>68</v>
      </c>
      <c r="ED72" s="8">
        <f t="shared" si="331"/>
        <v>64</v>
      </c>
      <c r="EE72" s="8">
        <f t="shared" si="331"/>
        <v>62</v>
      </c>
      <c r="EF72" s="38"/>
      <c r="EG72" s="8">
        <f>EG112</f>
        <v>60</v>
      </c>
      <c r="EH72" s="8">
        <f>EH112</f>
        <v>64</v>
      </c>
      <c r="EI72" s="8">
        <v>64</v>
      </c>
      <c r="EJ72" s="8"/>
      <c r="EK72" s="38"/>
      <c r="EL72" s="8"/>
      <c r="EM72" s="8"/>
      <c r="EN72" s="94"/>
      <c r="EO72" s="8"/>
      <c r="EP72" s="38"/>
      <c r="EQ72" s="8"/>
      <c r="ER72" s="8"/>
      <c r="ES72" s="8"/>
      <c r="ET72" s="8"/>
      <c r="EU72" s="38"/>
      <c r="EV72" s="8"/>
      <c r="EW72" s="8"/>
      <c r="EX72" s="8"/>
      <c r="EY72" s="8"/>
      <c r="EZ72" s="38"/>
      <c r="FA72" s="8"/>
      <c r="FB72" s="8"/>
      <c r="FC72" s="8"/>
      <c r="FD72" s="8"/>
      <c r="FE72" s="38"/>
      <c r="FG72" s="478"/>
      <c r="FH72" s="777"/>
      <c r="FI72" s="777"/>
      <c r="FJ72" s="777"/>
      <c r="FK72" s="175"/>
      <c r="FL72" s="1347"/>
      <c r="FM72" s="1155"/>
      <c r="FN72" s="1428"/>
      <c r="FO72" s="1816"/>
      <c r="FP72" s="1733"/>
      <c r="FQ72" s="1519"/>
      <c r="FR72" s="1619"/>
      <c r="FS72" s="1619"/>
      <c r="FT72" s="355"/>
      <c r="FU72" s="355"/>
      <c r="FV72" s="355"/>
      <c r="FW72" s="355"/>
      <c r="FX72" s="355"/>
      <c r="FY72" s="355"/>
      <c r="FZ72" s="478"/>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row>
    <row r="73" spans="1:258" s="39" customFormat="1" collapsed="1" x14ac:dyDescent="0.2">
      <c r="A73" s="1707" t="s">
        <v>759</v>
      </c>
      <c r="B73" s="8"/>
      <c r="C73" s="8"/>
      <c r="D73" s="8"/>
      <c r="E73" s="8"/>
      <c r="F73" s="38"/>
      <c r="G73" s="8"/>
      <c r="H73" s="8"/>
      <c r="I73" s="8"/>
      <c r="J73" s="8"/>
      <c r="K73" s="38"/>
      <c r="L73" s="8"/>
      <c r="M73" s="8"/>
      <c r="N73" s="8"/>
      <c r="O73" s="8"/>
      <c r="P73" s="38"/>
      <c r="Q73" s="8"/>
      <c r="R73" s="8"/>
      <c r="S73" s="8"/>
      <c r="T73" s="8"/>
      <c r="U73" s="38"/>
      <c r="V73" s="8"/>
      <c r="W73" s="8"/>
      <c r="X73" s="8"/>
      <c r="Y73" s="8"/>
      <c r="Z73" s="38"/>
      <c r="AA73" s="8"/>
      <c r="AB73" s="8"/>
      <c r="AC73" s="8"/>
      <c r="AD73" s="8"/>
      <c r="AE73" s="38"/>
      <c r="AF73" s="8"/>
      <c r="AG73" s="8"/>
      <c r="AH73" s="8"/>
      <c r="AI73" s="8"/>
      <c r="AJ73" s="38"/>
      <c r="AK73" s="8"/>
      <c r="AL73" s="8"/>
      <c r="AM73" s="8"/>
      <c r="AN73" s="8"/>
      <c r="AO73" s="38"/>
      <c r="AP73" s="8"/>
      <c r="AQ73" s="8"/>
      <c r="AR73" s="8"/>
      <c r="AS73" s="8"/>
      <c r="AT73" s="38"/>
      <c r="AU73" s="8">
        <v>83</v>
      </c>
      <c r="AV73" s="8">
        <v>79</v>
      </c>
      <c r="AW73" s="8">
        <v>69</v>
      </c>
      <c r="AX73" s="8">
        <v>73</v>
      </c>
      <c r="AY73" s="38">
        <v>304</v>
      </c>
      <c r="AZ73" s="8">
        <v>90</v>
      </c>
      <c r="BA73" s="8">
        <v>78</v>
      </c>
      <c r="BB73" s="8">
        <v>71</v>
      </c>
      <c r="BC73" s="8">
        <v>79</v>
      </c>
      <c r="BD73" s="38">
        <v>318</v>
      </c>
      <c r="BE73" s="8">
        <v>93</v>
      </c>
      <c r="BF73" s="8">
        <v>74</v>
      </c>
      <c r="BG73" s="8">
        <v>75</v>
      </c>
      <c r="BH73" s="8">
        <v>75</v>
      </c>
      <c r="BI73" s="38">
        <f>SUM(BE73:BH73)</f>
        <v>317</v>
      </c>
      <c r="BJ73" s="8">
        <v>89</v>
      </c>
      <c r="BK73" s="8">
        <v>75</v>
      </c>
      <c r="BL73" s="8">
        <v>63</v>
      </c>
      <c r="BM73" s="8">
        <v>79</v>
      </c>
      <c r="BN73" s="38">
        <f>SUM(BJ73:BM73)</f>
        <v>306</v>
      </c>
      <c r="BO73" s="8">
        <v>89</v>
      </c>
      <c r="BP73" s="8">
        <v>83</v>
      </c>
      <c r="BQ73" s="8">
        <v>73</v>
      </c>
      <c r="BR73" s="8">
        <v>79</v>
      </c>
      <c r="BS73" s="38">
        <f>SUM(BO73:BR73)</f>
        <v>324</v>
      </c>
      <c r="BT73" s="8">
        <v>87</v>
      </c>
      <c r="BU73" s="8">
        <v>85</v>
      </c>
      <c r="BV73" s="8">
        <v>74</v>
      </c>
      <c r="BW73" s="8">
        <v>83</v>
      </c>
      <c r="BX73" s="38">
        <f>SUM(BT73:BW73)</f>
        <v>329</v>
      </c>
      <c r="BY73" s="8">
        <v>89</v>
      </c>
      <c r="BZ73" s="8">
        <v>88</v>
      </c>
      <c r="CA73" s="8">
        <v>75</v>
      </c>
      <c r="CB73" s="8">
        <v>89</v>
      </c>
      <c r="CC73" s="38">
        <f>SUM(BY73:CB73)</f>
        <v>341</v>
      </c>
      <c r="CD73" s="8">
        <v>90</v>
      </c>
      <c r="CE73" s="8">
        <v>91</v>
      </c>
      <c r="CF73" s="8">
        <v>83</v>
      </c>
      <c r="CG73" s="8">
        <v>87</v>
      </c>
      <c r="CH73" s="38">
        <f>SUM(CD73:CG73)</f>
        <v>351</v>
      </c>
      <c r="CI73" s="8">
        <v>90</v>
      </c>
      <c r="CJ73" s="8">
        <v>93</v>
      </c>
      <c r="CK73" s="8">
        <v>82</v>
      </c>
      <c r="CL73" s="8">
        <v>89</v>
      </c>
      <c r="CM73" s="38">
        <f>SUM(CI73:CL73)</f>
        <v>354</v>
      </c>
      <c r="CN73" s="8">
        <v>106</v>
      </c>
      <c r="CO73" s="8">
        <v>104</v>
      </c>
      <c r="CP73" s="8">
        <v>101</v>
      </c>
      <c r="CQ73" s="8">
        <v>110</v>
      </c>
      <c r="CR73" s="38">
        <f>SUM(CN73:CQ73)</f>
        <v>421</v>
      </c>
      <c r="CS73" s="8">
        <v>130</v>
      </c>
      <c r="CT73" s="8">
        <v>128</v>
      </c>
      <c r="CU73" s="8">
        <v>117</v>
      </c>
      <c r="CV73" s="8">
        <v>86</v>
      </c>
      <c r="CW73" s="38">
        <f>SUM(CS73:CV73)</f>
        <v>461</v>
      </c>
      <c r="CX73" s="8">
        <v>87</v>
      </c>
      <c r="CY73" s="8">
        <v>94</v>
      </c>
      <c r="CZ73" s="8">
        <v>94</v>
      </c>
      <c r="DA73" s="8">
        <v>98</v>
      </c>
      <c r="DB73" s="38">
        <f>SUM(CX73:DA73)</f>
        <v>373</v>
      </c>
      <c r="DC73" s="8">
        <v>123</v>
      </c>
      <c r="DD73" s="8">
        <v>109</v>
      </c>
      <c r="DE73" s="8">
        <v>107</v>
      </c>
      <c r="DF73" s="8">
        <v>126</v>
      </c>
      <c r="DG73" s="38">
        <f>SUM(DC73:DF73)</f>
        <v>465</v>
      </c>
      <c r="DH73" s="8">
        <v>136</v>
      </c>
      <c r="DI73" s="8">
        <v>119</v>
      </c>
      <c r="DJ73" s="8">
        <v>118</v>
      </c>
      <c r="DK73" s="8">
        <v>117</v>
      </c>
      <c r="DL73" s="38">
        <f>SUM(DH73:DK73)</f>
        <v>490</v>
      </c>
      <c r="DM73" s="8">
        <v>131</v>
      </c>
      <c r="DN73" s="8">
        <v>125</v>
      </c>
      <c r="DO73" s="8">
        <v>123</v>
      </c>
      <c r="DP73" s="8">
        <v>133</v>
      </c>
      <c r="DQ73" s="38">
        <f>SUM(DM73:DP73)</f>
        <v>512</v>
      </c>
      <c r="DR73" s="8">
        <v>144</v>
      </c>
      <c r="DS73" s="8">
        <v>135</v>
      </c>
      <c r="DT73" s="8">
        <v>124</v>
      </c>
      <c r="DU73" s="8">
        <v>124</v>
      </c>
      <c r="DV73" s="38">
        <f>SUM(DR73:DU73)</f>
        <v>527</v>
      </c>
      <c r="DW73" s="8">
        <v>134</v>
      </c>
      <c r="DX73" s="8">
        <v>143</v>
      </c>
      <c r="DY73" s="8">
        <v>127</v>
      </c>
      <c r="DZ73" s="8">
        <v>130</v>
      </c>
      <c r="EA73" s="38">
        <f>SUM(DW73:DZ73)</f>
        <v>534</v>
      </c>
      <c r="EB73" s="8">
        <v>136</v>
      </c>
      <c r="EC73" s="8">
        <v>122</v>
      </c>
      <c r="ED73" s="8">
        <v>111</v>
      </c>
      <c r="EE73" s="8">
        <v>120</v>
      </c>
      <c r="EF73" s="38">
        <f>SUM(EB73:EE73)</f>
        <v>489</v>
      </c>
      <c r="EG73" s="8">
        <v>127</v>
      </c>
      <c r="EH73" s="8">
        <v>114</v>
      </c>
      <c r="EI73" s="8">
        <v>104</v>
      </c>
      <c r="EJ73" s="8">
        <v>118</v>
      </c>
      <c r="EK73" s="38">
        <f>SUM(EG73:EJ73)</f>
        <v>463</v>
      </c>
      <c r="EL73" s="8">
        <v>129</v>
      </c>
      <c r="EM73" s="8">
        <v>118</v>
      </c>
      <c r="EN73" s="94">
        <v>106</v>
      </c>
      <c r="EO73" s="8">
        <v>113</v>
      </c>
      <c r="EP73" s="38">
        <f>SUM(EL73:EO73)</f>
        <v>466</v>
      </c>
      <c r="EQ73" s="8">
        <v>116</v>
      </c>
      <c r="ER73" s="8"/>
      <c r="ES73" s="8"/>
      <c r="ET73" s="8"/>
      <c r="EU73" s="38"/>
      <c r="EV73" s="8"/>
      <c r="EW73" s="8"/>
      <c r="EX73" s="8"/>
      <c r="EY73" s="8"/>
      <c r="EZ73" s="38"/>
      <c r="FA73" s="8"/>
      <c r="FB73" s="8"/>
      <c r="FC73" s="8"/>
      <c r="FD73" s="8"/>
      <c r="FE73" s="38"/>
      <c r="FG73" s="464"/>
      <c r="FH73" s="777"/>
      <c r="FI73" s="777"/>
      <c r="FJ73" s="777"/>
      <c r="FK73" s="175"/>
      <c r="FL73" s="1347"/>
      <c r="FM73" s="1155"/>
      <c r="FN73" s="1428"/>
      <c r="FO73" s="1816"/>
      <c r="FP73" s="1733"/>
      <c r="FQ73" s="1519"/>
      <c r="FR73" s="1619"/>
      <c r="FS73" s="1619"/>
      <c r="FT73" s="355"/>
      <c r="FU73" s="355"/>
      <c r="FV73" s="355"/>
      <c r="FW73" s="355"/>
      <c r="FX73" s="355"/>
      <c r="FY73" s="355"/>
      <c r="FZ73" s="464"/>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row>
    <row r="74" spans="1:258" s="113" customFormat="1" x14ac:dyDescent="0.2">
      <c r="A74" s="109" t="s">
        <v>415</v>
      </c>
      <c r="B74" s="110"/>
      <c r="C74" s="110"/>
      <c r="D74" s="110"/>
      <c r="E74" s="110"/>
      <c r="F74" s="404"/>
      <c r="G74" s="110"/>
      <c r="H74" s="110"/>
      <c r="I74" s="110"/>
      <c r="J74" s="110"/>
      <c r="K74" s="404"/>
      <c r="L74" s="110"/>
      <c r="M74" s="110"/>
      <c r="N74" s="110"/>
      <c r="O74" s="110"/>
      <c r="P74" s="404"/>
      <c r="Q74" s="110">
        <v>388</v>
      </c>
      <c r="R74" s="110">
        <v>386.0766798418972</v>
      </c>
      <c r="S74" s="110">
        <v>398</v>
      </c>
      <c r="T74" s="110">
        <v>396</v>
      </c>
      <c r="U74" s="404">
        <v>1568.0766798418972</v>
      </c>
      <c r="V74" s="110">
        <v>340</v>
      </c>
      <c r="W74" s="110">
        <v>354</v>
      </c>
      <c r="X74" s="110">
        <v>340</v>
      </c>
      <c r="Y74" s="110">
        <v>329</v>
      </c>
      <c r="Z74" s="404">
        <v>1363</v>
      </c>
      <c r="AA74" s="110">
        <v>339</v>
      </c>
      <c r="AB74" s="110">
        <v>363</v>
      </c>
      <c r="AC74" s="110">
        <v>384</v>
      </c>
      <c r="AD74" s="110">
        <v>379</v>
      </c>
      <c r="AE74" s="404">
        <v>1465</v>
      </c>
      <c r="AF74" s="110">
        <v>366</v>
      </c>
      <c r="AG74" s="110">
        <v>379</v>
      </c>
      <c r="AH74" s="110">
        <v>388</v>
      </c>
      <c r="AI74" s="110">
        <v>390</v>
      </c>
      <c r="AJ74" s="404">
        <v>1523</v>
      </c>
      <c r="AK74" s="110">
        <v>370</v>
      </c>
      <c r="AL74" s="110">
        <v>404</v>
      </c>
      <c r="AM74" s="110">
        <v>404</v>
      </c>
      <c r="AN74" s="110">
        <v>406</v>
      </c>
      <c r="AO74" s="404">
        <v>1584</v>
      </c>
      <c r="AP74" s="110">
        <v>389</v>
      </c>
      <c r="AQ74" s="110">
        <v>382.2</v>
      </c>
      <c r="AR74" s="110">
        <v>390</v>
      </c>
      <c r="AS74" s="110">
        <v>399</v>
      </c>
      <c r="AT74" s="404">
        <v>1560.2</v>
      </c>
      <c r="AU74" s="110">
        <v>386</v>
      </c>
      <c r="AV74" s="110">
        <v>396</v>
      </c>
      <c r="AW74" s="110">
        <v>403</v>
      </c>
      <c r="AX74" s="110">
        <v>398</v>
      </c>
      <c r="AY74" s="404">
        <v>1583</v>
      </c>
      <c r="AZ74" s="110">
        <v>372</v>
      </c>
      <c r="BA74" s="110">
        <v>371</v>
      </c>
      <c r="BB74" s="110">
        <v>421</v>
      </c>
      <c r="BC74" s="110">
        <v>402</v>
      </c>
      <c r="BD74" s="404">
        <v>1566</v>
      </c>
      <c r="BE74" s="110">
        <v>390</v>
      </c>
      <c r="BF74" s="110">
        <v>403</v>
      </c>
      <c r="BG74" s="110">
        <v>416</v>
      </c>
      <c r="BH74" s="110">
        <v>414</v>
      </c>
      <c r="BI74" s="404">
        <f>SUM(BE74:BH74)</f>
        <v>1623</v>
      </c>
      <c r="BJ74" s="110">
        <v>430</v>
      </c>
      <c r="BK74" s="110">
        <v>436</v>
      </c>
      <c r="BL74" s="110">
        <v>435</v>
      </c>
      <c r="BM74" s="110">
        <v>438</v>
      </c>
      <c r="BN74" s="404">
        <f>SUM(BJ74:BM74)</f>
        <v>1739</v>
      </c>
      <c r="BO74" s="110">
        <v>397</v>
      </c>
      <c r="BP74" s="110">
        <v>399</v>
      </c>
      <c r="BQ74" s="110">
        <v>401</v>
      </c>
      <c r="BR74" s="110">
        <v>401</v>
      </c>
      <c r="BS74" s="404">
        <f>SUM(BO74:BR74)</f>
        <v>1598</v>
      </c>
      <c r="BT74" s="110">
        <v>383</v>
      </c>
      <c r="BU74" s="110">
        <v>416</v>
      </c>
      <c r="BV74" s="110">
        <v>398</v>
      </c>
      <c r="BW74" s="110">
        <v>403</v>
      </c>
      <c r="BX74" s="404">
        <f>SUM(BT74:BW74)</f>
        <v>1600</v>
      </c>
      <c r="BY74" s="110">
        <v>422</v>
      </c>
      <c r="BZ74" s="110">
        <v>442</v>
      </c>
      <c r="CA74" s="110">
        <v>438</v>
      </c>
      <c r="CB74" s="110">
        <v>478</v>
      </c>
      <c r="CC74" s="404">
        <f>SUM(BY74:CB74)</f>
        <v>1780</v>
      </c>
      <c r="CD74" s="110">
        <v>506</v>
      </c>
      <c r="CE74" s="110">
        <v>524</v>
      </c>
      <c r="CF74" s="110">
        <v>512</v>
      </c>
      <c r="CG74" s="110">
        <v>521</v>
      </c>
      <c r="CH74" s="404">
        <f>SUM(CD74:CG74)</f>
        <v>2063</v>
      </c>
      <c r="CI74" s="110">
        <v>579</v>
      </c>
      <c r="CJ74" s="110">
        <v>593</v>
      </c>
      <c r="CK74" s="110">
        <v>602</v>
      </c>
      <c r="CL74" s="110">
        <v>604</v>
      </c>
      <c r="CM74" s="404">
        <f>SUM(CI74:CL74)</f>
        <v>2378</v>
      </c>
      <c r="CN74" s="110">
        <v>633</v>
      </c>
      <c r="CO74" s="110">
        <v>638</v>
      </c>
      <c r="CP74" s="110">
        <v>649</v>
      </c>
      <c r="CQ74" s="110">
        <v>683</v>
      </c>
      <c r="CR74" s="404">
        <f>SUM(CN74:CQ74)</f>
        <v>2603</v>
      </c>
      <c r="CS74" s="110">
        <v>762</v>
      </c>
      <c r="CT74" s="110">
        <v>824</v>
      </c>
      <c r="CU74" s="110">
        <v>850</v>
      </c>
      <c r="CV74" s="110">
        <v>849</v>
      </c>
      <c r="CW74" s="404">
        <f>SUM(CS74:CV74)</f>
        <v>3285</v>
      </c>
      <c r="CX74" s="110">
        <v>744</v>
      </c>
      <c r="CY74" s="110">
        <v>662</v>
      </c>
      <c r="CZ74" s="110">
        <v>680</v>
      </c>
      <c r="DA74" s="110">
        <v>641</v>
      </c>
      <c r="DB74" s="404">
        <f>SUM(CX74:DA74)</f>
        <v>2727</v>
      </c>
      <c r="DC74" s="110">
        <v>736</v>
      </c>
      <c r="DD74" s="110">
        <v>835</v>
      </c>
      <c r="DE74" s="110">
        <v>835</v>
      </c>
      <c r="DF74" s="110">
        <v>861</v>
      </c>
      <c r="DG74" s="404">
        <f>SUM(DC74:DF74)</f>
        <v>3267</v>
      </c>
      <c r="DH74" s="110">
        <v>879</v>
      </c>
      <c r="DI74" s="110">
        <v>958</v>
      </c>
      <c r="DJ74" s="110">
        <v>957</v>
      </c>
      <c r="DK74" s="110">
        <v>915</v>
      </c>
      <c r="DL74" s="404">
        <f>SUM(DH74:DK74)</f>
        <v>3709</v>
      </c>
      <c r="DM74" s="110">
        <v>832</v>
      </c>
      <c r="DN74" s="110">
        <v>820</v>
      </c>
      <c r="DO74" s="110">
        <v>791</v>
      </c>
      <c r="DP74" s="110">
        <v>747</v>
      </c>
      <c r="DQ74" s="404">
        <f>SUM(DM74:DP74)</f>
        <v>3190</v>
      </c>
      <c r="DR74" s="110">
        <v>726</v>
      </c>
      <c r="DS74" s="110">
        <v>770</v>
      </c>
      <c r="DT74" s="110">
        <v>720</v>
      </c>
      <c r="DU74" s="110">
        <v>679</v>
      </c>
      <c r="DV74" s="404">
        <f>SUM(DR74:DU74)</f>
        <v>2895</v>
      </c>
      <c r="DW74" s="110">
        <v>662</v>
      </c>
      <c r="DX74" s="110">
        <v>744</v>
      </c>
      <c r="DY74" s="110">
        <v>721</v>
      </c>
      <c r="DZ74" s="110">
        <v>722</v>
      </c>
      <c r="EA74" s="404">
        <f>SUM(DW74:DZ74)</f>
        <v>2849</v>
      </c>
      <c r="EB74" s="110">
        <v>638</v>
      </c>
      <c r="EC74" s="110">
        <v>630</v>
      </c>
      <c r="ED74" s="110">
        <v>583</v>
      </c>
      <c r="EE74" s="110">
        <v>449</v>
      </c>
      <c r="EF74" s="404">
        <f>SUM(EB74:EE74)</f>
        <v>2300</v>
      </c>
      <c r="EG74" s="110">
        <v>399</v>
      </c>
      <c r="EH74" s="110">
        <v>416</v>
      </c>
      <c r="EI74" s="110">
        <v>467</v>
      </c>
      <c r="EJ74" s="110">
        <v>551</v>
      </c>
      <c r="EK74" s="404">
        <f>SUM(EG74:EJ74)</f>
        <v>1833</v>
      </c>
      <c r="EL74" s="110">
        <v>522</v>
      </c>
      <c r="EM74" s="110">
        <v>530</v>
      </c>
      <c r="EN74" s="110">
        <v>514</v>
      </c>
      <c r="EO74" s="110">
        <v>541</v>
      </c>
      <c r="EP74" s="404">
        <f>SUM(EL74:EO74)</f>
        <v>2107</v>
      </c>
      <c r="EQ74" s="110">
        <v>503</v>
      </c>
      <c r="ER74" s="110">
        <f t="shared" ref="ER74" si="332">ER5*ER80/1000</f>
        <v>494.91399999999999</v>
      </c>
      <c r="ES74" s="110">
        <f t="shared" ref="ES74:ET74" si="333">ES5*ES80/1000</f>
        <v>510.71040000000005</v>
      </c>
      <c r="ET74" s="110">
        <f t="shared" si="333"/>
        <v>569.673</v>
      </c>
      <c r="EU74" s="404">
        <f>SUM(EQ74:ET74)</f>
        <v>2078.2974000000004</v>
      </c>
      <c r="EV74" s="110"/>
      <c r="EW74" s="110"/>
      <c r="EX74" s="110"/>
      <c r="EY74" s="110"/>
      <c r="EZ74" s="404">
        <f>EZ5*EZ80/1000</f>
        <v>1973.1355515600003</v>
      </c>
      <c r="FA74" s="110"/>
      <c r="FB74" s="110"/>
      <c r="FC74" s="110"/>
      <c r="FD74" s="110"/>
      <c r="FE74" s="404">
        <f>FE5*FE80/1000</f>
        <v>1873.2948926510642</v>
      </c>
      <c r="FG74" s="482"/>
      <c r="FH74" s="815">
        <f>+(FE74/EU74)^(0.5)-1</f>
        <v>-5.0599999999999978E-2</v>
      </c>
      <c r="FI74" s="778"/>
      <c r="FJ74" s="778"/>
      <c r="FL74" s="1347"/>
      <c r="FM74" s="1533">
        <f>+EQ74</f>
        <v>503</v>
      </c>
      <c r="FN74" s="775">
        <f>EL74</f>
        <v>522</v>
      </c>
      <c r="FO74" s="1812">
        <v>521.53020000000004</v>
      </c>
      <c r="FP74" s="1748">
        <f>+FM74/FN74-1</f>
        <v>-3.6398467432950166E-2</v>
      </c>
      <c r="FQ74" s="1520">
        <f>+FM74/FO74-1</f>
        <v>-3.5530444833300256E-2</v>
      </c>
      <c r="FR74" s="1615"/>
      <c r="FS74" s="1619"/>
      <c r="FT74" s="355"/>
      <c r="FU74" s="355"/>
      <c r="FV74" s="355"/>
      <c r="FW74" s="355"/>
      <c r="FX74" s="355"/>
      <c r="FY74" s="355"/>
      <c r="FZ74" s="482"/>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row>
    <row r="75" spans="1:258" s="186" customFormat="1" x14ac:dyDescent="0.2">
      <c r="A75" s="383" t="s">
        <v>465</v>
      </c>
      <c r="B75" s="10"/>
      <c r="C75" s="10"/>
      <c r="D75" s="10"/>
      <c r="E75" s="10"/>
      <c r="F75" s="9"/>
      <c r="G75" s="10"/>
      <c r="H75" s="10"/>
      <c r="I75" s="10"/>
      <c r="J75" s="10"/>
      <c r="K75" s="9"/>
      <c r="L75" s="10"/>
      <c r="M75" s="10"/>
      <c r="N75" s="10"/>
      <c r="O75" s="10"/>
      <c r="P75" s="9"/>
      <c r="Q75" s="10"/>
      <c r="R75" s="10"/>
      <c r="S75" s="10"/>
      <c r="T75" s="10"/>
      <c r="U75" s="9"/>
      <c r="V75" s="10"/>
      <c r="W75" s="10"/>
      <c r="X75" s="10"/>
      <c r="Y75" s="10"/>
      <c r="Z75" s="9"/>
      <c r="AA75" s="10"/>
      <c r="AB75" s="10"/>
      <c r="AC75" s="10"/>
      <c r="AD75" s="10"/>
      <c r="AE75" s="9"/>
      <c r="AF75" s="10"/>
      <c r="AG75" s="10"/>
      <c r="AH75" s="10"/>
      <c r="AI75" s="10"/>
      <c r="AJ75" s="9"/>
      <c r="AK75" s="10">
        <f t="shared" ref="AK75:BP75" si="334">AK74/AF74-1</f>
        <v>1.0928961748633892E-2</v>
      </c>
      <c r="AL75" s="10">
        <f t="shared" si="334"/>
        <v>6.5963060686015762E-2</v>
      </c>
      <c r="AM75" s="10">
        <f t="shared" si="334"/>
        <v>4.1237113402061931E-2</v>
      </c>
      <c r="AN75" s="10">
        <f t="shared" si="334"/>
        <v>4.1025641025641102E-2</v>
      </c>
      <c r="AO75" s="9">
        <f t="shared" si="334"/>
        <v>4.0052527905449775E-2</v>
      </c>
      <c r="AP75" s="10">
        <f t="shared" si="334"/>
        <v>5.1351351351351271E-2</v>
      </c>
      <c r="AQ75" s="10">
        <f t="shared" si="334"/>
        <v>-5.3960396039604008E-2</v>
      </c>
      <c r="AR75" s="10">
        <f t="shared" si="334"/>
        <v>-3.4653465346534684E-2</v>
      </c>
      <c r="AS75" s="10">
        <f t="shared" si="334"/>
        <v>-1.7241379310344862E-2</v>
      </c>
      <c r="AT75" s="9">
        <f t="shared" si="334"/>
        <v>-1.5025252525252442E-2</v>
      </c>
      <c r="AU75" s="10">
        <f t="shared" si="334"/>
        <v>-7.7120822622107621E-3</v>
      </c>
      <c r="AV75" s="10">
        <f t="shared" si="334"/>
        <v>3.6106750392464804E-2</v>
      </c>
      <c r="AW75" s="10">
        <f t="shared" si="334"/>
        <v>3.3333333333333437E-2</v>
      </c>
      <c r="AX75" s="10">
        <f t="shared" si="334"/>
        <v>-2.5062656641604564E-3</v>
      </c>
      <c r="AY75" s="9">
        <f t="shared" si="334"/>
        <v>1.4613511088321873E-2</v>
      </c>
      <c r="AZ75" s="10">
        <f t="shared" si="334"/>
        <v>-3.6269430051813489E-2</v>
      </c>
      <c r="BA75" s="10">
        <f t="shared" si="334"/>
        <v>-6.3131313131313149E-2</v>
      </c>
      <c r="BB75" s="10">
        <f t="shared" si="334"/>
        <v>4.4665012406947868E-2</v>
      </c>
      <c r="BC75" s="10">
        <f t="shared" si="334"/>
        <v>1.0050251256281451E-2</v>
      </c>
      <c r="BD75" s="9">
        <f t="shared" si="334"/>
        <v>-1.0739102969046121E-2</v>
      </c>
      <c r="BE75" s="10">
        <f t="shared" si="334"/>
        <v>4.8387096774193505E-2</v>
      </c>
      <c r="BF75" s="10">
        <f t="shared" si="334"/>
        <v>8.6253369272237146E-2</v>
      </c>
      <c r="BG75" s="10">
        <f t="shared" si="334"/>
        <v>-1.1876484560570111E-2</v>
      </c>
      <c r="BH75" s="10">
        <f t="shared" si="334"/>
        <v>2.9850746268656803E-2</v>
      </c>
      <c r="BI75" s="9">
        <f t="shared" si="334"/>
        <v>3.6398467432950277E-2</v>
      </c>
      <c r="BJ75" s="10">
        <f>BJ74/BE74-1</f>
        <v>0.10256410256410264</v>
      </c>
      <c r="BK75" s="10">
        <f>BK74/BF74-1</f>
        <v>8.1885856079404462E-2</v>
      </c>
      <c r="BL75" s="10">
        <f>BL74/BG74-1</f>
        <v>4.5673076923076872E-2</v>
      </c>
      <c r="BM75" s="10">
        <f>BM74/BH74-1</f>
        <v>5.7971014492753659E-2</v>
      </c>
      <c r="BN75" s="9">
        <f>BN74/BI74-1</f>
        <v>7.1472581638940325E-2</v>
      </c>
      <c r="BO75" s="10">
        <f t="shared" si="334"/>
        <v>-7.6744186046511675E-2</v>
      </c>
      <c r="BP75" s="10">
        <f t="shared" si="334"/>
        <v>-8.4862385321100908E-2</v>
      </c>
      <c r="BQ75" s="10">
        <f t="shared" ref="BQ75:CV75" si="335">BQ74/BL74-1</f>
        <v>-7.8160919540229856E-2</v>
      </c>
      <c r="BR75" s="10">
        <f t="shared" si="335"/>
        <v>-8.4474885844748826E-2</v>
      </c>
      <c r="BS75" s="9">
        <f t="shared" si="335"/>
        <v>-8.108108108108103E-2</v>
      </c>
      <c r="BT75" s="10">
        <f t="shared" si="335"/>
        <v>-3.5264483627204024E-2</v>
      </c>
      <c r="BU75" s="10">
        <f t="shared" si="335"/>
        <v>4.2606516290726759E-2</v>
      </c>
      <c r="BV75" s="10">
        <f t="shared" si="335"/>
        <v>-7.4812967581047163E-3</v>
      </c>
      <c r="BW75" s="10">
        <f t="shared" si="335"/>
        <v>4.9875311720697368E-3</v>
      </c>
      <c r="BX75" s="9">
        <f t="shared" si="335"/>
        <v>1.2515644555695093E-3</v>
      </c>
      <c r="BY75" s="10">
        <f t="shared" si="335"/>
        <v>0.10182767624020883</v>
      </c>
      <c r="BZ75" s="10">
        <f t="shared" si="335"/>
        <v>6.25E-2</v>
      </c>
      <c r="CA75" s="10">
        <f t="shared" si="335"/>
        <v>0.10050251256281406</v>
      </c>
      <c r="CB75" s="10">
        <f t="shared" si="335"/>
        <v>0.18610421836228297</v>
      </c>
      <c r="CC75" s="9">
        <f t="shared" si="335"/>
        <v>0.11250000000000004</v>
      </c>
      <c r="CD75" s="10">
        <f t="shared" si="335"/>
        <v>0.19905213270142186</v>
      </c>
      <c r="CE75" s="10">
        <f t="shared" si="335"/>
        <v>0.18552036199095023</v>
      </c>
      <c r="CF75" s="10">
        <f t="shared" si="335"/>
        <v>0.16894977168949765</v>
      </c>
      <c r="CG75" s="10">
        <f t="shared" si="335"/>
        <v>8.9958158995815829E-2</v>
      </c>
      <c r="CH75" s="9">
        <f t="shared" si="335"/>
        <v>0.15898876404494389</v>
      </c>
      <c r="CI75" s="10">
        <f t="shared" si="335"/>
        <v>0.14426877470355737</v>
      </c>
      <c r="CJ75" s="10">
        <f t="shared" si="335"/>
        <v>0.13167938931297707</v>
      </c>
      <c r="CK75" s="10">
        <f t="shared" si="335"/>
        <v>0.17578125</v>
      </c>
      <c r="CL75" s="10">
        <f t="shared" si="335"/>
        <v>0.15930902111324374</v>
      </c>
      <c r="CM75" s="9">
        <f t="shared" si="335"/>
        <v>0.15269025690741644</v>
      </c>
      <c r="CN75" s="10">
        <f t="shared" si="335"/>
        <v>9.3264248704663322E-2</v>
      </c>
      <c r="CO75" s="10">
        <f t="shared" si="335"/>
        <v>7.5885328836424959E-2</v>
      </c>
      <c r="CP75" s="10">
        <f t="shared" si="335"/>
        <v>7.807308970099669E-2</v>
      </c>
      <c r="CQ75" s="10">
        <f t="shared" si="335"/>
        <v>0.13079470198675502</v>
      </c>
      <c r="CR75" s="9">
        <f t="shared" si="335"/>
        <v>9.4617325483599579E-2</v>
      </c>
      <c r="CS75" s="10">
        <f t="shared" si="335"/>
        <v>0.20379146919431279</v>
      </c>
      <c r="CT75" s="10">
        <f t="shared" si="335"/>
        <v>0.29153605015673989</v>
      </c>
      <c r="CU75" s="10">
        <f t="shared" si="335"/>
        <v>0.3097072419106317</v>
      </c>
      <c r="CV75" s="10">
        <f t="shared" si="335"/>
        <v>0.24304538799414344</v>
      </c>
      <c r="CW75" s="9">
        <f t="shared" ref="CW75:DU75" si="336">CW74/CR74-1</f>
        <v>0.26200537840952753</v>
      </c>
      <c r="CX75" s="10">
        <f t="shared" si="336"/>
        <v>-2.3622047244094446E-2</v>
      </c>
      <c r="CY75" s="10">
        <f t="shared" si="336"/>
        <v>-0.19660194174757284</v>
      </c>
      <c r="CZ75" s="10">
        <f t="shared" si="336"/>
        <v>-0.19999999999999996</v>
      </c>
      <c r="DA75" s="10">
        <f t="shared" si="336"/>
        <v>-0.24499411071849231</v>
      </c>
      <c r="DB75" s="9">
        <f t="shared" si="336"/>
        <v>-0.16986301369863011</v>
      </c>
      <c r="DC75" s="10">
        <f t="shared" si="336"/>
        <v>-1.0752688172043001E-2</v>
      </c>
      <c r="DD75" s="10">
        <f t="shared" si="336"/>
        <v>0.26132930513595176</v>
      </c>
      <c r="DE75" s="10">
        <f t="shared" si="336"/>
        <v>0.22794117647058831</v>
      </c>
      <c r="DF75" s="10">
        <f t="shared" si="336"/>
        <v>0.34321372854914189</v>
      </c>
      <c r="DG75" s="9">
        <f t="shared" si="336"/>
        <v>0.19801980198019797</v>
      </c>
      <c r="DH75" s="10">
        <f t="shared" si="336"/>
        <v>0.19429347826086962</v>
      </c>
      <c r="DI75" s="10">
        <f t="shared" si="336"/>
        <v>0.14730538922155678</v>
      </c>
      <c r="DJ75" s="10">
        <f t="shared" si="336"/>
        <v>0.14610778443113781</v>
      </c>
      <c r="DK75" s="10">
        <f t="shared" si="336"/>
        <v>6.2717770034843134E-2</v>
      </c>
      <c r="DL75" s="9">
        <f>DL74/DG74-1</f>
        <v>0.13529231711049894</v>
      </c>
      <c r="DM75" s="10">
        <f t="shared" si="336"/>
        <v>-5.3469852104664373E-2</v>
      </c>
      <c r="DN75" s="10">
        <f t="shared" si="336"/>
        <v>-0.14405010438413357</v>
      </c>
      <c r="DO75" s="10">
        <f t="shared" si="336"/>
        <v>-0.17345872518286309</v>
      </c>
      <c r="DP75" s="10">
        <f t="shared" si="336"/>
        <v>-0.18360655737704923</v>
      </c>
      <c r="DQ75" s="9">
        <f t="shared" ref="DQ75:DV75" si="337">DQ74/DL74-1</f>
        <v>-0.13992990024265306</v>
      </c>
      <c r="DR75" s="10">
        <f t="shared" si="336"/>
        <v>-0.12740384615384615</v>
      </c>
      <c r="DS75" s="10">
        <f t="shared" si="336"/>
        <v>-6.0975609756097615E-2</v>
      </c>
      <c r="DT75" s="10">
        <f t="shared" si="337"/>
        <v>-8.9759797724399459E-2</v>
      </c>
      <c r="DU75" s="10">
        <f t="shared" si="336"/>
        <v>-9.1030789825970571E-2</v>
      </c>
      <c r="DV75" s="9">
        <f t="shared" si="337"/>
        <v>-9.2476489028213149E-2</v>
      </c>
      <c r="DW75" s="10">
        <f t="shared" ref="DW75:ED75" si="338">DW74/DR74-1</f>
        <v>-8.8154269972451793E-2</v>
      </c>
      <c r="DX75" s="10">
        <f t="shared" si="338"/>
        <v>-3.3766233766233777E-2</v>
      </c>
      <c r="DY75" s="10">
        <f t="shared" si="338"/>
        <v>1.388888888888884E-3</v>
      </c>
      <c r="DZ75" s="10">
        <f t="shared" si="338"/>
        <v>6.3328424153166418E-2</v>
      </c>
      <c r="EA75" s="9">
        <f t="shared" si="338"/>
        <v>-1.5889464594127767E-2</v>
      </c>
      <c r="EB75" s="10">
        <f t="shared" si="338"/>
        <v>-3.6253776435045348E-2</v>
      </c>
      <c r="EC75" s="10">
        <f t="shared" si="338"/>
        <v>-0.15322580645161288</v>
      </c>
      <c r="ED75" s="10">
        <f t="shared" si="338"/>
        <v>-0.19140083217753123</v>
      </c>
      <c r="EE75" s="10">
        <f t="shared" ref="EE75:EI75" si="339">EE74/DZ74-1</f>
        <v>-0.37811634349030476</v>
      </c>
      <c r="EF75" s="9">
        <f t="shared" si="339"/>
        <v>-0.19269919269919267</v>
      </c>
      <c r="EG75" s="10">
        <f t="shared" si="339"/>
        <v>-0.37460815047021945</v>
      </c>
      <c r="EH75" s="10">
        <f t="shared" si="339"/>
        <v>-0.3396825396825397</v>
      </c>
      <c r="EI75" s="10">
        <f t="shared" si="339"/>
        <v>-0.19897084048027447</v>
      </c>
      <c r="EJ75" s="10">
        <f t="shared" ref="EJ75" si="340">EJ74/EE74-1</f>
        <v>0.22717149220489974</v>
      </c>
      <c r="EK75" s="9">
        <f t="shared" ref="EK75:EQ75" si="341">EK74/EF74-1</f>
        <v>-0.20304347826086955</v>
      </c>
      <c r="EL75" s="10">
        <f t="shared" si="341"/>
        <v>0.30827067669172936</v>
      </c>
      <c r="EM75" s="10">
        <f t="shared" si="341"/>
        <v>0.27403846153846145</v>
      </c>
      <c r="EN75" s="10">
        <f t="shared" si="341"/>
        <v>0.100642398286938</v>
      </c>
      <c r="EO75" s="10">
        <f t="shared" si="341"/>
        <v>-1.814882032667875E-2</v>
      </c>
      <c r="EP75" s="9">
        <f t="shared" si="341"/>
        <v>0.14948172394980896</v>
      </c>
      <c r="EQ75" s="10">
        <f t="shared" si="341"/>
        <v>-3.6398467432950166E-2</v>
      </c>
      <c r="ER75" s="10">
        <f t="shared" ref="ER75" si="342">ER74/EM74-1</f>
        <v>-6.6200000000000037E-2</v>
      </c>
      <c r="ES75" s="10">
        <f t="shared" ref="ES75:EU75" si="343">ES74/EN74-1</f>
        <v>-6.3999999999998503E-3</v>
      </c>
      <c r="ET75" s="10">
        <f t="shared" si="343"/>
        <v>5.2999999999999936E-2</v>
      </c>
      <c r="EU75" s="9">
        <f t="shared" si="343"/>
        <v>-1.3622496440436449E-2</v>
      </c>
      <c r="EV75" s="185"/>
      <c r="EW75" s="185"/>
      <c r="EX75" s="185"/>
      <c r="EY75" s="185"/>
      <c r="EZ75" s="9">
        <f>EZ74/EU74-1</f>
        <v>-5.0599999999999978E-2</v>
      </c>
      <c r="FA75" s="185"/>
      <c r="FB75" s="185"/>
      <c r="FC75" s="185"/>
      <c r="FD75" s="185"/>
      <c r="FE75" s="9">
        <f>FE74/EZ74-1</f>
        <v>-5.0600000000000089E-2</v>
      </c>
      <c r="FG75" s="845"/>
      <c r="FH75" s="780"/>
      <c r="FI75" s="780"/>
      <c r="FJ75" s="780"/>
      <c r="FL75" s="1348"/>
      <c r="FM75" s="1141">
        <f>+EQ75</f>
        <v>-3.6398467432950166E-2</v>
      </c>
      <c r="FN75" s="1418">
        <f>EL75</f>
        <v>0.30827067669172936</v>
      </c>
      <c r="FO75" s="1750">
        <v>-8.9999999999990088E-4</v>
      </c>
      <c r="FP75" s="1751"/>
      <c r="FQ75" s="1503">
        <f>+(FM75-FO75)*10000</f>
        <v>-354.98467432950264</v>
      </c>
      <c r="FR75" s="1619"/>
      <c r="FS75" s="1619"/>
      <c r="FT75" s="432"/>
      <c r="FU75" s="432"/>
      <c r="FV75" s="432"/>
      <c r="FW75" s="432"/>
      <c r="FX75" s="432"/>
      <c r="FY75" s="432"/>
      <c r="FZ75" s="84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row>
    <row r="76" spans="1:258" s="40" customFormat="1" x14ac:dyDescent="0.2">
      <c r="A76" s="166" t="s">
        <v>449</v>
      </c>
      <c r="B76" s="5"/>
      <c r="C76" s="5"/>
      <c r="D76" s="5"/>
      <c r="E76" s="5"/>
      <c r="F76" s="4"/>
      <c r="G76" s="5"/>
      <c r="H76" s="5"/>
      <c r="I76" s="5"/>
      <c r="J76" s="5"/>
      <c r="K76" s="4"/>
      <c r="L76" s="5"/>
      <c r="M76" s="5"/>
      <c r="N76" s="5"/>
      <c r="O76" s="5"/>
      <c r="P76" s="4"/>
      <c r="Q76" s="5"/>
      <c r="R76" s="5"/>
      <c r="S76" s="5"/>
      <c r="T76" s="5"/>
      <c r="U76" s="4"/>
      <c r="V76" s="5"/>
      <c r="W76" s="5"/>
      <c r="X76" s="5"/>
      <c r="Y76" s="5"/>
      <c r="Z76" s="4"/>
      <c r="AA76" s="5"/>
      <c r="AB76" s="5"/>
      <c r="AC76" s="5"/>
      <c r="AD76" s="5"/>
      <c r="AE76" s="4"/>
      <c r="AF76" s="5"/>
      <c r="AG76" s="5"/>
      <c r="AH76" s="5"/>
      <c r="AI76" s="5"/>
      <c r="AJ76" s="4"/>
      <c r="AK76" s="5">
        <f t="shared" ref="AK76:BP76" si="344">AK74/AK156</f>
        <v>0.27286135693215341</v>
      </c>
      <c r="AL76" s="5">
        <f t="shared" si="344"/>
        <v>0.2841068917018284</v>
      </c>
      <c r="AM76" s="5">
        <f t="shared" si="344"/>
        <v>0.29446064139941691</v>
      </c>
      <c r="AN76" s="5">
        <f t="shared" si="344"/>
        <v>0.28611698379140238</v>
      </c>
      <c r="AO76" s="4">
        <f t="shared" si="344"/>
        <v>0.28443167534566349</v>
      </c>
      <c r="AP76" s="5">
        <f t="shared" si="344"/>
        <v>0.27667140825035563</v>
      </c>
      <c r="AQ76" s="5">
        <f t="shared" si="344"/>
        <v>0.26980093180855569</v>
      </c>
      <c r="AR76" s="5">
        <f t="shared" si="344"/>
        <v>0.28077753779697623</v>
      </c>
      <c r="AS76" s="5">
        <f t="shared" si="344"/>
        <v>0.27593360995850624</v>
      </c>
      <c r="AT76" s="4">
        <f t="shared" si="344"/>
        <v>0.27577064479638014</v>
      </c>
      <c r="AU76" s="5">
        <f t="shared" si="344"/>
        <v>0.27298444130127297</v>
      </c>
      <c r="AV76" s="5">
        <f t="shared" si="344"/>
        <v>0.28065201984408222</v>
      </c>
      <c r="AW76" s="5">
        <f t="shared" si="344"/>
        <v>0.29523809523809524</v>
      </c>
      <c r="AX76" s="5">
        <f t="shared" si="344"/>
        <v>0.2792982456140351</v>
      </c>
      <c r="AY76" s="4">
        <f t="shared" si="344"/>
        <v>0.28192341941228849</v>
      </c>
      <c r="AZ76" s="5">
        <f t="shared" si="344"/>
        <v>0.25375170532060026</v>
      </c>
      <c r="BA76" s="5">
        <f t="shared" si="344"/>
        <v>0.24075275794938353</v>
      </c>
      <c r="BB76" s="5">
        <f t="shared" si="344"/>
        <v>0.23745064861816131</v>
      </c>
      <c r="BC76" s="5">
        <f t="shared" si="344"/>
        <v>0.22308546059933407</v>
      </c>
      <c r="BD76" s="4">
        <f t="shared" si="344"/>
        <v>0.23792160437556972</v>
      </c>
      <c r="BE76" s="5">
        <f t="shared" si="344"/>
        <v>0.21630615640599002</v>
      </c>
      <c r="BF76" s="5">
        <f t="shared" si="344"/>
        <v>0.21914083741163676</v>
      </c>
      <c r="BG76" s="5">
        <f t="shared" si="344"/>
        <v>0.23266219239373601</v>
      </c>
      <c r="BH76" s="5">
        <f t="shared" si="344"/>
        <v>0.2283507997793712</v>
      </c>
      <c r="BI76" s="4">
        <f t="shared" si="344"/>
        <v>0.22407842054397351</v>
      </c>
      <c r="BJ76" s="5">
        <f t="shared" si="344"/>
        <v>0.2386237513873474</v>
      </c>
      <c r="BK76" s="5">
        <f t="shared" si="344"/>
        <v>0.23864258347016967</v>
      </c>
      <c r="BL76" s="5">
        <f t="shared" si="344"/>
        <v>0.2442448062886019</v>
      </c>
      <c r="BM76" s="5">
        <f t="shared" si="344"/>
        <v>0.24551569506726456</v>
      </c>
      <c r="BN76" s="4">
        <f t="shared" si="344"/>
        <v>0.24172921879343898</v>
      </c>
      <c r="BO76" s="5">
        <f t="shared" si="344"/>
        <v>0.22711670480549198</v>
      </c>
      <c r="BP76" s="5">
        <f t="shared" si="344"/>
        <v>0.21755725190839695</v>
      </c>
      <c r="BQ76" s="5">
        <f t="shared" ref="BQ76:CV76" si="345">BQ74/BQ156</f>
        <v>0.22452407614781636</v>
      </c>
      <c r="BR76" s="5">
        <f t="shared" si="345"/>
        <v>0.22093663911845729</v>
      </c>
      <c r="BS76" s="4">
        <f t="shared" si="345"/>
        <v>0.22246972017262981</v>
      </c>
      <c r="BT76" s="5">
        <f t="shared" si="345"/>
        <v>0.20894708128750683</v>
      </c>
      <c r="BU76" s="5">
        <f t="shared" si="345"/>
        <v>0.22033898305084745</v>
      </c>
      <c r="BV76" s="5">
        <f t="shared" si="345"/>
        <v>0.21808219178082192</v>
      </c>
      <c r="BW76" s="5">
        <f t="shared" si="345"/>
        <v>0.21221695629278567</v>
      </c>
      <c r="BX76" s="4">
        <f t="shared" si="345"/>
        <v>0.21490933512424445</v>
      </c>
      <c r="BY76" s="5">
        <f t="shared" si="345"/>
        <v>0.21990620114643042</v>
      </c>
      <c r="BZ76" s="5">
        <f t="shared" si="345"/>
        <v>0.22133199799699549</v>
      </c>
      <c r="CA76" s="5">
        <f t="shared" si="345"/>
        <v>0.2254246011322697</v>
      </c>
      <c r="CB76" s="5">
        <f t="shared" si="345"/>
        <v>0.21926605504587157</v>
      </c>
      <c r="CC76" s="4">
        <f t="shared" si="345"/>
        <v>0.22142057469834556</v>
      </c>
      <c r="CD76" s="5">
        <f t="shared" si="345"/>
        <v>0.24003795066413663</v>
      </c>
      <c r="CE76" s="5">
        <f t="shared" si="345"/>
        <v>0.24383434155421127</v>
      </c>
      <c r="CF76" s="5">
        <f t="shared" si="345"/>
        <v>0.24094117647058824</v>
      </c>
      <c r="CG76" s="5">
        <f t="shared" si="345"/>
        <v>0.23479044614691302</v>
      </c>
      <c r="CH76" s="4">
        <f t="shared" si="345"/>
        <v>0.23985583071735844</v>
      </c>
      <c r="CI76" s="5">
        <f t="shared" si="345"/>
        <v>0.2483912483912484</v>
      </c>
      <c r="CJ76" s="5">
        <f t="shared" si="345"/>
        <v>0.244940107393639</v>
      </c>
      <c r="CK76" s="5">
        <f t="shared" si="345"/>
        <v>0.24896608767576509</v>
      </c>
      <c r="CL76" s="5">
        <f t="shared" si="345"/>
        <v>0.25208681135225375</v>
      </c>
      <c r="CM76" s="4">
        <f t="shared" si="345"/>
        <v>0.24858875182939577</v>
      </c>
      <c r="CN76" s="5">
        <f t="shared" si="345"/>
        <v>0.26135425268373247</v>
      </c>
      <c r="CO76" s="5">
        <f t="shared" si="345"/>
        <v>0.25217391304347825</v>
      </c>
      <c r="CP76" s="5">
        <f t="shared" si="345"/>
        <v>0.25949620151939223</v>
      </c>
      <c r="CQ76" s="5">
        <f t="shared" si="345"/>
        <v>0.26503686457120684</v>
      </c>
      <c r="CR76" s="4">
        <f t="shared" si="345"/>
        <v>0.25952143569292124</v>
      </c>
      <c r="CS76" s="5">
        <f t="shared" si="345"/>
        <v>0.28086988573534832</v>
      </c>
      <c r="CT76" s="5">
        <f t="shared" si="345"/>
        <v>0.28345373237014104</v>
      </c>
      <c r="CU76" s="5">
        <f t="shared" si="345"/>
        <v>0.28706518068220194</v>
      </c>
      <c r="CV76" s="5">
        <f t="shared" si="345"/>
        <v>0.31750186985789081</v>
      </c>
      <c r="CW76" s="4">
        <f t="shared" ref="CW76:EA76" si="346">CW74/CW156</f>
        <v>0.29187027987561082</v>
      </c>
      <c r="CX76" s="5">
        <f t="shared" si="346"/>
        <v>0.33110814419225632</v>
      </c>
      <c r="CY76" s="5">
        <f t="shared" si="346"/>
        <v>0.30297482837528605</v>
      </c>
      <c r="CZ76" s="5">
        <f t="shared" si="346"/>
        <v>0.29707295762341634</v>
      </c>
      <c r="DA76" s="5">
        <f t="shared" si="346"/>
        <v>0.27629310344827585</v>
      </c>
      <c r="DB76" s="4">
        <f t="shared" si="346"/>
        <v>0.30162592633558233</v>
      </c>
      <c r="DC76" s="5">
        <f t="shared" si="346"/>
        <v>0.29546366920915296</v>
      </c>
      <c r="DD76" s="5">
        <f t="shared" si="346"/>
        <v>0.31355613969207663</v>
      </c>
      <c r="DE76" s="5">
        <f t="shared" si="346"/>
        <v>0.31320330082520631</v>
      </c>
      <c r="DF76" s="5">
        <f t="shared" si="346"/>
        <v>0.30575284090909088</v>
      </c>
      <c r="DG76" s="4">
        <f t="shared" si="346"/>
        <v>0.3071643474990598</v>
      </c>
      <c r="DH76" s="5">
        <f t="shared" si="346"/>
        <v>0.31093031482136541</v>
      </c>
      <c r="DI76" s="5">
        <f t="shared" si="346"/>
        <v>0.31795552605376703</v>
      </c>
      <c r="DJ76" s="5">
        <f t="shared" si="346"/>
        <v>0.32309250506414583</v>
      </c>
      <c r="DK76" s="5">
        <f t="shared" si="346"/>
        <v>0.30571333110591381</v>
      </c>
      <c r="DL76" s="4">
        <f t="shared" si="346"/>
        <v>0.31445527766002546</v>
      </c>
      <c r="DM76" s="5">
        <f t="shared" si="346"/>
        <v>0.27567925778661367</v>
      </c>
      <c r="DN76" s="5">
        <f t="shared" si="346"/>
        <v>0.27461486939048896</v>
      </c>
      <c r="DO76" s="5">
        <f t="shared" si="346"/>
        <v>0.27618715083798884</v>
      </c>
      <c r="DP76" s="5">
        <f t="shared" si="346"/>
        <v>0.25803108808290154</v>
      </c>
      <c r="DQ76" s="4">
        <f t="shared" si="346"/>
        <v>0.27118932245175553</v>
      </c>
      <c r="DR76" s="5">
        <f t="shared" si="346"/>
        <v>0.24769703172978505</v>
      </c>
      <c r="DS76" s="5">
        <f t="shared" si="346"/>
        <v>0.25412541254125415</v>
      </c>
      <c r="DT76" s="5">
        <f t="shared" si="346"/>
        <v>0.24539877300613497</v>
      </c>
      <c r="DU76" s="5">
        <f t="shared" si="346"/>
        <v>0.22394459102902375</v>
      </c>
      <c r="DV76" s="4">
        <f t="shared" si="346"/>
        <v>0.24272658673597719</v>
      </c>
      <c r="DW76" s="5">
        <f t="shared" si="346"/>
        <v>0.2238755495434562</v>
      </c>
      <c r="DX76" s="5">
        <f t="shared" si="346"/>
        <v>0.23012681719764924</v>
      </c>
      <c r="DY76" s="5">
        <f>DY74/DY156</f>
        <v>0.22503121098626716</v>
      </c>
      <c r="DZ76" s="5">
        <f>DZ74/DZ156</f>
        <v>0.22618521977299433</v>
      </c>
      <c r="EA76" s="4">
        <f t="shared" si="346"/>
        <v>0.22636129099430988</v>
      </c>
      <c r="EB76" s="5">
        <f>EB74/EB156</f>
        <v>0.21634452356731096</v>
      </c>
      <c r="EC76" s="5">
        <f>EC74/EC156</f>
        <v>0.20689655172413793</v>
      </c>
      <c r="ED76" s="5">
        <f t="shared" ref="ED76:EI76" si="347">ED74/ED156</f>
        <v>0.198366791425655</v>
      </c>
      <c r="EE76" s="5">
        <f t="shared" si="347"/>
        <v>0.16145271485077312</v>
      </c>
      <c r="EF76" s="4">
        <f t="shared" si="347"/>
        <v>0.19634625234761824</v>
      </c>
      <c r="EG76" s="5">
        <f t="shared" si="347"/>
        <v>0.15240641711229946</v>
      </c>
      <c r="EH76" s="5">
        <f t="shared" si="347"/>
        <v>0.15384615384615385</v>
      </c>
      <c r="EI76" s="5">
        <f t="shared" si="347"/>
        <v>0.17232472324723247</v>
      </c>
      <c r="EJ76" s="5">
        <f t="shared" ref="EJ76:EN76" si="348">EJ74/EJ156</f>
        <v>0.18142904181758315</v>
      </c>
      <c r="EK76" s="4">
        <f t="shared" si="348"/>
        <v>0.16559761496070105</v>
      </c>
      <c r="EL76" s="5">
        <f t="shared" si="348"/>
        <v>0.18194492854653188</v>
      </c>
      <c r="EM76" s="5">
        <f t="shared" si="348"/>
        <v>0.18070235254006137</v>
      </c>
      <c r="EN76" s="5">
        <f t="shared" si="348"/>
        <v>0.1873860736419978</v>
      </c>
      <c r="EO76" s="5">
        <f t="shared" ref="EO76:EQ76" si="349">EO74/EO156</f>
        <v>0.18896262661543836</v>
      </c>
      <c r="EP76" s="4">
        <f t="shared" si="349"/>
        <v>0.18469495091164095</v>
      </c>
      <c r="EQ76" s="5">
        <f t="shared" si="349"/>
        <v>0.17489568845618916</v>
      </c>
      <c r="ER76" s="5">
        <f t="shared" ref="ER76" si="350">ER74/ER156</f>
        <v>0.17191152004674293</v>
      </c>
      <c r="ES76" s="5">
        <f t="shared" ref="ES76:ET76" si="351">ES74/ES156</f>
        <v>0.17748624362492676</v>
      </c>
      <c r="ET76" s="5">
        <f t="shared" si="351"/>
        <v>0.18741726715525769</v>
      </c>
      <c r="EU76" s="4">
        <f>EU74/EU156</f>
        <v>0.17805914449475715</v>
      </c>
      <c r="EV76" s="21"/>
      <c r="EW76" s="21"/>
      <c r="EX76" s="21"/>
      <c r="EY76" s="21"/>
      <c r="EZ76" s="4">
        <f>EZ74/EZ156</f>
        <v>0.16544715753978759</v>
      </c>
      <c r="FA76" s="21"/>
      <c r="FB76" s="21"/>
      <c r="FC76" s="21"/>
      <c r="FD76" s="21"/>
      <c r="FE76" s="4">
        <f>FE74/FE156</f>
        <v>0.15311349161235044</v>
      </c>
      <c r="FG76" s="483"/>
      <c r="FH76" s="779"/>
      <c r="FI76" s="779"/>
      <c r="FJ76" s="779"/>
      <c r="FL76" s="1349"/>
      <c r="FM76" s="1534">
        <f>+EQ76</f>
        <v>0.17489568845618916</v>
      </c>
      <c r="FN76" s="1425">
        <f>EL76</f>
        <v>0.18194492854653188</v>
      </c>
      <c r="FO76" s="1813">
        <v>0.18567870750993865</v>
      </c>
      <c r="FP76" s="1511"/>
      <c r="FQ76" s="1503">
        <f>+(FM76-FO76)*10000</f>
        <v>-107.83019053749481</v>
      </c>
      <c r="FR76" s="1615" t="s">
        <v>738</v>
      </c>
      <c r="FS76" s="1619"/>
      <c r="FT76" s="433"/>
      <c r="FU76" s="433"/>
      <c r="FV76" s="433"/>
      <c r="FW76" s="433"/>
      <c r="FX76" s="433"/>
      <c r="FY76" s="433"/>
      <c r="FZ76" s="483"/>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row>
    <row r="77" spans="1:258" s="21" customFormat="1" x14ac:dyDescent="0.2">
      <c r="A77" s="2046" t="s">
        <v>473</v>
      </c>
      <c r="B77" s="5"/>
      <c r="C77" s="5"/>
      <c r="D77" s="5"/>
      <c r="E77" s="5"/>
      <c r="F77" s="4"/>
      <c r="G77" s="5"/>
      <c r="H77" s="5"/>
      <c r="I77" s="5"/>
      <c r="J77" s="5"/>
      <c r="K77" s="4"/>
      <c r="L77" s="5"/>
      <c r="M77" s="5"/>
      <c r="N77" s="5"/>
      <c r="O77" s="5"/>
      <c r="P77" s="4"/>
      <c r="Q77" s="5"/>
      <c r="R77" s="5"/>
      <c r="S77" s="5"/>
      <c r="T77" s="5"/>
      <c r="U77" s="4"/>
      <c r="V77" s="5"/>
      <c r="W77" s="5"/>
      <c r="X77" s="5"/>
      <c r="Y77" s="5"/>
      <c r="Z77" s="4"/>
      <c r="AA77" s="5"/>
      <c r="AB77" s="5"/>
      <c r="AC77" s="5"/>
      <c r="AD77" s="5"/>
      <c r="AE77" s="4"/>
      <c r="AF77" s="5"/>
      <c r="AG77" s="5"/>
      <c r="AH77" s="5"/>
      <c r="AI77" s="5"/>
      <c r="AJ77" s="4"/>
      <c r="AK77" s="5"/>
      <c r="AL77" s="5"/>
      <c r="AM77" s="5"/>
      <c r="AN77" s="5"/>
      <c r="AO77" s="4"/>
      <c r="AP77" s="5"/>
      <c r="AQ77" s="5"/>
      <c r="AR77" s="5"/>
      <c r="AS77" s="5"/>
      <c r="AT77" s="4"/>
      <c r="AU77" s="5"/>
      <c r="AV77" s="5"/>
      <c r="AW77" s="5"/>
      <c r="AX77" s="5"/>
      <c r="AY77" s="4"/>
      <c r="AZ77" s="5"/>
      <c r="BA77" s="5"/>
      <c r="BB77" s="5"/>
      <c r="BC77" s="5"/>
      <c r="BD77" s="4"/>
      <c r="BE77" s="5"/>
      <c r="BF77" s="5"/>
      <c r="BG77" s="5"/>
      <c r="BH77" s="5"/>
      <c r="BI77" s="4"/>
      <c r="BJ77" s="5"/>
      <c r="BK77" s="5"/>
      <c r="BL77" s="5"/>
      <c r="BM77" s="5"/>
      <c r="BN77" s="4"/>
      <c r="BO77" s="5"/>
      <c r="BP77" s="5"/>
      <c r="BQ77" s="5"/>
      <c r="BR77" s="5"/>
      <c r="BS77" s="4"/>
      <c r="BT77" s="5"/>
      <c r="BU77" s="5"/>
      <c r="BV77" s="5"/>
      <c r="BW77" s="5"/>
      <c r="BX77" s="4"/>
      <c r="BY77" s="5"/>
      <c r="BZ77" s="5"/>
      <c r="CA77" s="5"/>
      <c r="CB77" s="5"/>
      <c r="CC77" s="4"/>
      <c r="CD77" s="5"/>
      <c r="CE77" s="5"/>
      <c r="CF77" s="5"/>
      <c r="CG77" s="5"/>
      <c r="CH77" s="4"/>
      <c r="CI77" s="5"/>
      <c r="CJ77" s="5"/>
      <c r="CK77" s="5"/>
      <c r="CL77" s="5"/>
      <c r="CM77" s="4"/>
      <c r="CN77" s="5"/>
      <c r="CO77" s="5"/>
      <c r="CP77" s="5"/>
      <c r="CQ77" s="5"/>
      <c r="CR77" s="4"/>
      <c r="CS77" s="5"/>
      <c r="CT77" s="5"/>
      <c r="CU77" s="5"/>
      <c r="CV77" s="5"/>
      <c r="CW77" s="4"/>
      <c r="CX77" s="5"/>
      <c r="CY77" s="5"/>
      <c r="CZ77" s="5"/>
      <c r="DA77" s="5"/>
      <c r="DB77" s="4"/>
      <c r="DC77" s="5"/>
      <c r="DD77" s="5"/>
      <c r="DE77" s="5"/>
      <c r="DF77" s="5"/>
      <c r="DG77" s="4"/>
      <c r="DH77" s="23">
        <f>DH5</f>
        <v>385</v>
      </c>
      <c r="DI77" s="23">
        <f t="shared" ref="DI77:FE77" si="352">DI5</f>
        <v>388</v>
      </c>
      <c r="DJ77" s="23">
        <f t="shared" si="352"/>
        <v>386</v>
      </c>
      <c r="DK77" s="23">
        <f t="shared" si="352"/>
        <v>374</v>
      </c>
      <c r="DL77" s="24">
        <f t="shared" si="352"/>
        <v>1533</v>
      </c>
      <c r="DM77" s="23">
        <f t="shared" si="352"/>
        <v>331</v>
      </c>
      <c r="DN77" s="23">
        <f t="shared" si="352"/>
        <v>331</v>
      </c>
      <c r="DO77" s="23">
        <f t="shared" si="352"/>
        <v>323</v>
      </c>
      <c r="DP77" s="23">
        <f t="shared" si="352"/>
        <v>305</v>
      </c>
      <c r="DQ77" s="24">
        <f t="shared" si="352"/>
        <v>1290</v>
      </c>
      <c r="DR77" s="23">
        <f t="shared" si="352"/>
        <v>294.58999999999997</v>
      </c>
      <c r="DS77" s="23">
        <f t="shared" si="352"/>
        <v>310</v>
      </c>
      <c r="DT77" s="23">
        <f t="shared" si="352"/>
        <v>299</v>
      </c>
      <c r="DU77" s="23">
        <f t="shared" si="352"/>
        <v>289</v>
      </c>
      <c r="DV77" s="24">
        <f t="shared" si="352"/>
        <v>1192.5899999999999</v>
      </c>
      <c r="DW77" s="23">
        <f t="shared" si="352"/>
        <v>293</v>
      </c>
      <c r="DX77" s="23">
        <f t="shared" si="352"/>
        <v>330</v>
      </c>
      <c r="DY77" s="23">
        <f t="shared" si="352"/>
        <v>319</v>
      </c>
      <c r="DZ77" s="23">
        <f t="shared" si="352"/>
        <v>320</v>
      </c>
      <c r="EA77" s="24">
        <f t="shared" si="352"/>
        <v>1262</v>
      </c>
      <c r="EB77" s="23">
        <f t="shared" si="352"/>
        <v>289</v>
      </c>
      <c r="EC77" s="23">
        <f t="shared" si="352"/>
        <v>295</v>
      </c>
      <c r="ED77" s="23">
        <f t="shared" si="352"/>
        <v>261</v>
      </c>
      <c r="EE77" s="23">
        <f t="shared" si="352"/>
        <v>218</v>
      </c>
      <c r="EF77" s="24">
        <f t="shared" si="352"/>
        <v>1063</v>
      </c>
      <c r="EG77" s="23">
        <f t="shared" si="352"/>
        <v>200</v>
      </c>
      <c r="EH77" s="23">
        <f t="shared" si="352"/>
        <v>195</v>
      </c>
      <c r="EI77" s="23">
        <f t="shared" si="352"/>
        <v>207</v>
      </c>
      <c r="EJ77" s="23">
        <f t="shared" si="352"/>
        <v>236</v>
      </c>
      <c r="EK77" s="24">
        <f t="shared" si="352"/>
        <v>838</v>
      </c>
      <c r="EL77" s="23">
        <f t="shared" si="352"/>
        <v>205</v>
      </c>
      <c r="EM77" s="23">
        <f t="shared" si="352"/>
        <v>208</v>
      </c>
      <c r="EN77" s="23">
        <f t="shared" si="352"/>
        <v>218</v>
      </c>
      <c r="EO77" s="23">
        <f t="shared" si="352"/>
        <v>224</v>
      </c>
      <c r="EP77" s="24">
        <f t="shared" si="352"/>
        <v>855</v>
      </c>
      <c r="EQ77" s="23">
        <f t="shared" ref="EQ77" si="353">EQ5</f>
        <v>201</v>
      </c>
      <c r="ER77" s="23">
        <f t="shared" si="352"/>
        <v>191.36</v>
      </c>
      <c r="ES77" s="23">
        <f t="shared" si="352"/>
        <v>200.56</v>
      </c>
      <c r="ET77" s="23">
        <f t="shared" si="352"/>
        <v>218.4</v>
      </c>
      <c r="EU77" s="24">
        <f t="shared" si="352"/>
        <v>811.32</v>
      </c>
      <c r="EV77" s="25">
        <f t="shared" si="352"/>
        <v>0</v>
      </c>
      <c r="EW77" s="25">
        <f t="shared" si="352"/>
        <v>0</v>
      </c>
      <c r="EX77" s="25">
        <f t="shared" si="352"/>
        <v>0</v>
      </c>
      <c r="EY77" s="25">
        <f t="shared" si="352"/>
        <v>0</v>
      </c>
      <c r="EZ77" s="24">
        <f t="shared" si="352"/>
        <v>762.64080000000001</v>
      </c>
      <c r="FA77" s="25">
        <f t="shared" si="352"/>
        <v>0</v>
      </c>
      <c r="FB77" s="25">
        <f t="shared" si="352"/>
        <v>0</v>
      </c>
      <c r="FC77" s="25">
        <f t="shared" si="352"/>
        <v>0</v>
      </c>
      <c r="FD77" s="25">
        <f t="shared" si="352"/>
        <v>0</v>
      </c>
      <c r="FE77" s="24">
        <f t="shared" si="352"/>
        <v>716.88235199999997</v>
      </c>
      <c r="FG77" s="478"/>
      <c r="FH77" s="772"/>
      <c r="FI77" s="772"/>
      <c r="FJ77" s="772"/>
      <c r="FL77" s="1343"/>
      <c r="FM77" s="1534"/>
      <c r="FN77" s="1425"/>
      <c r="FO77" s="1813">
        <v>198.85</v>
      </c>
      <c r="FP77" s="1509"/>
      <c r="FQ77" s="1510"/>
      <c r="FR77" s="1619"/>
      <c r="FS77" s="1619"/>
      <c r="FT77" s="433"/>
      <c r="FU77" s="433"/>
      <c r="FV77" s="433"/>
      <c r="FW77" s="433"/>
      <c r="FX77" s="433"/>
      <c r="FY77" s="433"/>
      <c r="FZ77" s="478"/>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row>
    <row r="78" spans="1:258" s="21" customFormat="1" x14ac:dyDescent="0.2">
      <c r="A78" s="2047" t="s">
        <v>823</v>
      </c>
      <c r="B78" s="5"/>
      <c r="C78" s="5"/>
      <c r="D78" s="5"/>
      <c r="E78" s="5"/>
      <c r="F78" s="4"/>
      <c r="G78" s="5"/>
      <c r="H78" s="5"/>
      <c r="I78" s="5"/>
      <c r="J78" s="5"/>
      <c r="K78" s="4"/>
      <c r="L78" s="5"/>
      <c r="M78" s="5"/>
      <c r="N78" s="5"/>
      <c r="O78" s="5"/>
      <c r="P78" s="4"/>
      <c r="Q78" s="5"/>
      <c r="R78" s="5"/>
      <c r="S78" s="5"/>
      <c r="T78" s="5"/>
      <c r="U78" s="4"/>
      <c r="V78" s="5"/>
      <c r="W78" s="5"/>
      <c r="X78" s="5"/>
      <c r="Y78" s="5"/>
      <c r="Z78" s="4"/>
      <c r="AA78" s="5"/>
      <c r="AB78" s="5"/>
      <c r="AC78" s="5"/>
      <c r="AD78" s="5"/>
      <c r="AE78" s="4"/>
      <c r="AF78" s="5"/>
      <c r="AG78" s="5"/>
      <c r="AH78" s="5"/>
      <c r="AI78" s="5"/>
      <c r="AJ78" s="4"/>
      <c r="AK78" s="5"/>
      <c r="AL78" s="5"/>
      <c r="AM78" s="5"/>
      <c r="AN78" s="5"/>
      <c r="AO78" s="4"/>
      <c r="AP78" s="5"/>
      <c r="AQ78" s="5"/>
      <c r="AR78" s="5"/>
      <c r="AS78" s="5"/>
      <c r="AT78" s="4"/>
      <c r="AU78" s="5"/>
      <c r="AV78" s="5"/>
      <c r="AW78" s="5"/>
      <c r="AX78" s="5"/>
      <c r="AY78" s="4"/>
      <c r="AZ78" s="5"/>
      <c r="BA78" s="5"/>
      <c r="BB78" s="5"/>
      <c r="BC78" s="5"/>
      <c r="BD78" s="4"/>
      <c r="BE78" s="5"/>
      <c r="BF78" s="5"/>
      <c r="BG78" s="5"/>
      <c r="BH78" s="5"/>
      <c r="BI78" s="4"/>
      <c r="BJ78" s="5"/>
      <c r="BK78" s="5"/>
      <c r="BL78" s="5"/>
      <c r="BM78" s="5"/>
      <c r="BN78" s="4"/>
      <c r="BO78" s="5"/>
      <c r="BP78" s="5"/>
      <c r="BQ78" s="5"/>
      <c r="BR78" s="5"/>
      <c r="BS78" s="4"/>
      <c r="BT78" s="5"/>
      <c r="BU78" s="5"/>
      <c r="BV78" s="5"/>
      <c r="BW78" s="5"/>
      <c r="BX78" s="4"/>
      <c r="BY78" s="5"/>
      <c r="BZ78" s="5"/>
      <c r="CA78" s="5"/>
      <c r="CB78" s="5"/>
      <c r="CC78" s="4"/>
      <c r="CD78" s="5"/>
      <c r="CE78" s="5"/>
      <c r="CF78" s="5"/>
      <c r="CG78" s="5"/>
      <c r="CH78" s="4"/>
      <c r="CI78" s="5"/>
      <c r="CJ78" s="5"/>
      <c r="CK78" s="5"/>
      <c r="CL78" s="5"/>
      <c r="CM78" s="4"/>
      <c r="CN78" s="5"/>
      <c r="CO78" s="5"/>
      <c r="CP78" s="5"/>
      <c r="CQ78" s="5"/>
      <c r="CR78" s="4"/>
      <c r="CS78" s="5"/>
      <c r="CT78" s="5"/>
      <c r="CU78" s="5"/>
      <c r="CV78" s="5"/>
      <c r="CW78" s="4"/>
      <c r="CX78" s="5"/>
      <c r="CY78" s="5"/>
      <c r="CZ78" s="5"/>
      <c r="DA78" s="5"/>
      <c r="DB78" s="4"/>
      <c r="DC78" s="5"/>
      <c r="DD78" s="5"/>
      <c r="DE78" s="5"/>
      <c r="DF78" s="5"/>
      <c r="DG78" s="4"/>
      <c r="DH78" s="1141"/>
      <c r="DI78" s="1141"/>
      <c r="DJ78" s="1141"/>
      <c r="DK78" s="1141"/>
      <c r="DL78" s="2048"/>
      <c r="DM78" s="1141">
        <f t="shared" ref="DM78" si="354">DM77/DH77-1</f>
        <v>-0.14025974025974031</v>
      </c>
      <c r="DN78" s="1141">
        <f t="shared" ref="DN78" si="355">DN77/DI77-1</f>
        <v>-0.14690721649484539</v>
      </c>
      <c r="DO78" s="1141">
        <f t="shared" ref="DO78" si="356">DO77/DJ77-1</f>
        <v>-0.16321243523316065</v>
      </c>
      <c r="DP78" s="1141">
        <f t="shared" ref="DP78" si="357">DP77/DK77-1</f>
        <v>-0.18449197860962563</v>
      </c>
      <c r="DQ78" s="2048">
        <f t="shared" ref="DQ78" si="358">DQ77/DL77-1</f>
        <v>-0.15851272015655582</v>
      </c>
      <c r="DR78" s="1141">
        <f t="shared" ref="DR78" si="359">DR77/DM77-1</f>
        <v>-0.1100000000000001</v>
      </c>
      <c r="DS78" s="1141">
        <f t="shared" ref="DS78" si="360">DS77/DN77-1</f>
        <v>-6.3444108761329332E-2</v>
      </c>
      <c r="DT78" s="1141">
        <f t="shared" ref="DT78" si="361">DT77/DO77-1</f>
        <v>-7.4303405572755388E-2</v>
      </c>
      <c r="DU78" s="1141">
        <f t="shared" ref="DU78" si="362">DU77/DP77-1</f>
        <v>-5.2459016393442637E-2</v>
      </c>
      <c r="DV78" s="2048">
        <f t="shared" ref="DV78" si="363">DV77/DQ77-1</f>
        <v>-7.5511627906976853E-2</v>
      </c>
      <c r="DW78" s="1141">
        <f t="shared" ref="DW78" si="364">DW77/DR77-1</f>
        <v>-5.3973318849925844E-3</v>
      </c>
      <c r="DX78" s="1141">
        <f t="shared" ref="DX78" si="365">DX77/DS77-1</f>
        <v>6.4516129032258007E-2</v>
      </c>
      <c r="DY78" s="1141">
        <f t="shared" ref="DY78" si="366">DY77/DT77-1</f>
        <v>6.6889632107023367E-2</v>
      </c>
      <c r="DZ78" s="1141">
        <f t="shared" ref="DZ78" si="367">DZ77/DU77-1</f>
        <v>0.10726643598615926</v>
      </c>
      <c r="EA78" s="2048">
        <f t="shared" ref="EA78" si="368">EA77/DV77-1</f>
        <v>5.8201058201058364E-2</v>
      </c>
      <c r="EB78" s="1141">
        <f t="shared" ref="EB78" si="369">EB77/DW77-1</f>
        <v>-1.3651877133105783E-2</v>
      </c>
      <c r="EC78" s="1141">
        <f t="shared" ref="EC78" si="370">EC77/DX77-1</f>
        <v>-0.10606060606060608</v>
      </c>
      <c r="ED78" s="1141">
        <f t="shared" ref="ED78" si="371">ED77/DY77-1</f>
        <v>-0.18181818181818177</v>
      </c>
      <c r="EE78" s="1141">
        <f t="shared" ref="EE78" si="372">EE77/DZ77-1</f>
        <v>-0.31874999999999998</v>
      </c>
      <c r="EF78" s="2048">
        <f t="shared" ref="EF78" si="373">EF77/EA77-1</f>
        <v>-0.15768621236133118</v>
      </c>
      <c r="EG78" s="1141">
        <f t="shared" ref="EG78" si="374">EG77/EB77-1</f>
        <v>-0.30795847750865057</v>
      </c>
      <c r="EH78" s="1141">
        <f t="shared" ref="EH78" si="375">EH77/EC77-1</f>
        <v>-0.33898305084745761</v>
      </c>
      <c r="EI78" s="1141">
        <f t="shared" ref="EI78" si="376">EI77/ED77-1</f>
        <v>-0.2068965517241379</v>
      </c>
      <c r="EJ78" s="1141">
        <f t="shared" ref="EJ78" si="377">EJ77/EE77-1</f>
        <v>8.256880733944949E-2</v>
      </c>
      <c r="EK78" s="2048">
        <f t="shared" ref="EK78" si="378">EK77/EF77-1</f>
        <v>-0.21166509877704609</v>
      </c>
      <c r="EL78" s="1141">
        <f t="shared" ref="EL78" si="379">EL77/EG77-1</f>
        <v>2.4999999999999911E-2</v>
      </c>
      <c r="EM78" s="1141">
        <f t="shared" ref="EM78" si="380">EM77/EH77-1</f>
        <v>6.6666666666666652E-2</v>
      </c>
      <c r="EN78" s="1141">
        <f t="shared" ref="EN78" si="381">EN77/EI77-1</f>
        <v>5.3140096618357502E-2</v>
      </c>
      <c r="EO78" s="1141">
        <f t="shared" ref="EO78" si="382">EO77/EJ77-1</f>
        <v>-5.084745762711862E-2</v>
      </c>
      <c r="EP78" s="2048">
        <f t="shared" ref="EP78:EQ78" si="383">EP77/EK77-1</f>
        <v>2.028639618138417E-2</v>
      </c>
      <c r="EQ78" s="1141">
        <f t="shared" si="383"/>
        <v>-1.9512195121951237E-2</v>
      </c>
      <c r="ER78" s="1141">
        <f t="shared" ref="ER78" si="384">ER77/EM77-1</f>
        <v>-7.999999999999996E-2</v>
      </c>
      <c r="ES78" s="1141">
        <f t="shared" ref="ES78" si="385">ES77/EN77-1</f>
        <v>-7.999999999999996E-2</v>
      </c>
      <c r="ET78" s="1141">
        <f t="shared" ref="ET78" si="386">ET77/EO77-1</f>
        <v>-2.5000000000000022E-2</v>
      </c>
      <c r="EU78" s="2048">
        <f t="shared" ref="EU78" si="387">EU77/EP77-1</f>
        <v>-5.1087719298245515E-2</v>
      </c>
      <c r="EV78" s="2049"/>
      <c r="EW78" s="2049"/>
      <c r="EX78" s="2049"/>
      <c r="EY78" s="2049"/>
      <c r="EZ78" s="2048">
        <f t="shared" ref="EZ78" si="388">EZ77/EU77-1</f>
        <v>-6.0000000000000053E-2</v>
      </c>
      <c r="FA78" s="2049"/>
      <c r="FB78" s="2049"/>
      <c r="FC78" s="2049"/>
      <c r="FD78" s="2049"/>
      <c r="FE78" s="2048">
        <f t="shared" ref="FE78" si="389">FE77/EZ77-1</f>
        <v>-6.0000000000000053E-2</v>
      </c>
      <c r="FG78" s="478"/>
      <c r="FH78" s="772"/>
      <c r="FI78" s="772"/>
      <c r="FJ78" s="772"/>
      <c r="FL78" s="1343"/>
      <c r="FM78" s="1534"/>
      <c r="FN78" s="1425"/>
      <c r="FO78" s="1813">
        <v>-3.0000000000000027E-2</v>
      </c>
      <c r="FP78" s="1509"/>
      <c r="FQ78" s="1510"/>
      <c r="FR78" s="1619"/>
      <c r="FS78" s="1619"/>
      <c r="FT78" s="433"/>
      <c r="FU78" s="433"/>
      <c r="FV78" s="433"/>
      <c r="FW78" s="433"/>
      <c r="FX78" s="433"/>
      <c r="FY78" s="433"/>
      <c r="FZ78" s="4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row>
    <row r="79" spans="1:258" s="21" customFormat="1" x14ac:dyDescent="0.2">
      <c r="A79" s="2047" t="s">
        <v>824</v>
      </c>
      <c r="B79" s="5"/>
      <c r="C79" s="5"/>
      <c r="D79" s="5"/>
      <c r="E79" s="5"/>
      <c r="F79" s="4"/>
      <c r="G79" s="5"/>
      <c r="H79" s="5"/>
      <c r="I79" s="5"/>
      <c r="J79" s="5"/>
      <c r="K79" s="4"/>
      <c r="L79" s="5"/>
      <c r="M79" s="5"/>
      <c r="N79" s="5"/>
      <c r="O79" s="5"/>
      <c r="P79" s="4"/>
      <c r="Q79" s="5"/>
      <c r="R79" s="5"/>
      <c r="S79" s="5"/>
      <c r="T79" s="5"/>
      <c r="U79" s="4"/>
      <c r="V79" s="5"/>
      <c r="W79" s="5"/>
      <c r="X79" s="5"/>
      <c r="Y79" s="5"/>
      <c r="Z79" s="4"/>
      <c r="AA79" s="5"/>
      <c r="AB79" s="5"/>
      <c r="AC79" s="5"/>
      <c r="AD79" s="5"/>
      <c r="AE79" s="4"/>
      <c r="AF79" s="5"/>
      <c r="AG79" s="5"/>
      <c r="AH79" s="5"/>
      <c r="AI79" s="5"/>
      <c r="AJ79" s="4"/>
      <c r="AK79" s="5"/>
      <c r="AL79" s="5"/>
      <c r="AM79" s="5"/>
      <c r="AN79" s="5"/>
      <c r="AO79" s="4"/>
      <c r="AP79" s="5"/>
      <c r="AQ79" s="5"/>
      <c r="AR79" s="5"/>
      <c r="AS79" s="5"/>
      <c r="AT79" s="4"/>
      <c r="AU79" s="5"/>
      <c r="AV79" s="5"/>
      <c r="AW79" s="5"/>
      <c r="AX79" s="5"/>
      <c r="AY79" s="4"/>
      <c r="AZ79" s="5"/>
      <c r="BA79" s="5"/>
      <c r="BB79" s="5"/>
      <c r="BC79" s="5"/>
      <c r="BD79" s="4"/>
      <c r="BE79" s="5"/>
      <c r="BF79" s="5"/>
      <c r="BG79" s="5"/>
      <c r="BH79" s="5"/>
      <c r="BI79" s="4"/>
      <c r="BJ79" s="5"/>
      <c r="BK79" s="5"/>
      <c r="BL79" s="5"/>
      <c r="BM79" s="5"/>
      <c r="BN79" s="4"/>
      <c r="BO79" s="5"/>
      <c r="BP79" s="5"/>
      <c r="BQ79" s="5"/>
      <c r="BR79" s="5"/>
      <c r="BS79" s="4"/>
      <c r="BT79" s="5"/>
      <c r="BU79" s="5"/>
      <c r="BV79" s="5"/>
      <c r="BW79" s="5"/>
      <c r="BX79" s="4"/>
      <c r="BY79" s="5"/>
      <c r="BZ79" s="5"/>
      <c r="CA79" s="5"/>
      <c r="CB79" s="5"/>
      <c r="CC79" s="4"/>
      <c r="CD79" s="5"/>
      <c r="CE79" s="5"/>
      <c r="CF79" s="5"/>
      <c r="CG79" s="5"/>
      <c r="CH79" s="4"/>
      <c r="CI79" s="5"/>
      <c r="CJ79" s="5"/>
      <c r="CK79" s="5"/>
      <c r="CL79" s="5"/>
      <c r="CM79" s="4"/>
      <c r="CN79" s="5"/>
      <c r="CO79" s="5"/>
      <c r="CP79" s="5"/>
      <c r="CQ79" s="5"/>
      <c r="CR79" s="4"/>
      <c r="CS79" s="5"/>
      <c r="CT79" s="5"/>
      <c r="CU79" s="5"/>
      <c r="CV79" s="5"/>
      <c r="CW79" s="4"/>
      <c r="CX79" s="5"/>
      <c r="CY79" s="5"/>
      <c r="CZ79" s="5"/>
      <c r="DA79" s="5"/>
      <c r="DB79" s="4"/>
      <c r="DC79" s="5"/>
      <c r="DD79" s="5"/>
      <c r="DE79" s="5"/>
      <c r="DF79" s="5"/>
      <c r="DG79" s="4"/>
      <c r="DH79" s="1523">
        <f>DH77/DH$23</f>
        <v>0.24183417085427136</v>
      </c>
      <c r="DI79" s="1523">
        <f t="shared" ref="DI79:DL79" si="390">DI77/DI$23</f>
        <v>0.23572296476306198</v>
      </c>
      <c r="DJ79" s="1523">
        <f t="shared" si="390"/>
        <v>0.23841877702285361</v>
      </c>
      <c r="DK79" s="1523">
        <f t="shared" si="390"/>
        <v>0.23100679431747992</v>
      </c>
      <c r="DL79" s="1715">
        <f t="shared" si="390"/>
        <v>0.23672019765287214</v>
      </c>
      <c r="DM79" s="1523">
        <f>DM77/DM$23</f>
        <v>0.20661672908863921</v>
      </c>
      <c r="DN79" s="1523">
        <f t="shared" ref="DN79:DQ79" si="391">DN77/DN$23</f>
        <v>0.20182926829268294</v>
      </c>
      <c r="DO79" s="1523">
        <f t="shared" si="391"/>
        <v>0.201875</v>
      </c>
      <c r="DP79" s="1523">
        <f t="shared" si="391"/>
        <v>0.19463943841735801</v>
      </c>
      <c r="DQ79" s="1715">
        <f t="shared" si="391"/>
        <v>0.20127945077235138</v>
      </c>
      <c r="DR79" s="1523">
        <f>DR77/DR$23</f>
        <v>0.18697122982501793</v>
      </c>
      <c r="DS79" s="1523">
        <f t="shared" ref="DS79:DV79" si="392">DS77/DS$23</f>
        <v>0.18719806763285024</v>
      </c>
      <c r="DT79" s="1523">
        <f t="shared" si="392"/>
        <v>0.18198417528910529</v>
      </c>
      <c r="DU79" s="1523">
        <f t="shared" si="392"/>
        <v>0.17388688327316487</v>
      </c>
      <c r="DV79" s="1715">
        <f t="shared" si="392"/>
        <v>0.18244834080154942</v>
      </c>
      <c r="DW79" s="1523">
        <f>DW77/DW$23</f>
        <v>0.18086419753086419</v>
      </c>
      <c r="DX79" s="1523">
        <f t="shared" ref="DX79:EA79" si="393">DX77/DX$23</f>
        <v>0.18528916339135318</v>
      </c>
      <c r="DY79" s="1523">
        <f t="shared" si="393"/>
        <v>0.18145620022753128</v>
      </c>
      <c r="DZ79" s="1523">
        <f t="shared" si="393"/>
        <v>0.18147791073555264</v>
      </c>
      <c r="EA79" s="1715">
        <f t="shared" si="393"/>
        <v>0.18230934804905882</v>
      </c>
      <c r="EB79" s="1523">
        <f>EB77/EB$23</f>
        <v>0.176776790247304</v>
      </c>
      <c r="EC79" s="1523">
        <f t="shared" ref="EC79:EF79" si="394">EC77/EC$23</f>
        <v>0.16770892552586697</v>
      </c>
      <c r="ED79" s="1523">
        <f t="shared" si="394"/>
        <v>0.15245327102803738</v>
      </c>
      <c r="EE79" s="1523">
        <f t="shared" si="394"/>
        <v>0.13172205438066464</v>
      </c>
      <c r="EF79" s="1715">
        <f t="shared" si="394"/>
        <v>0.15722921593946307</v>
      </c>
      <c r="EG79" s="1523">
        <f>EG77/EG$23</f>
        <v>0.12894906511927789</v>
      </c>
      <c r="EH79" s="1523">
        <f t="shared" ref="EH79:EK79" si="395">EH77/EH$23</f>
        <v>0.12225705329153605</v>
      </c>
      <c r="EI79" s="1523">
        <f t="shared" si="395"/>
        <v>0.13151207115628971</v>
      </c>
      <c r="EJ79" s="1523">
        <f t="shared" si="395"/>
        <v>0.13633737723859041</v>
      </c>
      <c r="EK79" s="1715">
        <f t="shared" si="395"/>
        <v>0.12990234072236861</v>
      </c>
      <c r="EL79" s="1523">
        <f>EL77/EL$23</f>
        <v>0.12876884422110552</v>
      </c>
      <c r="EM79" s="1523">
        <f t="shared" ref="EM79:EP79" si="396">EM77/EM$23</f>
        <v>0.12839506172839507</v>
      </c>
      <c r="EN79" s="1523">
        <f t="shared" si="396"/>
        <v>0.13736609955891618</v>
      </c>
      <c r="EO79" s="1523">
        <f t="shared" si="396"/>
        <v>0.13991255465334165</v>
      </c>
      <c r="EP79" s="1715">
        <f t="shared" si="396"/>
        <v>0.13359375000000001</v>
      </c>
      <c r="EQ79" s="1523">
        <f>EQ77/EQ$23</f>
        <v>0.13120104438642297</v>
      </c>
      <c r="ER79" s="1523">
        <f t="shared" ref="ER79:EU79" si="397">ER77/ER$23</f>
        <v>0.12068845903996669</v>
      </c>
      <c r="ES79" s="1523">
        <f t="shared" si="397"/>
        <v>0.12549667423801567</v>
      </c>
      <c r="ET79" s="1523">
        <f t="shared" si="397"/>
        <v>0.1327211791766304</v>
      </c>
      <c r="EU79" s="1715">
        <f t="shared" si="397"/>
        <v>0.12754087047288626</v>
      </c>
      <c r="EV79" s="1523"/>
      <c r="EW79" s="1523"/>
      <c r="EX79" s="1523"/>
      <c r="EY79" s="1523"/>
      <c r="EZ79" s="1715">
        <f t="shared" ref="EZ79" si="398">EZ77/EZ$23</f>
        <v>0.11840532948871438</v>
      </c>
      <c r="FA79" s="1523"/>
      <c r="FB79" s="1523"/>
      <c r="FC79" s="1523"/>
      <c r="FD79" s="1523"/>
      <c r="FE79" s="1715">
        <f t="shared" ref="FE79" si="399">FE77/FE$23</f>
        <v>0.10950324887549043</v>
      </c>
      <c r="FG79" s="478"/>
      <c r="FH79" s="772"/>
      <c r="FI79" s="772"/>
      <c r="FJ79" s="772"/>
      <c r="FL79" s="1343"/>
      <c r="FM79" s="1534"/>
      <c r="FN79" s="1425"/>
      <c r="FO79" s="1813">
        <v>0.12949926084153354</v>
      </c>
      <c r="FP79" s="1509"/>
      <c r="FQ79" s="1510"/>
      <c r="FR79" s="1619"/>
      <c r="FS79" s="1619"/>
      <c r="FT79" s="433"/>
      <c r="FU79" s="433"/>
      <c r="FV79" s="433"/>
      <c r="FW79" s="433"/>
      <c r="FX79" s="433"/>
      <c r="FY79" s="433"/>
      <c r="FZ79" s="478"/>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row>
    <row r="80" spans="1:258" s="43" customFormat="1" x14ac:dyDescent="0.2">
      <c r="A80" s="573" t="s">
        <v>233</v>
      </c>
      <c r="B80" s="27"/>
      <c r="C80" s="27"/>
      <c r="D80" s="27"/>
      <c r="E80" s="27"/>
      <c r="F80" s="28"/>
      <c r="G80" s="27"/>
      <c r="H80" s="27"/>
      <c r="I80" s="27"/>
      <c r="J80" s="27"/>
      <c r="K80" s="28"/>
      <c r="L80" s="27"/>
      <c r="M80" s="27"/>
      <c r="N80" s="27"/>
      <c r="O80" s="27"/>
      <c r="P80" s="28"/>
      <c r="Q80" s="27">
        <f t="shared" ref="Q80:AV80" si="400">Q74*1000/Q5</f>
        <v>877.82805429864254</v>
      </c>
      <c r="R80" s="27">
        <f t="shared" si="400"/>
        <v>880.18433179723502</v>
      </c>
      <c r="S80" s="27">
        <f t="shared" si="400"/>
        <v>898.41986455981942</v>
      </c>
      <c r="T80" s="27">
        <f t="shared" si="400"/>
        <v>897.9591836734694</v>
      </c>
      <c r="U80" s="28">
        <f t="shared" si="400"/>
        <v>888.61417962700568</v>
      </c>
      <c r="V80" s="27">
        <f t="shared" si="400"/>
        <v>862.94416243654825</v>
      </c>
      <c r="W80" s="27">
        <f t="shared" si="400"/>
        <v>871.92118226600985</v>
      </c>
      <c r="X80" s="27">
        <f t="shared" si="400"/>
        <v>869.56521739130437</v>
      </c>
      <c r="Y80" s="27">
        <f t="shared" si="400"/>
        <v>877.33333333333337</v>
      </c>
      <c r="Z80" s="28">
        <f t="shared" si="400"/>
        <v>870.37037037037032</v>
      </c>
      <c r="AA80" s="27">
        <f t="shared" si="400"/>
        <v>856.06060606060601</v>
      </c>
      <c r="AB80" s="27">
        <f t="shared" si="400"/>
        <v>862.23277909738715</v>
      </c>
      <c r="AC80" s="27">
        <f t="shared" si="400"/>
        <v>893.02325581395348</v>
      </c>
      <c r="AD80" s="27">
        <f t="shared" si="400"/>
        <v>879.35034802784219</v>
      </c>
      <c r="AE80" s="28">
        <f t="shared" si="400"/>
        <v>873.06317044100115</v>
      </c>
      <c r="AF80" s="27">
        <f t="shared" si="400"/>
        <v>884.05797101449275</v>
      </c>
      <c r="AG80" s="27">
        <f t="shared" si="400"/>
        <v>902.38095238095241</v>
      </c>
      <c r="AH80" s="27">
        <f t="shared" si="400"/>
        <v>917.25768321512999</v>
      </c>
      <c r="AI80" s="27">
        <f t="shared" si="400"/>
        <v>926.36579572446556</v>
      </c>
      <c r="AJ80" s="28">
        <f t="shared" si="400"/>
        <v>907.62812872467225</v>
      </c>
      <c r="AK80" s="27">
        <f t="shared" si="400"/>
        <v>920.39800995024871</v>
      </c>
      <c r="AL80" s="27">
        <f t="shared" si="400"/>
        <v>930.87557603686639</v>
      </c>
      <c r="AM80" s="27">
        <f t="shared" si="400"/>
        <v>933.02540415704391</v>
      </c>
      <c r="AN80" s="27">
        <f t="shared" si="400"/>
        <v>918.55203619909503</v>
      </c>
      <c r="AO80" s="28">
        <f t="shared" si="400"/>
        <v>925.77440093512564</v>
      </c>
      <c r="AP80" s="27">
        <f t="shared" si="400"/>
        <v>904.65116279069764</v>
      </c>
      <c r="AQ80" s="27">
        <f t="shared" si="400"/>
        <v>907.83847980997621</v>
      </c>
      <c r="AR80" s="27">
        <f t="shared" si="400"/>
        <v>911.21495327102809</v>
      </c>
      <c r="AS80" s="27">
        <f t="shared" si="400"/>
        <v>917.24137931034488</v>
      </c>
      <c r="AT80" s="28">
        <f t="shared" si="400"/>
        <v>910.26837806301046</v>
      </c>
      <c r="AU80" s="27">
        <f t="shared" si="400"/>
        <v>897.67441860465112</v>
      </c>
      <c r="AV80" s="27">
        <f t="shared" si="400"/>
        <v>891.89189189189187</v>
      </c>
      <c r="AW80" s="27">
        <f t="shared" ref="AW80:CB80" si="401">AW74*1000/AW5</f>
        <v>911.76470588235293</v>
      </c>
      <c r="AX80" s="27">
        <f t="shared" si="401"/>
        <v>894.38202247191009</v>
      </c>
      <c r="AY80" s="28">
        <f t="shared" si="401"/>
        <v>898.9210675752413</v>
      </c>
      <c r="AZ80" s="27">
        <f t="shared" si="401"/>
        <v>896.38554216867465</v>
      </c>
      <c r="BA80" s="27">
        <f t="shared" si="401"/>
        <v>896.13526570048305</v>
      </c>
      <c r="BB80" s="27">
        <f t="shared" si="401"/>
        <v>911.25541125541122</v>
      </c>
      <c r="BC80" s="27">
        <f t="shared" si="401"/>
        <v>915.71753986332578</v>
      </c>
      <c r="BD80" s="28">
        <f t="shared" si="401"/>
        <v>905.2023121387283</v>
      </c>
      <c r="BE80" s="27">
        <f t="shared" si="401"/>
        <v>937.5</v>
      </c>
      <c r="BF80" s="27">
        <f t="shared" si="401"/>
        <v>928.57142857142856</v>
      </c>
      <c r="BG80" s="27">
        <f t="shared" si="401"/>
        <v>906.31808278867106</v>
      </c>
      <c r="BH80" s="27">
        <f t="shared" si="401"/>
        <v>928.25112107623318</v>
      </c>
      <c r="BI80" s="28">
        <f t="shared" si="401"/>
        <v>924.78632478632483</v>
      </c>
      <c r="BJ80" s="27">
        <f t="shared" si="401"/>
        <v>947.13656387665196</v>
      </c>
      <c r="BK80" s="27">
        <f t="shared" si="401"/>
        <v>960.35242290748897</v>
      </c>
      <c r="BL80" s="27">
        <f t="shared" si="401"/>
        <v>979.72972972972968</v>
      </c>
      <c r="BM80" s="27">
        <f t="shared" si="401"/>
        <v>979.86577181208054</v>
      </c>
      <c r="BN80" s="28">
        <f t="shared" si="401"/>
        <v>966.64813785436354</v>
      </c>
      <c r="BO80" s="27">
        <f t="shared" si="401"/>
        <v>980.24691358024688</v>
      </c>
      <c r="BP80" s="27">
        <f t="shared" si="401"/>
        <v>975.55012224938878</v>
      </c>
      <c r="BQ80" s="27">
        <f t="shared" si="401"/>
        <v>961.6306954436451</v>
      </c>
      <c r="BR80" s="27">
        <f t="shared" si="401"/>
        <v>970.94430992736079</v>
      </c>
      <c r="BS80" s="28">
        <f t="shared" si="401"/>
        <v>972.01946472019461</v>
      </c>
      <c r="BT80" s="27">
        <f t="shared" si="401"/>
        <v>994.80519480519479</v>
      </c>
      <c r="BU80" s="27">
        <f t="shared" si="401"/>
        <v>995.21531100478467</v>
      </c>
      <c r="BV80" s="27">
        <f t="shared" si="401"/>
        <v>975.49019607843138</v>
      </c>
      <c r="BW80" s="27">
        <f t="shared" si="401"/>
        <v>950.47169811320759</v>
      </c>
      <c r="BX80" s="28">
        <f t="shared" si="401"/>
        <v>978.59327217125383</v>
      </c>
      <c r="BY80" s="27">
        <f t="shared" si="401"/>
        <v>1004.7619047619048</v>
      </c>
      <c r="BZ80" s="27">
        <f t="shared" si="401"/>
        <v>1035.128805620609</v>
      </c>
      <c r="CA80" s="27">
        <f t="shared" si="401"/>
        <v>1035.4609929078015</v>
      </c>
      <c r="CB80" s="27">
        <f t="shared" si="401"/>
        <v>1039.1304347826087</v>
      </c>
      <c r="CC80" s="28">
        <f t="shared" ref="CC80:DH80" si="402">CC74*1000/CC5</f>
        <v>1028.9017341040462</v>
      </c>
      <c r="CD80" s="27">
        <f t="shared" si="402"/>
        <v>1104.8034934497816</v>
      </c>
      <c r="CE80" s="27">
        <f t="shared" si="402"/>
        <v>1141.6122004357298</v>
      </c>
      <c r="CF80" s="27">
        <f t="shared" si="402"/>
        <v>1158.3710407239819</v>
      </c>
      <c r="CG80" s="27">
        <f t="shared" si="402"/>
        <v>1157.7777777777778</v>
      </c>
      <c r="CH80" s="28">
        <f t="shared" si="402"/>
        <v>1140.4090657822001</v>
      </c>
      <c r="CI80" s="27">
        <f t="shared" si="402"/>
        <v>1216.3865546218487</v>
      </c>
      <c r="CJ80" s="27">
        <f t="shared" si="402"/>
        <v>1261.7021276595744</v>
      </c>
      <c r="CK80" s="27">
        <f t="shared" si="402"/>
        <v>1267.3684210526317</v>
      </c>
      <c r="CL80" s="27">
        <f t="shared" si="402"/>
        <v>1282.3779193205944</v>
      </c>
      <c r="CM80" s="28">
        <f t="shared" si="402"/>
        <v>1256.8710359408035</v>
      </c>
      <c r="CN80" s="27">
        <f t="shared" si="402"/>
        <v>1370.1298701298701</v>
      </c>
      <c r="CO80" s="27">
        <f t="shared" si="402"/>
        <v>1369.098712446352</v>
      </c>
      <c r="CP80" s="27">
        <f t="shared" si="402"/>
        <v>1395.6989247311828</v>
      </c>
      <c r="CQ80" s="27">
        <f t="shared" si="402"/>
        <v>1456.2899786780383</v>
      </c>
      <c r="CR80" s="28">
        <f t="shared" si="402"/>
        <v>1397.9591836734694</v>
      </c>
      <c r="CS80" s="27">
        <f t="shared" si="402"/>
        <v>1645.7883369330455</v>
      </c>
      <c r="CT80" s="27">
        <f t="shared" si="402"/>
        <v>1727.4633123689728</v>
      </c>
      <c r="CU80" s="27">
        <f t="shared" si="402"/>
        <v>1816.2393162393162</v>
      </c>
      <c r="CV80" s="27">
        <f t="shared" si="402"/>
        <v>1802.5477707006369</v>
      </c>
      <c r="CW80" s="28">
        <f t="shared" si="402"/>
        <v>1748.2703565726449</v>
      </c>
      <c r="CX80" s="27">
        <f t="shared" si="402"/>
        <v>1726.2180974477958</v>
      </c>
      <c r="CY80" s="27">
        <f t="shared" si="402"/>
        <v>1765.3333333333333</v>
      </c>
      <c r="CZ80" s="27">
        <f t="shared" si="402"/>
        <v>1780.1047120418848</v>
      </c>
      <c r="DA80" s="27">
        <f t="shared" si="402"/>
        <v>1756.1643835616439</v>
      </c>
      <c r="DB80" s="28">
        <f t="shared" si="402"/>
        <v>1755.9562137797811</v>
      </c>
      <c r="DC80" s="27">
        <f t="shared" si="402"/>
        <v>1973.1903485254691</v>
      </c>
      <c r="DD80" s="27">
        <f t="shared" si="402"/>
        <v>2082.2942643391521</v>
      </c>
      <c r="DE80" s="27">
        <f t="shared" si="402"/>
        <v>2130.1020408163267</v>
      </c>
      <c r="DF80" s="27">
        <f t="shared" si="402"/>
        <v>2115.4791154791155</v>
      </c>
      <c r="DG80" s="28">
        <f t="shared" si="402"/>
        <v>2076.9230769230771</v>
      </c>
      <c r="DH80" s="27">
        <f t="shared" si="402"/>
        <v>2283.1168831168829</v>
      </c>
      <c r="DI80" s="27">
        <f t="shared" ref="DI80:EC80" si="403">DI74*1000/DI5</f>
        <v>2469.0721649484535</v>
      </c>
      <c r="DJ80" s="27">
        <f t="shared" si="403"/>
        <v>2479.2746113989638</v>
      </c>
      <c r="DK80" s="27">
        <f t="shared" si="403"/>
        <v>2446.524064171123</v>
      </c>
      <c r="DL80" s="28">
        <f t="shared" si="403"/>
        <v>2419.4390084801043</v>
      </c>
      <c r="DM80" s="27">
        <f t="shared" si="403"/>
        <v>2513.595166163142</v>
      </c>
      <c r="DN80" s="27">
        <f t="shared" si="403"/>
        <v>2477.3413897280966</v>
      </c>
      <c r="DO80" s="27">
        <f t="shared" si="403"/>
        <v>2448.9164086687306</v>
      </c>
      <c r="DP80" s="27">
        <f t="shared" si="403"/>
        <v>2449.1803278688526</v>
      </c>
      <c r="DQ80" s="28">
        <f t="shared" si="403"/>
        <v>2472.8682170542634</v>
      </c>
      <c r="DR80" s="27">
        <f t="shared" si="403"/>
        <v>2464.4421059777997</v>
      </c>
      <c r="DS80" s="27">
        <f t="shared" si="403"/>
        <v>2483.8709677419356</v>
      </c>
      <c r="DT80" s="27">
        <f t="shared" si="403"/>
        <v>2408.0267558528426</v>
      </c>
      <c r="DU80" s="27">
        <f t="shared" si="403"/>
        <v>2349.4809688581313</v>
      </c>
      <c r="DV80" s="28">
        <f t="shared" si="403"/>
        <v>2427.4897492013183</v>
      </c>
      <c r="DW80" s="27">
        <f t="shared" si="403"/>
        <v>2259.3856655290101</v>
      </c>
      <c r="DX80" s="27">
        <f t="shared" si="403"/>
        <v>2254.5454545454545</v>
      </c>
      <c r="DY80" s="27">
        <f t="shared" si="403"/>
        <v>2260.1880877742947</v>
      </c>
      <c r="DZ80" s="27">
        <f t="shared" si="403"/>
        <v>2256.25</v>
      </c>
      <c r="EA80" s="28">
        <f t="shared" si="403"/>
        <v>2257.5277337559428</v>
      </c>
      <c r="EB80" s="27">
        <f t="shared" si="403"/>
        <v>2207.6124567474048</v>
      </c>
      <c r="EC80" s="27">
        <f t="shared" si="403"/>
        <v>2135.593220338983</v>
      </c>
      <c r="ED80" s="27">
        <f t="shared" ref="ED80:EI80" si="404">ED74*1000/ED5</f>
        <v>2233.7164750957854</v>
      </c>
      <c r="EE80" s="27">
        <f t="shared" si="404"/>
        <v>2059.6330275229357</v>
      </c>
      <c r="EF80" s="28">
        <f t="shared" si="404"/>
        <v>2163.6876763875821</v>
      </c>
      <c r="EG80" s="27">
        <f t="shared" si="404"/>
        <v>1995</v>
      </c>
      <c r="EH80" s="27">
        <f t="shared" si="404"/>
        <v>2133.3333333333335</v>
      </c>
      <c r="EI80" s="27">
        <f t="shared" si="404"/>
        <v>2256.0386473429953</v>
      </c>
      <c r="EJ80" s="27">
        <f t="shared" ref="EJ80:EN80" si="405">EJ74*1000/EJ5</f>
        <v>2334.7457627118642</v>
      </c>
      <c r="EK80" s="28">
        <f t="shared" si="405"/>
        <v>2187.3508353221955</v>
      </c>
      <c r="EL80" s="27">
        <f t="shared" si="405"/>
        <v>2546.3414634146343</v>
      </c>
      <c r="EM80" s="27">
        <f t="shared" si="405"/>
        <v>2548.0769230769229</v>
      </c>
      <c r="EN80" s="27">
        <f t="shared" si="405"/>
        <v>2357.7981651376149</v>
      </c>
      <c r="EO80" s="27">
        <f t="shared" ref="EO80:EQ80" si="406">EO74*1000/EO5</f>
        <v>2415.1785714285716</v>
      </c>
      <c r="EP80" s="28">
        <f t="shared" si="406"/>
        <v>2464.3274853801167</v>
      </c>
      <c r="EQ80" s="27">
        <f t="shared" si="406"/>
        <v>2502.4875621890546</v>
      </c>
      <c r="ER80" s="27">
        <f t="shared" ref="ER80" si="407">EM80*(1+ER81)</f>
        <v>2586.2980769230767</v>
      </c>
      <c r="ES80" s="27">
        <f t="shared" ref="ES80:ET80" si="408">EN80*(1+ES81)</f>
        <v>2546.4220183486241</v>
      </c>
      <c r="ET80" s="27">
        <f t="shared" si="408"/>
        <v>2608.3928571428573</v>
      </c>
      <c r="EU80" s="28">
        <f>EU74*1000/EU5</f>
        <v>2561.6247596509397</v>
      </c>
      <c r="EV80" s="27"/>
      <c r="EW80" s="27"/>
      <c r="EX80" s="27"/>
      <c r="EY80" s="27"/>
      <c r="EZ80" s="28">
        <f>EU80*(1+EZ81)</f>
        <v>2587.241007247449</v>
      </c>
      <c r="FA80" s="27"/>
      <c r="FB80" s="27"/>
      <c r="FC80" s="27"/>
      <c r="FD80" s="27"/>
      <c r="FE80" s="28">
        <f>EZ80*(1+FE81)</f>
        <v>2613.1134173199234</v>
      </c>
      <c r="FG80" s="473"/>
      <c r="FH80" s="777"/>
      <c r="FI80" s="777"/>
      <c r="FJ80" s="777"/>
      <c r="FK80" s="175"/>
      <c r="FL80" s="1347"/>
      <c r="FM80" s="1535">
        <f>+EQ80</f>
        <v>2502.4875621890546</v>
      </c>
      <c r="FN80" s="1426">
        <f>EL80</f>
        <v>2546.3414634146343</v>
      </c>
      <c r="FO80" s="1814">
        <v>2622.7317073170734</v>
      </c>
      <c r="FP80" s="1749">
        <f>+FM80/FN80-1</f>
        <v>-1.722231753111847E-2</v>
      </c>
      <c r="FQ80" s="1606">
        <f>+FM80/FO80-1</f>
        <v>-4.5846910224386916E-2</v>
      </c>
      <c r="FR80" s="1615" t="s">
        <v>739</v>
      </c>
      <c r="FS80" s="1619"/>
      <c r="FT80" s="436"/>
      <c r="FU80" s="355"/>
      <c r="FV80" s="355"/>
      <c r="FW80" s="355"/>
      <c r="FX80" s="355"/>
      <c r="FY80" s="355"/>
      <c r="FZ80" s="473"/>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c r="IW80"/>
      <c r="IX80"/>
    </row>
    <row r="81" spans="1:258" s="227" customFormat="1" x14ac:dyDescent="0.2">
      <c r="A81" s="383" t="s">
        <v>466</v>
      </c>
      <c r="B81" s="10"/>
      <c r="C81" s="10"/>
      <c r="D81" s="10"/>
      <c r="E81" s="10"/>
      <c r="F81" s="9"/>
      <c r="G81" s="10"/>
      <c r="H81" s="10"/>
      <c r="I81" s="10"/>
      <c r="J81" s="10"/>
      <c r="K81" s="9"/>
      <c r="L81" s="10"/>
      <c r="M81" s="10"/>
      <c r="N81" s="10"/>
      <c r="O81" s="10"/>
      <c r="P81" s="9"/>
      <c r="Q81" s="10"/>
      <c r="R81" s="10"/>
      <c r="S81" s="10"/>
      <c r="T81" s="10"/>
      <c r="U81" s="9"/>
      <c r="V81" s="10">
        <f t="shared" ref="V81:AV81" si="409">V80/Q80-1</f>
        <v>-1.6955361348055864E-2</v>
      </c>
      <c r="W81" s="10">
        <f t="shared" si="409"/>
        <v>-9.3879761689835695E-3</v>
      </c>
      <c r="X81" s="10">
        <f t="shared" si="409"/>
        <v>-3.2117107275507983E-2</v>
      </c>
      <c r="Y81" s="10">
        <f t="shared" si="409"/>
        <v>-2.2969696969696973E-2</v>
      </c>
      <c r="Z81" s="9">
        <f t="shared" si="409"/>
        <v>-2.0530630362316726E-2</v>
      </c>
      <c r="AA81" s="10">
        <f t="shared" si="409"/>
        <v>-7.9768270944742259E-3</v>
      </c>
      <c r="AB81" s="10">
        <f t="shared" si="409"/>
        <v>-1.1111558436329938E-2</v>
      </c>
      <c r="AC81" s="10">
        <f t="shared" si="409"/>
        <v>2.6976744186046453E-2</v>
      </c>
      <c r="AD81" s="10">
        <f t="shared" si="409"/>
        <v>2.299028907114975E-3</v>
      </c>
      <c r="AE81" s="9">
        <f t="shared" si="409"/>
        <v>3.0938554002992724E-3</v>
      </c>
      <c r="AF81" s="10">
        <f t="shared" si="409"/>
        <v>3.2704886494805852E-2</v>
      </c>
      <c r="AG81" s="10">
        <f t="shared" si="409"/>
        <v>4.6563032926669301E-2</v>
      </c>
      <c r="AH81" s="10">
        <f t="shared" si="409"/>
        <v>2.7137509850275743E-2</v>
      </c>
      <c r="AI81" s="10">
        <f t="shared" si="409"/>
        <v>5.3466115982175877E-2</v>
      </c>
      <c r="AJ81" s="9">
        <f t="shared" si="409"/>
        <v>3.9590443686006838E-2</v>
      </c>
      <c r="AK81" s="10">
        <f t="shared" si="409"/>
        <v>4.110594568142889E-2</v>
      </c>
      <c r="AL81" s="10">
        <f t="shared" si="409"/>
        <v>3.1577155502595877E-2</v>
      </c>
      <c r="AM81" s="10">
        <f t="shared" si="409"/>
        <v>1.7190066903169043E-2</v>
      </c>
      <c r="AN81" s="10">
        <f t="shared" si="409"/>
        <v>-8.4348532312332747E-3</v>
      </c>
      <c r="AO81" s="9">
        <f t="shared" si="409"/>
        <v>1.9993069447892919E-2</v>
      </c>
      <c r="AP81" s="10">
        <f t="shared" si="409"/>
        <v>-1.7108736643620337E-2</v>
      </c>
      <c r="AQ81" s="10">
        <f t="shared" si="409"/>
        <v>-2.4747771689282994E-2</v>
      </c>
      <c r="AR81" s="10">
        <f t="shared" si="409"/>
        <v>-2.3376052558526816E-2</v>
      </c>
      <c r="AS81" s="10">
        <f t="shared" si="409"/>
        <v>-1.4268727705112338E-3</v>
      </c>
      <c r="AT81" s="9">
        <f t="shared" si="409"/>
        <v>-1.6749245665523382E-2</v>
      </c>
      <c r="AU81" s="10">
        <f t="shared" si="409"/>
        <v>-7.7120822622107621E-3</v>
      </c>
      <c r="AV81" s="10">
        <f t="shared" si="409"/>
        <v>-1.7565446136874718E-2</v>
      </c>
      <c r="AW81" s="10">
        <f t="shared" ref="AW81:CB81" si="410">AW80/AR80-1</f>
        <v>6.0331825037707176E-4</v>
      </c>
      <c r="AX81" s="10">
        <f t="shared" si="410"/>
        <v>-2.4921855199797283E-2</v>
      </c>
      <c r="AY81" s="9">
        <f t="shared" si="410"/>
        <v>-1.2465895510855196E-2</v>
      </c>
      <c r="AZ81" s="10">
        <f t="shared" si="410"/>
        <v>-1.4357949934452607E-3</v>
      </c>
      <c r="BA81" s="10">
        <f t="shared" si="410"/>
        <v>4.7577221490264776E-3</v>
      </c>
      <c r="BB81" s="10">
        <f t="shared" si="410"/>
        <v>-5.5858120374252529E-4</v>
      </c>
      <c r="BC81" s="10">
        <f t="shared" si="410"/>
        <v>2.3855038289396946E-2</v>
      </c>
      <c r="BD81" s="9">
        <f t="shared" si="410"/>
        <v>6.9875373823755638E-3</v>
      </c>
      <c r="BE81" s="10">
        <f t="shared" si="410"/>
        <v>4.5866935483870996E-2</v>
      </c>
      <c r="BF81" s="10">
        <f t="shared" si="410"/>
        <v>3.6195610319599503E-2</v>
      </c>
      <c r="BG81" s="10">
        <f t="shared" si="410"/>
        <v>-5.4181609302469402E-3</v>
      </c>
      <c r="BH81" s="10">
        <f t="shared" si="410"/>
        <v>1.3687169533498356E-2</v>
      </c>
      <c r="BI81" s="9">
        <f t="shared" si="410"/>
        <v>2.1634956500856894E-2</v>
      </c>
      <c r="BJ81" s="10">
        <f>BJ80/BE80-1</f>
        <v>1.0279001468428861E-2</v>
      </c>
      <c r="BK81" s="10">
        <f>BK80/BF80-1</f>
        <v>3.4225686208064987E-2</v>
      </c>
      <c r="BL81" s="10">
        <f>BL80/BG80-1</f>
        <v>8.0999870062369972E-2</v>
      </c>
      <c r="BM81" s="10">
        <f>BM80/BH80-1</f>
        <v>5.5604188956975609E-2</v>
      </c>
      <c r="BN81" s="9">
        <f>BN80/BI80-1</f>
        <v>4.5266470692796101E-2</v>
      </c>
      <c r="BO81" s="10">
        <f t="shared" si="410"/>
        <v>3.4958369221935071E-2</v>
      </c>
      <c r="BP81" s="10">
        <f t="shared" si="410"/>
        <v>1.5825127296381858E-2</v>
      </c>
      <c r="BQ81" s="10">
        <f t="shared" si="410"/>
        <v>-1.8473497064417366E-2</v>
      </c>
      <c r="BR81" s="10">
        <f t="shared" si="410"/>
        <v>-9.1047795946797017E-3</v>
      </c>
      <c r="BS81" s="9">
        <f t="shared" si="410"/>
        <v>5.5566515420528706E-3</v>
      </c>
      <c r="BT81" s="10">
        <f t="shared" si="410"/>
        <v>1.4851647093460763E-2</v>
      </c>
      <c r="BU81" s="10">
        <f t="shared" si="410"/>
        <v>2.0158050628964697E-2</v>
      </c>
      <c r="BV81" s="10">
        <f t="shared" si="410"/>
        <v>1.441249816634893E-2</v>
      </c>
      <c r="BW81" s="10">
        <f t="shared" si="410"/>
        <v>-2.1085258551733821E-2</v>
      </c>
      <c r="BX81" s="9">
        <f t="shared" si="410"/>
        <v>6.7630409571597383E-3</v>
      </c>
      <c r="BY81" s="10">
        <f t="shared" si="410"/>
        <v>1.000870322019165E-2</v>
      </c>
      <c r="BZ81" s="10">
        <f t="shared" si="410"/>
        <v>4.0105386416861899E-2</v>
      </c>
      <c r="CA81" s="10">
        <f t="shared" si="410"/>
        <v>6.1477600769806573E-2</v>
      </c>
      <c r="CB81" s="10">
        <f t="shared" si="410"/>
        <v>9.3278670838278233E-2</v>
      </c>
      <c r="CC81" s="9">
        <f t="shared" ref="CC81:DU81" si="411">CC80/BX80-1</f>
        <v>5.1408959537572185E-2</v>
      </c>
      <c r="CD81" s="10">
        <f t="shared" si="411"/>
        <v>9.9567457935801462E-2</v>
      </c>
      <c r="CE81" s="10">
        <f t="shared" si="411"/>
        <v>0.10286970494582937</v>
      </c>
      <c r="CF81" s="10">
        <f t="shared" si="411"/>
        <v>0.1187007996032976</v>
      </c>
      <c r="CG81" s="10">
        <f t="shared" si="411"/>
        <v>0.11417945141794505</v>
      </c>
      <c r="CH81" s="9">
        <f t="shared" si="411"/>
        <v>0.10837510326022826</v>
      </c>
      <c r="CI81" s="10">
        <f t="shared" si="411"/>
        <v>0.10099810675258247</v>
      </c>
      <c r="CJ81" s="10">
        <f t="shared" si="411"/>
        <v>0.10519327594607764</v>
      </c>
      <c r="CK81" s="10">
        <f t="shared" si="411"/>
        <v>9.4095394736842142E-2</v>
      </c>
      <c r="CL81" s="10">
        <f t="shared" si="411"/>
        <v>0.10762008386615629</v>
      </c>
      <c r="CM81" s="9">
        <f t="shared" si="411"/>
        <v>0.1021229781953048</v>
      </c>
      <c r="CN81" s="10">
        <f t="shared" si="411"/>
        <v>0.12639346836238019</v>
      </c>
      <c r="CO81" s="10">
        <f t="shared" si="411"/>
        <v>8.5120396036737711E-2</v>
      </c>
      <c r="CP81" s="10">
        <f t="shared" si="411"/>
        <v>0.10125745722144819</v>
      </c>
      <c r="CQ81" s="10">
        <f t="shared" si="411"/>
        <v>0.13561685423403325</v>
      </c>
      <c r="CR81" s="9">
        <f t="shared" si="411"/>
        <v>0.11225348002952229</v>
      </c>
      <c r="CS81" s="10">
        <f t="shared" si="411"/>
        <v>0.20119148761937922</v>
      </c>
      <c r="CT81" s="10">
        <f t="shared" si="411"/>
        <v>0.26175219994348153</v>
      </c>
      <c r="CU81" s="10">
        <f t="shared" si="411"/>
        <v>0.30131168266761477</v>
      </c>
      <c r="CV81" s="10">
        <f t="shared" si="411"/>
        <v>0.23776706362898792</v>
      </c>
      <c r="CW81" s="9">
        <f t="shared" si="411"/>
        <v>0.25058755433663649</v>
      </c>
      <c r="CX81" s="10">
        <f t="shared" si="411"/>
        <v>4.8870051336390219E-2</v>
      </c>
      <c r="CY81" s="10">
        <f t="shared" si="411"/>
        <v>2.1922330097087217E-2</v>
      </c>
      <c r="CZ81" s="10">
        <f t="shared" si="411"/>
        <v>-1.9895287958115127E-2</v>
      </c>
      <c r="DA81" s="10">
        <f t="shared" si="411"/>
        <v>-2.573212643399958E-2</v>
      </c>
      <c r="DB81" s="9">
        <f t="shared" si="411"/>
        <v>4.3962635288308238E-3</v>
      </c>
      <c r="DC81" s="10">
        <f t="shared" si="411"/>
        <v>0.14307129061085644</v>
      </c>
      <c r="DD81" s="10">
        <f t="shared" si="411"/>
        <v>0.17954735517701215</v>
      </c>
      <c r="DE81" s="10">
        <f t="shared" si="411"/>
        <v>0.19661614645858361</v>
      </c>
      <c r="DF81" s="10">
        <f t="shared" si="411"/>
        <v>0.20460199243350563</v>
      </c>
      <c r="DG81" s="9">
        <f>DG80/DB80-1</f>
        <v>0.18278750952018297</v>
      </c>
      <c r="DH81" s="10">
        <f t="shared" si="411"/>
        <v>0.1570687464709204</v>
      </c>
      <c r="DI81" s="10">
        <f t="shared" si="411"/>
        <v>0.18574603370578435</v>
      </c>
      <c r="DJ81" s="10">
        <f t="shared" si="411"/>
        <v>0.16392293133939373</v>
      </c>
      <c r="DK81" s="10">
        <f t="shared" si="411"/>
        <v>0.15648698503791758</v>
      </c>
      <c r="DL81" s="9">
        <f>DL80/DG80-1</f>
        <v>0.16491507815708717</v>
      </c>
      <c r="DM81" s="10">
        <f t="shared" si="411"/>
        <v>0.10094896356406124</v>
      </c>
      <c r="DN81" s="10">
        <f t="shared" si="411"/>
        <v>3.349122353341949E-3</v>
      </c>
      <c r="DO81" s="10">
        <f t="shared" si="411"/>
        <v>-1.2244792323793163E-2</v>
      </c>
      <c r="DP81" s="10">
        <f t="shared" si="411"/>
        <v>1.0857296425692553E-3</v>
      </c>
      <c r="DQ81" s="9">
        <f>DQ80/DL80-1</f>
        <v>2.2083304595358788E-2</v>
      </c>
      <c r="DR81" s="10">
        <f t="shared" si="411"/>
        <v>-1.9554883318928296E-2</v>
      </c>
      <c r="DS81" s="10">
        <f t="shared" si="411"/>
        <v>2.635719905586198E-3</v>
      </c>
      <c r="DT81" s="911">
        <f t="shared" si="411"/>
        <v>-1.6697039013314541E-2</v>
      </c>
      <c r="DU81" s="10">
        <f t="shared" si="411"/>
        <v>-4.0707234937443104E-2</v>
      </c>
      <c r="DV81" s="9">
        <f t="shared" ref="DV81:ED81" si="412">DV80/DQ80-1</f>
        <v>-1.8350540291629858E-2</v>
      </c>
      <c r="DW81" s="10">
        <f t="shared" si="412"/>
        <v>-8.3206028638855289E-2</v>
      </c>
      <c r="DX81" s="10">
        <f t="shared" si="412"/>
        <v>-9.232585596221965E-2</v>
      </c>
      <c r="DY81" s="911">
        <f t="shared" si="412"/>
        <v>-6.1394113549285922E-2</v>
      </c>
      <c r="DZ81" s="10">
        <f t="shared" si="412"/>
        <v>-3.9681516936671546E-2</v>
      </c>
      <c r="EA81" s="9">
        <f t="shared" si="412"/>
        <v>-7.0015544041450939E-2</v>
      </c>
      <c r="EB81" s="10">
        <f t="shared" si="412"/>
        <v>-2.2914728358021663E-2</v>
      </c>
      <c r="EC81" s="10">
        <f t="shared" si="412"/>
        <v>-5.2761071623838141E-2</v>
      </c>
      <c r="ED81" s="911">
        <f t="shared" si="412"/>
        <v>-1.1712128216982642E-2</v>
      </c>
      <c r="EE81" s="10">
        <f t="shared" ref="EE81:EQ81" si="413">EE80/DZ80-1</f>
        <v>-8.714325649952992E-2</v>
      </c>
      <c r="EF81" s="9">
        <f t="shared" si="413"/>
        <v>-4.156762105962486E-2</v>
      </c>
      <c r="EG81" s="10">
        <f t="shared" si="413"/>
        <v>-9.6308777429467085E-2</v>
      </c>
      <c r="EH81" s="10">
        <f t="shared" si="413"/>
        <v>-1.0582010582009804E-3</v>
      </c>
      <c r="EI81" s="911">
        <f t="shared" si="413"/>
        <v>9.9932880900888144E-3</v>
      </c>
      <c r="EJ81" s="10">
        <f t="shared" si="413"/>
        <v>0.13357366652825498</v>
      </c>
      <c r="EK81" s="9">
        <f t="shared" si="413"/>
        <v>1.0936494759780091E-2</v>
      </c>
      <c r="EL81" s="10">
        <f t="shared" si="413"/>
        <v>0.27636163579680906</v>
      </c>
      <c r="EM81" s="10">
        <f t="shared" si="413"/>
        <v>0.19441105769230749</v>
      </c>
      <c r="EN81" s="911">
        <f t="shared" si="413"/>
        <v>4.510539653851442E-2</v>
      </c>
      <c r="EO81" s="10">
        <f t="shared" si="413"/>
        <v>3.4450350012963593E-2</v>
      </c>
      <c r="EP81" s="9">
        <f t="shared" si="413"/>
        <v>0.12662653177770755</v>
      </c>
      <c r="EQ81" s="10">
        <f t="shared" si="413"/>
        <v>-1.722231753111847E-2</v>
      </c>
      <c r="ER81" s="1166">
        <v>1.4999999999999999E-2</v>
      </c>
      <c r="ES81" s="1166">
        <v>0.08</v>
      </c>
      <c r="ET81" s="1166">
        <v>0.08</v>
      </c>
      <c r="EU81" s="9">
        <f>EU80/EP80-1</f>
        <v>3.9482282630068255E-2</v>
      </c>
      <c r="EV81" s="1184"/>
      <c r="EW81" s="1184"/>
      <c r="EX81" s="1184"/>
      <c r="EY81" s="1184"/>
      <c r="EZ81" s="1299">
        <v>0.01</v>
      </c>
      <c r="FA81" s="1184"/>
      <c r="FB81" s="1184"/>
      <c r="FC81" s="1184"/>
      <c r="FD81" s="1184"/>
      <c r="FE81" s="1299">
        <v>0.01</v>
      </c>
      <c r="FG81" s="468"/>
      <c r="FH81" s="780"/>
      <c r="FI81" s="780"/>
      <c r="FJ81" s="780"/>
      <c r="FK81" s="186"/>
      <c r="FL81" s="1348"/>
      <c r="FM81" s="1536">
        <f>+EQ81</f>
        <v>-1.722231753111847E-2</v>
      </c>
      <c r="FN81" s="1418">
        <f>EL81</f>
        <v>0.27636163579680906</v>
      </c>
      <c r="FO81" s="1815">
        <v>0.03</v>
      </c>
      <c r="FP81" s="1751"/>
      <c r="FQ81" s="1982">
        <f>(FM81-FO81)</f>
        <v>-4.7222317531118468E-2</v>
      </c>
      <c r="FR81" s="1615" t="s">
        <v>669</v>
      </c>
      <c r="FS81" s="1615" t="s">
        <v>641</v>
      </c>
      <c r="FT81" s="433"/>
      <c r="FU81" s="432"/>
      <c r="FV81" s="432"/>
      <c r="FW81" s="432"/>
      <c r="FX81" s="432"/>
      <c r="FY81" s="432"/>
      <c r="FZ81" s="468"/>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c r="IW81"/>
      <c r="IX81"/>
    </row>
    <row r="82" spans="1:258" s="55" customFormat="1" x14ac:dyDescent="0.2">
      <c r="A82" s="383" t="s">
        <v>336</v>
      </c>
      <c r="F82" s="54"/>
      <c r="K82" s="54"/>
      <c r="P82" s="54"/>
      <c r="R82" s="55">
        <f>R80/Q80-1</f>
        <v>2.6842130267470399E-3</v>
      </c>
      <c r="S82" s="55">
        <f>S80/R80-1</f>
        <v>2.0717856594140382E-2</v>
      </c>
      <c r="T82" s="55">
        <f>T80/S80-1</f>
        <v>-5.1276792123888804E-4</v>
      </c>
      <c r="U82" s="54"/>
      <c r="V82" s="55">
        <f>V80/T80-1</f>
        <v>-3.8994000922934924E-2</v>
      </c>
      <c r="W82" s="55">
        <f>W80/V80-1</f>
        <v>1.0402781802376193E-2</v>
      </c>
      <c r="X82" s="55">
        <f>X80/W80-1</f>
        <v>-2.7020388111028693E-3</v>
      </c>
      <c r="Y82" s="55">
        <f>Y80/X80-1</f>
        <v>8.9333333333332376E-3</v>
      </c>
      <c r="Z82" s="54"/>
      <c r="AA82" s="55">
        <f>AA80/Y80-1</f>
        <v>-2.4247029566178635E-2</v>
      </c>
      <c r="AB82" s="55">
        <f>AB80/AA80-1</f>
        <v>7.2099720429656955E-3</v>
      </c>
      <c r="AC82" s="55">
        <f>AC80/AB80-1</f>
        <v>3.5710167211224331E-2</v>
      </c>
      <c r="AD82" s="55">
        <f>AD80/AC80-1</f>
        <v>-1.5310808197989245E-2</v>
      </c>
      <c r="AE82" s="54"/>
      <c r="AF82" s="55">
        <f>AF80/AD80-1</f>
        <v>5.353523765821544E-3</v>
      </c>
      <c r="AG82" s="55">
        <f>AG80/AF80-1</f>
        <v>2.0725995316159374E-2</v>
      </c>
      <c r="AH82" s="55">
        <f>AH80/AG80-1</f>
        <v>1.6486086940249667E-2</v>
      </c>
      <c r="AI82" s="55">
        <f>AI80/AH80-1</f>
        <v>9.9297205965178659E-3</v>
      </c>
      <c r="AJ82" s="54"/>
      <c r="AK82" s="55">
        <f>AK80/AI80-1</f>
        <v>-6.4421482331931124E-3</v>
      </c>
      <c r="AL82" s="55">
        <f>AL80/AK80-1</f>
        <v>1.1383733964379195E-2</v>
      </c>
      <c r="AM82" s="55">
        <f>AM80/AL80-1</f>
        <v>2.3094688221709792E-3</v>
      </c>
      <c r="AN82" s="55">
        <f>AN80/AM80-1</f>
        <v>-1.5512297836118516E-2</v>
      </c>
      <c r="AO82" s="54"/>
      <c r="AP82" s="55">
        <f>AP80/AN80-1</f>
        <v>-1.5133463168747863E-2</v>
      </c>
      <c r="AQ82" s="55">
        <f>AQ80/AP80-1</f>
        <v>3.5232553169404213E-3</v>
      </c>
      <c r="AR82" s="55">
        <f>AR80/AQ80-1</f>
        <v>3.7192447072287305E-3</v>
      </c>
      <c r="AS82" s="55">
        <f>AS80/AR80-1</f>
        <v>6.6136162687886468E-3</v>
      </c>
      <c r="AT82" s="54"/>
      <c r="AU82" s="55">
        <f>AU80/AS80-1</f>
        <v>-2.1332400769365378E-2</v>
      </c>
      <c r="AV82" s="55">
        <f>AV80/AU80-1</f>
        <v>-6.4416748354572118E-3</v>
      </c>
      <c r="AW82" s="55">
        <f>AW80/AV80-1</f>
        <v>2.2281639928698693E-2</v>
      </c>
      <c r="AX82" s="55">
        <f>AX80/AW80-1</f>
        <v>-1.9064878579195366E-2</v>
      </c>
      <c r="AY82" s="54"/>
      <c r="AZ82" s="55">
        <f>AZ80/AX80-1</f>
        <v>2.240116243869883E-3</v>
      </c>
      <c r="BA82" s="55">
        <f>BA80/AZ80-1</f>
        <v>-2.7920627499866679E-4</v>
      </c>
      <c r="BB82" s="55">
        <f>BB80/BA80-1</f>
        <v>1.6872615255364654E-2</v>
      </c>
      <c r="BC82" s="55">
        <f>BC80/BB80-1</f>
        <v>4.8966827003718016E-3</v>
      </c>
      <c r="BD82" s="54"/>
      <c r="BE82" s="55">
        <f>BE80/BC80-1</f>
        <v>2.3787313432835688E-2</v>
      </c>
      <c r="BF82" s="55">
        <f>BF80/BE80-1</f>
        <v>-9.52380952380949E-3</v>
      </c>
      <c r="BG82" s="55">
        <f>BG80/BF80-1</f>
        <v>-2.3965141612200425E-2</v>
      </c>
      <c r="BH82" s="55">
        <f>BH80/BG80-1</f>
        <v>2.4200155225939879E-2</v>
      </c>
      <c r="BI82" s="54"/>
      <c r="BJ82" s="55">
        <f>BJ80/BH80-1</f>
        <v>2.0345187171465717E-2</v>
      </c>
      <c r="BK82" s="55">
        <f>BK80/BJ80-1</f>
        <v>1.3953488372093092E-2</v>
      </c>
      <c r="BL82" s="55">
        <f>BL80/BK80-1</f>
        <v>2.0177287379122166E-2</v>
      </c>
      <c r="BM82" s="55">
        <f>BM80/BL80-1</f>
        <v>1.3885674612357235E-4</v>
      </c>
      <c r="BN82" s="54"/>
      <c r="BO82" s="55">
        <f>BO80/BM80-1</f>
        <v>3.8897344833421776E-4</v>
      </c>
      <c r="BP82" s="55">
        <f>BP80/BO80-1</f>
        <v>-4.7914369999937367E-3</v>
      </c>
      <c r="BQ82" s="55">
        <f>BQ80/BP80-1</f>
        <v>-1.4268284620423954E-2</v>
      </c>
      <c r="BR82" s="55">
        <f>BR80/BQ80-1</f>
        <v>9.6852300242131761E-3</v>
      </c>
      <c r="BS82" s="54"/>
      <c r="BT82" s="55">
        <f>BT80/BR80-1</f>
        <v>2.4574926320562129E-2</v>
      </c>
      <c r="BU82" s="55">
        <f>BU80/BT80-1</f>
        <v>4.122577985432585E-4</v>
      </c>
      <c r="BV82" s="55">
        <f>BV80/BU80-1</f>
        <v>-1.9819947209653077E-2</v>
      </c>
      <c r="BW82" s="55">
        <f>BW80/BV80-1</f>
        <v>-2.5647103441736929E-2</v>
      </c>
      <c r="BX82" s="54"/>
      <c r="BY82" s="55">
        <f>BY80/BW80-1</f>
        <v>5.7119224861160278E-2</v>
      </c>
      <c r="BZ82" s="55">
        <f>BZ80/BY80-1</f>
        <v>3.0222981897288559E-2</v>
      </c>
      <c r="CA82" s="55">
        <f>CA80/BZ80-1</f>
        <v>3.2091396296651808E-4</v>
      </c>
      <c r="CB82" s="55">
        <f>CB80/CA80-1</f>
        <v>3.5437760571768173E-3</v>
      </c>
      <c r="CC82" s="54"/>
      <c r="CD82" s="55">
        <f>CD80/CB80-1</f>
        <v>6.3200014616944689E-2</v>
      </c>
      <c r="CE82" s="55">
        <f>CE80/CD80-1</f>
        <v>3.3316971935897888E-2</v>
      </c>
      <c r="CF82" s="55">
        <f>CF80/CE80-1</f>
        <v>1.4679976512037562E-2</v>
      </c>
      <c r="CG82" s="55">
        <f>CG80/CF80-1</f>
        <v>-5.1215277777771906E-4</v>
      </c>
      <c r="CH82" s="54"/>
      <c r="CI82" s="55">
        <f>CI80/CG80-1</f>
        <v>5.0621784222326216E-2</v>
      </c>
      <c r="CJ82" s="55">
        <f>CJ80/CI80-1</f>
        <v>3.7254253481791677E-2</v>
      </c>
      <c r="CK82" s="55">
        <f>CK80/CJ80-1</f>
        <v>4.4909913907873467E-3</v>
      </c>
      <c r="CL82" s="55">
        <f>CL80/CK80-1</f>
        <v>1.1843042653292946E-2</v>
      </c>
      <c r="CM82" s="54"/>
      <c r="CN82" s="55">
        <f>CN80/CL80-1</f>
        <v>6.8429087468822702E-2</v>
      </c>
      <c r="CO82" s="55">
        <f>CO80/CN80-1</f>
        <v>-7.525984988711043E-4</v>
      </c>
      <c r="CP82" s="55">
        <f>CP80/CO80-1</f>
        <v>1.9428995179829434E-2</v>
      </c>
      <c r="CQ82" s="55">
        <f>CQ80/CP80-1</f>
        <v>4.3412696587500355E-2</v>
      </c>
      <c r="CR82" s="54"/>
      <c r="CS82" s="55">
        <f>CS80/CQ80-1</f>
        <v>0.13012405566851881</v>
      </c>
      <c r="CT82" s="55">
        <f>CT80/CS80-1</f>
        <v>4.9626658302932114E-2</v>
      </c>
      <c r="CU82" s="55">
        <f>CU80/CT80-1</f>
        <v>5.1390963405526513E-2</v>
      </c>
      <c r="CV82" s="55">
        <f>CV80/CU80-1</f>
        <v>-7.5384038965904399E-3</v>
      </c>
      <c r="CW82" s="54"/>
      <c r="CX82" s="55">
        <f>CX80/CV80-1</f>
        <v>-4.2345437104932993E-2</v>
      </c>
      <c r="CY82" s="55">
        <f>CY80/CX80-1</f>
        <v>2.2659498207885376E-2</v>
      </c>
      <c r="CZ82" s="55">
        <f>CZ80/CY80-1</f>
        <v>8.3674728333940074E-3</v>
      </c>
      <c r="DA82" s="55">
        <f>DA80/CZ80-1</f>
        <v>-1.3448831587429377E-2</v>
      </c>
      <c r="DB82" s="54"/>
      <c r="DC82" s="55">
        <f>DC80/DA80-1</f>
        <v>0.12357952763150726</v>
      </c>
      <c r="DD82" s="55">
        <f>DD80/DC80-1</f>
        <v>5.5293152987097471E-2</v>
      </c>
      <c r="DE82" s="55">
        <f>DE80/DD80-1</f>
        <v>2.2959183673469497E-2</v>
      </c>
      <c r="DF82" s="55">
        <f>DF80/DE80-1</f>
        <v>-6.8648942900441101E-3</v>
      </c>
      <c r="DG82" s="54"/>
      <c r="DH82" s="55">
        <f>DH80/DF80-1</f>
        <v>7.9243404678944529E-2</v>
      </c>
      <c r="DI82" s="55">
        <f>DI80/DH80-1</f>
        <v>8.1447990335784537E-2</v>
      </c>
      <c r="DJ82" s="55">
        <f>DJ80/DI80-1</f>
        <v>4.1320973098100122E-3</v>
      </c>
      <c r="DK82" s="55">
        <f>DK80/DJ80-1</f>
        <v>-1.3209729602869924E-2</v>
      </c>
      <c r="DL82" s="54"/>
      <c r="DM82" s="55">
        <f>DM80/DK80-1</f>
        <v>2.7414854803295308E-2</v>
      </c>
      <c r="DN82" s="55">
        <f>DN80/DM80-1</f>
        <v>-1.4423076923076983E-2</v>
      </c>
      <c r="DO82" s="55">
        <f>DO80/DN80-1</f>
        <v>-1.1473986256890445E-2</v>
      </c>
      <c r="DP82" s="55">
        <f>DP80/DO80-1</f>
        <v>1.077697871547656E-4</v>
      </c>
      <c r="DQ82" s="54"/>
      <c r="DR82" s="55">
        <f>DR80/DP80-1</f>
        <v>6.2313819588071251E-3</v>
      </c>
      <c r="DS82" s="55">
        <f>DS80/DR80-1</f>
        <v>7.8836754643207829E-3</v>
      </c>
      <c r="DT82" s="55">
        <f>DT80/DS80-1</f>
        <v>-3.0534682708595828E-2</v>
      </c>
      <c r="DU82" s="55">
        <f>DU80/DT80-1</f>
        <v>-2.4312764321414826E-2</v>
      </c>
      <c r="DV82" s="54"/>
      <c r="DW82" s="55">
        <f>DW80/DU80-1</f>
        <v>-3.8346896409596543E-2</v>
      </c>
      <c r="DX82" s="55">
        <f>DX80/DW80-1</f>
        <v>-2.1422686075254216E-3</v>
      </c>
      <c r="DY82" s="55">
        <f>DY80/DX80-1</f>
        <v>2.5027808676307828E-3</v>
      </c>
      <c r="DZ82" s="55">
        <f>DZ80/DY80-1</f>
        <v>-1.7423717059639188E-3</v>
      </c>
      <c r="EA82" s="54"/>
      <c r="EB82" s="55">
        <f>EB80/DZ80-1</f>
        <v>-2.1556805873726437E-2</v>
      </c>
      <c r="EC82" s="55">
        <f>EC80/EB80-1</f>
        <v>-3.2623133733595489E-2</v>
      </c>
      <c r="ED82" s="55">
        <f>ED80/EC80-1</f>
        <v>4.5946603417867715E-2</v>
      </c>
      <c r="EE82" s="55">
        <f>EE80/ED80-1</f>
        <v>-7.7934442223865807E-2</v>
      </c>
      <c r="EF82" s="54"/>
      <c r="EG82" s="55">
        <f>EG80/EE80-1</f>
        <v>-3.1380846325167022E-2</v>
      </c>
      <c r="EH82" s="55">
        <f>EH80/EG80-1</f>
        <v>6.9340016708437924E-2</v>
      </c>
      <c r="EI82" s="55">
        <f>EI80/EH80-1</f>
        <v>5.7518115942029047E-2</v>
      </c>
      <c r="EJ82" s="55">
        <f>EJ80/EI80-1</f>
        <v>3.4887308097121705E-2</v>
      </c>
      <c r="EK82" s="54"/>
      <c r="EL82" s="55">
        <f>EL80/EJ80-1</f>
        <v>9.062901155327352E-2</v>
      </c>
      <c r="EM82" s="55">
        <f>EM80/EL80-1</f>
        <v>6.8155025051552798E-4</v>
      </c>
      <c r="EN82" s="55">
        <f>EN80/EM80-1</f>
        <v>-7.4675437078068008E-2</v>
      </c>
      <c r="EO82" s="55">
        <f>EO80/EN80-1</f>
        <v>2.4336436909394132E-2</v>
      </c>
      <c r="EP82" s="54"/>
      <c r="EQ82" s="55">
        <f>EQ80/EO80-1</f>
        <v>3.615011817069913E-2</v>
      </c>
      <c r="ER82" s="55">
        <f t="shared" ref="ER82" si="414">ER80/EQ80-1</f>
        <v>3.3490881633277292E-2</v>
      </c>
      <c r="ES82" s="55">
        <f t="shared" ref="ES82:ET82" si="415">ES80/ER80-1</f>
        <v>-1.5418199058436888E-2</v>
      </c>
      <c r="ET82" s="55">
        <f t="shared" si="415"/>
        <v>2.4336436909394132E-2</v>
      </c>
      <c r="EU82" s="54"/>
      <c r="EZ82" s="54"/>
      <c r="FE82" s="54"/>
      <c r="FG82" s="464"/>
      <c r="FH82" s="766">
        <f>AVERAGE(CI82,CN82,CS82,CX82,DC82,DH82,DM82,DR82,DW82,EB82,EG82,EL82,EQ82)</f>
        <v>3.6830249264828585E-2</v>
      </c>
      <c r="FI82" s="766">
        <f>AVERAGE(CJ82,CO82,CT82,CY82,DD82,DI82,DN82,DS82,DX82,EC82,EH82)</f>
        <v>2.4869469793198262E-2</v>
      </c>
      <c r="FJ82" s="766">
        <f>AVERAGE(CK82,CP82,CU82,CZ82,DE82,DJ82,DO82,DT82,DY82,ED82,EI82)</f>
        <v>1.5884412277714369E-2</v>
      </c>
      <c r="FK82" s="1408">
        <f>AVERAGE(CL82,CQ82,CV82,DA82,DF82,DK82,DP82,DU82,DZ82,EE82,EJ82,EO82)</f>
        <v>-2.538681966142875E-3</v>
      </c>
      <c r="FL82" s="1338"/>
      <c r="FM82" s="1523">
        <f>+EQ82</f>
        <v>3.615011817069913E-2</v>
      </c>
      <c r="FN82" s="1416">
        <f>EL82</f>
        <v>9.062901155327352E-2</v>
      </c>
      <c r="FO82" s="1799">
        <v>8.5936973085072754E-2</v>
      </c>
      <c r="FP82" s="1741"/>
      <c r="FQ82" s="1503">
        <f>+(FM82-FO82)*10000</f>
        <v>-497.86854914373623</v>
      </c>
      <c r="FR82" s="1619"/>
      <c r="FS82" s="1619"/>
      <c r="FT82" s="433"/>
      <c r="FU82" s="432"/>
      <c r="FV82" s="432"/>
      <c r="FW82" s="432"/>
      <c r="FX82" s="432"/>
      <c r="FY82" s="432"/>
      <c r="FZ82" s="464"/>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c r="IW82"/>
      <c r="IX82"/>
    </row>
    <row r="83" spans="1:258" s="36" customFormat="1" hidden="1" outlineLevel="1" x14ac:dyDescent="0.2">
      <c r="A83" s="576" t="s">
        <v>59</v>
      </c>
      <c r="B83" s="33"/>
      <c r="C83" s="33"/>
      <c r="D83" s="33"/>
      <c r="E83" s="33"/>
      <c r="F83" s="32"/>
      <c r="G83" s="33"/>
      <c r="H83" s="33"/>
      <c r="I83" s="33"/>
      <c r="J83" s="33"/>
      <c r="K83" s="32"/>
      <c r="L83" s="33"/>
      <c r="M83" s="33"/>
      <c r="N83" s="33"/>
      <c r="O83" s="33"/>
      <c r="P83" s="32"/>
      <c r="Q83" s="33"/>
      <c r="R83" s="33"/>
      <c r="S83" s="33"/>
      <c r="T83" s="33"/>
      <c r="U83" s="32"/>
      <c r="V83" s="33"/>
      <c r="W83" s="33"/>
      <c r="X83" s="33"/>
      <c r="Y83" s="33"/>
      <c r="Z83" s="32"/>
      <c r="AA83" s="33"/>
      <c r="AB83" s="33"/>
      <c r="AC83" s="33"/>
      <c r="AD83" s="33"/>
      <c r="AE83" s="32"/>
      <c r="AF83" s="33"/>
      <c r="AG83" s="33"/>
      <c r="AH83" s="33"/>
      <c r="AI83" s="33"/>
      <c r="AJ83" s="32"/>
      <c r="AK83" s="33"/>
      <c r="AL83" s="33"/>
      <c r="AM83" s="33"/>
      <c r="AN83" s="33"/>
      <c r="AO83" s="32"/>
      <c r="AP83" s="33"/>
      <c r="AQ83" s="33"/>
      <c r="AR83" s="33"/>
      <c r="AS83" s="33"/>
      <c r="AT83" s="32"/>
      <c r="AU83" s="33"/>
      <c r="AV83" s="33"/>
      <c r="AW83" s="33"/>
      <c r="AX83" s="33"/>
      <c r="AY83" s="32"/>
      <c r="AZ83" s="33"/>
      <c r="BA83" s="33"/>
      <c r="BB83" s="33"/>
      <c r="BC83" s="33"/>
      <c r="BD83" s="32"/>
      <c r="BE83" s="33"/>
      <c r="BF83" s="33"/>
      <c r="BG83" s="33"/>
      <c r="BH83" s="33"/>
      <c r="BI83" s="32"/>
      <c r="BJ83" s="33"/>
      <c r="BK83" s="33"/>
      <c r="BL83" s="33"/>
      <c r="BM83" s="33"/>
      <c r="BN83" s="32"/>
      <c r="BO83" s="33"/>
      <c r="BP83" s="33"/>
      <c r="BQ83" s="33"/>
      <c r="BR83" s="33"/>
      <c r="BS83" s="32"/>
      <c r="BT83" s="33"/>
      <c r="BU83" s="33"/>
      <c r="BV83" s="33"/>
      <c r="BW83" s="33"/>
      <c r="BX83" s="32"/>
      <c r="BY83" s="33"/>
      <c r="BZ83" s="33"/>
      <c r="CA83" s="33"/>
      <c r="CB83" s="33"/>
      <c r="CC83" s="32"/>
      <c r="CD83" s="33"/>
      <c r="CE83" s="33"/>
      <c r="CF83" s="33"/>
      <c r="CG83" s="33"/>
      <c r="CH83" s="32"/>
      <c r="CI83" s="33"/>
      <c r="CJ83" s="33"/>
      <c r="CK83" s="33"/>
      <c r="CL83" s="33"/>
      <c r="CM83" s="32"/>
      <c r="CN83" s="33"/>
      <c r="CO83" s="33"/>
      <c r="CP83" s="33"/>
      <c r="CQ83" s="33"/>
      <c r="CR83" s="32"/>
      <c r="CS83" s="33"/>
      <c r="CT83" s="33"/>
      <c r="CU83" s="33"/>
      <c r="CV83" s="33"/>
      <c r="CW83" s="32"/>
      <c r="CX83" s="33"/>
      <c r="CY83" s="33"/>
      <c r="CZ83" s="33"/>
      <c r="DA83" s="33"/>
      <c r="DB83" s="32"/>
      <c r="DC83" s="33"/>
      <c r="DD83" s="33"/>
      <c r="DE83" s="33"/>
      <c r="DF83" s="33"/>
      <c r="DG83" s="32"/>
      <c r="DH83" s="33"/>
      <c r="DI83" s="33"/>
      <c r="DJ83" s="33"/>
      <c r="DK83" s="33"/>
      <c r="DL83" s="32"/>
      <c r="DM83" s="33"/>
      <c r="DN83" s="33"/>
      <c r="DO83" s="33"/>
      <c r="DP83" s="33"/>
      <c r="DQ83" s="32"/>
      <c r="DR83" s="33"/>
      <c r="DS83" s="33"/>
      <c r="DT83" s="319"/>
      <c r="DU83" s="33"/>
      <c r="DV83" s="32"/>
      <c r="DW83" s="33"/>
      <c r="DX83" s="33"/>
      <c r="DY83" s="319"/>
      <c r="DZ83" s="33"/>
      <c r="EA83" s="32"/>
      <c r="EB83" s="33"/>
      <c r="EC83" s="33"/>
      <c r="ED83" s="319"/>
      <c r="EE83" s="33"/>
      <c r="EF83" s="32"/>
      <c r="EG83" s="33"/>
      <c r="EH83" s="33"/>
      <c r="EI83" s="319"/>
      <c r="EJ83" s="33"/>
      <c r="EK83" s="32"/>
      <c r="EL83" s="33"/>
      <c r="EM83" s="33"/>
      <c r="EN83" s="319"/>
      <c r="EO83" s="33"/>
      <c r="EP83" s="32"/>
      <c r="EQ83" s="33"/>
      <c r="ER83" s="319"/>
      <c r="ES83" s="319"/>
      <c r="ET83" s="319"/>
      <c r="EU83" s="320"/>
      <c r="EV83" s="321"/>
      <c r="EW83" s="321"/>
      <c r="EX83" s="321"/>
      <c r="EY83" s="321"/>
      <c r="EZ83" s="320"/>
      <c r="FA83" s="321"/>
      <c r="FB83" s="321"/>
      <c r="FC83" s="321"/>
      <c r="FD83" s="321"/>
      <c r="FE83" s="320"/>
      <c r="FF83" s="35"/>
      <c r="FG83" s="474"/>
      <c r="FH83" s="776"/>
      <c r="FI83" s="776"/>
      <c r="FJ83" s="776"/>
      <c r="FK83" s="83"/>
      <c r="FL83" s="1346"/>
      <c r="FM83" s="1536"/>
      <c r="FN83" s="1561"/>
      <c r="FO83" s="1817"/>
      <c r="FP83" s="315"/>
      <c r="FQ83" s="1565"/>
      <c r="FR83" s="1615" t="s">
        <v>674</v>
      </c>
      <c r="FS83" s="1615" t="s">
        <v>720</v>
      </c>
      <c r="FT83" s="432"/>
      <c r="FU83" s="354"/>
      <c r="FV83" s="354"/>
      <c r="FW83" s="354"/>
      <c r="FX83" s="354"/>
      <c r="FY83" s="354"/>
      <c r="FZ83" s="474"/>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c r="IW83"/>
      <c r="IX83"/>
    </row>
    <row r="84" spans="1:258" s="45" customFormat="1" hidden="1" outlineLevel="1" x14ac:dyDescent="0.2">
      <c r="A84" s="577" t="s">
        <v>457</v>
      </c>
      <c r="B84" s="10"/>
      <c r="C84" s="10"/>
      <c r="D84" s="10"/>
      <c r="E84" s="10"/>
      <c r="F84" s="9"/>
      <c r="G84" s="10"/>
      <c r="H84" s="10"/>
      <c r="I84" s="10"/>
      <c r="J84" s="10"/>
      <c r="K84" s="9"/>
      <c r="L84" s="10"/>
      <c r="M84" s="10"/>
      <c r="N84" s="10"/>
      <c r="O84" s="10"/>
      <c r="P84" s="9"/>
      <c r="Q84" s="10"/>
      <c r="R84" s="10"/>
      <c r="S84" s="10"/>
      <c r="T84" s="10"/>
      <c r="U84" s="9"/>
      <c r="V84" s="10"/>
      <c r="W84" s="10"/>
      <c r="X84" s="10"/>
      <c r="Y84" s="10"/>
      <c r="Z84" s="9"/>
      <c r="AA84" s="10"/>
      <c r="AB84" s="10"/>
      <c r="AC84" s="10"/>
      <c r="AD84" s="10"/>
      <c r="AE84" s="9"/>
      <c r="AF84" s="10"/>
      <c r="AG84" s="10"/>
      <c r="AH84" s="10"/>
      <c r="AI84" s="10"/>
      <c r="AJ84" s="9"/>
      <c r="AK84" s="10"/>
      <c r="AL84" s="10"/>
      <c r="AM84" s="10"/>
      <c r="AN84" s="10"/>
      <c r="AO84" s="9"/>
      <c r="AP84" s="10"/>
      <c r="AQ84" s="10"/>
      <c r="AR84" s="10"/>
      <c r="AS84" s="10"/>
      <c r="AT84" s="9"/>
      <c r="AU84" s="10"/>
      <c r="AV84" s="10"/>
      <c r="AW84" s="10"/>
      <c r="AX84" s="10"/>
      <c r="AY84" s="9"/>
      <c r="AZ84" s="10"/>
      <c r="BA84" s="10"/>
      <c r="BB84" s="10"/>
      <c r="BC84" s="10"/>
      <c r="BD84" s="9"/>
      <c r="BE84" s="10"/>
      <c r="BF84" s="10"/>
      <c r="BG84" s="10"/>
      <c r="BH84" s="10"/>
      <c r="BI84" s="9"/>
      <c r="BJ84" s="61">
        <f>BJ74/BJ91</f>
        <v>9.3681917211328969</v>
      </c>
      <c r="BK84" s="61">
        <f t="shared" ref="BK84:DW84" si="416">BK74/BK91</f>
        <v>9.7104677060133628</v>
      </c>
      <c r="BL84" s="61">
        <f t="shared" si="416"/>
        <v>9.819413092550791</v>
      </c>
      <c r="BM84" s="61">
        <f t="shared" si="416"/>
        <v>9.647577092511014</v>
      </c>
      <c r="BN84" s="60">
        <f t="shared" si="416"/>
        <v>9.634349030470915</v>
      </c>
      <c r="BO84" s="61">
        <f t="shared" si="416"/>
        <v>9.5432692307692317</v>
      </c>
      <c r="BP84" s="61">
        <f t="shared" si="416"/>
        <v>9.6144578313253017</v>
      </c>
      <c r="BQ84" s="61">
        <f t="shared" si="416"/>
        <v>9.5249406175771973</v>
      </c>
      <c r="BR84" s="61">
        <f t="shared" si="416"/>
        <v>9.5249406175771973</v>
      </c>
      <c r="BS84" s="60">
        <f t="shared" si="416"/>
        <v>9.5517035265989243</v>
      </c>
      <c r="BT84" s="61">
        <f t="shared" si="416"/>
        <v>9.6962025316455698</v>
      </c>
      <c r="BU84" s="61">
        <f t="shared" si="416"/>
        <v>9.7652582159624419</v>
      </c>
      <c r="BV84" s="61">
        <f t="shared" si="416"/>
        <v>9.5673076923076916</v>
      </c>
      <c r="BW84" s="61">
        <f t="shared" si="416"/>
        <v>9.3720930232558146</v>
      </c>
      <c r="BX84" s="60">
        <f t="shared" si="416"/>
        <v>9.5980803839232145</v>
      </c>
      <c r="BY84" s="61">
        <f t="shared" si="416"/>
        <v>9.8829039812646364</v>
      </c>
      <c r="BZ84" s="61">
        <f t="shared" si="416"/>
        <v>10.137614678899082</v>
      </c>
      <c r="CA84" s="61">
        <f t="shared" si="416"/>
        <v>10.186046511627907</v>
      </c>
      <c r="CB84" s="61">
        <f t="shared" si="416"/>
        <v>10.191897654584222</v>
      </c>
      <c r="CC84" s="60">
        <f t="shared" si="416"/>
        <v>10.102156640181612</v>
      </c>
      <c r="CD84" s="61">
        <f t="shared" si="416"/>
        <v>10.952380952380953</v>
      </c>
      <c r="CE84" s="61">
        <f t="shared" si="416"/>
        <v>11.268817204301076</v>
      </c>
      <c r="CF84" s="61">
        <f t="shared" si="416"/>
        <v>11.352549889135254</v>
      </c>
      <c r="CG84" s="61">
        <f t="shared" si="416"/>
        <v>11.400437636761488</v>
      </c>
      <c r="CH84" s="60">
        <f t="shared" si="416"/>
        <v>11.242506811989101</v>
      </c>
      <c r="CI84" s="61">
        <f t="shared" si="416"/>
        <v>11.88911704312115</v>
      </c>
      <c r="CJ84" s="61">
        <f t="shared" si="416"/>
        <v>12.48421052631579</v>
      </c>
      <c r="CK84" s="61">
        <f t="shared" si="416"/>
        <v>12.438016528925621</v>
      </c>
      <c r="CL84" s="61">
        <f t="shared" si="416"/>
        <v>12.531120331950207</v>
      </c>
      <c r="CM84" s="60">
        <f t="shared" si="416"/>
        <v>12.334024896265559</v>
      </c>
      <c r="CN84" s="61">
        <f t="shared" si="416"/>
        <v>12.736418511066397</v>
      </c>
      <c r="CO84" s="61">
        <f t="shared" si="416"/>
        <v>12.734530938123752</v>
      </c>
      <c r="CP84" s="61">
        <f t="shared" si="416"/>
        <v>12.902584493041751</v>
      </c>
      <c r="CQ84" s="61">
        <f t="shared" si="416"/>
        <v>13.44488188976378</v>
      </c>
      <c r="CR84" s="60">
        <f t="shared" si="416"/>
        <v>12.956694873071179</v>
      </c>
      <c r="CS84" s="61">
        <f t="shared" si="416"/>
        <v>15.206545599680702</v>
      </c>
      <c r="CT84" s="61">
        <f t="shared" si="416"/>
        <v>15.916553988796602</v>
      </c>
      <c r="CU84" s="61">
        <f t="shared" si="416"/>
        <v>16.722408026755854</v>
      </c>
      <c r="CV84" s="61">
        <f t="shared" si="416"/>
        <v>16.485436893203882</v>
      </c>
      <c r="CW84" s="60">
        <f t="shared" si="416"/>
        <v>16.086381665932127</v>
      </c>
      <c r="CX84" s="61">
        <f t="shared" si="416"/>
        <v>15.829787234042554</v>
      </c>
      <c r="CY84" s="61">
        <f t="shared" si="416"/>
        <v>15.875299760191846</v>
      </c>
      <c r="CZ84" s="61">
        <f t="shared" si="416"/>
        <v>16.037735849056606</v>
      </c>
      <c r="DA84" s="61">
        <f t="shared" si="416"/>
        <v>15.82716049382716</v>
      </c>
      <c r="DB84" s="60">
        <f t="shared" si="416"/>
        <v>15.89160839160839</v>
      </c>
      <c r="DC84" s="61">
        <f t="shared" si="416"/>
        <v>17.777777777777775</v>
      </c>
      <c r="DD84" s="61">
        <f t="shared" si="416"/>
        <v>18.764044943820224</v>
      </c>
      <c r="DE84" s="61">
        <f t="shared" si="416"/>
        <v>19.284064665127023</v>
      </c>
      <c r="DF84" s="61">
        <f t="shared" si="416"/>
        <v>19.006622516556291</v>
      </c>
      <c r="DG84" s="60">
        <f t="shared" si="416"/>
        <v>18.722063037249285</v>
      </c>
      <c r="DH84" s="61">
        <f t="shared" si="416"/>
        <v>20.537383177570096</v>
      </c>
      <c r="DI84" s="61">
        <f t="shared" si="416"/>
        <v>22.175925925925924</v>
      </c>
      <c r="DJ84" s="61">
        <f t="shared" si="416"/>
        <v>22.10161662817552</v>
      </c>
      <c r="DK84" s="61">
        <f t="shared" si="416"/>
        <v>21.889952153110048</v>
      </c>
      <c r="DL84" s="60">
        <f t="shared" si="416"/>
        <v>21.677381648158967</v>
      </c>
      <c r="DM84" s="59">
        <f t="shared" si="416"/>
        <v>22.486486486486488</v>
      </c>
      <c r="DN84" s="61">
        <f t="shared" si="416"/>
        <v>22.162162162162161</v>
      </c>
      <c r="DO84" s="61">
        <f t="shared" si="416"/>
        <v>21.79063360881543</v>
      </c>
      <c r="DP84" s="59">
        <f t="shared" si="416"/>
        <v>21.842105263157894</v>
      </c>
      <c r="DQ84" s="60">
        <f t="shared" si="416"/>
        <v>22.07612456747405</v>
      </c>
      <c r="DR84" s="59">
        <f t="shared" si="416"/>
        <v>21.867469879518069</v>
      </c>
      <c r="DS84" s="61">
        <f t="shared" si="416"/>
        <v>22.063037249283667</v>
      </c>
      <c r="DT84" s="61">
        <f t="shared" si="416"/>
        <v>21.428571428571427</v>
      </c>
      <c r="DU84" s="59">
        <f t="shared" si="416"/>
        <v>20.892307692307693</v>
      </c>
      <c r="DV84" s="60">
        <f t="shared" si="416"/>
        <v>21.572305857322686</v>
      </c>
      <c r="DW84" s="59">
        <f t="shared" si="416"/>
        <v>20.060606060606062</v>
      </c>
      <c r="DX84" s="61">
        <f>DX74/DX91</f>
        <v>19.84</v>
      </c>
      <c r="DY84" s="61">
        <f>DY74/DY91</f>
        <v>19.97229916897507</v>
      </c>
      <c r="DZ84" s="59">
        <f>DZ74/DZ91</f>
        <v>19.889807162534439</v>
      </c>
      <c r="EA84" s="60"/>
      <c r="EB84" s="59">
        <f>EB74/EB91</f>
        <v>19.51070336391437</v>
      </c>
      <c r="EC84" s="61">
        <f>EC74/EC91</f>
        <v>18.694362017804153</v>
      </c>
      <c r="ED84" s="61">
        <f>ED74/ED91</f>
        <v>19.498327759197327</v>
      </c>
      <c r="EE84" s="59">
        <f>EE74/EE91</f>
        <v>17.96</v>
      </c>
      <c r="EF84" s="60"/>
      <c r="EG84" s="59">
        <f>EG74/EG91</f>
        <v>17.347826086956523</v>
      </c>
      <c r="EH84" s="61">
        <f>EH74/EH91</f>
        <v>18.488888888888887</v>
      </c>
      <c r="EI84" s="61">
        <f>EI74/EI91</f>
        <v>19.70464135021097</v>
      </c>
      <c r="EJ84" s="59">
        <f>EJ74/EJ91</f>
        <v>20.332103321033209</v>
      </c>
      <c r="EK84" s="60"/>
      <c r="EL84" s="59">
        <f>EL74/EL91</f>
        <v>22.5</v>
      </c>
      <c r="EM84" s="61">
        <f>EM74/EM91</f>
        <v>22.457627118644066</v>
      </c>
      <c r="EN84" s="61">
        <f>EN74/EN91</f>
        <v>20.642570281124499</v>
      </c>
      <c r="EO84" s="59">
        <f>EO74/EO91</f>
        <v>21.1328125</v>
      </c>
      <c r="EP84" s="60"/>
      <c r="EQ84" s="59">
        <f>EQ74/EQ91</f>
        <v>21.965065502183407</v>
      </c>
      <c r="ER84" s="59"/>
      <c r="ES84" s="59"/>
      <c r="ET84" s="59"/>
      <c r="EU84" s="317"/>
      <c r="EV84" s="318"/>
      <c r="EW84" s="318"/>
      <c r="EX84" s="318"/>
      <c r="EY84" s="318"/>
      <c r="EZ84" s="317"/>
      <c r="FA84" s="318"/>
      <c r="FB84" s="318"/>
      <c r="FC84" s="318"/>
      <c r="FD84" s="318"/>
      <c r="FE84" s="317"/>
      <c r="FF84" s="44"/>
      <c r="FG84" s="474"/>
      <c r="FH84" s="776"/>
      <c r="FI84" s="776"/>
      <c r="FJ84" s="776"/>
      <c r="FK84" s="83"/>
      <c r="FL84" s="1346"/>
      <c r="FM84" s="1538"/>
      <c r="FN84" s="1562"/>
      <c r="FO84" s="1818"/>
      <c r="FP84" s="83"/>
      <c r="FQ84" s="1566"/>
      <c r="FR84" s="1619"/>
      <c r="FS84" s="1619"/>
      <c r="FT84" s="432"/>
      <c r="FU84" s="354"/>
      <c r="FV84" s="354"/>
      <c r="FW84" s="354"/>
      <c r="FX84" s="354"/>
      <c r="FY84" s="354"/>
      <c r="FZ84" s="47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c r="IU84"/>
      <c r="IV84"/>
      <c r="IW84"/>
      <c r="IX84"/>
    </row>
    <row r="85" spans="1:258" s="45" customFormat="1" hidden="1" outlineLevel="1" x14ac:dyDescent="0.2">
      <c r="A85" s="577" t="s">
        <v>60</v>
      </c>
      <c r="B85" s="10"/>
      <c r="C85" s="10"/>
      <c r="D85" s="10"/>
      <c r="E85" s="10"/>
      <c r="F85" s="9"/>
      <c r="G85" s="10"/>
      <c r="H85" s="10"/>
      <c r="I85" s="10"/>
      <c r="J85" s="10"/>
      <c r="K85" s="9"/>
      <c r="L85" s="10"/>
      <c r="M85" s="10"/>
      <c r="N85" s="10"/>
      <c r="O85" s="10"/>
      <c r="P85" s="9"/>
      <c r="Q85" s="10"/>
      <c r="R85" s="10"/>
      <c r="S85" s="10"/>
      <c r="T85" s="10"/>
      <c r="U85" s="9"/>
      <c r="V85" s="10"/>
      <c r="W85" s="10"/>
      <c r="X85" s="10"/>
      <c r="Y85" s="10"/>
      <c r="Z85" s="9"/>
      <c r="AA85" s="10"/>
      <c r="AB85" s="10"/>
      <c r="AC85" s="10"/>
      <c r="AD85" s="10"/>
      <c r="AE85" s="9"/>
      <c r="AF85" s="10"/>
      <c r="AG85" s="10"/>
      <c r="AH85" s="10"/>
      <c r="AI85" s="10"/>
      <c r="AJ85" s="9"/>
      <c r="AK85" s="10"/>
      <c r="AL85" s="10"/>
      <c r="AM85" s="10"/>
      <c r="AN85" s="10"/>
      <c r="AO85" s="9"/>
      <c r="AP85" s="10"/>
      <c r="AQ85" s="10"/>
      <c r="AR85" s="10"/>
      <c r="AS85" s="10"/>
      <c r="AT85" s="9"/>
      <c r="AU85" s="10"/>
      <c r="AV85" s="10"/>
      <c r="AW85" s="10"/>
      <c r="AX85" s="10"/>
      <c r="AY85" s="9"/>
      <c r="AZ85" s="10"/>
      <c r="BA85" s="10"/>
      <c r="BB85" s="10"/>
      <c r="BC85" s="10"/>
      <c r="BD85" s="9"/>
      <c r="BE85" s="10"/>
      <c r="BF85" s="10"/>
      <c r="BG85" s="10"/>
      <c r="BH85" s="10"/>
      <c r="BI85" s="9"/>
      <c r="BJ85" s="10"/>
      <c r="BK85" s="10"/>
      <c r="BL85" s="10"/>
      <c r="BM85" s="10"/>
      <c r="BN85" s="9"/>
      <c r="BO85" s="10"/>
      <c r="BP85" s="10"/>
      <c r="BQ85" s="10"/>
      <c r="BR85" s="10"/>
      <c r="BS85" s="9"/>
      <c r="BT85" s="10"/>
      <c r="BU85" s="10"/>
      <c r="BV85" s="10"/>
      <c r="BW85" s="10"/>
      <c r="BX85" s="9"/>
      <c r="BY85" s="10"/>
      <c r="BZ85" s="10"/>
      <c r="CA85" s="10"/>
      <c r="CB85" s="10"/>
      <c r="CC85" s="9"/>
      <c r="CD85" s="10"/>
      <c r="CE85" s="10"/>
      <c r="CF85" s="10"/>
      <c r="CG85" s="10"/>
      <c r="CH85" s="9"/>
      <c r="CI85" s="10"/>
      <c r="CJ85" s="10"/>
      <c r="CK85" s="10"/>
      <c r="CL85" s="10"/>
      <c r="CM85" s="9"/>
      <c r="CN85" s="10"/>
      <c r="CO85" s="10"/>
      <c r="CP85" s="10"/>
      <c r="CQ85" s="10"/>
      <c r="CR85" s="9"/>
      <c r="CS85" s="10"/>
      <c r="CT85" s="10"/>
      <c r="CU85" s="10"/>
      <c r="CV85" s="10"/>
      <c r="CW85" s="9"/>
      <c r="CX85" s="10"/>
      <c r="CY85" s="10"/>
      <c r="CZ85" s="10"/>
      <c r="DA85" s="10"/>
      <c r="DB85" s="9"/>
      <c r="DC85" s="10"/>
      <c r="DD85" s="10"/>
      <c r="DE85" s="10"/>
      <c r="DF85" s="10"/>
      <c r="DG85" s="9"/>
      <c r="DH85" s="10"/>
      <c r="DI85" s="10"/>
      <c r="DJ85" s="10"/>
      <c r="DK85" s="10"/>
      <c r="DL85" s="9"/>
      <c r="DM85" s="59">
        <v>25.46</v>
      </c>
      <c r="DN85" s="10"/>
      <c r="DO85" s="10"/>
      <c r="DP85" s="59">
        <v>21.88</v>
      </c>
      <c r="DQ85" s="9"/>
      <c r="DR85" s="59">
        <v>20.25</v>
      </c>
      <c r="DS85" s="59">
        <v>20.329999999999998</v>
      </c>
      <c r="DT85" s="59">
        <v>18.87</v>
      </c>
      <c r="DU85" s="59">
        <v>18.670000000000002</v>
      </c>
      <c r="DV85" s="9"/>
      <c r="DW85" s="59">
        <v>17.8</v>
      </c>
      <c r="DX85" s="232">
        <v>17.010000000000002</v>
      </c>
      <c r="DY85" s="232">
        <v>16.809999999999999</v>
      </c>
      <c r="DZ85" s="232"/>
      <c r="EA85" s="9"/>
      <c r="EB85" s="232"/>
      <c r="EC85" s="232"/>
      <c r="ED85" s="232"/>
      <c r="EE85" s="232"/>
      <c r="EF85" s="9"/>
      <c r="EG85" s="232"/>
      <c r="EH85" s="232"/>
      <c r="EI85" s="232"/>
      <c r="EJ85" s="232"/>
      <c r="EK85" s="9"/>
      <c r="EL85" s="232"/>
      <c r="EM85" s="232"/>
      <c r="EN85" s="232"/>
      <c r="EO85" s="232"/>
      <c r="EP85" s="9"/>
      <c r="EQ85" s="232"/>
      <c r="ER85" s="1024"/>
      <c r="ES85" s="1024"/>
      <c r="ET85" s="1024"/>
      <c r="EU85" s="317"/>
      <c r="EV85" s="318"/>
      <c r="EW85" s="318"/>
      <c r="EX85" s="318"/>
      <c r="EY85" s="318"/>
      <c r="EZ85" s="317"/>
      <c r="FA85" s="318"/>
      <c r="FB85" s="318"/>
      <c r="FC85" s="318"/>
      <c r="FD85" s="318"/>
      <c r="FE85" s="317"/>
      <c r="FF85" s="44"/>
      <c r="FG85" s="474"/>
      <c r="FH85" s="776"/>
      <c r="FI85" s="776"/>
      <c r="FJ85" s="776"/>
      <c r="FK85" s="83"/>
      <c r="FL85" s="1346"/>
      <c r="FM85" s="1539"/>
      <c r="FN85" s="1563"/>
      <c r="FO85" s="1819"/>
      <c r="FP85" s="83"/>
      <c r="FQ85" s="1566"/>
      <c r="FR85" s="1615"/>
      <c r="FS85" s="1619"/>
      <c r="FT85" s="432"/>
      <c r="FU85" s="354"/>
      <c r="FV85" s="354"/>
      <c r="FW85" s="354"/>
      <c r="FX85" s="354"/>
      <c r="FY85" s="354"/>
      <c r="FZ85" s="474"/>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c r="IU85"/>
      <c r="IV85"/>
      <c r="IW85"/>
      <c r="IX85"/>
    </row>
    <row r="86" spans="1:258" s="45" customFormat="1" hidden="1" outlineLevel="1" x14ac:dyDescent="0.2">
      <c r="A86" s="1008" t="s">
        <v>465</v>
      </c>
      <c r="B86" s="10"/>
      <c r="C86" s="10"/>
      <c r="D86" s="10"/>
      <c r="E86" s="10"/>
      <c r="F86" s="9"/>
      <c r="G86" s="10"/>
      <c r="H86" s="10"/>
      <c r="I86" s="10"/>
      <c r="J86" s="10"/>
      <c r="K86" s="9"/>
      <c r="L86" s="10"/>
      <c r="M86" s="10"/>
      <c r="N86" s="10"/>
      <c r="O86" s="10"/>
      <c r="P86" s="9"/>
      <c r="Q86" s="10"/>
      <c r="R86" s="10"/>
      <c r="S86" s="10"/>
      <c r="T86" s="10"/>
      <c r="U86" s="9"/>
      <c r="V86" s="10"/>
      <c r="W86" s="10"/>
      <c r="X86" s="10"/>
      <c r="Y86" s="10"/>
      <c r="Z86" s="9"/>
      <c r="AA86" s="10"/>
      <c r="AB86" s="10"/>
      <c r="AC86" s="10"/>
      <c r="AD86" s="10"/>
      <c r="AE86" s="9"/>
      <c r="AF86" s="10"/>
      <c r="AG86" s="10"/>
      <c r="AH86" s="10"/>
      <c r="AI86" s="10"/>
      <c r="AJ86" s="9"/>
      <c r="AK86" s="10"/>
      <c r="AL86" s="10"/>
      <c r="AM86" s="10"/>
      <c r="AN86" s="10"/>
      <c r="AO86" s="9"/>
      <c r="AP86" s="10"/>
      <c r="AQ86" s="10"/>
      <c r="AR86" s="10"/>
      <c r="AS86" s="10"/>
      <c r="AT86" s="9"/>
      <c r="AU86" s="10"/>
      <c r="AV86" s="10"/>
      <c r="AW86" s="10"/>
      <c r="AX86" s="10"/>
      <c r="AY86" s="9"/>
      <c r="AZ86" s="10"/>
      <c r="BA86" s="10"/>
      <c r="BB86" s="10"/>
      <c r="BC86" s="10"/>
      <c r="BD86" s="9"/>
      <c r="BE86" s="10"/>
      <c r="BF86" s="10"/>
      <c r="BG86" s="10"/>
      <c r="BH86" s="10"/>
      <c r="BI86" s="9"/>
      <c r="BJ86" s="10"/>
      <c r="BK86" s="10"/>
      <c r="BL86" s="10"/>
      <c r="BM86" s="10"/>
      <c r="BN86" s="9"/>
      <c r="BO86" s="10"/>
      <c r="BP86" s="10"/>
      <c r="BQ86" s="10"/>
      <c r="BR86" s="10"/>
      <c r="BS86" s="9"/>
      <c r="BT86" s="10"/>
      <c r="BU86" s="10"/>
      <c r="BV86" s="10"/>
      <c r="BW86" s="10"/>
      <c r="BX86" s="9"/>
      <c r="BY86" s="10"/>
      <c r="BZ86" s="10"/>
      <c r="CA86" s="10"/>
      <c r="CB86" s="10"/>
      <c r="CC86" s="9"/>
      <c r="CD86" s="10"/>
      <c r="CE86" s="10"/>
      <c r="CF86" s="10"/>
      <c r="CG86" s="10"/>
      <c r="CH86" s="9"/>
      <c r="CI86" s="10"/>
      <c r="CJ86" s="10"/>
      <c r="CK86" s="10"/>
      <c r="CL86" s="10"/>
      <c r="CM86" s="9"/>
      <c r="CN86" s="10"/>
      <c r="CO86" s="10"/>
      <c r="CP86" s="10"/>
      <c r="CQ86" s="10"/>
      <c r="CR86" s="9"/>
      <c r="CS86" s="10"/>
      <c r="CT86" s="10"/>
      <c r="CU86" s="10"/>
      <c r="CV86" s="10"/>
      <c r="CW86" s="9"/>
      <c r="CX86" s="10"/>
      <c r="CY86" s="10"/>
      <c r="CZ86" s="10"/>
      <c r="DA86" s="10"/>
      <c r="DB86" s="9"/>
      <c r="DC86" s="10"/>
      <c r="DD86" s="10"/>
      <c r="DE86" s="10"/>
      <c r="DF86" s="10"/>
      <c r="DG86" s="9"/>
      <c r="DH86" s="10"/>
      <c r="DI86" s="10"/>
      <c r="DJ86" s="10"/>
      <c r="DK86" s="10"/>
      <c r="DL86" s="9"/>
      <c r="DM86" s="10"/>
      <c r="DN86" s="10"/>
      <c r="DO86" s="10"/>
      <c r="DP86" s="59"/>
      <c r="DQ86" s="9"/>
      <c r="DR86" s="59"/>
      <c r="DS86" s="59"/>
      <c r="DT86" s="59"/>
      <c r="DU86" s="10">
        <f>+DU85/DP85-1</f>
        <v>-0.1467093235831809</v>
      </c>
      <c r="DV86" s="9"/>
      <c r="DW86" s="10">
        <f>+DW85/DR85-1</f>
        <v>-0.12098765432098757</v>
      </c>
      <c r="DX86" s="10">
        <f>+DX85/DS85-1</f>
        <v>-0.16330545991146073</v>
      </c>
      <c r="DY86" s="1141">
        <f>+DY85/DT85-1</f>
        <v>-0.10916799152093282</v>
      </c>
      <c r="DZ86" s="10"/>
      <c r="EA86" s="9"/>
      <c r="EB86" s="10"/>
      <c r="EC86" s="10"/>
      <c r="ED86" s="1141"/>
      <c r="EE86" s="10"/>
      <c r="EF86" s="9"/>
      <c r="EG86" s="10"/>
      <c r="EH86" s="10"/>
      <c r="EI86" s="1141"/>
      <c r="EJ86" s="10"/>
      <c r="EK86" s="9"/>
      <c r="EL86" s="10"/>
      <c r="EM86" s="10"/>
      <c r="EN86" s="1141"/>
      <c r="EO86" s="10"/>
      <c r="EP86" s="9"/>
      <c r="EQ86" s="10"/>
      <c r="ER86" s="315"/>
      <c r="ES86" s="315"/>
      <c r="ET86" s="315"/>
      <c r="EU86" s="317"/>
      <c r="EV86" s="318"/>
      <c r="EW86" s="318"/>
      <c r="EX86" s="318"/>
      <c r="EY86" s="318"/>
      <c r="EZ86" s="317"/>
      <c r="FA86" s="318"/>
      <c r="FB86" s="318"/>
      <c r="FC86" s="318"/>
      <c r="FD86" s="318"/>
      <c r="FE86" s="317"/>
      <c r="FF86" s="44"/>
      <c r="FG86" s="474"/>
      <c r="FH86" s="776"/>
      <c r="FI86" s="776"/>
      <c r="FJ86" s="776"/>
      <c r="FK86" s="83"/>
      <c r="FL86" s="1346"/>
      <c r="FM86" s="1536"/>
      <c r="FN86" s="1561"/>
      <c r="FO86" s="1820"/>
      <c r="FP86" s="83"/>
      <c r="FQ86" s="1566"/>
      <c r="FR86" s="1619"/>
      <c r="FS86" s="1619"/>
      <c r="FT86" s="432"/>
      <c r="FU86" s="354"/>
      <c r="FV86" s="354"/>
      <c r="FW86" s="354"/>
      <c r="FX86" s="354"/>
      <c r="FY86" s="354"/>
      <c r="FZ86" s="474"/>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c r="IU86"/>
      <c r="IV86"/>
      <c r="IW86"/>
      <c r="IX86"/>
    </row>
    <row r="87" spans="1:258" s="55" customFormat="1" hidden="1" outlineLevel="1" x14ac:dyDescent="0.2">
      <c r="A87" s="383" t="s">
        <v>61</v>
      </c>
      <c r="F87" s="54"/>
      <c r="K87" s="54"/>
      <c r="P87" s="54"/>
      <c r="U87" s="54"/>
      <c r="Z87" s="54"/>
      <c r="AE87" s="54"/>
      <c r="AJ87" s="54"/>
      <c r="AO87" s="54"/>
      <c r="AT87" s="54"/>
      <c r="AY87" s="54"/>
      <c r="BD87" s="54"/>
      <c r="BI87" s="54"/>
      <c r="BN87" s="54"/>
      <c r="BS87" s="54"/>
      <c r="BX87" s="54"/>
      <c r="CC87" s="54"/>
      <c r="CH87" s="54"/>
      <c r="CM87" s="54"/>
      <c r="CR87" s="54"/>
      <c r="CW87" s="54"/>
      <c r="DB87" s="54"/>
      <c r="DG87" s="54"/>
      <c r="DL87" s="54"/>
      <c r="DM87" s="59">
        <f>((DM74-(DM85*DM99))/(DM93+DM95))</f>
        <v>20.969387755102041</v>
      </c>
      <c r="DP87" s="59">
        <f>((DP74-(DP85*DP99))/(DP93+DP95))</f>
        <v>21.827317073170729</v>
      </c>
      <c r="DQ87" s="54"/>
      <c r="DR87" s="59">
        <f>((DR74-(DR85*DR99))/(DR93+DR95))</f>
        <v>22.81937799043062</v>
      </c>
      <c r="DS87" s="59">
        <f>((DS74-(DS85*DS99))/(DS93+DS95))</f>
        <v>22.914743589743594</v>
      </c>
      <c r="DT87" s="59">
        <f>((DT74-(DT85*DT99))/(DT93+DT95))</f>
        <v>22.512711864406775</v>
      </c>
      <c r="DU87" s="59">
        <f>((DU74-(DU85*DU99))/(DU93+DU95))</f>
        <v>21.908789237668163</v>
      </c>
      <c r="DV87" s="54"/>
      <c r="DW87" s="59">
        <f>((DW74-(DW85*DW99))/(DW93+DW95))</f>
        <v>21.115555555555556</v>
      </c>
      <c r="DX87" s="59">
        <f>((DX74-(DX85*DX99))/(DX93+DX95))</f>
        <v>20.911654411764708</v>
      </c>
      <c r="DY87" s="59">
        <f>((DY74-(DY85*DY99))/(DY93+DY95))</f>
        <v>20.97638686131387</v>
      </c>
      <c r="DZ87" s="232"/>
      <c r="EA87" s="54"/>
      <c r="EB87" s="59"/>
      <c r="EC87" s="59"/>
      <c r="ED87" s="59"/>
      <c r="EE87" s="59"/>
      <c r="EF87" s="54"/>
      <c r="EG87" s="59"/>
      <c r="EH87" s="59"/>
      <c r="EI87" s="59"/>
      <c r="EJ87" s="59"/>
      <c r="EK87" s="54"/>
      <c r="EL87" s="59"/>
      <c r="EM87" s="59"/>
      <c r="EN87" s="59"/>
      <c r="EO87" s="59"/>
      <c r="EP87" s="54"/>
      <c r="EQ87" s="59"/>
      <c r="EU87" s="54"/>
      <c r="EZ87" s="54"/>
      <c r="FE87" s="54"/>
      <c r="FG87" s="464"/>
      <c r="FH87" s="767"/>
      <c r="FI87" s="767"/>
      <c r="FJ87" s="767"/>
      <c r="FK87" s="185"/>
      <c r="FL87" s="1338"/>
      <c r="FM87" s="1523"/>
      <c r="FN87" s="1562"/>
      <c r="FO87" s="1799"/>
      <c r="FP87" s="185"/>
      <c r="FQ87" s="1567"/>
      <c r="FR87" s="1619"/>
      <c r="FS87" s="1619"/>
      <c r="FT87" s="436"/>
      <c r="FU87" s="432"/>
      <c r="FV87" s="432"/>
      <c r="FW87" s="432"/>
      <c r="FX87" s="432"/>
      <c r="FY87" s="432"/>
      <c r="FZ87" s="464"/>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c r="IU87"/>
      <c r="IV87"/>
      <c r="IW87"/>
      <c r="IX87"/>
    </row>
    <row r="88" spans="1:258" s="55" customFormat="1" hidden="1" outlineLevel="1" x14ac:dyDescent="0.2">
      <c r="A88" s="1008" t="s">
        <v>465</v>
      </c>
      <c r="F88" s="54"/>
      <c r="K88" s="54"/>
      <c r="P88" s="54"/>
      <c r="U88" s="54"/>
      <c r="Z88" s="54"/>
      <c r="AE88" s="54"/>
      <c r="AJ88" s="54"/>
      <c r="AO88" s="54"/>
      <c r="AT88" s="54"/>
      <c r="AY88" s="54"/>
      <c r="BD88" s="54"/>
      <c r="BI88" s="54"/>
      <c r="BN88" s="54"/>
      <c r="BS88" s="54"/>
      <c r="BX88" s="54"/>
      <c r="CC88" s="54"/>
      <c r="CH88" s="54"/>
      <c r="CM88" s="54"/>
      <c r="CR88" s="54"/>
      <c r="CW88" s="54"/>
      <c r="DB88" s="54"/>
      <c r="DG88" s="54"/>
      <c r="DL88" s="54"/>
      <c r="DQ88" s="54"/>
      <c r="DS88" s="1009"/>
      <c r="DT88" s="1009"/>
      <c r="DU88" s="1009">
        <f>+DU87/DP87-1</f>
        <v>3.7325780454060542E-3</v>
      </c>
      <c r="DV88" s="54"/>
      <c r="DW88" s="10">
        <f>+DW87/DR87-1</f>
        <v>-7.4665594986400019E-2</v>
      </c>
      <c r="DX88" s="10">
        <f>+DX87/DS87-1</f>
        <v>-8.7414863279353883E-2</v>
      </c>
      <c r="DY88" s="1141">
        <f>+DY87/DT87-1</f>
        <v>-6.8242556132114718E-2</v>
      </c>
      <c r="DZ88" s="1009"/>
      <c r="EA88" s="54"/>
      <c r="EB88" s="10"/>
      <c r="EC88" s="10"/>
      <c r="ED88" s="1141"/>
      <c r="EE88" s="1714"/>
      <c r="EF88" s="1715"/>
      <c r="EG88" s="1141"/>
      <c r="EH88" s="1141"/>
      <c r="EI88" s="1141"/>
      <c r="EJ88" s="1714"/>
      <c r="EK88" s="1715"/>
      <c r="EL88" s="1141"/>
      <c r="EM88" s="1141"/>
      <c r="EN88" s="1141"/>
      <c r="EO88" s="1714"/>
      <c r="EP88" s="1715"/>
      <c r="EQ88" s="1141"/>
      <c r="EU88" s="54"/>
      <c r="EZ88" s="54"/>
      <c r="FE88" s="54"/>
      <c r="FG88" s="464"/>
      <c r="FH88" s="767"/>
      <c r="FI88" s="767"/>
      <c r="FJ88" s="767"/>
      <c r="FK88" s="185"/>
      <c r="FL88" s="1338"/>
      <c r="FM88" s="1523"/>
      <c r="FN88" s="1561"/>
      <c r="FO88" s="1799"/>
      <c r="FP88" s="185"/>
      <c r="FQ88" s="1567"/>
      <c r="FR88" s="1619"/>
      <c r="FS88" s="1619"/>
      <c r="FT88" s="436"/>
      <c r="FU88" s="432"/>
      <c r="FV88" s="432"/>
      <c r="FW88" s="432"/>
      <c r="FX88" s="432"/>
      <c r="FY88" s="432"/>
      <c r="FZ88" s="464"/>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c r="IU88"/>
      <c r="IV88"/>
      <c r="IW88"/>
      <c r="IX88"/>
    </row>
    <row r="89" spans="1:258" s="36" customFormat="1" collapsed="1" x14ac:dyDescent="0.2">
      <c r="A89" s="576" t="s">
        <v>458</v>
      </c>
      <c r="B89" s="33"/>
      <c r="C89" s="33"/>
      <c r="D89" s="33"/>
      <c r="E89" s="33"/>
      <c r="F89" s="32"/>
      <c r="G89" s="33"/>
      <c r="H89" s="33"/>
      <c r="I89" s="33"/>
      <c r="J89" s="33"/>
      <c r="K89" s="32"/>
      <c r="L89" s="33"/>
      <c r="M89" s="33"/>
      <c r="N89" s="33"/>
      <c r="O89" s="33"/>
      <c r="P89" s="32"/>
      <c r="Q89" s="33"/>
      <c r="R89" s="33"/>
      <c r="S89" s="33"/>
      <c r="T89" s="33"/>
      <c r="U89" s="32"/>
      <c r="V89" s="33"/>
      <c r="W89" s="33"/>
      <c r="X89" s="33"/>
      <c r="Y89" s="33"/>
      <c r="Z89" s="32"/>
      <c r="AA89" s="33"/>
      <c r="AB89" s="33"/>
      <c r="AC89" s="33"/>
      <c r="AD89" s="33"/>
      <c r="AE89" s="32"/>
      <c r="AF89" s="33"/>
      <c r="AG89" s="33"/>
      <c r="AH89" s="33"/>
      <c r="AI89" s="33"/>
      <c r="AJ89" s="32"/>
      <c r="AK89" s="33"/>
      <c r="AL89" s="33"/>
      <c r="AM89" s="33"/>
      <c r="AN89" s="33"/>
      <c r="AO89" s="32"/>
      <c r="AP89" s="33"/>
      <c r="AQ89" s="33"/>
      <c r="AR89" s="33"/>
      <c r="AS89" s="33"/>
      <c r="AT89" s="32"/>
      <c r="AU89" s="33"/>
      <c r="AV89" s="33"/>
      <c r="AW89" s="33"/>
      <c r="AX89" s="33"/>
      <c r="AY89" s="32"/>
      <c r="AZ89" s="33"/>
      <c r="BA89" s="33"/>
      <c r="BB89" s="33"/>
      <c r="BC89" s="33"/>
      <c r="BD89" s="32"/>
      <c r="BE89" s="33"/>
      <c r="BF89" s="33"/>
      <c r="BG89" s="33"/>
      <c r="BH89" s="33"/>
      <c r="BI89" s="32"/>
      <c r="BJ89" s="33"/>
      <c r="BK89" s="33"/>
      <c r="BL89" s="33"/>
      <c r="BM89" s="33"/>
      <c r="BN89" s="32"/>
      <c r="BO89" s="33"/>
      <c r="BP89" s="33"/>
      <c r="BQ89" s="33"/>
      <c r="BR89" s="33"/>
      <c r="BS89" s="32"/>
      <c r="BT89" s="33"/>
      <c r="BU89" s="33"/>
      <c r="BV89" s="33"/>
      <c r="BW89" s="33"/>
      <c r="BX89" s="32"/>
      <c r="BY89" s="33"/>
      <c r="BZ89" s="33"/>
      <c r="CA89" s="33"/>
      <c r="CB89" s="33"/>
      <c r="CC89" s="32"/>
      <c r="CD89" s="33"/>
      <c r="CE89" s="33"/>
      <c r="CF89" s="33"/>
      <c r="CG89" s="33"/>
      <c r="CH89" s="32"/>
      <c r="CI89" s="33"/>
      <c r="CJ89" s="33"/>
      <c r="CK89" s="33"/>
      <c r="CL89" s="33"/>
      <c r="CM89" s="32"/>
      <c r="CN89" s="33"/>
      <c r="CO89" s="33"/>
      <c r="CP89" s="33"/>
      <c r="CQ89" s="33"/>
      <c r="CR89" s="32"/>
      <c r="CS89" s="33"/>
      <c r="CT89" s="33"/>
      <c r="CU89" s="33"/>
      <c r="CV89" s="33"/>
      <c r="CW89" s="32"/>
      <c r="CX89" s="33"/>
      <c r="CY89" s="33"/>
      <c r="CZ89" s="33"/>
      <c r="DA89" s="33"/>
      <c r="DB89" s="32"/>
      <c r="DC89" s="33"/>
      <c r="DD89" s="33"/>
      <c r="DE89" s="33"/>
      <c r="DF89" s="33"/>
      <c r="DG89" s="32"/>
      <c r="DH89" s="33"/>
      <c r="DI89" s="33"/>
      <c r="DJ89" s="33"/>
      <c r="DK89" s="33"/>
      <c r="DL89" s="32"/>
      <c r="DM89" s="33"/>
      <c r="DN89" s="33"/>
      <c r="DO89" s="33"/>
      <c r="DP89" s="33"/>
      <c r="DQ89" s="32"/>
      <c r="DR89" s="33"/>
      <c r="DS89" s="33"/>
      <c r="DT89" s="319"/>
      <c r="DU89" s="33"/>
      <c r="DV89" s="32"/>
      <c r="DW89" s="33"/>
      <c r="DX89" s="33"/>
      <c r="DY89" s="319"/>
      <c r="DZ89" s="33"/>
      <c r="EA89" s="32"/>
      <c r="EB89" s="33"/>
      <c r="EC89" s="33"/>
      <c r="ED89" s="319"/>
      <c r="EE89" s="1716"/>
      <c r="EF89" s="1717"/>
      <c r="EG89" s="1716"/>
      <c r="EH89" s="1716"/>
      <c r="EI89" s="1718"/>
      <c r="EJ89" s="1716"/>
      <c r="EK89" s="1717"/>
      <c r="EL89" s="1716"/>
      <c r="EM89" s="1716"/>
      <c r="EN89" s="1718"/>
      <c r="EO89" s="1716"/>
      <c r="EP89" s="1717"/>
      <c r="EQ89" s="1716"/>
      <c r="ER89" s="319"/>
      <c r="ES89" s="319"/>
      <c r="ET89" s="319"/>
      <c r="EU89" s="320"/>
      <c r="EV89" s="321"/>
      <c r="EW89" s="321"/>
      <c r="EX89" s="321"/>
      <c r="EY89" s="321"/>
      <c r="EZ89" s="320"/>
      <c r="FA89" s="321"/>
      <c r="FB89" s="321"/>
      <c r="FC89" s="321"/>
      <c r="FD89" s="321"/>
      <c r="FE89" s="320"/>
      <c r="FF89" s="35"/>
      <c r="FG89" s="474"/>
      <c r="FH89" s="776"/>
      <c r="FI89" s="776"/>
      <c r="FJ89" s="776"/>
      <c r="FK89" s="83"/>
      <c r="FL89" s="1346"/>
      <c r="FM89" s="1536"/>
      <c r="FN89" s="1561"/>
      <c r="FO89" s="1817"/>
      <c r="FP89" s="315"/>
      <c r="FQ89" s="1565"/>
      <c r="FR89" s="1614"/>
      <c r="FS89" s="1619"/>
      <c r="FT89" s="432"/>
      <c r="FU89" s="354"/>
      <c r="FV89" s="354"/>
      <c r="FW89" s="354"/>
      <c r="FX89" s="354"/>
      <c r="FY89" s="354"/>
      <c r="FZ89" s="474"/>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c r="IU89"/>
      <c r="IV89"/>
      <c r="IW89"/>
      <c r="IX89"/>
    </row>
    <row r="90" spans="1:258" s="44" customFormat="1" x14ac:dyDescent="0.2">
      <c r="A90" s="577" t="s">
        <v>281</v>
      </c>
      <c r="B90" s="210"/>
      <c r="C90" s="210"/>
      <c r="D90" s="210"/>
      <c r="E90" s="210"/>
      <c r="F90" s="211"/>
      <c r="G90" s="210"/>
      <c r="H90" s="210"/>
      <c r="I90" s="210"/>
      <c r="J90" s="210"/>
      <c r="K90" s="211"/>
      <c r="L90" s="210"/>
      <c r="M90" s="210"/>
      <c r="N90" s="210"/>
      <c r="O90" s="210"/>
      <c r="P90" s="211"/>
      <c r="Q90" s="210"/>
      <c r="R90" s="210"/>
      <c r="S90" s="210"/>
      <c r="T90" s="210"/>
      <c r="U90" s="211"/>
      <c r="V90" s="210"/>
      <c r="W90" s="210"/>
      <c r="X90" s="210"/>
      <c r="Y90" s="210"/>
      <c r="Z90" s="211"/>
      <c r="AA90" s="210"/>
      <c r="AB90" s="210"/>
      <c r="AC90" s="210"/>
      <c r="AD90" s="210"/>
      <c r="AE90" s="211"/>
      <c r="AF90" s="210"/>
      <c r="AG90" s="210"/>
      <c r="AH90" s="210"/>
      <c r="AI90" s="210"/>
      <c r="AJ90" s="211"/>
      <c r="AK90" s="210"/>
      <c r="AL90" s="210"/>
      <c r="AM90" s="210"/>
      <c r="AN90" s="210"/>
      <c r="AO90" s="211"/>
      <c r="AP90" s="210"/>
      <c r="AQ90" s="210"/>
      <c r="AR90" s="210"/>
      <c r="AS90" s="210"/>
      <c r="AT90" s="211"/>
      <c r="AU90" s="210"/>
      <c r="AV90" s="210"/>
      <c r="AW90" s="210"/>
      <c r="AX90" s="210"/>
      <c r="AY90" s="211"/>
      <c r="AZ90" s="210"/>
      <c r="BA90" s="210"/>
      <c r="BB90" s="210"/>
      <c r="BC90" s="210"/>
      <c r="BD90" s="211"/>
      <c r="BE90" s="210"/>
      <c r="BF90" s="210"/>
      <c r="BG90" s="210"/>
      <c r="BH90" s="210"/>
      <c r="BI90" s="211"/>
      <c r="BJ90" s="210">
        <f t="shared" ref="BJ90:CO90" si="417">BJ5/BJ91</f>
        <v>9.8910675381263609</v>
      </c>
      <c r="BK90" s="210">
        <f t="shared" si="417"/>
        <v>10.111358574610245</v>
      </c>
      <c r="BL90" s="210">
        <f t="shared" si="417"/>
        <v>10.022573363431151</v>
      </c>
      <c r="BM90" s="210">
        <f t="shared" si="417"/>
        <v>9.8458149779735677</v>
      </c>
      <c r="BN90" s="211">
        <f t="shared" si="417"/>
        <v>9.9667590027700825</v>
      </c>
      <c r="BO90" s="210">
        <f t="shared" si="417"/>
        <v>9.7355769230769251</v>
      </c>
      <c r="BP90" s="210">
        <f t="shared" si="417"/>
        <v>9.8554216867469879</v>
      </c>
      <c r="BQ90" s="210">
        <f t="shared" si="417"/>
        <v>9.9049881235154391</v>
      </c>
      <c r="BR90" s="210">
        <f t="shared" si="417"/>
        <v>9.8099762470308782</v>
      </c>
      <c r="BS90" s="211">
        <f t="shared" si="417"/>
        <v>9.8266586969515828</v>
      </c>
      <c r="BT90" s="210">
        <f t="shared" si="417"/>
        <v>9.7468354430379751</v>
      </c>
      <c r="BU90" s="210">
        <f t="shared" si="417"/>
        <v>9.8122065727699539</v>
      </c>
      <c r="BV90" s="210">
        <f t="shared" si="417"/>
        <v>9.8076923076923066</v>
      </c>
      <c r="BW90" s="210">
        <f t="shared" si="417"/>
        <v>9.8604651162790695</v>
      </c>
      <c r="BX90" s="211">
        <f t="shared" si="417"/>
        <v>9.8080383923215351</v>
      </c>
      <c r="BY90" s="210">
        <f t="shared" si="417"/>
        <v>9.8360655737704903</v>
      </c>
      <c r="BZ90" s="210">
        <f t="shared" si="417"/>
        <v>9.7935779816513762</v>
      </c>
      <c r="CA90" s="210">
        <f t="shared" si="417"/>
        <v>9.8372093023255811</v>
      </c>
      <c r="CB90" s="210">
        <f t="shared" si="417"/>
        <v>9.8081023454157794</v>
      </c>
      <c r="CC90" s="211">
        <f t="shared" si="417"/>
        <v>9.818388195232691</v>
      </c>
      <c r="CD90" s="210">
        <f t="shared" si="417"/>
        <v>9.9134199134199132</v>
      </c>
      <c r="CE90" s="210">
        <f t="shared" si="417"/>
        <v>9.870967741935484</v>
      </c>
      <c r="CF90" s="210">
        <f t="shared" si="417"/>
        <v>9.8004434589800447</v>
      </c>
      <c r="CG90" s="210">
        <f t="shared" si="417"/>
        <v>9.846827133479211</v>
      </c>
      <c r="CH90" s="211">
        <f t="shared" si="417"/>
        <v>9.8583106267029965</v>
      </c>
      <c r="CI90" s="210">
        <f t="shared" si="417"/>
        <v>9.7741273100616013</v>
      </c>
      <c r="CJ90" s="210">
        <f t="shared" si="417"/>
        <v>9.8947368421052637</v>
      </c>
      <c r="CK90" s="210">
        <f t="shared" si="417"/>
        <v>9.8140495867768607</v>
      </c>
      <c r="CL90" s="210">
        <f t="shared" si="417"/>
        <v>9.7717842323651443</v>
      </c>
      <c r="CM90" s="211">
        <f t="shared" si="417"/>
        <v>9.8132780082987541</v>
      </c>
      <c r="CN90" s="210">
        <f t="shared" si="417"/>
        <v>9.295774647887324</v>
      </c>
      <c r="CO90" s="210">
        <f t="shared" si="417"/>
        <v>9.3013972055888221</v>
      </c>
      <c r="CP90" s="210">
        <f t="shared" ref="CP90:DF90" si="418">CP5/CP91</f>
        <v>9.2445328031809151</v>
      </c>
      <c r="CQ90" s="210">
        <f t="shared" si="418"/>
        <v>9.2322834645669296</v>
      </c>
      <c r="CR90" s="211">
        <f t="shared" si="418"/>
        <v>9.2682926829268286</v>
      </c>
      <c r="CS90" s="210">
        <f t="shared" si="418"/>
        <v>9.2396727200159656</v>
      </c>
      <c r="CT90" s="210">
        <f t="shared" si="418"/>
        <v>9.2138304037087124</v>
      </c>
      <c r="CU90" s="210">
        <f t="shared" si="418"/>
        <v>9.2071611253196934</v>
      </c>
      <c r="CV90" s="210">
        <f t="shared" si="418"/>
        <v>9.1456310679611654</v>
      </c>
      <c r="CW90" s="211">
        <f t="shared" si="418"/>
        <v>9.2013123745164282</v>
      </c>
      <c r="CX90" s="210">
        <f t="shared" si="418"/>
        <v>9.1702127659574462</v>
      </c>
      <c r="CY90" s="210">
        <f t="shared" si="418"/>
        <v>8.9928057553956826</v>
      </c>
      <c r="CZ90" s="210">
        <f t="shared" si="418"/>
        <v>9.0094339622641506</v>
      </c>
      <c r="DA90" s="210">
        <f t="shared" si="418"/>
        <v>9.0123456790123448</v>
      </c>
      <c r="DB90" s="211">
        <f t="shared" si="418"/>
        <v>9.0501165501165488</v>
      </c>
      <c r="DC90" s="210">
        <f t="shared" si="418"/>
        <v>9.0096618357487905</v>
      </c>
      <c r="DD90" s="210">
        <f t="shared" si="418"/>
        <v>9.0112359550561791</v>
      </c>
      <c r="DE90" s="210">
        <f t="shared" si="418"/>
        <v>9.053117782909931</v>
      </c>
      <c r="DF90" s="210">
        <f t="shared" si="418"/>
        <v>8.9845474613686545</v>
      </c>
      <c r="DG90" s="212">
        <f>(DC90*DC5+DD90*DD5+DE90*DE5+DF90*DF5)/DG5</f>
        <v>9.0143944503430138</v>
      </c>
      <c r="DH90" s="210">
        <f>DH5/DH91</f>
        <v>8.9953271028037385</v>
      </c>
      <c r="DI90" s="210">
        <f>DI5/DI91</f>
        <v>8.981481481481481</v>
      </c>
      <c r="DJ90" s="210">
        <f>DJ5/DJ91</f>
        <v>8.9145496535796767</v>
      </c>
      <c r="DK90" s="210">
        <f>DK5/DK91</f>
        <v>8.9473684210526319</v>
      </c>
      <c r="DL90" s="212">
        <f>(DH90*DH5+DI90*DI5+DJ90*DJ5+DK90*DK5)/DL5</f>
        <v>8.9597832388451994</v>
      </c>
      <c r="DM90" s="210">
        <f>DM5/DM91</f>
        <v>8.9459459459459456</v>
      </c>
      <c r="DN90" s="210">
        <f>DN5/DN91</f>
        <v>8.9459459459459456</v>
      </c>
      <c r="DO90" s="210">
        <f>DO5/DO91</f>
        <v>8.8980716253443539</v>
      </c>
      <c r="DP90" s="210">
        <f>DP5/DP91</f>
        <v>8.9181286549707597</v>
      </c>
      <c r="DQ90" s="212">
        <f>(DM90*DM5+DN90*DN5+DO90*DO5+DP90*DP5)/DQ5</f>
        <v>8.927381853463972</v>
      </c>
      <c r="DR90" s="210">
        <f>DR5/DR91</f>
        <v>8.8731927710843355</v>
      </c>
      <c r="DS90" s="210">
        <f>DS5/DS91</f>
        <v>8.8825214899713476</v>
      </c>
      <c r="DT90" s="912">
        <f>DT5/DT91</f>
        <v>8.8988095238095237</v>
      </c>
      <c r="DU90" s="210">
        <f>DU5/DU91</f>
        <v>8.8923076923076927</v>
      </c>
      <c r="DV90" s="212">
        <f>(DR90*DR5+DS90*DS5+DT90*DT5+DU90*DU5)/DV5</f>
        <v>8.8866722771621625</v>
      </c>
      <c r="DW90" s="210">
        <f>DW5/DW91</f>
        <v>8.8787878787878789</v>
      </c>
      <c r="DX90" s="210">
        <f>DX5/DX91</f>
        <v>8.8000000000000007</v>
      </c>
      <c r="DY90" s="912">
        <f>DY5/DY91</f>
        <v>8.8365650969529081</v>
      </c>
      <c r="DZ90" s="210">
        <f>DZ5/DZ91</f>
        <v>8.8154269972451793</v>
      </c>
      <c r="EA90" s="212">
        <f>(DW90*DW5+DX90*DX5+DY90*DY5+DZ90*DZ5)/EA5</f>
        <v>8.8314467143671038</v>
      </c>
      <c r="EB90" s="210">
        <f>EB5/EB91</f>
        <v>8.8379204892966357</v>
      </c>
      <c r="EC90" s="210">
        <f>EC5/EC91</f>
        <v>8.7537091988130555</v>
      </c>
      <c r="ED90" s="912">
        <f>ED5/ED91</f>
        <v>8.7290969899665551</v>
      </c>
      <c r="EE90" s="210">
        <f>EE5/EE91</f>
        <v>8.7200000000000006</v>
      </c>
      <c r="EF90" s="212">
        <f>(EB90*EB5+EC90*EC5+ED90*ED5+EE90*EE5)/EF5</f>
        <v>8.7636477417101144</v>
      </c>
      <c r="EG90" s="210">
        <f>EG5/EG91</f>
        <v>8.695652173913043</v>
      </c>
      <c r="EH90" s="210">
        <f>EH5/EH91</f>
        <v>8.6666666666666661</v>
      </c>
      <c r="EI90" s="912">
        <f>EI5/EI91</f>
        <v>8.7341772151898738</v>
      </c>
      <c r="EJ90" s="210">
        <f>EJ5/EJ91</f>
        <v>8.708487084870848</v>
      </c>
      <c r="EK90" s="212">
        <f>(EG90*EG5+EH90*EH5+EI90*EI5+EJ90*EJ5)/EK5</f>
        <v>8.7020382701150734</v>
      </c>
      <c r="EL90" s="210">
        <f>EL5/EL91</f>
        <v>8.8362068965517242</v>
      </c>
      <c r="EM90" s="210">
        <f>EM5/EM91</f>
        <v>8.8135593220338979</v>
      </c>
      <c r="EN90" s="912">
        <f>EN5/EN91</f>
        <v>8.7550200803212856</v>
      </c>
      <c r="EO90" s="210">
        <f>EO5/EO91</f>
        <v>8.75</v>
      </c>
      <c r="EP90" s="212">
        <f>(EL90*EL5+EM90*EM5+EN90*EN5+EO90*EO5)/EP5</f>
        <v>8.7874118482879471</v>
      </c>
      <c r="EQ90" s="210">
        <f>EQ5/EQ91</f>
        <v>8.7772925764192138</v>
      </c>
      <c r="ER90" s="322">
        <f t="shared" ref="ER90" si="419">EQ90</f>
        <v>8.7772925764192138</v>
      </c>
      <c r="ES90" s="322">
        <f t="shared" ref="ES90:ET90" si="420">ER90</f>
        <v>8.7772925764192138</v>
      </c>
      <c r="ET90" s="322">
        <f t="shared" si="420"/>
        <v>8.7772925764192138</v>
      </c>
      <c r="EU90" s="212">
        <f>(EQ90*EQ5+ER90*ER5+ES90*ES5+ET90*ET5)/EU5</f>
        <v>8.7772925764192138</v>
      </c>
      <c r="EV90" s="324"/>
      <c r="EW90" s="324"/>
      <c r="EX90" s="324"/>
      <c r="EY90" s="324"/>
      <c r="EZ90" s="323">
        <f>EU90</f>
        <v>8.7772925764192138</v>
      </c>
      <c r="FA90" s="324"/>
      <c r="FB90" s="324"/>
      <c r="FC90" s="324"/>
      <c r="FD90" s="324"/>
      <c r="FE90" s="323">
        <f>EZ90</f>
        <v>8.7772925764192138</v>
      </c>
      <c r="FG90" s="468"/>
      <c r="FH90" s="776"/>
      <c r="FI90" s="776"/>
      <c r="FJ90" s="776"/>
      <c r="FK90" s="83"/>
      <c r="FL90" s="1346"/>
      <c r="FM90" s="1540">
        <f t="shared" ref="FM90:FM103" si="421">+EQ90</f>
        <v>8.7772925764192138</v>
      </c>
      <c r="FN90" s="1430">
        <f t="shared" ref="FN90:FN103" si="422">EL90</f>
        <v>8.8362068965517242</v>
      </c>
      <c r="FO90" s="1821">
        <v>8.75</v>
      </c>
      <c r="FP90" s="1564">
        <f>+FM90/FN90-1</f>
        <v>-6.667376717435336E-3</v>
      </c>
      <c r="FQ90" s="1568">
        <f>+FM90/FO90-1</f>
        <v>3.1191515907673661E-3</v>
      </c>
      <c r="FR90" s="1619"/>
      <c r="FS90" s="1619"/>
      <c r="FT90" s="436"/>
      <c r="FU90" s="354"/>
      <c r="FV90" s="354"/>
      <c r="FW90" s="354"/>
      <c r="FX90" s="354"/>
      <c r="FY90" s="354"/>
      <c r="FZ90" s="468"/>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c r="IU90"/>
      <c r="IV90"/>
      <c r="IW90"/>
      <c r="IX90"/>
    </row>
    <row r="91" spans="1:258" s="83" customFormat="1" x14ac:dyDescent="0.2">
      <c r="A91" s="848" t="s">
        <v>134</v>
      </c>
      <c r="B91" s="849"/>
      <c r="C91" s="849"/>
      <c r="D91" s="849"/>
      <c r="E91" s="849"/>
      <c r="F91" s="850"/>
      <c r="G91" s="849"/>
      <c r="H91" s="849"/>
      <c r="I91" s="849"/>
      <c r="J91" s="849"/>
      <c r="K91" s="850"/>
      <c r="L91" s="849"/>
      <c r="M91" s="849"/>
      <c r="N91" s="849"/>
      <c r="O91" s="849"/>
      <c r="P91" s="850"/>
      <c r="Q91" s="849"/>
      <c r="R91" s="849"/>
      <c r="S91" s="849"/>
      <c r="T91" s="849"/>
      <c r="U91" s="850"/>
      <c r="V91" s="849"/>
      <c r="W91" s="849"/>
      <c r="X91" s="849"/>
      <c r="Y91" s="849"/>
      <c r="Z91" s="850"/>
      <c r="AA91" s="849"/>
      <c r="AB91" s="849"/>
      <c r="AC91" s="849"/>
      <c r="AD91" s="849"/>
      <c r="AE91" s="850"/>
      <c r="AF91" s="849"/>
      <c r="AG91" s="849"/>
      <c r="AH91" s="849"/>
      <c r="AI91" s="849"/>
      <c r="AJ91" s="850"/>
      <c r="AK91" s="849"/>
      <c r="AL91" s="849"/>
      <c r="AM91" s="849"/>
      <c r="AN91" s="849"/>
      <c r="AO91" s="850"/>
      <c r="AP91" s="849"/>
      <c r="AQ91" s="849"/>
      <c r="AR91" s="849"/>
      <c r="AS91" s="849"/>
      <c r="AT91" s="850"/>
      <c r="AU91" s="849"/>
      <c r="AV91" s="849"/>
      <c r="AW91" s="849"/>
      <c r="AX91" s="849"/>
      <c r="AY91" s="850"/>
      <c r="AZ91" s="849"/>
      <c r="BA91" s="849"/>
      <c r="BB91" s="849"/>
      <c r="BC91" s="849"/>
      <c r="BD91" s="850"/>
      <c r="BE91" s="849"/>
      <c r="BF91" s="849"/>
      <c r="BG91" s="849"/>
      <c r="BH91" s="849"/>
      <c r="BI91" s="850"/>
      <c r="BJ91" s="849">
        <f t="shared" ref="BJ91:DP91" si="423">BJ99+BJ95+BJ93</f>
        <v>45.900000000000006</v>
      </c>
      <c r="BK91" s="849">
        <f t="shared" si="423"/>
        <v>44.9</v>
      </c>
      <c r="BL91" s="849">
        <f t="shared" si="423"/>
        <v>44.3</v>
      </c>
      <c r="BM91" s="849">
        <f t="shared" si="423"/>
        <v>45.4</v>
      </c>
      <c r="BN91" s="850">
        <f t="shared" si="423"/>
        <v>180.5</v>
      </c>
      <c r="BO91" s="849">
        <f t="shared" si="423"/>
        <v>41.599999999999994</v>
      </c>
      <c r="BP91" s="849">
        <f t="shared" si="423"/>
        <v>41.5</v>
      </c>
      <c r="BQ91" s="849">
        <f t="shared" si="423"/>
        <v>42.1</v>
      </c>
      <c r="BR91" s="849">
        <f t="shared" si="423"/>
        <v>42.1</v>
      </c>
      <c r="BS91" s="850">
        <f t="shared" si="423"/>
        <v>167.3</v>
      </c>
      <c r="BT91" s="849">
        <f t="shared" si="423"/>
        <v>39.5</v>
      </c>
      <c r="BU91" s="849">
        <f t="shared" si="423"/>
        <v>42.599999999999994</v>
      </c>
      <c r="BV91" s="849">
        <f t="shared" si="423"/>
        <v>41.6</v>
      </c>
      <c r="BW91" s="849">
        <f t="shared" si="423"/>
        <v>43</v>
      </c>
      <c r="BX91" s="850">
        <f t="shared" si="423"/>
        <v>166.70000000000002</v>
      </c>
      <c r="BY91" s="849">
        <f t="shared" si="423"/>
        <v>42.7</v>
      </c>
      <c r="BZ91" s="849">
        <f t="shared" si="423"/>
        <v>43.6</v>
      </c>
      <c r="CA91" s="849">
        <f t="shared" si="423"/>
        <v>43</v>
      </c>
      <c r="CB91" s="849">
        <f t="shared" si="423"/>
        <v>46.9</v>
      </c>
      <c r="CC91" s="850">
        <f t="shared" si="423"/>
        <v>176.2</v>
      </c>
      <c r="CD91" s="849">
        <f t="shared" si="423"/>
        <v>46.2</v>
      </c>
      <c r="CE91" s="849">
        <f t="shared" si="423"/>
        <v>46.5</v>
      </c>
      <c r="CF91" s="849">
        <f t="shared" si="423"/>
        <v>45.1</v>
      </c>
      <c r="CG91" s="849">
        <f t="shared" si="423"/>
        <v>45.7</v>
      </c>
      <c r="CH91" s="850">
        <f t="shared" si="423"/>
        <v>183.5</v>
      </c>
      <c r="CI91" s="849">
        <f t="shared" si="423"/>
        <v>48.7</v>
      </c>
      <c r="CJ91" s="849">
        <f t="shared" si="423"/>
        <v>47.5</v>
      </c>
      <c r="CK91" s="849">
        <f t="shared" si="423"/>
        <v>48.4</v>
      </c>
      <c r="CL91" s="849">
        <f t="shared" si="423"/>
        <v>48.2</v>
      </c>
      <c r="CM91" s="850">
        <f t="shared" si="423"/>
        <v>192.8</v>
      </c>
      <c r="CN91" s="849">
        <f t="shared" si="423"/>
        <v>49.7</v>
      </c>
      <c r="CO91" s="849">
        <f t="shared" si="423"/>
        <v>50.1</v>
      </c>
      <c r="CP91" s="849">
        <f t="shared" si="423"/>
        <v>50.3</v>
      </c>
      <c r="CQ91" s="849">
        <f t="shared" si="423"/>
        <v>50.8</v>
      </c>
      <c r="CR91" s="850">
        <f t="shared" si="423"/>
        <v>200.9</v>
      </c>
      <c r="CS91" s="849">
        <f t="shared" si="423"/>
        <v>50.11</v>
      </c>
      <c r="CT91" s="849">
        <f t="shared" si="423"/>
        <v>51.769999999999996</v>
      </c>
      <c r="CU91" s="849">
        <f t="shared" si="423"/>
        <v>50.83</v>
      </c>
      <c r="CV91" s="849">
        <f t="shared" si="423"/>
        <v>51.5</v>
      </c>
      <c r="CW91" s="850">
        <f t="shared" si="423"/>
        <v>204.21</v>
      </c>
      <c r="CX91" s="849">
        <f t="shared" si="423"/>
        <v>47</v>
      </c>
      <c r="CY91" s="849">
        <f t="shared" si="423"/>
        <v>41.7</v>
      </c>
      <c r="CZ91" s="849">
        <f t="shared" si="423"/>
        <v>42.4</v>
      </c>
      <c r="DA91" s="849">
        <f t="shared" si="423"/>
        <v>40.5</v>
      </c>
      <c r="DB91" s="850">
        <f t="shared" si="423"/>
        <v>171.60000000000002</v>
      </c>
      <c r="DC91" s="849">
        <f t="shared" si="423"/>
        <v>41.400000000000006</v>
      </c>
      <c r="DD91" s="849">
        <f t="shared" si="423"/>
        <v>44.5</v>
      </c>
      <c r="DE91" s="849">
        <f t="shared" si="423"/>
        <v>43.3</v>
      </c>
      <c r="DF91" s="849">
        <f t="shared" si="423"/>
        <v>45.3</v>
      </c>
      <c r="DG91" s="851">
        <f t="shared" si="423"/>
        <v>174.5</v>
      </c>
      <c r="DH91" s="849">
        <f t="shared" si="423"/>
        <v>42.8</v>
      </c>
      <c r="DI91" s="849">
        <f t="shared" si="423"/>
        <v>43.2</v>
      </c>
      <c r="DJ91" s="849">
        <f t="shared" si="423"/>
        <v>43.3</v>
      </c>
      <c r="DK91" s="849">
        <f t="shared" si="423"/>
        <v>41.8</v>
      </c>
      <c r="DL91" s="851">
        <f t="shared" si="423"/>
        <v>171.10000000000002</v>
      </c>
      <c r="DM91" s="849">
        <f t="shared" si="423"/>
        <v>37</v>
      </c>
      <c r="DN91" s="849">
        <f t="shared" si="423"/>
        <v>37</v>
      </c>
      <c r="DO91" s="849">
        <f t="shared" si="423"/>
        <v>36.299999999999997</v>
      </c>
      <c r="DP91" s="849">
        <f t="shared" si="423"/>
        <v>34.200000000000003</v>
      </c>
      <c r="DQ91" s="851">
        <f>DQ99+DQ95+DQ93</f>
        <v>144.5</v>
      </c>
      <c r="DR91" s="849">
        <f>DR99+DR95+DR93</f>
        <v>33.200000000000003</v>
      </c>
      <c r="DS91" s="849">
        <f>DS99+DS95+DS93</f>
        <v>34.9</v>
      </c>
      <c r="DT91" s="852">
        <f>DT99+DT95+DT93</f>
        <v>33.6</v>
      </c>
      <c r="DU91" s="849">
        <f>DU99+DU95+DU93</f>
        <v>32.5</v>
      </c>
      <c r="DV91" s="851">
        <f>DV5/DV90</f>
        <v>134.19984025570901</v>
      </c>
      <c r="DW91" s="849">
        <f>DW99+DW95+DW93</f>
        <v>33</v>
      </c>
      <c r="DX91" s="849">
        <f>DX99+DX95+DX93</f>
        <v>37.5</v>
      </c>
      <c r="DY91" s="852">
        <f>DY99+DY95+DY93</f>
        <v>36.1</v>
      </c>
      <c r="DZ91" s="849">
        <f>DZ99+DZ95+DZ93</f>
        <v>36.299999999999997</v>
      </c>
      <c r="EA91" s="851">
        <f>EA5/EA90</f>
        <v>142.89844470747508</v>
      </c>
      <c r="EB91" s="849">
        <f>EB99+EB95+EB93</f>
        <v>32.700000000000003</v>
      </c>
      <c r="EC91" s="849">
        <f>EC99+EC95+EC93</f>
        <v>33.700000000000003</v>
      </c>
      <c r="ED91" s="852">
        <f>ED99+ED95+ED93</f>
        <v>29.9</v>
      </c>
      <c r="EE91" s="849">
        <f>EE99+EE95+EE93</f>
        <v>25</v>
      </c>
      <c r="EF91" s="851">
        <f t="shared" ref="EF91" si="424">EF5/EF90</f>
        <v>121.29652301526318</v>
      </c>
      <c r="EG91" s="849">
        <f>EG99+EG95+EG93</f>
        <v>23</v>
      </c>
      <c r="EH91" s="849">
        <f>EH99+EH95+EH93</f>
        <v>22.5</v>
      </c>
      <c r="EI91" s="852">
        <f>EI99+EI95+EI93</f>
        <v>23.7</v>
      </c>
      <c r="EJ91" s="849">
        <f>EJ99+EJ95+EJ93</f>
        <v>27.1</v>
      </c>
      <c r="EK91" s="851">
        <f t="shared" ref="EK91" si="425">EK5/EK90</f>
        <v>96.29927770806259</v>
      </c>
      <c r="EL91" s="849">
        <f>EL99+EL95+EL93</f>
        <v>23.2</v>
      </c>
      <c r="EM91" s="849">
        <f>EM99+EM95+EM93</f>
        <v>23.6</v>
      </c>
      <c r="EN91" s="852">
        <f>EN99+EN95+EN93</f>
        <v>24.9</v>
      </c>
      <c r="EO91" s="849">
        <f>EO99+EO95+EO93</f>
        <v>25.6</v>
      </c>
      <c r="EP91" s="851">
        <f t="shared" ref="EP91" si="426">EP5/EP90</f>
        <v>97.298273343883366</v>
      </c>
      <c r="EQ91" s="849">
        <f>EQ99+EQ97</f>
        <v>22.9</v>
      </c>
      <c r="ER91" s="852">
        <f t="shared" ref="ER91" si="427">ER5/ER90</f>
        <v>21.801711442786072</v>
      </c>
      <c r="ES91" s="852">
        <f t="shared" ref="ES91:EU91" si="428">ES5/ES90</f>
        <v>22.849870646766171</v>
      </c>
      <c r="ET91" s="852">
        <f t="shared" si="428"/>
        <v>24.882388059701494</v>
      </c>
      <c r="EU91" s="851">
        <f t="shared" si="428"/>
        <v>92.433970149253739</v>
      </c>
      <c r="EV91" s="853"/>
      <c r="EW91" s="853"/>
      <c r="EX91" s="853"/>
      <c r="EY91" s="853"/>
      <c r="EZ91" s="854">
        <f>EZ5/EZ90</f>
        <v>86.887931940298515</v>
      </c>
      <c r="FA91" s="853"/>
      <c r="FB91" s="853"/>
      <c r="FC91" s="853"/>
      <c r="FD91" s="853"/>
      <c r="FE91" s="854">
        <f>FE5/FE90</f>
        <v>81.674656023880601</v>
      </c>
      <c r="FG91" s="855"/>
      <c r="FH91" s="776"/>
      <c r="FI91" s="776"/>
      <c r="FJ91" s="776"/>
      <c r="FL91" s="1346"/>
      <c r="FM91" s="1160">
        <f t="shared" si="421"/>
        <v>22.9</v>
      </c>
      <c r="FN91" s="1431">
        <f t="shared" si="422"/>
        <v>23.2</v>
      </c>
      <c r="FO91" s="1822">
        <v>22.725714285714286</v>
      </c>
      <c r="FP91" s="1734">
        <f>+FM91/FN91-1</f>
        <v>-1.2931034482758674E-2</v>
      </c>
      <c r="FQ91" s="1522">
        <f>+FM91/FO91-1</f>
        <v>7.6690973095296933E-3</v>
      </c>
      <c r="FR91" s="1615"/>
      <c r="FS91" s="1640"/>
      <c r="FT91" s="69"/>
      <c r="FU91" s="69"/>
      <c r="FV91" s="69"/>
      <c r="FW91" s="69"/>
      <c r="FX91" s="69"/>
      <c r="FY91" s="69"/>
      <c r="FZ91" s="855"/>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c r="IW91"/>
      <c r="IX91"/>
    </row>
    <row r="92" spans="1:258" s="847" customFormat="1" x14ac:dyDescent="0.2">
      <c r="A92" s="846" t="s">
        <v>465</v>
      </c>
      <c r="B92" s="653"/>
      <c r="C92" s="653"/>
      <c r="D92" s="653"/>
      <c r="E92" s="653"/>
      <c r="F92" s="654"/>
      <c r="G92" s="653"/>
      <c r="H92" s="653"/>
      <c r="I92" s="653"/>
      <c r="J92" s="653"/>
      <c r="K92" s="654"/>
      <c r="L92" s="653"/>
      <c r="M92" s="653"/>
      <c r="N92" s="653"/>
      <c r="O92" s="653"/>
      <c r="P92" s="654"/>
      <c r="Q92" s="653"/>
      <c r="R92" s="653"/>
      <c r="S92" s="653"/>
      <c r="T92" s="653"/>
      <c r="U92" s="654"/>
      <c r="V92" s="653"/>
      <c r="W92" s="653"/>
      <c r="X92" s="653"/>
      <c r="Y92" s="653"/>
      <c r="Z92" s="654"/>
      <c r="AA92" s="653"/>
      <c r="AB92" s="653"/>
      <c r="AC92" s="653"/>
      <c r="AD92" s="653"/>
      <c r="AE92" s="654"/>
      <c r="AF92" s="653"/>
      <c r="AG92" s="653"/>
      <c r="AH92" s="653"/>
      <c r="AI92" s="653"/>
      <c r="AJ92" s="654"/>
      <c r="AK92" s="653"/>
      <c r="AL92" s="653"/>
      <c r="AM92" s="653"/>
      <c r="AN92" s="653"/>
      <c r="AO92" s="654"/>
      <c r="AP92" s="653"/>
      <c r="AQ92" s="653"/>
      <c r="AR92" s="653"/>
      <c r="AS92" s="653"/>
      <c r="AT92" s="654"/>
      <c r="AU92" s="653"/>
      <c r="AV92" s="653"/>
      <c r="AW92" s="653"/>
      <c r="AX92" s="653"/>
      <c r="AY92" s="654"/>
      <c r="AZ92" s="653"/>
      <c r="BA92" s="653"/>
      <c r="BB92" s="653"/>
      <c r="BC92" s="653"/>
      <c r="BD92" s="654"/>
      <c r="BE92" s="653"/>
      <c r="BF92" s="653"/>
      <c r="BG92" s="653"/>
      <c r="BH92" s="653"/>
      <c r="BI92" s="654"/>
      <c r="BJ92" s="653"/>
      <c r="BK92" s="653"/>
      <c r="BL92" s="653"/>
      <c r="BM92" s="653"/>
      <c r="BN92" s="654"/>
      <c r="BO92" s="653">
        <f t="shared" ref="BO92:ED92" si="429">BO91/BJ91-1</f>
        <v>-9.3681917211329235E-2</v>
      </c>
      <c r="BP92" s="653">
        <f t="shared" si="429"/>
        <v>-7.572383073496658E-2</v>
      </c>
      <c r="BQ92" s="653">
        <f t="shared" si="429"/>
        <v>-4.9661399548532659E-2</v>
      </c>
      <c r="BR92" s="653">
        <f t="shared" si="429"/>
        <v>-7.2687224669603423E-2</v>
      </c>
      <c r="BS92" s="654">
        <f t="shared" si="429"/>
        <v>-7.3130193905817098E-2</v>
      </c>
      <c r="BT92" s="653">
        <f t="shared" si="429"/>
        <v>-5.0480769230769051E-2</v>
      </c>
      <c r="BU92" s="653">
        <f t="shared" si="429"/>
        <v>2.6506024096385472E-2</v>
      </c>
      <c r="BV92" s="653">
        <f t="shared" si="429"/>
        <v>-1.1876484560570111E-2</v>
      </c>
      <c r="BW92" s="653">
        <f t="shared" si="429"/>
        <v>2.1377672209026199E-2</v>
      </c>
      <c r="BX92" s="654">
        <f t="shared" si="429"/>
        <v>-3.5863717872085532E-3</v>
      </c>
      <c r="BY92" s="653">
        <f t="shared" si="429"/>
        <v>8.1012658227848089E-2</v>
      </c>
      <c r="BZ92" s="653">
        <f t="shared" si="429"/>
        <v>2.3474178403755985E-2</v>
      </c>
      <c r="CA92" s="653">
        <f t="shared" si="429"/>
        <v>3.3653846153846034E-2</v>
      </c>
      <c r="CB92" s="653">
        <f t="shared" si="429"/>
        <v>9.0697674418604546E-2</v>
      </c>
      <c r="CC92" s="654">
        <f t="shared" si="429"/>
        <v>5.6988602279543832E-2</v>
      </c>
      <c r="CD92" s="653">
        <f t="shared" si="429"/>
        <v>8.1967213114754189E-2</v>
      </c>
      <c r="CE92" s="653">
        <f t="shared" si="429"/>
        <v>6.6513761467889898E-2</v>
      </c>
      <c r="CF92" s="653">
        <f t="shared" si="429"/>
        <v>4.8837209302325713E-2</v>
      </c>
      <c r="CG92" s="653">
        <f t="shared" si="429"/>
        <v>-2.5586353944562767E-2</v>
      </c>
      <c r="CH92" s="654">
        <f t="shared" si="429"/>
        <v>4.1430192962542689E-2</v>
      </c>
      <c r="CI92" s="653">
        <f t="shared" si="429"/>
        <v>5.4112554112554001E-2</v>
      </c>
      <c r="CJ92" s="653">
        <f t="shared" si="429"/>
        <v>2.1505376344086002E-2</v>
      </c>
      <c r="CK92" s="653">
        <f t="shared" si="429"/>
        <v>7.3170731707316916E-2</v>
      </c>
      <c r="CL92" s="653">
        <f t="shared" si="429"/>
        <v>5.4704595185995686E-2</v>
      </c>
      <c r="CM92" s="654">
        <f t="shared" si="429"/>
        <v>5.0681198910081715E-2</v>
      </c>
      <c r="CN92" s="653">
        <f t="shared" si="429"/>
        <v>2.0533880903490731E-2</v>
      </c>
      <c r="CO92" s="653">
        <f t="shared" si="429"/>
        <v>5.4736842105263195E-2</v>
      </c>
      <c r="CP92" s="653">
        <f t="shared" si="429"/>
        <v>3.9256198347107363E-2</v>
      </c>
      <c r="CQ92" s="653">
        <f t="shared" si="429"/>
        <v>5.3941908713692754E-2</v>
      </c>
      <c r="CR92" s="654">
        <f t="shared" si="429"/>
        <v>4.2012448132780156E-2</v>
      </c>
      <c r="CS92" s="653">
        <f t="shared" si="429"/>
        <v>8.2494969818913688E-3</v>
      </c>
      <c r="CT92" s="653">
        <f t="shared" si="429"/>
        <v>3.3333333333333215E-2</v>
      </c>
      <c r="CU92" s="653">
        <f t="shared" si="429"/>
        <v>1.0536779324055612E-2</v>
      </c>
      <c r="CV92" s="653">
        <f t="shared" si="429"/>
        <v>1.3779527559055094E-2</v>
      </c>
      <c r="CW92" s="654">
        <f t="shared" si="429"/>
        <v>1.6475858636137319E-2</v>
      </c>
      <c r="CX92" s="653">
        <f t="shared" si="429"/>
        <v>-6.2063460387148273E-2</v>
      </c>
      <c r="CY92" s="653">
        <f t="shared" si="429"/>
        <v>-0.19451419741162823</v>
      </c>
      <c r="CZ92" s="653">
        <f t="shared" si="429"/>
        <v>-0.16584694078300222</v>
      </c>
      <c r="DA92" s="653">
        <f t="shared" si="429"/>
        <v>-0.21359223300970875</v>
      </c>
      <c r="DB92" s="654">
        <f t="shared" si="429"/>
        <v>-0.15968855589833986</v>
      </c>
      <c r="DC92" s="653">
        <f t="shared" si="429"/>
        <v>-0.1191489361702126</v>
      </c>
      <c r="DD92" s="653">
        <f t="shared" si="429"/>
        <v>6.714628297362113E-2</v>
      </c>
      <c r="DE92" s="653">
        <f t="shared" si="429"/>
        <v>2.1226415094339535E-2</v>
      </c>
      <c r="DF92" s="653">
        <f t="shared" si="429"/>
        <v>0.11851851851851847</v>
      </c>
      <c r="DG92" s="654">
        <f>DG91/DB91-1</f>
        <v>1.6899766899766799E-2</v>
      </c>
      <c r="DH92" s="653">
        <f t="shared" si="429"/>
        <v>3.3816425120772653E-2</v>
      </c>
      <c r="DI92" s="653">
        <f t="shared" si="429"/>
        <v>-2.9213483146067309E-2</v>
      </c>
      <c r="DJ92" s="653">
        <f t="shared" si="429"/>
        <v>0</v>
      </c>
      <c r="DK92" s="653">
        <f t="shared" si="429"/>
        <v>-7.7262693156732842E-2</v>
      </c>
      <c r="DL92" s="654">
        <f>DL91/DG91-1</f>
        <v>-1.9484240687678955E-2</v>
      </c>
      <c r="DM92" s="653">
        <f t="shared" si="429"/>
        <v>-0.13551401869158874</v>
      </c>
      <c r="DN92" s="653">
        <f t="shared" si="429"/>
        <v>-0.1435185185185186</v>
      </c>
      <c r="DO92" s="653">
        <f t="shared" si="429"/>
        <v>-0.1616628175519631</v>
      </c>
      <c r="DP92" s="653">
        <f t="shared" si="429"/>
        <v>-0.18181818181818166</v>
      </c>
      <c r="DQ92" s="654">
        <f t="shared" ref="DQ92:DV92" si="430">DQ91/DL91-1</f>
        <v>-0.15546464056107556</v>
      </c>
      <c r="DR92" s="653">
        <f t="shared" si="429"/>
        <v>-0.10270270270270265</v>
      </c>
      <c r="DS92" s="653">
        <f t="shared" si="429"/>
        <v>-5.6756756756756843E-2</v>
      </c>
      <c r="DT92" s="653">
        <f t="shared" si="430"/>
        <v>-7.4380165289256062E-2</v>
      </c>
      <c r="DU92" s="653">
        <f t="shared" si="429"/>
        <v>-4.9707602339181367E-2</v>
      </c>
      <c r="DV92" s="654">
        <f t="shared" si="430"/>
        <v>-7.1281382313432506E-2</v>
      </c>
      <c r="DW92" s="653">
        <f t="shared" si="429"/>
        <v>-6.0240963855422436E-3</v>
      </c>
      <c r="DX92" s="653">
        <f t="shared" si="429"/>
        <v>7.4498567335243626E-2</v>
      </c>
      <c r="DY92" s="653">
        <f t="shared" si="429"/>
        <v>7.4404761904761862E-2</v>
      </c>
      <c r="DZ92" s="653">
        <f t="shared" si="429"/>
        <v>0.11692307692307691</v>
      </c>
      <c r="EA92" s="654">
        <f>EA91/DV91-1</f>
        <v>6.4818292146931356E-2</v>
      </c>
      <c r="EB92" s="653">
        <f t="shared" si="429"/>
        <v>-9.0909090909090384E-3</v>
      </c>
      <c r="EC92" s="653">
        <f t="shared" si="429"/>
        <v>-0.10133333333333328</v>
      </c>
      <c r="ED92" s="653">
        <f t="shared" si="429"/>
        <v>-0.17174515235457066</v>
      </c>
      <c r="EE92" s="653">
        <f t="shared" ref="EE92:EI92" si="431">EE91/DZ91-1</f>
        <v>-0.31129476584022031</v>
      </c>
      <c r="EF92" s="654">
        <f t="shared" si="431"/>
        <v>-0.15116974671370864</v>
      </c>
      <c r="EG92" s="653">
        <f t="shared" si="431"/>
        <v>-0.29663608562691135</v>
      </c>
      <c r="EH92" s="653">
        <f t="shared" si="431"/>
        <v>-0.33234421364985167</v>
      </c>
      <c r="EI92" s="653">
        <f t="shared" si="431"/>
        <v>-0.20735785953177255</v>
      </c>
      <c r="EJ92" s="653">
        <f t="shared" ref="EJ92" si="432">EJ91/EE91-1</f>
        <v>8.4000000000000075E-2</v>
      </c>
      <c r="EK92" s="654">
        <f t="shared" ref="EK92:EQ92" si="433">EK91/EF91-1</f>
        <v>-0.20608377458647431</v>
      </c>
      <c r="EL92" s="653">
        <f t="shared" si="433"/>
        <v>8.6956521739129933E-3</v>
      </c>
      <c r="EM92" s="653">
        <f t="shared" si="433"/>
        <v>4.8888888888888982E-2</v>
      </c>
      <c r="EN92" s="653">
        <f t="shared" si="433"/>
        <v>5.0632911392405111E-2</v>
      </c>
      <c r="EO92" s="653">
        <f t="shared" si="433"/>
        <v>-5.5350553505535083E-2</v>
      </c>
      <c r="EP92" s="654">
        <f t="shared" si="433"/>
        <v>1.0373864265621036E-2</v>
      </c>
      <c r="EQ92" s="653">
        <f t="shared" si="433"/>
        <v>-1.2931034482758674E-2</v>
      </c>
      <c r="ER92" s="653">
        <f t="shared" ref="ER92" si="434">ER91/EM91-1</f>
        <v>-7.619866767855632E-2</v>
      </c>
      <c r="ES92" s="653">
        <f t="shared" ref="ES92:EU92" si="435">ES91/EN91-1</f>
        <v>-8.2334512178065422E-2</v>
      </c>
      <c r="ET92" s="653">
        <f t="shared" si="435"/>
        <v>-2.8031716417910468E-2</v>
      </c>
      <c r="EU92" s="654">
        <f t="shared" si="435"/>
        <v>-4.9993725761582786E-2</v>
      </c>
      <c r="EV92" s="687"/>
      <c r="EW92" s="687"/>
      <c r="EX92" s="687"/>
      <c r="EY92" s="687"/>
      <c r="EZ92" s="654">
        <f>EZ91/EU91-1</f>
        <v>-5.9999999999999942E-2</v>
      </c>
      <c r="FA92" s="687"/>
      <c r="FB92" s="687"/>
      <c r="FC92" s="687"/>
      <c r="FD92" s="687"/>
      <c r="FE92" s="654">
        <f>FE91/EZ91-1</f>
        <v>-6.0000000000000053E-2</v>
      </c>
      <c r="FG92" s="481"/>
      <c r="FH92" s="784"/>
      <c r="FI92" s="1149"/>
      <c r="FJ92" s="784"/>
      <c r="FL92" s="1350"/>
      <c r="FM92" s="1136">
        <f t="shared" si="421"/>
        <v>-1.2931034482758674E-2</v>
      </c>
      <c r="FN92" s="1432">
        <f t="shared" si="422"/>
        <v>8.6956521739129933E-3</v>
      </c>
      <c r="FO92" s="1823">
        <v>-2.0443349753694551E-2</v>
      </c>
      <c r="FP92" s="1752"/>
      <c r="FQ92" s="1503">
        <f>+(FM92-FO92)*10000</f>
        <v>75.123152709358763</v>
      </c>
      <c r="FR92" s="1689"/>
      <c r="FS92" s="1640"/>
      <c r="FT92" s="711"/>
      <c r="FU92" s="69"/>
      <c r="FV92" s="711"/>
      <c r="FW92" s="711"/>
      <c r="FX92" s="711"/>
      <c r="FY92" s="711"/>
      <c r="FZ92" s="481"/>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c r="IW92"/>
      <c r="IX92"/>
    </row>
    <row r="93" spans="1:258" s="44" customFormat="1" x14ac:dyDescent="0.2">
      <c r="A93" s="577" t="s">
        <v>132</v>
      </c>
      <c r="B93" s="210"/>
      <c r="C93" s="210"/>
      <c r="D93" s="210"/>
      <c r="E93" s="210"/>
      <c r="F93" s="211"/>
      <c r="G93" s="210"/>
      <c r="H93" s="210"/>
      <c r="I93" s="210"/>
      <c r="J93" s="210"/>
      <c r="K93" s="211"/>
      <c r="L93" s="210"/>
      <c r="M93" s="210"/>
      <c r="N93" s="210"/>
      <c r="O93" s="210"/>
      <c r="P93" s="211"/>
      <c r="Q93" s="210"/>
      <c r="R93" s="210"/>
      <c r="S93" s="210"/>
      <c r="T93" s="210"/>
      <c r="U93" s="211"/>
      <c r="V93" s="210"/>
      <c r="W93" s="210"/>
      <c r="X93" s="210"/>
      <c r="Y93" s="210"/>
      <c r="Z93" s="211"/>
      <c r="AA93" s="210"/>
      <c r="AB93" s="210"/>
      <c r="AC93" s="210"/>
      <c r="AD93" s="210"/>
      <c r="AE93" s="211"/>
      <c r="AF93" s="210"/>
      <c r="AG93" s="210"/>
      <c r="AH93" s="210"/>
      <c r="AI93" s="210"/>
      <c r="AJ93" s="211"/>
      <c r="AK93" s="210"/>
      <c r="AL93" s="210"/>
      <c r="AM93" s="210"/>
      <c r="AN93" s="210"/>
      <c r="AO93" s="211"/>
      <c r="AP93" s="210"/>
      <c r="AQ93" s="210"/>
      <c r="AR93" s="210"/>
      <c r="AS93" s="210"/>
      <c r="AT93" s="211"/>
      <c r="AU93" s="210"/>
      <c r="AV93" s="210"/>
      <c r="AW93" s="210"/>
      <c r="AX93" s="210"/>
      <c r="AY93" s="211"/>
      <c r="AZ93" s="210"/>
      <c r="BA93" s="210"/>
      <c r="BB93" s="210"/>
      <c r="BC93" s="210"/>
      <c r="BD93" s="211"/>
      <c r="BE93" s="210"/>
      <c r="BF93" s="210"/>
      <c r="BG93" s="210"/>
      <c r="BH93" s="210"/>
      <c r="BI93" s="211"/>
      <c r="BJ93" s="210">
        <v>35.1</v>
      </c>
      <c r="BK93" s="210">
        <v>33.9</v>
      </c>
      <c r="BL93" s="210">
        <v>33.299999999999997</v>
      </c>
      <c r="BM93" s="210">
        <v>34.9</v>
      </c>
      <c r="BN93" s="211">
        <f>SUM(BJ93:BM93)</f>
        <v>137.19999999999999</v>
      </c>
      <c r="BO93" s="210">
        <v>32.9</v>
      </c>
      <c r="BP93" s="210">
        <v>32.4</v>
      </c>
      <c r="BQ93" s="210">
        <v>34.1</v>
      </c>
      <c r="BR93" s="210">
        <v>34</v>
      </c>
      <c r="BS93" s="211">
        <f>SUM(BO93:BR93)</f>
        <v>133.4</v>
      </c>
      <c r="BT93" s="210">
        <v>32.4</v>
      </c>
      <c r="BU93" s="210">
        <v>33.9</v>
      </c>
      <c r="BV93" s="210">
        <v>32.6</v>
      </c>
      <c r="BW93" s="210">
        <v>35.4</v>
      </c>
      <c r="BX93" s="211">
        <f>SUM(BT93:BW93)</f>
        <v>134.30000000000001</v>
      </c>
      <c r="BY93" s="210">
        <v>33.6</v>
      </c>
      <c r="BZ93" s="210">
        <v>34.6</v>
      </c>
      <c r="CA93" s="210">
        <v>34.799999999999997</v>
      </c>
      <c r="CB93" s="210">
        <v>38</v>
      </c>
      <c r="CC93" s="211">
        <f>SUM(BY93:CB93)</f>
        <v>141</v>
      </c>
      <c r="CD93" s="210">
        <v>37.1</v>
      </c>
      <c r="CE93" s="210">
        <v>37.6</v>
      </c>
      <c r="CF93" s="210">
        <v>37</v>
      </c>
      <c r="CG93" s="210">
        <v>38.1</v>
      </c>
      <c r="CH93" s="211">
        <f>SUM(CD93:CG93)</f>
        <v>149.80000000000001</v>
      </c>
      <c r="CI93" s="210">
        <v>40.4</v>
      </c>
      <c r="CJ93" s="210">
        <v>39.4</v>
      </c>
      <c r="CK93" s="210">
        <v>40</v>
      </c>
      <c r="CL93" s="210">
        <v>39.5</v>
      </c>
      <c r="CM93" s="211">
        <f>SUM(CI93:CL93)</f>
        <v>159.30000000000001</v>
      </c>
      <c r="CN93" s="210">
        <v>39.200000000000003</v>
      </c>
      <c r="CO93" s="210">
        <v>39</v>
      </c>
      <c r="CP93" s="210">
        <v>38.799999999999997</v>
      </c>
      <c r="CQ93" s="210">
        <v>37.9</v>
      </c>
      <c r="CR93" s="211">
        <f>SUM(CN93:CQ93)</f>
        <v>154.9</v>
      </c>
      <c r="CS93" s="210">
        <v>36.700000000000003</v>
      </c>
      <c r="CT93" s="210">
        <v>36.5</v>
      </c>
      <c r="CU93" s="210">
        <v>37.200000000000003</v>
      </c>
      <c r="CV93" s="210">
        <v>38.4</v>
      </c>
      <c r="CW93" s="211">
        <f>SUM(CS93:CV93)</f>
        <v>148.80000000000001</v>
      </c>
      <c r="CX93" s="210">
        <v>37</v>
      </c>
      <c r="CY93" s="210">
        <v>32.6</v>
      </c>
      <c r="CZ93" s="210">
        <v>31.4</v>
      </c>
      <c r="DA93" s="210">
        <v>28.8</v>
      </c>
      <c r="DB93" s="211">
        <f>SUM(CX93:DA93)</f>
        <v>129.80000000000001</v>
      </c>
      <c r="DC93" s="210">
        <v>29.8</v>
      </c>
      <c r="DD93" s="210">
        <v>30.5</v>
      </c>
      <c r="DE93" s="210">
        <v>30.2</v>
      </c>
      <c r="DF93" s="210">
        <v>31.1</v>
      </c>
      <c r="DG93" s="212">
        <f>SUM(DC93:DF93)</f>
        <v>121.6</v>
      </c>
      <c r="DH93" s="210">
        <v>28.1</v>
      </c>
      <c r="DI93" s="210">
        <v>26.8</v>
      </c>
      <c r="DJ93" s="210">
        <v>28.5</v>
      </c>
      <c r="DK93" s="210">
        <v>25.4</v>
      </c>
      <c r="DL93" s="212">
        <f>SUM(DH93:DK93)</f>
        <v>108.80000000000001</v>
      </c>
      <c r="DM93" s="210">
        <v>20.2</v>
      </c>
      <c r="DN93" s="210">
        <v>16.899999999999999</v>
      </c>
      <c r="DO93" s="210">
        <v>19.899999999999999</v>
      </c>
      <c r="DP93" s="210">
        <v>19.3</v>
      </c>
      <c r="DQ93" s="212">
        <f>SUM(DM93:DP93)</f>
        <v>76.3</v>
      </c>
      <c r="DR93" s="210">
        <v>16.2</v>
      </c>
      <c r="DS93" s="210">
        <v>17</v>
      </c>
      <c r="DT93" s="871">
        <v>17.3</v>
      </c>
      <c r="DU93" s="210">
        <v>15.6</v>
      </c>
      <c r="DV93" s="212">
        <f>SUM(DR93:DU93)</f>
        <v>66.099999999999994</v>
      </c>
      <c r="DW93" s="210">
        <v>17.7</v>
      </c>
      <c r="DX93" s="210">
        <v>21</v>
      </c>
      <c r="DY93" s="871">
        <v>20.100000000000001</v>
      </c>
      <c r="DZ93" s="210">
        <v>19</v>
      </c>
      <c r="EA93" s="212">
        <f>SUM(DW93:DZ93)</f>
        <v>77.800000000000011</v>
      </c>
      <c r="EB93" s="210">
        <v>17.600000000000001</v>
      </c>
      <c r="EC93" s="210">
        <v>18.2</v>
      </c>
      <c r="ED93" s="871">
        <v>16.8</v>
      </c>
      <c r="EE93" s="210">
        <v>13.6</v>
      </c>
      <c r="EF93" s="212">
        <f>SUM(EB93:EE93)</f>
        <v>66.199999999999989</v>
      </c>
      <c r="EG93" s="210">
        <v>12.4</v>
      </c>
      <c r="EH93" s="210">
        <v>11.5</v>
      </c>
      <c r="EI93" s="871">
        <v>13.2</v>
      </c>
      <c r="EJ93" s="210">
        <v>14</v>
      </c>
      <c r="EK93" s="212">
        <f>SUM(EG93:EJ93)</f>
        <v>51.099999999999994</v>
      </c>
      <c r="EL93" s="210">
        <v>11</v>
      </c>
      <c r="EM93" s="210">
        <v>11</v>
      </c>
      <c r="EN93" s="871">
        <v>11.7</v>
      </c>
      <c r="EO93" s="2011">
        <v>10.7</v>
      </c>
      <c r="EP93" s="212">
        <f>SUM(EL93:EO93)</f>
        <v>44.400000000000006</v>
      </c>
      <c r="EQ93" s="210"/>
      <c r="ER93" s="1179"/>
      <c r="ES93" s="1179"/>
      <c r="ET93" s="1179"/>
      <c r="EU93" s="1928"/>
      <c r="EV93" s="1180"/>
      <c r="EW93" s="1180"/>
      <c r="EX93" s="1180"/>
      <c r="EY93" s="1180"/>
      <c r="EZ93" s="1181"/>
      <c r="FA93" s="1180"/>
      <c r="FB93" s="1180"/>
      <c r="FC93" s="1180"/>
      <c r="FD93" s="1180"/>
      <c r="FE93" s="1181"/>
      <c r="FG93" s="872"/>
      <c r="FH93" s="784"/>
      <c r="FI93" s="1149"/>
      <c r="FJ93" s="1925"/>
      <c r="FK93" s="83"/>
      <c r="FL93" s="1346"/>
      <c r="FM93" s="1541">
        <f t="shared" si="421"/>
        <v>0</v>
      </c>
      <c r="FN93" s="1430">
        <f t="shared" si="422"/>
        <v>11</v>
      </c>
      <c r="FO93" s="1824"/>
      <c r="FP93" s="1733">
        <f>+FM93/FN93-1</f>
        <v>-1</v>
      </c>
      <c r="FQ93" s="1519" t="e">
        <f>+FM93/FO93-1</f>
        <v>#DIV/0!</v>
      </c>
      <c r="FR93" s="1999" t="s">
        <v>808</v>
      </c>
      <c r="FS93" s="1615"/>
      <c r="FT93" s="354"/>
      <c r="FU93" s="354"/>
      <c r="FV93" s="354"/>
      <c r="FW93" s="354"/>
      <c r="FX93" s="354"/>
      <c r="FY93" s="354"/>
      <c r="FZ93" s="872"/>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c r="IW93"/>
      <c r="IX93"/>
    </row>
    <row r="94" spans="1:258" s="847" customFormat="1" x14ac:dyDescent="0.2">
      <c r="A94" s="846" t="s">
        <v>465</v>
      </c>
      <c r="B94" s="1136"/>
      <c r="C94" s="1136"/>
      <c r="D94" s="1136"/>
      <c r="E94" s="1136"/>
      <c r="F94" s="1137"/>
      <c r="G94" s="1136"/>
      <c r="H94" s="1136"/>
      <c r="I94" s="1136"/>
      <c r="J94" s="1136"/>
      <c r="K94" s="1137"/>
      <c r="L94" s="1136"/>
      <c r="M94" s="1136"/>
      <c r="N94" s="1136"/>
      <c r="O94" s="1136"/>
      <c r="P94" s="1137"/>
      <c r="Q94" s="1136"/>
      <c r="R94" s="1136"/>
      <c r="S94" s="1136"/>
      <c r="T94" s="1136"/>
      <c r="U94" s="1137"/>
      <c r="V94" s="1136"/>
      <c r="W94" s="1136"/>
      <c r="X94" s="1136"/>
      <c r="Y94" s="1136"/>
      <c r="Z94" s="1137"/>
      <c r="AA94" s="1136"/>
      <c r="AB94" s="1136"/>
      <c r="AC94" s="1136"/>
      <c r="AD94" s="1136"/>
      <c r="AE94" s="1137"/>
      <c r="AF94" s="1136"/>
      <c r="AG94" s="1136"/>
      <c r="AH94" s="1136"/>
      <c r="AI94" s="1136"/>
      <c r="AJ94" s="1137"/>
      <c r="AK94" s="1136"/>
      <c r="AL94" s="1136"/>
      <c r="AM94" s="1136"/>
      <c r="AN94" s="1136"/>
      <c r="AO94" s="1137"/>
      <c r="AP94" s="1136"/>
      <c r="AQ94" s="1136"/>
      <c r="AR94" s="1136"/>
      <c r="AS94" s="1136"/>
      <c r="AT94" s="1137"/>
      <c r="AU94" s="1136"/>
      <c r="AV94" s="1136"/>
      <c r="AW94" s="1136"/>
      <c r="AX94" s="1136"/>
      <c r="AY94" s="1137"/>
      <c r="AZ94" s="1136"/>
      <c r="BA94" s="1136"/>
      <c r="BB94" s="1136"/>
      <c r="BC94" s="1136"/>
      <c r="BD94" s="1137"/>
      <c r="BE94" s="1136"/>
      <c r="BF94" s="1136"/>
      <c r="BG94" s="1136"/>
      <c r="BH94" s="1136"/>
      <c r="BI94" s="1137"/>
      <c r="BJ94" s="1136"/>
      <c r="BK94" s="1136"/>
      <c r="BL94" s="1136"/>
      <c r="BM94" s="1136"/>
      <c r="BN94" s="1137"/>
      <c r="BO94" s="1136">
        <f>BO93/BJ93-1</f>
        <v>-6.2678062678062751E-2</v>
      </c>
      <c r="BP94" s="1136">
        <f>BP93/BK93-1</f>
        <v>-4.4247787610619427E-2</v>
      </c>
      <c r="BQ94" s="1136">
        <f t="shared" ref="BQ94:CV94" si="436">BQ93/BL93-1</f>
        <v>2.4024024024024149E-2</v>
      </c>
      <c r="BR94" s="1136">
        <f t="shared" si="436"/>
        <v>-2.5787965616045794E-2</v>
      </c>
      <c r="BS94" s="1137">
        <f t="shared" si="436"/>
        <v>-2.7696793002915276E-2</v>
      </c>
      <c r="BT94" s="1136">
        <f t="shared" si="436"/>
        <v>-1.5197568389057725E-2</v>
      </c>
      <c r="BU94" s="1136">
        <f t="shared" si="436"/>
        <v>4.629629629629628E-2</v>
      </c>
      <c r="BV94" s="1136">
        <f t="shared" si="436"/>
        <v>-4.3988269794721369E-2</v>
      </c>
      <c r="BW94" s="1136">
        <f t="shared" si="436"/>
        <v>4.1176470588235148E-2</v>
      </c>
      <c r="BX94" s="1137">
        <f t="shared" si="436"/>
        <v>6.7466266866567093E-3</v>
      </c>
      <c r="BY94" s="1136">
        <f t="shared" si="436"/>
        <v>3.7037037037037202E-2</v>
      </c>
      <c r="BZ94" s="1136">
        <f t="shared" si="436"/>
        <v>2.0648967551622599E-2</v>
      </c>
      <c r="CA94" s="1136">
        <f t="shared" si="436"/>
        <v>6.7484662576686949E-2</v>
      </c>
      <c r="CB94" s="1136">
        <f t="shared" si="436"/>
        <v>7.344632768361592E-2</v>
      </c>
      <c r="CC94" s="1137">
        <f t="shared" si="436"/>
        <v>4.9888309754281268E-2</v>
      </c>
      <c r="CD94" s="1136">
        <f t="shared" si="436"/>
        <v>0.10416666666666674</v>
      </c>
      <c r="CE94" s="1136">
        <f t="shared" si="436"/>
        <v>8.6705202312138629E-2</v>
      </c>
      <c r="CF94" s="1136">
        <f t="shared" si="436"/>
        <v>6.321839080459779E-2</v>
      </c>
      <c r="CG94" s="1136">
        <f t="shared" si="436"/>
        <v>2.6315789473685403E-3</v>
      </c>
      <c r="CH94" s="1137">
        <f t="shared" si="436"/>
        <v>6.2411347517730587E-2</v>
      </c>
      <c r="CI94" s="1136">
        <f t="shared" si="436"/>
        <v>8.8948787061994494E-2</v>
      </c>
      <c r="CJ94" s="1136">
        <f t="shared" si="436"/>
        <v>4.7872340425531901E-2</v>
      </c>
      <c r="CK94" s="1136">
        <f t="shared" si="436"/>
        <v>8.1081081081081141E-2</v>
      </c>
      <c r="CL94" s="1136">
        <f t="shared" si="436"/>
        <v>3.6745406824146842E-2</v>
      </c>
      <c r="CM94" s="1137">
        <f t="shared" si="436"/>
        <v>6.3417890520694353E-2</v>
      </c>
      <c r="CN94" s="1136">
        <f t="shared" si="436"/>
        <v>-2.9702970297029618E-2</v>
      </c>
      <c r="CO94" s="1136">
        <f t="shared" si="436"/>
        <v>-1.015228426395931E-2</v>
      </c>
      <c r="CP94" s="1136">
        <f t="shared" si="436"/>
        <v>-3.0000000000000027E-2</v>
      </c>
      <c r="CQ94" s="1136">
        <f t="shared" si="436"/>
        <v>-4.0506329113924044E-2</v>
      </c>
      <c r="CR94" s="1137">
        <f t="shared" si="436"/>
        <v>-2.762084118016328E-2</v>
      </c>
      <c r="CS94" s="1136">
        <f t="shared" si="436"/>
        <v>-6.3775510204081676E-2</v>
      </c>
      <c r="CT94" s="1136">
        <f t="shared" si="436"/>
        <v>-6.4102564102564097E-2</v>
      </c>
      <c r="CU94" s="1136">
        <f t="shared" si="436"/>
        <v>-4.1237113402061709E-2</v>
      </c>
      <c r="CV94" s="1136">
        <f t="shared" si="436"/>
        <v>1.3192612137203241E-2</v>
      </c>
      <c r="CW94" s="1137">
        <f t="shared" ref="CW94:ED94" si="437">CW93/CR93-1</f>
        <v>-3.9380245319560969E-2</v>
      </c>
      <c r="CX94" s="1136">
        <f t="shared" si="437"/>
        <v>8.1743869209809361E-3</v>
      </c>
      <c r="CY94" s="1136">
        <f t="shared" si="437"/>
        <v>-0.10684931506849316</v>
      </c>
      <c r="CZ94" s="1136">
        <f t="shared" si="437"/>
        <v>-0.15591397849462374</v>
      </c>
      <c r="DA94" s="1136">
        <f t="shared" si="437"/>
        <v>-0.25</v>
      </c>
      <c r="DB94" s="1137">
        <f t="shared" si="437"/>
        <v>-0.12768817204301075</v>
      </c>
      <c r="DC94" s="1136">
        <f t="shared" si="437"/>
        <v>-0.19459459459459461</v>
      </c>
      <c r="DD94" s="1136">
        <f t="shared" si="437"/>
        <v>-6.4417177914110502E-2</v>
      </c>
      <c r="DE94" s="1136">
        <f t="shared" si="437"/>
        <v>-3.8216560509554132E-2</v>
      </c>
      <c r="DF94" s="1136">
        <f t="shared" si="437"/>
        <v>7.986111111111116E-2</v>
      </c>
      <c r="DG94" s="1137">
        <f t="shared" si="437"/>
        <v>-6.3174114021571803E-2</v>
      </c>
      <c r="DH94" s="1136">
        <f t="shared" si="437"/>
        <v>-5.7046979865771785E-2</v>
      </c>
      <c r="DI94" s="1136">
        <f t="shared" si="437"/>
        <v>-0.121311475409836</v>
      </c>
      <c r="DJ94" s="1136">
        <f t="shared" si="437"/>
        <v>-5.6291390728476776E-2</v>
      </c>
      <c r="DK94" s="1136">
        <f t="shared" si="437"/>
        <v>-0.18327974276527337</v>
      </c>
      <c r="DL94" s="1137">
        <f t="shared" si="437"/>
        <v>-0.10526315789473673</v>
      </c>
      <c r="DM94" s="1136">
        <f t="shared" si="437"/>
        <v>-0.28113879003558728</v>
      </c>
      <c r="DN94" s="1136">
        <f t="shared" si="437"/>
        <v>-0.36940298507462699</v>
      </c>
      <c r="DO94" s="1136">
        <f t="shared" si="437"/>
        <v>-0.30175438596491233</v>
      </c>
      <c r="DP94" s="1136">
        <f t="shared" si="437"/>
        <v>-0.24015748031496054</v>
      </c>
      <c r="DQ94" s="1137">
        <f t="shared" si="437"/>
        <v>-0.29871323529411775</v>
      </c>
      <c r="DR94" s="1136">
        <f t="shared" si="437"/>
        <v>-0.19801980198019797</v>
      </c>
      <c r="DS94" s="1136">
        <f t="shared" si="437"/>
        <v>5.9171597633136397E-3</v>
      </c>
      <c r="DT94" s="1136">
        <f t="shared" si="437"/>
        <v>-0.13065326633165819</v>
      </c>
      <c r="DU94" s="1136">
        <f t="shared" si="437"/>
        <v>-0.19170984455958551</v>
      </c>
      <c r="DV94" s="1137">
        <f t="shared" si="437"/>
        <v>-0.13368283093053734</v>
      </c>
      <c r="DW94" s="1136">
        <f t="shared" si="437"/>
        <v>9.259259259259256E-2</v>
      </c>
      <c r="DX94" s="1136">
        <f t="shared" si="437"/>
        <v>0.23529411764705888</v>
      </c>
      <c r="DY94" s="1136">
        <f t="shared" si="437"/>
        <v>0.1618497109826591</v>
      </c>
      <c r="DZ94" s="1136">
        <f t="shared" si="437"/>
        <v>0.21794871794871806</v>
      </c>
      <c r="EA94" s="1137">
        <f t="shared" si="437"/>
        <v>0.17700453857791243</v>
      </c>
      <c r="EB94" s="1136">
        <f t="shared" si="437"/>
        <v>-5.6497175141241307E-3</v>
      </c>
      <c r="EC94" s="1136">
        <f t="shared" si="437"/>
        <v>-0.13333333333333341</v>
      </c>
      <c r="ED94" s="1136">
        <f t="shared" si="437"/>
        <v>-0.16417910447761197</v>
      </c>
      <c r="EE94" s="1136">
        <f t="shared" ref="EE94:EI94" si="438">EE93/DZ93-1</f>
        <v>-0.28421052631578947</v>
      </c>
      <c r="EF94" s="1137">
        <f t="shared" si="438"/>
        <v>-0.14910025706940899</v>
      </c>
      <c r="EG94" s="1136">
        <f t="shared" si="438"/>
        <v>-0.29545454545454553</v>
      </c>
      <c r="EH94" s="1136">
        <f t="shared" si="438"/>
        <v>-0.36813186813186816</v>
      </c>
      <c r="EI94" s="1136">
        <f t="shared" si="438"/>
        <v>-0.21428571428571441</v>
      </c>
      <c r="EJ94" s="1136">
        <f t="shared" ref="EJ94" si="439">EJ93/EE93-1</f>
        <v>2.941176470588247E-2</v>
      </c>
      <c r="EK94" s="1137">
        <f t="shared" ref="EK94:EP94" si="440">EK93/EF93-1</f>
        <v>-0.22809667673716005</v>
      </c>
      <c r="EL94" s="1136">
        <f t="shared" si="440"/>
        <v>-0.11290322580645162</v>
      </c>
      <c r="EM94" s="1136">
        <f t="shared" si="440"/>
        <v>-4.3478260869565188E-2</v>
      </c>
      <c r="EN94" s="1136">
        <f t="shared" si="440"/>
        <v>-0.11363636363636365</v>
      </c>
      <c r="EO94" s="1136">
        <f t="shared" si="440"/>
        <v>-0.23571428571428577</v>
      </c>
      <c r="EP94" s="1137">
        <f t="shared" si="440"/>
        <v>-0.131115459882583</v>
      </c>
      <c r="EQ94" s="1136"/>
      <c r="ER94" s="1161"/>
      <c r="ES94" s="1161"/>
      <c r="ET94" s="1161"/>
      <c r="EU94" s="1929"/>
      <c r="EV94" s="1298"/>
      <c r="EW94" s="1298"/>
      <c r="EX94" s="1298"/>
      <c r="EY94" s="1298"/>
      <c r="EZ94" s="1929"/>
      <c r="FA94" s="1298"/>
      <c r="FB94" s="1298"/>
      <c r="FC94" s="1298"/>
      <c r="FD94" s="1298"/>
      <c r="FE94" s="1929"/>
      <c r="FG94" s="1138"/>
      <c r="FH94" s="1927"/>
      <c r="FI94" s="1927"/>
      <c r="FJ94" s="784"/>
      <c r="FL94" s="1350"/>
      <c r="FM94" s="1136">
        <f t="shared" si="421"/>
        <v>0</v>
      </c>
      <c r="FN94" s="1433">
        <f t="shared" si="422"/>
        <v>-0.11290322580645162</v>
      </c>
      <c r="FO94" s="1825"/>
      <c r="FP94" s="1752"/>
      <c r="FQ94" s="1503">
        <f>+(FM94-FO94)*10000</f>
        <v>0</v>
      </c>
      <c r="FR94" s="1615"/>
      <c r="FS94" s="1615"/>
      <c r="FT94" s="1139"/>
      <c r="FU94" s="1139"/>
      <c r="FV94" s="1139"/>
      <c r="FW94" s="1139"/>
      <c r="FX94" s="1139"/>
      <c r="FY94" s="1139"/>
      <c r="FZ94" s="1138"/>
      <c r="GA94"/>
      <c r="GB94"/>
      <c r="GC94"/>
      <c r="GD94"/>
      <c r="GE94"/>
      <c r="GF94"/>
      <c r="GG94" s="1140"/>
      <c r="GH94" s="1140"/>
      <c r="GI94" s="1140"/>
      <c r="GJ94" s="1140"/>
      <c r="GK94" s="1140"/>
      <c r="GL94" s="1140"/>
      <c r="GM94" s="1140"/>
      <c r="GN94" s="1140"/>
      <c r="GO94" s="1140"/>
      <c r="GP94" s="1140"/>
      <c r="GQ94" s="1140"/>
      <c r="GR94" s="1140"/>
      <c r="GS94" s="1140"/>
      <c r="GT94" s="1140"/>
      <c r="GU94" s="1140"/>
      <c r="GV94" s="1140"/>
      <c r="GW94" s="1140"/>
      <c r="GX94" s="1140"/>
      <c r="GY94" s="1140"/>
      <c r="GZ94" s="1140"/>
      <c r="HA94" s="1140"/>
      <c r="HB94" s="1140"/>
      <c r="HC94" s="1140"/>
      <c r="HD94" s="1140"/>
      <c r="HE94" s="1140"/>
      <c r="HF94" s="1140"/>
      <c r="HG94" s="1140"/>
      <c r="HH94" s="1140"/>
      <c r="HI94" s="1140"/>
      <c r="HJ94" s="1140"/>
      <c r="HK94" s="1140"/>
      <c r="HL94" s="1140"/>
      <c r="HM94" s="1140"/>
      <c r="HN94" s="1140"/>
      <c r="HO94" s="1140"/>
      <c r="HP94" s="1140"/>
      <c r="HQ94" s="1140"/>
      <c r="HR94" s="1140"/>
      <c r="HS94" s="1140"/>
      <c r="HT94" s="1140"/>
      <c r="HU94" s="1140"/>
      <c r="HV94" s="1140"/>
      <c r="HW94" s="1140"/>
      <c r="HX94" s="1140"/>
      <c r="HY94" s="1140"/>
      <c r="HZ94" s="1140"/>
      <c r="IA94" s="1140"/>
      <c r="IB94" s="1140"/>
      <c r="IC94" s="1140"/>
      <c r="ID94" s="1140"/>
      <c r="IE94" s="1140"/>
      <c r="IF94" s="1140"/>
      <c r="IG94" s="1140"/>
      <c r="IH94" s="1140"/>
      <c r="II94" s="1140"/>
      <c r="IJ94" s="1140"/>
      <c r="IK94" s="1140"/>
      <c r="IL94" s="1140"/>
      <c r="IM94" s="1140"/>
      <c r="IN94" s="1140"/>
      <c r="IO94" s="1140"/>
      <c r="IP94" s="1140"/>
      <c r="IQ94" s="1140"/>
      <c r="IR94" s="1140"/>
      <c r="IS94" s="1140"/>
      <c r="IT94" s="1140"/>
      <c r="IU94" s="1140"/>
      <c r="IV94" s="1140"/>
      <c r="IW94" s="1140"/>
      <c r="IX94" s="1140"/>
    </row>
    <row r="95" spans="1:258" s="44" customFormat="1" x14ac:dyDescent="0.2">
      <c r="A95" s="577" t="s">
        <v>163</v>
      </c>
      <c r="B95" s="210"/>
      <c r="C95" s="210"/>
      <c r="D95" s="210"/>
      <c r="E95" s="210"/>
      <c r="F95" s="211"/>
      <c r="G95" s="210"/>
      <c r="H95" s="210"/>
      <c r="I95" s="210"/>
      <c r="J95" s="210"/>
      <c r="K95" s="211"/>
      <c r="L95" s="210"/>
      <c r="M95" s="210"/>
      <c r="N95" s="210"/>
      <c r="O95" s="210"/>
      <c r="P95" s="211"/>
      <c r="Q95" s="210"/>
      <c r="R95" s="210"/>
      <c r="S95" s="210"/>
      <c r="T95" s="210"/>
      <c r="U95" s="211"/>
      <c r="V95" s="210"/>
      <c r="W95" s="210"/>
      <c r="X95" s="210"/>
      <c r="Y95" s="210"/>
      <c r="Z95" s="211"/>
      <c r="AA95" s="210"/>
      <c r="AB95" s="210"/>
      <c r="AC95" s="210"/>
      <c r="AD95" s="210"/>
      <c r="AE95" s="211"/>
      <c r="AF95" s="210"/>
      <c r="AG95" s="210"/>
      <c r="AH95" s="210"/>
      <c r="AI95" s="210"/>
      <c r="AJ95" s="211"/>
      <c r="AK95" s="210"/>
      <c r="AL95" s="210"/>
      <c r="AM95" s="210"/>
      <c r="AN95" s="210"/>
      <c r="AO95" s="211"/>
      <c r="AP95" s="210"/>
      <c r="AQ95" s="210"/>
      <c r="AR95" s="210"/>
      <c r="AS95" s="210"/>
      <c r="AT95" s="211"/>
      <c r="AU95" s="210"/>
      <c r="AV95" s="210"/>
      <c r="AW95" s="210"/>
      <c r="AX95" s="210"/>
      <c r="AY95" s="211"/>
      <c r="AZ95" s="210"/>
      <c r="BA95" s="210"/>
      <c r="BB95" s="210"/>
      <c r="BC95" s="210"/>
      <c r="BD95" s="211"/>
      <c r="BE95" s="210"/>
      <c r="BF95" s="210"/>
      <c r="BG95" s="210"/>
      <c r="BH95" s="210"/>
      <c r="BI95" s="211"/>
      <c r="BJ95" s="210">
        <v>6.8</v>
      </c>
      <c r="BK95" s="210">
        <v>7.8</v>
      </c>
      <c r="BL95" s="210">
        <v>8.1</v>
      </c>
      <c r="BM95" s="210">
        <v>7.9</v>
      </c>
      <c r="BN95" s="211">
        <f>SUM(BJ95:BM95)</f>
        <v>30.6</v>
      </c>
      <c r="BO95" s="210">
        <v>5.2</v>
      </c>
      <c r="BP95" s="210">
        <v>6.7</v>
      </c>
      <c r="BQ95" s="210">
        <v>6.2</v>
      </c>
      <c r="BR95" s="210">
        <v>6.5</v>
      </c>
      <c r="BS95" s="211">
        <f>SUM(BO95:BR95)</f>
        <v>24.6</v>
      </c>
      <c r="BT95" s="210">
        <v>4.9000000000000004</v>
      </c>
      <c r="BU95" s="210">
        <v>6.7</v>
      </c>
      <c r="BV95" s="210">
        <v>7</v>
      </c>
      <c r="BW95" s="210">
        <v>5.0999999999999996</v>
      </c>
      <c r="BX95" s="211">
        <f>SUM(BT95:BW95)</f>
        <v>23.700000000000003</v>
      </c>
      <c r="BY95" s="210">
        <v>5.8</v>
      </c>
      <c r="BZ95" s="210">
        <v>5</v>
      </c>
      <c r="CA95" s="210">
        <v>5.0999999999999996</v>
      </c>
      <c r="CB95" s="210">
        <v>5.7</v>
      </c>
      <c r="CC95" s="211">
        <f>SUM(BY95:CB95)</f>
        <v>21.6</v>
      </c>
      <c r="CD95" s="210">
        <v>5.3</v>
      </c>
      <c r="CE95" s="210">
        <v>5.5</v>
      </c>
      <c r="CF95" s="210">
        <v>5.3</v>
      </c>
      <c r="CG95" s="210">
        <v>5.2</v>
      </c>
      <c r="CH95" s="211">
        <f>SUM(CD95:CG95)</f>
        <v>21.3</v>
      </c>
      <c r="CI95" s="210">
        <v>5.0999999999999996</v>
      </c>
      <c r="CJ95" s="210">
        <v>4.9000000000000004</v>
      </c>
      <c r="CK95" s="210">
        <v>5.3</v>
      </c>
      <c r="CL95" s="210">
        <v>4.9000000000000004</v>
      </c>
      <c r="CM95" s="211">
        <f>SUM(CI95:CL95)</f>
        <v>20.200000000000003</v>
      </c>
      <c r="CN95" s="210">
        <v>5.8</v>
      </c>
      <c r="CO95" s="210">
        <v>6.9</v>
      </c>
      <c r="CP95" s="210">
        <v>6.8</v>
      </c>
      <c r="CQ95" s="210">
        <v>6.6</v>
      </c>
      <c r="CR95" s="211">
        <f>SUM(CN95:CQ95)</f>
        <v>26.1</v>
      </c>
      <c r="CS95" s="210">
        <v>5.78</v>
      </c>
      <c r="CT95" s="210">
        <v>6.85</v>
      </c>
      <c r="CU95" s="210">
        <v>6.7</v>
      </c>
      <c r="CV95" s="210">
        <v>6</v>
      </c>
      <c r="CW95" s="211">
        <f>SUM(CS95:CV95)</f>
        <v>25.33</v>
      </c>
      <c r="CX95" s="210">
        <v>3.9</v>
      </c>
      <c r="CY95" s="210">
        <v>4.3</v>
      </c>
      <c r="CZ95" s="210">
        <v>5.5</v>
      </c>
      <c r="DA95" s="210">
        <v>5.6</v>
      </c>
      <c r="DB95" s="211">
        <f>SUM(CX95:DA95)</f>
        <v>19.299999999999997</v>
      </c>
      <c r="DC95" s="210">
        <v>4.2</v>
      </c>
      <c r="DD95" s="210">
        <v>6</v>
      </c>
      <c r="DE95" s="210">
        <v>6.5</v>
      </c>
      <c r="DF95" s="210">
        <v>6</v>
      </c>
      <c r="DG95" s="212">
        <f>SUM(DC95:DF95)</f>
        <v>22.7</v>
      </c>
      <c r="DH95" s="210">
        <v>4</v>
      </c>
      <c r="DI95" s="210">
        <v>6</v>
      </c>
      <c r="DJ95" s="210">
        <v>6</v>
      </c>
      <c r="DK95" s="210">
        <v>6</v>
      </c>
      <c r="DL95" s="212">
        <f>SUM(DH95:DK95)</f>
        <v>22</v>
      </c>
      <c r="DM95" s="210">
        <v>4.3</v>
      </c>
      <c r="DN95" s="210">
        <v>5.4</v>
      </c>
      <c r="DO95" s="210">
        <v>5.4</v>
      </c>
      <c r="DP95" s="210">
        <v>5.3</v>
      </c>
      <c r="DQ95" s="212">
        <f>SUM(DM95:DP95)</f>
        <v>20.399999999999999</v>
      </c>
      <c r="DR95" s="210">
        <v>4.7</v>
      </c>
      <c r="DS95" s="210">
        <v>6.4</v>
      </c>
      <c r="DT95" s="912">
        <v>6.3</v>
      </c>
      <c r="DU95" s="210">
        <v>6.7</v>
      </c>
      <c r="DV95" s="212">
        <f>SUM(DR95:DU95)</f>
        <v>24.1</v>
      </c>
      <c r="DW95" s="210">
        <v>4.8</v>
      </c>
      <c r="DX95" s="210">
        <v>6.2</v>
      </c>
      <c r="DY95" s="912">
        <v>7.3</v>
      </c>
      <c r="DZ95" s="210">
        <v>7.8</v>
      </c>
      <c r="EA95" s="212">
        <f>SUM(DW95:DZ95)</f>
        <v>26.1</v>
      </c>
      <c r="EB95" s="210">
        <v>5.3</v>
      </c>
      <c r="EC95" s="210">
        <v>7.1</v>
      </c>
      <c r="ED95" s="912">
        <v>6.5</v>
      </c>
      <c r="EE95" s="210">
        <v>5.4</v>
      </c>
      <c r="EF95" s="212">
        <f>SUM(EB95:EE95)</f>
        <v>24.299999999999997</v>
      </c>
      <c r="EG95" s="210">
        <v>4.7</v>
      </c>
      <c r="EH95" s="210">
        <v>4.7</v>
      </c>
      <c r="EI95" s="912">
        <v>5</v>
      </c>
      <c r="EJ95" s="210">
        <v>5</v>
      </c>
      <c r="EK95" s="212">
        <f>SUM(EG95:EJ95)</f>
        <v>19.399999999999999</v>
      </c>
      <c r="EL95" s="210">
        <v>3.5</v>
      </c>
      <c r="EM95" s="210">
        <v>4.4000000000000004</v>
      </c>
      <c r="EN95" s="912">
        <v>4.4000000000000004</v>
      </c>
      <c r="EO95" s="2011">
        <v>4.4000000000000004</v>
      </c>
      <c r="EP95" s="212">
        <f>SUM(EL95:EO95)</f>
        <v>16.700000000000003</v>
      </c>
      <c r="EQ95" s="210"/>
      <c r="ER95" s="1167"/>
      <c r="ES95" s="1167"/>
      <c r="ET95" s="1167"/>
      <c r="EU95" s="212"/>
      <c r="EV95" s="324"/>
      <c r="EW95" s="324"/>
      <c r="EX95" s="324"/>
      <c r="EY95" s="324"/>
      <c r="EZ95" s="323"/>
      <c r="FA95" s="324"/>
      <c r="FB95" s="324"/>
      <c r="FC95" s="324"/>
      <c r="FD95" s="324"/>
      <c r="FE95" s="323"/>
      <c r="FG95" s="873"/>
      <c r="FH95" s="1927"/>
      <c r="FI95" s="1927"/>
      <c r="FJ95" s="776"/>
      <c r="FK95" s="83"/>
      <c r="FL95" s="1346"/>
      <c r="FM95" s="1542">
        <f t="shared" si="421"/>
        <v>0</v>
      </c>
      <c r="FN95" s="1430">
        <f t="shared" si="422"/>
        <v>3.5</v>
      </c>
      <c r="FO95" s="1826"/>
      <c r="FP95" s="1733">
        <f>+FM95/FN95-1</f>
        <v>-1</v>
      </c>
      <c r="FQ95" s="1519" t="e">
        <f>+FM95/FO95-1</f>
        <v>#DIV/0!</v>
      </c>
      <c r="FR95" s="1615"/>
      <c r="FS95" s="1615"/>
      <c r="FT95" s="354"/>
      <c r="FU95" s="354"/>
      <c r="FV95" s="354"/>
      <c r="FW95" s="354"/>
      <c r="FX95" s="354"/>
      <c r="FY95" s="354"/>
      <c r="FZ95" s="873"/>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c r="IU95"/>
      <c r="IV95"/>
      <c r="IW95"/>
      <c r="IX95"/>
    </row>
    <row r="96" spans="1:258" s="847" customFormat="1" x14ac:dyDescent="0.2">
      <c r="A96" s="846" t="s">
        <v>465</v>
      </c>
      <c r="B96" s="1136"/>
      <c r="C96" s="1136"/>
      <c r="D96" s="1136"/>
      <c r="E96" s="1136"/>
      <c r="F96" s="1137"/>
      <c r="G96" s="1136"/>
      <c r="H96" s="1136"/>
      <c r="I96" s="1136"/>
      <c r="J96" s="1136"/>
      <c r="K96" s="1137"/>
      <c r="L96" s="1136"/>
      <c r="M96" s="1136"/>
      <c r="N96" s="1136"/>
      <c r="O96" s="1136"/>
      <c r="P96" s="1137"/>
      <c r="Q96" s="1136"/>
      <c r="R96" s="1136"/>
      <c r="S96" s="1136"/>
      <c r="T96" s="1136"/>
      <c r="U96" s="1137"/>
      <c r="V96" s="1136"/>
      <c r="W96" s="1136"/>
      <c r="X96" s="1136"/>
      <c r="Y96" s="1136"/>
      <c r="Z96" s="1137"/>
      <c r="AA96" s="1136"/>
      <c r="AB96" s="1136"/>
      <c r="AC96" s="1136"/>
      <c r="AD96" s="1136"/>
      <c r="AE96" s="1137"/>
      <c r="AF96" s="1136"/>
      <c r="AG96" s="1136"/>
      <c r="AH96" s="1136"/>
      <c r="AI96" s="1136"/>
      <c r="AJ96" s="1137"/>
      <c r="AK96" s="1136"/>
      <c r="AL96" s="1136"/>
      <c r="AM96" s="1136"/>
      <c r="AN96" s="1136"/>
      <c r="AO96" s="1137"/>
      <c r="AP96" s="1136"/>
      <c r="AQ96" s="1136"/>
      <c r="AR96" s="1136"/>
      <c r="AS96" s="1136"/>
      <c r="AT96" s="1137"/>
      <c r="AU96" s="1136"/>
      <c r="AV96" s="1136"/>
      <c r="AW96" s="1136"/>
      <c r="AX96" s="1136"/>
      <c r="AY96" s="1137"/>
      <c r="AZ96" s="1136"/>
      <c r="BA96" s="1136"/>
      <c r="BB96" s="1136"/>
      <c r="BC96" s="1136"/>
      <c r="BD96" s="1137"/>
      <c r="BE96" s="1136"/>
      <c r="BF96" s="1136"/>
      <c r="BG96" s="1136"/>
      <c r="BH96" s="1136"/>
      <c r="BI96" s="1137"/>
      <c r="BJ96" s="1136"/>
      <c r="BK96" s="1136"/>
      <c r="BL96" s="1136"/>
      <c r="BM96" s="1136"/>
      <c r="BN96" s="1137"/>
      <c r="BO96" s="1136">
        <f t="shared" ref="BO96:CT96" si="441">BO95/BJ95-1</f>
        <v>-0.23529411764705876</v>
      </c>
      <c r="BP96" s="1136">
        <f t="shared" si="441"/>
        <v>-0.14102564102564097</v>
      </c>
      <c r="BQ96" s="1136">
        <f t="shared" si="441"/>
        <v>-0.23456790123456783</v>
      </c>
      <c r="BR96" s="1136">
        <f t="shared" si="441"/>
        <v>-0.17721518987341778</v>
      </c>
      <c r="BS96" s="1137">
        <f t="shared" si="441"/>
        <v>-0.19607843137254899</v>
      </c>
      <c r="BT96" s="1136">
        <f t="shared" si="441"/>
        <v>-5.7692307692307709E-2</v>
      </c>
      <c r="BU96" s="1136">
        <f t="shared" si="441"/>
        <v>0</v>
      </c>
      <c r="BV96" s="1136">
        <f t="shared" si="441"/>
        <v>0.12903225806451601</v>
      </c>
      <c r="BW96" s="1136">
        <f t="shared" si="441"/>
        <v>-0.2153846153846154</v>
      </c>
      <c r="BX96" s="1137">
        <f t="shared" si="441"/>
        <v>-3.6585365853658458E-2</v>
      </c>
      <c r="BY96" s="1136">
        <f t="shared" si="441"/>
        <v>0.18367346938775508</v>
      </c>
      <c r="BZ96" s="1136">
        <f t="shared" si="441"/>
        <v>-0.25373134328358216</v>
      </c>
      <c r="CA96" s="1136">
        <f t="shared" si="441"/>
        <v>-0.27142857142857146</v>
      </c>
      <c r="CB96" s="1136">
        <f t="shared" si="441"/>
        <v>0.11764705882352944</v>
      </c>
      <c r="CC96" s="1137">
        <f t="shared" si="441"/>
        <v>-8.8607594936708889E-2</v>
      </c>
      <c r="CD96" s="1136">
        <f t="shared" si="441"/>
        <v>-8.6206896551724088E-2</v>
      </c>
      <c r="CE96" s="1136">
        <f t="shared" si="441"/>
        <v>0.10000000000000009</v>
      </c>
      <c r="CF96" s="1136">
        <f t="shared" si="441"/>
        <v>3.9215686274509887E-2</v>
      </c>
      <c r="CG96" s="1136">
        <f t="shared" si="441"/>
        <v>-8.7719298245614086E-2</v>
      </c>
      <c r="CH96" s="1137">
        <f t="shared" si="441"/>
        <v>-1.3888888888888951E-2</v>
      </c>
      <c r="CI96" s="1136">
        <f t="shared" si="441"/>
        <v>-3.7735849056603765E-2</v>
      </c>
      <c r="CJ96" s="1136">
        <f t="shared" si="441"/>
        <v>-0.10909090909090902</v>
      </c>
      <c r="CK96" s="1136">
        <f t="shared" si="441"/>
        <v>0</v>
      </c>
      <c r="CL96" s="1136">
        <f t="shared" si="441"/>
        <v>-5.7692307692307709E-2</v>
      </c>
      <c r="CM96" s="1137">
        <f t="shared" si="441"/>
        <v>-5.1643192488262768E-2</v>
      </c>
      <c r="CN96" s="1136">
        <f t="shared" si="441"/>
        <v>0.13725490196078427</v>
      </c>
      <c r="CO96" s="1136">
        <f t="shared" si="441"/>
        <v>0.40816326530612246</v>
      </c>
      <c r="CP96" s="1136">
        <f t="shared" si="441"/>
        <v>0.28301886792452824</v>
      </c>
      <c r="CQ96" s="1136">
        <f t="shared" si="441"/>
        <v>0.3469387755102038</v>
      </c>
      <c r="CR96" s="1137">
        <f t="shared" si="441"/>
        <v>0.29207920792079189</v>
      </c>
      <c r="CS96" s="1136">
        <f t="shared" si="441"/>
        <v>-3.4482758620688614E-3</v>
      </c>
      <c r="CT96" s="1136">
        <f t="shared" si="441"/>
        <v>-7.2463768115943461E-3</v>
      </c>
      <c r="CU96" s="1136">
        <f t="shared" ref="CU96:DZ96" si="442">CU95/CP95-1</f>
        <v>-1.4705882352941124E-2</v>
      </c>
      <c r="CV96" s="1136">
        <f t="shared" si="442"/>
        <v>-9.0909090909090828E-2</v>
      </c>
      <c r="CW96" s="1137">
        <f t="shared" si="442"/>
        <v>-2.9501915708812332E-2</v>
      </c>
      <c r="CX96" s="1136">
        <f t="shared" si="442"/>
        <v>-0.32525951557093435</v>
      </c>
      <c r="CY96" s="1136">
        <f t="shared" si="442"/>
        <v>-0.37226277372262773</v>
      </c>
      <c r="CZ96" s="1136">
        <f t="shared" si="442"/>
        <v>-0.17910447761194037</v>
      </c>
      <c r="DA96" s="1136">
        <f t="shared" si="442"/>
        <v>-6.6666666666666763E-2</v>
      </c>
      <c r="DB96" s="1137">
        <f t="shared" si="442"/>
        <v>-0.23805763916304779</v>
      </c>
      <c r="DC96" s="1136">
        <f t="shared" si="442"/>
        <v>7.6923076923077094E-2</v>
      </c>
      <c r="DD96" s="1136">
        <f t="shared" si="442"/>
        <v>0.39534883720930236</v>
      </c>
      <c r="DE96" s="1136">
        <f t="shared" si="442"/>
        <v>0.18181818181818188</v>
      </c>
      <c r="DF96" s="1136">
        <f t="shared" si="442"/>
        <v>7.1428571428571397E-2</v>
      </c>
      <c r="DG96" s="1137">
        <f t="shared" si="442"/>
        <v>0.17616580310880847</v>
      </c>
      <c r="DH96" s="1136">
        <f t="shared" si="442"/>
        <v>-4.7619047619047672E-2</v>
      </c>
      <c r="DI96" s="1136">
        <f t="shared" si="442"/>
        <v>0</v>
      </c>
      <c r="DJ96" s="1136">
        <f t="shared" si="442"/>
        <v>-7.6923076923076872E-2</v>
      </c>
      <c r="DK96" s="1136">
        <f t="shared" si="442"/>
        <v>0</v>
      </c>
      <c r="DL96" s="1137">
        <f t="shared" si="442"/>
        <v>-3.0837004405286361E-2</v>
      </c>
      <c r="DM96" s="1136">
        <f t="shared" si="442"/>
        <v>7.4999999999999956E-2</v>
      </c>
      <c r="DN96" s="1136">
        <f t="shared" si="442"/>
        <v>-9.9999999999999978E-2</v>
      </c>
      <c r="DO96" s="1136">
        <f t="shared" si="442"/>
        <v>-9.9999999999999978E-2</v>
      </c>
      <c r="DP96" s="1136">
        <f t="shared" si="442"/>
        <v>-0.1166666666666667</v>
      </c>
      <c r="DQ96" s="1137">
        <f t="shared" si="442"/>
        <v>-7.2727272727272751E-2</v>
      </c>
      <c r="DR96" s="1136">
        <f t="shared" si="442"/>
        <v>9.3023255813953654E-2</v>
      </c>
      <c r="DS96" s="1136">
        <f t="shared" si="442"/>
        <v>0.18518518518518512</v>
      </c>
      <c r="DT96" s="1136">
        <f t="shared" si="442"/>
        <v>0.16666666666666652</v>
      </c>
      <c r="DU96" s="1136">
        <f t="shared" si="442"/>
        <v>0.26415094339622658</v>
      </c>
      <c r="DV96" s="1137">
        <f t="shared" si="442"/>
        <v>0.18137254901960809</v>
      </c>
      <c r="DW96" s="1136">
        <f t="shared" si="442"/>
        <v>2.1276595744680771E-2</v>
      </c>
      <c r="DX96" s="1136">
        <f t="shared" si="442"/>
        <v>-3.125E-2</v>
      </c>
      <c r="DY96" s="1136">
        <f t="shared" si="442"/>
        <v>0.15873015873015883</v>
      </c>
      <c r="DZ96" s="1136">
        <f t="shared" si="442"/>
        <v>0.16417910447761197</v>
      </c>
      <c r="EA96" s="1137">
        <f>EA95/DV95-1</f>
        <v>8.2987551867219844E-2</v>
      </c>
      <c r="EB96" s="1136">
        <f>EB95/DW95-1</f>
        <v>0.10416666666666674</v>
      </c>
      <c r="EC96" s="1136">
        <f>EC95/DX95-1</f>
        <v>0.14516129032258052</v>
      </c>
      <c r="ED96" s="1136">
        <f>ED95/DY95-1</f>
        <v>-0.1095890410958904</v>
      </c>
      <c r="EE96" s="1136">
        <f t="shared" ref="EE96:EF96" si="443">EE95/DZ95-1</f>
        <v>-0.3076923076923076</v>
      </c>
      <c r="EF96" s="1137">
        <f t="shared" si="443"/>
        <v>-6.8965517241379448E-2</v>
      </c>
      <c r="EG96" s="1136">
        <f>EG95/EB95-1</f>
        <v>-0.1132075471698113</v>
      </c>
      <c r="EH96" s="1136">
        <f>EH95/EC95-1</f>
        <v>-0.3380281690140845</v>
      </c>
      <c r="EI96" s="1136">
        <f>EI95/ED95-1</f>
        <v>-0.23076923076923073</v>
      </c>
      <c r="EJ96" s="1136">
        <f t="shared" ref="EJ96" si="444">EJ95/EE95-1</f>
        <v>-7.4074074074074181E-2</v>
      </c>
      <c r="EK96" s="1137">
        <f t="shared" ref="EK96" si="445">EK95/EF95-1</f>
        <v>-0.20164609053497939</v>
      </c>
      <c r="EL96" s="1136">
        <f>EL95/EG95-1</f>
        <v>-0.25531914893617025</v>
      </c>
      <c r="EM96" s="1136">
        <f>EM95/EH95-1</f>
        <v>-6.3829787234042534E-2</v>
      </c>
      <c r="EN96" s="1136">
        <f>EN95/EI95-1</f>
        <v>-0.11999999999999988</v>
      </c>
      <c r="EO96" s="1136">
        <f t="shared" ref="EO96:EP96" si="446">EO95/EJ95-1</f>
        <v>-0.11999999999999988</v>
      </c>
      <c r="EP96" s="1137">
        <f t="shared" si="446"/>
        <v>-0.1391752577319586</v>
      </c>
      <c r="EQ96" s="1136"/>
      <c r="ER96" s="1136"/>
      <c r="ES96" s="1136"/>
      <c r="ET96" s="1136"/>
      <c r="EU96" s="1137"/>
      <c r="EV96" s="687"/>
      <c r="EW96" s="687"/>
      <c r="EX96" s="687"/>
      <c r="EY96" s="687"/>
      <c r="EZ96" s="1137"/>
      <c r="FA96" s="687"/>
      <c r="FB96" s="687"/>
      <c r="FC96" s="687"/>
      <c r="FD96" s="687"/>
      <c r="FE96" s="1137"/>
      <c r="FG96" s="1138"/>
      <c r="FH96" s="784"/>
      <c r="FI96" s="784"/>
      <c r="FJ96" s="784"/>
      <c r="FL96" s="1350"/>
      <c r="FM96" s="1136">
        <f t="shared" si="421"/>
        <v>0</v>
      </c>
      <c r="FN96" s="1433">
        <f t="shared" si="422"/>
        <v>-0.25531914893617025</v>
      </c>
      <c r="FO96" s="1825"/>
      <c r="FP96" s="1752"/>
      <c r="FQ96" s="1503">
        <f>+(FM96-FO96)*10000</f>
        <v>0</v>
      </c>
      <c r="FR96" s="1615"/>
      <c r="FS96" s="1615"/>
      <c r="FT96" s="1139"/>
      <c r="FU96" s="1139"/>
      <c r="FV96" s="1139"/>
      <c r="FW96" s="1139"/>
      <c r="FX96" s="1139"/>
      <c r="FY96" s="1139"/>
      <c r="FZ96" s="1138"/>
      <c r="GA96"/>
      <c r="GB96"/>
      <c r="GC96"/>
      <c r="GD96"/>
      <c r="GE96"/>
      <c r="GF96"/>
      <c r="GG96" s="1140"/>
      <c r="GH96" s="1140"/>
      <c r="GI96" s="1140"/>
      <c r="GJ96" s="1140"/>
      <c r="GK96" s="1140"/>
      <c r="GL96" s="1140"/>
      <c r="GM96" s="1140"/>
      <c r="GN96" s="1140"/>
      <c r="GO96" s="1140"/>
      <c r="GP96" s="1140"/>
      <c r="GQ96" s="1140"/>
      <c r="GR96" s="1140"/>
      <c r="GS96" s="1140"/>
      <c r="GT96" s="1140"/>
      <c r="GU96" s="1140"/>
      <c r="GV96" s="1140"/>
      <c r="GW96" s="1140"/>
      <c r="GX96" s="1140"/>
      <c r="GY96" s="1140"/>
      <c r="GZ96" s="1140"/>
      <c r="HA96" s="1140"/>
      <c r="HB96" s="1140"/>
      <c r="HC96" s="1140"/>
      <c r="HD96" s="1140"/>
      <c r="HE96" s="1140"/>
      <c r="HF96" s="1140"/>
      <c r="HG96" s="1140"/>
      <c r="HH96" s="1140"/>
      <c r="HI96" s="1140"/>
      <c r="HJ96" s="1140"/>
      <c r="HK96" s="1140"/>
      <c r="HL96" s="1140"/>
      <c r="HM96" s="1140"/>
      <c r="HN96" s="1140"/>
      <c r="HO96" s="1140"/>
      <c r="HP96" s="1140"/>
      <c r="HQ96" s="1140"/>
      <c r="HR96" s="1140"/>
      <c r="HS96" s="1140"/>
      <c r="HT96" s="1140"/>
      <c r="HU96" s="1140"/>
      <c r="HV96" s="1140"/>
      <c r="HW96" s="1140"/>
      <c r="HX96" s="1140"/>
      <c r="HY96" s="1140"/>
      <c r="HZ96" s="1140"/>
      <c r="IA96" s="1140"/>
      <c r="IB96" s="1140"/>
      <c r="IC96" s="1140"/>
      <c r="ID96" s="1140"/>
      <c r="IE96" s="1140"/>
      <c r="IF96" s="1140"/>
      <c r="IG96" s="1140"/>
      <c r="IH96" s="1140"/>
      <c r="II96" s="1140"/>
      <c r="IJ96" s="1140"/>
      <c r="IK96" s="1140"/>
      <c r="IL96" s="1140"/>
      <c r="IM96" s="1140"/>
      <c r="IN96" s="1140"/>
      <c r="IO96" s="1140"/>
      <c r="IP96" s="1140"/>
      <c r="IQ96" s="1140"/>
      <c r="IR96" s="1140"/>
      <c r="IS96" s="1140"/>
      <c r="IT96" s="1140"/>
      <c r="IU96" s="1140"/>
      <c r="IV96" s="1140"/>
      <c r="IW96" s="1140"/>
      <c r="IX96" s="1140"/>
    </row>
    <row r="97" spans="1:258" s="44" customFormat="1" x14ac:dyDescent="0.2">
      <c r="A97" s="1157" t="s">
        <v>662</v>
      </c>
      <c r="B97" s="1158"/>
      <c r="C97" s="1158"/>
      <c r="D97" s="1158"/>
      <c r="E97" s="1158"/>
      <c r="F97" s="1159"/>
      <c r="G97" s="1158"/>
      <c r="H97" s="1158"/>
      <c r="I97" s="1158"/>
      <c r="J97" s="1158"/>
      <c r="K97" s="1159"/>
      <c r="L97" s="1158"/>
      <c r="M97" s="1158"/>
      <c r="N97" s="1158"/>
      <c r="O97" s="1158"/>
      <c r="P97" s="1159"/>
      <c r="Q97" s="1158"/>
      <c r="R97" s="1158"/>
      <c r="S97" s="1158"/>
      <c r="T97" s="1158"/>
      <c r="U97" s="1159"/>
      <c r="V97" s="1158"/>
      <c r="W97" s="1158"/>
      <c r="X97" s="1158"/>
      <c r="Y97" s="1158"/>
      <c r="Z97" s="1159"/>
      <c r="AA97" s="1158"/>
      <c r="AB97" s="1158"/>
      <c r="AC97" s="1158"/>
      <c r="AD97" s="1158"/>
      <c r="AE97" s="1159"/>
      <c r="AF97" s="1158"/>
      <c r="AG97" s="1158"/>
      <c r="AH97" s="1158"/>
      <c r="AI97" s="1158"/>
      <c r="AJ97" s="1159"/>
      <c r="AK97" s="1158"/>
      <c r="AL97" s="1158"/>
      <c r="AM97" s="1158"/>
      <c r="AN97" s="1158"/>
      <c r="AO97" s="1159"/>
      <c r="AP97" s="1158"/>
      <c r="AQ97" s="1158"/>
      <c r="AR97" s="1158"/>
      <c r="AS97" s="1158"/>
      <c r="AT97" s="1159"/>
      <c r="AU97" s="1158"/>
      <c r="AV97" s="1158"/>
      <c r="AW97" s="1158"/>
      <c r="AX97" s="1158"/>
      <c r="AY97" s="1159"/>
      <c r="AZ97" s="1158"/>
      <c r="BA97" s="1158"/>
      <c r="BB97" s="1158"/>
      <c r="BC97" s="1158"/>
      <c r="BD97" s="1159"/>
      <c r="BE97" s="1158"/>
      <c r="BF97" s="1158"/>
      <c r="BG97" s="1158"/>
      <c r="BH97" s="1158"/>
      <c r="BI97" s="1159"/>
      <c r="BJ97" s="1158">
        <f>SUM(BJ93,BJ95)</f>
        <v>41.9</v>
      </c>
      <c r="BK97" s="1158">
        <f t="shared" ref="BK97:DV97" si="447">SUM(BK93,BK95)</f>
        <v>41.699999999999996</v>
      </c>
      <c r="BL97" s="1158">
        <f t="shared" si="447"/>
        <v>41.4</v>
      </c>
      <c r="BM97" s="1158">
        <f t="shared" si="447"/>
        <v>42.8</v>
      </c>
      <c r="BN97" s="1159">
        <f t="shared" si="447"/>
        <v>167.79999999999998</v>
      </c>
      <c r="BO97" s="1158">
        <f t="shared" si="447"/>
        <v>38.1</v>
      </c>
      <c r="BP97" s="1158">
        <f t="shared" si="447"/>
        <v>39.1</v>
      </c>
      <c r="BQ97" s="1158">
        <f t="shared" si="447"/>
        <v>40.300000000000004</v>
      </c>
      <c r="BR97" s="1158">
        <f t="shared" si="447"/>
        <v>40.5</v>
      </c>
      <c r="BS97" s="1159">
        <f t="shared" si="447"/>
        <v>158</v>
      </c>
      <c r="BT97" s="1158">
        <f t="shared" si="447"/>
        <v>37.299999999999997</v>
      </c>
      <c r="BU97" s="1158">
        <f t="shared" si="447"/>
        <v>40.6</v>
      </c>
      <c r="BV97" s="1158">
        <f t="shared" si="447"/>
        <v>39.6</v>
      </c>
      <c r="BW97" s="1158">
        <f t="shared" si="447"/>
        <v>40.5</v>
      </c>
      <c r="BX97" s="1159">
        <f t="shared" si="447"/>
        <v>158</v>
      </c>
      <c r="BY97" s="1158">
        <f t="shared" si="447"/>
        <v>39.4</v>
      </c>
      <c r="BZ97" s="1158">
        <f t="shared" si="447"/>
        <v>39.6</v>
      </c>
      <c r="CA97" s="1158">
        <f t="shared" si="447"/>
        <v>39.9</v>
      </c>
      <c r="CB97" s="1158">
        <f t="shared" si="447"/>
        <v>43.7</v>
      </c>
      <c r="CC97" s="1159">
        <f t="shared" si="447"/>
        <v>162.6</v>
      </c>
      <c r="CD97" s="1158">
        <f t="shared" si="447"/>
        <v>42.4</v>
      </c>
      <c r="CE97" s="1158">
        <f t="shared" si="447"/>
        <v>43.1</v>
      </c>
      <c r="CF97" s="1158">
        <f t="shared" si="447"/>
        <v>42.3</v>
      </c>
      <c r="CG97" s="1158">
        <f t="shared" si="447"/>
        <v>43.300000000000004</v>
      </c>
      <c r="CH97" s="1159">
        <f t="shared" si="447"/>
        <v>171.10000000000002</v>
      </c>
      <c r="CI97" s="1158">
        <f t="shared" si="447"/>
        <v>45.5</v>
      </c>
      <c r="CJ97" s="1158">
        <f t="shared" si="447"/>
        <v>44.3</v>
      </c>
      <c r="CK97" s="1158">
        <f t="shared" si="447"/>
        <v>45.3</v>
      </c>
      <c r="CL97" s="1158">
        <f t="shared" si="447"/>
        <v>44.4</v>
      </c>
      <c r="CM97" s="1159">
        <f t="shared" si="447"/>
        <v>179.5</v>
      </c>
      <c r="CN97" s="1158">
        <f t="shared" si="447"/>
        <v>45</v>
      </c>
      <c r="CO97" s="1158">
        <f t="shared" si="447"/>
        <v>45.9</v>
      </c>
      <c r="CP97" s="1158">
        <f t="shared" si="447"/>
        <v>45.599999999999994</v>
      </c>
      <c r="CQ97" s="1158">
        <f t="shared" si="447"/>
        <v>44.5</v>
      </c>
      <c r="CR97" s="1159">
        <f t="shared" si="447"/>
        <v>181</v>
      </c>
      <c r="CS97" s="1158">
        <f t="shared" si="447"/>
        <v>42.480000000000004</v>
      </c>
      <c r="CT97" s="1158">
        <f t="shared" si="447"/>
        <v>43.35</v>
      </c>
      <c r="CU97" s="1158">
        <f t="shared" si="447"/>
        <v>43.900000000000006</v>
      </c>
      <c r="CV97" s="1158">
        <f t="shared" si="447"/>
        <v>44.4</v>
      </c>
      <c r="CW97" s="1159">
        <f t="shared" si="447"/>
        <v>174.13</v>
      </c>
      <c r="CX97" s="1158">
        <f t="shared" si="447"/>
        <v>40.9</v>
      </c>
      <c r="CY97" s="1158">
        <f t="shared" si="447"/>
        <v>36.9</v>
      </c>
      <c r="CZ97" s="1158">
        <f t="shared" si="447"/>
        <v>36.9</v>
      </c>
      <c r="DA97" s="1158">
        <f t="shared" si="447"/>
        <v>34.4</v>
      </c>
      <c r="DB97" s="1159">
        <f t="shared" si="447"/>
        <v>149.10000000000002</v>
      </c>
      <c r="DC97" s="1158">
        <f t="shared" si="447"/>
        <v>34</v>
      </c>
      <c r="DD97" s="1158">
        <f t="shared" si="447"/>
        <v>36.5</v>
      </c>
      <c r="DE97" s="1158">
        <f t="shared" si="447"/>
        <v>36.700000000000003</v>
      </c>
      <c r="DF97" s="1158">
        <f t="shared" si="447"/>
        <v>37.1</v>
      </c>
      <c r="DG97" s="851">
        <f t="shared" si="447"/>
        <v>144.29999999999998</v>
      </c>
      <c r="DH97" s="1158">
        <f t="shared" si="447"/>
        <v>32.1</v>
      </c>
      <c r="DI97" s="1158">
        <f t="shared" si="447"/>
        <v>32.799999999999997</v>
      </c>
      <c r="DJ97" s="1158">
        <f t="shared" si="447"/>
        <v>34.5</v>
      </c>
      <c r="DK97" s="1158">
        <f t="shared" si="447"/>
        <v>31.4</v>
      </c>
      <c r="DL97" s="851">
        <f t="shared" si="447"/>
        <v>130.80000000000001</v>
      </c>
      <c r="DM97" s="1158">
        <f t="shared" si="447"/>
        <v>24.5</v>
      </c>
      <c r="DN97" s="1158">
        <f t="shared" si="447"/>
        <v>22.299999999999997</v>
      </c>
      <c r="DO97" s="1158">
        <f t="shared" si="447"/>
        <v>25.299999999999997</v>
      </c>
      <c r="DP97" s="1158">
        <f t="shared" si="447"/>
        <v>24.6</v>
      </c>
      <c r="DQ97" s="851">
        <f t="shared" si="447"/>
        <v>96.699999999999989</v>
      </c>
      <c r="DR97" s="1158">
        <f t="shared" si="447"/>
        <v>20.9</v>
      </c>
      <c r="DS97" s="1158">
        <f t="shared" si="447"/>
        <v>23.4</v>
      </c>
      <c r="DT97" s="1160">
        <f t="shared" si="447"/>
        <v>23.6</v>
      </c>
      <c r="DU97" s="1158">
        <f t="shared" si="447"/>
        <v>22.3</v>
      </c>
      <c r="DV97" s="851">
        <f t="shared" si="447"/>
        <v>90.199999999999989</v>
      </c>
      <c r="DW97" s="1158">
        <f t="shared" ref="DW97:EC97" si="448">SUM(DW93,DW95)</f>
        <v>22.5</v>
      </c>
      <c r="DX97" s="1158">
        <f t="shared" si="448"/>
        <v>27.2</v>
      </c>
      <c r="DY97" s="1160">
        <f t="shared" si="448"/>
        <v>27.400000000000002</v>
      </c>
      <c r="DZ97" s="1158">
        <f t="shared" si="448"/>
        <v>26.8</v>
      </c>
      <c r="EA97" s="851">
        <f>SUM(DW97:DZ97)</f>
        <v>103.9</v>
      </c>
      <c r="EB97" s="1158">
        <f t="shared" si="448"/>
        <v>22.900000000000002</v>
      </c>
      <c r="EC97" s="1158">
        <f t="shared" si="448"/>
        <v>25.299999999999997</v>
      </c>
      <c r="ED97" s="1160">
        <f>SUM(ED93,ED95)</f>
        <v>23.3</v>
      </c>
      <c r="EE97" s="1158">
        <f>SUM(EE93,EE95)</f>
        <v>19</v>
      </c>
      <c r="EF97" s="851">
        <f>SUM(EB97:EE97)</f>
        <v>90.5</v>
      </c>
      <c r="EG97" s="1158">
        <f>SUM(EG93,EG95)</f>
        <v>17.100000000000001</v>
      </c>
      <c r="EH97" s="1158">
        <f>SUM(EH93,EH95)</f>
        <v>16.2</v>
      </c>
      <c r="EI97" s="1160">
        <f>SUM(EI93,EI95)</f>
        <v>18.2</v>
      </c>
      <c r="EJ97" s="1158">
        <f>SUM(EJ93,EJ95)</f>
        <v>19</v>
      </c>
      <c r="EK97" s="851">
        <f>SUM(EG97:EJ97)</f>
        <v>70.5</v>
      </c>
      <c r="EL97" s="1158">
        <f>SUM(EL93,EL95)</f>
        <v>14.5</v>
      </c>
      <c r="EM97" s="1158">
        <f>SUM(EM93,EM95)</f>
        <v>15.4</v>
      </c>
      <c r="EN97" s="1160">
        <f>SUM(EN93,EN95)</f>
        <v>16.100000000000001</v>
      </c>
      <c r="EO97" s="1158">
        <f>SUM(EO93,EO95)</f>
        <v>15.1</v>
      </c>
      <c r="EP97" s="851">
        <f>SUM(EL97:EO97)</f>
        <v>61.1</v>
      </c>
      <c r="EQ97" s="2030">
        <v>12.3</v>
      </c>
      <c r="ER97" s="2030">
        <f t="shared" ref="ER97:ET97" si="449">+ER91-ER99</f>
        <v>12.301711442786072</v>
      </c>
      <c r="ES97" s="2030">
        <f t="shared" si="449"/>
        <v>13.849870646766171</v>
      </c>
      <c r="ET97" s="2030">
        <f t="shared" si="449"/>
        <v>15.882388059701494</v>
      </c>
      <c r="EU97" s="1933">
        <f>SUM(EQ97:ET97)</f>
        <v>54.333970149253744</v>
      </c>
      <c r="EV97" s="1933">
        <f t="shared" ref="EV97:EY97" si="450">SUM(EV93,EV95)</f>
        <v>0</v>
      </c>
      <c r="EW97" s="1933">
        <f t="shared" si="450"/>
        <v>0</v>
      </c>
      <c r="EX97" s="1933">
        <f t="shared" si="450"/>
        <v>0</v>
      </c>
      <c r="EY97" s="1933">
        <f t="shared" si="450"/>
        <v>0</v>
      </c>
      <c r="EZ97" s="1933">
        <f t="shared" ref="EZ97" si="451">+EZ91-EZ99</f>
        <v>52.887931940298515</v>
      </c>
      <c r="FA97" s="1933">
        <v>0</v>
      </c>
      <c r="FB97" s="1933">
        <v>0</v>
      </c>
      <c r="FC97" s="1933">
        <v>0</v>
      </c>
      <c r="FD97" s="1933">
        <v>0</v>
      </c>
      <c r="FE97" s="1933">
        <f t="shared" ref="FE97" si="452">+FE91-FE99</f>
        <v>50.674656023880601</v>
      </c>
      <c r="FG97" s="873"/>
      <c r="FH97" s="1915"/>
      <c r="FI97" s="776"/>
      <c r="FJ97" s="776"/>
      <c r="FK97" s="83"/>
      <c r="FL97" s="1346"/>
      <c r="FM97" s="1192">
        <f t="shared" si="421"/>
        <v>12.3</v>
      </c>
      <c r="FN97" s="1434">
        <f t="shared" si="422"/>
        <v>14.5</v>
      </c>
      <c r="FO97" s="1827">
        <v>13.225714285714286</v>
      </c>
      <c r="FP97" s="1733">
        <f>+FM97/FN97-1</f>
        <v>-0.15172413793103445</v>
      </c>
      <c r="FQ97" s="1519">
        <f>+FM97/FO97-1</f>
        <v>-6.9993519118600078E-2</v>
      </c>
      <c r="FR97" s="1614"/>
      <c r="FS97" s="1614"/>
      <c r="FT97" s="354"/>
      <c r="FU97" s="354"/>
      <c r="FV97" s="354"/>
      <c r="FW97" s="354"/>
      <c r="FX97" s="354"/>
      <c r="FY97" s="354"/>
      <c r="FZ97" s="873"/>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c r="IW97"/>
      <c r="IX97"/>
    </row>
    <row r="98" spans="1:258" s="847" customFormat="1" x14ac:dyDescent="0.2">
      <c r="A98" s="1151" t="s">
        <v>465</v>
      </c>
      <c r="B98" s="653"/>
      <c r="C98" s="653"/>
      <c r="D98" s="653"/>
      <c r="E98" s="653"/>
      <c r="F98" s="654"/>
      <c r="G98" s="653"/>
      <c r="H98" s="653"/>
      <c r="I98" s="653"/>
      <c r="J98" s="653"/>
      <c r="K98" s="654"/>
      <c r="L98" s="653"/>
      <c r="M98" s="653"/>
      <c r="N98" s="653"/>
      <c r="O98" s="653"/>
      <c r="P98" s="654"/>
      <c r="Q98" s="653"/>
      <c r="R98" s="653"/>
      <c r="S98" s="653"/>
      <c r="T98" s="653"/>
      <c r="U98" s="654"/>
      <c r="V98" s="653"/>
      <c r="W98" s="653"/>
      <c r="X98" s="653"/>
      <c r="Y98" s="653"/>
      <c r="Z98" s="654"/>
      <c r="AA98" s="653"/>
      <c r="AB98" s="653"/>
      <c r="AC98" s="653"/>
      <c r="AD98" s="653"/>
      <c r="AE98" s="654"/>
      <c r="AF98" s="653"/>
      <c r="AG98" s="653"/>
      <c r="AH98" s="653"/>
      <c r="AI98" s="653"/>
      <c r="AJ98" s="654"/>
      <c r="AK98" s="653"/>
      <c r="AL98" s="653"/>
      <c r="AM98" s="653"/>
      <c r="AN98" s="653"/>
      <c r="AO98" s="654"/>
      <c r="AP98" s="653"/>
      <c r="AQ98" s="653"/>
      <c r="AR98" s="653"/>
      <c r="AS98" s="653"/>
      <c r="AT98" s="654"/>
      <c r="AU98" s="653"/>
      <c r="AV98" s="653"/>
      <c r="AW98" s="653"/>
      <c r="AX98" s="653"/>
      <c r="AY98" s="654"/>
      <c r="AZ98" s="653"/>
      <c r="BA98" s="653"/>
      <c r="BB98" s="653"/>
      <c r="BC98" s="653"/>
      <c r="BD98" s="654"/>
      <c r="BE98" s="653"/>
      <c r="BF98" s="653"/>
      <c r="BG98" s="653"/>
      <c r="BH98" s="653"/>
      <c r="BI98" s="654"/>
      <c r="BJ98" s="653"/>
      <c r="BK98" s="653"/>
      <c r="BL98" s="653"/>
      <c r="BM98" s="653"/>
      <c r="BN98" s="654"/>
      <c r="BO98" s="653"/>
      <c r="BP98" s="653"/>
      <c r="BQ98" s="653"/>
      <c r="BR98" s="653"/>
      <c r="BS98" s="654"/>
      <c r="BT98" s="1136">
        <f t="shared" ref="BT98:CY98" si="453">BT97/BO97-1</f>
        <v>-2.09973753280841E-2</v>
      </c>
      <c r="BU98" s="1136">
        <f t="shared" si="453"/>
        <v>3.8363171355498826E-2</v>
      </c>
      <c r="BV98" s="1136">
        <f t="shared" si="453"/>
        <v>-1.7369727047146455E-2</v>
      </c>
      <c r="BW98" s="1136">
        <f t="shared" si="453"/>
        <v>0</v>
      </c>
      <c r="BX98" s="1137">
        <f t="shared" si="453"/>
        <v>0</v>
      </c>
      <c r="BY98" s="1136">
        <f t="shared" si="453"/>
        <v>5.6300268096514783E-2</v>
      </c>
      <c r="BZ98" s="1136">
        <f t="shared" si="453"/>
        <v>-2.4630541871921152E-2</v>
      </c>
      <c r="CA98" s="1136">
        <f t="shared" si="453"/>
        <v>7.575757575757569E-3</v>
      </c>
      <c r="CB98" s="1136">
        <f t="shared" si="453"/>
        <v>7.9012345679012386E-2</v>
      </c>
      <c r="CC98" s="1137">
        <f t="shared" si="453"/>
        <v>2.9113924050632844E-2</v>
      </c>
      <c r="CD98" s="1136">
        <f t="shared" si="453"/>
        <v>7.6142131979695327E-2</v>
      </c>
      <c r="CE98" s="1136">
        <f t="shared" si="453"/>
        <v>8.8383838383838453E-2</v>
      </c>
      <c r="CF98" s="1136">
        <f t="shared" si="453"/>
        <v>6.0150375939849621E-2</v>
      </c>
      <c r="CG98" s="1136">
        <f t="shared" si="453"/>
        <v>-9.1533180778031742E-3</v>
      </c>
      <c r="CH98" s="1137">
        <f t="shared" si="453"/>
        <v>5.2275522755227621E-2</v>
      </c>
      <c r="CI98" s="1136">
        <f t="shared" si="453"/>
        <v>7.3113207547169878E-2</v>
      </c>
      <c r="CJ98" s="1136">
        <f t="shared" si="453"/>
        <v>2.7842227378190199E-2</v>
      </c>
      <c r="CK98" s="1136">
        <f t="shared" si="453"/>
        <v>7.0921985815602939E-2</v>
      </c>
      <c r="CL98" s="1136">
        <f t="shared" si="453"/>
        <v>2.5404157043879882E-2</v>
      </c>
      <c r="CM98" s="1137">
        <f t="shared" si="453"/>
        <v>4.9094097019286798E-2</v>
      </c>
      <c r="CN98" s="1136">
        <f t="shared" si="453"/>
        <v>-1.098901098901095E-2</v>
      </c>
      <c r="CO98" s="1136">
        <f t="shared" si="453"/>
        <v>3.6117381489842115E-2</v>
      </c>
      <c r="CP98" s="1136">
        <f t="shared" si="453"/>
        <v>6.6225165562914245E-3</v>
      </c>
      <c r="CQ98" s="1136">
        <f t="shared" si="453"/>
        <v>2.2522522522523403E-3</v>
      </c>
      <c r="CR98" s="1137">
        <f t="shared" si="453"/>
        <v>8.3565459610028814E-3</v>
      </c>
      <c r="CS98" s="1136">
        <f t="shared" si="453"/>
        <v>-5.5999999999999939E-2</v>
      </c>
      <c r="CT98" s="1136">
        <f t="shared" si="453"/>
        <v>-5.5555555555555469E-2</v>
      </c>
      <c r="CU98" s="1136">
        <f t="shared" si="453"/>
        <v>-3.7280701754385692E-2</v>
      </c>
      <c r="CV98" s="1136">
        <f t="shared" si="453"/>
        <v>-2.2471910112359383E-3</v>
      </c>
      <c r="CW98" s="1137">
        <f t="shared" si="453"/>
        <v>-3.7955801104972431E-2</v>
      </c>
      <c r="CX98" s="1136">
        <f t="shared" si="453"/>
        <v>-3.7193973634651711E-2</v>
      </c>
      <c r="CY98" s="1136">
        <f t="shared" si="453"/>
        <v>-0.1487889273356402</v>
      </c>
      <c r="CZ98" s="1136">
        <f t="shared" ref="CZ98:ED98" si="454">CZ97/CU97-1</f>
        <v>-0.1594533029612758</v>
      </c>
      <c r="DA98" s="1136">
        <f t="shared" si="454"/>
        <v>-0.22522522522522526</v>
      </c>
      <c r="DB98" s="1137">
        <f t="shared" si="454"/>
        <v>-0.14374318038247269</v>
      </c>
      <c r="DC98" s="1136">
        <f t="shared" si="454"/>
        <v>-0.16870415647921755</v>
      </c>
      <c r="DD98" s="1136">
        <f t="shared" si="454"/>
        <v>-1.0840108401083959E-2</v>
      </c>
      <c r="DE98" s="1136">
        <f t="shared" si="454"/>
        <v>-5.4200542005419239E-3</v>
      </c>
      <c r="DF98" s="1136">
        <f t="shared" si="454"/>
        <v>7.8488372093023395E-2</v>
      </c>
      <c r="DG98" s="1137">
        <f t="shared" si="454"/>
        <v>-3.2193158953722545E-2</v>
      </c>
      <c r="DH98" s="1136">
        <f t="shared" si="454"/>
        <v>-5.5882352941176383E-2</v>
      </c>
      <c r="DI98" s="1136">
        <f t="shared" si="454"/>
        <v>-0.10136986301369866</v>
      </c>
      <c r="DJ98" s="1136">
        <f t="shared" si="454"/>
        <v>-5.9945504087193568E-2</v>
      </c>
      <c r="DK98" s="1136">
        <f t="shared" si="454"/>
        <v>-0.15363881401617263</v>
      </c>
      <c r="DL98" s="1137">
        <f t="shared" si="454"/>
        <v>-9.3555093555093394E-2</v>
      </c>
      <c r="DM98" s="1136">
        <f t="shared" si="454"/>
        <v>-0.23676012461059193</v>
      </c>
      <c r="DN98" s="1136">
        <f t="shared" si="454"/>
        <v>-0.32012195121951226</v>
      </c>
      <c r="DO98" s="1136">
        <f t="shared" si="454"/>
        <v>-0.26666666666666672</v>
      </c>
      <c r="DP98" s="1136">
        <f t="shared" si="454"/>
        <v>-0.21656050955414008</v>
      </c>
      <c r="DQ98" s="1137">
        <f t="shared" si="454"/>
        <v>-0.26070336391437321</v>
      </c>
      <c r="DR98" s="1136">
        <f t="shared" si="454"/>
        <v>-0.14693877551020418</v>
      </c>
      <c r="DS98" s="1136">
        <f t="shared" si="454"/>
        <v>4.9327354260089828E-2</v>
      </c>
      <c r="DT98" s="1136">
        <f t="shared" si="454"/>
        <v>-6.7193675889327897E-2</v>
      </c>
      <c r="DU98" s="1136">
        <f t="shared" si="454"/>
        <v>-9.3495934959349603E-2</v>
      </c>
      <c r="DV98" s="1137">
        <f t="shared" si="454"/>
        <v>-6.7218200620475677E-2</v>
      </c>
      <c r="DW98" s="1136">
        <f t="shared" si="454"/>
        <v>7.6555023923445153E-2</v>
      </c>
      <c r="DX98" s="1136">
        <f t="shared" si="454"/>
        <v>0.16239316239316248</v>
      </c>
      <c r="DY98" s="1136">
        <f t="shared" si="454"/>
        <v>0.16101694915254239</v>
      </c>
      <c r="DZ98" s="1136">
        <f t="shared" si="454"/>
        <v>0.20179372197309409</v>
      </c>
      <c r="EA98" s="1137">
        <f t="shared" si="454"/>
        <v>0.15188470066518867</v>
      </c>
      <c r="EB98" s="1136">
        <f t="shared" si="454"/>
        <v>1.7777777777777892E-2</v>
      </c>
      <c r="EC98" s="1136">
        <f t="shared" si="454"/>
        <v>-6.9852941176470673E-2</v>
      </c>
      <c r="ED98" s="1136">
        <f t="shared" si="454"/>
        <v>-0.14963503649635046</v>
      </c>
      <c r="EE98" s="1136">
        <f t="shared" ref="EE98:EI98" si="455">EE97/DZ97-1</f>
        <v>-0.29104477611940305</v>
      </c>
      <c r="EF98" s="1137">
        <f t="shared" si="455"/>
        <v>-0.12897016361886438</v>
      </c>
      <c r="EG98" s="1136">
        <f t="shared" si="455"/>
        <v>-0.25327510917030571</v>
      </c>
      <c r="EH98" s="1136">
        <f t="shared" si="455"/>
        <v>-0.35968379446640308</v>
      </c>
      <c r="EI98" s="1136">
        <f t="shared" si="455"/>
        <v>-0.21888412017167391</v>
      </c>
      <c r="EJ98" s="1136">
        <f t="shared" ref="EJ98" si="456">EJ97/EE97-1</f>
        <v>0</v>
      </c>
      <c r="EK98" s="1137">
        <f t="shared" ref="EK98:EQ98" si="457">EK97/EF97-1</f>
        <v>-0.22099447513812154</v>
      </c>
      <c r="EL98" s="1136">
        <f t="shared" si="457"/>
        <v>-0.1520467836257311</v>
      </c>
      <c r="EM98" s="1136">
        <f t="shared" si="457"/>
        <v>-4.9382716049382602E-2</v>
      </c>
      <c r="EN98" s="1136">
        <f t="shared" si="457"/>
        <v>-0.11538461538461531</v>
      </c>
      <c r="EO98" s="1136">
        <f t="shared" si="457"/>
        <v>-0.20526315789473681</v>
      </c>
      <c r="EP98" s="1137">
        <f t="shared" si="457"/>
        <v>-0.1333333333333333</v>
      </c>
      <c r="EQ98" s="1136">
        <f t="shared" si="457"/>
        <v>-0.15172413793103445</v>
      </c>
      <c r="ER98" s="1161">
        <f t="shared" ref="ER98" si="458">ER97/EM97-1</f>
        <v>-0.20118756865025511</v>
      </c>
      <c r="ES98" s="1161">
        <f t="shared" ref="ES98:EU98" si="459">ES97/EN97-1</f>
        <v>-0.13975958715738079</v>
      </c>
      <c r="ET98" s="1161">
        <f t="shared" si="459"/>
        <v>5.1813778788178499E-2</v>
      </c>
      <c r="EU98" s="1137">
        <f t="shared" si="459"/>
        <v>-0.11073698610059335</v>
      </c>
      <c r="EV98" s="687"/>
      <c r="EW98" s="687"/>
      <c r="EX98" s="687"/>
      <c r="EY98" s="687"/>
      <c r="EZ98" s="1137">
        <f>EZ97/EU97-1</f>
        <v>-2.6613888235720862E-2</v>
      </c>
      <c r="FA98" s="687"/>
      <c r="FB98" s="687"/>
      <c r="FC98" s="687"/>
      <c r="FD98" s="687"/>
      <c r="FE98" s="1137">
        <f>FE97/EZ97-1</f>
        <v>-4.1848411068829972E-2</v>
      </c>
      <c r="FG98" s="481"/>
      <c r="FH98" s="1927"/>
      <c r="FI98" s="1927"/>
      <c r="FJ98" s="784"/>
      <c r="FL98" s="1350"/>
      <c r="FM98" s="1161">
        <f t="shared" si="421"/>
        <v>-0.15172413793103445</v>
      </c>
      <c r="FN98" s="1433">
        <f t="shared" si="422"/>
        <v>-0.1520467836257311</v>
      </c>
      <c r="FO98" s="1828">
        <v>-8.7881773399014707E-2</v>
      </c>
      <c r="FP98" s="1752"/>
      <c r="FQ98" s="1503">
        <f>+(FM98-FO98)*10000</f>
        <v>-638.42364532019747</v>
      </c>
      <c r="FR98" s="1614"/>
      <c r="FS98" s="1615"/>
      <c r="FT98" s="711"/>
      <c r="FU98" s="711"/>
      <c r="FV98" s="711"/>
      <c r="FW98" s="711"/>
      <c r="FX98" s="711"/>
      <c r="FY98" s="711"/>
      <c r="FZ98" s="481"/>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c r="IW98"/>
      <c r="IX98"/>
    </row>
    <row r="99" spans="1:258" s="880" customFormat="1" x14ac:dyDescent="0.2">
      <c r="A99" s="874" t="s">
        <v>607</v>
      </c>
      <c r="B99" s="875"/>
      <c r="C99" s="875"/>
      <c r="D99" s="875"/>
      <c r="E99" s="875"/>
      <c r="F99" s="876"/>
      <c r="G99" s="875"/>
      <c r="H99" s="875"/>
      <c r="I99" s="875"/>
      <c r="J99" s="875"/>
      <c r="K99" s="876"/>
      <c r="L99" s="875"/>
      <c r="M99" s="875"/>
      <c r="N99" s="875"/>
      <c r="O99" s="875"/>
      <c r="P99" s="876"/>
      <c r="Q99" s="875"/>
      <c r="R99" s="875"/>
      <c r="S99" s="875"/>
      <c r="T99" s="875"/>
      <c r="U99" s="876"/>
      <c r="V99" s="875"/>
      <c r="W99" s="875"/>
      <c r="X99" s="875"/>
      <c r="Y99" s="875"/>
      <c r="Z99" s="876"/>
      <c r="AA99" s="875"/>
      <c r="AB99" s="875"/>
      <c r="AC99" s="875"/>
      <c r="AD99" s="875"/>
      <c r="AE99" s="876"/>
      <c r="AF99" s="875"/>
      <c r="AG99" s="875"/>
      <c r="AH99" s="875"/>
      <c r="AI99" s="875"/>
      <c r="AJ99" s="876"/>
      <c r="AK99" s="875"/>
      <c r="AL99" s="875"/>
      <c r="AM99" s="875"/>
      <c r="AN99" s="875"/>
      <c r="AO99" s="876"/>
      <c r="AP99" s="875"/>
      <c r="AQ99" s="875"/>
      <c r="AR99" s="875"/>
      <c r="AS99" s="875"/>
      <c r="AT99" s="876"/>
      <c r="AU99" s="875"/>
      <c r="AV99" s="875"/>
      <c r="AW99" s="875"/>
      <c r="AX99" s="875"/>
      <c r="AY99" s="876"/>
      <c r="AZ99" s="875"/>
      <c r="BA99" s="875"/>
      <c r="BB99" s="875"/>
      <c r="BC99" s="875"/>
      <c r="BD99" s="876"/>
      <c r="BE99" s="875"/>
      <c r="BF99" s="875"/>
      <c r="BG99" s="875"/>
      <c r="BH99" s="875"/>
      <c r="BI99" s="876"/>
      <c r="BJ99" s="875">
        <v>4</v>
      </c>
      <c r="BK99" s="875">
        <v>3.2</v>
      </c>
      <c r="BL99" s="875">
        <v>2.9</v>
      </c>
      <c r="BM99" s="875">
        <v>2.6</v>
      </c>
      <c r="BN99" s="876">
        <f>SUM(BJ99:BM99)</f>
        <v>12.7</v>
      </c>
      <c r="BO99" s="875">
        <v>3.5</v>
      </c>
      <c r="BP99" s="875">
        <v>2.4</v>
      </c>
      <c r="BQ99" s="875">
        <v>1.8</v>
      </c>
      <c r="BR99" s="875">
        <v>1.6</v>
      </c>
      <c r="BS99" s="876">
        <f>SUM(BO99:BR99)</f>
        <v>9.3000000000000007</v>
      </c>
      <c r="BT99" s="875">
        <v>2.2000000000000002</v>
      </c>
      <c r="BU99" s="875">
        <v>2</v>
      </c>
      <c r="BV99" s="875">
        <v>2</v>
      </c>
      <c r="BW99" s="875">
        <v>2.5</v>
      </c>
      <c r="BX99" s="876">
        <f>SUM(BT99:BW99)</f>
        <v>8.6999999999999993</v>
      </c>
      <c r="BY99" s="875">
        <v>3.3</v>
      </c>
      <c r="BZ99" s="875">
        <v>4</v>
      </c>
      <c r="CA99" s="875">
        <v>3.1</v>
      </c>
      <c r="CB99" s="875">
        <v>3.2</v>
      </c>
      <c r="CC99" s="876">
        <f>SUM(BY99:CB99)</f>
        <v>13.600000000000001</v>
      </c>
      <c r="CD99" s="875">
        <v>3.8</v>
      </c>
      <c r="CE99" s="875">
        <v>3.4</v>
      </c>
      <c r="CF99" s="875">
        <v>2.8</v>
      </c>
      <c r="CG99" s="875">
        <v>2.4</v>
      </c>
      <c r="CH99" s="876">
        <f>SUM(CD99:CG99)</f>
        <v>12.4</v>
      </c>
      <c r="CI99" s="875">
        <v>3.2</v>
      </c>
      <c r="CJ99" s="875">
        <v>3.2</v>
      </c>
      <c r="CK99" s="875">
        <v>3.1</v>
      </c>
      <c r="CL99" s="875">
        <v>3.8</v>
      </c>
      <c r="CM99" s="876">
        <f>SUM(CI99:CL99)</f>
        <v>13.3</v>
      </c>
      <c r="CN99" s="875">
        <v>4.7</v>
      </c>
      <c r="CO99" s="875">
        <v>4.2</v>
      </c>
      <c r="CP99" s="875">
        <v>4.7</v>
      </c>
      <c r="CQ99" s="875">
        <v>6.3</v>
      </c>
      <c r="CR99" s="876">
        <f>SUM(CN99:CQ99)</f>
        <v>19.900000000000002</v>
      </c>
      <c r="CS99" s="875">
        <v>7.63</v>
      </c>
      <c r="CT99" s="875">
        <v>8.42</v>
      </c>
      <c r="CU99" s="875">
        <v>6.93</v>
      </c>
      <c r="CV99" s="875">
        <v>7.1</v>
      </c>
      <c r="CW99" s="876">
        <f>SUM(CS99:CV99)</f>
        <v>30.08</v>
      </c>
      <c r="CX99" s="875">
        <v>6.1</v>
      </c>
      <c r="CY99" s="875">
        <v>4.8</v>
      </c>
      <c r="CZ99" s="875">
        <v>5.5</v>
      </c>
      <c r="DA99" s="875">
        <v>6.1</v>
      </c>
      <c r="DB99" s="876">
        <f>SUM(CX99:DA99)</f>
        <v>22.5</v>
      </c>
      <c r="DC99" s="875">
        <v>7.4</v>
      </c>
      <c r="DD99" s="875">
        <v>8</v>
      </c>
      <c r="DE99" s="875">
        <v>6.6</v>
      </c>
      <c r="DF99" s="875">
        <v>8.1999999999999993</v>
      </c>
      <c r="DG99" s="877">
        <f>SUM(DC99:DF99)</f>
        <v>30.2</v>
      </c>
      <c r="DH99" s="875">
        <v>10.7</v>
      </c>
      <c r="DI99" s="875">
        <v>10.4</v>
      </c>
      <c r="DJ99" s="875">
        <v>8.8000000000000007</v>
      </c>
      <c r="DK99" s="875">
        <v>10.4</v>
      </c>
      <c r="DL99" s="877">
        <f>SUM(DH99:DK99)</f>
        <v>40.300000000000004</v>
      </c>
      <c r="DM99" s="875">
        <v>12.5</v>
      </c>
      <c r="DN99" s="875">
        <v>14.7</v>
      </c>
      <c r="DO99" s="875">
        <v>11</v>
      </c>
      <c r="DP99" s="875">
        <v>9.6</v>
      </c>
      <c r="DQ99" s="877">
        <f>SUM(DM99:DP99)</f>
        <v>47.800000000000004</v>
      </c>
      <c r="DR99" s="875">
        <v>12.3</v>
      </c>
      <c r="DS99" s="875">
        <v>11.5</v>
      </c>
      <c r="DT99" s="913">
        <v>10</v>
      </c>
      <c r="DU99" s="875">
        <v>10.199999999999999</v>
      </c>
      <c r="DV99" s="877">
        <f>SUM(DR99:DU99)</f>
        <v>44</v>
      </c>
      <c r="DW99" s="875">
        <v>10.5</v>
      </c>
      <c r="DX99" s="875">
        <v>10.3</v>
      </c>
      <c r="DY99" s="913">
        <v>8.6999999999999993</v>
      </c>
      <c r="DZ99" s="875">
        <v>9.5</v>
      </c>
      <c r="EA99" s="877">
        <f>SUM(DW99:DZ99)</f>
        <v>39</v>
      </c>
      <c r="EB99" s="875">
        <v>9.8000000000000007</v>
      </c>
      <c r="EC99" s="1154">
        <v>8.4</v>
      </c>
      <c r="ED99" s="913">
        <v>6.6</v>
      </c>
      <c r="EE99" s="875">
        <v>6</v>
      </c>
      <c r="EF99" s="877">
        <f>SUM(EB99:EE99)</f>
        <v>30.800000000000004</v>
      </c>
      <c r="EG99" s="875">
        <v>5.9</v>
      </c>
      <c r="EH99" s="1154">
        <v>6.3</v>
      </c>
      <c r="EI99" s="913">
        <v>5.5</v>
      </c>
      <c r="EJ99" s="875">
        <v>8.1</v>
      </c>
      <c r="EK99" s="877">
        <f>SUM(EG99:EJ99)</f>
        <v>25.799999999999997</v>
      </c>
      <c r="EL99" s="875">
        <v>8.6999999999999993</v>
      </c>
      <c r="EM99" s="1154">
        <v>8.1999999999999993</v>
      </c>
      <c r="EN99" s="913">
        <v>8.8000000000000007</v>
      </c>
      <c r="EO99" s="875">
        <v>10.5</v>
      </c>
      <c r="EP99" s="877">
        <f>SUM(EL99:EO99)</f>
        <v>36.200000000000003</v>
      </c>
      <c r="EQ99" s="875">
        <v>10.6</v>
      </c>
      <c r="ER99" s="1193">
        <v>9.5</v>
      </c>
      <c r="ES99" s="1193">
        <v>9</v>
      </c>
      <c r="ET99" s="1193">
        <v>9</v>
      </c>
      <c r="EU99" s="1920">
        <f>SUM(EQ99:ET99)</f>
        <v>38.1</v>
      </c>
      <c r="EV99" s="878"/>
      <c r="EW99" s="878"/>
      <c r="EX99" s="878"/>
      <c r="EY99" s="878"/>
      <c r="EZ99" s="879">
        <v>34</v>
      </c>
      <c r="FA99" s="878"/>
      <c r="FB99" s="878"/>
      <c r="FC99" s="878"/>
      <c r="FD99" s="878"/>
      <c r="FE99" s="879">
        <v>31</v>
      </c>
      <c r="FG99" s="881"/>
      <c r="FH99" s="882"/>
      <c r="FI99" s="882"/>
      <c r="FJ99" s="882"/>
      <c r="FK99" s="1311"/>
      <c r="FL99" s="1351"/>
      <c r="FM99" s="1543">
        <f t="shared" si="421"/>
        <v>10.6</v>
      </c>
      <c r="FN99" s="1435">
        <f t="shared" si="422"/>
        <v>8.6999999999999993</v>
      </c>
      <c r="FO99" s="1829">
        <v>9.5</v>
      </c>
      <c r="FP99" s="1733">
        <f>+FM99/FN99-1</f>
        <v>0.21839080459770122</v>
      </c>
      <c r="FQ99" s="1519">
        <f>+FM99/FO99-1</f>
        <v>0.11578947368421044</v>
      </c>
      <c r="FR99" s="1614" t="s">
        <v>810</v>
      </c>
      <c r="FS99" s="1615"/>
      <c r="FT99" s="883"/>
      <c r="FU99" s="883"/>
      <c r="FV99" s="883"/>
      <c r="FW99" s="883"/>
      <c r="FX99" s="883"/>
      <c r="FY99" s="883"/>
      <c r="FZ99" s="881"/>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c r="IW99"/>
      <c r="IX99"/>
    </row>
    <row r="100" spans="1:258" s="847" customFormat="1" x14ac:dyDescent="0.2">
      <c r="A100" s="846" t="s">
        <v>465</v>
      </c>
      <c r="B100" s="653"/>
      <c r="C100" s="653"/>
      <c r="D100" s="653"/>
      <c r="E100" s="653"/>
      <c r="F100" s="654"/>
      <c r="G100" s="653"/>
      <c r="H100" s="653"/>
      <c r="I100" s="653"/>
      <c r="J100" s="653"/>
      <c r="K100" s="654"/>
      <c r="L100" s="653"/>
      <c r="M100" s="653"/>
      <c r="N100" s="653"/>
      <c r="O100" s="653"/>
      <c r="P100" s="654"/>
      <c r="Q100" s="653"/>
      <c r="R100" s="653"/>
      <c r="S100" s="653"/>
      <c r="T100" s="653"/>
      <c r="U100" s="654"/>
      <c r="V100" s="653"/>
      <c r="W100" s="653"/>
      <c r="X100" s="653"/>
      <c r="Y100" s="653"/>
      <c r="Z100" s="654"/>
      <c r="AA100" s="653"/>
      <c r="AB100" s="653"/>
      <c r="AC100" s="653"/>
      <c r="AD100" s="653"/>
      <c r="AE100" s="654"/>
      <c r="AF100" s="653"/>
      <c r="AG100" s="653"/>
      <c r="AH100" s="653"/>
      <c r="AI100" s="653"/>
      <c r="AJ100" s="654"/>
      <c r="AK100" s="653"/>
      <c r="AL100" s="653"/>
      <c r="AM100" s="653"/>
      <c r="AN100" s="653"/>
      <c r="AO100" s="654"/>
      <c r="AP100" s="653"/>
      <c r="AQ100" s="653"/>
      <c r="AR100" s="653"/>
      <c r="AS100" s="653"/>
      <c r="AT100" s="654"/>
      <c r="AU100" s="653"/>
      <c r="AV100" s="653"/>
      <c r="AW100" s="653"/>
      <c r="AX100" s="653"/>
      <c r="AY100" s="654"/>
      <c r="AZ100" s="653"/>
      <c r="BA100" s="653"/>
      <c r="BB100" s="653"/>
      <c r="BC100" s="653"/>
      <c r="BD100" s="654"/>
      <c r="BE100" s="653"/>
      <c r="BF100" s="653"/>
      <c r="BG100" s="653"/>
      <c r="BH100" s="653"/>
      <c r="BI100" s="654"/>
      <c r="BJ100" s="653"/>
      <c r="BK100" s="653"/>
      <c r="BL100" s="653"/>
      <c r="BM100" s="653"/>
      <c r="BN100" s="654"/>
      <c r="BO100" s="653">
        <f t="shared" ref="BO100:CT100" si="460">BO99/BJ99-1</f>
        <v>-0.125</v>
      </c>
      <c r="BP100" s="653">
        <f t="shared" si="460"/>
        <v>-0.25000000000000011</v>
      </c>
      <c r="BQ100" s="653">
        <f t="shared" si="460"/>
        <v>-0.37931034482758619</v>
      </c>
      <c r="BR100" s="653">
        <f t="shared" si="460"/>
        <v>-0.38461538461538458</v>
      </c>
      <c r="BS100" s="654">
        <f t="shared" si="460"/>
        <v>-0.26771653543307072</v>
      </c>
      <c r="BT100" s="653">
        <f t="shared" si="460"/>
        <v>-0.37142857142857133</v>
      </c>
      <c r="BU100" s="653">
        <f t="shared" si="460"/>
        <v>-0.16666666666666663</v>
      </c>
      <c r="BV100" s="653">
        <f t="shared" si="460"/>
        <v>0.11111111111111116</v>
      </c>
      <c r="BW100" s="653">
        <f t="shared" si="460"/>
        <v>0.5625</v>
      </c>
      <c r="BX100" s="654">
        <f t="shared" si="460"/>
        <v>-6.4516129032258229E-2</v>
      </c>
      <c r="BY100" s="653">
        <f t="shared" si="460"/>
        <v>0.49999999999999978</v>
      </c>
      <c r="BZ100" s="653">
        <f t="shared" si="460"/>
        <v>1</v>
      </c>
      <c r="CA100" s="653">
        <f t="shared" si="460"/>
        <v>0.55000000000000004</v>
      </c>
      <c r="CB100" s="653">
        <f t="shared" si="460"/>
        <v>0.28000000000000003</v>
      </c>
      <c r="CC100" s="654">
        <f t="shared" si="460"/>
        <v>0.56321839080459801</v>
      </c>
      <c r="CD100" s="653">
        <f t="shared" si="460"/>
        <v>0.1515151515151516</v>
      </c>
      <c r="CE100" s="653">
        <f t="shared" si="460"/>
        <v>-0.15000000000000002</v>
      </c>
      <c r="CF100" s="653">
        <f t="shared" si="460"/>
        <v>-9.6774193548387233E-2</v>
      </c>
      <c r="CG100" s="653">
        <f t="shared" si="460"/>
        <v>-0.25000000000000011</v>
      </c>
      <c r="CH100" s="654">
        <f t="shared" si="460"/>
        <v>-8.8235294117647078E-2</v>
      </c>
      <c r="CI100" s="653">
        <f t="shared" si="460"/>
        <v>-0.1578947368421052</v>
      </c>
      <c r="CJ100" s="653">
        <f t="shared" si="460"/>
        <v>-5.8823529411764608E-2</v>
      </c>
      <c r="CK100" s="653">
        <f t="shared" si="460"/>
        <v>0.10714285714285721</v>
      </c>
      <c r="CL100" s="653">
        <f t="shared" si="460"/>
        <v>0.58333333333333326</v>
      </c>
      <c r="CM100" s="654">
        <f t="shared" si="460"/>
        <v>7.2580645161290258E-2</v>
      </c>
      <c r="CN100" s="653">
        <f t="shared" si="460"/>
        <v>0.46875</v>
      </c>
      <c r="CO100" s="653">
        <f t="shared" si="460"/>
        <v>0.3125</v>
      </c>
      <c r="CP100" s="653">
        <f t="shared" si="460"/>
        <v>0.5161290322580645</v>
      </c>
      <c r="CQ100" s="653">
        <f t="shared" si="460"/>
        <v>0.65789473684210531</v>
      </c>
      <c r="CR100" s="654">
        <f t="shared" si="460"/>
        <v>0.49624060150375948</v>
      </c>
      <c r="CS100" s="653">
        <f t="shared" si="460"/>
        <v>0.62340425531914878</v>
      </c>
      <c r="CT100" s="653">
        <f t="shared" si="460"/>
        <v>1.0047619047619047</v>
      </c>
      <c r="CU100" s="653">
        <f t="shared" ref="CU100:ED100" si="461">CU99/CP99-1</f>
        <v>0.47446808510638294</v>
      </c>
      <c r="CV100" s="653">
        <f t="shared" si="461"/>
        <v>0.12698412698412698</v>
      </c>
      <c r="CW100" s="654">
        <f t="shared" si="461"/>
        <v>0.51155778894472337</v>
      </c>
      <c r="CX100" s="653">
        <f t="shared" si="461"/>
        <v>-0.20052424639580602</v>
      </c>
      <c r="CY100" s="653">
        <f t="shared" si="461"/>
        <v>-0.42992874109263657</v>
      </c>
      <c r="CZ100" s="653">
        <f t="shared" si="461"/>
        <v>-0.20634920634920628</v>
      </c>
      <c r="DA100" s="653">
        <f t="shared" si="461"/>
        <v>-0.14084507042253525</v>
      </c>
      <c r="DB100" s="654">
        <f t="shared" si="461"/>
        <v>-0.2519946808510638</v>
      </c>
      <c r="DC100" s="653">
        <f t="shared" si="461"/>
        <v>0.21311475409836089</v>
      </c>
      <c r="DD100" s="653">
        <f t="shared" si="461"/>
        <v>0.66666666666666674</v>
      </c>
      <c r="DE100" s="653">
        <f t="shared" si="461"/>
        <v>0.19999999999999996</v>
      </c>
      <c r="DF100" s="653">
        <f t="shared" si="461"/>
        <v>0.34426229508196715</v>
      </c>
      <c r="DG100" s="654">
        <f t="shared" si="461"/>
        <v>0.34222222222222221</v>
      </c>
      <c r="DH100" s="653">
        <f t="shared" si="461"/>
        <v>0.44594594594594583</v>
      </c>
      <c r="DI100" s="653">
        <f t="shared" si="461"/>
        <v>0.30000000000000004</v>
      </c>
      <c r="DJ100" s="653">
        <f t="shared" si="461"/>
        <v>0.33333333333333348</v>
      </c>
      <c r="DK100" s="653">
        <f t="shared" si="461"/>
        <v>0.26829268292682951</v>
      </c>
      <c r="DL100" s="654">
        <f t="shared" si="461"/>
        <v>0.3344370860927155</v>
      </c>
      <c r="DM100" s="653">
        <f t="shared" si="461"/>
        <v>0.16822429906542058</v>
      </c>
      <c r="DN100" s="653">
        <f t="shared" si="461"/>
        <v>0.41346153846153832</v>
      </c>
      <c r="DO100" s="653">
        <f t="shared" si="461"/>
        <v>0.25</v>
      </c>
      <c r="DP100" s="653">
        <f t="shared" si="461"/>
        <v>-7.6923076923076983E-2</v>
      </c>
      <c r="DQ100" s="654">
        <f t="shared" si="461"/>
        <v>0.18610421836228297</v>
      </c>
      <c r="DR100" s="653">
        <f t="shared" si="461"/>
        <v>-1.5999999999999903E-2</v>
      </c>
      <c r="DS100" s="653">
        <f t="shared" si="461"/>
        <v>-0.21768707482993188</v>
      </c>
      <c r="DT100" s="653">
        <f t="shared" ref="DT100:EA100" si="462">DT99/DO99-1</f>
        <v>-9.0909090909090939E-2</v>
      </c>
      <c r="DU100" s="653">
        <f t="shared" si="461"/>
        <v>6.25E-2</v>
      </c>
      <c r="DV100" s="654">
        <f t="shared" si="462"/>
        <v>-7.9497907949790836E-2</v>
      </c>
      <c r="DW100" s="653">
        <f t="shared" si="461"/>
        <v>-0.14634146341463417</v>
      </c>
      <c r="DX100" s="653">
        <f t="shared" si="461"/>
        <v>-0.10434782608695647</v>
      </c>
      <c r="DY100" s="653">
        <f t="shared" si="462"/>
        <v>-0.13000000000000012</v>
      </c>
      <c r="DZ100" s="653">
        <f t="shared" si="461"/>
        <v>-6.8627450980392135E-2</v>
      </c>
      <c r="EA100" s="654">
        <f t="shared" si="462"/>
        <v>-0.11363636363636365</v>
      </c>
      <c r="EB100" s="653">
        <f t="shared" si="461"/>
        <v>-6.6666666666666652E-2</v>
      </c>
      <c r="EC100" s="653">
        <f t="shared" si="461"/>
        <v>-0.18446601941747576</v>
      </c>
      <c r="ED100" s="653">
        <f t="shared" si="461"/>
        <v>-0.24137931034482751</v>
      </c>
      <c r="EE100" s="653">
        <f t="shared" ref="EE100:EI100" si="463">EE99/DZ99-1</f>
        <v>-0.36842105263157898</v>
      </c>
      <c r="EF100" s="654">
        <f t="shared" si="463"/>
        <v>-0.21025641025641018</v>
      </c>
      <c r="EG100" s="653">
        <f t="shared" si="463"/>
        <v>-0.39795918367346939</v>
      </c>
      <c r="EH100" s="653">
        <f t="shared" si="463"/>
        <v>-0.25</v>
      </c>
      <c r="EI100" s="653">
        <f t="shared" si="463"/>
        <v>-0.16666666666666663</v>
      </c>
      <c r="EJ100" s="653">
        <f>EJ99/EE99-1</f>
        <v>0.34999999999999987</v>
      </c>
      <c r="EK100" s="654">
        <f t="shared" ref="EK100:EQ100" si="464">EK99/EF99-1</f>
        <v>-0.16233766233766256</v>
      </c>
      <c r="EL100" s="653">
        <f t="shared" si="464"/>
        <v>0.47457627118644052</v>
      </c>
      <c r="EM100" s="653">
        <f t="shared" si="464"/>
        <v>0.3015873015873014</v>
      </c>
      <c r="EN100" s="653">
        <f t="shared" si="464"/>
        <v>0.60000000000000009</v>
      </c>
      <c r="EO100" s="653">
        <f>EO99/EJ99-1</f>
        <v>0.29629629629629628</v>
      </c>
      <c r="EP100" s="654">
        <f t="shared" si="464"/>
        <v>0.40310077519379872</v>
      </c>
      <c r="EQ100" s="653">
        <f t="shared" si="464"/>
        <v>0.21839080459770122</v>
      </c>
      <c r="ER100" s="1194">
        <f t="shared" ref="ER100" si="465">ER99/EM99-1</f>
        <v>0.1585365853658538</v>
      </c>
      <c r="ES100" s="1194">
        <f t="shared" ref="ES100:EU100" si="466">ES99/EN99-1</f>
        <v>2.2727272727272707E-2</v>
      </c>
      <c r="ET100" s="1194">
        <f t="shared" si="466"/>
        <v>-0.1428571428571429</v>
      </c>
      <c r="EU100" s="654">
        <f t="shared" si="466"/>
        <v>5.2486187845303789E-2</v>
      </c>
      <c r="EV100" s="687"/>
      <c r="EW100" s="687"/>
      <c r="EX100" s="687"/>
      <c r="EY100" s="687"/>
      <c r="EZ100" s="654">
        <f>EZ99/EU99-1</f>
        <v>-0.10761154855643051</v>
      </c>
      <c r="FA100" s="687"/>
      <c r="FB100" s="687"/>
      <c r="FC100" s="687"/>
      <c r="FD100" s="687"/>
      <c r="FE100" s="654">
        <f>FE99/EZ99-1</f>
        <v>-8.8235294117647078E-2</v>
      </c>
      <c r="FG100" s="481"/>
      <c r="FH100" s="784"/>
      <c r="FI100" s="784"/>
      <c r="FJ100" s="784"/>
      <c r="FL100" s="1350"/>
      <c r="FM100" s="1161">
        <f t="shared" si="421"/>
        <v>0.21839080459770122</v>
      </c>
      <c r="FN100" s="1432">
        <f t="shared" si="422"/>
        <v>0.47457627118644052</v>
      </c>
      <c r="FO100" s="1830">
        <v>9.1954022988505857E-2</v>
      </c>
      <c r="FP100" s="1752"/>
      <c r="FQ100" s="1503">
        <f t="shared" ref="FQ100:FQ109" si="467">+(FM100-FO100)*10000</f>
        <v>1264.3678160919535</v>
      </c>
      <c r="FR100" s="1615"/>
      <c r="FS100" s="1615"/>
      <c r="FT100" s="711"/>
      <c r="FU100" s="711"/>
      <c r="FV100" s="711"/>
      <c r="FW100" s="711"/>
      <c r="FX100" s="711"/>
      <c r="FY100" s="711"/>
      <c r="FZ100" s="481"/>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c r="IW100"/>
      <c r="IX100"/>
    </row>
    <row r="101" spans="1:258" s="113" customFormat="1" x14ac:dyDescent="0.2">
      <c r="A101" s="109" t="s">
        <v>137</v>
      </c>
      <c r="B101" s="110"/>
      <c r="C101" s="110"/>
      <c r="D101" s="110"/>
      <c r="E101" s="110"/>
      <c r="F101" s="404"/>
      <c r="G101" s="110"/>
      <c r="H101" s="110"/>
      <c r="I101" s="110"/>
      <c r="J101" s="110"/>
      <c r="K101" s="404"/>
      <c r="L101" s="110"/>
      <c r="M101" s="110"/>
      <c r="N101" s="110"/>
      <c r="O101" s="110"/>
      <c r="P101" s="404"/>
      <c r="Q101" s="110">
        <v>701</v>
      </c>
      <c r="R101" s="110">
        <v>712.52371541501975</v>
      </c>
      <c r="S101" s="110">
        <v>660</v>
      </c>
      <c r="T101" s="110">
        <v>703</v>
      </c>
      <c r="U101" s="404">
        <v>2776.52371541502</v>
      </c>
      <c r="V101" s="110">
        <v>720</v>
      </c>
      <c r="W101" s="110">
        <v>739</v>
      </c>
      <c r="X101" s="110">
        <v>693</v>
      </c>
      <c r="Y101" s="110">
        <v>757</v>
      </c>
      <c r="Z101" s="404">
        <v>2909</v>
      </c>
      <c r="AA101" s="110">
        <v>758</v>
      </c>
      <c r="AB101" s="110">
        <v>786</v>
      </c>
      <c r="AC101" s="110">
        <v>733</v>
      </c>
      <c r="AD101" s="110">
        <v>771</v>
      </c>
      <c r="AE101" s="404">
        <v>3048</v>
      </c>
      <c r="AF101" s="110">
        <v>799</v>
      </c>
      <c r="AG101" s="110">
        <v>797</v>
      </c>
      <c r="AH101" s="110">
        <v>767</v>
      </c>
      <c r="AI101" s="110">
        <v>795</v>
      </c>
      <c r="AJ101" s="404">
        <v>3158</v>
      </c>
      <c r="AK101" s="110">
        <v>789</v>
      </c>
      <c r="AL101" s="110">
        <v>813</v>
      </c>
      <c r="AM101" s="110">
        <v>772</v>
      </c>
      <c r="AN101" s="110">
        <v>807</v>
      </c>
      <c r="AO101" s="404">
        <v>3181</v>
      </c>
      <c r="AP101" s="110">
        <v>826</v>
      </c>
      <c r="AQ101" s="110">
        <v>840</v>
      </c>
      <c r="AR101" s="110">
        <v>794</v>
      </c>
      <c r="AS101" s="110">
        <v>838</v>
      </c>
      <c r="AT101" s="404">
        <v>3298</v>
      </c>
      <c r="AU101" s="110">
        <f>AU115+AU116+AU111+AU112+AU113+AU114</f>
        <v>656</v>
      </c>
      <c r="AV101" s="110">
        <f t="shared" ref="AV101:DB101" si="468">AV115+AV116+AV111+AV112+AV113+AV114</f>
        <v>673</v>
      </c>
      <c r="AW101" s="110">
        <f t="shared" si="468"/>
        <v>636</v>
      </c>
      <c r="AX101" s="110">
        <f t="shared" si="468"/>
        <v>657</v>
      </c>
      <c r="AY101" s="404">
        <f t="shared" si="468"/>
        <v>2622</v>
      </c>
      <c r="AZ101" s="110">
        <f t="shared" si="468"/>
        <v>716</v>
      </c>
      <c r="BA101" s="110">
        <f t="shared" si="468"/>
        <v>774</v>
      </c>
      <c r="BB101" s="110">
        <f t="shared" si="468"/>
        <v>864</v>
      </c>
      <c r="BC101" s="110">
        <f t="shared" si="468"/>
        <v>883</v>
      </c>
      <c r="BD101" s="404">
        <f t="shared" si="468"/>
        <v>3237</v>
      </c>
      <c r="BE101" s="110">
        <f t="shared" si="468"/>
        <v>901</v>
      </c>
      <c r="BF101" s="110">
        <f t="shared" si="468"/>
        <v>939</v>
      </c>
      <c r="BG101" s="110">
        <f t="shared" si="468"/>
        <v>875</v>
      </c>
      <c r="BH101" s="110">
        <f t="shared" si="468"/>
        <v>867</v>
      </c>
      <c r="BI101" s="404">
        <f>BI115+BI116+BI111+BI112+BI113+BI114</f>
        <v>3582</v>
      </c>
      <c r="BJ101" s="110">
        <f t="shared" si="468"/>
        <v>861</v>
      </c>
      <c r="BK101" s="110">
        <f t="shared" si="468"/>
        <v>894</v>
      </c>
      <c r="BL101" s="110">
        <f t="shared" si="468"/>
        <v>855</v>
      </c>
      <c r="BM101" s="110">
        <f t="shared" si="468"/>
        <v>837</v>
      </c>
      <c r="BN101" s="404">
        <f>BN115+BN116+BN111+BN112+BN113+BN114</f>
        <v>3447</v>
      </c>
      <c r="BO101" s="110">
        <f t="shared" si="468"/>
        <v>851</v>
      </c>
      <c r="BP101" s="110">
        <f t="shared" si="468"/>
        <v>920</v>
      </c>
      <c r="BQ101" s="110">
        <f t="shared" si="468"/>
        <v>876</v>
      </c>
      <c r="BR101" s="110">
        <f t="shared" si="468"/>
        <v>886</v>
      </c>
      <c r="BS101" s="404">
        <f>BS115+BS116+BS111+BS112+BS113+BS114</f>
        <v>3533</v>
      </c>
      <c r="BT101" s="110">
        <f t="shared" si="468"/>
        <v>915</v>
      </c>
      <c r="BU101" s="110">
        <f t="shared" si="468"/>
        <v>941</v>
      </c>
      <c r="BV101" s="110">
        <f t="shared" si="468"/>
        <v>920</v>
      </c>
      <c r="BW101" s="110">
        <f t="shared" si="468"/>
        <v>944</v>
      </c>
      <c r="BX101" s="404">
        <f>BX115+BX116+BX111+BX112+BX113+BX114</f>
        <v>3720</v>
      </c>
      <c r="BY101" s="110">
        <f t="shared" si="468"/>
        <v>939</v>
      </c>
      <c r="BZ101" s="110">
        <f t="shared" si="468"/>
        <v>996</v>
      </c>
      <c r="CA101" s="110">
        <f t="shared" si="468"/>
        <v>964</v>
      </c>
      <c r="CB101" s="110">
        <f t="shared" si="468"/>
        <v>1077</v>
      </c>
      <c r="CC101" s="404">
        <f>CC115+CC116+CC111+CC112+CC113+CC114</f>
        <v>3976</v>
      </c>
      <c r="CD101" s="110">
        <f t="shared" si="468"/>
        <v>1019</v>
      </c>
      <c r="CE101" s="110">
        <f t="shared" si="468"/>
        <v>1048</v>
      </c>
      <c r="CF101" s="110">
        <f t="shared" si="468"/>
        <v>1033</v>
      </c>
      <c r="CG101" s="110">
        <f t="shared" si="468"/>
        <v>1071</v>
      </c>
      <c r="CH101" s="404">
        <f>CH115+CH116+CH111+CH112+CH113+CH114</f>
        <v>4171</v>
      </c>
      <c r="CI101" s="110">
        <f t="shared" si="468"/>
        <v>1133</v>
      </c>
      <c r="CJ101" s="110">
        <f t="shared" si="468"/>
        <v>1173</v>
      </c>
      <c r="CK101" s="110">
        <f t="shared" si="468"/>
        <v>1145</v>
      </c>
      <c r="CL101" s="110">
        <f t="shared" si="468"/>
        <v>1109</v>
      </c>
      <c r="CM101" s="404">
        <f>CM115+CM116+CM111+CM112+CM113+CM114</f>
        <v>4560</v>
      </c>
      <c r="CN101" s="110">
        <f t="shared" si="468"/>
        <v>1127</v>
      </c>
      <c r="CO101" s="110">
        <f t="shared" si="468"/>
        <v>1196</v>
      </c>
      <c r="CP101" s="110">
        <f t="shared" si="468"/>
        <v>1165</v>
      </c>
      <c r="CQ101" s="110">
        <f t="shared" si="468"/>
        <v>1134</v>
      </c>
      <c r="CR101" s="404">
        <f>CR115+CR116+CR111+CR112+CR113+CR114</f>
        <v>4622</v>
      </c>
      <c r="CS101" s="110">
        <f t="shared" si="468"/>
        <v>1179</v>
      </c>
      <c r="CT101" s="110">
        <f t="shared" si="468"/>
        <v>1263</v>
      </c>
      <c r="CU101" s="110">
        <f t="shared" si="468"/>
        <v>1277</v>
      </c>
      <c r="CV101" s="110">
        <f t="shared" si="468"/>
        <v>1059</v>
      </c>
      <c r="CW101" s="404">
        <f>CW115+CW116+CW111+CW112+CW113+CW114</f>
        <v>4778</v>
      </c>
      <c r="CX101" s="110">
        <f t="shared" si="468"/>
        <v>834</v>
      </c>
      <c r="CY101" s="110">
        <f t="shared" si="468"/>
        <v>847</v>
      </c>
      <c r="CZ101" s="110">
        <f t="shared" si="468"/>
        <v>926</v>
      </c>
      <c r="DA101" s="110">
        <f t="shared" si="468"/>
        <v>935</v>
      </c>
      <c r="DB101" s="404">
        <f t="shared" si="468"/>
        <v>3542</v>
      </c>
      <c r="DC101" s="110">
        <f>DC115+DC116+DC111+DC112+DC113+DC114</f>
        <v>978</v>
      </c>
      <c r="DD101" s="110">
        <f>DD115+DD116+DD111+DD112+DD113+DD114</f>
        <v>1092</v>
      </c>
      <c r="DE101" s="110">
        <f>DE115+DE116+DE111+DE112+DE113+DE114</f>
        <v>1075</v>
      </c>
      <c r="DF101" s="110">
        <f>DF115+DF116+DF111+DF112+DF113+DF114</f>
        <v>1120</v>
      </c>
      <c r="DG101" s="404">
        <f>SUM(DC101:DF101)</f>
        <v>4265</v>
      </c>
      <c r="DH101" s="110">
        <f>DH115+DH116+DH111+DH112+DH113+DH114</f>
        <v>1130</v>
      </c>
      <c r="DI101" s="110">
        <f>DI115+DI116+DI111+DI112+DI113+DI114</f>
        <v>1220</v>
      </c>
      <c r="DJ101" s="110">
        <f>DJ115+DJ116+DJ111+DJ112+DJ113+DJ114</f>
        <v>1213</v>
      </c>
      <c r="DK101" s="110">
        <f>DK115+DK116+DK111+DK112+DK113+DK114</f>
        <v>1201</v>
      </c>
      <c r="DL101" s="404">
        <f>SUM(DH101:DK101)</f>
        <v>4764</v>
      </c>
      <c r="DM101" s="110">
        <f>DM115+DM116+DM111+DM112+DM113+DM114</f>
        <v>1269</v>
      </c>
      <c r="DN101" s="110">
        <f>DN115+DN116+DN111+DN112+DN113+DN114</f>
        <v>1325</v>
      </c>
      <c r="DO101" s="110">
        <f>DO115+DO116+DO111+DO112+DO113+DO114</f>
        <v>1266</v>
      </c>
      <c r="DP101" s="110">
        <f>DP115+DP116+DP111+DP112+DP113+DP114</f>
        <v>1277</v>
      </c>
      <c r="DQ101" s="404">
        <f>SUM(DM101:DP101)</f>
        <v>5137</v>
      </c>
      <c r="DR101" s="110">
        <f>DR115+DR116+DR111+DR112+DR113+DR114</f>
        <v>1332</v>
      </c>
      <c r="DS101" s="110">
        <f>DS115+DS116+DS111+DS112+DS113+DS114</f>
        <v>1399</v>
      </c>
      <c r="DT101" s="110">
        <f>DT115+DT116+DT111+DT112+DT113+DT114</f>
        <v>1372</v>
      </c>
      <c r="DU101" s="110">
        <f>DU115+DU116+DU111+DU112+DU113+DU114</f>
        <v>1394</v>
      </c>
      <c r="DV101" s="404">
        <f>SUM(DR101:DU101)</f>
        <v>5497</v>
      </c>
      <c r="DW101" s="110">
        <f t="shared" ref="DW101:DZ101" si="469">DW115+DW116+DW111+DW113+DW114</f>
        <v>1304</v>
      </c>
      <c r="DX101" s="110">
        <f t="shared" si="469"/>
        <v>1473</v>
      </c>
      <c r="DY101" s="110">
        <f t="shared" si="469"/>
        <v>1476</v>
      </c>
      <c r="DZ101" s="110">
        <f t="shared" si="469"/>
        <v>1426.0741802873722</v>
      </c>
      <c r="EA101" s="404">
        <f>SUM(DW101:DZ101)</f>
        <v>5679.0741802873727</v>
      </c>
      <c r="EB101" s="110">
        <f>EB115+EB116+EB111+EB113+EB114</f>
        <v>1318</v>
      </c>
      <c r="EC101" s="110">
        <f t="shared" ref="EC101:EE101" si="470">EC115+EC116+EC111+EC113+EC114</f>
        <v>1402</v>
      </c>
      <c r="ED101" s="110">
        <f t="shared" si="470"/>
        <v>1387</v>
      </c>
      <c r="EE101" s="110">
        <f t="shared" si="470"/>
        <v>1330</v>
      </c>
      <c r="EF101" s="404">
        <f>SUM(EB101:EE101)</f>
        <v>5437</v>
      </c>
      <c r="EG101" s="110">
        <f t="shared" ref="EG101:EL101" si="471">EG115+EG116+EG111+EG113+EG114</f>
        <v>1284</v>
      </c>
      <c r="EH101" s="110">
        <f t="shared" si="471"/>
        <v>1351</v>
      </c>
      <c r="EI101" s="110">
        <f t="shared" si="471"/>
        <v>1342</v>
      </c>
      <c r="EJ101" s="110">
        <f t="shared" si="471"/>
        <v>1416</v>
      </c>
      <c r="EK101" s="404">
        <f>SUM(EG101:EJ101)</f>
        <v>5393</v>
      </c>
      <c r="EL101" s="110">
        <f t="shared" si="471"/>
        <v>1378</v>
      </c>
      <c r="EM101" s="110">
        <f t="shared" ref="EM101:EO101" si="472">EM115+EM116+EM111+EM113+EM114</f>
        <v>1359</v>
      </c>
      <c r="EN101" s="110">
        <f t="shared" si="472"/>
        <v>1294</v>
      </c>
      <c r="EO101" s="110">
        <f t="shared" si="472"/>
        <v>1309</v>
      </c>
      <c r="EP101" s="404">
        <f>SUM(EL101:EO101)</f>
        <v>5340</v>
      </c>
      <c r="EQ101" s="110">
        <f t="shared" ref="EQ101" si="473">EQ115+EQ116+EQ111+EQ113+EQ114</f>
        <v>1356</v>
      </c>
      <c r="ER101" s="110">
        <f t="shared" ref="ER101" si="474">(ER16+ER22+ER11+ER19+ER12+ER9)*ER107/1000</f>
        <v>1399.5882134462149</v>
      </c>
      <c r="ES101" s="110">
        <f t="shared" ref="ES101:ET101" si="475">(ES16+ES22+ES11+ES19+ES12+ES9)*ES107/1000</f>
        <v>1360.6000368972748</v>
      </c>
      <c r="ET101" s="110">
        <f t="shared" si="475"/>
        <v>1374.9951422431861</v>
      </c>
      <c r="EU101" s="404">
        <f>SUM(EQ101:ET101)</f>
        <v>5491.1833925866758</v>
      </c>
      <c r="EV101" s="110"/>
      <c r="EW101" s="110"/>
      <c r="EX101" s="110"/>
      <c r="EY101" s="110"/>
      <c r="EZ101" s="404">
        <f>(EZ16+EZ22+EZ11+EZ19+EZ12+EZ9)*EZ107/1000</f>
        <v>5706.1092478659921</v>
      </c>
      <c r="FA101" s="110"/>
      <c r="FB101" s="110"/>
      <c r="FC101" s="110"/>
      <c r="FD101" s="110"/>
      <c r="FE101" s="404">
        <f>(FE16+FE22+FE11+FE19+FE12+FE9)*FE107/1000</f>
        <v>5985.4111781812007</v>
      </c>
      <c r="FG101" s="473"/>
      <c r="FH101" s="815">
        <f>+(FE101/EU101)^(0.5)-1</f>
        <v>4.4032506845815611E-2</v>
      </c>
      <c r="FI101" s="778"/>
      <c r="FJ101" s="778"/>
      <c r="FL101" s="1347"/>
      <c r="FM101" s="1533">
        <f t="shared" si="421"/>
        <v>1356</v>
      </c>
      <c r="FN101" s="775">
        <f t="shared" si="422"/>
        <v>1378</v>
      </c>
      <c r="FO101" s="1812">
        <v>1321.2046022954089</v>
      </c>
      <c r="FP101" s="1748">
        <f>+FM101/FN101-1</f>
        <v>-1.5965166908563089E-2</v>
      </c>
      <c r="FQ101" s="1520">
        <f>+FM101/FO101-1</f>
        <v>2.6336116029371137E-2</v>
      </c>
      <c r="FR101" s="1614" t="s">
        <v>812</v>
      </c>
      <c r="FS101" s="1615"/>
      <c r="FT101" s="436"/>
      <c r="FU101" s="355"/>
      <c r="FV101" s="355"/>
      <c r="FW101" s="355"/>
      <c r="FX101" s="355"/>
      <c r="FY101" s="355"/>
      <c r="FZ101" s="473"/>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c r="IW101"/>
      <c r="IX101"/>
    </row>
    <row r="102" spans="1:258" s="186" customFormat="1" x14ac:dyDescent="0.2">
      <c r="A102" s="383" t="s">
        <v>465</v>
      </c>
      <c r="B102" s="10"/>
      <c r="C102" s="10"/>
      <c r="D102" s="10"/>
      <c r="E102" s="10"/>
      <c r="F102" s="9"/>
      <c r="G102" s="10"/>
      <c r="H102" s="10"/>
      <c r="I102" s="10"/>
      <c r="J102" s="10"/>
      <c r="K102" s="9"/>
      <c r="L102" s="10"/>
      <c r="M102" s="10"/>
      <c r="N102" s="10"/>
      <c r="O102" s="10"/>
      <c r="P102" s="9"/>
      <c r="Q102" s="10"/>
      <c r="R102" s="10"/>
      <c r="S102" s="10"/>
      <c r="T102" s="10"/>
      <c r="U102" s="9"/>
      <c r="V102" s="10"/>
      <c r="W102" s="10"/>
      <c r="X102" s="10"/>
      <c r="Y102" s="10"/>
      <c r="Z102" s="9"/>
      <c r="AA102" s="10"/>
      <c r="AB102" s="10"/>
      <c r="AC102" s="10"/>
      <c r="AD102" s="10"/>
      <c r="AE102" s="9"/>
      <c r="AF102" s="10"/>
      <c r="AG102" s="10"/>
      <c r="AH102" s="10"/>
      <c r="AI102" s="10"/>
      <c r="AJ102" s="9"/>
      <c r="AK102" s="10">
        <f t="shared" ref="AK102:BP102" si="476">AK101/AF101-1</f>
        <v>-1.2515644555694649E-2</v>
      </c>
      <c r="AL102" s="10">
        <f t="shared" si="476"/>
        <v>2.0075282308657405E-2</v>
      </c>
      <c r="AM102" s="10">
        <f t="shared" si="476"/>
        <v>6.5189048239895353E-3</v>
      </c>
      <c r="AN102" s="10">
        <f t="shared" si="476"/>
        <v>1.5094339622641506E-2</v>
      </c>
      <c r="AO102" s="9">
        <f t="shared" si="476"/>
        <v>7.2830905636478427E-3</v>
      </c>
      <c r="AP102" s="10">
        <f t="shared" si="476"/>
        <v>4.6894803548795938E-2</v>
      </c>
      <c r="AQ102" s="10">
        <f t="shared" si="476"/>
        <v>3.3210332103321027E-2</v>
      </c>
      <c r="AR102" s="10">
        <f t="shared" si="476"/>
        <v>2.8497409326424972E-2</v>
      </c>
      <c r="AS102" s="10">
        <f t="shared" si="476"/>
        <v>3.8413878562577386E-2</v>
      </c>
      <c r="AT102" s="9">
        <f t="shared" si="476"/>
        <v>3.6780886513674949E-2</v>
      </c>
      <c r="AU102" s="10">
        <f t="shared" si="476"/>
        <v>-0.20581113801452788</v>
      </c>
      <c r="AV102" s="10">
        <f t="shared" si="476"/>
        <v>-0.19880952380952377</v>
      </c>
      <c r="AW102" s="10">
        <f t="shared" si="476"/>
        <v>-0.19899244332493704</v>
      </c>
      <c r="AX102" s="10">
        <f t="shared" si="476"/>
        <v>-0.21599045346062051</v>
      </c>
      <c r="AY102" s="9">
        <f t="shared" si="476"/>
        <v>-0.2049727107337781</v>
      </c>
      <c r="AZ102" s="10">
        <f t="shared" si="476"/>
        <v>9.1463414634146423E-2</v>
      </c>
      <c r="BA102" s="10">
        <f t="shared" si="476"/>
        <v>0.15007429420505192</v>
      </c>
      <c r="BB102" s="10">
        <f t="shared" si="476"/>
        <v>0.35849056603773577</v>
      </c>
      <c r="BC102" s="10">
        <f t="shared" si="476"/>
        <v>0.34398782343987833</v>
      </c>
      <c r="BD102" s="9">
        <f t="shared" si="476"/>
        <v>0.23455377574370706</v>
      </c>
      <c r="BE102" s="10">
        <f t="shared" si="476"/>
        <v>0.2583798882681565</v>
      </c>
      <c r="BF102" s="10">
        <f t="shared" si="476"/>
        <v>0.21317829457364335</v>
      </c>
      <c r="BG102" s="10">
        <f t="shared" si="476"/>
        <v>1.2731481481481399E-2</v>
      </c>
      <c r="BH102" s="10">
        <f t="shared" si="476"/>
        <v>-1.8120045300113241E-2</v>
      </c>
      <c r="BI102" s="9">
        <f t="shared" si="476"/>
        <v>0.10658016682113058</v>
      </c>
      <c r="BJ102" s="10">
        <f t="shared" si="476"/>
        <v>-4.4395116537180868E-2</v>
      </c>
      <c r="BK102" s="10">
        <f t="shared" si="476"/>
        <v>-4.7923322683706027E-2</v>
      </c>
      <c r="BL102" s="10">
        <f t="shared" si="476"/>
        <v>-2.2857142857142909E-2</v>
      </c>
      <c r="BM102" s="10">
        <f t="shared" si="476"/>
        <v>-3.4602076124567449E-2</v>
      </c>
      <c r="BN102" s="9">
        <f t="shared" si="476"/>
        <v>-3.7688442211055273E-2</v>
      </c>
      <c r="BO102" s="10">
        <f t="shared" si="476"/>
        <v>-1.1614401858304313E-2</v>
      </c>
      <c r="BP102" s="10">
        <f t="shared" si="476"/>
        <v>2.9082774049216997E-2</v>
      </c>
      <c r="BQ102" s="10">
        <f t="shared" ref="BQ102:CV102" si="477">BQ101/BL101-1</f>
        <v>2.4561403508772006E-2</v>
      </c>
      <c r="BR102" s="10">
        <f t="shared" si="477"/>
        <v>5.8542413381122982E-2</v>
      </c>
      <c r="BS102" s="9">
        <f t="shared" si="477"/>
        <v>2.4949231215549705E-2</v>
      </c>
      <c r="BT102" s="10">
        <f t="shared" si="477"/>
        <v>7.5205640423031683E-2</v>
      </c>
      <c r="BU102" s="10">
        <f t="shared" si="477"/>
        <v>2.2826086956521774E-2</v>
      </c>
      <c r="BV102" s="10">
        <f t="shared" si="477"/>
        <v>5.0228310502283158E-2</v>
      </c>
      <c r="BW102" s="10">
        <f t="shared" si="477"/>
        <v>6.5462753950338515E-2</v>
      </c>
      <c r="BX102" s="9">
        <f t="shared" si="477"/>
        <v>5.2929521652986145E-2</v>
      </c>
      <c r="BY102" s="10">
        <f t="shared" si="477"/>
        <v>2.6229508196721207E-2</v>
      </c>
      <c r="BZ102" s="10">
        <f t="shared" si="477"/>
        <v>5.8448459086078541E-2</v>
      </c>
      <c r="CA102" s="10">
        <f t="shared" si="477"/>
        <v>4.7826086956521685E-2</v>
      </c>
      <c r="CB102" s="10">
        <f t="shared" si="477"/>
        <v>0.14088983050847448</v>
      </c>
      <c r="CC102" s="9">
        <f t="shared" si="477"/>
        <v>6.8817204301075297E-2</v>
      </c>
      <c r="CD102" s="10">
        <f t="shared" si="477"/>
        <v>8.5197018104366418E-2</v>
      </c>
      <c r="CE102" s="10">
        <f t="shared" si="477"/>
        <v>5.2208835341365445E-2</v>
      </c>
      <c r="CF102" s="10">
        <f t="shared" si="477"/>
        <v>7.1576763485477146E-2</v>
      </c>
      <c r="CG102" s="10">
        <f t="shared" si="477"/>
        <v>-5.5710306406685506E-3</v>
      </c>
      <c r="CH102" s="9">
        <f t="shared" si="477"/>
        <v>4.9044265593561454E-2</v>
      </c>
      <c r="CI102" s="10">
        <f t="shared" si="477"/>
        <v>0.11187438665358185</v>
      </c>
      <c r="CJ102" s="10">
        <f t="shared" si="477"/>
        <v>0.11927480916030531</v>
      </c>
      <c r="CK102" s="10">
        <f t="shared" si="477"/>
        <v>0.10842207163601159</v>
      </c>
      <c r="CL102" s="10">
        <f t="shared" si="477"/>
        <v>3.5480859010270871E-2</v>
      </c>
      <c r="CM102" s="9">
        <f t="shared" si="477"/>
        <v>9.3263006473267795E-2</v>
      </c>
      <c r="CN102" s="10">
        <f t="shared" si="477"/>
        <v>-5.2956751985878681E-3</v>
      </c>
      <c r="CO102" s="10">
        <f t="shared" si="477"/>
        <v>1.9607843137254832E-2</v>
      </c>
      <c r="CP102" s="10">
        <f t="shared" si="477"/>
        <v>1.7467248908296984E-2</v>
      </c>
      <c r="CQ102" s="10">
        <f t="shared" si="477"/>
        <v>2.2542831379621209E-2</v>
      </c>
      <c r="CR102" s="9">
        <f t="shared" si="477"/>
        <v>1.3596491228070162E-2</v>
      </c>
      <c r="CS102" s="10">
        <f t="shared" si="477"/>
        <v>4.6140195208518087E-2</v>
      </c>
      <c r="CT102" s="10">
        <f t="shared" si="477"/>
        <v>5.6020066889632014E-2</v>
      </c>
      <c r="CU102" s="10">
        <f t="shared" si="477"/>
        <v>9.6137339055794024E-2</v>
      </c>
      <c r="CV102" s="10">
        <f t="shared" si="477"/>
        <v>-6.6137566137566162E-2</v>
      </c>
      <c r="CW102" s="9">
        <f t="shared" ref="CW102:ED102" si="478">CW101/CR101-1</f>
        <v>3.3751622674166981E-2</v>
      </c>
      <c r="CX102" s="10">
        <f t="shared" si="478"/>
        <v>-0.29262086513994912</v>
      </c>
      <c r="CY102" s="10">
        <f t="shared" si="478"/>
        <v>-0.32937450514647659</v>
      </c>
      <c r="CZ102" s="10">
        <f t="shared" si="478"/>
        <v>-0.27486296006264688</v>
      </c>
      <c r="DA102" s="10">
        <f t="shared" si="478"/>
        <v>-0.11709159584513695</v>
      </c>
      <c r="DB102" s="9">
        <f t="shared" si="478"/>
        <v>-0.25868564252825454</v>
      </c>
      <c r="DC102" s="10">
        <f t="shared" si="478"/>
        <v>0.17266187050359716</v>
      </c>
      <c r="DD102" s="10">
        <f t="shared" si="478"/>
        <v>0.28925619834710736</v>
      </c>
      <c r="DE102" s="10">
        <f t="shared" si="478"/>
        <v>0.16090712742980551</v>
      </c>
      <c r="DF102" s="10">
        <f t="shared" si="478"/>
        <v>0.19786096256684482</v>
      </c>
      <c r="DG102" s="9">
        <f t="shared" si="478"/>
        <v>0.20412196499153024</v>
      </c>
      <c r="DH102" s="10">
        <f t="shared" si="478"/>
        <v>0.15541922290388555</v>
      </c>
      <c r="DI102" s="10">
        <f t="shared" si="478"/>
        <v>0.11721611721611724</v>
      </c>
      <c r="DJ102" s="10">
        <f t="shared" si="478"/>
        <v>0.12837209302325592</v>
      </c>
      <c r="DK102" s="10">
        <f t="shared" si="478"/>
        <v>7.2321428571428648E-2</v>
      </c>
      <c r="DL102" s="9">
        <f>DL101/DG101-1</f>
        <v>0.11699882766705749</v>
      </c>
      <c r="DM102" s="10">
        <f t="shared" si="478"/>
        <v>0.12300884955752212</v>
      </c>
      <c r="DN102" s="10">
        <f t="shared" si="478"/>
        <v>8.6065573770491843E-2</v>
      </c>
      <c r="DO102" s="10">
        <f t="shared" si="478"/>
        <v>4.3693322341302521E-2</v>
      </c>
      <c r="DP102" s="10">
        <f t="shared" si="478"/>
        <v>6.3280599500416423E-2</v>
      </c>
      <c r="DQ102" s="9">
        <f t="shared" ref="DQ102:DV102" si="479">DQ101/DL101-1</f>
        <v>7.8295549958018462E-2</v>
      </c>
      <c r="DR102" s="10">
        <f t="shared" si="478"/>
        <v>4.9645390070921946E-2</v>
      </c>
      <c r="DS102" s="10">
        <f t="shared" si="478"/>
        <v>5.5849056603773484E-2</v>
      </c>
      <c r="DT102" s="10">
        <f t="shared" si="479"/>
        <v>8.3728278041074189E-2</v>
      </c>
      <c r="DU102" s="10">
        <f t="shared" si="478"/>
        <v>9.1620986687549033E-2</v>
      </c>
      <c r="DV102" s="9">
        <f t="shared" si="479"/>
        <v>7.0079813120498269E-2</v>
      </c>
      <c r="DW102" s="10">
        <f t="shared" si="478"/>
        <v>-2.1021021021020991E-2</v>
      </c>
      <c r="DX102" s="10">
        <f t="shared" si="478"/>
        <v>5.2894924946390365E-2</v>
      </c>
      <c r="DY102" s="10">
        <f t="shared" si="478"/>
        <v>7.580174927113692E-2</v>
      </c>
      <c r="DZ102" s="10">
        <f t="shared" si="478"/>
        <v>2.3008737652347344E-2</v>
      </c>
      <c r="EA102" s="9">
        <f>EA101/DV101-1</f>
        <v>3.3122463214002584E-2</v>
      </c>
      <c r="EB102" s="10">
        <f t="shared" si="478"/>
        <v>1.0736196319018454E-2</v>
      </c>
      <c r="EC102" s="10">
        <f t="shared" si="478"/>
        <v>-4.8200950441276258E-2</v>
      </c>
      <c r="ED102" s="10">
        <f t="shared" si="478"/>
        <v>-6.0298102981029778E-2</v>
      </c>
      <c r="EE102" s="10">
        <f t="shared" ref="EE102:EI102" si="480">EE101/DZ101-1</f>
        <v>-6.73696933970237E-2</v>
      </c>
      <c r="EF102" s="9">
        <f t="shared" si="480"/>
        <v>-4.262564153988968E-2</v>
      </c>
      <c r="EG102" s="10">
        <f t="shared" si="480"/>
        <v>-2.5796661608497695E-2</v>
      </c>
      <c r="EH102" s="10">
        <f t="shared" si="480"/>
        <v>-3.6376604850213989E-2</v>
      </c>
      <c r="EI102" s="10">
        <f t="shared" si="480"/>
        <v>-3.244412400865182E-2</v>
      </c>
      <c r="EJ102" s="10">
        <f t="shared" ref="EJ102" si="481">EJ101/EE101-1</f>
        <v>6.466165413533842E-2</v>
      </c>
      <c r="EK102" s="9">
        <f t="shared" ref="EK102:EQ102" si="482">EK101/EF101-1</f>
        <v>-8.092698179142932E-3</v>
      </c>
      <c r="EL102" s="10">
        <f t="shared" si="482"/>
        <v>7.3208722741433085E-2</v>
      </c>
      <c r="EM102" s="10">
        <f t="shared" si="482"/>
        <v>5.9215396002960663E-3</v>
      </c>
      <c r="EN102" s="10">
        <f t="shared" si="482"/>
        <v>-3.5767511177347222E-2</v>
      </c>
      <c r="EO102" s="10">
        <f t="shared" si="482"/>
        <v>-7.5564971751412413E-2</v>
      </c>
      <c r="EP102" s="9">
        <f t="shared" si="482"/>
        <v>-9.8275542369739011E-3</v>
      </c>
      <c r="EQ102" s="10">
        <f t="shared" si="482"/>
        <v>-1.5965166908563089E-2</v>
      </c>
      <c r="ER102" s="10">
        <f t="shared" ref="ER102" si="483">ER101/EM101-1</f>
        <v>2.9866235059760715E-2</v>
      </c>
      <c r="ES102" s="10">
        <f t="shared" ref="ES102:EU102" si="484">ES101/EN101-1</f>
        <v>5.1468343815513684E-2</v>
      </c>
      <c r="ET102" s="10">
        <f t="shared" si="484"/>
        <v>5.0416457023060524E-2</v>
      </c>
      <c r="EU102" s="9">
        <f t="shared" si="484"/>
        <v>2.8311496739077846E-2</v>
      </c>
      <c r="EV102" s="185"/>
      <c r="EW102" s="185"/>
      <c r="EX102" s="185"/>
      <c r="EY102" s="185"/>
      <c r="EZ102" s="9">
        <f>EZ101/EU101-1</f>
        <v>3.9140170690615594E-2</v>
      </c>
      <c r="FA102" s="185"/>
      <c r="FB102" s="185"/>
      <c r="FC102" s="185"/>
      <c r="FD102" s="185"/>
      <c r="FE102" s="9">
        <f>FE101/EZ101-1</f>
        <v>4.8947876422040792E-2</v>
      </c>
      <c r="FG102" s="468"/>
      <c r="FH102" s="780"/>
      <c r="FI102" s="780"/>
      <c r="FJ102" s="780"/>
      <c r="FL102" s="1348"/>
      <c r="FM102" s="10">
        <f t="shared" si="421"/>
        <v>-1.5965166908563089E-2</v>
      </c>
      <c r="FN102" s="1418">
        <f t="shared" si="422"/>
        <v>7.3208722741433085E-2</v>
      </c>
      <c r="FO102" s="1750">
        <v>-4.1215818363273704E-2</v>
      </c>
      <c r="FP102" s="1751"/>
      <c r="FQ102" s="1503">
        <f t="shared" si="467"/>
        <v>252.50651454710615</v>
      </c>
      <c r="FR102" s="1615"/>
      <c r="FS102" s="1619"/>
      <c r="FT102" s="432"/>
      <c r="FU102" s="432"/>
      <c r="FV102" s="432"/>
      <c r="FW102" s="432"/>
      <c r="FX102" s="432"/>
      <c r="FY102" s="432"/>
      <c r="FZ102" s="468"/>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c r="IW102"/>
      <c r="IX102"/>
    </row>
    <row r="103" spans="1:258" s="40" customFormat="1" x14ac:dyDescent="0.2">
      <c r="A103" s="166" t="s">
        <v>449</v>
      </c>
      <c r="B103" s="5"/>
      <c r="C103" s="5"/>
      <c r="D103" s="5"/>
      <c r="E103" s="5"/>
      <c r="F103" s="4"/>
      <c r="G103" s="5"/>
      <c r="H103" s="5"/>
      <c r="I103" s="5"/>
      <c r="J103" s="5"/>
      <c r="K103" s="4"/>
      <c r="L103" s="5"/>
      <c r="M103" s="5"/>
      <c r="N103" s="5"/>
      <c r="O103" s="5"/>
      <c r="P103" s="4"/>
      <c r="Q103" s="5"/>
      <c r="R103" s="5"/>
      <c r="S103" s="5"/>
      <c r="T103" s="5"/>
      <c r="U103" s="4"/>
      <c r="V103" s="5"/>
      <c r="W103" s="5"/>
      <c r="X103" s="5"/>
      <c r="Y103" s="5"/>
      <c r="Z103" s="4"/>
      <c r="AA103" s="5"/>
      <c r="AB103" s="5"/>
      <c r="AC103" s="5"/>
      <c r="AD103" s="5"/>
      <c r="AE103" s="4"/>
      <c r="AF103" s="5"/>
      <c r="AG103" s="5"/>
      <c r="AH103" s="5"/>
      <c r="AI103" s="5"/>
      <c r="AJ103" s="4"/>
      <c r="AK103" s="5">
        <f t="shared" ref="AK103:BP103" si="485">AK101/AK156</f>
        <v>0.58185840707964598</v>
      </c>
      <c r="AL103" s="5">
        <f t="shared" si="485"/>
        <v>0.57172995780590719</v>
      </c>
      <c r="AM103" s="5">
        <f t="shared" si="485"/>
        <v>0.56268221574344024</v>
      </c>
      <c r="AN103" s="5">
        <f t="shared" si="485"/>
        <v>0.56871035940803383</v>
      </c>
      <c r="AO103" s="4">
        <f t="shared" si="485"/>
        <v>0.57119770156221938</v>
      </c>
      <c r="AP103" s="5">
        <f t="shared" si="485"/>
        <v>0.58748221906116638</v>
      </c>
      <c r="AQ103" s="5">
        <f t="shared" si="485"/>
        <v>0.59296908089792455</v>
      </c>
      <c r="AR103" s="5">
        <f t="shared" si="485"/>
        <v>0.57163426925845928</v>
      </c>
      <c r="AS103" s="5">
        <f t="shared" si="485"/>
        <v>0.5795297372060858</v>
      </c>
      <c r="AT103" s="4">
        <f t="shared" si="485"/>
        <v>0.5829326923076924</v>
      </c>
      <c r="AU103" s="5">
        <f t="shared" si="485"/>
        <v>0.46393210749646391</v>
      </c>
      <c r="AV103" s="5">
        <f t="shared" si="485"/>
        <v>0.47696669029057404</v>
      </c>
      <c r="AW103" s="5">
        <f t="shared" si="485"/>
        <v>0.46593406593406594</v>
      </c>
      <c r="AX103" s="5">
        <f t="shared" si="485"/>
        <v>0.46105263157894738</v>
      </c>
      <c r="AY103" s="4">
        <f t="shared" si="485"/>
        <v>0.4669634906500445</v>
      </c>
      <c r="AZ103" s="5">
        <f t="shared" si="485"/>
        <v>0.48840381991814463</v>
      </c>
      <c r="BA103" s="5">
        <f t="shared" si="485"/>
        <v>0.5022712524334848</v>
      </c>
      <c r="BB103" s="5">
        <f t="shared" si="485"/>
        <v>0.48730964467005078</v>
      </c>
      <c r="BC103" s="5">
        <f t="shared" si="485"/>
        <v>0.49001109877913429</v>
      </c>
      <c r="BD103" s="4">
        <f t="shared" si="485"/>
        <v>0.49179580674567003</v>
      </c>
      <c r="BE103" s="5">
        <f t="shared" si="485"/>
        <v>0.49972268441486412</v>
      </c>
      <c r="BF103" s="5">
        <f t="shared" si="485"/>
        <v>0.51060358890701463</v>
      </c>
      <c r="BG103" s="5">
        <f t="shared" si="485"/>
        <v>0.48937360178970918</v>
      </c>
      <c r="BH103" s="5">
        <f t="shared" si="485"/>
        <v>0.47821290678433537</v>
      </c>
      <c r="BI103" s="4">
        <f t="shared" si="485"/>
        <v>0.49454645864973079</v>
      </c>
      <c r="BJ103" s="5">
        <f t="shared" si="485"/>
        <v>0.47780244173140957</v>
      </c>
      <c r="BK103" s="5">
        <f t="shared" si="485"/>
        <v>0.48932676518883417</v>
      </c>
      <c r="BL103" s="5">
        <f t="shared" si="485"/>
        <v>0.48006737787759685</v>
      </c>
      <c r="BM103" s="5">
        <f t="shared" si="485"/>
        <v>0.46917040358744394</v>
      </c>
      <c r="BN103" s="4">
        <f t="shared" si="485"/>
        <v>0.4791492910758966</v>
      </c>
      <c r="BO103" s="5">
        <f t="shared" si="485"/>
        <v>0.48684210526315791</v>
      </c>
      <c r="BP103" s="5">
        <f t="shared" si="485"/>
        <v>0.50163576881134131</v>
      </c>
      <c r="BQ103" s="5">
        <f t="shared" ref="BQ103:CV103" si="486">BQ101/BQ156</f>
        <v>0.49048152295632697</v>
      </c>
      <c r="BR103" s="5">
        <f t="shared" si="486"/>
        <v>0.48815426997245182</v>
      </c>
      <c r="BS103" s="4">
        <f t="shared" si="486"/>
        <v>0.4918557705694</v>
      </c>
      <c r="BT103" s="5">
        <f t="shared" si="486"/>
        <v>0.49918166939443537</v>
      </c>
      <c r="BU103" s="5">
        <f t="shared" si="486"/>
        <v>0.49841101694915252</v>
      </c>
      <c r="BV103" s="5">
        <f t="shared" si="486"/>
        <v>0.50410958904109593</v>
      </c>
      <c r="BW103" s="5">
        <f t="shared" si="486"/>
        <v>0.49710373880989994</v>
      </c>
      <c r="BX103" s="4">
        <f t="shared" si="486"/>
        <v>0.49966420416386836</v>
      </c>
      <c r="BY103" s="5">
        <f t="shared" si="486"/>
        <v>0.48931735278791039</v>
      </c>
      <c r="BZ103" s="5">
        <f t="shared" si="486"/>
        <v>0.49874812218327491</v>
      </c>
      <c r="CA103" s="5">
        <f t="shared" si="486"/>
        <v>0.4961399897066392</v>
      </c>
      <c r="CB103" s="5">
        <f t="shared" si="486"/>
        <v>0.49403669724770644</v>
      </c>
      <c r="CC103" s="4">
        <f t="shared" si="486"/>
        <v>0.49458887921383254</v>
      </c>
      <c r="CD103" s="5">
        <f t="shared" si="486"/>
        <v>0.48339658444022771</v>
      </c>
      <c r="CE103" s="5">
        <f t="shared" si="486"/>
        <v>0.48766868310842254</v>
      </c>
      <c r="CF103" s="5">
        <f t="shared" si="486"/>
        <v>0.48611764705882354</v>
      </c>
      <c r="CG103" s="5">
        <f t="shared" si="486"/>
        <v>0.48264984227129337</v>
      </c>
      <c r="CH103" s="4">
        <f t="shared" si="486"/>
        <v>0.48494361120799906</v>
      </c>
      <c r="CI103" s="5">
        <f t="shared" si="486"/>
        <v>0.48605748605748605</v>
      </c>
      <c r="CJ103" s="5">
        <f t="shared" si="486"/>
        <v>0.48451053283767037</v>
      </c>
      <c r="CK103" s="5">
        <f t="shared" si="486"/>
        <v>0.47353184449958641</v>
      </c>
      <c r="CL103" s="5">
        <f t="shared" si="486"/>
        <v>0.46285475792988312</v>
      </c>
      <c r="CM103" s="4">
        <f t="shared" si="486"/>
        <v>0.47668827095964877</v>
      </c>
      <c r="CN103" s="5">
        <f t="shared" si="486"/>
        <v>0.46531791907514453</v>
      </c>
      <c r="CO103" s="5">
        <f t="shared" si="486"/>
        <v>0.47272727272727272</v>
      </c>
      <c r="CP103" s="5">
        <f t="shared" si="486"/>
        <v>0.4658136745301879</v>
      </c>
      <c r="CQ103" s="5">
        <f t="shared" si="486"/>
        <v>0.44004656577415602</v>
      </c>
      <c r="CR103" s="4">
        <f t="shared" si="486"/>
        <v>0.46081754735792624</v>
      </c>
      <c r="CS103" s="5">
        <f t="shared" si="486"/>
        <v>0.43457427202359011</v>
      </c>
      <c r="CT103" s="5">
        <f t="shared" si="486"/>
        <v>0.43446852425180599</v>
      </c>
      <c r="CU103" s="5">
        <f t="shared" si="486"/>
        <v>0.43127321850726108</v>
      </c>
      <c r="CV103" s="5">
        <f t="shared" si="486"/>
        <v>0.39603590127150334</v>
      </c>
      <c r="CW103" s="4">
        <f t="shared" ref="CW103:DV103" si="487">CW101/CW156</f>
        <v>0.4245224344735673</v>
      </c>
      <c r="CX103" s="5">
        <f t="shared" si="487"/>
        <v>0.3711615487316422</v>
      </c>
      <c r="CY103" s="5">
        <f t="shared" si="487"/>
        <v>0.38764302059496569</v>
      </c>
      <c r="CZ103" s="5">
        <f t="shared" si="487"/>
        <v>0.40454346876365227</v>
      </c>
      <c r="DA103" s="5">
        <f t="shared" si="487"/>
        <v>0.40301724137931033</v>
      </c>
      <c r="DB103" s="4">
        <f t="shared" si="487"/>
        <v>0.39177082181174649</v>
      </c>
      <c r="DC103" s="5">
        <f t="shared" si="487"/>
        <v>0.3926134082697712</v>
      </c>
      <c r="DD103" s="5">
        <f t="shared" si="487"/>
        <v>0.41006383777694327</v>
      </c>
      <c r="DE103" s="5">
        <f t="shared" si="487"/>
        <v>0.40322580645161288</v>
      </c>
      <c r="DF103" s="5">
        <f t="shared" si="487"/>
        <v>0.39772727272727271</v>
      </c>
      <c r="DG103" s="4">
        <f t="shared" si="487"/>
        <v>0.40099661526889807</v>
      </c>
      <c r="DH103" s="5">
        <f t="shared" si="487"/>
        <v>0.39971701450300673</v>
      </c>
      <c r="DI103" s="5">
        <f t="shared" si="487"/>
        <v>0.40491204779289747</v>
      </c>
      <c r="DJ103" s="5">
        <f t="shared" si="487"/>
        <v>0.40952059419311276</v>
      </c>
      <c r="DK103" s="5">
        <f t="shared" si="487"/>
        <v>0.40126962913464753</v>
      </c>
      <c r="DL103" s="4">
        <f t="shared" si="487"/>
        <v>0.40389995760915642</v>
      </c>
      <c r="DM103" s="5">
        <f t="shared" si="487"/>
        <v>0.42047713717693835</v>
      </c>
      <c r="DN103" s="5">
        <f t="shared" si="487"/>
        <v>0.44373744139316812</v>
      </c>
      <c r="DO103" s="5">
        <f t="shared" si="487"/>
        <v>0.44203910614525138</v>
      </c>
      <c r="DP103" s="5">
        <f t="shared" si="487"/>
        <v>0.44110535405872192</v>
      </c>
      <c r="DQ103" s="4">
        <f t="shared" si="487"/>
        <v>0.4367083227067925</v>
      </c>
      <c r="DR103" s="5">
        <f t="shared" si="487"/>
        <v>0.45445240532241554</v>
      </c>
      <c r="DS103" s="5">
        <f>DS101/DS156</f>
        <v>0.46171617161716172</v>
      </c>
      <c r="DT103" s="5">
        <f t="shared" si="487"/>
        <v>0.46762099522835721</v>
      </c>
      <c r="DU103" s="5">
        <f>DU101/DU156</f>
        <v>0.45976253298153036</v>
      </c>
      <c r="DV103" s="4">
        <f t="shared" si="487"/>
        <v>0.46088706296637882</v>
      </c>
      <c r="DW103" s="5">
        <f>DW101/DW156</f>
        <v>0.44098748731822796</v>
      </c>
      <c r="DX103" s="5">
        <f>DX101/DX156</f>
        <v>0.45561398082276522</v>
      </c>
      <c r="DY103" s="5">
        <f>DY101/DY156</f>
        <v>0.4606741573033708</v>
      </c>
      <c r="DZ103" s="5">
        <f>DZ101/DZ156</f>
        <v>0.44675471174638781</v>
      </c>
      <c r="EA103" s="4">
        <f>EA101/EA156</f>
        <v>0.45121887086777879</v>
      </c>
      <c r="EB103" s="5">
        <f t="shared" ref="EB103:EF103" si="488">EB101/EB156</f>
        <v>0.44693116310613767</v>
      </c>
      <c r="EC103" s="5">
        <f t="shared" si="488"/>
        <v>0.46042692939244662</v>
      </c>
      <c r="ED103" s="5">
        <f t="shared" si="488"/>
        <v>0.47192922762844502</v>
      </c>
      <c r="EE103" s="5">
        <f t="shared" si="488"/>
        <v>0.47824523552678894</v>
      </c>
      <c r="EF103" s="4">
        <f t="shared" si="488"/>
        <v>0.46414546696260883</v>
      </c>
      <c r="EG103" s="5">
        <f>EG101/EG156</f>
        <v>0.49045072574484339</v>
      </c>
      <c r="EH103" s="5">
        <f>EH101/EH156</f>
        <v>0.49963017751479288</v>
      </c>
      <c r="EI103" s="5">
        <f>EI101/EI156</f>
        <v>0.4952029520295203</v>
      </c>
      <c r="EJ103" s="5">
        <f t="shared" ref="EJ103:EK103" si="489">EJ101/EJ156</f>
        <v>0.46624958840961478</v>
      </c>
      <c r="EK103" s="4">
        <f t="shared" si="489"/>
        <v>0.48721655072725628</v>
      </c>
      <c r="EL103" s="5">
        <f>EL101/EL156</f>
        <v>0.48030672708260719</v>
      </c>
      <c r="EM103" s="5">
        <f>EM101/EM156</f>
        <v>0.46334810773951585</v>
      </c>
      <c r="EN103" s="5">
        <f>EN101/EN156</f>
        <v>0.47174626321545754</v>
      </c>
      <c r="EO103" s="5">
        <f t="shared" ref="EO103:EP103" si="490">EO101/EO156</f>
        <v>0.45721271393643031</v>
      </c>
      <c r="EP103" s="4">
        <f t="shared" si="490"/>
        <v>0.46809256661991583</v>
      </c>
      <c r="EQ103" s="5">
        <f>EQ101/EQ156</f>
        <v>0.47148817802503479</v>
      </c>
      <c r="ER103" s="5">
        <f t="shared" ref="ER103" si="491">ER101/ER156</f>
        <v>0.48615585175009007</v>
      </c>
      <c r="ES103" s="5">
        <f t="shared" ref="ES103:EU103" si="492">ES101/ES156</f>
        <v>0.47284682204402734</v>
      </c>
      <c r="ET103" s="5">
        <f t="shared" si="492"/>
        <v>0.45236097183993762</v>
      </c>
      <c r="EU103" s="4">
        <f t="shared" si="492"/>
        <v>0.47045981828577638</v>
      </c>
      <c r="EV103" s="21"/>
      <c r="EW103" s="21"/>
      <c r="EX103" s="21"/>
      <c r="EY103" s="21"/>
      <c r="EZ103" s="4">
        <f>EZ101/EZ156</f>
        <v>0.47845651299756442</v>
      </c>
      <c r="FA103" s="21"/>
      <c r="FB103" s="21"/>
      <c r="FC103" s="21"/>
      <c r="FD103" s="21"/>
      <c r="FE103" s="4">
        <f>FE101/FE156</f>
        <v>0.48921673134440191</v>
      </c>
      <c r="FG103" s="464"/>
      <c r="FH103" s="779"/>
      <c r="FI103" s="779"/>
      <c r="FJ103" s="779"/>
      <c r="FL103" s="1349"/>
      <c r="FM103" s="5">
        <f t="shared" si="421"/>
        <v>0.47148817802503479</v>
      </c>
      <c r="FN103" s="1425">
        <f t="shared" si="422"/>
        <v>0.48030672708260719</v>
      </c>
      <c r="FO103" s="1813">
        <v>0.47038419426218081</v>
      </c>
      <c r="FP103" s="1511"/>
      <c r="FQ103" s="1503"/>
      <c r="FR103" s="1619"/>
      <c r="FS103" s="1619"/>
      <c r="FT103" s="433"/>
      <c r="FU103" s="433"/>
      <c r="FV103" s="433"/>
      <c r="FW103" s="433"/>
      <c r="FX103" s="433"/>
      <c r="FY103" s="433"/>
      <c r="FZ103" s="464"/>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c r="IW103"/>
      <c r="IX103"/>
    </row>
    <row r="104" spans="1:258" s="21" customFormat="1" x14ac:dyDescent="0.2">
      <c r="A104" s="2046" t="s">
        <v>473</v>
      </c>
      <c r="B104" s="5"/>
      <c r="C104" s="5"/>
      <c r="D104" s="5"/>
      <c r="E104" s="5"/>
      <c r="F104" s="4"/>
      <c r="G104" s="5"/>
      <c r="H104" s="5"/>
      <c r="I104" s="5"/>
      <c r="J104" s="5"/>
      <c r="K104" s="4"/>
      <c r="L104" s="5"/>
      <c r="M104" s="5"/>
      <c r="N104" s="5"/>
      <c r="O104" s="5"/>
      <c r="P104" s="4"/>
      <c r="Q104" s="5"/>
      <c r="R104" s="5"/>
      <c r="S104" s="5"/>
      <c r="T104" s="5"/>
      <c r="U104" s="4"/>
      <c r="V104" s="5"/>
      <c r="W104" s="5"/>
      <c r="X104" s="5"/>
      <c r="Y104" s="5"/>
      <c r="Z104" s="4"/>
      <c r="AA104" s="5"/>
      <c r="AB104" s="5"/>
      <c r="AC104" s="5"/>
      <c r="AD104" s="5"/>
      <c r="AE104" s="4"/>
      <c r="AF104" s="5"/>
      <c r="AG104" s="5"/>
      <c r="AH104" s="5"/>
      <c r="AI104" s="5"/>
      <c r="AJ104" s="4"/>
      <c r="AK104" s="5"/>
      <c r="AL104" s="5"/>
      <c r="AM104" s="5"/>
      <c r="AN104" s="5"/>
      <c r="AO104" s="4"/>
      <c r="AP104" s="5"/>
      <c r="AQ104" s="5"/>
      <c r="AR104" s="5"/>
      <c r="AS104" s="5"/>
      <c r="AT104" s="4"/>
      <c r="AU104" s="5"/>
      <c r="AV104" s="5"/>
      <c r="AW104" s="5"/>
      <c r="AX104" s="5"/>
      <c r="AY104" s="4"/>
      <c r="AZ104" s="5"/>
      <c r="BA104" s="5"/>
      <c r="BB104" s="5"/>
      <c r="BC104" s="5"/>
      <c r="BD104" s="4"/>
      <c r="BE104" s="5"/>
      <c r="BF104" s="5"/>
      <c r="BG104" s="5"/>
      <c r="BH104" s="5"/>
      <c r="BI104" s="4"/>
      <c r="BJ104" s="5"/>
      <c r="BK104" s="5"/>
      <c r="BL104" s="5"/>
      <c r="BM104" s="5"/>
      <c r="BN104" s="4"/>
      <c r="BO104" s="5"/>
      <c r="BP104" s="5"/>
      <c r="BQ104" s="5"/>
      <c r="BR104" s="5"/>
      <c r="BS104" s="4"/>
      <c r="BT104" s="5"/>
      <c r="BU104" s="5"/>
      <c r="BV104" s="5"/>
      <c r="BW104" s="5"/>
      <c r="BX104" s="4"/>
      <c r="BY104" s="5"/>
      <c r="BZ104" s="5"/>
      <c r="CA104" s="5"/>
      <c r="CB104" s="5"/>
      <c r="CC104" s="4"/>
      <c r="CD104" s="5"/>
      <c r="CE104" s="5"/>
      <c r="CF104" s="5"/>
      <c r="CG104" s="5"/>
      <c r="CH104" s="4"/>
      <c r="CI104" s="5"/>
      <c r="CJ104" s="5"/>
      <c r="CK104" s="5"/>
      <c r="CL104" s="5"/>
      <c r="CM104" s="4"/>
      <c r="CN104" s="5"/>
      <c r="CO104" s="5"/>
      <c r="CP104" s="5"/>
      <c r="CQ104" s="5"/>
      <c r="CR104" s="4"/>
      <c r="CS104" s="5"/>
      <c r="CT104" s="5"/>
      <c r="CU104" s="5"/>
      <c r="CV104" s="5"/>
      <c r="CW104" s="4"/>
      <c r="CX104" s="5"/>
      <c r="CY104" s="5"/>
      <c r="CZ104" s="5"/>
      <c r="DA104" s="5"/>
      <c r="DB104" s="4"/>
      <c r="DC104" s="5"/>
      <c r="DD104" s="5"/>
      <c r="DE104" s="5"/>
      <c r="DF104" s="5"/>
      <c r="DG104" s="4"/>
      <c r="DH104" s="23">
        <f>DH7</f>
        <v>654</v>
      </c>
      <c r="DI104" s="23">
        <f t="shared" ref="DI104:FE104" si="493">DI7</f>
        <v>677</v>
      </c>
      <c r="DJ104" s="23">
        <f t="shared" si="493"/>
        <v>657</v>
      </c>
      <c r="DK104" s="23">
        <f t="shared" si="493"/>
        <v>666</v>
      </c>
      <c r="DL104" s="24">
        <f t="shared" si="493"/>
        <v>2654</v>
      </c>
      <c r="DM104" s="23">
        <f t="shared" si="493"/>
        <v>671</v>
      </c>
      <c r="DN104" s="23">
        <f t="shared" si="493"/>
        <v>680</v>
      </c>
      <c r="DO104" s="23">
        <f t="shared" si="493"/>
        <v>655</v>
      </c>
      <c r="DP104" s="23">
        <f t="shared" si="493"/>
        <v>662</v>
      </c>
      <c r="DQ104" s="24">
        <f t="shared" si="493"/>
        <v>2668</v>
      </c>
      <c r="DR104" s="23">
        <f t="shared" si="493"/>
        <v>666</v>
      </c>
      <c r="DS104" s="23">
        <f t="shared" si="493"/>
        <v>702</v>
      </c>
      <c r="DT104" s="23">
        <f t="shared" si="493"/>
        <v>687</v>
      </c>
      <c r="DU104" s="23">
        <f t="shared" si="493"/>
        <v>707</v>
      </c>
      <c r="DV104" s="24">
        <f t="shared" si="493"/>
        <v>2762</v>
      </c>
      <c r="DW104" s="23">
        <f t="shared" si="493"/>
        <v>680</v>
      </c>
      <c r="DX104" s="23">
        <f t="shared" si="493"/>
        <v>760</v>
      </c>
      <c r="DY104" s="23">
        <f t="shared" si="493"/>
        <v>748</v>
      </c>
      <c r="DZ104" s="23">
        <f t="shared" si="493"/>
        <v>744</v>
      </c>
      <c r="EA104" s="24">
        <f t="shared" si="493"/>
        <v>2932</v>
      </c>
      <c r="EB104" s="23">
        <f t="shared" si="493"/>
        <v>690.82999999999993</v>
      </c>
      <c r="EC104" s="23">
        <f t="shared" si="493"/>
        <v>741</v>
      </c>
      <c r="ED104" s="23">
        <f t="shared" si="493"/>
        <v>720</v>
      </c>
      <c r="EE104" s="23">
        <f t="shared" si="493"/>
        <v>708</v>
      </c>
      <c r="EF104" s="24">
        <f t="shared" si="493"/>
        <v>2859.83</v>
      </c>
      <c r="EG104" s="23">
        <f t="shared" si="493"/>
        <v>673</v>
      </c>
      <c r="EH104" s="23">
        <f t="shared" si="493"/>
        <v>706</v>
      </c>
      <c r="EI104" s="23">
        <f t="shared" si="493"/>
        <v>686</v>
      </c>
      <c r="EJ104" s="23">
        <f t="shared" si="493"/>
        <v>737</v>
      </c>
      <c r="EK104" s="24">
        <f t="shared" si="493"/>
        <v>2802</v>
      </c>
      <c r="EL104" s="23">
        <f t="shared" si="493"/>
        <v>699</v>
      </c>
      <c r="EM104" s="23">
        <f t="shared" si="493"/>
        <v>694</v>
      </c>
      <c r="EN104" s="23">
        <f t="shared" si="493"/>
        <v>651</v>
      </c>
      <c r="EO104" s="23">
        <f t="shared" si="493"/>
        <v>658</v>
      </c>
      <c r="EP104" s="24">
        <f t="shared" si="493"/>
        <v>2702</v>
      </c>
      <c r="EQ104" s="23">
        <f t="shared" ref="EQ104" si="494">EQ7</f>
        <v>642</v>
      </c>
      <c r="ER104" s="23">
        <f t="shared" si="493"/>
        <v>665.43999999999994</v>
      </c>
      <c r="ES104" s="23">
        <f t="shared" si="493"/>
        <v>654.44000000000005</v>
      </c>
      <c r="ET104" s="23">
        <f t="shared" si="493"/>
        <v>672.20500000000004</v>
      </c>
      <c r="EU104" s="24">
        <f t="shared" si="493"/>
        <v>2634.085</v>
      </c>
      <c r="EV104" s="25">
        <f t="shared" si="493"/>
        <v>0</v>
      </c>
      <c r="EW104" s="25">
        <f t="shared" si="493"/>
        <v>0</v>
      </c>
      <c r="EX104" s="25">
        <f t="shared" si="493"/>
        <v>0</v>
      </c>
      <c r="EY104" s="25">
        <f t="shared" si="493"/>
        <v>0</v>
      </c>
      <c r="EZ104" s="24">
        <f t="shared" si="493"/>
        <v>2645.80825</v>
      </c>
      <c r="FA104" s="25">
        <f t="shared" si="493"/>
        <v>0</v>
      </c>
      <c r="FB104" s="25">
        <f t="shared" si="493"/>
        <v>0</v>
      </c>
      <c r="FC104" s="25">
        <f t="shared" si="493"/>
        <v>0</v>
      </c>
      <c r="FD104" s="25">
        <f t="shared" si="493"/>
        <v>0</v>
      </c>
      <c r="FE104" s="24">
        <f t="shared" si="493"/>
        <v>2676.0108419999997</v>
      </c>
      <c r="FG104" s="478"/>
      <c r="FH104" s="772"/>
      <c r="FI104" s="772"/>
      <c r="FJ104" s="772"/>
      <c r="FL104" s="1343"/>
      <c r="FM104" s="1534"/>
      <c r="FN104" s="1425"/>
      <c r="FO104" s="1813">
        <v>645.24</v>
      </c>
      <c r="FP104" s="1509"/>
      <c r="FQ104" s="1510"/>
      <c r="FR104" s="1619"/>
      <c r="FS104" s="1619"/>
      <c r="FT104" s="433"/>
      <c r="FU104" s="433"/>
      <c r="FV104" s="433"/>
      <c r="FW104" s="433"/>
      <c r="FX104" s="433"/>
      <c r="FY104" s="433"/>
      <c r="FZ104" s="478"/>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c r="IW104"/>
      <c r="IX104"/>
    </row>
    <row r="105" spans="1:258" s="21" customFormat="1" x14ac:dyDescent="0.2">
      <c r="A105" s="2047" t="s">
        <v>823</v>
      </c>
      <c r="B105" s="5"/>
      <c r="C105" s="5"/>
      <c r="D105" s="5"/>
      <c r="E105" s="5"/>
      <c r="F105" s="4"/>
      <c r="G105" s="5"/>
      <c r="H105" s="5"/>
      <c r="I105" s="5"/>
      <c r="J105" s="5"/>
      <c r="K105" s="4"/>
      <c r="L105" s="5"/>
      <c r="M105" s="5"/>
      <c r="N105" s="5"/>
      <c r="O105" s="5"/>
      <c r="P105" s="4"/>
      <c r="Q105" s="5"/>
      <c r="R105" s="5"/>
      <c r="S105" s="5"/>
      <c r="T105" s="5"/>
      <c r="U105" s="4"/>
      <c r="V105" s="5"/>
      <c r="W105" s="5"/>
      <c r="X105" s="5"/>
      <c r="Y105" s="5"/>
      <c r="Z105" s="4"/>
      <c r="AA105" s="5"/>
      <c r="AB105" s="5"/>
      <c r="AC105" s="5"/>
      <c r="AD105" s="5"/>
      <c r="AE105" s="4"/>
      <c r="AF105" s="5"/>
      <c r="AG105" s="5"/>
      <c r="AH105" s="5"/>
      <c r="AI105" s="5"/>
      <c r="AJ105" s="4"/>
      <c r="AK105" s="5"/>
      <c r="AL105" s="5"/>
      <c r="AM105" s="5"/>
      <c r="AN105" s="5"/>
      <c r="AO105" s="4"/>
      <c r="AP105" s="5"/>
      <c r="AQ105" s="5"/>
      <c r="AR105" s="5"/>
      <c r="AS105" s="5"/>
      <c r="AT105" s="4"/>
      <c r="AU105" s="5"/>
      <c r="AV105" s="5"/>
      <c r="AW105" s="5"/>
      <c r="AX105" s="5"/>
      <c r="AY105" s="4"/>
      <c r="AZ105" s="5"/>
      <c r="BA105" s="5"/>
      <c r="BB105" s="5"/>
      <c r="BC105" s="5"/>
      <c r="BD105" s="4"/>
      <c r="BE105" s="5"/>
      <c r="BF105" s="5"/>
      <c r="BG105" s="5"/>
      <c r="BH105" s="5"/>
      <c r="BI105" s="4"/>
      <c r="BJ105" s="5"/>
      <c r="BK105" s="5"/>
      <c r="BL105" s="5"/>
      <c r="BM105" s="5"/>
      <c r="BN105" s="4"/>
      <c r="BO105" s="5"/>
      <c r="BP105" s="5"/>
      <c r="BQ105" s="5"/>
      <c r="BR105" s="5"/>
      <c r="BS105" s="4"/>
      <c r="BT105" s="5"/>
      <c r="BU105" s="5"/>
      <c r="BV105" s="5"/>
      <c r="BW105" s="5"/>
      <c r="BX105" s="4"/>
      <c r="BY105" s="5"/>
      <c r="BZ105" s="5"/>
      <c r="CA105" s="5"/>
      <c r="CB105" s="5"/>
      <c r="CC105" s="4"/>
      <c r="CD105" s="5"/>
      <c r="CE105" s="5"/>
      <c r="CF105" s="5"/>
      <c r="CG105" s="5"/>
      <c r="CH105" s="4"/>
      <c r="CI105" s="5"/>
      <c r="CJ105" s="5"/>
      <c r="CK105" s="5"/>
      <c r="CL105" s="5"/>
      <c r="CM105" s="4"/>
      <c r="CN105" s="5"/>
      <c r="CO105" s="5"/>
      <c r="CP105" s="5"/>
      <c r="CQ105" s="5"/>
      <c r="CR105" s="4"/>
      <c r="CS105" s="5"/>
      <c r="CT105" s="5"/>
      <c r="CU105" s="5"/>
      <c r="CV105" s="5"/>
      <c r="CW105" s="4"/>
      <c r="CX105" s="5"/>
      <c r="CY105" s="5"/>
      <c r="CZ105" s="5"/>
      <c r="DA105" s="5"/>
      <c r="DB105" s="4"/>
      <c r="DC105" s="5"/>
      <c r="DD105" s="5"/>
      <c r="DE105" s="5"/>
      <c r="DF105" s="5"/>
      <c r="DG105" s="4"/>
      <c r="DH105" s="1141"/>
      <c r="DI105" s="1141"/>
      <c r="DJ105" s="1141"/>
      <c r="DK105" s="1141"/>
      <c r="DL105" s="2048"/>
      <c r="DM105" s="1141">
        <f t="shared" ref="DM105" si="495">DM104/DH104-1</f>
        <v>2.5993883792049033E-2</v>
      </c>
      <c r="DN105" s="1141">
        <f t="shared" ref="DN105" si="496">DN104/DI104-1</f>
        <v>4.4313146233383449E-3</v>
      </c>
      <c r="DO105" s="1141">
        <f t="shared" ref="DO105" si="497">DO104/DJ104-1</f>
        <v>-3.0441400304414001E-3</v>
      </c>
      <c r="DP105" s="1141">
        <f t="shared" ref="DP105" si="498">DP104/DK104-1</f>
        <v>-6.0060060060059817E-3</v>
      </c>
      <c r="DQ105" s="2048">
        <f t="shared" ref="DQ105" si="499">DQ104/DL104-1</f>
        <v>5.2750565184627174E-3</v>
      </c>
      <c r="DR105" s="1141">
        <f t="shared" ref="DR105" si="500">DR104/DM104-1</f>
        <v>-7.4515648286139768E-3</v>
      </c>
      <c r="DS105" s="1141">
        <f t="shared" ref="DS105" si="501">DS104/DN104-1</f>
        <v>3.2352941176470695E-2</v>
      </c>
      <c r="DT105" s="1141">
        <f t="shared" ref="DT105" si="502">DT104/DO104-1</f>
        <v>4.8854961832061061E-2</v>
      </c>
      <c r="DU105" s="1141">
        <f t="shared" ref="DU105" si="503">DU104/DP104-1</f>
        <v>6.7975830815709903E-2</v>
      </c>
      <c r="DV105" s="2048">
        <f t="shared" ref="DV105" si="504">DV104/DQ104-1</f>
        <v>3.5232383808095902E-2</v>
      </c>
      <c r="DW105" s="1141">
        <f t="shared" ref="DW105" si="505">DW104/DR104-1</f>
        <v>2.1021021021021102E-2</v>
      </c>
      <c r="DX105" s="1141">
        <f t="shared" ref="DX105" si="506">DX104/DS104-1</f>
        <v>8.2621082621082698E-2</v>
      </c>
      <c r="DY105" s="1141">
        <f t="shared" ref="DY105" si="507">DY104/DT104-1</f>
        <v>8.879184861717615E-2</v>
      </c>
      <c r="DZ105" s="1141">
        <f t="shared" ref="DZ105" si="508">DZ104/DU104-1</f>
        <v>5.2333804809052253E-2</v>
      </c>
      <c r="EA105" s="2048">
        <f t="shared" ref="EA105" si="509">EA104/DV104-1</f>
        <v>6.1549601737871162E-2</v>
      </c>
      <c r="EB105" s="1141">
        <f t="shared" ref="EB105" si="510">EB104/DW104-1</f>
        <v>1.5926470588235153E-2</v>
      </c>
      <c r="EC105" s="1141">
        <f t="shared" ref="EC105" si="511">EC104/DX104-1</f>
        <v>-2.5000000000000022E-2</v>
      </c>
      <c r="ED105" s="1141">
        <f t="shared" ref="ED105" si="512">ED104/DY104-1</f>
        <v>-3.7433155080213942E-2</v>
      </c>
      <c r="EE105" s="1141">
        <f t="shared" ref="EE105" si="513">EE104/DZ104-1</f>
        <v>-4.8387096774193505E-2</v>
      </c>
      <c r="EF105" s="2048">
        <f t="shared" ref="EF105" si="514">EF104/EA104-1</f>
        <v>-2.4614597544338368E-2</v>
      </c>
      <c r="EG105" s="1141">
        <f t="shared" ref="EG105" si="515">EG104/EB104-1</f>
        <v>-2.5809533459751233E-2</v>
      </c>
      <c r="EH105" s="1141">
        <f t="shared" ref="EH105" si="516">EH104/EC104-1</f>
        <v>-4.7233468286099867E-2</v>
      </c>
      <c r="EI105" s="1141">
        <f t="shared" ref="EI105" si="517">EI104/ED104-1</f>
        <v>-4.7222222222222276E-2</v>
      </c>
      <c r="EJ105" s="1141">
        <f t="shared" ref="EJ105" si="518">EJ104/EE104-1</f>
        <v>4.0960451977401169E-2</v>
      </c>
      <c r="EK105" s="2048">
        <f t="shared" ref="EK105" si="519">EK104/EF104-1</f>
        <v>-2.0221481696464427E-2</v>
      </c>
      <c r="EL105" s="1141">
        <f t="shared" ref="EL105" si="520">EL104/EG104-1</f>
        <v>3.8632986627043175E-2</v>
      </c>
      <c r="EM105" s="1141">
        <f t="shared" ref="EM105" si="521">EM104/EH104-1</f>
        <v>-1.6997167138810165E-2</v>
      </c>
      <c r="EN105" s="1141">
        <f t="shared" ref="EN105" si="522">EN104/EI104-1</f>
        <v>-5.1020408163265252E-2</v>
      </c>
      <c r="EO105" s="1141">
        <f t="shared" ref="EO105" si="523">EO104/EJ104-1</f>
        <v>-0.10719131614653998</v>
      </c>
      <c r="EP105" s="2048">
        <f t="shared" ref="EP105:EQ105" si="524">EP104/EK104-1</f>
        <v>-3.5688793718772316E-2</v>
      </c>
      <c r="EQ105" s="1141">
        <f t="shared" si="524"/>
        <v>-8.1545064377682386E-2</v>
      </c>
      <c r="ER105" s="1141">
        <f t="shared" ref="ER105" si="525">ER104/EM104-1</f>
        <v>-4.1152737752161439E-2</v>
      </c>
      <c r="ES105" s="1141">
        <f t="shared" ref="ES105" si="526">ES104/EN104-1</f>
        <v>5.2841781874040095E-3</v>
      </c>
      <c r="ET105" s="1141">
        <f t="shared" ref="ET105" si="527">ET104/EO104-1</f>
        <v>2.1588145896656696E-2</v>
      </c>
      <c r="EU105" s="2048">
        <f t="shared" ref="EU105" si="528">EU104/EP104-1</f>
        <v>-2.5135085122131695E-2</v>
      </c>
      <c r="EV105" s="2049"/>
      <c r="EW105" s="2049"/>
      <c r="EX105" s="2049"/>
      <c r="EY105" s="2049"/>
      <c r="EZ105" s="2048">
        <f t="shared" ref="EZ105" si="529">EZ104/EU104-1</f>
        <v>4.4505966967656185E-3</v>
      </c>
      <c r="FA105" s="2049"/>
      <c r="FB105" s="2049"/>
      <c r="FC105" s="2049"/>
      <c r="FD105" s="2049"/>
      <c r="FE105" s="2048">
        <f t="shared" ref="FE105" si="530">FE104/EZ104-1</f>
        <v>1.141526110216029E-2</v>
      </c>
      <c r="FG105" s="478"/>
      <c r="FH105" s="772"/>
      <c r="FI105" s="772"/>
      <c r="FJ105" s="772"/>
      <c r="FL105" s="1343"/>
      <c r="FM105" s="1534"/>
      <c r="FN105" s="1425"/>
      <c r="FO105" s="1813">
        <v>-7.690987124463522E-2</v>
      </c>
      <c r="FP105" s="1509"/>
      <c r="FQ105" s="1510"/>
      <c r="FR105" s="1619"/>
      <c r="FS105" s="1619"/>
      <c r="FT105" s="433"/>
      <c r="FU105" s="433"/>
      <c r="FV105" s="433"/>
      <c r="FW105" s="433"/>
      <c r="FX105" s="433"/>
      <c r="FY105" s="433"/>
      <c r="FZ105" s="478"/>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c r="IW105"/>
      <c r="IX105"/>
    </row>
    <row r="106" spans="1:258" s="21" customFormat="1" x14ac:dyDescent="0.2">
      <c r="A106" s="2047" t="s">
        <v>824</v>
      </c>
      <c r="B106" s="5"/>
      <c r="C106" s="5"/>
      <c r="D106" s="5"/>
      <c r="E106" s="5"/>
      <c r="F106" s="4"/>
      <c r="G106" s="5"/>
      <c r="H106" s="5"/>
      <c r="I106" s="5"/>
      <c r="J106" s="5"/>
      <c r="K106" s="4"/>
      <c r="L106" s="5"/>
      <c r="M106" s="5"/>
      <c r="N106" s="5"/>
      <c r="O106" s="5"/>
      <c r="P106" s="4"/>
      <c r="Q106" s="5"/>
      <c r="R106" s="5"/>
      <c r="S106" s="5"/>
      <c r="T106" s="5"/>
      <c r="U106" s="4"/>
      <c r="V106" s="5"/>
      <c r="W106" s="5"/>
      <c r="X106" s="5"/>
      <c r="Y106" s="5"/>
      <c r="Z106" s="4"/>
      <c r="AA106" s="5"/>
      <c r="AB106" s="5"/>
      <c r="AC106" s="5"/>
      <c r="AD106" s="5"/>
      <c r="AE106" s="4"/>
      <c r="AF106" s="5"/>
      <c r="AG106" s="5"/>
      <c r="AH106" s="5"/>
      <c r="AI106" s="5"/>
      <c r="AJ106" s="4"/>
      <c r="AK106" s="5"/>
      <c r="AL106" s="5"/>
      <c r="AM106" s="5"/>
      <c r="AN106" s="5"/>
      <c r="AO106" s="4"/>
      <c r="AP106" s="5"/>
      <c r="AQ106" s="5"/>
      <c r="AR106" s="5"/>
      <c r="AS106" s="5"/>
      <c r="AT106" s="4"/>
      <c r="AU106" s="5"/>
      <c r="AV106" s="5"/>
      <c r="AW106" s="5"/>
      <c r="AX106" s="5"/>
      <c r="AY106" s="4"/>
      <c r="AZ106" s="5"/>
      <c r="BA106" s="5"/>
      <c r="BB106" s="5"/>
      <c r="BC106" s="5"/>
      <c r="BD106" s="4"/>
      <c r="BE106" s="5"/>
      <c r="BF106" s="5"/>
      <c r="BG106" s="5"/>
      <c r="BH106" s="5"/>
      <c r="BI106" s="4"/>
      <c r="BJ106" s="5"/>
      <c r="BK106" s="5"/>
      <c r="BL106" s="5"/>
      <c r="BM106" s="5"/>
      <c r="BN106" s="4"/>
      <c r="BO106" s="5"/>
      <c r="BP106" s="5"/>
      <c r="BQ106" s="5"/>
      <c r="BR106" s="5"/>
      <c r="BS106" s="4"/>
      <c r="BT106" s="5"/>
      <c r="BU106" s="5"/>
      <c r="BV106" s="5"/>
      <c r="BW106" s="5"/>
      <c r="BX106" s="4"/>
      <c r="BY106" s="5"/>
      <c r="BZ106" s="5"/>
      <c r="CA106" s="5"/>
      <c r="CB106" s="5"/>
      <c r="CC106" s="4"/>
      <c r="CD106" s="5"/>
      <c r="CE106" s="5"/>
      <c r="CF106" s="5"/>
      <c r="CG106" s="5"/>
      <c r="CH106" s="4"/>
      <c r="CI106" s="5"/>
      <c r="CJ106" s="5"/>
      <c r="CK106" s="5"/>
      <c r="CL106" s="5"/>
      <c r="CM106" s="4"/>
      <c r="CN106" s="5"/>
      <c r="CO106" s="5"/>
      <c r="CP106" s="5"/>
      <c r="CQ106" s="5"/>
      <c r="CR106" s="4"/>
      <c r="CS106" s="5"/>
      <c r="CT106" s="5"/>
      <c r="CU106" s="5"/>
      <c r="CV106" s="5"/>
      <c r="CW106" s="4"/>
      <c r="CX106" s="5"/>
      <c r="CY106" s="5"/>
      <c r="CZ106" s="5"/>
      <c r="DA106" s="5"/>
      <c r="DB106" s="4"/>
      <c r="DC106" s="5"/>
      <c r="DD106" s="5"/>
      <c r="DE106" s="5"/>
      <c r="DF106" s="5"/>
      <c r="DG106" s="4"/>
      <c r="DH106" s="1523">
        <f>DH104/DH$23</f>
        <v>0.41080402010050249</v>
      </c>
      <c r="DI106" s="1523">
        <f t="shared" ref="DI106:DL106" si="531">DI104/DI$23</f>
        <v>0.41130012150668288</v>
      </c>
      <c r="DJ106" s="1523">
        <f t="shared" si="531"/>
        <v>0.40580605311920936</v>
      </c>
      <c r="DK106" s="1523">
        <f t="shared" si="531"/>
        <v>0.41136504014823966</v>
      </c>
      <c r="DL106" s="1715">
        <f t="shared" si="531"/>
        <v>0.40982087708462012</v>
      </c>
      <c r="DM106" s="1523">
        <f>DM104/DM$23</f>
        <v>0.41885143570536831</v>
      </c>
      <c r="DN106" s="1523">
        <f t="shared" ref="DN106:DQ106" si="532">DN104/DN$23</f>
        <v>0.41463414634146339</v>
      </c>
      <c r="DO106" s="1523">
        <f t="shared" si="532"/>
        <v>0.40937499999999999</v>
      </c>
      <c r="DP106" s="1523">
        <f t="shared" si="532"/>
        <v>0.42246330567964263</v>
      </c>
      <c r="DQ106" s="1715">
        <f t="shared" si="532"/>
        <v>0.41628959276018102</v>
      </c>
      <c r="DR106" s="1523">
        <f>DR104/DR$23</f>
        <v>0.42269879854530684</v>
      </c>
      <c r="DS106" s="1523">
        <f t="shared" ref="DS106:DV106" si="533">DS104/DS$23</f>
        <v>0.42391304347826086</v>
      </c>
      <c r="DT106" s="1523">
        <f t="shared" si="533"/>
        <v>0.41813755325623858</v>
      </c>
      <c r="DU106" s="1523">
        <f t="shared" si="533"/>
        <v>0.42539109506618533</v>
      </c>
      <c r="DV106" s="1715">
        <f t="shared" si="533"/>
        <v>0.42254447655428901</v>
      </c>
      <c r="DW106" s="1523">
        <f>DW104/DW$23</f>
        <v>0.41975308641975306</v>
      </c>
      <c r="DX106" s="1523">
        <f t="shared" ref="DX106:EA106" si="534">DX104/DX$23</f>
        <v>0.42672655811341942</v>
      </c>
      <c r="DY106" s="1523">
        <f t="shared" si="534"/>
        <v>0.42548350398179752</v>
      </c>
      <c r="DZ106" s="1523">
        <f t="shared" si="534"/>
        <v>0.42193614246015987</v>
      </c>
      <c r="EA106" s="1715">
        <f t="shared" si="534"/>
        <v>0.42355864380336017</v>
      </c>
      <c r="EB106" s="1523">
        <f>EB104/EB$23</f>
        <v>0.42256993081849487</v>
      </c>
      <c r="EC106" s="1523">
        <f t="shared" ref="EC106:EF106" si="535">EC104/EC$23</f>
        <v>0.42126208072768617</v>
      </c>
      <c r="ED106" s="1523">
        <f t="shared" si="535"/>
        <v>0.42056074766355139</v>
      </c>
      <c r="EE106" s="1523">
        <f t="shared" si="535"/>
        <v>0.42779456193353477</v>
      </c>
      <c r="EF106" s="1715">
        <f t="shared" si="535"/>
        <v>0.42299983877719155</v>
      </c>
      <c r="EG106" s="1523">
        <f>EG104/EG$23</f>
        <v>0.43391360412637009</v>
      </c>
      <c r="EH106" s="1523">
        <f t="shared" ref="EH106:EK106" si="536">EH104/EH$23</f>
        <v>0.4426332288401254</v>
      </c>
      <c r="EI106" s="1523">
        <f t="shared" si="536"/>
        <v>0.43583227445997458</v>
      </c>
      <c r="EJ106" s="1523">
        <f t="shared" si="536"/>
        <v>0.42576545349508954</v>
      </c>
      <c r="EK106" s="1715">
        <f t="shared" si="536"/>
        <v>0.43435126337002017</v>
      </c>
      <c r="EL106" s="1523">
        <f>EL104/EL$23</f>
        <v>0.439070351758794</v>
      </c>
      <c r="EM106" s="1523">
        <f t="shared" ref="EM106:EP106" si="537">EM104/EM$23</f>
        <v>0.42839506172839509</v>
      </c>
      <c r="EN106" s="1523">
        <f t="shared" si="537"/>
        <v>0.41020793950850659</v>
      </c>
      <c r="EO106" s="1523">
        <f t="shared" si="537"/>
        <v>0.41099312929419113</v>
      </c>
      <c r="EP106" s="1715">
        <f t="shared" si="537"/>
        <v>0.42218749999999999</v>
      </c>
      <c r="EQ106" s="1523">
        <f>EQ104/EQ$23</f>
        <v>0.41906005221932113</v>
      </c>
      <c r="ER106" s="1523">
        <f t="shared" ref="ER106:EU106" si="538">ER104/ER$23</f>
        <v>0.41968503440403127</v>
      </c>
      <c r="ES106" s="1523">
        <f t="shared" si="538"/>
        <v>0.40950360734107988</v>
      </c>
      <c r="ET106" s="1523">
        <f t="shared" si="538"/>
        <v>0.40849743703492142</v>
      </c>
      <c r="EU106" s="1715">
        <f t="shared" si="538"/>
        <v>0.41408259848096013</v>
      </c>
      <c r="EV106" s="1523"/>
      <c r="EW106" s="1523"/>
      <c r="EX106" s="1523"/>
      <c r="EY106" s="1523"/>
      <c r="EZ106" s="1715">
        <f t="shared" ref="EZ106" si="539">EZ104/EZ$23</f>
        <v>0.41078027507210313</v>
      </c>
      <c r="FA106" s="1523"/>
      <c r="FB106" s="1523"/>
      <c r="FC106" s="1523"/>
      <c r="FD106" s="1523"/>
      <c r="FE106" s="1715">
        <f t="shared" ref="FE106" si="540">FE104/FE$23</f>
        <v>0.40875867624236989</v>
      </c>
      <c r="FG106" s="478"/>
      <c r="FH106" s="772"/>
      <c r="FI106" s="772"/>
      <c r="FJ106" s="772"/>
      <c r="FL106" s="1343"/>
      <c r="FM106" s="1534"/>
      <c r="FN106" s="1425"/>
      <c r="FO106" s="1813">
        <v>0.42020670387423237</v>
      </c>
      <c r="FP106" s="1509"/>
      <c r="FQ106" s="1510"/>
      <c r="FR106" s="1619"/>
      <c r="FS106" s="1619"/>
      <c r="FT106" s="433"/>
      <c r="FU106" s="433"/>
      <c r="FV106" s="433"/>
      <c r="FW106" s="433"/>
      <c r="FX106" s="433"/>
      <c r="FY106" s="433"/>
      <c r="FZ106" s="478"/>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c r="IW106"/>
      <c r="IX106"/>
    </row>
    <row r="107" spans="1:258" s="43" customFormat="1" x14ac:dyDescent="0.2">
      <c r="A107" s="573" t="s">
        <v>233</v>
      </c>
      <c r="B107" s="27"/>
      <c r="C107" s="27"/>
      <c r="D107" s="27"/>
      <c r="E107" s="27"/>
      <c r="F107" s="28"/>
      <c r="G107" s="27"/>
      <c r="H107" s="27"/>
      <c r="I107" s="27"/>
      <c r="J107" s="27"/>
      <c r="K107" s="28"/>
      <c r="L107" s="27"/>
      <c r="M107" s="27"/>
      <c r="N107" s="27"/>
      <c r="O107" s="27"/>
      <c r="P107" s="28"/>
      <c r="Q107" s="27">
        <f t="shared" ref="Q107:AV107" si="541">Q101*1000/(Q16+Q22+Q11+Q19+Q12+Q9)</f>
        <v>1121.5999999999999</v>
      </c>
      <c r="R107" s="27">
        <f t="shared" si="541"/>
        <v>1084.6153846153848</v>
      </c>
      <c r="S107" s="27">
        <f t="shared" si="541"/>
        <v>1069.6920583468395</v>
      </c>
      <c r="T107" s="27">
        <f t="shared" si="541"/>
        <v>1086.5533230293663</v>
      </c>
      <c r="U107" s="28">
        <f t="shared" si="541"/>
        <v>1090.5705751394923</v>
      </c>
      <c r="V107" s="27">
        <f t="shared" si="541"/>
        <v>1121.4953271028037</v>
      </c>
      <c r="W107" s="27">
        <f t="shared" si="541"/>
        <v>1102.9850746268658</v>
      </c>
      <c r="X107" s="27">
        <f t="shared" si="541"/>
        <v>1067.7966101694915</v>
      </c>
      <c r="Y107" s="27">
        <f t="shared" si="541"/>
        <v>1119.8224852071005</v>
      </c>
      <c r="Z107" s="28">
        <f t="shared" si="541"/>
        <v>1103.1475161167994</v>
      </c>
      <c r="AA107" s="27">
        <f t="shared" si="541"/>
        <v>1117.9941002949852</v>
      </c>
      <c r="AB107" s="27">
        <f t="shared" si="541"/>
        <v>1091.6666666666667</v>
      </c>
      <c r="AC107" s="27">
        <f t="shared" si="541"/>
        <v>1063.8606676342526</v>
      </c>
      <c r="AD107" s="27">
        <f t="shared" si="541"/>
        <v>1078.3216783216783</v>
      </c>
      <c r="AE107" s="28">
        <f t="shared" si="541"/>
        <v>1087.7944325481799</v>
      </c>
      <c r="AF107" s="27">
        <f t="shared" si="541"/>
        <v>1094.5205479452054</v>
      </c>
      <c r="AG107" s="27">
        <f t="shared" si="541"/>
        <v>1077.0270270270271</v>
      </c>
      <c r="AH107" s="27">
        <f t="shared" si="541"/>
        <v>1074.2296918767506</v>
      </c>
      <c r="AI107" s="27">
        <f t="shared" si="541"/>
        <v>1102.635228848821</v>
      </c>
      <c r="AJ107" s="28">
        <f t="shared" si="541"/>
        <v>1087.091222030981</v>
      </c>
      <c r="AK107" s="27">
        <f t="shared" si="541"/>
        <v>1123.931623931624</v>
      </c>
      <c r="AL107" s="27">
        <f t="shared" si="541"/>
        <v>1112.1751025991791</v>
      </c>
      <c r="AM107" s="27">
        <f t="shared" si="541"/>
        <v>1095.0354609929077</v>
      </c>
      <c r="AN107" s="27">
        <f t="shared" si="541"/>
        <v>1125.5230125523012</v>
      </c>
      <c r="AO107" s="28">
        <f t="shared" si="541"/>
        <v>1114.1856392294221</v>
      </c>
      <c r="AP107" s="27">
        <f t="shared" si="541"/>
        <v>1133.0589849108367</v>
      </c>
      <c r="AQ107" s="27">
        <f t="shared" si="541"/>
        <v>1109.6433289299869</v>
      </c>
      <c r="AR107" s="27">
        <f t="shared" si="541"/>
        <v>1087.6712328767123</v>
      </c>
      <c r="AS107" s="27">
        <f t="shared" si="541"/>
        <v>1099.737532808399</v>
      </c>
      <c r="AT107" s="28">
        <f t="shared" si="541"/>
        <v>1107.4546675621223</v>
      </c>
      <c r="AU107" s="27">
        <f t="shared" si="541"/>
        <v>1261.5384615384614</v>
      </c>
      <c r="AV107" s="27">
        <f t="shared" si="541"/>
        <v>1237.1323529411766</v>
      </c>
      <c r="AW107" s="27">
        <f t="shared" ref="AW107:CB107" si="542">AW101*1000/(AW16+AW22+AW11+AW19+AW12+AW9)</f>
        <v>1218.3908045977012</v>
      </c>
      <c r="AX107" s="27">
        <f t="shared" si="542"/>
        <v>1234.9624060150377</v>
      </c>
      <c r="AY107" s="28">
        <f t="shared" si="542"/>
        <v>1237.9603399433429</v>
      </c>
      <c r="AZ107" s="27">
        <f t="shared" si="542"/>
        <v>1253.9404553415061</v>
      </c>
      <c r="BA107" s="27">
        <f t="shared" si="542"/>
        <v>1275.1235584843494</v>
      </c>
      <c r="BB107" s="27">
        <f t="shared" si="542"/>
        <v>1313.0699088145896</v>
      </c>
      <c r="BC107" s="27">
        <f t="shared" si="542"/>
        <v>1319.8804185351271</v>
      </c>
      <c r="BD107" s="28">
        <f t="shared" si="542"/>
        <v>1292.2155688622754</v>
      </c>
      <c r="BE107" s="27">
        <f t="shared" si="542"/>
        <v>1325</v>
      </c>
      <c r="BF107" s="27">
        <f t="shared" si="542"/>
        <v>1349.1379310344828</v>
      </c>
      <c r="BG107" s="27">
        <f t="shared" si="542"/>
        <v>1339.9693721286371</v>
      </c>
      <c r="BH107" s="27">
        <f t="shared" si="542"/>
        <v>1367.5078864353313</v>
      </c>
      <c r="BI107" s="28">
        <f t="shared" si="542"/>
        <v>1345.0995118287647</v>
      </c>
      <c r="BJ107" s="27">
        <f t="shared" si="542"/>
        <v>1390.9531502423263</v>
      </c>
      <c r="BK107" s="27">
        <f t="shared" si="542"/>
        <v>1377.5038520801234</v>
      </c>
      <c r="BL107" s="27">
        <f t="shared" si="542"/>
        <v>1370.1923076923076</v>
      </c>
      <c r="BM107" s="27">
        <f t="shared" si="542"/>
        <v>1372.1311475409836</v>
      </c>
      <c r="BN107" s="28">
        <f t="shared" si="542"/>
        <v>1377.6978417266187</v>
      </c>
      <c r="BO107" s="27">
        <f t="shared" si="542"/>
        <v>1418.3333333333333</v>
      </c>
      <c r="BP107" s="27">
        <f t="shared" si="542"/>
        <v>1400.304414003044</v>
      </c>
      <c r="BQ107" s="27">
        <f t="shared" si="542"/>
        <v>1392.6868044515104</v>
      </c>
      <c r="BR107" s="27">
        <f t="shared" si="542"/>
        <v>1433.6569579288025</v>
      </c>
      <c r="BS107" s="28">
        <f t="shared" si="542"/>
        <v>1410.9424920127794</v>
      </c>
      <c r="BT107" s="27">
        <f t="shared" si="542"/>
        <v>1454.6899841017489</v>
      </c>
      <c r="BU107" s="27">
        <f t="shared" si="542"/>
        <v>1421.4501510574019</v>
      </c>
      <c r="BV107" s="27">
        <f t="shared" si="542"/>
        <v>1421.9474497681608</v>
      </c>
      <c r="BW107" s="27">
        <f t="shared" si="542"/>
        <v>1436.8340943683409</v>
      </c>
      <c r="BX107" s="28">
        <f t="shared" si="542"/>
        <v>1433.5260115606936</v>
      </c>
      <c r="BY107" s="27">
        <f t="shared" si="542"/>
        <v>1460.3421461897356</v>
      </c>
      <c r="BZ107" s="27">
        <f t="shared" si="542"/>
        <v>1464.7058823529412</v>
      </c>
      <c r="CA107" s="27">
        <f t="shared" si="542"/>
        <v>1492.2600619195046</v>
      </c>
      <c r="CB107" s="27">
        <f t="shared" si="542"/>
        <v>1542.9799426934098</v>
      </c>
      <c r="CC107" s="28">
        <f t="shared" ref="CC107:DH107" si="543">CC101*1000/(CC16+CC22+CC11+CC19+CC12+CC9)</f>
        <v>1490.8136482939633</v>
      </c>
      <c r="CD107" s="27">
        <f t="shared" si="543"/>
        <v>1570.1078582434516</v>
      </c>
      <c r="CE107" s="27">
        <f t="shared" si="543"/>
        <v>1580.6938159879337</v>
      </c>
      <c r="CF107" s="27">
        <f t="shared" si="543"/>
        <v>1629.3375394321768</v>
      </c>
      <c r="CG107" s="27">
        <f t="shared" si="543"/>
        <v>1702.7027027027027</v>
      </c>
      <c r="CH107" s="28">
        <f t="shared" si="543"/>
        <v>1619.8058252427184</v>
      </c>
      <c r="CI107" s="27">
        <f t="shared" si="543"/>
        <v>1743.0769230769231</v>
      </c>
      <c r="CJ107" s="27">
        <f t="shared" si="543"/>
        <v>1769.2307692307693</v>
      </c>
      <c r="CK107" s="27">
        <f t="shared" si="543"/>
        <v>1852.7508090614888</v>
      </c>
      <c r="CL107" s="27">
        <f t="shared" si="543"/>
        <v>1857.6214405360133</v>
      </c>
      <c r="CM107" s="28">
        <f t="shared" si="543"/>
        <v>1803.7974683544303</v>
      </c>
      <c r="CN107" s="27">
        <f t="shared" si="543"/>
        <v>1894.1176470588234</v>
      </c>
      <c r="CO107" s="27">
        <f t="shared" si="543"/>
        <v>1898.4126984126983</v>
      </c>
      <c r="CP107" s="27">
        <f t="shared" si="543"/>
        <v>1984.6678023850086</v>
      </c>
      <c r="CQ107" s="27">
        <f t="shared" si="543"/>
        <v>2032.258064516129</v>
      </c>
      <c r="CR107" s="28">
        <f t="shared" si="543"/>
        <v>1950.210970464135</v>
      </c>
      <c r="CS107" s="27">
        <f t="shared" si="543"/>
        <v>2159.3406593406594</v>
      </c>
      <c r="CT107" s="27">
        <f t="shared" si="543"/>
        <v>2215.7894736842104</v>
      </c>
      <c r="CU107" s="27">
        <f t="shared" si="543"/>
        <v>2369.2022263450835</v>
      </c>
      <c r="CV107" s="27">
        <f t="shared" si="543"/>
        <v>2312.2270742358078</v>
      </c>
      <c r="CW107" s="28">
        <f t="shared" si="543"/>
        <v>2261.2399432087082</v>
      </c>
      <c r="CX107" s="27">
        <f t="shared" si="543"/>
        <v>2200.5277044854879</v>
      </c>
      <c r="CY107" s="27">
        <f t="shared" si="543"/>
        <v>2122.8070175438597</v>
      </c>
      <c r="CZ107" s="27">
        <f t="shared" si="543"/>
        <v>2183.9622641509436</v>
      </c>
      <c r="DA107" s="27">
        <f t="shared" si="543"/>
        <v>2231.5035799522675</v>
      </c>
      <c r="DB107" s="28">
        <f t="shared" si="543"/>
        <v>2185.0709438618137</v>
      </c>
      <c r="DC107" s="27">
        <f t="shared" si="543"/>
        <v>2328.5714285714284</v>
      </c>
      <c r="DD107" s="27">
        <f t="shared" si="543"/>
        <v>2313.5593220338983</v>
      </c>
      <c r="DE107" s="27">
        <f t="shared" si="543"/>
        <v>2331.8872017353578</v>
      </c>
      <c r="DF107" s="27">
        <f t="shared" si="543"/>
        <v>2352.9411764705883</v>
      </c>
      <c r="DG107" s="28">
        <f t="shared" si="543"/>
        <v>2331.875341716785</v>
      </c>
      <c r="DH107" s="27">
        <f t="shared" si="543"/>
        <v>2445.8874458874457</v>
      </c>
      <c r="DI107" s="27">
        <f t="shared" ref="DI107:DX107" si="544">DI101*1000/(DI16+DI22+DI11+DI19+DI12+DI9)</f>
        <v>2500</v>
      </c>
      <c r="DJ107" s="27">
        <f t="shared" si="544"/>
        <v>2521.829521829522</v>
      </c>
      <c r="DK107" s="27">
        <f t="shared" si="544"/>
        <v>2512.5523012552303</v>
      </c>
      <c r="DL107" s="28">
        <f t="shared" si="544"/>
        <v>2495.5474070193818</v>
      </c>
      <c r="DM107" s="27">
        <f t="shared" si="544"/>
        <v>2627.3291925465837</v>
      </c>
      <c r="DN107" s="27">
        <f t="shared" si="544"/>
        <v>2650</v>
      </c>
      <c r="DO107" s="27">
        <f t="shared" si="544"/>
        <v>2599.5893223819303</v>
      </c>
      <c r="DP107" s="27">
        <f t="shared" si="544"/>
        <v>2643.8923395445136</v>
      </c>
      <c r="DQ107" s="28">
        <f t="shared" si="544"/>
        <v>2630.3123399897595</v>
      </c>
      <c r="DR107" s="27">
        <f t="shared" si="544"/>
        <v>2735.1129363449691</v>
      </c>
      <c r="DS107" s="27">
        <f t="shared" si="544"/>
        <v>2685.2207293666029</v>
      </c>
      <c r="DT107" s="27">
        <f t="shared" si="544"/>
        <v>2638.4615384615386</v>
      </c>
      <c r="DU107" s="27">
        <f t="shared" si="544"/>
        <v>2696.3249516441006</v>
      </c>
      <c r="DV107" s="28">
        <f t="shared" si="544"/>
        <v>2688.0195599022004</v>
      </c>
      <c r="DW107" s="27">
        <f t="shared" si="544"/>
        <v>2786.3247863247861</v>
      </c>
      <c r="DX107" s="27">
        <f t="shared" si="544"/>
        <v>2707.7205882352941</v>
      </c>
      <c r="DY107" s="27">
        <f t="shared" ref="DY107:ED107" si="545">DY101*1000/(DY16+DY22+DY11+DY19+DY12+DY9)</f>
        <v>2708.2568807339449</v>
      </c>
      <c r="DZ107" s="27">
        <f t="shared" si="545"/>
        <v>2680.5905644499476</v>
      </c>
      <c r="EA107" s="28">
        <f t="shared" si="545"/>
        <v>2718.561120290748</v>
      </c>
      <c r="EB107" s="27">
        <f t="shared" si="545"/>
        <v>2741.0935257783417</v>
      </c>
      <c r="EC107" s="27">
        <f t="shared" si="545"/>
        <v>2605.9479553903348</v>
      </c>
      <c r="ED107" s="27">
        <f t="shared" si="545"/>
        <v>2626.8939393939395</v>
      </c>
      <c r="EE107" s="27">
        <f t="shared" ref="EE107:EK107" si="546">EE101*1000/(EE16+EE22+EE11+EE19+EE12+EE9)</f>
        <v>2612.9666011787817</v>
      </c>
      <c r="EF107" s="28">
        <f t="shared" si="546"/>
        <v>2644.6739273188932</v>
      </c>
      <c r="EG107" s="27">
        <f t="shared" si="546"/>
        <v>2697.4789915966385</v>
      </c>
      <c r="EH107" s="27">
        <f t="shared" si="546"/>
        <v>2608.1081081081079</v>
      </c>
      <c r="EI107" s="27">
        <f t="shared" si="546"/>
        <v>2657.4257425742576</v>
      </c>
      <c r="EJ107" s="27">
        <f t="shared" si="546"/>
        <v>2692.0152091254754</v>
      </c>
      <c r="EK107" s="28">
        <f t="shared" si="546"/>
        <v>2663.2098765432097</v>
      </c>
      <c r="EL107" s="27">
        <f t="shared" ref="EL107:EP107" si="547">EL101*1000/(EL16+EL22+EL11+EL19+EL12+EL9)</f>
        <v>2750.4990019960078</v>
      </c>
      <c r="EM107" s="27">
        <f t="shared" si="547"/>
        <v>2707.171314741036</v>
      </c>
      <c r="EN107" s="27">
        <f t="shared" si="547"/>
        <v>2712.7882599580712</v>
      </c>
      <c r="EO107" s="27">
        <f t="shared" si="547"/>
        <v>2744.2348008385743</v>
      </c>
      <c r="EP107" s="28">
        <f t="shared" si="547"/>
        <v>2728.6663260091977</v>
      </c>
      <c r="EQ107" s="27">
        <f t="shared" ref="EQ107" si="548">EQ101*1000/(EQ16+EQ22+EQ11+EQ19+EQ12+EQ9)</f>
        <v>2878.9808917197452</v>
      </c>
      <c r="ER107" s="27">
        <f t="shared" ref="ER107" si="549">EM107*(1+ER108)</f>
        <v>2801.9223107569719</v>
      </c>
      <c r="ES107" s="27">
        <f t="shared" ref="ES107:ET107" si="550">EN107*(1+ES108)</f>
        <v>2821.2997903563942</v>
      </c>
      <c r="ET107" s="27">
        <f t="shared" si="550"/>
        <v>2826.5618448637315</v>
      </c>
      <c r="EU107" s="28">
        <f>EU101*1000/(EU16+EU22+EU11+EU19+EU12+EU9)</f>
        <v>2831.638099027537</v>
      </c>
      <c r="EV107" s="27"/>
      <c r="EW107" s="27"/>
      <c r="EX107" s="27"/>
      <c r="EY107" s="27"/>
      <c r="EZ107" s="28">
        <f>EU107*(1+EZ108)</f>
        <v>2938.4957213113112</v>
      </c>
      <c r="FA107" s="27"/>
      <c r="FB107" s="27"/>
      <c r="FC107" s="27"/>
      <c r="FD107" s="27"/>
      <c r="FE107" s="28">
        <f>EZ107*(1+FE108)</f>
        <v>3049.3858332850859</v>
      </c>
      <c r="FG107" s="484"/>
      <c r="FH107" s="777"/>
      <c r="FI107" s="777"/>
      <c r="FJ107" s="777"/>
      <c r="FK107" s="175"/>
      <c r="FL107" s="1347"/>
      <c r="FM107" s="27">
        <f>+EQ107</f>
        <v>2878.9808917197452</v>
      </c>
      <c r="FN107" s="1426">
        <f>EL107</f>
        <v>2750.4990019960078</v>
      </c>
      <c r="FO107" s="1814">
        <v>2819.2614770459077</v>
      </c>
      <c r="FP107" s="1753">
        <f>+FM107/FN107-1</f>
        <v>4.6712210995350167E-2</v>
      </c>
      <c r="FQ107" s="1532">
        <f>+FM107/FO107-1</f>
        <v>2.1182644873512402E-2</v>
      </c>
      <c r="FR107" s="1619"/>
      <c r="FS107" s="1619"/>
      <c r="FT107" s="355"/>
      <c r="FU107" s="355"/>
      <c r="FV107" s="355"/>
      <c r="FW107" s="355"/>
      <c r="FX107" s="355"/>
      <c r="FY107" s="355"/>
      <c r="FZ107" s="484"/>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c r="IW107"/>
      <c r="IX107"/>
    </row>
    <row r="108" spans="1:258" s="227" customFormat="1" x14ac:dyDescent="0.2">
      <c r="A108" s="383" t="s">
        <v>466</v>
      </c>
      <c r="B108" s="10"/>
      <c r="C108" s="10"/>
      <c r="D108" s="10"/>
      <c r="E108" s="10"/>
      <c r="F108" s="9"/>
      <c r="G108" s="10"/>
      <c r="H108" s="10"/>
      <c r="I108" s="10"/>
      <c r="J108" s="10"/>
      <c r="K108" s="9"/>
      <c r="L108" s="10"/>
      <c r="M108" s="10"/>
      <c r="N108" s="10"/>
      <c r="O108" s="10"/>
      <c r="P108" s="9"/>
      <c r="Q108" s="10"/>
      <c r="R108" s="10"/>
      <c r="S108" s="10"/>
      <c r="T108" s="10"/>
      <c r="U108" s="9"/>
      <c r="V108" s="10">
        <f t="shared" ref="V108:AV108" si="551">V107/Q107-1</f>
        <v>-9.3324623035129228E-5</v>
      </c>
      <c r="W108" s="10">
        <f t="shared" si="551"/>
        <v>1.6936593627606689E-2</v>
      </c>
      <c r="X108" s="10">
        <f t="shared" si="551"/>
        <v>-1.7719568567026167E-3</v>
      </c>
      <c r="Y108" s="10">
        <f t="shared" si="551"/>
        <v>3.061898709671973E-2</v>
      </c>
      <c r="Z108" s="9">
        <f t="shared" si="551"/>
        <v>1.1532441149623374E-2</v>
      </c>
      <c r="AA108" s="10">
        <f t="shared" si="551"/>
        <v>-3.1219272369714668E-3</v>
      </c>
      <c r="AB108" s="10">
        <f t="shared" si="551"/>
        <v>-1.0261614794767726E-2</v>
      </c>
      <c r="AC108" s="10">
        <f t="shared" si="551"/>
        <v>-3.6860414218903292E-3</v>
      </c>
      <c r="AD108" s="10">
        <f t="shared" si="551"/>
        <v>-3.7060165725951721E-2</v>
      </c>
      <c r="AE108" s="9">
        <f t="shared" si="551"/>
        <v>-1.3917525393760566E-2</v>
      </c>
      <c r="AF108" s="10">
        <f t="shared" si="551"/>
        <v>-2.0996132576715953E-2</v>
      </c>
      <c r="AG108" s="10">
        <f t="shared" si="551"/>
        <v>-1.3410356921807365E-2</v>
      </c>
      <c r="AH108" s="10">
        <f t="shared" si="551"/>
        <v>9.7465998677777055E-3</v>
      </c>
      <c r="AI108" s="10">
        <f t="shared" si="551"/>
        <v>2.2547585767713541E-2</v>
      </c>
      <c r="AJ108" s="9">
        <f t="shared" si="551"/>
        <v>-6.4645533766116703E-4</v>
      </c>
      <c r="AK108" s="10">
        <f t="shared" si="551"/>
        <v>2.6871195832397499E-2</v>
      </c>
      <c r="AL108" s="10">
        <f t="shared" si="551"/>
        <v>3.2634348711910288E-2</v>
      </c>
      <c r="AM108" s="10">
        <f t="shared" si="551"/>
        <v>1.9368082332380965E-2</v>
      </c>
      <c r="AN108" s="10">
        <f t="shared" si="551"/>
        <v>2.0757348490829219E-2</v>
      </c>
      <c r="AO108" s="9">
        <f t="shared" si="551"/>
        <v>2.4923775161960426E-2</v>
      </c>
      <c r="AP108" s="10">
        <f t="shared" si="551"/>
        <v>8.1209219358773232E-3</v>
      </c>
      <c r="AQ108" s="10">
        <f t="shared" si="551"/>
        <v>-2.2764164233450845E-3</v>
      </c>
      <c r="AR108" s="10">
        <f t="shared" si="551"/>
        <v>-6.7251046916032564E-3</v>
      </c>
      <c r="AS108" s="10">
        <f t="shared" si="551"/>
        <v>-2.2909775683243927E-2</v>
      </c>
      <c r="AT108" s="9">
        <f t="shared" si="551"/>
        <v>-6.0411581610000376E-3</v>
      </c>
      <c r="AU108" s="10">
        <f t="shared" si="551"/>
        <v>0.11339169305270991</v>
      </c>
      <c r="AV108" s="10">
        <f t="shared" si="551"/>
        <v>0.11489189425770308</v>
      </c>
      <c r="AW108" s="10">
        <f t="shared" ref="AW108:CB108" si="552">AW107/AR107-1</f>
        <v>0.12018298155708051</v>
      </c>
      <c r="AX108" s="10">
        <f t="shared" si="552"/>
        <v>0.12296104222369775</v>
      </c>
      <c r="AY108" s="9">
        <f t="shared" si="552"/>
        <v>0.11784290247158125</v>
      </c>
      <c r="AZ108" s="10">
        <f t="shared" si="552"/>
        <v>-6.0228097902694788E-3</v>
      </c>
      <c r="BA108" s="10">
        <f t="shared" si="552"/>
        <v>3.0709087392995604E-2</v>
      </c>
      <c r="BB108" s="10">
        <f t="shared" si="552"/>
        <v>7.7708321385559387E-2</v>
      </c>
      <c r="BC108" s="10">
        <f t="shared" si="552"/>
        <v>6.8761617443968914E-2</v>
      </c>
      <c r="BD108" s="9">
        <f t="shared" si="552"/>
        <v>4.3826306197673137E-2</v>
      </c>
      <c r="BE108" s="10">
        <f t="shared" si="552"/>
        <v>5.6668994413407781E-2</v>
      </c>
      <c r="BF108" s="10">
        <f t="shared" si="552"/>
        <v>5.8044863227300958E-2</v>
      </c>
      <c r="BG108" s="10">
        <f t="shared" si="552"/>
        <v>2.048593386648534E-2</v>
      </c>
      <c r="BH108" s="10">
        <f t="shared" si="552"/>
        <v>3.6084684060290639E-2</v>
      </c>
      <c r="BI108" s="9">
        <f t="shared" si="552"/>
        <v>4.0925016104743861E-2</v>
      </c>
      <c r="BJ108" s="10">
        <f>BJ107/BE107-1</f>
        <v>4.9775962447038635E-2</v>
      </c>
      <c r="BK108" s="10">
        <f>BK107/BF107-1</f>
        <v>2.1025219433190356E-2</v>
      </c>
      <c r="BL108" s="10">
        <f>BL107/BG107-1</f>
        <v>2.255494505494493E-2</v>
      </c>
      <c r="BM108" s="10">
        <f>BM107/BH107-1</f>
        <v>3.3807930115150597E-3</v>
      </c>
      <c r="BN108" s="9">
        <f>BN107/BI107-1</f>
        <v>2.4234883450023892E-2</v>
      </c>
      <c r="BO108" s="10">
        <f t="shared" si="552"/>
        <v>1.9684475416182678E-2</v>
      </c>
      <c r="BP108" s="10">
        <f t="shared" si="552"/>
        <v>1.6552085780733305E-2</v>
      </c>
      <c r="BQ108" s="10">
        <f t="shared" si="552"/>
        <v>1.6417036231277882E-2</v>
      </c>
      <c r="BR108" s="10">
        <f t="shared" si="552"/>
        <v>4.4839598968422267E-2</v>
      </c>
      <c r="BS108" s="9">
        <f t="shared" si="552"/>
        <v>2.4130581669850493E-2</v>
      </c>
      <c r="BT108" s="10">
        <f t="shared" si="552"/>
        <v>2.5633361293829982E-2</v>
      </c>
      <c r="BU108" s="10">
        <f t="shared" si="552"/>
        <v>1.5100814396427298E-2</v>
      </c>
      <c r="BV108" s="10">
        <f t="shared" si="552"/>
        <v>2.1010212219375601E-2</v>
      </c>
      <c r="BW108" s="10">
        <f t="shared" si="552"/>
        <v>2.2161064555696885E-3</v>
      </c>
      <c r="BX108" s="9">
        <f t="shared" si="552"/>
        <v>1.6005981587313034E-2</v>
      </c>
      <c r="BY108" s="10">
        <f t="shared" si="552"/>
        <v>3.885475358845536E-3</v>
      </c>
      <c r="BZ108" s="10">
        <f t="shared" si="552"/>
        <v>3.0430705757329424E-2</v>
      </c>
      <c r="CA108" s="10">
        <f t="shared" si="552"/>
        <v>4.9448108762955911E-2</v>
      </c>
      <c r="CB108" s="10">
        <f t="shared" si="552"/>
        <v>7.3874811810985541E-2</v>
      </c>
      <c r="CC108" s="9">
        <f t="shared" ref="CC108:ED108" si="553">CC107/BX107-1</f>
        <v>3.9962746592159926E-2</v>
      </c>
      <c r="CD108" s="10">
        <f t="shared" si="553"/>
        <v>7.5164380032523237E-2</v>
      </c>
      <c r="CE108" s="10">
        <f t="shared" si="553"/>
        <v>7.9188549068067049E-2</v>
      </c>
      <c r="CF108" s="10">
        <f t="shared" si="553"/>
        <v>9.1858973519902687E-2</v>
      </c>
      <c r="CG108" s="10">
        <f t="shared" si="553"/>
        <v>0.10351577203944884</v>
      </c>
      <c r="CH108" s="9">
        <f t="shared" si="553"/>
        <v>8.6524682073020553E-2</v>
      </c>
      <c r="CI108" s="10">
        <f t="shared" si="553"/>
        <v>0.11016381067411474</v>
      </c>
      <c r="CJ108" s="10">
        <f t="shared" si="553"/>
        <v>0.11927480916030531</v>
      </c>
      <c r="CK108" s="10">
        <f t="shared" si="553"/>
        <v>0.13711908319940358</v>
      </c>
      <c r="CL108" s="10">
        <f t="shared" si="553"/>
        <v>9.0984020632261853E-2</v>
      </c>
      <c r="CM108" s="9">
        <f t="shared" si="553"/>
        <v>0.11358870319171865</v>
      </c>
      <c r="CN108" s="10">
        <f t="shared" si="553"/>
        <v>8.6651783396500592E-2</v>
      </c>
      <c r="CO108" s="10">
        <f t="shared" si="553"/>
        <v>7.3015873015872979E-2</v>
      </c>
      <c r="CP108" s="10">
        <f t="shared" si="553"/>
        <v>7.120061299033642E-2</v>
      </c>
      <c r="CQ108" s="10">
        <f t="shared" si="553"/>
        <v>9.4010878734110959E-2</v>
      </c>
      <c r="CR108" s="9">
        <f t="shared" si="553"/>
        <v>8.1169590643275003E-2</v>
      </c>
      <c r="CS108" s="10">
        <f t="shared" si="553"/>
        <v>0.14002457170159044</v>
      </c>
      <c r="CT108" s="10">
        <f t="shared" si="553"/>
        <v>0.16718007393064593</v>
      </c>
      <c r="CU108" s="10">
        <f t="shared" si="553"/>
        <v>0.19375253808117088</v>
      </c>
      <c r="CV108" s="10">
        <f t="shared" si="553"/>
        <v>0.13776252859222282</v>
      </c>
      <c r="CW108" s="9">
        <f t="shared" si="553"/>
        <v>0.15948478264920785</v>
      </c>
      <c r="CX108" s="10">
        <f t="shared" si="553"/>
        <v>1.9073898769360831E-2</v>
      </c>
      <c r="CY108" s="10">
        <f t="shared" si="553"/>
        <v>-4.1963578780680799E-2</v>
      </c>
      <c r="CZ108" s="10">
        <f t="shared" si="553"/>
        <v>-7.8186640268317453E-2</v>
      </c>
      <c r="DA108" s="10">
        <f t="shared" si="553"/>
        <v>-3.4911577319982512E-2</v>
      </c>
      <c r="DB108" s="9">
        <f t="shared" si="553"/>
        <v>-3.3684616077854335E-2</v>
      </c>
      <c r="DC108" s="10">
        <f t="shared" si="553"/>
        <v>5.8187735525865092E-2</v>
      </c>
      <c r="DD108" s="10">
        <f t="shared" si="553"/>
        <v>8.9858523602745377E-2</v>
      </c>
      <c r="DE108" s="10">
        <f t="shared" si="553"/>
        <v>6.7732368829148681E-2</v>
      </c>
      <c r="DF108" s="10">
        <f t="shared" si="553"/>
        <v>5.4419628814092347E-2</v>
      </c>
      <c r="DG108" s="9">
        <f>DG107/DB107-1</f>
        <v>6.7185186031312405E-2</v>
      </c>
      <c r="DH108" s="10">
        <f t="shared" si="553"/>
        <v>5.038111173080484E-2</v>
      </c>
      <c r="DI108" s="10">
        <f t="shared" si="553"/>
        <v>8.0586080586080522E-2</v>
      </c>
      <c r="DJ108" s="10">
        <f t="shared" si="553"/>
        <v>8.1454334477590429E-2</v>
      </c>
      <c r="DK108" s="10">
        <f t="shared" si="553"/>
        <v>6.7834728033472791E-2</v>
      </c>
      <c r="DL108" s="9">
        <f>DL107/DG107-1</f>
        <v>7.0189028707725587E-2</v>
      </c>
      <c r="DM108" s="10">
        <f t="shared" si="553"/>
        <v>7.418237783762982E-2</v>
      </c>
      <c r="DN108" s="10">
        <f t="shared" si="553"/>
        <v>6.0000000000000053E-2</v>
      </c>
      <c r="DO108" s="10">
        <f t="shared" si="553"/>
        <v>3.0834677712867631E-2</v>
      </c>
      <c r="DP108" s="10">
        <f t="shared" si="553"/>
        <v>5.2273553956933672E-2</v>
      </c>
      <c r="DQ108" s="9">
        <f>DQ107/DL107-1</f>
        <v>5.400215303116096E-2</v>
      </c>
      <c r="DR108" s="10">
        <f t="shared" si="553"/>
        <v>4.1024072698676139E-2</v>
      </c>
      <c r="DS108" s="10">
        <f t="shared" si="553"/>
        <v>1.3290841270416243E-2</v>
      </c>
      <c r="DT108" s="911">
        <f t="shared" si="553"/>
        <v>1.4953214242313662E-2</v>
      </c>
      <c r="DU108" s="10">
        <f t="shared" si="553"/>
        <v>1.9831598781597792E-2</v>
      </c>
      <c r="DV108" s="9">
        <f>DV107/DQ107-1</f>
        <v>2.1939303190382953E-2</v>
      </c>
      <c r="DW108" s="10">
        <f t="shared" si="553"/>
        <v>1.8723852057185297E-2</v>
      </c>
      <c r="DX108" s="10">
        <f t="shared" si="553"/>
        <v>8.3791468696126081E-3</v>
      </c>
      <c r="DY108" s="911">
        <f t="shared" si="553"/>
        <v>2.6453045176130674E-2</v>
      </c>
      <c r="DZ108" s="10">
        <f t="shared" si="553"/>
        <v>-5.8354936724369644E-3</v>
      </c>
      <c r="EA108" s="9">
        <f>EA107/DV107-1</f>
        <v>1.1362104965359165E-2</v>
      </c>
      <c r="EB108" s="10">
        <f t="shared" si="553"/>
        <v>-1.6233305165441747E-2</v>
      </c>
      <c r="EC108" s="10">
        <f t="shared" si="553"/>
        <v>-3.7586091152517209E-2</v>
      </c>
      <c r="ED108" s="911">
        <f t="shared" si="553"/>
        <v>-3.0042549478525027E-2</v>
      </c>
      <c r="EE108" s="10">
        <f t="shared" ref="EE108:EQ108" si="554">EE107/DZ107-1</f>
        <v>-2.5227263039718339E-2</v>
      </c>
      <c r="EF108" s="9">
        <f t="shared" si="554"/>
        <v>-2.7178786756117734E-2</v>
      </c>
      <c r="EG108" s="10">
        <f t="shared" si="554"/>
        <v>-1.5911363027760528E-2</v>
      </c>
      <c r="EH108" s="10">
        <f t="shared" si="554"/>
        <v>8.2893164205555259E-4</v>
      </c>
      <c r="EI108" s="911">
        <f t="shared" si="554"/>
        <v>1.1622777274122642E-2</v>
      </c>
      <c r="EJ108" s="10">
        <f t="shared" si="554"/>
        <v>3.0252437176591762E-2</v>
      </c>
      <c r="EK108" s="9">
        <f t="shared" si="554"/>
        <v>7.0087843468504829E-3</v>
      </c>
      <c r="EL108" s="10">
        <f t="shared" si="554"/>
        <v>1.9655393263317666E-2</v>
      </c>
      <c r="EM108" s="10">
        <f t="shared" si="554"/>
        <v>3.7982783890345484E-2</v>
      </c>
      <c r="EN108" s="911">
        <f t="shared" si="554"/>
        <v>2.0833138061718159E-2</v>
      </c>
      <c r="EO108" s="10">
        <f t="shared" si="554"/>
        <v>1.9397955678735812E-2</v>
      </c>
      <c r="EP108" s="9">
        <f t="shared" si="554"/>
        <v>2.4578028957653597E-2</v>
      </c>
      <c r="EQ108" s="10">
        <f t="shared" si="554"/>
        <v>4.6712210995350167E-2</v>
      </c>
      <c r="ER108" s="1182">
        <v>3.5000000000000003E-2</v>
      </c>
      <c r="ES108" s="1182">
        <v>0.04</v>
      </c>
      <c r="ET108" s="1182">
        <v>0.03</v>
      </c>
      <c r="EU108" s="9">
        <f>EU107/EP107-1</f>
        <v>3.7737033669829501E-2</v>
      </c>
      <c r="EV108" s="1184"/>
      <c r="EW108" s="1184"/>
      <c r="EX108" s="1184"/>
      <c r="EY108" s="1184"/>
      <c r="EZ108" s="1299">
        <f>+EU108</f>
        <v>3.7737033669829501E-2</v>
      </c>
      <c r="FA108" s="1184"/>
      <c r="FB108" s="1184"/>
      <c r="FC108" s="1184"/>
      <c r="FD108" s="1184"/>
      <c r="FE108" s="1299">
        <f>+EZ108</f>
        <v>3.7737033669829501E-2</v>
      </c>
      <c r="FF108" s="725"/>
      <c r="FG108" s="478"/>
      <c r="FH108" s="780"/>
      <c r="FI108" s="780"/>
      <c r="FJ108" s="780"/>
      <c r="FK108" s="186"/>
      <c r="FL108" s="1348"/>
      <c r="FM108" s="1536">
        <f>+EQ108</f>
        <v>4.6712210995350167E-2</v>
      </c>
      <c r="FN108" s="1418">
        <f>EL108</f>
        <v>1.9655393263317666E-2</v>
      </c>
      <c r="FO108" s="1992">
        <v>2.5000000000000001E-2</v>
      </c>
      <c r="FP108" s="1751"/>
      <c r="FQ108" s="1982">
        <f>+(FM108-FO108)</f>
        <v>2.1712210995350166E-2</v>
      </c>
      <c r="FR108" s="1619"/>
      <c r="FS108" s="1619"/>
      <c r="FT108" s="432"/>
      <c r="FU108" s="432"/>
      <c r="FV108" s="432"/>
      <c r="FW108" s="432"/>
      <c r="FX108" s="432"/>
      <c r="FY108" s="432"/>
      <c r="FZ108" s="47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c r="IW108"/>
      <c r="IX108"/>
    </row>
    <row r="109" spans="1:258" s="55" customFormat="1" x14ac:dyDescent="0.2">
      <c r="A109" s="383" t="s">
        <v>336</v>
      </c>
      <c r="F109" s="54"/>
      <c r="K109" s="54"/>
      <c r="P109" s="54"/>
      <c r="R109" s="55">
        <f>R107/Q107-1</f>
        <v>-3.297487106331598E-2</v>
      </c>
      <c r="S109" s="55">
        <f>S107/R107-1</f>
        <v>-1.3759095141211874E-2</v>
      </c>
      <c r="T109" s="55">
        <f>T107/S107-1</f>
        <v>1.5762727741089444E-2</v>
      </c>
      <c r="U109" s="54"/>
      <c r="V109" s="55">
        <f>V107/T107-1</f>
        <v>3.2158572738995694E-2</v>
      </c>
      <c r="W109" s="55">
        <f>W107/V107-1</f>
        <v>-1.6504975124377985E-2</v>
      </c>
      <c r="X109" s="55">
        <f>X107/W107-1</f>
        <v>-3.1902938006009185E-2</v>
      </c>
      <c r="Y109" s="55">
        <f>Y107/X107-1</f>
        <v>4.8722644876491028E-2</v>
      </c>
      <c r="Z109" s="54"/>
      <c r="AA109" s="55">
        <f>AA107/Y107-1</f>
        <v>-1.6327453112152668E-3</v>
      </c>
      <c r="AB109" s="55">
        <f>AB107/AA107-1</f>
        <v>-2.3548812664907492E-2</v>
      </c>
      <c r="AC109" s="55">
        <f>AC107/AB107-1</f>
        <v>-2.5471144151829717E-2</v>
      </c>
      <c r="AD109" s="55">
        <f>AD107/AC107-1</f>
        <v>1.3592955475629331E-2</v>
      </c>
      <c r="AE109" s="54"/>
      <c r="AF109" s="55">
        <f>AF107/AD107-1</f>
        <v>1.5022298029600423E-2</v>
      </c>
      <c r="AG109" s="55">
        <f>AG107/AF107-1</f>
        <v>-1.5982816358285579E-2</v>
      </c>
      <c r="AH109" s="55">
        <f>AH107/AG107-1</f>
        <v>-2.5972747944850161E-3</v>
      </c>
      <c r="AI109" s="55">
        <f>AI107/AH107-1</f>
        <v>2.6442703256920774E-2</v>
      </c>
      <c r="AJ109" s="54"/>
      <c r="AK109" s="55">
        <f>AK107/AI107-1</f>
        <v>1.9314089125409994E-2</v>
      </c>
      <c r="AL109" s="55">
        <f>AL107/AK107-1</f>
        <v>-1.0460174873734185E-2</v>
      </c>
      <c r="AM109" s="55">
        <f>AM107/AL107-1</f>
        <v>-1.541092006664746E-2</v>
      </c>
      <c r="AN109" s="55">
        <f>AN107/AM107-1</f>
        <v>2.7841611203850203E-2</v>
      </c>
      <c r="AO109" s="54"/>
      <c r="AP109" s="55">
        <f>AP107/AN107-1</f>
        <v>6.695529344572293E-3</v>
      </c>
      <c r="AQ109" s="55">
        <f>AQ107/AP107-1</f>
        <v>-2.0665875556948543E-2</v>
      </c>
      <c r="AR109" s="55">
        <f>AR107/AQ107-1</f>
        <v>-1.9801043705153343E-2</v>
      </c>
      <c r="AS109" s="55">
        <f>AS107/AR107-1</f>
        <v>1.1093701448527948E-2</v>
      </c>
      <c r="AT109" s="54"/>
      <c r="AU109" s="55">
        <f>AU107/AS107-1</f>
        <v>0.14712685882136944</v>
      </c>
      <c r="AV109" s="55">
        <f>AV107/AU107-1</f>
        <v>-1.934630559540873E-2</v>
      </c>
      <c r="AW109" s="55">
        <f>AW107/AV107-1</f>
        <v>-1.5149186179570062E-2</v>
      </c>
      <c r="AX109" s="55">
        <f>AX107/AW107-1</f>
        <v>1.3601220031210115E-2</v>
      </c>
      <c r="AY109" s="54"/>
      <c r="AZ109" s="55">
        <f>AZ107/AX107-1</f>
        <v>1.5367309348068847E-2</v>
      </c>
      <c r="BA109" s="55">
        <f>BA107/AZ107-1</f>
        <v>1.6893228903021695E-2</v>
      </c>
      <c r="BB109" s="55">
        <f>BB107/BA107-1</f>
        <v>2.9758959496712922E-2</v>
      </c>
      <c r="BC109" s="55">
        <f>BC107/BB107-1</f>
        <v>5.1867076343907748E-3</v>
      </c>
      <c r="BD109" s="54"/>
      <c r="BE109" s="55">
        <f>BE107/BC107-1</f>
        <v>3.878822197055376E-3</v>
      </c>
      <c r="BF109" s="55">
        <f>BF107/BE107-1</f>
        <v>1.8217306441119074E-2</v>
      </c>
      <c r="BG109" s="55">
        <f>BG107/BF107-1</f>
        <v>-6.7958647481028978E-3</v>
      </c>
      <c r="BH109" s="55">
        <f>BH107/BG107-1</f>
        <v>2.0551599819738531E-2</v>
      </c>
      <c r="BI109" s="54"/>
      <c r="BJ109" s="55">
        <f>BJ107/BH107-1</f>
        <v>1.7144518170282286E-2</v>
      </c>
      <c r="BK109" s="55">
        <f>BK107/BJ107-1</f>
        <v>-9.6691237658578233E-3</v>
      </c>
      <c r="BL109" s="55">
        <f>BL107/BK107-1</f>
        <v>-5.3078213732576929E-3</v>
      </c>
      <c r="BM109" s="55">
        <f>BM107/BL107-1</f>
        <v>1.4150129421917068E-3</v>
      </c>
      <c r="BN109" s="54"/>
      <c r="BO109" s="55">
        <f>BO107/BM107-1</f>
        <v>3.3671843886897479E-2</v>
      </c>
      <c r="BP109" s="55">
        <f>BP107/BO107-1</f>
        <v>-1.2711341478464755E-2</v>
      </c>
      <c r="BQ109" s="55">
        <f>BQ107/BP107-1</f>
        <v>-5.4399668210408647E-3</v>
      </c>
      <c r="BR109" s="55">
        <f>BR107/BQ107-1</f>
        <v>2.9418066823306832E-2</v>
      </c>
      <c r="BS109" s="54"/>
      <c r="BT109" s="55">
        <f>BT107/BR107-1</f>
        <v>1.4670891845238065E-2</v>
      </c>
      <c r="BU109" s="55">
        <f>BU107/BT107-1</f>
        <v>-2.2850114737589355E-2</v>
      </c>
      <c r="BV109" s="55">
        <f>BV107/BU107-1</f>
        <v>3.498530781322895E-4</v>
      </c>
      <c r="BW109" s="55">
        <f>BW107/BV107-1</f>
        <v>1.0469194626431033E-2</v>
      </c>
      <c r="BX109" s="54"/>
      <c r="BY109" s="55">
        <f>BY107/BW107-1</f>
        <v>1.6361006405356315E-2</v>
      </c>
      <c r="BZ109" s="55">
        <f>BZ107/BY107-1</f>
        <v>2.9881601202781383E-3</v>
      </c>
      <c r="CA109" s="55">
        <f>CA107/BZ107-1</f>
        <v>1.8812090467131615E-2</v>
      </c>
      <c r="CB109" s="55">
        <f>CB107/CA107-1</f>
        <v>3.3988633796621093E-2</v>
      </c>
      <c r="CC109" s="54"/>
      <c r="CD109" s="55">
        <f>CD107/CB107-1</f>
        <v>1.7581508870871954E-2</v>
      </c>
      <c r="CE109" s="55">
        <f>CE107/CD107-1</f>
        <v>6.7421850600284383E-3</v>
      </c>
      <c r="CF109" s="55">
        <f>CF107/CE107-1</f>
        <v>3.0773653285814051E-2</v>
      </c>
      <c r="CG109" s="55">
        <f>CG107/CF107-1</f>
        <v>4.5027602626828145E-2</v>
      </c>
      <c r="CH109" s="54"/>
      <c r="CI109" s="55">
        <f>CI107/CG107-1</f>
        <v>2.3711843711843761E-2</v>
      </c>
      <c r="CJ109" s="55">
        <f>CJ107/CI107-1</f>
        <v>1.5004413062665423E-2</v>
      </c>
      <c r="CK109" s="55">
        <f>CK107/CJ107-1</f>
        <v>4.7206979034754459E-2</v>
      </c>
      <c r="CL109" s="55">
        <f>CL107/CK107-1</f>
        <v>2.6288648482586385E-3</v>
      </c>
      <c r="CM109" s="54"/>
      <c r="CN109" s="55">
        <f>CN107/CL107-1</f>
        <v>1.9646740571792165E-2</v>
      </c>
      <c r="CO109" s="55">
        <f>CO107/CN107-1</f>
        <v>2.2675736961450532E-3</v>
      </c>
      <c r="CP109" s="55">
        <f>CP107/CO107-1</f>
        <v>4.5435380854979446E-2</v>
      </c>
      <c r="CQ109" s="55">
        <f>CQ107/CP107-1</f>
        <v>2.3978956112418626E-2</v>
      </c>
      <c r="CR109" s="54"/>
      <c r="CS109" s="55">
        <f>CS107/CQ107-1</f>
        <v>6.2532705389848342E-2</v>
      </c>
      <c r="CT109" s="55">
        <f>CT107/CS107-1</f>
        <v>2.6141690103120396E-2</v>
      </c>
      <c r="CU109" s="55">
        <f>CU107/CT107-1</f>
        <v>6.9236159158113875E-2</v>
      </c>
      <c r="CV109" s="55">
        <f>CV107/CU107-1</f>
        <v>-2.4048243529287139E-2</v>
      </c>
      <c r="CW109" s="54"/>
      <c r="CX109" s="55">
        <f>CX107/CV107-1</f>
        <v>-4.8308131582291303E-2</v>
      </c>
      <c r="CY109" s="55">
        <f>CY107/CX107-1</f>
        <v>-3.531911313054803E-2</v>
      </c>
      <c r="CZ109" s="55">
        <f>CZ107/CY107-1</f>
        <v>2.8808669889287541E-2</v>
      </c>
      <c r="DA109" s="55">
        <f>DA107/CZ107-1</f>
        <v>2.1768377861513422E-2</v>
      </c>
      <c r="DB109" s="54"/>
      <c r="DC109" s="55">
        <f>DC107/DA107-1</f>
        <v>4.3498854087089311E-2</v>
      </c>
      <c r="DD109" s="55">
        <f>DD107/DC107-1</f>
        <v>-6.4469169179577346E-3</v>
      </c>
      <c r="DE109" s="55">
        <f>DE107/DD107-1</f>
        <v>7.9219406768213929E-3</v>
      </c>
      <c r="DF109" s="55">
        <f>DF107/DE107-1</f>
        <v>9.0287277701779356E-3</v>
      </c>
      <c r="DG109" s="54"/>
      <c r="DH109" s="55">
        <f>DH107/DF107-1</f>
        <v>3.9502164502164483E-2</v>
      </c>
      <c r="DI109" s="55">
        <f>DI107/DH107-1</f>
        <v>2.212389380530988E-2</v>
      </c>
      <c r="DJ109" s="55">
        <f>DJ107/DI107-1</f>
        <v>8.7318087318088988E-3</v>
      </c>
      <c r="DK109" s="55">
        <f>DK107/DJ107-1</f>
        <v>-3.6787659490802316E-3</v>
      </c>
      <c r="DL109" s="54"/>
      <c r="DM109" s="55">
        <f>DM107/DK107-1</f>
        <v>4.5681393869497766E-2</v>
      </c>
      <c r="DN109" s="55">
        <f>DN107/DM107-1</f>
        <v>8.628841607565052E-3</v>
      </c>
      <c r="DO109" s="55">
        <f>DO107/DN107-1</f>
        <v>-1.9022897214365897E-2</v>
      </c>
      <c r="DP109" s="55">
        <f>DP107/DO107-1</f>
        <v>1.7042313869018999E-2</v>
      </c>
      <c r="DQ109" s="54"/>
      <c r="DR109" s="55">
        <f>DR107/DP107-1</f>
        <v>3.4502387043555238E-2</v>
      </c>
      <c r="DS109" s="55">
        <f>DS107/DR107-1</f>
        <v>-1.8241369968817089E-2</v>
      </c>
      <c r="DT109" s="55">
        <f>DT107/DS107-1</f>
        <v>-1.7413537141914626E-2</v>
      </c>
      <c r="DU109" s="55">
        <f>DU107/DT107-1</f>
        <v>2.1930739690183776E-2</v>
      </c>
      <c r="DV109" s="54"/>
      <c r="DW109" s="55">
        <f>DW107/DU107-1</f>
        <v>3.3378704827772276E-2</v>
      </c>
      <c r="DX109" s="55">
        <f>DX107/DW107-1</f>
        <v>-2.8210709130277789E-2</v>
      </c>
      <c r="DY109" s="55">
        <f>DY107/DX107-1</f>
        <v>1.980605018778725E-4</v>
      </c>
      <c r="DZ109" s="55">
        <f>DZ107/DY107-1</f>
        <v>-1.0215543614348621E-2</v>
      </c>
      <c r="EA109" s="54"/>
      <c r="EB109" s="55">
        <f>EB107/DZ107-1</f>
        <v>2.2570758149635273E-2</v>
      </c>
      <c r="EC109" s="55">
        <f>EC107/EB107-1</f>
        <v>-4.9303523983054154E-2</v>
      </c>
      <c r="ED109" s="55">
        <f>ED107/EC107-1</f>
        <v>8.0377599100851516E-3</v>
      </c>
      <c r="EE109" s="55">
        <f>EE107/ED107-1</f>
        <v>-5.3018273811127337E-3</v>
      </c>
      <c r="EF109" s="54"/>
      <c r="EG109" s="55">
        <f>EG107/EE107-1</f>
        <v>3.2343463701270059E-2</v>
      </c>
      <c r="EH109" s="55">
        <f>EH107/EG107-1</f>
        <v>-3.3131262103224701E-2</v>
      </c>
      <c r="EI109" s="55">
        <f>EI107/EH107-1</f>
        <v>1.8909352075104024E-2</v>
      </c>
      <c r="EJ109" s="55">
        <f>EJ107/EI107-1</f>
        <v>1.3016155445875643E-2</v>
      </c>
      <c r="EK109" s="54"/>
      <c r="EL109" s="55">
        <f>EL107/EJ107-1</f>
        <v>2.1724911758403964E-2</v>
      </c>
      <c r="EM109" s="55">
        <f>EM107/EL107-1</f>
        <v>-1.5752664234209623E-2</v>
      </c>
      <c r="EN109" s="55">
        <f>EN107/EM107-1</f>
        <v>2.0748392192433407E-3</v>
      </c>
      <c r="EO109" s="55">
        <f>EO107/EN107-1</f>
        <v>1.1591962905718622E-2</v>
      </c>
      <c r="EP109" s="54"/>
      <c r="EQ109" s="55">
        <f>EQ107/EO107-1</f>
        <v>4.9101516692374725E-2</v>
      </c>
      <c r="ER109" s="55">
        <f t="shared" ref="ER109" si="555">ER107/EQ107-1</f>
        <v>-2.6765923033529648E-2</v>
      </c>
      <c r="ES109" s="55">
        <f t="shared" ref="ES109:ET109" si="556">ES107/ER107-1</f>
        <v>6.9157804715103133E-3</v>
      </c>
      <c r="ET109" s="55">
        <f t="shared" si="556"/>
        <v>1.8651171085481977E-3</v>
      </c>
      <c r="EU109" s="54"/>
      <c r="EZ109" s="54"/>
      <c r="FE109" s="54"/>
      <c r="FG109" s="464"/>
      <c r="FH109" s="766">
        <f>AVERAGE(CI109,CN109,CS109,CX109,DC109,DH109,DM109,DR109,DW109,EB109,EG109,EL109,EQ109)</f>
        <v>2.9222100978688929E-2</v>
      </c>
      <c r="FI109" s="766">
        <f>AVERAGE(CJ109,CO109,CT109,CY109,DD109,DI109,DN109,DS109,DX109,EC109,EH109)</f>
        <v>-8.7714984508248817E-3</v>
      </c>
      <c r="FJ109" s="766">
        <f>AVERAGE(CK109,CP109,CU109,CZ109,DE109,DJ109,DO109,DT109,DY109,ED109,EI109)</f>
        <v>1.8004516043322923E-2</v>
      </c>
      <c r="FK109" s="1408">
        <f>AVERAGE(CL109,CQ109,CV109,DA109,DF109,DK109,DP109,DU109,DZ109,EE109,EJ109,EO109)</f>
        <v>6.478476502444745E-3</v>
      </c>
      <c r="FL109" s="1338"/>
      <c r="FM109" s="55">
        <f>+EQ109</f>
        <v>4.9101516692374725E-2</v>
      </c>
      <c r="FN109" s="1416">
        <f>EL109</f>
        <v>2.1724911758403964E-2</v>
      </c>
      <c r="FO109" s="1799">
        <v>2.7339743736362054E-2</v>
      </c>
      <c r="FP109" s="1754"/>
      <c r="FQ109" s="1503">
        <f t="shared" si="467"/>
        <v>217.61772956012669</v>
      </c>
      <c r="FR109" s="1619"/>
      <c r="FS109" s="1619"/>
      <c r="FT109" s="432"/>
      <c r="FU109" s="432"/>
      <c r="FV109" s="432"/>
      <c r="FW109" s="432"/>
      <c r="FX109" s="432"/>
      <c r="FY109" s="432"/>
      <c r="FZ109" s="464"/>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c r="IW109"/>
      <c r="IX109"/>
    </row>
    <row r="110" spans="1:258" s="50" customFormat="1" x14ac:dyDescent="0.2">
      <c r="A110" s="578" t="s">
        <v>448</v>
      </c>
      <c r="B110" s="47"/>
      <c r="C110" s="47"/>
      <c r="D110" s="47"/>
      <c r="E110" s="47"/>
      <c r="F110" s="46"/>
      <c r="G110" s="47"/>
      <c r="H110" s="47"/>
      <c r="I110" s="47"/>
      <c r="J110" s="47"/>
      <c r="K110" s="46"/>
      <c r="L110" s="47"/>
      <c r="M110" s="47"/>
      <c r="N110" s="47"/>
      <c r="O110" s="47"/>
      <c r="P110" s="46"/>
      <c r="Q110" s="47"/>
      <c r="R110" s="47"/>
      <c r="S110" s="47"/>
      <c r="T110" s="47"/>
      <c r="U110" s="46"/>
      <c r="V110" s="47"/>
      <c r="W110" s="47"/>
      <c r="X110" s="47"/>
      <c r="Y110" s="47"/>
      <c r="Z110" s="46"/>
      <c r="AA110" s="47"/>
      <c r="AB110" s="47"/>
      <c r="AC110" s="47"/>
      <c r="AD110" s="47"/>
      <c r="AE110" s="46"/>
      <c r="AF110" s="47"/>
      <c r="AG110" s="47"/>
      <c r="AH110" s="47"/>
      <c r="AI110" s="47"/>
      <c r="AJ110" s="46"/>
      <c r="AK110" s="47"/>
      <c r="AL110" s="47"/>
      <c r="AM110" s="47"/>
      <c r="AN110" s="47"/>
      <c r="AO110" s="46"/>
      <c r="AP110" s="47"/>
      <c r="AQ110" s="47"/>
      <c r="AR110" s="47"/>
      <c r="AS110" s="47"/>
      <c r="AT110" s="46"/>
      <c r="AU110" s="47"/>
      <c r="AV110" s="47"/>
      <c r="AW110" s="47"/>
      <c r="AX110" s="47"/>
      <c r="AY110" s="46"/>
      <c r="AZ110" s="47"/>
      <c r="BA110" s="47"/>
      <c r="BB110" s="47"/>
      <c r="BC110" s="47"/>
      <c r="BD110" s="46"/>
      <c r="BE110" s="47"/>
      <c r="BF110" s="47"/>
      <c r="BG110" s="47"/>
      <c r="BH110" s="47"/>
      <c r="BI110" s="46"/>
      <c r="BJ110" s="47"/>
      <c r="BK110" s="47"/>
      <c r="BL110" s="47"/>
      <c r="BM110" s="47"/>
      <c r="BN110" s="46"/>
      <c r="BO110" s="47"/>
      <c r="BP110" s="47"/>
      <c r="BQ110" s="47"/>
      <c r="BR110" s="47"/>
      <c r="BS110" s="46"/>
      <c r="BT110" s="47"/>
      <c r="BU110" s="47"/>
      <c r="BV110" s="47"/>
      <c r="BW110" s="47"/>
      <c r="BX110" s="46"/>
      <c r="BY110" s="47"/>
      <c r="BZ110" s="47"/>
      <c r="CA110" s="47"/>
      <c r="CB110" s="47"/>
      <c r="CC110" s="46"/>
      <c r="CD110" s="47"/>
      <c r="CE110" s="47"/>
      <c r="CF110" s="47"/>
      <c r="CG110" s="47"/>
      <c r="CH110" s="46"/>
      <c r="CI110" s="47"/>
      <c r="CJ110" s="47"/>
      <c r="CK110" s="47"/>
      <c r="CL110" s="47"/>
      <c r="CM110" s="46"/>
      <c r="CN110" s="47"/>
      <c r="CO110" s="47"/>
      <c r="CP110" s="47"/>
      <c r="CQ110" s="47"/>
      <c r="CR110" s="46"/>
      <c r="CS110" s="47"/>
      <c r="CT110" s="47"/>
      <c r="CU110" s="47"/>
      <c r="CV110" s="47"/>
      <c r="CW110" s="46"/>
      <c r="CX110" s="47"/>
      <c r="CY110" s="47"/>
      <c r="CZ110" s="47"/>
      <c r="DA110" s="47"/>
      <c r="DB110" s="46"/>
      <c r="DC110" s="47"/>
      <c r="DD110" s="47"/>
      <c r="DE110" s="47"/>
      <c r="DF110" s="47"/>
      <c r="DG110" s="46"/>
      <c r="DH110" s="47"/>
      <c r="DI110" s="47"/>
      <c r="DJ110" s="47"/>
      <c r="DK110" s="47"/>
      <c r="DL110" s="46"/>
      <c r="DM110" s="47"/>
      <c r="DN110" s="47"/>
      <c r="DO110" s="47"/>
      <c r="DP110" s="47"/>
      <c r="DQ110" s="46"/>
      <c r="DR110" s="47"/>
      <c r="DS110" s="47"/>
      <c r="DT110" s="47"/>
      <c r="DU110" s="47"/>
      <c r="DV110" s="46"/>
      <c r="DW110" s="47"/>
      <c r="DX110" s="47"/>
      <c r="DY110" s="47"/>
      <c r="DZ110" s="47"/>
      <c r="EA110" s="46"/>
      <c r="EB110" s="47"/>
      <c r="EC110" s="47"/>
      <c r="ED110" s="47"/>
      <c r="EE110" s="47"/>
      <c r="EF110" s="46"/>
      <c r="EG110" s="47"/>
      <c r="EH110" s="47"/>
      <c r="EI110" s="47"/>
      <c r="EJ110" s="47"/>
      <c r="EK110" s="46"/>
      <c r="EL110" s="47"/>
      <c r="EM110" s="47"/>
      <c r="EN110" s="47"/>
      <c r="EO110" s="47"/>
      <c r="EP110" s="46"/>
      <c r="EQ110" s="47"/>
      <c r="ER110" s="47"/>
      <c r="ES110" s="47"/>
      <c r="ET110" s="47"/>
      <c r="EU110" s="46"/>
      <c r="EV110" s="48"/>
      <c r="EW110" s="48"/>
      <c r="EX110" s="48"/>
      <c r="EY110" s="48"/>
      <c r="EZ110" s="46"/>
      <c r="FA110" s="48"/>
      <c r="FB110" s="48"/>
      <c r="FC110" s="48"/>
      <c r="FD110" s="48"/>
      <c r="FE110" s="46"/>
      <c r="FF110" s="49"/>
      <c r="FG110" s="485"/>
      <c r="FH110" s="776"/>
      <c r="FI110" s="776"/>
      <c r="FJ110" s="776"/>
      <c r="FK110" s="83"/>
      <c r="FL110" s="1346"/>
      <c r="FM110" s="47"/>
      <c r="FN110" s="1436"/>
      <c r="FO110" s="1832"/>
      <c r="FP110" s="1512"/>
      <c r="FQ110" s="1512"/>
      <c r="FR110" s="1619"/>
      <c r="FS110" s="1619"/>
      <c r="FT110" s="354"/>
      <c r="FU110" s="354"/>
      <c r="FV110" s="354"/>
      <c r="FW110" s="354"/>
      <c r="FX110" s="354"/>
      <c r="FY110" s="354"/>
      <c r="FZ110" s="485"/>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c r="IW110"/>
      <c r="IX110"/>
    </row>
    <row r="111" spans="1:258" s="53" customFormat="1" x14ac:dyDescent="0.2">
      <c r="A111" s="579" t="s">
        <v>127</v>
      </c>
      <c r="B111" s="51"/>
      <c r="C111" s="51"/>
      <c r="D111" s="51"/>
      <c r="E111" s="51"/>
      <c r="F111" s="52"/>
      <c r="G111" s="51"/>
      <c r="H111" s="51"/>
      <c r="I111" s="51"/>
      <c r="J111" s="51"/>
      <c r="K111" s="52"/>
      <c r="L111" s="51"/>
      <c r="M111" s="51"/>
      <c r="N111" s="51"/>
      <c r="O111" s="51"/>
      <c r="P111" s="52"/>
      <c r="Q111" s="51"/>
      <c r="R111" s="51"/>
      <c r="S111" s="51"/>
      <c r="T111" s="51"/>
      <c r="U111" s="52"/>
      <c r="V111" s="51"/>
      <c r="W111" s="51"/>
      <c r="X111" s="51"/>
      <c r="Y111" s="51"/>
      <c r="Z111" s="52"/>
      <c r="AA111" s="51"/>
      <c r="AB111" s="51"/>
      <c r="AC111" s="51"/>
      <c r="AD111" s="51"/>
      <c r="AE111" s="52"/>
      <c r="AF111" s="51"/>
      <c r="AG111" s="51"/>
      <c r="AH111" s="51"/>
      <c r="AI111" s="51"/>
      <c r="AJ111" s="52"/>
      <c r="AK111" s="51"/>
      <c r="AL111" s="51"/>
      <c r="AM111" s="51"/>
      <c r="AN111" s="51"/>
      <c r="AO111" s="52"/>
      <c r="AP111" s="51"/>
      <c r="AQ111" s="51"/>
      <c r="AR111" s="51"/>
      <c r="AS111" s="51"/>
      <c r="AT111" s="52"/>
      <c r="AU111" s="51">
        <v>79</v>
      </c>
      <c r="AV111" s="51">
        <v>82</v>
      </c>
      <c r="AW111" s="51">
        <v>75</v>
      </c>
      <c r="AX111" s="51">
        <v>71</v>
      </c>
      <c r="AY111" s="52">
        <f>SUM(AU111:AX111)</f>
        <v>307</v>
      </c>
      <c r="AZ111" s="51">
        <v>82</v>
      </c>
      <c r="BA111" s="51">
        <v>88</v>
      </c>
      <c r="BB111" s="51">
        <v>100</v>
      </c>
      <c r="BC111" s="51">
        <v>97</v>
      </c>
      <c r="BD111" s="52">
        <f>SUM(AZ111:BC111)</f>
        <v>367</v>
      </c>
      <c r="BE111" s="51">
        <v>105</v>
      </c>
      <c r="BF111" s="51">
        <v>106</v>
      </c>
      <c r="BG111" s="51">
        <v>100</v>
      </c>
      <c r="BH111" s="51">
        <v>96</v>
      </c>
      <c r="BI111" s="52">
        <f t="shared" ref="BI111:BI116" si="557">SUM(BE111:BH111)</f>
        <v>407</v>
      </c>
      <c r="BJ111" s="51">
        <v>99</v>
      </c>
      <c r="BK111" s="51">
        <v>103</v>
      </c>
      <c r="BL111" s="51">
        <v>102</v>
      </c>
      <c r="BM111" s="51">
        <v>91</v>
      </c>
      <c r="BN111" s="52">
        <f t="shared" ref="BN111:BN116" si="558">SUM(BJ111:BM111)</f>
        <v>395</v>
      </c>
      <c r="BO111" s="51">
        <v>98</v>
      </c>
      <c r="BP111" s="51">
        <v>100</v>
      </c>
      <c r="BQ111" s="51">
        <v>104</v>
      </c>
      <c r="BR111" s="51">
        <v>99</v>
      </c>
      <c r="BS111" s="52">
        <f t="shared" ref="BS111:BS116" si="559">SUM(BO111:BR111)</f>
        <v>401</v>
      </c>
      <c r="BT111" s="51">
        <v>110</v>
      </c>
      <c r="BU111" s="51">
        <v>107</v>
      </c>
      <c r="BV111" s="51">
        <v>107</v>
      </c>
      <c r="BW111" s="51">
        <v>110</v>
      </c>
      <c r="BX111" s="52">
        <f t="shared" ref="BX111:BX116" si="560">SUM(BT111:BW111)</f>
        <v>434</v>
      </c>
      <c r="BY111" s="51">
        <v>119</v>
      </c>
      <c r="BZ111" s="51">
        <v>125</v>
      </c>
      <c r="CA111" s="51">
        <v>129</v>
      </c>
      <c r="CB111" s="51">
        <v>138</v>
      </c>
      <c r="CC111" s="52">
        <f t="shared" ref="CC111:CC116" si="561">SUM(BY111:CB111)</f>
        <v>511</v>
      </c>
      <c r="CD111" s="51">
        <v>138</v>
      </c>
      <c r="CE111" s="51">
        <v>140</v>
      </c>
      <c r="CF111" s="51">
        <v>142</v>
      </c>
      <c r="CG111" s="51">
        <v>150</v>
      </c>
      <c r="CH111" s="52">
        <f t="shared" ref="CH111:CH116" si="562">SUM(CD111:CG111)</f>
        <v>570</v>
      </c>
      <c r="CI111" s="51">
        <v>164</v>
      </c>
      <c r="CJ111" s="51">
        <v>173</v>
      </c>
      <c r="CK111" s="51">
        <v>176</v>
      </c>
      <c r="CL111" s="51">
        <v>160</v>
      </c>
      <c r="CM111" s="52">
        <f t="shared" ref="CM111:CM116" si="563">SUM(CI111:CL111)</f>
        <v>673</v>
      </c>
      <c r="CN111" s="51">
        <v>176</v>
      </c>
      <c r="CO111" s="51">
        <v>182</v>
      </c>
      <c r="CP111" s="51">
        <v>181</v>
      </c>
      <c r="CQ111" s="51">
        <v>163</v>
      </c>
      <c r="CR111" s="52">
        <f t="shared" ref="CR111:CR116" si="564">SUM(CN111:CQ111)</f>
        <v>702</v>
      </c>
      <c r="CS111" s="51">
        <v>197</v>
      </c>
      <c r="CT111" s="51">
        <v>211</v>
      </c>
      <c r="CU111" s="51">
        <v>215</v>
      </c>
      <c r="CV111" s="51">
        <v>129</v>
      </c>
      <c r="CW111" s="52">
        <f t="shared" ref="CW111:CW116" si="565">SUM(CS111:CV111)</f>
        <v>752</v>
      </c>
      <c r="CX111" s="51">
        <v>97</v>
      </c>
      <c r="CY111" s="51">
        <v>87</v>
      </c>
      <c r="CZ111" s="51">
        <v>111</v>
      </c>
      <c r="DA111" s="51">
        <v>104</v>
      </c>
      <c r="DB111" s="52">
        <f t="shared" ref="DB111:DB116" si="566">SUM(CX111:DA111)</f>
        <v>399</v>
      </c>
      <c r="DC111" s="51">
        <v>128</v>
      </c>
      <c r="DD111" s="51">
        <v>140</v>
      </c>
      <c r="DE111" s="51">
        <v>125</v>
      </c>
      <c r="DF111" s="51">
        <v>127</v>
      </c>
      <c r="DG111" s="52">
        <f t="shared" ref="DG111:DG116" si="567">SUM(DC111:DF111)</f>
        <v>520</v>
      </c>
      <c r="DH111" s="51">
        <v>148</v>
      </c>
      <c r="DI111" s="51">
        <v>158</v>
      </c>
      <c r="DJ111" s="51">
        <v>155</v>
      </c>
      <c r="DK111" s="51">
        <v>152</v>
      </c>
      <c r="DL111" s="52">
        <f t="shared" ref="DL111:DL117" si="568">SUM(DH111:DK111)</f>
        <v>613</v>
      </c>
      <c r="DM111" s="51">
        <v>171</v>
      </c>
      <c r="DN111" s="51">
        <v>163</v>
      </c>
      <c r="DO111" s="51">
        <v>155</v>
      </c>
      <c r="DP111" s="51">
        <v>146</v>
      </c>
      <c r="DQ111" s="52">
        <f t="shared" ref="DQ111:DQ117" si="569">SUM(DM111:DP111)</f>
        <v>635</v>
      </c>
      <c r="DR111" s="51">
        <v>161</v>
      </c>
      <c r="DS111" s="51">
        <v>163</v>
      </c>
      <c r="DT111" s="51">
        <v>164</v>
      </c>
      <c r="DU111" s="51">
        <v>156</v>
      </c>
      <c r="DV111" s="52">
        <f t="shared" ref="DV111:DV117" si="570">SUM(DR111:DU111)</f>
        <v>644</v>
      </c>
      <c r="DW111" s="51">
        <v>165</v>
      </c>
      <c r="DX111" s="51">
        <v>184</v>
      </c>
      <c r="DY111" s="51">
        <v>183</v>
      </c>
      <c r="DZ111" s="51">
        <v>169</v>
      </c>
      <c r="EA111" s="52">
        <f t="shared" ref="EA111:EA117" si="571">SUM(DW111:DZ111)</f>
        <v>701</v>
      </c>
      <c r="EB111" s="51">
        <v>154</v>
      </c>
      <c r="EC111" s="51">
        <v>156</v>
      </c>
      <c r="ED111" s="51">
        <v>155</v>
      </c>
      <c r="EE111" s="51">
        <v>131</v>
      </c>
      <c r="EF111" s="52">
        <f t="shared" ref="EF111:EF117" si="572">SUM(EB111:EE111)</f>
        <v>596</v>
      </c>
      <c r="EG111" s="51">
        <v>138</v>
      </c>
      <c r="EH111" s="51">
        <v>146</v>
      </c>
      <c r="EI111" s="51">
        <v>180</v>
      </c>
      <c r="EJ111" s="51">
        <v>173</v>
      </c>
      <c r="EK111" s="52">
        <f t="shared" ref="EK111:EK117" si="573">SUM(EG111:EJ111)</f>
        <v>637</v>
      </c>
      <c r="EL111" s="51">
        <v>190</v>
      </c>
      <c r="EM111" s="51">
        <v>178</v>
      </c>
      <c r="EN111" s="1998">
        <v>178</v>
      </c>
      <c r="EO111" s="51">
        <v>157</v>
      </c>
      <c r="EP111" s="52">
        <f t="shared" ref="EP111:EP117" si="574">SUM(EL111:EO111)</f>
        <v>703</v>
      </c>
      <c r="EQ111" s="51">
        <v>186</v>
      </c>
      <c r="ER111" s="51"/>
      <c r="ES111" s="51"/>
      <c r="ET111" s="51"/>
      <c r="EU111" s="52"/>
      <c r="EV111" s="51"/>
      <c r="EW111" s="51"/>
      <c r="EX111" s="51"/>
      <c r="EY111" s="51"/>
      <c r="EZ111" s="52"/>
      <c r="FA111" s="51"/>
      <c r="FB111" s="51"/>
      <c r="FC111" s="51"/>
      <c r="FD111" s="51"/>
      <c r="FE111" s="52"/>
      <c r="FG111" s="486"/>
      <c r="FH111" s="777"/>
      <c r="FI111" s="777"/>
      <c r="FJ111" s="777"/>
      <c r="FK111" s="175"/>
      <c r="FL111" s="1347"/>
      <c r="FM111" s="51">
        <f t="shared" ref="FM111:FM119" si="575">+EQ111</f>
        <v>186</v>
      </c>
      <c r="FN111" s="1437">
        <f t="shared" ref="FN111:FN119" si="576">EL111</f>
        <v>190</v>
      </c>
      <c r="FO111" s="1833"/>
      <c r="FP111" s="1733">
        <f t="shared" ref="FP111:FP117" si="577">+FM111/FN111-1</f>
        <v>-2.1052631578947323E-2</v>
      </c>
      <c r="FQ111" s="1519"/>
      <c r="FR111" s="1619"/>
      <c r="FS111" s="1619"/>
      <c r="FT111" s="355"/>
      <c r="FU111" s="355"/>
      <c r="FV111" s="355"/>
      <c r="FW111" s="355"/>
      <c r="FX111" s="355"/>
      <c r="FY111" s="355"/>
      <c r="FZ111" s="486"/>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c r="IW111"/>
      <c r="IX111"/>
    </row>
    <row r="112" spans="1:258" s="39" customFormat="1" hidden="1" outlineLevel="1" x14ac:dyDescent="0.2">
      <c r="A112" s="575" t="s">
        <v>128</v>
      </c>
      <c r="B112" s="8"/>
      <c r="C112" s="8"/>
      <c r="D112" s="8"/>
      <c r="E112" s="8"/>
      <c r="F112" s="38"/>
      <c r="G112" s="8"/>
      <c r="H112" s="8"/>
      <c r="I112" s="8"/>
      <c r="J112" s="8"/>
      <c r="K112" s="38"/>
      <c r="L112" s="8"/>
      <c r="M112" s="8"/>
      <c r="N112" s="8"/>
      <c r="O112" s="8"/>
      <c r="P112" s="38"/>
      <c r="Q112" s="8"/>
      <c r="R112" s="8"/>
      <c r="S112" s="8"/>
      <c r="T112" s="8"/>
      <c r="U112" s="38"/>
      <c r="V112" s="8"/>
      <c r="W112" s="8"/>
      <c r="X112" s="8"/>
      <c r="Y112" s="8"/>
      <c r="Z112" s="38"/>
      <c r="AA112" s="8"/>
      <c r="AB112" s="8"/>
      <c r="AC112" s="8"/>
      <c r="AD112" s="8"/>
      <c r="AE112" s="38"/>
      <c r="AF112" s="8"/>
      <c r="AG112" s="8"/>
      <c r="AH112" s="8"/>
      <c r="AI112" s="8"/>
      <c r="AJ112" s="38"/>
      <c r="AK112" s="8"/>
      <c r="AL112" s="8"/>
      <c r="AM112" s="8"/>
      <c r="AN112" s="8"/>
      <c r="AO112" s="38"/>
      <c r="AP112" s="8"/>
      <c r="AQ112" s="8"/>
      <c r="AR112" s="8"/>
      <c r="AS112" s="8"/>
      <c r="AT112" s="38"/>
      <c r="AU112" s="8">
        <v>37</v>
      </c>
      <c r="AV112" s="8">
        <v>38</v>
      </c>
      <c r="AW112" s="8">
        <v>36</v>
      </c>
      <c r="AX112" s="8">
        <v>37</v>
      </c>
      <c r="AY112" s="38">
        <f>SUM(AU112:AX112)</f>
        <v>148</v>
      </c>
      <c r="AZ112" s="8">
        <v>39</v>
      </c>
      <c r="BA112" s="8">
        <v>41</v>
      </c>
      <c r="BB112" s="8">
        <v>50</v>
      </c>
      <c r="BC112" s="8">
        <v>54</v>
      </c>
      <c r="BD112" s="38">
        <f>SUM(AZ112:BC112)</f>
        <v>184</v>
      </c>
      <c r="BE112" s="8">
        <v>50</v>
      </c>
      <c r="BF112" s="8">
        <v>50</v>
      </c>
      <c r="BG112" s="8">
        <v>52</v>
      </c>
      <c r="BH112" s="8">
        <v>54</v>
      </c>
      <c r="BI112" s="38">
        <f t="shared" si="557"/>
        <v>206</v>
      </c>
      <c r="BJ112" s="8">
        <v>52</v>
      </c>
      <c r="BK112" s="8">
        <v>57</v>
      </c>
      <c r="BL112" s="8">
        <v>54</v>
      </c>
      <c r="BM112" s="8">
        <v>55</v>
      </c>
      <c r="BN112" s="38">
        <f t="shared" si="558"/>
        <v>218</v>
      </c>
      <c r="BO112" s="8">
        <v>81</v>
      </c>
      <c r="BP112" s="8">
        <v>85</v>
      </c>
      <c r="BQ112" s="8">
        <v>81</v>
      </c>
      <c r="BR112" s="8">
        <v>83</v>
      </c>
      <c r="BS112" s="38">
        <f t="shared" si="559"/>
        <v>330</v>
      </c>
      <c r="BT112" s="8">
        <v>83</v>
      </c>
      <c r="BU112" s="8">
        <v>90</v>
      </c>
      <c r="BV112" s="8">
        <v>89</v>
      </c>
      <c r="BW112" s="8">
        <v>89</v>
      </c>
      <c r="BX112" s="38">
        <f t="shared" si="560"/>
        <v>351</v>
      </c>
      <c r="BY112" s="8">
        <v>88</v>
      </c>
      <c r="BZ112" s="8">
        <v>92</v>
      </c>
      <c r="CA112" s="8">
        <v>93</v>
      </c>
      <c r="CB112" s="8">
        <v>105</v>
      </c>
      <c r="CC112" s="38">
        <f t="shared" si="561"/>
        <v>378</v>
      </c>
      <c r="CD112" s="8">
        <v>105</v>
      </c>
      <c r="CE112" s="8">
        <v>109</v>
      </c>
      <c r="CF112" s="8">
        <v>110</v>
      </c>
      <c r="CG112" s="8">
        <v>115</v>
      </c>
      <c r="CH112" s="38">
        <f t="shared" si="562"/>
        <v>439</v>
      </c>
      <c r="CI112" s="8">
        <v>118</v>
      </c>
      <c r="CJ112" s="8">
        <v>120</v>
      </c>
      <c r="CK112" s="8">
        <v>123</v>
      </c>
      <c r="CL112" s="8">
        <v>116</v>
      </c>
      <c r="CM112" s="38">
        <f t="shared" si="563"/>
        <v>477</v>
      </c>
      <c r="CN112" s="8">
        <v>64</v>
      </c>
      <c r="CO112" s="8">
        <v>67</v>
      </c>
      <c r="CP112" s="8">
        <v>65</v>
      </c>
      <c r="CQ112" s="8">
        <v>67</v>
      </c>
      <c r="CR112" s="38">
        <f t="shared" si="564"/>
        <v>263</v>
      </c>
      <c r="CS112" s="8">
        <v>65</v>
      </c>
      <c r="CT112" s="8">
        <v>70</v>
      </c>
      <c r="CU112" s="8">
        <v>73</v>
      </c>
      <c r="CV112" s="8">
        <v>73</v>
      </c>
      <c r="CW112" s="38">
        <f t="shared" si="565"/>
        <v>281</v>
      </c>
      <c r="CX112" s="8">
        <v>60</v>
      </c>
      <c r="CY112" s="8">
        <v>59</v>
      </c>
      <c r="CZ112" s="8">
        <v>57</v>
      </c>
      <c r="DA112" s="8">
        <v>57</v>
      </c>
      <c r="DB112" s="38">
        <f t="shared" si="566"/>
        <v>233</v>
      </c>
      <c r="DC112" s="8">
        <v>59</v>
      </c>
      <c r="DD112" s="8">
        <v>59</v>
      </c>
      <c r="DE112" s="8">
        <v>62</v>
      </c>
      <c r="DF112" s="8">
        <v>65</v>
      </c>
      <c r="DG112" s="38">
        <f t="shared" si="567"/>
        <v>245</v>
      </c>
      <c r="DH112" s="8">
        <v>63</v>
      </c>
      <c r="DI112" s="8">
        <v>70</v>
      </c>
      <c r="DJ112" s="8">
        <v>64</v>
      </c>
      <c r="DK112" s="8">
        <v>66</v>
      </c>
      <c r="DL112" s="38">
        <f t="shared" si="568"/>
        <v>263</v>
      </c>
      <c r="DM112" s="8">
        <v>67</v>
      </c>
      <c r="DN112" s="8">
        <v>68</v>
      </c>
      <c r="DO112" s="8">
        <v>67</v>
      </c>
      <c r="DP112" s="8">
        <v>71</v>
      </c>
      <c r="DQ112" s="38">
        <f t="shared" si="569"/>
        <v>273</v>
      </c>
      <c r="DR112" s="8">
        <v>68</v>
      </c>
      <c r="DS112" s="8">
        <v>69</v>
      </c>
      <c r="DT112" s="8">
        <v>64</v>
      </c>
      <c r="DU112" s="8">
        <v>68</v>
      </c>
      <c r="DV112" s="38">
        <f t="shared" si="570"/>
        <v>269</v>
      </c>
      <c r="DW112" s="8">
        <v>65</v>
      </c>
      <c r="DX112" s="8">
        <v>70</v>
      </c>
      <c r="DY112" s="8">
        <v>64</v>
      </c>
      <c r="DZ112" s="8">
        <v>66</v>
      </c>
      <c r="EA112" s="38">
        <f t="shared" si="571"/>
        <v>265</v>
      </c>
      <c r="EB112" s="8">
        <v>64</v>
      </c>
      <c r="EC112" s="8">
        <v>68</v>
      </c>
      <c r="ED112" s="8">
        <v>64</v>
      </c>
      <c r="EE112" s="8">
        <v>62</v>
      </c>
      <c r="EF112" s="38">
        <f t="shared" si="572"/>
        <v>258</v>
      </c>
      <c r="EG112" s="8">
        <v>60</v>
      </c>
      <c r="EH112" s="8">
        <v>64</v>
      </c>
      <c r="EI112" s="8">
        <v>64</v>
      </c>
      <c r="EJ112" s="8"/>
      <c r="EK112" s="38"/>
      <c r="EL112" s="8"/>
      <c r="EM112" s="8"/>
      <c r="EN112" s="94"/>
      <c r="EO112" s="8"/>
      <c r="EP112" s="38"/>
      <c r="EQ112" s="8"/>
      <c r="ER112" s="8"/>
      <c r="ES112" s="8"/>
      <c r="ET112" s="8"/>
      <c r="EU112" s="38"/>
      <c r="EV112" s="8"/>
      <c r="EW112" s="8"/>
      <c r="EX112" s="8"/>
      <c r="EY112" s="8"/>
      <c r="EZ112" s="38"/>
      <c r="FA112" s="8"/>
      <c r="FB112" s="8"/>
      <c r="FC112" s="8"/>
      <c r="FD112" s="8"/>
      <c r="FE112" s="38"/>
      <c r="FG112" s="485"/>
      <c r="FH112" s="777"/>
      <c r="FI112" s="777"/>
      <c r="FJ112" s="777"/>
      <c r="FK112" s="175"/>
      <c r="FL112" s="1347"/>
      <c r="FM112" s="8">
        <f t="shared" si="575"/>
        <v>0</v>
      </c>
      <c r="FN112" s="1428">
        <f t="shared" si="576"/>
        <v>0</v>
      </c>
      <c r="FO112" s="1816"/>
      <c r="FP112" s="1733" t="e">
        <f t="shared" si="577"/>
        <v>#DIV/0!</v>
      </c>
      <c r="FQ112" s="1519"/>
      <c r="FR112" s="1619"/>
      <c r="FS112" s="1619"/>
      <c r="FT112" s="355"/>
      <c r="FU112" s="355"/>
      <c r="FV112" s="355"/>
      <c r="FW112" s="355"/>
      <c r="FX112" s="355"/>
      <c r="FY112" s="355"/>
      <c r="FZ112" s="485"/>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c r="IW112"/>
      <c r="IX112"/>
    </row>
    <row r="113" spans="1:258" s="39" customFormat="1" collapsed="1" x14ac:dyDescent="0.2">
      <c r="A113" s="575" t="s">
        <v>534</v>
      </c>
      <c r="B113" s="8"/>
      <c r="C113" s="8"/>
      <c r="D113" s="8"/>
      <c r="E113" s="8"/>
      <c r="F113" s="38"/>
      <c r="G113" s="8"/>
      <c r="H113" s="8"/>
      <c r="I113" s="8"/>
      <c r="J113" s="8"/>
      <c r="K113" s="38"/>
      <c r="L113" s="8"/>
      <c r="M113" s="8"/>
      <c r="N113" s="8"/>
      <c r="O113" s="8"/>
      <c r="P113" s="38"/>
      <c r="Q113" s="8"/>
      <c r="R113" s="8"/>
      <c r="S113" s="8"/>
      <c r="T113" s="8"/>
      <c r="U113" s="38"/>
      <c r="V113" s="8"/>
      <c r="W113" s="8"/>
      <c r="X113" s="8"/>
      <c r="Y113" s="8"/>
      <c r="Z113" s="38"/>
      <c r="AA113" s="8"/>
      <c r="AB113" s="8"/>
      <c r="AC113" s="8"/>
      <c r="AD113" s="8"/>
      <c r="AE113" s="38"/>
      <c r="AF113" s="8"/>
      <c r="AG113" s="8"/>
      <c r="AH113" s="8"/>
      <c r="AI113" s="8"/>
      <c r="AJ113" s="38"/>
      <c r="AK113" s="8"/>
      <c r="AL113" s="8"/>
      <c r="AM113" s="8"/>
      <c r="AN113" s="8"/>
      <c r="AO113" s="38"/>
      <c r="AP113" s="8"/>
      <c r="AQ113" s="8"/>
      <c r="AR113" s="8"/>
      <c r="AS113" s="8"/>
      <c r="AT113" s="38"/>
      <c r="AU113" s="8">
        <v>130</v>
      </c>
      <c r="AV113" s="8">
        <v>128</v>
      </c>
      <c r="AW113" s="8">
        <v>128</v>
      </c>
      <c r="AX113" s="8">
        <v>122</v>
      </c>
      <c r="AY113" s="38">
        <f>SUM(AU113:AX113)</f>
        <v>508</v>
      </c>
      <c r="AZ113" s="8">
        <v>137</v>
      </c>
      <c r="BA113" s="8">
        <v>142</v>
      </c>
      <c r="BB113" s="8">
        <v>160</v>
      </c>
      <c r="BC113" s="8">
        <v>161</v>
      </c>
      <c r="BD113" s="38">
        <f>SUM(AZ113:BC113)</f>
        <v>600</v>
      </c>
      <c r="BE113" s="8">
        <f>168+25</f>
        <v>193</v>
      </c>
      <c r="BF113" s="8">
        <f>169+26</f>
        <v>195</v>
      </c>
      <c r="BG113" s="8">
        <f>160+26</f>
        <v>186</v>
      </c>
      <c r="BH113" s="8">
        <f>160+23</f>
        <v>183</v>
      </c>
      <c r="BI113" s="38">
        <f t="shared" si="557"/>
        <v>757</v>
      </c>
      <c r="BJ113" s="8">
        <f>160+24</f>
        <v>184</v>
      </c>
      <c r="BK113" s="8">
        <f>161+21</f>
        <v>182</v>
      </c>
      <c r="BL113" s="8">
        <f>161+22</f>
        <v>183</v>
      </c>
      <c r="BM113" s="8">
        <f>151+19</f>
        <v>170</v>
      </c>
      <c r="BN113" s="38">
        <f t="shared" si="558"/>
        <v>719</v>
      </c>
      <c r="BO113" s="8">
        <v>147</v>
      </c>
      <c r="BP113" s="8">
        <v>152</v>
      </c>
      <c r="BQ113" s="8">
        <v>152</v>
      </c>
      <c r="BR113" s="8">
        <v>149</v>
      </c>
      <c r="BS113" s="38">
        <f t="shared" si="559"/>
        <v>600</v>
      </c>
      <c r="BT113" s="8">
        <v>152</v>
      </c>
      <c r="BU113" s="8">
        <v>159</v>
      </c>
      <c r="BV113" s="8">
        <v>158</v>
      </c>
      <c r="BW113" s="8">
        <v>153</v>
      </c>
      <c r="BX113" s="38">
        <f t="shared" si="560"/>
        <v>622</v>
      </c>
      <c r="BY113" s="8">
        <f>159-1</f>
        <v>158</v>
      </c>
      <c r="BZ113" s="8">
        <v>166</v>
      </c>
      <c r="CA113" s="8">
        <v>171</v>
      </c>
      <c r="CB113" s="8">
        <v>185</v>
      </c>
      <c r="CC113" s="38">
        <f t="shared" si="561"/>
        <v>680</v>
      </c>
      <c r="CD113" s="8">
        <v>176</v>
      </c>
      <c r="CE113" s="8">
        <v>181</v>
      </c>
      <c r="CF113" s="8">
        <v>177</v>
      </c>
      <c r="CG113" s="8">
        <v>183</v>
      </c>
      <c r="CH113" s="38">
        <f t="shared" si="562"/>
        <v>717</v>
      </c>
      <c r="CI113" s="8">
        <v>191</v>
      </c>
      <c r="CJ113" s="8">
        <v>194</v>
      </c>
      <c r="CK113" s="8">
        <v>200</v>
      </c>
      <c r="CL113" s="8">
        <v>188</v>
      </c>
      <c r="CM113" s="38">
        <f t="shared" si="563"/>
        <v>773</v>
      </c>
      <c r="CN113" s="8">
        <v>205</v>
      </c>
      <c r="CO113" s="8">
        <v>210</v>
      </c>
      <c r="CP113" s="8">
        <v>203</v>
      </c>
      <c r="CQ113" s="8">
        <v>185</v>
      </c>
      <c r="CR113" s="38">
        <f t="shared" si="564"/>
        <v>803</v>
      </c>
      <c r="CS113" s="8">
        <v>192</v>
      </c>
      <c r="CT113" s="8">
        <v>205</v>
      </c>
      <c r="CU113" s="8">
        <v>216</v>
      </c>
      <c r="CV113" s="8">
        <v>180</v>
      </c>
      <c r="CW113" s="38">
        <f t="shared" si="565"/>
        <v>793</v>
      </c>
      <c r="CX113" s="8">
        <v>140</v>
      </c>
      <c r="CY113" s="8">
        <v>133</v>
      </c>
      <c r="CZ113" s="8">
        <v>140</v>
      </c>
      <c r="DA113" s="8">
        <v>134</v>
      </c>
      <c r="DB113" s="38">
        <f t="shared" si="566"/>
        <v>547</v>
      </c>
      <c r="DC113" s="8">
        <v>140</v>
      </c>
      <c r="DD113" s="8">
        <v>150</v>
      </c>
      <c r="DE113" s="8">
        <v>150</v>
      </c>
      <c r="DF113" s="8">
        <v>160</v>
      </c>
      <c r="DG113" s="38">
        <f t="shared" si="567"/>
        <v>600</v>
      </c>
      <c r="DH113" s="8">
        <v>161</v>
      </c>
      <c r="DI113" s="8">
        <v>174</v>
      </c>
      <c r="DJ113" s="8">
        <v>179</v>
      </c>
      <c r="DK113" s="8">
        <v>170</v>
      </c>
      <c r="DL113" s="38">
        <f t="shared" si="568"/>
        <v>684</v>
      </c>
      <c r="DM113" s="8">
        <v>181</v>
      </c>
      <c r="DN113" s="8">
        <v>184</v>
      </c>
      <c r="DO113" s="8">
        <v>182</v>
      </c>
      <c r="DP113" s="8">
        <v>175</v>
      </c>
      <c r="DQ113" s="38">
        <f t="shared" si="569"/>
        <v>722</v>
      </c>
      <c r="DR113" s="8">
        <v>189</v>
      </c>
      <c r="DS113" s="8">
        <v>195</v>
      </c>
      <c r="DT113" s="8">
        <v>199</v>
      </c>
      <c r="DU113" s="8">
        <v>192</v>
      </c>
      <c r="DV113" s="38">
        <f t="shared" si="570"/>
        <v>775</v>
      </c>
      <c r="DW113" s="8">
        <v>194</v>
      </c>
      <c r="DX113" s="8">
        <v>210</v>
      </c>
      <c r="DY113" s="8">
        <v>209</v>
      </c>
      <c r="DZ113" s="8">
        <v>206.07418028737217</v>
      </c>
      <c r="EA113" s="38">
        <f t="shared" si="571"/>
        <v>819.0741802873722</v>
      </c>
      <c r="EB113" s="8">
        <v>198</v>
      </c>
      <c r="EC113" s="8">
        <v>202</v>
      </c>
      <c r="ED113" s="8">
        <v>203</v>
      </c>
      <c r="EE113" s="8">
        <v>193</v>
      </c>
      <c r="EF113" s="38">
        <f t="shared" si="572"/>
        <v>796</v>
      </c>
      <c r="EG113" s="8">
        <v>189</v>
      </c>
      <c r="EH113" s="8">
        <v>192</v>
      </c>
      <c r="EI113" s="8">
        <v>191</v>
      </c>
      <c r="EJ113" s="8">
        <v>201</v>
      </c>
      <c r="EK113" s="38">
        <f t="shared" si="573"/>
        <v>773</v>
      </c>
      <c r="EL113" s="8">
        <v>192</v>
      </c>
      <c r="EM113" s="8">
        <v>194</v>
      </c>
      <c r="EN113" s="94">
        <v>181</v>
      </c>
      <c r="EO113" s="8">
        <v>188</v>
      </c>
      <c r="EP113" s="38">
        <f t="shared" si="574"/>
        <v>755</v>
      </c>
      <c r="EQ113" s="8">
        <v>195</v>
      </c>
      <c r="ER113" s="8"/>
      <c r="ES113" s="8"/>
      <c r="ET113" s="8"/>
      <c r="EU113" s="38"/>
      <c r="EV113" s="8"/>
      <c r="EW113" s="8"/>
      <c r="EX113" s="8"/>
      <c r="EY113" s="8"/>
      <c r="EZ113" s="38"/>
      <c r="FA113" s="8"/>
      <c r="FB113" s="8"/>
      <c r="FC113" s="8"/>
      <c r="FD113" s="8"/>
      <c r="FE113" s="38"/>
      <c r="FG113" s="486"/>
      <c r="FH113" s="777"/>
      <c r="FI113" s="777"/>
      <c r="FJ113" s="777"/>
      <c r="FK113" s="175"/>
      <c r="FL113" s="1347"/>
      <c r="FM113" s="8">
        <f t="shared" si="575"/>
        <v>195</v>
      </c>
      <c r="FN113" s="1428">
        <f t="shared" si="576"/>
        <v>192</v>
      </c>
      <c r="FO113" s="1816"/>
      <c r="FP113" s="1733">
        <f t="shared" si="577"/>
        <v>1.5625E-2</v>
      </c>
      <c r="FQ113" s="1519"/>
      <c r="FR113" s="1619"/>
      <c r="FS113" s="1619"/>
      <c r="FT113" s="355"/>
      <c r="FU113" s="355"/>
      <c r="FV113" s="355"/>
      <c r="FW113" s="355"/>
      <c r="FX113" s="355"/>
      <c r="FY113" s="355"/>
      <c r="FZ113" s="486"/>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c r="IW113"/>
      <c r="IX113"/>
    </row>
    <row r="114" spans="1:258" s="39" customFormat="1" x14ac:dyDescent="0.2">
      <c r="A114" s="575" t="s">
        <v>129</v>
      </c>
      <c r="B114" s="8"/>
      <c r="C114" s="8"/>
      <c r="D114" s="8"/>
      <c r="E114" s="8"/>
      <c r="F114" s="38"/>
      <c r="G114" s="8"/>
      <c r="H114" s="8"/>
      <c r="I114" s="8"/>
      <c r="J114" s="8"/>
      <c r="K114" s="38"/>
      <c r="L114" s="8"/>
      <c r="M114" s="8"/>
      <c r="N114" s="8"/>
      <c r="O114" s="8"/>
      <c r="P114" s="38"/>
      <c r="Q114" s="8"/>
      <c r="R114" s="8"/>
      <c r="S114" s="8"/>
      <c r="T114" s="8"/>
      <c r="U114" s="38"/>
      <c r="V114" s="8"/>
      <c r="W114" s="8"/>
      <c r="X114" s="8"/>
      <c r="Y114" s="8"/>
      <c r="Z114" s="38"/>
      <c r="AA114" s="8"/>
      <c r="AB114" s="8"/>
      <c r="AC114" s="8"/>
      <c r="AD114" s="8"/>
      <c r="AE114" s="38"/>
      <c r="AF114" s="8"/>
      <c r="AG114" s="8"/>
      <c r="AH114" s="8"/>
      <c r="AI114" s="8"/>
      <c r="AJ114" s="38"/>
      <c r="AK114" s="8"/>
      <c r="AL114" s="8"/>
      <c r="AM114" s="8"/>
      <c r="AN114" s="8"/>
      <c r="AO114" s="38"/>
      <c r="AP114" s="8"/>
      <c r="AQ114" s="8"/>
      <c r="AR114" s="8"/>
      <c r="AS114" s="8"/>
      <c r="AT114" s="38"/>
      <c r="AU114" s="8">
        <v>192</v>
      </c>
      <c r="AV114" s="8">
        <v>192</v>
      </c>
      <c r="AW114" s="8">
        <v>188</v>
      </c>
      <c r="AX114" s="8">
        <v>178</v>
      </c>
      <c r="AY114" s="38">
        <f>SUM(AU114:AX114)</f>
        <v>750</v>
      </c>
      <c r="AZ114" s="8">
        <v>205</v>
      </c>
      <c r="BA114" s="8">
        <v>219</v>
      </c>
      <c r="BB114" s="8">
        <v>245</v>
      </c>
      <c r="BC114" s="8">
        <v>244</v>
      </c>
      <c r="BD114" s="38">
        <f>SUM(AZ114:BC114)</f>
        <v>913</v>
      </c>
      <c r="BE114" s="8">
        <v>245</v>
      </c>
      <c r="BF114" s="8">
        <v>250</v>
      </c>
      <c r="BG114" s="8">
        <v>243</v>
      </c>
      <c r="BH114" s="8">
        <v>237</v>
      </c>
      <c r="BI114" s="38">
        <f t="shared" si="557"/>
        <v>975</v>
      </c>
      <c r="BJ114" s="8">
        <v>244</v>
      </c>
      <c r="BK114" s="8">
        <v>239</v>
      </c>
      <c r="BL114" s="8">
        <v>230</v>
      </c>
      <c r="BM114" s="8">
        <v>224</v>
      </c>
      <c r="BN114" s="38">
        <f t="shared" si="558"/>
        <v>937</v>
      </c>
      <c r="BO114" s="8">
        <v>237</v>
      </c>
      <c r="BP114" s="8">
        <v>245</v>
      </c>
      <c r="BQ114" s="8">
        <v>238</v>
      </c>
      <c r="BR114" s="8">
        <v>239</v>
      </c>
      <c r="BS114" s="38">
        <f t="shared" si="559"/>
        <v>959</v>
      </c>
      <c r="BT114" s="8">
        <v>250</v>
      </c>
      <c r="BU114" s="8">
        <v>243</v>
      </c>
      <c r="BV114" s="8">
        <v>248</v>
      </c>
      <c r="BW114" s="8">
        <v>248</v>
      </c>
      <c r="BX114" s="38">
        <f t="shared" si="560"/>
        <v>989</v>
      </c>
      <c r="BY114" s="8">
        <v>256</v>
      </c>
      <c r="BZ114" s="8">
        <v>264</v>
      </c>
      <c r="CA114" s="8">
        <v>266</v>
      </c>
      <c r="CB114" s="8">
        <v>283</v>
      </c>
      <c r="CC114" s="38">
        <f t="shared" si="561"/>
        <v>1069</v>
      </c>
      <c r="CD114" s="8">
        <v>275</v>
      </c>
      <c r="CE114" s="8">
        <v>270</v>
      </c>
      <c r="CF114" s="8">
        <v>269</v>
      </c>
      <c r="CG114" s="8">
        <v>274</v>
      </c>
      <c r="CH114" s="38">
        <f t="shared" si="562"/>
        <v>1088</v>
      </c>
      <c r="CI114" s="8">
        <v>295</v>
      </c>
      <c r="CJ114" s="8">
        <v>305</v>
      </c>
      <c r="CK114" s="8">
        <v>313</v>
      </c>
      <c r="CL114" s="8">
        <v>297</v>
      </c>
      <c r="CM114" s="38">
        <f t="shared" si="563"/>
        <v>1210</v>
      </c>
      <c r="CN114" s="8">
        <v>321</v>
      </c>
      <c r="CO114" s="8">
        <v>331</v>
      </c>
      <c r="CP114" s="8">
        <v>341</v>
      </c>
      <c r="CQ114" s="8">
        <v>338</v>
      </c>
      <c r="CR114" s="38">
        <f t="shared" si="564"/>
        <v>1331</v>
      </c>
      <c r="CS114" s="8">
        <v>362</v>
      </c>
      <c r="CT114" s="8">
        <v>381</v>
      </c>
      <c r="CU114" s="8">
        <v>385</v>
      </c>
      <c r="CV114" s="8">
        <v>326</v>
      </c>
      <c r="CW114" s="38">
        <f t="shared" si="565"/>
        <v>1454</v>
      </c>
      <c r="CX114" s="8">
        <v>308</v>
      </c>
      <c r="CY114" s="8">
        <v>308</v>
      </c>
      <c r="CZ114" s="8">
        <v>332</v>
      </c>
      <c r="DA114" s="8">
        <v>319</v>
      </c>
      <c r="DB114" s="38">
        <f t="shared" si="566"/>
        <v>1267</v>
      </c>
      <c r="DC114" s="8">
        <v>351</v>
      </c>
      <c r="DD114" s="8">
        <v>372</v>
      </c>
      <c r="DE114" s="8">
        <v>379</v>
      </c>
      <c r="DF114" s="8">
        <v>383</v>
      </c>
      <c r="DG114" s="38">
        <f t="shared" si="567"/>
        <v>1485</v>
      </c>
      <c r="DH114" s="8">
        <v>394</v>
      </c>
      <c r="DI114" s="8">
        <v>413</v>
      </c>
      <c r="DJ114" s="8">
        <v>407</v>
      </c>
      <c r="DK114" s="8">
        <v>382</v>
      </c>
      <c r="DL114" s="38">
        <f t="shared" si="568"/>
        <v>1596</v>
      </c>
      <c r="DM114" s="8">
        <v>415</v>
      </c>
      <c r="DN114" s="8">
        <v>430</v>
      </c>
      <c r="DO114" s="8">
        <v>424</v>
      </c>
      <c r="DP114" s="8">
        <v>413</v>
      </c>
      <c r="DQ114" s="38">
        <f t="shared" si="569"/>
        <v>1682</v>
      </c>
      <c r="DR114" s="8">
        <v>468</v>
      </c>
      <c r="DS114" s="8">
        <v>476</v>
      </c>
      <c r="DT114" s="8">
        <v>469</v>
      </c>
      <c r="DU114" s="8">
        <v>483</v>
      </c>
      <c r="DV114" s="38">
        <f t="shared" si="570"/>
        <v>1896</v>
      </c>
      <c r="DW114" s="8">
        <v>516</v>
      </c>
      <c r="DX114" s="8">
        <v>556</v>
      </c>
      <c r="DY114" s="8">
        <v>558</v>
      </c>
      <c r="DZ114" s="8">
        <v>548</v>
      </c>
      <c r="EA114" s="38">
        <f t="shared" si="571"/>
        <v>2178</v>
      </c>
      <c r="EB114" s="8">
        <v>534</v>
      </c>
      <c r="EC114" s="8">
        <v>530</v>
      </c>
      <c r="ED114" s="8">
        <v>529</v>
      </c>
      <c r="EE114" s="8">
        <v>500</v>
      </c>
      <c r="EF114" s="38">
        <f t="shared" si="572"/>
        <v>2093</v>
      </c>
      <c r="EG114" s="8">
        <v>501</v>
      </c>
      <c r="EH114" s="8">
        <v>478</v>
      </c>
      <c r="EI114" s="8">
        <v>542</v>
      </c>
      <c r="EJ114" s="8">
        <v>569</v>
      </c>
      <c r="EK114" s="38">
        <f t="shared" si="573"/>
        <v>2090</v>
      </c>
      <c r="EL114" s="8">
        <v>566</v>
      </c>
      <c r="EM114" s="8">
        <v>552</v>
      </c>
      <c r="EN114" s="94">
        <v>546</v>
      </c>
      <c r="EO114" s="8">
        <v>546</v>
      </c>
      <c r="EP114" s="38">
        <f t="shared" si="574"/>
        <v>2210</v>
      </c>
      <c r="EQ114" s="8">
        <v>557</v>
      </c>
      <c r="ER114" s="8"/>
      <c r="ES114" s="8"/>
      <c r="ET114" s="8"/>
      <c r="EU114" s="38"/>
      <c r="EV114" s="8"/>
      <c r="EW114" s="8"/>
      <c r="EX114" s="8"/>
      <c r="EY114" s="8"/>
      <c r="EZ114" s="38"/>
      <c r="FA114" s="8"/>
      <c r="FB114" s="8"/>
      <c r="FC114" s="8"/>
      <c r="FD114" s="8"/>
      <c r="FE114" s="38"/>
      <c r="FG114" s="487"/>
      <c r="FH114" s="777"/>
      <c r="FI114" s="777"/>
      <c r="FJ114" s="777"/>
      <c r="FK114" s="175"/>
      <c r="FL114" s="1347"/>
      <c r="FM114" s="8">
        <f t="shared" si="575"/>
        <v>557</v>
      </c>
      <c r="FN114" s="1428">
        <f t="shared" si="576"/>
        <v>566</v>
      </c>
      <c r="FO114" s="1816"/>
      <c r="FP114" s="1733">
        <f t="shared" si="577"/>
        <v>-1.590106007067138E-2</v>
      </c>
      <c r="FQ114" s="1519"/>
      <c r="FR114" s="1619"/>
      <c r="FS114" s="1619"/>
      <c r="FT114" s="355"/>
      <c r="FU114" s="355"/>
      <c r="FV114" s="355"/>
      <c r="FW114" s="355"/>
      <c r="FX114" s="355"/>
      <c r="FY114" s="355"/>
      <c r="FZ114" s="487"/>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c r="IW114"/>
      <c r="IX114"/>
    </row>
    <row r="115" spans="1:258" s="39" customFormat="1" x14ac:dyDescent="0.2">
      <c r="A115" s="575" t="s">
        <v>97</v>
      </c>
      <c r="B115" s="8"/>
      <c r="C115" s="8"/>
      <c r="D115" s="8"/>
      <c r="E115" s="8"/>
      <c r="F115" s="38"/>
      <c r="G115" s="8"/>
      <c r="H115" s="8"/>
      <c r="I115" s="8"/>
      <c r="J115" s="8"/>
      <c r="K115" s="38"/>
      <c r="L115" s="8"/>
      <c r="M115" s="8"/>
      <c r="N115" s="8"/>
      <c r="O115" s="8"/>
      <c r="P115" s="38"/>
      <c r="Q115" s="8"/>
      <c r="R115" s="8"/>
      <c r="S115" s="8"/>
      <c r="T115" s="8"/>
      <c r="U115" s="38"/>
      <c r="V115" s="8"/>
      <c r="W115" s="8"/>
      <c r="X115" s="8"/>
      <c r="Y115" s="8"/>
      <c r="Z115" s="38"/>
      <c r="AA115" s="8"/>
      <c r="AB115" s="8"/>
      <c r="AC115" s="8"/>
      <c r="AD115" s="8"/>
      <c r="AE115" s="38"/>
      <c r="AF115" s="8"/>
      <c r="AG115" s="8"/>
      <c r="AH115" s="8"/>
      <c r="AI115" s="8"/>
      <c r="AJ115" s="38"/>
      <c r="AK115" s="8"/>
      <c r="AL115" s="8"/>
      <c r="AM115" s="8"/>
      <c r="AN115" s="8"/>
      <c r="AO115" s="38"/>
      <c r="AP115" s="8"/>
      <c r="AQ115" s="8"/>
      <c r="AR115" s="8"/>
      <c r="AS115" s="8"/>
      <c r="AT115" s="38"/>
      <c r="AU115" s="8">
        <v>87</v>
      </c>
      <c r="AV115" s="8">
        <v>92</v>
      </c>
      <c r="AW115" s="8">
        <v>98</v>
      </c>
      <c r="AX115" s="8">
        <v>92</v>
      </c>
      <c r="AY115" s="38">
        <v>369</v>
      </c>
      <c r="AZ115" s="8">
        <v>99</v>
      </c>
      <c r="BA115" s="8">
        <v>108</v>
      </c>
      <c r="BB115" s="8">
        <v>106</v>
      </c>
      <c r="BC115" s="8">
        <v>101</v>
      </c>
      <c r="BD115" s="38">
        <v>414</v>
      </c>
      <c r="BE115" s="8">
        <v>81</v>
      </c>
      <c r="BF115" s="8">
        <v>100</v>
      </c>
      <c r="BG115" s="8">
        <v>98</v>
      </c>
      <c r="BH115" s="8">
        <v>89</v>
      </c>
      <c r="BI115" s="38">
        <f t="shared" si="557"/>
        <v>368</v>
      </c>
      <c r="BJ115" s="8">
        <v>88</v>
      </c>
      <c r="BK115" s="8">
        <v>100</v>
      </c>
      <c r="BL115" s="8">
        <v>102</v>
      </c>
      <c r="BM115" s="8">
        <v>94</v>
      </c>
      <c r="BN115" s="38">
        <f t="shared" si="558"/>
        <v>384</v>
      </c>
      <c r="BO115" s="8">
        <v>88</v>
      </c>
      <c r="BP115" s="8">
        <v>107</v>
      </c>
      <c r="BQ115" s="8">
        <v>106</v>
      </c>
      <c r="BR115" s="8">
        <v>97</v>
      </c>
      <c r="BS115" s="38">
        <f t="shared" si="559"/>
        <v>398</v>
      </c>
      <c r="BT115" s="8">
        <v>112</v>
      </c>
      <c r="BU115" s="8">
        <v>118</v>
      </c>
      <c r="BV115" s="8">
        <v>125</v>
      </c>
      <c r="BW115" s="8">
        <v>116</v>
      </c>
      <c r="BX115" s="38">
        <f t="shared" si="560"/>
        <v>471</v>
      </c>
      <c r="BY115" s="8">
        <v>116</v>
      </c>
      <c r="BZ115" s="8">
        <v>129</v>
      </c>
      <c r="CA115" s="8">
        <v>120</v>
      </c>
      <c r="CB115" s="8">
        <v>138</v>
      </c>
      <c r="CC115" s="38">
        <f t="shared" si="561"/>
        <v>503</v>
      </c>
      <c r="CD115" s="8">
        <v>117</v>
      </c>
      <c r="CE115" s="8">
        <v>137</v>
      </c>
      <c r="CF115" s="8">
        <v>135</v>
      </c>
      <c r="CG115" s="8">
        <v>124</v>
      </c>
      <c r="CH115" s="38">
        <f t="shared" si="562"/>
        <v>513</v>
      </c>
      <c r="CI115" s="8">
        <v>134</v>
      </c>
      <c r="CJ115" s="8">
        <v>158</v>
      </c>
      <c r="CK115" s="8">
        <v>150</v>
      </c>
      <c r="CL115" s="8">
        <v>138</v>
      </c>
      <c r="CM115" s="38">
        <f t="shared" si="563"/>
        <v>580</v>
      </c>
      <c r="CN115" s="8">
        <v>158</v>
      </c>
      <c r="CO115" s="8">
        <v>183</v>
      </c>
      <c r="CP115" s="8">
        <v>177</v>
      </c>
      <c r="CQ115" s="8">
        <v>166</v>
      </c>
      <c r="CR115" s="38">
        <f t="shared" si="564"/>
        <v>684</v>
      </c>
      <c r="CS115" s="8">
        <v>161</v>
      </c>
      <c r="CT115" s="8">
        <v>191</v>
      </c>
      <c r="CU115" s="8">
        <v>193</v>
      </c>
      <c r="CV115" s="8">
        <v>169</v>
      </c>
      <c r="CW115" s="38">
        <f t="shared" si="565"/>
        <v>714</v>
      </c>
      <c r="CX115" s="8">
        <v>134</v>
      </c>
      <c r="CY115" s="8">
        <v>147</v>
      </c>
      <c r="CZ115" s="8">
        <v>159</v>
      </c>
      <c r="DA115" s="8">
        <v>145</v>
      </c>
      <c r="DB115" s="38">
        <f t="shared" si="566"/>
        <v>585</v>
      </c>
      <c r="DC115" s="8">
        <v>130</v>
      </c>
      <c r="DD115" s="8">
        <v>167</v>
      </c>
      <c r="DE115" s="8">
        <v>163</v>
      </c>
      <c r="DF115" s="8">
        <v>155</v>
      </c>
      <c r="DG115" s="38">
        <f t="shared" si="567"/>
        <v>615</v>
      </c>
      <c r="DH115" s="8">
        <v>145</v>
      </c>
      <c r="DI115" s="8">
        <v>179</v>
      </c>
      <c r="DJ115" s="8">
        <v>180</v>
      </c>
      <c r="DK115" s="8">
        <v>168</v>
      </c>
      <c r="DL115" s="38">
        <f t="shared" si="568"/>
        <v>672</v>
      </c>
      <c r="DM115" s="8">
        <v>154</v>
      </c>
      <c r="DN115" s="8">
        <v>178</v>
      </c>
      <c r="DO115" s="8">
        <v>168</v>
      </c>
      <c r="DP115" s="8">
        <v>171</v>
      </c>
      <c r="DQ115" s="38">
        <f t="shared" si="569"/>
        <v>671</v>
      </c>
      <c r="DR115" s="8">
        <v>153</v>
      </c>
      <c r="DS115" s="8">
        <v>178</v>
      </c>
      <c r="DT115" s="8">
        <v>190</v>
      </c>
      <c r="DU115" s="8">
        <v>175</v>
      </c>
      <c r="DV115" s="38">
        <f t="shared" si="570"/>
        <v>696</v>
      </c>
      <c r="DW115" s="8">
        <v>154</v>
      </c>
      <c r="DX115" s="8">
        <v>202</v>
      </c>
      <c r="DY115" s="8">
        <v>221</v>
      </c>
      <c r="DZ115" s="8">
        <v>191</v>
      </c>
      <c r="EA115" s="38">
        <f t="shared" si="571"/>
        <v>768</v>
      </c>
      <c r="EB115" s="8">
        <v>165</v>
      </c>
      <c r="EC115" s="8">
        <v>201</v>
      </c>
      <c r="ED115" s="8">
        <v>213</v>
      </c>
      <c r="EE115" s="8">
        <v>198</v>
      </c>
      <c r="EF115" s="38">
        <f t="shared" si="572"/>
        <v>777</v>
      </c>
      <c r="EG115" s="8">
        <v>166</v>
      </c>
      <c r="EH115" s="8">
        <v>222</v>
      </c>
      <c r="EI115" s="8">
        <v>125</v>
      </c>
      <c r="EJ115" s="8">
        <v>119</v>
      </c>
      <c r="EK115" s="38">
        <f t="shared" si="573"/>
        <v>632</v>
      </c>
      <c r="EL115" s="8">
        <v>114</v>
      </c>
      <c r="EM115" s="8">
        <v>128</v>
      </c>
      <c r="EN115" s="94">
        <v>120</v>
      </c>
      <c r="EO115" s="8">
        <v>115</v>
      </c>
      <c r="EP115" s="38">
        <f t="shared" si="574"/>
        <v>477</v>
      </c>
      <c r="EQ115" s="8">
        <v>114</v>
      </c>
      <c r="ER115" s="8"/>
      <c r="ES115" s="8"/>
      <c r="ET115" s="8"/>
      <c r="EU115" s="38"/>
      <c r="EV115" s="8"/>
      <c r="EW115" s="8"/>
      <c r="EX115" s="8"/>
      <c r="EY115" s="8"/>
      <c r="EZ115" s="38"/>
      <c r="FA115" s="8"/>
      <c r="FB115" s="8"/>
      <c r="FC115" s="8"/>
      <c r="FD115" s="8"/>
      <c r="FE115" s="38"/>
      <c r="FG115" s="484"/>
      <c r="FH115" s="777"/>
      <c r="FI115" s="777"/>
      <c r="FJ115" s="777"/>
      <c r="FK115" s="175"/>
      <c r="FL115" s="1347"/>
      <c r="FM115" s="8">
        <f t="shared" si="575"/>
        <v>114</v>
      </c>
      <c r="FN115" s="1428">
        <f t="shared" si="576"/>
        <v>114</v>
      </c>
      <c r="FO115" s="1816"/>
      <c r="FP115" s="1733">
        <f t="shared" si="577"/>
        <v>0</v>
      </c>
      <c r="FQ115" s="1519"/>
      <c r="FR115" s="1619"/>
      <c r="FS115" s="1619"/>
      <c r="FT115" s="355"/>
      <c r="FU115" s="355"/>
      <c r="FV115" s="355"/>
      <c r="FW115" s="355"/>
      <c r="FX115" s="355"/>
      <c r="FY115" s="355"/>
      <c r="FZ115" s="484"/>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c r="IW115"/>
      <c r="IX115"/>
    </row>
    <row r="116" spans="1:258" s="39" customFormat="1" x14ac:dyDescent="0.2">
      <c r="A116" s="575" t="s">
        <v>531</v>
      </c>
      <c r="B116" s="8"/>
      <c r="C116" s="8"/>
      <c r="D116" s="8"/>
      <c r="E116" s="8"/>
      <c r="F116" s="38"/>
      <c r="G116" s="8"/>
      <c r="H116" s="8"/>
      <c r="I116" s="8"/>
      <c r="J116" s="8"/>
      <c r="K116" s="38"/>
      <c r="L116" s="8"/>
      <c r="M116" s="8"/>
      <c r="N116" s="8"/>
      <c r="O116" s="8"/>
      <c r="P116" s="38"/>
      <c r="Q116" s="8"/>
      <c r="R116" s="8"/>
      <c r="S116" s="8"/>
      <c r="T116" s="8"/>
      <c r="U116" s="38"/>
      <c r="V116" s="8"/>
      <c r="W116" s="8"/>
      <c r="X116" s="8"/>
      <c r="Y116" s="8"/>
      <c r="Z116" s="38"/>
      <c r="AA116" s="8"/>
      <c r="AB116" s="8"/>
      <c r="AC116" s="8"/>
      <c r="AD116" s="8"/>
      <c r="AE116" s="38"/>
      <c r="AF116" s="8"/>
      <c r="AG116" s="8"/>
      <c r="AH116" s="8"/>
      <c r="AI116" s="8"/>
      <c r="AJ116" s="38"/>
      <c r="AK116" s="8"/>
      <c r="AL116" s="8"/>
      <c r="AM116" s="8"/>
      <c r="AN116" s="8"/>
      <c r="AO116" s="38"/>
      <c r="AP116" s="8"/>
      <c r="AQ116" s="8"/>
      <c r="AR116" s="8"/>
      <c r="AS116" s="8"/>
      <c r="AT116" s="38"/>
      <c r="AU116" s="8">
        <v>131</v>
      </c>
      <c r="AV116" s="8">
        <v>141</v>
      </c>
      <c r="AW116" s="8">
        <v>111</v>
      </c>
      <c r="AX116" s="8">
        <v>157</v>
      </c>
      <c r="AY116" s="38">
        <f>SUM(AU116:AX116)</f>
        <v>540</v>
      </c>
      <c r="AZ116" s="8">
        <v>154</v>
      </c>
      <c r="BA116" s="8">
        <v>176</v>
      </c>
      <c r="BB116" s="8">
        <v>203</v>
      </c>
      <c r="BC116" s="8">
        <v>226</v>
      </c>
      <c r="BD116" s="38">
        <f>SUM(AZ116:BC116)</f>
        <v>759</v>
      </c>
      <c r="BE116" s="8">
        <v>227</v>
      </c>
      <c r="BF116" s="8">
        <v>238</v>
      </c>
      <c r="BG116" s="8">
        <v>196</v>
      </c>
      <c r="BH116" s="8">
        <v>208</v>
      </c>
      <c r="BI116" s="38">
        <f t="shared" si="557"/>
        <v>869</v>
      </c>
      <c r="BJ116" s="8">
        <v>194</v>
      </c>
      <c r="BK116" s="8">
        <v>213</v>
      </c>
      <c r="BL116" s="8">
        <v>184</v>
      </c>
      <c r="BM116" s="8">
        <v>203</v>
      </c>
      <c r="BN116" s="38">
        <f t="shared" si="558"/>
        <v>794</v>
      </c>
      <c r="BO116" s="8">
        <v>200</v>
      </c>
      <c r="BP116" s="8">
        <v>231</v>
      </c>
      <c r="BQ116" s="8">
        <v>195</v>
      </c>
      <c r="BR116" s="8">
        <v>219</v>
      </c>
      <c r="BS116" s="38">
        <f t="shared" si="559"/>
        <v>845</v>
      </c>
      <c r="BT116" s="8">
        <v>208</v>
      </c>
      <c r="BU116" s="8">
        <v>224</v>
      </c>
      <c r="BV116" s="8">
        <v>193</v>
      </c>
      <c r="BW116" s="8">
        <v>228</v>
      </c>
      <c r="BX116" s="38">
        <f t="shared" si="560"/>
        <v>853</v>
      </c>
      <c r="BY116" s="8">
        <v>202</v>
      </c>
      <c r="BZ116" s="8">
        <v>220</v>
      </c>
      <c r="CA116" s="8">
        <v>185</v>
      </c>
      <c r="CB116" s="8">
        <v>228</v>
      </c>
      <c r="CC116" s="38">
        <f t="shared" si="561"/>
        <v>835</v>
      </c>
      <c r="CD116" s="8">
        <v>208</v>
      </c>
      <c r="CE116" s="8">
        <v>211</v>
      </c>
      <c r="CF116" s="8">
        <v>200</v>
      </c>
      <c r="CG116" s="8">
        <v>225</v>
      </c>
      <c r="CH116" s="38">
        <f t="shared" si="562"/>
        <v>844</v>
      </c>
      <c r="CI116" s="8">
        <v>231</v>
      </c>
      <c r="CJ116" s="8">
        <v>223</v>
      </c>
      <c r="CK116" s="8">
        <v>183</v>
      </c>
      <c r="CL116" s="8">
        <v>210</v>
      </c>
      <c r="CM116" s="38">
        <f t="shared" si="563"/>
        <v>847</v>
      </c>
      <c r="CN116" s="8">
        <v>203</v>
      </c>
      <c r="CO116" s="8">
        <v>223</v>
      </c>
      <c r="CP116" s="8">
        <v>198</v>
      </c>
      <c r="CQ116" s="8">
        <v>215</v>
      </c>
      <c r="CR116" s="38">
        <f t="shared" si="564"/>
        <v>839</v>
      </c>
      <c r="CS116" s="8">
        <v>202</v>
      </c>
      <c r="CT116" s="8">
        <v>205</v>
      </c>
      <c r="CU116" s="8">
        <v>195</v>
      </c>
      <c r="CV116" s="8">
        <v>182</v>
      </c>
      <c r="CW116" s="38">
        <f t="shared" si="565"/>
        <v>784</v>
      </c>
      <c r="CX116" s="8">
        <v>95</v>
      </c>
      <c r="CY116" s="8">
        <v>113</v>
      </c>
      <c r="CZ116" s="8">
        <v>127</v>
      </c>
      <c r="DA116" s="8">
        <v>176</v>
      </c>
      <c r="DB116" s="38">
        <f t="shared" si="566"/>
        <v>511</v>
      </c>
      <c r="DC116" s="8">
        <v>170</v>
      </c>
      <c r="DD116" s="8">
        <v>204</v>
      </c>
      <c r="DE116" s="8">
        <v>196</v>
      </c>
      <c r="DF116" s="8">
        <v>230</v>
      </c>
      <c r="DG116" s="38">
        <f t="shared" si="567"/>
        <v>800</v>
      </c>
      <c r="DH116" s="8">
        <v>219</v>
      </c>
      <c r="DI116" s="8">
        <v>226</v>
      </c>
      <c r="DJ116" s="8">
        <v>228</v>
      </c>
      <c r="DK116" s="8">
        <v>263</v>
      </c>
      <c r="DL116" s="38">
        <f t="shared" si="568"/>
        <v>936</v>
      </c>
      <c r="DM116" s="8">
        <v>281</v>
      </c>
      <c r="DN116" s="8">
        <v>302</v>
      </c>
      <c r="DO116" s="8">
        <v>270</v>
      </c>
      <c r="DP116" s="8">
        <v>301</v>
      </c>
      <c r="DQ116" s="38">
        <f t="shared" si="569"/>
        <v>1154</v>
      </c>
      <c r="DR116" s="8">
        <v>293</v>
      </c>
      <c r="DS116" s="8">
        <v>318</v>
      </c>
      <c r="DT116" s="8">
        <v>286</v>
      </c>
      <c r="DU116" s="8">
        <v>320</v>
      </c>
      <c r="DV116" s="38">
        <f t="shared" si="570"/>
        <v>1217</v>
      </c>
      <c r="DW116" s="8">
        <v>275</v>
      </c>
      <c r="DX116" s="8">
        <v>321</v>
      </c>
      <c r="DY116" s="8">
        <v>305</v>
      </c>
      <c r="DZ116" s="8">
        <v>312</v>
      </c>
      <c r="EA116" s="38">
        <f t="shared" si="571"/>
        <v>1213</v>
      </c>
      <c r="EB116" s="8">
        <v>267</v>
      </c>
      <c r="EC116" s="8">
        <v>313</v>
      </c>
      <c r="ED116" s="8">
        <v>287</v>
      </c>
      <c r="EE116" s="8">
        <v>308</v>
      </c>
      <c r="EF116" s="38">
        <f t="shared" si="572"/>
        <v>1175</v>
      </c>
      <c r="EG116" s="8">
        <v>290</v>
      </c>
      <c r="EH116" s="8">
        <v>313</v>
      </c>
      <c r="EI116" s="8">
        <v>304</v>
      </c>
      <c r="EJ116" s="8">
        <v>354</v>
      </c>
      <c r="EK116" s="38">
        <f t="shared" si="573"/>
        <v>1261</v>
      </c>
      <c r="EL116" s="8">
        <v>316</v>
      </c>
      <c r="EM116" s="8">
        <v>307</v>
      </c>
      <c r="EN116" s="94">
        <v>269</v>
      </c>
      <c r="EO116" s="8">
        <v>303</v>
      </c>
      <c r="EP116" s="38">
        <f t="shared" si="574"/>
        <v>1195</v>
      </c>
      <c r="EQ116" s="8">
        <v>304</v>
      </c>
      <c r="ER116" s="8"/>
      <c r="ES116" s="8"/>
      <c r="ET116" s="8"/>
      <c r="EU116" s="38"/>
      <c r="EV116" s="8"/>
      <c r="EW116" s="8"/>
      <c r="EX116" s="8"/>
      <c r="EY116" s="8"/>
      <c r="EZ116" s="38"/>
      <c r="FA116" s="8"/>
      <c r="FB116" s="8"/>
      <c r="FC116" s="8"/>
      <c r="FD116" s="8"/>
      <c r="FE116" s="38"/>
      <c r="FG116" s="484"/>
      <c r="FH116" s="777"/>
      <c r="FI116" s="777"/>
      <c r="FJ116" s="777"/>
      <c r="FK116" s="175"/>
      <c r="FL116" s="1347"/>
      <c r="FM116" s="8">
        <f t="shared" si="575"/>
        <v>304</v>
      </c>
      <c r="FN116" s="1428">
        <f t="shared" si="576"/>
        <v>316</v>
      </c>
      <c r="FO116" s="1816"/>
      <c r="FP116" s="1733">
        <f t="shared" si="577"/>
        <v>-3.7974683544303778E-2</v>
      </c>
      <c r="FQ116" s="1519"/>
      <c r="FR116" s="1619"/>
      <c r="FS116" s="1619"/>
      <c r="FT116" s="355"/>
      <c r="FU116" s="355"/>
      <c r="FV116" s="355"/>
      <c r="FW116" s="355"/>
      <c r="FX116" s="355"/>
      <c r="FY116" s="355"/>
      <c r="FZ116" s="484"/>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c r="IW116"/>
      <c r="IX116"/>
    </row>
    <row r="117" spans="1:258" s="113" customFormat="1" x14ac:dyDescent="0.2">
      <c r="A117" s="109" t="s">
        <v>525</v>
      </c>
      <c r="B117" s="110"/>
      <c r="C117" s="110"/>
      <c r="D117" s="110"/>
      <c r="E117" s="110"/>
      <c r="F117" s="404"/>
      <c r="G117" s="110"/>
      <c r="H117" s="110"/>
      <c r="I117" s="110"/>
      <c r="J117" s="110"/>
      <c r="K117" s="404"/>
      <c r="L117" s="110"/>
      <c r="M117" s="110"/>
      <c r="N117" s="110"/>
      <c r="O117" s="110"/>
      <c r="P117" s="404"/>
      <c r="Q117" s="110">
        <v>180</v>
      </c>
      <c r="R117" s="110">
        <v>180.7</v>
      </c>
      <c r="S117" s="110">
        <v>188.9</v>
      </c>
      <c r="T117" s="110">
        <v>189.1</v>
      </c>
      <c r="U117" s="404">
        <f>SUM(Q117:T117)</f>
        <v>738.7</v>
      </c>
      <c r="V117" s="110">
        <v>184</v>
      </c>
      <c r="W117" s="110">
        <v>188</v>
      </c>
      <c r="X117" s="110">
        <v>206</v>
      </c>
      <c r="Y117" s="110">
        <v>215</v>
      </c>
      <c r="Z117" s="404">
        <f>SUM(V117:Y117)</f>
        <v>793</v>
      </c>
      <c r="AA117" s="110">
        <v>210</v>
      </c>
      <c r="AB117" s="110">
        <v>223</v>
      </c>
      <c r="AC117" s="110">
        <v>230</v>
      </c>
      <c r="AD117" s="110">
        <v>239</v>
      </c>
      <c r="AE117" s="404">
        <f>SUM(AA117:AD117)</f>
        <v>902</v>
      </c>
      <c r="AF117" s="110">
        <v>176</v>
      </c>
      <c r="AG117" s="110">
        <v>177</v>
      </c>
      <c r="AH117" s="110">
        <v>173</v>
      </c>
      <c r="AI117" s="110">
        <v>180</v>
      </c>
      <c r="AJ117" s="404">
        <f>SUM(AF117:AI117)</f>
        <v>706</v>
      </c>
      <c r="AK117" s="110">
        <v>161</v>
      </c>
      <c r="AL117" s="110">
        <v>167</v>
      </c>
      <c r="AM117" s="110">
        <v>161</v>
      </c>
      <c r="AN117" s="110">
        <v>171</v>
      </c>
      <c r="AO117" s="404">
        <f>SUM(AK117:AN117)</f>
        <v>660</v>
      </c>
      <c r="AP117" s="110">
        <v>159</v>
      </c>
      <c r="AQ117" s="110">
        <v>164</v>
      </c>
      <c r="AR117" s="110">
        <v>174</v>
      </c>
      <c r="AS117" s="110">
        <v>172</v>
      </c>
      <c r="AT117" s="404">
        <f>SUM(AP117:AS117)</f>
        <v>669</v>
      </c>
      <c r="AU117" s="110">
        <v>159</v>
      </c>
      <c r="AV117" s="110">
        <v>158</v>
      </c>
      <c r="AW117" s="110">
        <v>161</v>
      </c>
      <c r="AX117" s="110">
        <v>170</v>
      </c>
      <c r="AY117" s="404">
        <f>SUM(AU117:AX117)</f>
        <v>648</v>
      </c>
      <c r="AZ117" s="110">
        <v>169</v>
      </c>
      <c r="BA117" s="110">
        <v>207</v>
      </c>
      <c r="BB117" s="110">
        <v>288</v>
      </c>
      <c r="BC117" s="110">
        <v>295</v>
      </c>
      <c r="BD117" s="404">
        <f>SUM(AZ117:BC117)</f>
        <v>959</v>
      </c>
      <c r="BE117" s="110">
        <v>288</v>
      </c>
      <c r="BF117" s="110">
        <v>291</v>
      </c>
      <c r="BG117" s="110">
        <v>288</v>
      </c>
      <c r="BH117" s="110">
        <v>301</v>
      </c>
      <c r="BI117" s="404">
        <f>SUM(BE117:BH117)</f>
        <v>1168</v>
      </c>
      <c r="BJ117" s="110">
        <v>270</v>
      </c>
      <c r="BK117" s="110">
        <v>271</v>
      </c>
      <c r="BL117" s="110">
        <v>286</v>
      </c>
      <c r="BM117" s="110">
        <v>285</v>
      </c>
      <c r="BN117" s="404">
        <f>SUM(BJ117:BM117)</f>
        <v>1112</v>
      </c>
      <c r="BO117" s="110">
        <v>262</v>
      </c>
      <c r="BP117" s="110">
        <v>296</v>
      </c>
      <c r="BQ117" s="110">
        <v>313</v>
      </c>
      <c r="BR117" s="110">
        <v>309</v>
      </c>
      <c r="BS117" s="404">
        <f>SUM(BO117:BR117)</f>
        <v>1180</v>
      </c>
      <c r="BT117" s="110">
        <v>302</v>
      </c>
      <c r="BU117" s="110">
        <v>316</v>
      </c>
      <c r="BV117" s="110">
        <v>315</v>
      </c>
      <c r="BW117" s="110">
        <v>331</v>
      </c>
      <c r="BX117" s="404">
        <f>SUM(BT117:BW117)</f>
        <v>1264</v>
      </c>
      <c r="BY117" s="110">
        <v>315</v>
      </c>
      <c r="BZ117" s="110">
        <v>325</v>
      </c>
      <c r="CA117" s="110">
        <v>327</v>
      </c>
      <c r="CB117" s="110">
        <v>379</v>
      </c>
      <c r="CC117" s="404">
        <f>SUM(BY117:CB117)</f>
        <v>1346</v>
      </c>
      <c r="CD117" s="110">
        <v>329</v>
      </c>
      <c r="CE117" s="110">
        <v>330</v>
      </c>
      <c r="CF117" s="110">
        <v>337</v>
      </c>
      <c r="CG117" s="110">
        <v>366</v>
      </c>
      <c r="CH117" s="404">
        <f>SUM(CD117:CG117)</f>
        <v>1362</v>
      </c>
      <c r="CI117" s="110">
        <v>334</v>
      </c>
      <c r="CJ117" s="110">
        <v>356</v>
      </c>
      <c r="CK117" s="110">
        <v>364</v>
      </c>
      <c r="CL117" s="110">
        <v>358</v>
      </c>
      <c r="CM117" s="404">
        <f>SUM(CI117:CL117)</f>
        <v>1412</v>
      </c>
      <c r="CN117" s="110">
        <v>318</v>
      </c>
      <c r="CO117" s="110">
        <v>343</v>
      </c>
      <c r="CP117" s="110">
        <v>337</v>
      </c>
      <c r="CQ117" s="110">
        <v>358</v>
      </c>
      <c r="CR117" s="404">
        <f>SUM(CN117:CQ117)</f>
        <v>1356</v>
      </c>
      <c r="CS117" s="110">
        <v>348</v>
      </c>
      <c r="CT117" s="110">
        <v>385</v>
      </c>
      <c r="CU117" s="110">
        <v>399</v>
      </c>
      <c r="CV117" s="110">
        <v>334</v>
      </c>
      <c r="CW117" s="404">
        <f>SUM(CS117:CV117)</f>
        <v>1466</v>
      </c>
      <c r="CX117" s="110">
        <v>270</v>
      </c>
      <c r="CY117" s="110">
        <v>291</v>
      </c>
      <c r="CZ117" s="110">
        <v>303</v>
      </c>
      <c r="DA117" s="110">
        <v>340</v>
      </c>
      <c r="DB117" s="404">
        <f>SUM(CX117:DA117)</f>
        <v>1204</v>
      </c>
      <c r="DC117" s="110">
        <v>323</v>
      </c>
      <c r="DD117" s="110">
        <v>304</v>
      </c>
      <c r="DE117" s="110">
        <v>318</v>
      </c>
      <c r="DF117" s="110">
        <v>350</v>
      </c>
      <c r="DG117" s="404">
        <f>SUM(DC117:DF117)</f>
        <v>1295</v>
      </c>
      <c r="DH117" s="110">
        <v>332</v>
      </c>
      <c r="DI117" s="110">
        <v>376</v>
      </c>
      <c r="DJ117" s="110">
        <v>369</v>
      </c>
      <c r="DK117" s="110">
        <v>375</v>
      </c>
      <c r="DL117" s="404">
        <f t="shared" si="568"/>
        <v>1452</v>
      </c>
      <c r="DM117" s="110">
        <v>389</v>
      </c>
      <c r="DN117" s="110">
        <v>408</v>
      </c>
      <c r="DO117" s="110">
        <v>399</v>
      </c>
      <c r="DP117" s="110">
        <v>398</v>
      </c>
      <c r="DQ117" s="404">
        <f t="shared" si="569"/>
        <v>1594</v>
      </c>
      <c r="DR117" s="110">
        <v>404</v>
      </c>
      <c r="DS117" s="110">
        <v>425</v>
      </c>
      <c r="DT117" s="110">
        <v>431</v>
      </c>
      <c r="DU117" s="110">
        <v>437</v>
      </c>
      <c r="DV117" s="404">
        <f t="shared" si="570"/>
        <v>1697</v>
      </c>
      <c r="DW117" s="110">
        <v>421</v>
      </c>
      <c r="DX117" s="110">
        <v>449</v>
      </c>
      <c r="DY117" s="110">
        <v>455</v>
      </c>
      <c r="DZ117" s="110">
        <v>465</v>
      </c>
      <c r="EA117" s="404">
        <f t="shared" si="571"/>
        <v>1790</v>
      </c>
      <c r="EB117" s="110">
        <v>415</v>
      </c>
      <c r="EC117" s="110">
        <v>450</v>
      </c>
      <c r="ED117" s="110">
        <v>451</v>
      </c>
      <c r="EE117" s="110">
        <v>446</v>
      </c>
      <c r="EF117" s="404">
        <f t="shared" si="572"/>
        <v>1762</v>
      </c>
      <c r="EG117" s="110">
        <v>405</v>
      </c>
      <c r="EH117" s="110">
        <v>419</v>
      </c>
      <c r="EI117" s="110">
        <v>425</v>
      </c>
      <c r="EJ117" s="110">
        <v>477</v>
      </c>
      <c r="EK117" s="404">
        <f t="shared" si="573"/>
        <v>1726</v>
      </c>
      <c r="EL117" s="110">
        <v>434</v>
      </c>
      <c r="EM117" s="110">
        <v>448</v>
      </c>
      <c r="EN117" s="110">
        <v>446</v>
      </c>
      <c r="EO117" s="110">
        <v>471</v>
      </c>
      <c r="EP117" s="404">
        <f t="shared" si="574"/>
        <v>1799</v>
      </c>
      <c r="EQ117" s="110">
        <v>449</v>
      </c>
      <c r="ER117" s="110">
        <f t="shared" ref="ER117" si="578">ER126-ER101-ER74-ER60</f>
        <v>467.92104337097794</v>
      </c>
      <c r="ES117" s="110">
        <f t="shared" ref="ES117:ET117" si="579">ES126-ES101-ES74-ES60</f>
        <v>478.73085993448217</v>
      </c>
      <c r="ET117" s="110">
        <f t="shared" si="579"/>
        <v>520.6317623952209</v>
      </c>
      <c r="EU117" s="404">
        <f t="shared" ref="EU117" si="580">SUM(EQ117:ET117)</f>
        <v>1916.283665700681</v>
      </c>
      <c r="EV117" s="110"/>
      <c r="EW117" s="110"/>
      <c r="EX117" s="110"/>
      <c r="EY117" s="110"/>
      <c r="EZ117" s="404">
        <f>EZ126-EZ101-EZ74-EZ60</f>
        <v>2004.562816346865</v>
      </c>
      <c r="FA117" s="110"/>
      <c r="FB117" s="110"/>
      <c r="FC117" s="110"/>
      <c r="FD117" s="110"/>
      <c r="FE117" s="404">
        <f>FE126-FE101-FE74-FE60</f>
        <v>2075.741209031793</v>
      </c>
      <c r="FG117" s="487"/>
      <c r="FH117" s="815">
        <f>+(FE117/EU117)^(0.5)-1</f>
        <v>4.0774648011152603E-2</v>
      </c>
      <c r="FI117" s="778"/>
      <c r="FJ117" s="778"/>
      <c r="FL117" s="1347"/>
      <c r="FM117" s="110">
        <f t="shared" si="575"/>
        <v>449</v>
      </c>
      <c r="FN117" s="775">
        <f t="shared" si="576"/>
        <v>434</v>
      </c>
      <c r="FO117" s="1812">
        <v>448.40898314581682</v>
      </c>
      <c r="FP117" s="1748">
        <f t="shared" si="577"/>
        <v>3.4562211981566726E-2</v>
      </c>
      <c r="FQ117" s="1520">
        <f t="shared" ref="FQ117" si="581">+FM117/FO117-1</f>
        <v>1.3180308075830816E-3</v>
      </c>
      <c r="FR117" s="1614" t="s">
        <v>819</v>
      </c>
      <c r="FS117" s="1619"/>
      <c r="FT117" s="355"/>
      <c r="FU117" s="355"/>
      <c r="FV117" s="355"/>
      <c r="FW117" s="355"/>
      <c r="FX117" s="355"/>
      <c r="FY117" s="355"/>
      <c r="FZ117" s="48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c r="IW117"/>
      <c r="IX117"/>
    </row>
    <row r="118" spans="1:258" s="186" customFormat="1" x14ac:dyDescent="0.2">
      <c r="A118" s="383" t="s">
        <v>465</v>
      </c>
      <c r="B118" s="10"/>
      <c r="C118" s="10"/>
      <c r="D118" s="10"/>
      <c r="E118" s="10"/>
      <c r="F118" s="9"/>
      <c r="G118" s="10"/>
      <c r="H118" s="10"/>
      <c r="I118" s="10"/>
      <c r="J118" s="10"/>
      <c r="K118" s="9"/>
      <c r="L118" s="10"/>
      <c r="M118" s="10"/>
      <c r="N118" s="10"/>
      <c r="O118" s="10"/>
      <c r="P118" s="9"/>
      <c r="Q118" s="10"/>
      <c r="R118" s="10"/>
      <c r="S118" s="10"/>
      <c r="T118" s="10"/>
      <c r="U118" s="9"/>
      <c r="V118" s="10"/>
      <c r="W118" s="10"/>
      <c r="X118" s="10"/>
      <c r="Y118" s="10"/>
      <c r="Z118" s="9"/>
      <c r="AA118" s="10"/>
      <c r="AB118" s="10"/>
      <c r="AC118" s="10"/>
      <c r="AD118" s="10"/>
      <c r="AE118" s="9"/>
      <c r="AF118" s="10"/>
      <c r="AG118" s="10"/>
      <c r="AH118" s="10"/>
      <c r="AI118" s="10"/>
      <c r="AJ118" s="9"/>
      <c r="AK118" s="10">
        <f t="shared" ref="AK118:BP118" si="582">AK117/AF117-1</f>
        <v>-8.5227272727272707E-2</v>
      </c>
      <c r="AL118" s="10">
        <f t="shared" si="582"/>
        <v>-5.6497175141242972E-2</v>
      </c>
      <c r="AM118" s="10">
        <f t="shared" si="582"/>
        <v>-6.9364161849710948E-2</v>
      </c>
      <c r="AN118" s="10">
        <f t="shared" si="582"/>
        <v>-5.0000000000000044E-2</v>
      </c>
      <c r="AO118" s="9">
        <f t="shared" si="582"/>
        <v>-6.5155807365439133E-2</v>
      </c>
      <c r="AP118" s="10">
        <f t="shared" si="582"/>
        <v>-1.2422360248447228E-2</v>
      </c>
      <c r="AQ118" s="10">
        <f t="shared" si="582"/>
        <v>-1.7964071856287456E-2</v>
      </c>
      <c r="AR118" s="10">
        <f t="shared" si="582"/>
        <v>8.0745341614906874E-2</v>
      </c>
      <c r="AS118" s="10">
        <f t="shared" si="582"/>
        <v>5.8479532163742132E-3</v>
      </c>
      <c r="AT118" s="9">
        <f t="shared" si="582"/>
        <v>1.3636363636363669E-2</v>
      </c>
      <c r="AU118" s="10">
        <f t="shared" si="582"/>
        <v>0</v>
      </c>
      <c r="AV118" s="10">
        <f t="shared" si="582"/>
        <v>-3.6585365853658569E-2</v>
      </c>
      <c r="AW118" s="10">
        <f t="shared" si="582"/>
        <v>-7.4712643678160884E-2</v>
      </c>
      <c r="AX118" s="10">
        <f t="shared" si="582"/>
        <v>-1.1627906976744207E-2</v>
      </c>
      <c r="AY118" s="9">
        <f t="shared" si="582"/>
        <v>-3.1390134529147962E-2</v>
      </c>
      <c r="AZ118" s="10">
        <f t="shared" si="582"/>
        <v>6.2893081761006275E-2</v>
      </c>
      <c r="BA118" s="10">
        <f t="shared" si="582"/>
        <v>0.31012658227848111</v>
      </c>
      <c r="BB118" s="10">
        <f t="shared" si="582"/>
        <v>0.78881987577639756</v>
      </c>
      <c r="BC118" s="10">
        <f t="shared" si="582"/>
        <v>0.73529411764705888</v>
      </c>
      <c r="BD118" s="9">
        <f t="shared" si="582"/>
        <v>0.47993827160493829</v>
      </c>
      <c r="BE118" s="10">
        <f t="shared" si="582"/>
        <v>0.70414201183431957</v>
      </c>
      <c r="BF118" s="10">
        <f t="shared" si="582"/>
        <v>0.40579710144927539</v>
      </c>
      <c r="BG118" s="10">
        <f t="shared" si="582"/>
        <v>0</v>
      </c>
      <c r="BH118" s="10">
        <f t="shared" si="582"/>
        <v>2.0338983050847359E-2</v>
      </c>
      <c r="BI118" s="9">
        <f t="shared" si="582"/>
        <v>0.2179353493222107</v>
      </c>
      <c r="BJ118" s="10">
        <f>BJ117/BE117-1</f>
        <v>-6.25E-2</v>
      </c>
      <c r="BK118" s="10">
        <f>BK117/BF117-1</f>
        <v>-6.8728522336769737E-2</v>
      </c>
      <c r="BL118" s="10">
        <f>BL117/BG117-1</f>
        <v>-6.9444444444444198E-3</v>
      </c>
      <c r="BM118" s="10">
        <f>BM117/BH117-1</f>
        <v>-5.3156146179402008E-2</v>
      </c>
      <c r="BN118" s="9">
        <f>BN117/BI117-1</f>
        <v>-4.7945205479452024E-2</v>
      </c>
      <c r="BO118" s="10">
        <f t="shared" si="582"/>
        <v>-2.9629629629629672E-2</v>
      </c>
      <c r="BP118" s="10">
        <f t="shared" si="582"/>
        <v>9.2250922509225175E-2</v>
      </c>
      <c r="BQ118" s="10">
        <f t="shared" ref="BQ118:CV118" si="583">BQ117/BL117-1</f>
        <v>9.4405594405594373E-2</v>
      </c>
      <c r="BR118" s="10">
        <f t="shared" si="583"/>
        <v>8.4210526315789513E-2</v>
      </c>
      <c r="BS118" s="9">
        <f t="shared" si="583"/>
        <v>6.1151079136690711E-2</v>
      </c>
      <c r="BT118" s="10">
        <f t="shared" si="583"/>
        <v>0.15267175572519087</v>
      </c>
      <c r="BU118" s="10">
        <f t="shared" si="583"/>
        <v>6.7567567567567544E-2</v>
      </c>
      <c r="BV118" s="10">
        <f t="shared" si="583"/>
        <v>6.389776357827559E-3</v>
      </c>
      <c r="BW118" s="10">
        <f t="shared" si="583"/>
        <v>7.1197411003236288E-2</v>
      </c>
      <c r="BX118" s="9">
        <f t="shared" si="583"/>
        <v>7.118644067796609E-2</v>
      </c>
      <c r="BY118" s="10">
        <f t="shared" si="583"/>
        <v>4.3046357615894149E-2</v>
      </c>
      <c r="BZ118" s="10">
        <f t="shared" si="583"/>
        <v>2.8481012658227778E-2</v>
      </c>
      <c r="CA118" s="10">
        <f t="shared" si="583"/>
        <v>3.8095238095238182E-2</v>
      </c>
      <c r="CB118" s="10">
        <f t="shared" si="583"/>
        <v>0.14501510574018117</v>
      </c>
      <c r="CC118" s="9">
        <f t="shared" si="583"/>
        <v>6.4873417721518889E-2</v>
      </c>
      <c r="CD118" s="10">
        <f t="shared" si="583"/>
        <v>4.4444444444444509E-2</v>
      </c>
      <c r="CE118" s="10">
        <f t="shared" si="583"/>
        <v>1.538461538461533E-2</v>
      </c>
      <c r="CF118" s="10">
        <f t="shared" si="583"/>
        <v>3.0581039755351647E-2</v>
      </c>
      <c r="CG118" s="10">
        <f t="shared" si="583"/>
        <v>-3.4300791556728272E-2</v>
      </c>
      <c r="CH118" s="9">
        <f t="shared" si="583"/>
        <v>1.1887072808320909E-2</v>
      </c>
      <c r="CI118" s="10">
        <f t="shared" si="583"/>
        <v>1.5197568389057725E-2</v>
      </c>
      <c r="CJ118" s="10">
        <f t="shared" si="583"/>
        <v>7.8787878787878851E-2</v>
      </c>
      <c r="CK118" s="10">
        <f t="shared" si="583"/>
        <v>8.0118694362017795E-2</v>
      </c>
      <c r="CL118" s="10">
        <f t="shared" si="583"/>
        <v>-2.1857923497267784E-2</v>
      </c>
      <c r="CM118" s="9">
        <f t="shared" si="583"/>
        <v>3.6710719530102853E-2</v>
      </c>
      <c r="CN118" s="10">
        <f t="shared" si="583"/>
        <v>-4.7904191616766512E-2</v>
      </c>
      <c r="CO118" s="10">
        <f t="shared" si="583"/>
        <v>-3.6516853932584303E-2</v>
      </c>
      <c r="CP118" s="10">
        <f t="shared" si="583"/>
        <v>-7.4175824175824134E-2</v>
      </c>
      <c r="CQ118" s="10">
        <f t="shared" si="583"/>
        <v>0</v>
      </c>
      <c r="CR118" s="9">
        <f t="shared" si="583"/>
        <v>-3.966005665722383E-2</v>
      </c>
      <c r="CS118" s="10">
        <f t="shared" si="583"/>
        <v>9.4339622641509413E-2</v>
      </c>
      <c r="CT118" s="10">
        <f t="shared" si="583"/>
        <v>0.12244897959183665</v>
      </c>
      <c r="CU118" s="10">
        <f t="shared" si="583"/>
        <v>0.18397626112759635</v>
      </c>
      <c r="CV118" s="10">
        <f t="shared" si="583"/>
        <v>-6.7039106145251437E-2</v>
      </c>
      <c r="CW118" s="9">
        <f t="shared" ref="CW118:DU118" si="584">CW117/CR117-1</f>
        <v>8.1120943952802449E-2</v>
      </c>
      <c r="CX118" s="10">
        <f t="shared" si="584"/>
        <v>-0.22413793103448276</v>
      </c>
      <c r="CY118" s="10">
        <f t="shared" si="584"/>
        <v>-0.24415584415584413</v>
      </c>
      <c r="CZ118" s="10">
        <f t="shared" si="584"/>
        <v>-0.24060150375939848</v>
      </c>
      <c r="DA118" s="10">
        <f t="shared" si="584"/>
        <v>1.7964071856287456E-2</v>
      </c>
      <c r="DB118" s="9">
        <f t="shared" si="584"/>
        <v>-0.17871759890859484</v>
      </c>
      <c r="DC118" s="10">
        <f t="shared" si="584"/>
        <v>0.19629629629629619</v>
      </c>
      <c r="DD118" s="10">
        <f t="shared" si="584"/>
        <v>4.4673539518900407E-2</v>
      </c>
      <c r="DE118" s="10">
        <f t="shared" si="584"/>
        <v>4.9504950495049549E-2</v>
      </c>
      <c r="DF118" s="10">
        <f t="shared" si="584"/>
        <v>2.9411764705882248E-2</v>
      </c>
      <c r="DG118" s="9">
        <f t="shared" si="584"/>
        <v>7.5581395348837122E-2</v>
      </c>
      <c r="DH118" s="10">
        <f t="shared" si="584"/>
        <v>2.7863777089783381E-2</v>
      </c>
      <c r="DI118" s="10">
        <f t="shared" si="584"/>
        <v>0.23684210526315796</v>
      </c>
      <c r="DJ118" s="10">
        <f t="shared" si="584"/>
        <v>0.16037735849056611</v>
      </c>
      <c r="DK118" s="10">
        <f t="shared" si="584"/>
        <v>7.1428571428571397E-2</v>
      </c>
      <c r="DL118" s="9">
        <f>DL117/DG117-1</f>
        <v>0.12123552123552117</v>
      </c>
      <c r="DM118" s="10">
        <f t="shared" si="584"/>
        <v>0.17168674698795172</v>
      </c>
      <c r="DN118" s="10">
        <f t="shared" si="584"/>
        <v>8.5106382978723305E-2</v>
      </c>
      <c r="DO118" s="10">
        <f t="shared" si="584"/>
        <v>8.1300813008130079E-2</v>
      </c>
      <c r="DP118" s="10">
        <f t="shared" si="584"/>
        <v>6.133333333333324E-2</v>
      </c>
      <c r="DQ118" s="9">
        <f t="shared" ref="DQ118:DV118" si="585">DQ117/DL117-1</f>
        <v>9.7796143250688639E-2</v>
      </c>
      <c r="DR118" s="10">
        <f t="shared" si="584"/>
        <v>3.8560411311054033E-2</v>
      </c>
      <c r="DS118" s="10">
        <f t="shared" si="584"/>
        <v>4.1666666666666741E-2</v>
      </c>
      <c r="DT118" s="10">
        <f t="shared" si="585"/>
        <v>8.0200501253132828E-2</v>
      </c>
      <c r="DU118" s="10">
        <f t="shared" si="584"/>
        <v>9.7989949748743754E-2</v>
      </c>
      <c r="DV118" s="9">
        <f t="shared" si="585"/>
        <v>6.461731493099121E-2</v>
      </c>
      <c r="DW118" s="10">
        <f t="shared" ref="DW118:ED118" si="586">DW117/DR117-1</f>
        <v>4.2079207920792117E-2</v>
      </c>
      <c r="DX118" s="10">
        <f t="shared" si="586"/>
        <v>5.647058823529405E-2</v>
      </c>
      <c r="DY118" s="10">
        <f t="shared" si="586"/>
        <v>5.5684454756380619E-2</v>
      </c>
      <c r="DZ118" s="10">
        <f t="shared" si="586"/>
        <v>6.4073226544622441E-2</v>
      </c>
      <c r="EA118" s="9">
        <f t="shared" si="586"/>
        <v>5.4802592810842654E-2</v>
      </c>
      <c r="EB118" s="10">
        <f t="shared" si="586"/>
        <v>-1.4251781472684133E-2</v>
      </c>
      <c r="EC118" s="10">
        <f t="shared" si="586"/>
        <v>2.2271714922048602E-3</v>
      </c>
      <c r="ED118" s="10">
        <f t="shared" si="586"/>
        <v>-8.79120879120876E-3</v>
      </c>
      <c r="EE118" s="10">
        <f t="shared" ref="EE118:EI118" si="587">EE117/DZ117-1</f>
        <v>-4.0860215053763471E-2</v>
      </c>
      <c r="EF118" s="9">
        <f t="shared" si="587"/>
        <v>-1.5642458100558643E-2</v>
      </c>
      <c r="EG118" s="10">
        <f t="shared" si="587"/>
        <v>-2.4096385542168641E-2</v>
      </c>
      <c r="EH118" s="10">
        <f t="shared" si="587"/>
        <v>-6.8888888888888888E-2</v>
      </c>
      <c r="EI118" s="10">
        <f t="shared" si="587"/>
        <v>-5.7649667405764937E-2</v>
      </c>
      <c r="EJ118" s="10">
        <f t="shared" ref="EJ118" si="588">EJ117/EE117-1</f>
        <v>6.9506726457399193E-2</v>
      </c>
      <c r="EK118" s="9">
        <f t="shared" ref="EK118:EQ118" si="589">EK117/EF117-1</f>
        <v>-2.0431328036322416E-2</v>
      </c>
      <c r="EL118" s="10">
        <f t="shared" si="589"/>
        <v>7.1604938271604857E-2</v>
      </c>
      <c r="EM118" s="10">
        <f t="shared" si="589"/>
        <v>6.9212410501193311E-2</v>
      </c>
      <c r="EN118" s="10">
        <f t="shared" si="589"/>
        <v>4.9411764705882266E-2</v>
      </c>
      <c r="EO118" s="10">
        <f t="shared" si="589"/>
        <v>-1.2578616352201255E-2</v>
      </c>
      <c r="EP118" s="9">
        <f t="shared" si="589"/>
        <v>4.2294322132097273E-2</v>
      </c>
      <c r="EQ118" s="10">
        <f t="shared" si="589"/>
        <v>3.4562211981566726E-2</v>
      </c>
      <c r="ER118" s="921">
        <f t="shared" ref="ER118" si="590">ER117/EM117-1</f>
        <v>4.446661466736157E-2</v>
      </c>
      <c r="ES118" s="921">
        <f t="shared" ref="ES118:EU118" si="591">ES117/EN117-1</f>
        <v>7.3387578328435454E-2</v>
      </c>
      <c r="ET118" s="921">
        <f t="shared" si="591"/>
        <v>0.10537529170959847</v>
      </c>
      <c r="EU118" s="1173">
        <f t="shared" si="591"/>
        <v>6.5193810839733857E-2</v>
      </c>
      <c r="EV118" s="722"/>
      <c r="EW118" s="722"/>
      <c r="EX118" s="722"/>
      <c r="EY118" s="722"/>
      <c r="EZ118" s="1173">
        <f>EZ117/EU117-1</f>
        <v>4.6067892883648431E-2</v>
      </c>
      <c r="FA118" s="185"/>
      <c r="FB118" s="185"/>
      <c r="FC118" s="185"/>
      <c r="FD118" s="185"/>
      <c r="FE118" s="9">
        <f>FE117/EZ117-1</f>
        <v>3.5508187672883329E-2</v>
      </c>
      <c r="FG118" s="484"/>
      <c r="FH118" s="780"/>
      <c r="FI118" s="780"/>
      <c r="FJ118" s="780"/>
      <c r="FL118" s="1348"/>
      <c r="FM118" s="921">
        <f t="shared" si="575"/>
        <v>3.4562211981566726E-2</v>
      </c>
      <c r="FN118" s="1418">
        <f t="shared" si="576"/>
        <v>7.1604938271604857E-2</v>
      </c>
      <c r="FO118" s="1834">
        <v>3.3200421994969531E-2</v>
      </c>
      <c r="FP118" s="1751"/>
      <c r="FQ118" s="1503">
        <f>+(FM118-FO118)*10000</f>
        <v>13.61789986597195</v>
      </c>
      <c r="FR118" s="1619"/>
      <c r="FS118" s="1619"/>
      <c r="FT118" s="432"/>
      <c r="FU118" s="432"/>
      <c r="FV118" s="432"/>
      <c r="FW118" s="432"/>
      <c r="FX118" s="432"/>
      <c r="FY118" s="432"/>
      <c r="FZ118" s="484"/>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c r="IW118"/>
      <c r="IX118"/>
    </row>
    <row r="119" spans="1:258" s="40" customFormat="1" x14ac:dyDescent="0.2">
      <c r="A119" s="166" t="s">
        <v>449</v>
      </c>
      <c r="B119" s="5"/>
      <c r="C119" s="5"/>
      <c r="D119" s="5"/>
      <c r="E119" s="5"/>
      <c r="F119" s="4"/>
      <c r="G119" s="5"/>
      <c r="H119" s="5"/>
      <c r="I119" s="5"/>
      <c r="J119" s="5"/>
      <c r="K119" s="4"/>
      <c r="L119" s="5"/>
      <c r="M119" s="5"/>
      <c r="N119" s="5"/>
      <c r="O119" s="5"/>
      <c r="P119" s="4"/>
      <c r="Q119" s="5"/>
      <c r="R119" s="5"/>
      <c r="S119" s="5"/>
      <c r="T119" s="5"/>
      <c r="U119" s="4"/>
      <c r="V119" s="5"/>
      <c r="W119" s="5"/>
      <c r="X119" s="5"/>
      <c r="Y119" s="5"/>
      <c r="Z119" s="4"/>
      <c r="AA119" s="5"/>
      <c r="AB119" s="5"/>
      <c r="AC119" s="5"/>
      <c r="AD119" s="5"/>
      <c r="AE119" s="4"/>
      <c r="AF119" s="5"/>
      <c r="AG119" s="5"/>
      <c r="AH119" s="5"/>
      <c r="AI119" s="5"/>
      <c r="AJ119" s="4"/>
      <c r="AK119" s="5">
        <f t="shared" ref="AK119:BP119" si="592">AK117/AK156</f>
        <v>0.1187315634218289</v>
      </c>
      <c r="AL119" s="5">
        <f t="shared" si="592"/>
        <v>0.11744022503516174</v>
      </c>
      <c r="AM119" s="5">
        <f t="shared" si="592"/>
        <v>0.11734693877551021</v>
      </c>
      <c r="AN119" s="5">
        <f t="shared" si="592"/>
        <v>0.12050739957716702</v>
      </c>
      <c r="AO119" s="4">
        <f t="shared" si="592"/>
        <v>0.11851319806069312</v>
      </c>
      <c r="AP119" s="5">
        <f t="shared" si="592"/>
        <v>0.11308677098150782</v>
      </c>
      <c r="AQ119" s="5">
        <f t="shared" si="592"/>
        <v>0.11577015388959479</v>
      </c>
      <c r="AR119" s="5">
        <f t="shared" si="592"/>
        <v>0.12526997840172785</v>
      </c>
      <c r="AS119" s="5">
        <f t="shared" si="592"/>
        <v>0.11894882434301521</v>
      </c>
      <c r="AT119" s="4">
        <f t="shared" si="592"/>
        <v>0.11824802036199096</v>
      </c>
      <c r="AU119" s="5">
        <f t="shared" si="592"/>
        <v>0.11244695898161244</v>
      </c>
      <c r="AV119" s="5">
        <f t="shared" si="592"/>
        <v>0.11197732104890148</v>
      </c>
      <c r="AW119" s="5">
        <f t="shared" si="592"/>
        <v>0.11794871794871795</v>
      </c>
      <c r="AX119" s="5">
        <f t="shared" si="592"/>
        <v>0.11929824561403508</v>
      </c>
      <c r="AY119" s="4">
        <f t="shared" si="592"/>
        <v>0.11540516473731077</v>
      </c>
      <c r="AZ119" s="5">
        <f t="shared" si="592"/>
        <v>0.11527967257844475</v>
      </c>
      <c r="BA119" s="5">
        <f t="shared" si="592"/>
        <v>0.13432835820895522</v>
      </c>
      <c r="BB119" s="5">
        <f t="shared" si="592"/>
        <v>0.16243654822335024</v>
      </c>
      <c r="BC119" s="5">
        <f t="shared" si="592"/>
        <v>0.16370699223085461</v>
      </c>
      <c r="BD119" s="4">
        <f t="shared" si="592"/>
        <v>0.14570039501671225</v>
      </c>
      <c r="BE119" s="5">
        <f t="shared" si="592"/>
        <v>0.15973377703826955</v>
      </c>
      <c r="BF119" s="5">
        <f t="shared" si="592"/>
        <v>0.15823817292006526</v>
      </c>
      <c r="BG119" s="5">
        <f t="shared" si="592"/>
        <v>0.16107382550335569</v>
      </c>
      <c r="BH119" s="5">
        <f t="shared" si="592"/>
        <v>0.16602316602316602</v>
      </c>
      <c r="BI119" s="4">
        <f t="shared" si="592"/>
        <v>0.16125914676239128</v>
      </c>
      <c r="BJ119" s="5">
        <f t="shared" si="592"/>
        <v>0.14983351831298558</v>
      </c>
      <c r="BK119" s="5">
        <f t="shared" si="592"/>
        <v>0.14833059660645867</v>
      </c>
      <c r="BL119" s="5">
        <f t="shared" si="592"/>
        <v>0.16058394160583941</v>
      </c>
      <c r="BM119" s="5">
        <f t="shared" si="592"/>
        <v>0.15975336322869954</v>
      </c>
      <c r="BN119" s="4">
        <f t="shared" si="592"/>
        <v>0.15457325549068668</v>
      </c>
      <c r="BO119" s="5">
        <f t="shared" si="592"/>
        <v>0.14988558352402745</v>
      </c>
      <c r="BP119" s="5">
        <f t="shared" si="592"/>
        <v>0.16139585605234461</v>
      </c>
      <c r="BQ119" s="5">
        <f t="shared" ref="BQ119:CV119" si="593">BQ117/BQ156</f>
        <v>0.17525195968645016</v>
      </c>
      <c r="BR119" s="5">
        <f t="shared" si="593"/>
        <v>0.17024793388429751</v>
      </c>
      <c r="BS119" s="4">
        <f t="shared" si="593"/>
        <v>0.1642767645830433</v>
      </c>
      <c r="BT119" s="5">
        <f t="shared" si="593"/>
        <v>0.16475722858701583</v>
      </c>
      <c r="BU119" s="5">
        <f t="shared" si="593"/>
        <v>0.1673728813559322</v>
      </c>
      <c r="BV119" s="5">
        <f t="shared" si="593"/>
        <v>0.17260273972602741</v>
      </c>
      <c r="BW119" s="5">
        <f t="shared" si="593"/>
        <v>0.1743022643496577</v>
      </c>
      <c r="BX119" s="4">
        <f t="shared" si="593"/>
        <v>0.16977837474815313</v>
      </c>
      <c r="BY119" s="5">
        <f t="shared" si="593"/>
        <v>0.1641479937467431</v>
      </c>
      <c r="BZ119" s="5">
        <f t="shared" si="593"/>
        <v>0.16274411617426141</v>
      </c>
      <c r="CA119" s="5">
        <f t="shared" si="593"/>
        <v>0.1682964487905301</v>
      </c>
      <c r="CB119" s="5">
        <f t="shared" si="593"/>
        <v>0.17385321100917431</v>
      </c>
      <c r="CC119" s="4">
        <f t="shared" si="593"/>
        <v>0.16743376041796243</v>
      </c>
      <c r="CD119" s="5">
        <f t="shared" si="593"/>
        <v>0.15607210626185958</v>
      </c>
      <c r="CE119" s="5">
        <f t="shared" si="593"/>
        <v>0.15355979525360633</v>
      </c>
      <c r="CF119" s="5">
        <f t="shared" si="593"/>
        <v>0.15858823529411764</v>
      </c>
      <c r="CG119" s="5">
        <f t="shared" si="593"/>
        <v>0.16493916178458765</v>
      </c>
      <c r="CH119" s="4">
        <f t="shared" si="593"/>
        <v>0.15835367980467388</v>
      </c>
      <c r="CI119" s="5">
        <f t="shared" si="593"/>
        <v>0.14328614328614328</v>
      </c>
      <c r="CJ119" s="5">
        <f t="shared" si="593"/>
        <v>0.14704667492771581</v>
      </c>
      <c r="CK119" s="5">
        <f t="shared" si="593"/>
        <v>0.15053763440860216</v>
      </c>
      <c r="CL119" s="5">
        <f t="shared" si="593"/>
        <v>0.14941569282136896</v>
      </c>
      <c r="CM119" s="4">
        <f t="shared" si="593"/>
        <v>0.14760610495504914</v>
      </c>
      <c r="CN119" s="5">
        <f t="shared" si="593"/>
        <v>0.13129644921552436</v>
      </c>
      <c r="CO119" s="5">
        <f t="shared" si="593"/>
        <v>0.13557312252964426</v>
      </c>
      <c r="CP119" s="5">
        <f t="shared" si="593"/>
        <v>0.13474610155937625</v>
      </c>
      <c r="CQ119" s="5">
        <f t="shared" si="593"/>
        <v>0.13892122623205277</v>
      </c>
      <c r="CR119" s="4">
        <f t="shared" si="593"/>
        <v>0.13519441674975075</v>
      </c>
      <c r="CS119" s="5">
        <f t="shared" si="593"/>
        <v>0.12827128639882049</v>
      </c>
      <c r="CT119" s="5">
        <f t="shared" si="593"/>
        <v>0.1324389404884761</v>
      </c>
      <c r="CU119" s="5">
        <f t="shared" si="593"/>
        <v>0.13475177304964539</v>
      </c>
      <c r="CV119" s="5">
        <f t="shared" si="593"/>
        <v>0.12490650710545999</v>
      </c>
      <c r="CW119" s="4">
        <f t="shared" ref="CW119:DV119" si="594">CW117/CW156</f>
        <v>0.13025322079075966</v>
      </c>
      <c r="CX119" s="5">
        <f t="shared" si="594"/>
        <v>0.12016021361815754</v>
      </c>
      <c r="CY119" s="5">
        <f t="shared" si="594"/>
        <v>0.13318077803203662</v>
      </c>
      <c r="CZ119" s="5">
        <f t="shared" si="594"/>
        <v>0.13237221494102228</v>
      </c>
      <c r="DA119" s="5">
        <f t="shared" si="594"/>
        <v>0.14655172413793102</v>
      </c>
      <c r="DB119" s="4">
        <f t="shared" si="594"/>
        <v>0.13317110939055415</v>
      </c>
      <c r="DC119" s="5">
        <f t="shared" si="594"/>
        <v>0.12966680048173423</v>
      </c>
      <c r="DD119" s="5">
        <f t="shared" si="594"/>
        <v>0.11415696582801352</v>
      </c>
      <c r="DE119" s="5">
        <f t="shared" si="594"/>
        <v>0.11927981995498875</v>
      </c>
      <c r="DF119" s="5">
        <f t="shared" si="594"/>
        <v>0.12428977272727272</v>
      </c>
      <c r="DG119" s="4">
        <f t="shared" si="594"/>
        <v>0.1217562993606619</v>
      </c>
      <c r="DH119" s="5">
        <f t="shared" si="594"/>
        <v>0.11743898125221082</v>
      </c>
      <c r="DI119" s="5">
        <f t="shared" si="594"/>
        <v>0.12479256554928643</v>
      </c>
      <c r="DJ119" s="5">
        <f t="shared" si="594"/>
        <v>0.12457798784604997</v>
      </c>
      <c r="DK119" s="5">
        <f t="shared" si="594"/>
        <v>0.12529234881389908</v>
      </c>
      <c r="DL119" s="4">
        <f t="shared" si="594"/>
        <v>0.12310300974989402</v>
      </c>
      <c r="DM119" s="5">
        <f t="shared" si="594"/>
        <v>0.1288933068257124</v>
      </c>
      <c r="DN119" s="5">
        <f t="shared" si="594"/>
        <v>0.13663764233087744</v>
      </c>
      <c r="DO119" s="5">
        <f t="shared" si="594"/>
        <v>0.13931564245810055</v>
      </c>
      <c r="DP119" s="5">
        <f t="shared" si="594"/>
        <v>0.13747841105354058</v>
      </c>
      <c r="DQ119" s="4">
        <f t="shared" si="594"/>
        <v>0.13550964889909037</v>
      </c>
      <c r="DR119" s="5">
        <f t="shared" si="594"/>
        <v>0.13783691572842033</v>
      </c>
      <c r="DS119" s="5">
        <f>DS117/DS156</f>
        <v>0.14026402640264027</v>
      </c>
      <c r="DT119" s="5">
        <f t="shared" si="594"/>
        <v>0.14689843217450579</v>
      </c>
      <c r="DU119" s="5">
        <f>DU117/DU156</f>
        <v>0.14412928759894458</v>
      </c>
      <c r="DV119" s="4">
        <f t="shared" si="594"/>
        <v>0.14228221681898215</v>
      </c>
      <c r="DW119" s="5">
        <f>DW117/DW156</f>
        <v>0.14237402773080826</v>
      </c>
      <c r="DX119" s="5">
        <f>DX117/DX156</f>
        <v>0.13888029693782863</v>
      </c>
      <c r="DY119" s="5">
        <f>DY117/DY156</f>
        <v>0.14200998751560551</v>
      </c>
      <c r="DZ119" s="5">
        <f>DZ117/DZ156</f>
        <v>0.14567330636349357</v>
      </c>
      <c r="EA119" s="4">
        <f>EA117/EA156</f>
        <v>0.14222067773949268</v>
      </c>
      <c r="EB119" s="5">
        <f t="shared" ref="EB119:EF119" si="595">EB117/EB156</f>
        <v>0.14072566971854866</v>
      </c>
      <c r="EC119" s="5">
        <f t="shared" si="595"/>
        <v>0.14778325123152711</v>
      </c>
      <c r="ED119" s="5">
        <f t="shared" si="595"/>
        <v>0.15345355563116705</v>
      </c>
      <c r="EE119" s="5">
        <f t="shared" si="595"/>
        <v>0.16037396619920891</v>
      </c>
      <c r="EF119" s="4">
        <f t="shared" si="595"/>
        <v>0.15041830288543623</v>
      </c>
      <c r="EG119" s="5">
        <f>EG117/EG156</f>
        <v>0.15469824293353704</v>
      </c>
      <c r="EH119" s="5">
        <f>EH117/EH156</f>
        <v>0.15495562130177515</v>
      </c>
      <c r="EI119" s="5">
        <f>EI117/EI156</f>
        <v>0.15682656826568267</v>
      </c>
      <c r="EJ119" s="5">
        <f t="shared" ref="EJ119:EK119" si="596">EJ117/EJ156</f>
        <v>0.15706289101086598</v>
      </c>
      <c r="EK119" s="4">
        <f t="shared" si="596"/>
        <v>0.15593097840816694</v>
      </c>
      <c r="EL119" s="5">
        <f>EL117/EL156</f>
        <v>0.15127222028581389</v>
      </c>
      <c r="EM119" s="5">
        <f>EM117/EM156</f>
        <v>0.15274463007159905</v>
      </c>
      <c r="EN119" s="5">
        <f>EN117/EN156</f>
        <v>0.16259569814072183</v>
      </c>
      <c r="EO119" s="5">
        <f t="shared" ref="EO119:EP119" si="597">EO117/EO156</f>
        <v>0.16451274886482711</v>
      </c>
      <c r="EP119" s="4">
        <f t="shared" si="597"/>
        <v>0.15769635343618513</v>
      </c>
      <c r="EQ119" s="5">
        <f>EQ117/EQ156</f>
        <v>0.15611961057023643</v>
      </c>
      <c r="ER119" s="1684">
        <f t="shared" ref="ER119" si="598">ER117/ER156</f>
        <v>0.16253534518676524</v>
      </c>
      <c r="ES119" s="1684">
        <f t="shared" ref="ES119:EU119" si="599">ES117/ES156</f>
        <v>0.16637245303229029</v>
      </c>
      <c r="ET119" s="1684">
        <f t="shared" si="599"/>
        <v>0.17128314331614411</v>
      </c>
      <c r="EU119" s="2043">
        <f t="shared" si="599"/>
        <v>0.1641785387038161</v>
      </c>
      <c r="EV119" s="723"/>
      <c r="EW119" s="723"/>
      <c r="EX119" s="723"/>
      <c r="EY119" s="723"/>
      <c r="EZ119" s="2043">
        <f>EZ117/EZ156</f>
        <v>0.16808232957554872</v>
      </c>
      <c r="FA119" s="21"/>
      <c r="FB119" s="21"/>
      <c r="FC119" s="21"/>
      <c r="FD119" s="21"/>
      <c r="FE119" s="4">
        <f>FE117/FE156</f>
        <v>0.16966041248781658</v>
      </c>
      <c r="FG119" s="484"/>
      <c r="FH119" s="779"/>
      <c r="FI119" s="779"/>
      <c r="FJ119" s="779"/>
      <c r="FL119" s="1349"/>
      <c r="FM119" s="5">
        <f t="shared" si="575"/>
        <v>0.15611961057023643</v>
      </c>
      <c r="FN119" s="1425">
        <f t="shared" si="576"/>
        <v>0.15127222028581389</v>
      </c>
      <c r="FO119" s="1813">
        <v>0.15964559756340307</v>
      </c>
      <c r="FP119" s="1755"/>
      <c r="FQ119" s="1503"/>
      <c r="FR119" s="1619"/>
      <c r="FS119" s="1619"/>
      <c r="FT119" s="433"/>
      <c r="FU119" s="433"/>
      <c r="FV119" s="433"/>
      <c r="FW119" s="433"/>
      <c r="FX119" s="433"/>
      <c r="FY119" s="433"/>
      <c r="FZ119" s="484"/>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c r="IW119"/>
      <c r="IX119"/>
    </row>
    <row r="120" spans="1:258" s="21" customFormat="1" x14ac:dyDescent="0.2">
      <c r="A120" s="2046" t="s">
        <v>473</v>
      </c>
      <c r="B120" s="5"/>
      <c r="C120" s="5"/>
      <c r="D120" s="5"/>
      <c r="E120" s="5"/>
      <c r="F120" s="4"/>
      <c r="G120" s="5"/>
      <c r="H120" s="5"/>
      <c r="I120" s="5"/>
      <c r="J120" s="5"/>
      <c r="K120" s="4"/>
      <c r="L120" s="5"/>
      <c r="M120" s="5"/>
      <c r="N120" s="5"/>
      <c r="O120" s="5"/>
      <c r="P120" s="4"/>
      <c r="Q120" s="5"/>
      <c r="R120" s="5"/>
      <c r="S120" s="5"/>
      <c r="T120" s="5"/>
      <c r="U120" s="4"/>
      <c r="V120" s="5"/>
      <c r="W120" s="5"/>
      <c r="X120" s="5"/>
      <c r="Y120" s="5"/>
      <c r="Z120" s="4"/>
      <c r="AA120" s="5"/>
      <c r="AB120" s="5"/>
      <c r="AC120" s="5"/>
      <c r="AD120" s="5"/>
      <c r="AE120" s="4"/>
      <c r="AF120" s="5"/>
      <c r="AG120" s="5"/>
      <c r="AH120" s="5"/>
      <c r="AI120" s="5"/>
      <c r="AJ120" s="4"/>
      <c r="AK120" s="5"/>
      <c r="AL120" s="5"/>
      <c r="AM120" s="5"/>
      <c r="AN120" s="5"/>
      <c r="AO120" s="4"/>
      <c r="AP120" s="5"/>
      <c r="AQ120" s="5"/>
      <c r="AR120" s="5"/>
      <c r="AS120" s="5"/>
      <c r="AT120" s="4"/>
      <c r="AU120" s="5"/>
      <c r="AV120" s="5"/>
      <c r="AW120" s="5"/>
      <c r="AX120" s="5"/>
      <c r="AY120" s="4"/>
      <c r="AZ120" s="5"/>
      <c r="BA120" s="5"/>
      <c r="BB120" s="5"/>
      <c r="BC120" s="5"/>
      <c r="BD120" s="4"/>
      <c r="BE120" s="5"/>
      <c r="BF120" s="5"/>
      <c r="BG120" s="5"/>
      <c r="BH120" s="5"/>
      <c r="BI120" s="4"/>
      <c r="BJ120" s="5"/>
      <c r="BK120" s="5"/>
      <c r="BL120" s="5"/>
      <c r="BM120" s="5"/>
      <c r="BN120" s="4"/>
      <c r="BO120" s="5"/>
      <c r="BP120" s="5"/>
      <c r="BQ120" s="5"/>
      <c r="BR120" s="5"/>
      <c r="BS120" s="4"/>
      <c r="BT120" s="5"/>
      <c r="BU120" s="5"/>
      <c r="BV120" s="5"/>
      <c r="BW120" s="5"/>
      <c r="BX120" s="4"/>
      <c r="BY120" s="5"/>
      <c r="BZ120" s="5"/>
      <c r="CA120" s="5"/>
      <c r="CB120" s="5"/>
      <c r="CC120" s="4"/>
      <c r="CD120" s="5"/>
      <c r="CE120" s="5"/>
      <c r="CF120" s="5"/>
      <c r="CG120" s="5"/>
      <c r="CH120" s="4"/>
      <c r="CI120" s="5"/>
      <c r="CJ120" s="5"/>
      <c r="CK120" s="5"/>
      <c r="CL120" s="5"/>
      <c r="CM120" s="4"/>
      <c r="CN120" s="5"/>
      <c r="CO120" s="5"/>
      <c r="CP120" s="5"/>
      <c r="CQ120" s="5"/>
      <c r="CR120" s="4"/>
      <c r="CS120" s="5"/>
      <c r="CT120" s="5"/>
      <c r="CU120" s="5"/>
      <c r="CV120" s="5"/>
      <c r="CW120" s="4"/>
      <c r="CX120" s="5"/>
      <c r="CY120" s="5"/>
      <c r="CZ120" s="5"/>
      <c r="DA120" s="5"/>
      <c r="DB120" s="4"/>
      <c r="DC120" s="5"/>
      <c r="DD120" s="5"/>
      <c r="DE120" s="5"/>
      <c r="DF120" s="5"/>
      <c r="DG120" s="4"/>
      <c r="DH120" s="23">
        <f>DH6</f>
        <v>553</v>
      </c>
      <c r="DI120" s="23">
        <f t="shared" ref="DI120:FE120" si="600">DI6</f>
        <v>581</v>
      </c>
      <c r="DJ120" s="23">
        <f t="shared" si="600"/>
        <v>576</v>
      </c>
      <c r="DK120" s="23">
        <f t="shared" si="600"/>
        <v>579</v>
      </c>
      <c r="DL120" s="24">
        <f t="shared" si="600"/>
        <v>2289</v>
      </c>
      <c r="DM120" s="23">
        <f t="shared" si="600"/>
        <v>600</v>
      </c>
      <c r="DN120" s="23">
        <f t="shared" si="600"/>
        <v>629</v>
      </c>
      <c r="DO120" s="23">
        <f t="shared" si="600"/>
        <v>622</v>
      </c>
      <c r="DP120" s="23">
        <f t="shared" si="600"/>
        <v>600</v>
      </c>
      <c r="DQ120" s="24">
        <f t="shared" si="600"/>
        <v>2451</v>
      </c>
      <c r="DR120" s="23">
        <f t="shared" si="600"/>
        <v>615</v>
      </c>
      <c r="DS120" s="23">
        <f t="shared" si="600"/>
        <v>644</v>
      </c>
      <c r="DT120" s="23">
        <f t="shared" si="600"/>
        <v>657</v>
      </c>
      <c r="DU120" s="23">
        <f t="shared" si="600"/>
        <v>666</v>
      </c>
      <c r="DV120" s="24">
        <f t="shared" si="600"/>
        <v>2582</v>
      </c>
      <c r="DW120" s="23">
        <f t="shared" si="600"/>
        <v>647</v>
      </c>
      <c r="DX120" s="23">
        <f t="shared" si="600"/>
        <v>691</v>
      </c>
      <c r="DY120" s="23">
        <f t="shared" si="600"/>
        <v>691</v>
      </c>
      <c r="DZ120" s="23">
        <f t="shared" si="600"/>
        <v>699.30000000000007</v>
      </c>
      <c r="EA120" s="24">
        <f t="shared" si="600"/>
        <v>2728.3</v>
      </c>
      <c r="EB120" s="23">
        <f t="shared" si="600"/>
        <v>655</v>
      </c>
      <c r="EC120" s="23">
        <f t="shared" si="600"/>
        <v>723</v>
      </c>
      <c r="ED120" s="23">
        <f t="shared" si="600"/>
        <v>731</v>
      </c>
      <c r="EE120" s="23">
        <f t="shared" si="600"/>
        <v>729</v>
      </c>
      <c r="EF120" s="24">
        <f t="shared" si="600"/>
        <v>2838</v>
      </c>
      <c r="EG120" s="23">
        <f t="shared" si="600"/>
        <v>678</v>
      </c>
      <c r="EH120" s="23">
        <f t="shared" si="600"/>
        <v>694</v>
      </c>
      <c r="EI120" s="23">
        <f t="shared" si="600"/>
        <v>681</v>
      </c>
      <c r="EJ120" s="23">
        <f t="shared" si="600"/>
        <v>758</v>
      </c>
      <c r="EK120" s="24">
        <f t="shared" si="600"/>
        <v>2811</v>
      </c>
      <c r="EL120" s="23">
        <f t="shared" si="600"/>
        <v>688</v>
      </c>
      <c r="EM120" s="23">
        <f t="shared" si="600"/>
        <v>718</v>
      </c>
      <c r="EN120" s="23">
        <f t="shared" si="600"/>
        <v>718</v>
      </c>
      <c r="EO120" s="23">
        <f t="shared" si="600"/>
        <v>719</v>
      </c>
      <c r="EP120" s="24">
        <f t="shared" si="600"/>
        <v>2843</v>
      </c>
      <c r="EQ120" s="23">
        <f t="shared" ref="EQ120" si="601">EQ6</f>
        <v>689</v>
      </c>
      <c r="ER120" s="23">
        <f t="shared" si="600"/>
        <v>728.77</v>
      </c>
      <c r="ES120" s="23">
        <f t="shared" si="600"/>
        <v>743.13</v>
      </c>
      <c r="ET120" s="23">
        <f t="shared" si="600"/>
        <v>754.95</v>
      </c>
      <c r="EU120" s="24">
        <f t="shared" si="600"/>
        <v>2915.8500000000004</v>
      </c>
      <c r="EV120" s="25">
        <f t="shared" si="600"/>
        <v>0</v>
      </c>
      <c r="EW120" s="25">
        <f t="shared" si="600"/>
        <v>0</v>
      </c>
      <c r="EX120" s="25">
        <f t="shared" si="600"/>
        <v>0</v>
      </c>
      <c r="EY120" s="25">
        <f t="shared" si="600"/>
        <v>0</v>
      </c>
      <c r="EZ120" s="24">
        <f t="shared" si="600"/>
        <v>3032.4840000000004</v>
      </c>
      <c r="FA120" s="25">
        <f t="shared" si="600"/>
        <v>0</v>
      </c>
      <c r="FB120" s="25">
        <f t="shared" si="600"/>
        <v>0</v>
      </c>
      <c r="FC120" s="25">
        <f t="shared" si="600"/>
        <v>0</v>
      </c>
      <c r="FD120" s="25">
        <f t="shared" si="600"/>
        <v>0</v>
      </c>
      <c r="FE120" s="24">
        <f t="shared" si="600"/>
        <v>3153.7833600000004</v>
      </c>
      <c r="FG120" s="478"/>
      <c r="FH120" s="772"/>
      <c r="FI120" s="772"/>
      <c r="FJ120" s="772"/>
      <c r="FL120" s="1343"/>
      <c r="FM120" s="1534"/>
      <c r="FN120" s="1425"/>
      <c r="FO120" s="1813">
        <v>691.43999999999994</v>
      </c>
      <c r="FP120" s="1509"/>
      <c r="FQ120" s="1510"/>
      <c r="FR120" s="1619"/>
      <c r="FS120" s="1619"/>
      <c r="FT120" s="433"/>
      <c r="FU120" s="433"/>
      <c r="FV120" s="433"/>
      <c r="FW120" s="433"/>
      <c r="FX120" s="433"/>
      <c r="FY120" s="433"/>
      <c r="FZ120" s="478"/>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c r="IW120"/>
      <c r="IX120"/>
    </row>
    <row r="121" spans="1:258" s="21" customFormat="1" x14ac:dyDescent="0.2">
      <c r="A121" s="2047" t="s">
        <v>823</v>
      </c>
      <c r="B121" s="5"/>
      <c r="C121" s="5"/>
      <c r="D121" s="5"/>
      <c r="E121" s="5"/>
      <c r="F121" s="4"/>
      <c r="G121" s="5"/>
      <c r="H121" s="5"/>
      <c r="I121" s="5"/>
      <c r="J121" s="5"/>
      <c r="K121" s="4"/>
      <c r="L121" s="5"/>
      <c r="M121" s="5"/>
      <c r="N121" s="5"/>
      <c r="O121" s="5"/>
      <c r="P121" s="4"/>
      <c r="Q121" s="5"/>
      <c r="R121" s="5"/>
      <c r="S121" s="5"/>
      <c r="T121" s="5"/>
      <c r="U121" s="4"/>
      <c r="V121" s="5"/>
      <c r="W121" s="5"/>
      <c r="X121" s="5"/>
      <c r="Y121" s="5"/>
      <c r="Z121" s="4"/>
      <c r="AA121" s="5"/>
      <c r="AB121" s="5"/>
      <c r="AC121" s="5"/>
      <c r="AD121" s="5"/>
      <c r="AE121" s="4"/>
      <c r="AF121" s="5"/>
      <c r="AG121" s="5"/>
      <c r="AH121" s="5"/>
      <c r="AI121" s="5"/>
      <c r="AJ121" s="4"/>
      <c r="AK121" s="5"/>
      <c r="AL121" s="5"/>
      <c r="AM121" s="5"/>
      <c r="AN121" s="5"/>
      <c r="AO121" s="4"/>
      <c r="AP121" s="5"/>
      <c r="AQ121" s="5"/>
      <c r="AR121" s="5"/>
      <c r="AS121" s="5"/>
      <c r="AT121" s="4"/>
      <c r="AU121" s="5"/>
      <c r="AV121" s="5"/>
      <c r="AW121" s="5"/>
      <c r="AX121" s="5"/>
      <c r="AY121" s="4"/>
      <c r="AZ121" s="5"/>
      <c r="BA121" s="5"/>
      <c r="BB121" s="5"/>
      <c r="BC121" s="5"/>
      <c r="BD121" s="4"/>
      <c r="BE121" s="5"/>
      <c r="BF121" s="5"/>
      <c r="BG121" s="5"/>
      <c r="BH121" s="5"/>
      <c r="BI121" s="4"/>
      <c r="BJ121" s="5"/>
      <c r="BK121" s="5"/>
      <c r="BL121" s="5"/>
      <c r="BM121" s="5"/>
      <c r="BN121" s="4"/>
      <c r="BO121" s="5"/>
      <c r="BP121" s="5"/>
      <c r="BQ121" s="5"/>
      <c r="BR121" s="5"/>
      <c r="BS121" s="4"/>
      <c r="BT121" s="5"/>
      <c r="BU121" s="5"/>
      <c r="BV121" s="5"/>
      <c r="BW121" s="5"/>
      <c r="BX121" s="4"/>
      <c r="BY121" s="5"/>
      <c r="BZ121" s="5"/>
      <c r="CA121" s="5"/>
      <c r="CB121" s="5"/>
      <c r="CC121" s="4"/>
      <c r="CD121" s="5"/>
      <c r="CE121" s="5"/>
      <c r="CF121" s="5"/>
      <c r="CG121" s="5"/>
      <c r="CH121" s="4"/>
      <c r="CI121" s="5"/>
      <c r="CJ121" s="5"/>
      <c r="CK121" s="5"/>
      <c r="CL121" s="5"/>
      <c r="CM121" s="4"/>
      <c r="CN121" s="5"/>
      <c r="CO121" s="5"/>
      <c r="CP121" s="5"/>
      <c r="CQ121" s="5"/>
      <c r="CR121" s="4"/>
      <c r="CS121" s="5"/>
      <c r="CT121" s="5"/>
      <c r="CU121" s="5"/>
      <c r="CV121" s="5"/>
      <c r="CW121" s="4"/>
      <c r="CX121" s="5"/>
      <c r="CY121" s="5"/>
      <c r="CZ121" s="5"/>
      <c r="DA121" s="5"/>
      <c r="DB121" s="4"/>
      <c r="DC121" s="5"/>
      <c r="DD121" s="5"/>
      <c r="DE121" s="5"/>
      <c r="DF121" s="5"/>
      <c r="DG121" s="4"/>
      <c r="DH121" s="1141"/>
      <c r="DI121" s="1141"/>
      <c r="DJ121" s="1141"/>
      <c r="DK121" s="1141"/>
      <c r="DL121" s="2048"/>
      <c r="DM121" s="1141">
        <f t="shared" ref="DM121" si="602">DM120/DH120-1</f>
        <v>8.4990958408679873E-2</v>
      </c>
      <c r="DN121" s="1141">
        <f t="shared" ref="DN121" si="603">DN120/DI120-1</f>
        <v>8.2616179001721246E-2</v>
      </c>
      <c r="DO121" s="1141">
        <f t="shared" ref="DO121" si="604">DO120/DJ120-1</f>
        <v>7.986111111111116E-2</v>
      </c>
      <c r="DP121" s="1141">
        <f t="shared" ref="DP121" si="605">DP120/DK120-1</f>
        <v>3.6269430051813378E-2</v>
      </c>
      <c r="DQ121" s="2048">
        <f t="shared" ref="DQ121" si="606">DQ120/DL120-1</f>
        <v>7.0773263433813849E-2</v>
      </c>
      <c r="DR121" s="1141">
        <f t="shared" ref="DR121" si="607">DR120/DM120-1</f>
        <v>2.4999999999999911E-2</v>
      </c>
      <c r="DS121" s="1141">
        <f t="shared" ref="DS121" si="608">DS120/DN120-1</f>
        <v>2.3847376788553198E-2</v>
      </c>
      <c r="DT121" s="1141">
        <f t="shared" ref="DT121" si="609">DT120/DO120-1</f>
        <v>5.6270096463022501E-2</v>
      </c>
      <c r="DU121" s="1141">
        <f t="shared" ref="DU121" si="610">DU120/DP120-1</f>
        <v>0.1100000000000001</v>
      </c>
      <c r="DV121" s="2048">
        <f t="shared" ref="DV121" si="611">DV120/DQ120-1</f>
        <v>5.3447572419420553E-2</v>
      </c>
      <c r="DW121" s="1141">
        <f t="shared" ref="DW121" si="612">DW120/DR120-1</f>
        <v>5.2032520325203224E-2</v>
      </c>
      <c r="DX121" s="1141">
        <f t="shared" ref="DX121" si="613">DX120/DS120-1</f>
        <v>7.2981366459627273E-2</v>
      </c>
      <c r="DY121" s="1141">
        <f t="shared" ref="DY121" si="614">DY120/DT120-1</f>
        <v>5.1750380517503913E-2</v>
      </c>
      <c r="DZ121" s="1141">
        <f t="shared" ref="DZ121" si="615">DZ120/DU120-1</f>
        <v>5.0000000000000044E-2</v>
      </c>
      <c r="EA121" s="2048">
        <f t="shared" ref="EA121" si="616">EA120/DV120-1</f>
        <v>5.6661502711076839E-2</v>
      </c>
      <c r="EB121" s="1141">
        <f t="shared" ref="EB121" si="617">EB120/DW120-1</f>
        <v>1.2364760432766575E-2</v>
      </c>
      <c r="EC121" s="1141">
        <f t="shared" ref="EC121" si="618">EC120/DX120-1</f>
        <v>4.6309696092619479E-2</v>
      </c>
      <c r="ED121" s="1141">
        <f t="shared" ref="ED121" si="619">ED120/DY120-1</f>
        <v>5.7887120115774238E-2</v>
      </c>
      <c r="EE121" s="1141">
        <f t="shared" ref="EE121" si="620">EE120/DZ120-1</f>
        <v>4.2471042471042386E-2</v>
      </c>
      <c r="EF121" s="2048">
        <f t="shared" ref="EF121" si="621">EF120/EA120-1</f>
        <v>4.020818824909278E-2</v>
      </c>
      <c r="EG121" s="1141">
        <f t="shared" ref="EG121" si="622">EG120/EB120-1</f>
        <v>3.5114503816793929E-2</v>
      </c>
      <c r="EH121" s="1141">
        <f t="shared" ref="EH121" si="623">EH120/EC120-1</f>
        <v>-4.0110650069156262E-2</v>
      </c>
      <c r="EI121" s="1141">
        <f t="shared" ref="EI121" si="624">EI120/ED120-1</f>
        <v>-6.8399452804377536E-2</v>
      </c>
      <c r="EJ121" s="1141">
        <f t="shared" ref="EJ121" si="625">EJ120/EE120-1</f>
        <v>3.9780521262002821E-2</v>
      </c>
      <c r="EK121" s="2048">
        <f t="shared" ref="EK121" si="626">EK120/EF120-1</f>
        <v>-9.5137420718816035E-3</v>
      </c>
      <c r="EL121" s="1141">
        <f t="shared" ref="EL121" si="627">EL120/EG120-1</f>
        <v>1.4749262536873253E-2</v>
      </c>
      <c r="EM121" s="1141">
        <f t="shared" ref="EM121" si="628">EM120/EH120-1</f>
        <v>3.4582132564841439E-2</v>
      </c>
      <c r="EN121" s="1141">
        <f t="shared" ref="EN121" si="629">EN120/EI120-1</f>
        <v>5.4331864904552107E-2</v>
      </c>
      <c r="EO121" s="1141">
        <f t="shared" ref="EO121" si="630">EO120/EJ120-1</f>
        <v>-5.1451187335092352E-2</v>
      </c>
      <c r="EP121" s="2048">
        <f t="shared" ref="EP121:EQ121" si="631">EP120/EK120-1</f>
        <v>1.1383849163998594E-2</v>
      </c>
      <c r="EQ121" s="1141">
        <f t="shared" si="631"/>
        <v>1.4534883720929148E-3</v>
      </c>
      <c r="ER121" s="1141">
        <f t="shared" ref="ER121" si="632">ER120/EM120-1</f>
        <v>1.4999999999999902E-2</v>
      </c>
      <c r="ES121" s="1141">
        <f t="shared" ref="ES121" si="633">ES120/EN120-1</f>
        <v>3.499999999999992E-2</v>
      </c>
      <c r="ET121" s="1141">
        <f t="shared" ref="ET121" si="634">ET120/EO120-1</f>
        <v>5.0000000000000044E-2</v>
      </c>
      <c r="EU121" s="2048">
        <f t="shared" ref="EU121" si="635">EU120/EP120-1</f>
        <v>2.5624340485402852E-2</v>
      </c>
      <c r="EV121" s="2049"/>
      <c r="EW121" s="2049"/>
      <c r="EX121" s="2049"/>
      <c r="EY121" s="2049"/>
      <c r="EZ121" s="2048">
        <f t="shared" ref="EZ121" si="636">EZ120/EU120-1</f>
        <v>4.0000000000000036E-2</v>
      </c>
      <c r="FA121" s="2049"/>
      <c r="FB121" s="2049"/>
      <c r="FC121" s="2049"/>
      <c r="FD121" s="2049"/>
      <c r="FE121" s="2048">
        <f t="shared" ref="FE121" si="637">FE120/EZ120-1</f>
        <v>4.0000000000000036E-2</v>
      </c>
      <c r="FG121" s="478"/>
      <c r="FH121" s="772"/>
      <c r="FI121" s="772"/>
      <c r="FJ121" s="772"/>
      <c r="FL121" s="1343"/>
      <c r="FM121" s="1534"/>
      <c r="FN121" s="1425"/>
      <c r="FO121" s="1813">
        <v>4.9999999999998934E-3</v>
      </c>
      <c r="FP121" s="1509"/>
      <c r="FQ121" s="1510"/>
      <c r="FR121" s="1619"/>
      <c r="FS121" s="1619"/>
      <c r="FT121" s="433"/>
      <c r="FU121" s="433"/>
      <c r="FV121" s="433"/>
      <c r="FW121" s="433"/>
      <c r="FX121" s="433"/>
      <c r="FY121" s="433"/>
      <c r="FZ121" s="478"/>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c r="IW121"/>
      <c r="IX121"/>
    </row>
    <row r="122" spans="1:258" s="21" customFormat="1" x14ac:dyDescent="0.2">
      <c r="A122" s="2047" t="s">
        <v>824</v>
      </c>
      <c r="B122" s="5"/>
      <c r="C122" s="5"/>
      <c r="D122" s="5"/>
      <c r="E122" s="5"/>
      <c r="F122" s="4"/>
      <c r="G122" s="5"/>
      <c r="H122" s="5"/>
      <c r="I122" s="5"/>
      <c r="J122" s="5"/>
      <c r="K122" s="4"/>
      <c r="L122" s="5"/>
      <c r="M122" s="5"/>
      <c r="N122" s="5"/>
      <c r="O122" s="5"/>
      <c r="P122" s="4"/>
      <c r="Q122" s="5"/>
      <c r="R122" s="5"/>
      <c r="S122" s="5"/>
      <c r="T122" s="5"/>
      <c r="U122" s="4"/>
      <c r="V122" s="5"/>
      <c r="W122" s="5"/>
      <c r="X122" s="5"/>
      <c r="Y122" s="5"/>
      <c r="Z122" s="4"/>
      <c r="AA122" s="5"/>
      <c r="AB122" s="5"/>
      <c r="AC122" s="5"/>
      <c r="AD122" s="5"/>
      <c r="AE122" s="4"/>
      <c r="AF122" s="5"/>
      <c r="AG122" s="5"/>
      <c r="AH122" s="5"/>
      <c r="AI122" s="5"/>
      <c r="AJ122" s="4"/>
      <c r="AK122" s="5"/>
      <c r="AL122" s="5"/>
      <c r="AM122" s="5"/>
      <c r="AN122" s="5"/>
      <c r="AO122" s="4"/>
      <c r="AP122" s="5"/>
      <c r="AQ122" s="5"/>
      <c r="AR122" s="5"/>
      <c r="AS122" s="5"/>
      <c r="AT122" s="4"/>
      <c r="AU122" s="5"/>
      <c r="AV122" s="5"/>
      <c r="AW122" s="5"/>
      <c r="AX122" s="5"/>
      <c r="AY122" s="4"/>
      <c r="AZ122" s="5"/>
      <c r="BA122" s="5"/>
      <c r="BB122" s="5"/>
      <c r="BC122" s="5"/>
      <c r="BD122" s="4"/>
      <c r="BE122" s="5"/>
      <c r="BF122" s="5"/>
      <c r="BG122" s="5"/>
      <c r="BH122" s="5"/>
      <c r="BI122" s="4"/>
      <c r="BJ122" s="5"/>
      <c r="BK122" s="5"/>
      <c r="BL122" s="5"/>
      <c r="BM122" s="5"/>
      <c r="BN122" s="4"/>
      <c r="BO122" s="5"/>
      <c r="BP122" s="5"/>
      <c r="BQ122" s="5"/>
      <c r="BR122" s="5"/>
      <c r="BS122" s="4"/>
      <c r="BT122" s="5"/>
      <c r="BU122" s="5"/>
      <c r="BV122" s="5"/>
      <c r="BW122" s="5"/>
      <c r="BX122" s="4"/>
      <c r="BY122" s="5"/>
      <c r="BZ122" s="5"/>
      <c r="CA122" s="5"/>
      <c r="CB122" s="5"/>
      <c r="CC122" s="4"/>
      <c r="CD122" s="5"/>
      <c r="CE122" s="5"/>
      <c r="CF122" s="5"/>
      <c r="CG122" s="5"/>
      <c r="CH122" s="4"/>
      <c r="CI122" s="5"/>
      <c r="CJ122" s="5"/>
      <c r="CK122" s="5"/>
      <c r="CL122" s="5"/>
      <c r="CM122" s="4"/>
      <c r="CN122" s="5"/>
      <c r="CO122" s="5"/>
      <c r="CP122" s="5"/>
      <c r="CQ122" s="5"/>
      <c r="CR122" s="4"/>
      <c r="CS122" s="5"/>
      <c r="CT122" s="5"/>
      <c r="CU122" s="5"/>
      <c r="CV122" s="5"/>
      <c r="CW122" s="4"/>
      <c r="CX122" s="5"/>
      <c r="CY122" s="5"/>
      <c r="CZ122" s="5"/>
      <c r="DA122" s="5"/>
      <c r="DB122" s="4"/>
      <c r="DC122" s="5"/>
      <c r="DD122" s="5"/>
      <c r="DE122" s="5"/>
      <c r="DF122" s="5"/>
      <c r="DG122" s="4"/>
      <c r="DH122" s="1523">
        <f>DH120/DH$23</f>
        <v>0.34736180904522612</v>
      </c>
      <c r="DI122" s="1523">
        <f t="shared" ref="DI122:DL122" si="638">DI120/DI$23</f>
        <v>0.35297691373025514</v>
      </c>
      <c r="DJ122" s="1523">
        <f t="shared" si="638"/>
        <v>0.355775169857937</v>
      </c>
      <c r="DK122" s="1523">
        <f t="shared" si="638"/>
        <v>0.3576281655342804</v>
      </c>
      <c r="DL122" s="1715">
        <f t="shared" si="638"/>
        <v>0.35345892526250772</v>
      </c>
      <c r="DM122" s="1523">
        <f>DM120/DM$23</f>
        <v>0.37453183520599254</v>
      </c>
      <c r="DN122" s="1523">
        <f t="shared" ref="DN122:DQ122" si="639">DN120/DN$23</f>
        <v>0.38353658536585367</v>
      </c>
      <c r="DO122" s="1523">
        <f t="shared" si="639"/>
        <v>0.38874999999999998</v>
      </c>
      <c r="DP122" s="1523">
        <f t="shared" si="639"/>
        <v>0.38289725590299939</v>
      </c>
      <c r="DQ122" s="1715">
        <f t="shared" si="639"/>
        <v>0.38243095646746761</v>
      </c>
      <c r="DR122" s="1523">
        <f>DR120/DR$23</f>
        <v>0.39032997162967525</v>
      </c>
      <c r="DS122" s="1523">
        <f t="shared" ref="DS122:DV122" si="640">DS120/DS$23</f>
        <v>0.3888888888888889</v>
      </c>
      <c r="DT122" s="1523">
        <f t="shared" si="640"/>
        <v>0.3998782714546561</v>
      </c>
      <c r="DU122" s="1523">
        <f t="shared" si="640"/>
        <v>0.4007220216606498</v>
      </c>
      <c r="DV122" s="1715">
        <f t="shared" si="640"/>
        <v>0.39500718264416157</v>
      </c>
      <c r="DW122" s="1523">
        <f>DW120/DW$23</f>
        <v>0.39938271604938269</v>
      </c>
      <c r="DX122" s="1523">
        <f t="shared" ref="DX122:EA122" si="641">DX120/DX$23</f>
        <v>0.38798427849522737</v>
      </c>
      <c r="DY122" s="1523">
        <f t="shared" si="641"/>
        <v>0.3930602957906712</v>
      </c>
      <c r="DZ122" s="1523">
        <f t="shared" si="641"/>
        <v>0.39658594680428744</v>
      </c>
      <c r="EA122" s="1715">
        <f t="shared" si="641"/>
        <v>0.39413200814758104</v>
      </c>
      <c r="EB122" s="1523">
        <f>EB120/EB$23</f>
        <v>0.40065327893420111</v>
      </c>
      <c r="EC122" s="1523">
        <f t="shared" ref="EC122:EF122" si="642">EC120/EC$23</f>
        <v>0.41102899374644686</v>
      </c>
      <c r="ED122" s="1523">
        <f t="shared" si="642"/>
        <v>0.4269859813084112</v>
      </c>
      <c r="EE122" s="1523">
        <f t="shared" si="642"/>
        <v>0.44048338368580059</v>
      </c>
      <c r="EF122" s="1715">
        <f t="shared" si="642"/>
        <v>0.41977094528334541</v>
      </c>
      <c r="EG122" s="1523">
        <f>EG120/EG$23</f>
        <v>0.43713733075435202</v>
      </c>
      <c r="EH122" s="1523">
        <f t="shared" ref="EH122:EK122" si="643">EH120/EH$23</f>
        <v>0.43510971786833857</v>
      </c>
      <c r="EI122" s="1523">
        <f t="shared" si="643"/>
        <v>0.43265565438373571</v>
      </c>
      <c r="EJ122" s="1523">
        <f t="shared" si="643"/>
        <v>0.43789716926632005</v>
      </c>
      <c r="EK122" s="1715">
        <f t="shared" si="643"/>
        <v>0.43574639590761122</v>
      </c>
      <c r="EL122" s="1523">
        <f>EL120/EL$23</f>
        <v>0.43216080402010049</v>
      </c>
      <c r="EM122" s="1523">
        <f t="shared" ref="EM122:EP122" si="644">EM120/EM$23</f>
        <v>0.44320987654320987</v>
      </c>
      <c r="EN122" s="1523">
        <f t="shared" si="644"/>
        <v>0.4524259609325772</v>
      </c>
      <c r="EO122" s="1523">
        <f t="shared" si="644"/>
        <v>0.44909431605246719</v>
      </c>
      <c r="EP122" s="1715">
        <f t="shared" si="644"/>
        <v>0.44421875</v>
      </c>
      <c r="EQ122" s="1523">
        <f>EQ120/EQ$23</f>
        <v>0.44973890339425587</v>
      </c>
      <c r="ER122" s="1523">
        <f t="shared" ref="ER122:EU122" si="645">ER120/ER$23</f>
        <v>0.4596265065560019</v>
      </c>
      <c r="ES122" s="1523">
        <f t="shared" si="645"/>
        <v>0.46499971842090437</v>
      </c>
      <c r="ET122" s="1523">
        <f t="shared" si="645"/>
        <v>0.45878138378844835</v>
      </c>
      <c r="EU122" s="1715">
        <f t="shared" si="645"/>
        <v>0.45837653104615367</v>
      </c>
      <c r="EV122" s="1523"/>
      <c r="EW122" s="1523"/>
      <c r="EX122" s="1523"/>
      <c r="EY122" s="1523"/>
      <c r="EZ122" s="1715">
        <f t="shared" ref="EZ122" si="646">EZ120/EZ$23</f>
        <v>0.47081439543918263</v>
      </c>
      <c r="FA122" s="1523"/>
      <c r="FB122" s="1523"/>
      <c r="FC122" s="1523"/>
      <c r="FD122" s="1523"/>
      <c r="FE122" s="1715">
        <f t="shared" ref="FE122" si="647">FE120/FE$23</f>
        <v>0.48173807488213971</v>
      </c>
      <c r="FG122" s="478"/>
      <c r="FH122" s="772"/>
      <c r="FI122" s="772"/>
      <c r="FJ122" s="772"/>
      <c r="FL122" s="1343"/>
      <c r="FM122" s="1534"/>
      <c r="FN122" s="1425"/>
      <c r="FO122" s="1813">
        <v>0.45029403528423406</v>
      </c>
      <c r="FP122" s="1509"/>
      <c r="FQ122" s="1510"/>
      <c r="FR122" s="1619"/>
      <c r="FS122" s="1619"/>
      <c r="FT122" s="433"/>
      <c r="FU122" s="433"/>
      <c r="FV122" s="433"/>
      <c r="FW122" s="433"/>
      <c r="FX122" s="433"/>
      <c r="FY122" s="433"/>
      <c r="FZ122" s="478"/>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c r="IW122"/>
      <c r="IX122"/>
    </row>
    <row r="123" spans="1:258" s="43" customFormat="1" x14ac:dyDescent="0.2">
      <c r="A123" s="573" t="s">
        <v>233</v>
      </c>
      <c r="B123" s="27"/>
      <c r="C123" s="27"/>
      <c r="D123" s="27"/>
      <c r="E123" s="27"/>
      <c r="F123" s="28"/>
      <c r="G123" s="27"/>
      <c r="H123" s="27"/>
      <c r="I123" s="27"/>
      <c r="J123" s="27"/>
      <c r="K123" s="28"/>
      <c r="L123" s="27"/>
      <c r="M123" s="27"/>
      <c r="N123" s="27"/>
      <c r="O123" s="27"/>
      <c r="P123" s="28"/>
      <c r="Q123" s="27">
        <f t="shared" ref="Q123:AV123" si="648">Q117*1000/Q6</f>
        <v>688.86337543053958</v>
      </c>
      <c r="R123" s="27">
        <f t="shared" si="648"/>
        <v>686.02885345482161</v>
      </c>
      <c r="S123" s="27">
        <f t="shared" si="648"/>
        <v>694.48529411764707</v>
      </c>
      <c r="T123" s="27">
        <f t="shared" si="648"/>
        <v>658.88501742160281</v>
      </c>
      <c r="U123" s="28">
        <f t="shared" si="648"/>
        <v>681.64621205130572</v>
      </c>
      <c r="V123" s="27">
        <f t="shared" si="648"/>
        <v>684.0148698884758</v>
      </c>
      <c r="W123" s="27">
        <f t="shared" si="648"/>
        <v>686.1313868613139</v>
      </c>
      <c r="X123" s="27">
        <f t="shared" si="648"/>
        <v>712.80276816609</v>
      </c>
      <c r="Y123" s="27">
        <f t="shared" si="648"/>
        <v>695.79288025889969</v>
      </c>
      <c r="Z123" s="28">
        <f t="shared" si="648"/>
        <v>695.0043821209465</v>
      </c>
      <c r="AA123" s="27">
        <f t="shared" si="648"/>
        <v>695.36423841059604</v>
      </c>
      <c r="AB123" s="27">
        <f t="shared" si="648"/>
        <v>694.70404984423681</v>
      </c>
      <c r="AC123" s="27">
        <f t="shared" si="648"/>
        <v>718.75</v>
      </c>
      <c r="AD123" s="27">
        <f t="shared" si="648"/>
        <v>702.94117647058829</v>
      </c>
      <c r="AE123" s="28">
        <f t="shared" si="648"/>
        <v>703.0397505845674</v>
      </c>
      <c r="AF123" s="27">
        <f t="shared" si="648"/>
        <v>712.55060728744934</v>
      </c>
      <c r="AG123" s="27">
        <f t="shared" si="648"/>
        <v>731.40495867768595</v>
      </c>
      <c r="AH123" s="27">
        <f t="shared" si="648"/>
        <v>717.84232365145226</v>
      </c>
      <c r="AI123" s="27">
        <f t="shared" si="648"/>
        <v>720</v>
      </c>
      <c r="AJ123" s="28">
        <f t="shared" si="648"/>
        <v>720.40816326530614</v>
      </c>
      <c r="AK123" s="27">
        <f t="shared" si="648"/>
        <v>715.55555555555554</v>
      </c>
      <c r="AL123" s="27">
        <f t="shared" si="648"/>
        <v>681.63265306122446</v>
      </c>
      <c r="AM123" s="27">
        <f t="shared" si="648"/>
        <v>654.47154471544718</v>
      </c>
      <c r="AN123" s="27">
        <f t="shared" si="648"/>
        <v>675.88932806324112</v>
      </c>
      <c r="AO123" s="28">
        <f t="shared" si="648"/>
        <v>681.11455108359132</v>
      </c>
      <c r="AP123" s="27">
        <f t="shared" si="648"/>
        <v>641.12903225806451</v>
      </c>
      <c r="AQ123" s="27">
        <f t="shared" si="648"/>
        <v>633.20463320463318</v>
      </c>
      <c r="AR123" s="27">
        <f t="shared" si="648"/>
        <v>671.81467181467178</v>
      </c>
      <c r="AS123" s="27">
        <f t="shared" si="648"/>
        <v>651.5151515151515</v>
      </c>
      <c r="AT123" s="28">
        <f t="shared" si="648"/>
        <v>649.51456310679612</v>
      </c>
      <c r="AU123" s="27">
        <f t="shared" si="648"/>
        <v>630.95238095238096</v>
      </c>
      <c r="AV123" s="27">
        <f t="shared" si="648"/>
        <v>617.1875</v>
      </c>
      <c r="AW123" s="27">
        <f t="shared" ref="AW123:CB123" si="649">AW117*1000/AW6</f>
        <v>621.62162162162167</v>
      </c>
      <c r="AX123" s="27">
        <f t="shared" si="649"/>
        <v>620.43795620437959</v>
      </c>
      <c r="AY123" s="28">
        <f t="shared" si="649"/>
        <v>622.47838616714694</v>
      </c>
      <c r="AZ123" s="27">
        <f t="shared" si="649"/>
        <v>612.31884057971013</v>
      </c>
      <c r="BA123" s="27">
        <f t="shared" si="649"/>
        <v>598.26589595375719</v>
      </c>
      <c r="BB123" s="27">
        <f t="shared" si="649"/>
        <v>571.42857142857144</v>
      </c>
      <c r="BC123" s="27">
        <f t="shared" si="649"/>
        <v>568.40077071290943</v>
      </c>
      <c r="BD123" s="28">
        <f t="shared" si="649"/>
        <v>582.97872340425533</v>
      </c>
      <c r="BE123" s="27">
        <f t="shared" si="649"/>
        <v>545.4545454545455</v>
      </c>
      <c r="BF123" s="27">
        <f t="shared" si="649"/>
        <v>560.69364161849705</v>
      </c>
      <c r="BG123" s="27">
        <f t="shared" si="649"/>
        <v>566.92913385826773</v>
      </c>
      <c r="BH123" s="27">
        <f t="shared" si="649"/>
        <v>605.63380281690138</v>
      </c>
      <c r="BI123" s="28">
        <f t="shared" si="649"/>
        <v>569.20077972709555</v>
      </c>
      <c r="BJ123" s="27">
        <f t="shared" si="649"/>
        <v>561.3305613305613</v>
      </c>
      <c r="BK123" s="27">
        <f t="shared" si="649"/>
        <v>545.27162977867204</v>
      </c>
      <c r="BL123" s="27">
        <f t="shared" si="649"/>
        <v>553.19148936170211</v>
      </c>
      <c r="BM123" s="27">
        <f t="shared" si="649"/>
        <v>559.92141453831039</v>
      </c>
      <c r="BN123" s="28">
        <f t="shared" si="649"/>
        <v>554.89021956087822</v>
      </c>
      <c r="BO123" s="27">
        <f t="shared" si="649"/>
        <v>544.69854469854465</v>
      </c>
      <c r="BP123" s="27">
        <f t="shared" si="649"/>
        <v>551.21042830540034</v>
      </c>
      <c r="BQ123" s="27">
        <f t="shared" si="649"/>
        <v>553.00353356890457</v>
      </c>
      <c r="BR123" s="27">
        <f t="shared" si="649"/>
        <v>577.57009345794393</v>
      </c>
      <c r="BS123" s="28">
        <f t="shared" si="649"/>
        <v>556.86644643699856</v>
      </c>
      <c r="BT123" s="27">
        <f t="shared" si="649"/>
        <v>574.14448669201522</v>
      </c>
      <c r="BU123" s="27">
        <f t="shared" si="649"/>
        <v>559.29203539823004</v>
      </c>
      <c r="BV123" s="27">
        <f t="shared" si="649"/>
        <v>558.51063829787233</v>
      </c>
      <c r="BW123" s="27">
        <f t="shared" si="649"/>
        <v>575.6521739130435</v>
      </c>
      <c r="BX123" s="28">
        <f t="shared" si="649"/>
        <v>566.81614349775782</v>
      </c>
      <c r="BY123" s="27">
        <f t="shared" si="649"/>
        <v>573.77049180327867</v>
      </c>
      <c r="BZ123" s="27">
        <f t="shared" si="649"/>
        <v>551.78268251273346</v>
      </c>
      <c r="CA123" s="27">
        <f t="shared" si="649"/>
        <v>584.97316636851519</v>
      </c>
      <c r="CB123" s="27">
        <f t="shared" si="649"/>
        <v>622.33169129720852</v>
      </c>
      <c r="CC123" s="28">
        <f t="shared" ref="CC123:DH123" si="650">CC117*1000/CC6</f>
        <v>583.69470945359933</v>
      </c>
      <c r="CD123" s="27">
        <f t="shared" si="650"/>
        <v>623.10606060606062</v>
      </c>
      <c r="CE123" s="27">
        <f t="shared" si="650"/>
        <v>607.73480662983422</v>
      </c>
      <c r="CF123" s="27">
        <f t="shared" si="650"/>
        <v>619.48529411764707</v>
      </c>
      <c r="CG123" s="27">
        <f t="shared" si="650"/>
        <v>665.4545454545455</v>
      </c>
      <c r="CH123" s="28">
        <f t="shared" si="650"/>
        <v>629.09930715935332</v>
      </c>
      <c r="CI123" s="27">
        <f t="shared" si="650"/>
        <v>647.28682170542641</v>
      </c>
      <c r="CJ123" s="27">
        <f t="shared" si="650"/>
        <v>650.82266910420481</v>
      </c>
      <c r="CK123" s="27">
        <f t="shared" si="650"/>
        <v>645.39007092198585</v>
      </c>
      <c r="CL123" s="27">
        <f t="shared" si="650"/>
        <v>648.55072463768113</v>
      </c>
      <c r="CM123" s="28">
        <f t="shared" si="650"/>
        <v>648.00367140890319</v>
      </c>
      <c r="CN123" s="27">
        <f t="shared" si="650"/>
        <v>624.75442043222006</v>
      </c>
      <c r="CO123" s="27">
        <f t="shared" si="650"/>
        <v>636.36363636363637</v>
      </c>
      <c r="CP123" s="27">
        <f t="shared" si="650"/>
        <v>635.84905660377353</v>
      </c>
      <c r="CQ123" s="27">
        <f t="shared" si="650"/>
        <v>671.66979362101313</v>
      </c>
      <c r="CR123" s="28">
        <f t="shared" si="650"/>
        <v>642.34959734722884</v>
      </c>
      <c r="CS123" s="27">
        <f t="shared" si="650"/>
        <v>685.03937007874015</v>
      </c>
      <c r="CT123" s="27">
        <f t="shared" si="650"/>
        <v>726.41509433962267</v>
      </c>
      <c r="CU123" s="27">
        <f t="shared" si="650"/>
        <v>750</v>
      </c>
      <c r="CV123" s="27">
        <f t="shared" si="650"/>
        <v>669.33867735470938</v>
      </c>
      <c r="CW123" s="28">
        <f t="shared" si="650"/>
        <v>708.55485741904306</v>
      </c>
      <c r="CX123" s="27">
        <f t="shared" si="650"/>
        <v>613.63636363636363</v>
      </c>
      <c r="CY123" s="27">
        <f t="shared" si="650"/>
        <v>636.7614879649891</v>
      </c>
      <c r="CZ123" s="27">
        <f t="shared" si="650"/>
        <v>629.93762993762994</v>
      </c>
      <c r="DA123" s="27">
        <f t="shared" si="650"/>
        <v>648.85496183206112</v>
      </c>
      <c r="DB123" s="28">
        <f t="shared" si="650"/>
        <v>633.01787592008407</v>
      </c>
      <c r="DC123" s="27">
        <f t="shared" si="650"/>
        <v>646</v>
      </c>
      <c r="DD123" s="27">
        <f t="shared" si="650"/>
        <v>565.05576208178434</v>
      </c>
      <c r="DE123" s="27">
        <f t="shared" si="650"/>
        <v>554.00696864111501</v>
      </c>
      <c r="DF123" s="27">
        <f t="shared" si="650"/>
        <v>572.83142389525369</v>
      </c>
      <c r="DG123" s="28">
        <f t="shared" si="650"/>
        <v>582.54610886189835</v>
      </c>
      <c r="DH123" s="27">
        <f t="shared" si="650"/>
        <v>600.36166365280292</v>
      </c>
      <c r="DI123" s="27">
        <f t="shared" ref="DI123:EC123" si="651">DI117*1000/DI6</f>
        <v>647.16006884681588</v>
      </c>
      <c r="DJ123" s="27">
        <f t="shared" si="651"/>
        <v>640.625</v>
      </c>
      <c r="DK123" s="27">
        <f t="shared" si="651"/>
        <v>647.66839378238342</v>
      </c>
      <c r="DL123" s="28">
        <f t="shared" si="651"/>
        <v>634.33813892529486</v>
      </c>
      <c r="DM123" s="27">
        <f t="shared" si="651"/>
        <v>648.33333333333337</v>
      </c>
      <c r="DN123" s="27">
        <f t="shared" si="651"/>
        <v>648.64864864864865</v>
      </c>
      <c r="DO123" s="27">
        <f t="shared" si="651"/>
        <v>641.47909967845658</v>
      </c>
      <c r="DP123" s="27">
        <f t="shared" si="651"/>
        <v>663.33333333333337</v>
      </c>
      <c r="DQ123" s="28">
        <f t="shared" si="651"/>
        <v>650.34679722562214</v>
      </c>
      <c r="DR123" s="27">
        <f t="shared" si="651"/>
        <v>656.91056910569102</v>
      </c>
      <c r="DS123" s="27">
        <f t="shared" si="651"/>
        <v>659.93788819875772</v>
      </c>
      <c r="DT123" s="27">
        <f t="shared" si="651"/>
        <v>656.01217656012182</v>
      </c>
      <c r="DU123" s="27">
        <f t="shared" si="651"/>
        <v>656.15615615615616</v>
      </c>
      <c r="DV123" s="28">
        <f t="shared" si="651"/>
        <v>657.24244771494966</v>
      </c>
      <c r="DW123" s="27">
        <f t="shared" si="651"/>
        <v>650.6955177743431</v>
      </c>
      <c r="DX123" s="27">
        <f t="shared" si="651"/>
        <v>649.78292329956582</v>
      </c>
      <c r="DY123" s="27">
        <f t="shared" si="651"/>
        <v>658.46599131693199</v>
      </c>
      <c r="DZ123" s="27">
        <f t="shared" si="651"/>
        <v>664.95066495066487</v>
      </c>
      <c r="EA123" s="28">
        <f t="shared" si="651"/>
        <v>656.08620752849754</v>
      </c>
      <c r="EB123" s="27">
        <f t="shared" si="651"/>
        <v>633.58778625954199</v>
      </c>
      <c r="EC123" s="27">
        <f t="shared" si="651"/>
        <v>622.40663900414938</v>
      </c>
      <c r="ED123" s="27">
        <f t="shared" ref="ED123:EI123" si="652">ED117*1000/ED6</f>
        <v>616.96306429548565</v>
      </c>
      <c r="EE123" s="27">
        <f t="shared" si="652"/>
        <v>611.79698216735255</v>
      </c>
      <c r="EF123" s="28">
        <f t="shared" si="652"/>
        <v>620.85976039464413</v>
      </c>
      <c r="EG123" s="27">
        <f t="shared" si="652"/>
        <v>597.3451327433628</v>
      </c>
      <c r="EH123" s="27">
        <f t="shared" si="652"/>
        <v>603.74639769452449</v>
      </c>
      <c r="EI123" s="27">
        <f t="shared" si="652"/>
        <v>624.08223201174746</v>
      </c>
      <c r="EJ123" s="27">
        <f t="shared" ref="EJ123:EN123" si="653">EJ117*1000/EJ6</f>
        <v>629.28759894459108</v>
      </c>
      <c r="EK123" s="28">
        <f t="shared" si="653"/>
        <v>614.01636428317329</v>
      </c>
      <c r="EL123" s="27">
        <f t="shared" si="653"/>
        <v>630.81395348837214</v>
      </c>
      <c r="EM123" s="27">
        <f t="shared" si="653"/>
        <v>623.95543175487467</v>
      </c>
      <c r="EN123" s="27">
        <f t="shared" si="653"/>
        <v>621.16991643454037</v>
      </c>
      <c r="EO123" s="27">
        <f t="shared" ref="EO123:EQ123" si="654">EO117*1000/EO6</f>
        <v>655.076495132128</v>
      </c>
      <c r="EP123" s="28">
        <f t="shared" si="654"/>
        <v>632.78227224762577</v>
      </c>
      <c r="EQ123" s="27">
        <f t="shared" si="654"/>
        <v>651.66908563134973</v>
      </c>
      <c r="ER123" s="2044">
        <f t="shared" ref="ER123" si="655">ER117*1000/ER6</f>
        <v>642.06957389982836</v>
      </c>
      <c r="ES123" s="2044">
        <f t="shared" ref="ES123:EU123" si="656">ES117*1000/ES6</f>
        <v>644.20876553830703</v>
      </c>
      <c r="ET123" s="2044">
        <f t="shared" si="656"/>
        <v>689.62416371312122</v>
      </c>
      <c r="EU123" s="2045">
        <f t="shared" si="656"/>
        <v>657.19555728198668</v>
      </c>
      <c r="EV123" s="2044"/>
      <c r="EW123" s="2044"/>
      <c r="EX123" s="2044"/>
      <c r="EY123" s="2044"/>
      <c r="EZ123" s="2045">
        <f>EZ117*1000/EZ6</f>
        <v>661.02997290236806</v>
      </c>
      <c r="FA123" s="27"/>
      <c r="FB123" s="27"/>
      <c r="FC123" s="27"/>
      <c r="FD123" s="27"/>
      <c r="FE123" s="28">
        <f>FE117*1000/FE6</f>
        <v>658.17495118998693</v>
      </c>
      <c r="FG123" s="484"/>
      <c r="FH123" s="777"/>
      <c r="FI123" s="777"/>
      <c r="FJ123" s="777"/>
      <c r="FK123" s="175"/>
      <c r="FL123" s="1347"/>
      <c r="FM123" s="27">
        <f t="shared" ref="FM123:FM140" si="657">+EQ123</f>
        <v>651.66908563134973</v>
      </c>
      <c r="FN123" s="1426">
        <f t="shared" ref="FN123:FN140" si="658">EL123</f>
        <v>630.81395348837214</v>
      </c>
      <c r="FO123" s="1814">
        <v>648.51466959651873</v>
      </c>
      <c r="FP123" s="1753">
        <f>+FM123/FN123-1</f>
        <v>3.3060670309605023E-2</v>
      </c>
      <c r="FQ123" s="1532">
        <f>+FM123/FO123-1</f>
        <v>4.8640627309071149E-3</v>
      </c>
      <c r="FR123" s="1615"/>
      <c r="FS123" s="1619"/>
      <c r="FT123" s="355"/>
      <c r="FU123" s="355"/>
      <c r="FV123" s="355"/>
      <c r="FW123" s="355"/>
      <c r="FX123" s="355"/>
      <c r="FY123" s="355"/>
      <c r="FZ123" s="484"/>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c r="IU123"/>
      <c r="IV123"/>
      <c r="IW123"/>
      <c r="IX123"/>
    </row>
    <row r="124" spans="1:258" s="227" customFormat="1" x14ac:dyDescent="0.2">
      <c r="A124" s="383" t="s">
        <v>466</v>
      </c>
      <c r="B124" s="10"/>
      <c r="C124" s="10"/>
      <c r="D124" s="10"/>
      <c r="E124" s="10"/>
      <c r="F124" s="9"/>
      <c r="G124" s="10"/>
      <c r="H124" s="10"/>
      <c r="I124" s="10"/>
      <c r="J124" s="10"/>
      <c r="K124" s="9"/>
      <c r="L124" s="10"/>
      <c r="M124" s="10"/>
      <c r="N124" s="10"/>
      <c r="O124" s="10"/>
      <c r="P124" s="9"/>
      <c r="Q124" s="10"/>
      <c r="R124" s="10"/>
      <c r="S124" s="10"/>
      <c r="T124" s="10"/>
      <c r="U124" s="9"/>
      <c r="V124" s="10"/>
      <c r="W124" s="10"/>
      <c r="X124" s="10"/>
      <c r="Y124" s="10"/>
      <c r="Z124" s="9"/>
      <c r="AA124" s="10">
        <f t="shared" ref="AA124:BA124" si="659">AA123/V123-1</f>
        <v>1.6592283328534574E-2</v>
      </c>
      <c r="AB124" s="10">
        <f t="shared" si="659"/>
        <v>1.2494200304898229E-2</v>
      </c>
      <c r="AC124" s="10">
        <f t="shared" si="659"/>
        <v>8.3434466019416398E-3</v>
      </c>
      <c r="AD124" s="10">
        <f t="shared" si="659"/>
        <v>1.0273597811217616E-2</v>
      </c>
      <c r="AE124" s="9">
        <f t="shared" si="659"/>
        <v>1.1561608344251573E-2</v>
      </c>
      <c r="AF124" s="10">
        <f t="shared" si="659"/>
        <v>2.4715635241950862E-2</v>
      </c>
      <c r="AG124" s="10">
        <f t="shared" si="659"/>
        <v>5.2829559352184585E-2</v>
      </c>
      <c r="AH124" s="10">
        <f t="shared" si="659"/>
        <v>-1.2628540501533614E-3</v>
      </c>
      <c r="AI124" s="10">
        <f t="shared" si="659"/>
        <v>2.4267782426778073E-2</v>
      </c>
      <c r="AJ124" s="9">
        <f t="shared" si="659"/>
        <v>2.4704737770939955E-2</v>
      </c>
      <c r="AK124" s="10">
        <f t="shared" si="659"/>
        <v>4.2171717171717304E-3</v>
      </c>
      <c r="AL124" s="10">
        <f t="shared" si="659"/>
        <v>-6.8050270955840042E-2</v>
      </c>
      <c r="AM124" s="10">
        <f t="shared" si="659"/>
        <v>-8.8279524413741206E-2</v>
      </c>
      <c r="AN124" s="10">
        <f t="shared" si="659"/>
        <v>-6.1264822134387331E-2</v>
      </c>
      <c r="AO124" s="9">
        <f t="shared" si="659"/>
        <v>-5.4543540988782557E-2</v>
      </c>
      <c r="AP124" s="10">
        <f t="shared" si="659"/>
        <v>-0.10401222199959925</v>
      </c>
      <c r="AQ124" s="10">
        <f t="shared" si="659"/>
        <v>-7.1047094999190818E-2</v>
      </c>
      <c r="AR124" s="10">
        <f t="shared" si="659"/>
        <v>2.6499436437324553E-2</v>
      </c>
      <c r="AS124" s="10">
        <f t="shared" si="659"/>
        <v>-3.6062378167641351E-2</v>
      </c>
      <c r="AT124" s="9">
        <f t="shared" si="659"/>
        <v>-4.6394527802294805E-2</v>
      </c>
      <c r="AU124" s="10">
        <f t="shared" si="659"/>
        <v>-1.5873015873015817E-2</v>
      </c>
      <c r="AV124" s="10">
        <f t="shared" si="659"/>
        <v>-2.5295350609756073E-2</v>
      </c>
      <c r="AW124" s="10">
        <f t="shared" si="659"/>
        <v>-7.4712643678160773E-2</v>
      </c>
      <c r="AX124" s="10">
        <f t="shared" si="659"/>
        <v>-4.7699881174673164E-2</v>
      </c>
      <c r="AY124" s="9">
        <f t="shared" si="659"/>
        <v>-4.1625205153719924E-2</v>
      </c>
      <c r="AZ124" s="10">
        <f t="shared" si="659"/>
        <v>-2.9532403609516034E-2</v>
      </c>
      <c r="BA124" s="10">
        <f t="shared" si="659"/>
        <v>-3.065778883441872E-2</v>
      </c>
      <c r="BB124" s="10">
        <f t="shared" ref="BB124:CG124" si="660">BB123/AW123-1</f>
        <v>-8.0745341614906874E-2</v>
      </c>
      <c r="BC124" s="10">
        <f t="shared" si="660"/>
        <v>-8.3871698968604802E-2</v>
      </c>
      <c r="BD124" s="9">
        <f t="shared" si="660"/>
        <v>-6.345547675334906E-2</v>
      </c>
      <c r="BE124" s="10">
        <f t="shared" si="660"/>
        <v>-0.10919849381387836</v>
      </c>
      <c r="BF124" s="10">
        <f t="shared" si="660"/>
        <v>-6.2801932367149815E-2</v>
      </c>
      <c r="BG124" s="10">
        <f t="shared" si="660"/>
        <v>-7.8740157480314821E-3</v>
      </c>
      <c r="BH124" s="10">
        <f t="shared" si="660"/>
        <v>6.5504893769396055E-2</v>
      </c>
      <c r="BI124" s="9">
        <f t="shared" si="660"/>
        <v>-2.3633699008266729E-2</v>
      </c>
      <c r="BJ124" s="10">
        <f>BJ123/BE123-1</f>
        <v>2.9106029106028997E-2</v>
      </c>
      <c r="BK124" s="10">
        <f>BK123/BF123-1</f>
        <v>-2.7505237611234357E-2</v>
      </c>
      <c r="BL124" s="10">
        <f>BL123/BG123-1</f>
        <v>-2.4231678486997699E-2</v>
      </c>
      <c r="BM124" s="10">
        <f>BM123/BH123-1</f>
        <v>-7.5478594599533988E-2</v>
      </c>
      <c r="BN124" s="9">
        <f>BN123/BI123-1</f>
        <v>-2.5141497826265402E-2</v>
      </c>
      <c r="BO124" s="10">
        <f t="shared" si="660"/>
        <v>-2.9629629629629672E-2</v>
      </c>
      <c r="BP124" s="10">
        <f t="shared" si="660"/>
        <v>1.0891449696619704E-2</v>
      </c>
      <c r="BQ124" s="10">
        <f t="shared" si="660"/>
        <v>-3.3976624082632245E-4</v>
      </c>
      <c r="BR124" s="10">
        <f t="shared" si="660"/>
        <v>3.1519921298573506E-2</v>
      </c>
      <c r="BS124" s="9">
        <f t="shared" si="660"/>
        <v>3.5614736148787962E-3</v>
      </c>
      <c r="BT124" s="10">
        <f t="shared" si="660"/>
        <v>5.4059153049081488E-2</v>
      </c>
      <c r="BU124" s="10">
        <f t="shared" si="660"/>
        <v>1.4661564219086376E-2</v>
      </c>
      <c r="BV124" s="10">
        <f t="shared" si="660"/>
        <v>9.9585344300183731E-3</v>
      </c>
      <c r="BW124" s="10">
        <f t="shared" si="660"/>
        <v>-3.3206697622062409E-3</v>
      </c>
      <c r="BX124" s="9">
        <f t="shared" si="660"/>
        <v>1.7867294976058323E-2</v>
      </c>
      <c r="BY124" s="10">
        <f t="shared" si="660"/>
        <v>-6.5139507111067196E-4</v>
      </c>
      <c r="BZ124" s="10">
        <f t="shared" si="660"/>
        <v>-1.3426532849068251E-2</v>
      </c>
      <c r="CA124" s="10">
        <f t="shared" si="660"/>
        <v>4.7380526450293781E-2</v>
      </c>
      <c r="CB124" s="10">
        <f t="shared" si="660"/>
        <v>8.1089796060105357E-2</v>
      </c>
      <c r="CC124" s="9">
        <f t="shared" si="660"/>
        <v>2.9777849748043206E-2</v>
      </c>
      <c r="CD124" s="10">
        <f t="shared" si="660"/>
        <v>8.5984848484848442E-2</v>
      </c>
      <c r="CE124" s="10">
        <f t="shared" si="660"/>
        <v>0.10140246493837646</v>
      </c>
      <c r="CF124" s="10">
        <f t="shared" si="660"/>
        <v>5.8997796366252908E-2</v>
      </c>
      <c r="CG124" s="10">
        <f t="shared" si="660"/>
        <v>6.9292396258095579E-2</v>
      </c>
      <c r="CH124" s="9">
        <f t="shared" ref="CH124:DG124" si="661">CH123/CC123-1</f>
        <v>7.7788263231403088E-2</v>
      </c>
      <c r="CI124" s="10">
        <f t="shared" si="661"/>
        <v>3.8806814165547543E-2</v>
      </c>
      <c r="CJ124" s="10">
        <f t="shared" si="661"/>
        <v>7.0899119162373347E-2</v>
      </c>
      <c r="CK124" s="10">
        <f t="shared" si="661"/>
        <v>4.1816613001662617E-2</v>
      </c>
      <c r="CL124" s="10">
        <f t="shared" si="661"/>
        <v>-2.5401916528074886E-2</v>
      </c>
      <c r="CM124" s="9">
        <f t="shared" si="661"/>
        <v>3.0049888840143479E-2</v>
      </c>
      <c r="CN124" s="10">
        <f t="shared" si="661"/>
        <v>-3.4810536098725975E-2</v>
      </c>
      <c r="CO124" s="10">
        <f t="shared" si="661"/>
        <v>-2.2216547497446393E-2</v>
      </c>
      <c r="CP124" s="10">
        <f t="shared" si="661"/>
        <v>-1.4783329877669615E-2</v>
      </c>
      <c r="CQ124" s="10">
        <f t="shared" si="661"/>
        <v>3.5647279549718691E-2</v>
      </c>
      <c r="CR124" s="9">
        <f t="shared" si="661"/>
        <v>-8.7253734988586018E-3</v>
      </c>
      <c r="CS124" s="10">
        <f t="shared" si="661"/>
        <v>9.6493834497102915E-2</v>
      </c>
      <c r="CT124" s="10">
        <f t="shared" si="661"/>
        <v>0.14150943396226423</v>
      </c>
      <c r="CU124" s="10">
        <f t="shared" si="661"/>
        <v>0.17952522255192882</v>
      </c>
      <c r="CV124" s="10">
        <f t="shared" si="661"/>
        <v>-3.4706284076533311E-3</v>
      </c>
      <c r="CW124" s="9">
        <f t="shared" si="661"/>
        <v>0.10306733334188767</v>
      </c>
      <c r="CX124" s="10">
        <f t="shared" si="661"/>
        <v>-0.10423197492163006</v>
      </c>
      <c r="CY124" s="10">
        <f t="shared" si="661"/>
        <v>-0.1234192503339111</v>
      </c>
      <c r="CZ124" s="10">
        <f t="shared" si="661"/>
        <v>-0.16008316008316004</v>
      </c>
      <c r="DA124" s="10">
        <f t="shared" si="661"/>
        <v>-3.0602916304794836E-2</v>
      </c>
      <c r="DB124" s="9">
        <f t="shared" si="661"/>
        <v>-0.10660710417554309</v>
      </c>
      <c r="DC124" s="10">
        <f t="shared" si="661"/>
        <v>5.2740740740740755E-2</v>
      </c>
      <c r="DD124" s="10">
        <f>DD123/CY123-1</f>
        <v>-0.11261002312242119</v>
      </c>
      <c r="DE124" s="10">
        <f>DE123/CZ123-1</f>
        <v>-0.12053679235519366</v>
      </c>
      <c r="DF124" s="10">
        <f>DF123/DA123-1</f>
        <v>-0.11716568787907966</v>
      </c>
      <c r="DG124" s="9">
        <f t="shared" si="661"/>
        <v>-7.9731977528795017E-2</v>
      </c>
      <c r="DH124" s="10">
        <f t="shared" ref="DH124:DO124" si="662">DH123/DC123-1</f>
        <v>-7.0647579484825251E-2</v>
      </c>
      <c r="DI124" s="10">
        <f t="shared" si="662"/>
        <v>0.14530301657758882</v>
      </c>
      <c r="DJ124" s="10">
        <f t="shared" si="662"/>
        <v>0.15634827044025146</v>
      </c>
      <c r="DK124" s="10">
        <f>DK123/DF123-1</f>
        <v>0.13064396743153228</v>
      </c>
      <c r="DL124" s="9">
        <f t="shared" si="662"/>
        <v>8.8906318788363192E-2</v>
      </c>
      <c r="DM124" s="10">
        <f t="shared" si="662"/>
        <v>7.9904618473895628E-2</v>
      </c>
      <c r="DN124" s="10">
        <f t="shared" si="662"/>
        <v>2.3001725129383477E-3</v>
      </c>
      <c r="DO124" s="10">
        <f t="shared" si="662"/>
        <v>1.3332287663712084E-3</v>
      </c>
      <c r="DP124" s="10">
        <f>DP123/DK123-1</f>
        <v>2.4186666666666801E-2</v>
      </c>
      <c r="DQ124" s="9">
        <f t="shared" ref="DQ124:DY124" si="663">DQ123/DL123-1</f>
        <v>2.5236789841218465E-2</v>
      </c>
      <c r="DR124" s="10">
        <f t="shared" si="663"/>
        <v>1.3229669571759972E-2</v>
      </c>
      <c r="DS124" s="10">
        <f t="shared" si="663"/>
        <v>1.7404244306418182E-2</v>
      </c>
      <c r="DT124" s="10">
        <f t="shared" si="663"/>
        <v>2.2655573484701153E-2</v>
      </c>
      <c r="DU124" s="10">
        <f>DU123/DP123-1</f>
        <v>-1.0819865091221903E-2</v>
      </c>
      <c r="DV124" s="9">
        <f t="shared" si="663"/>
        <v>1.0603035978256958E-2</v>
      </c>
      <c r="DW124" s="10">
        <f>DW123/DR123-1</f>
        <v>-9.4610311108390688E-3</v>
      </c>
      <c r="DX124" s="10">
        <f t="shared" si="663"/>
        <v>-1.5387758576657862E-2</v>
      </c>
      <c r="DY124" s="10">
        <f t="shared" si="663"/>
        <v>3.7405018450680227E-3</v>
      </c>
      <c r="DZ124" s="10">
        <f>DZ123/DU123-1</f>
        <v>1.3403072899640378E-2</v>
      </c>
      <c r="EA124" s="9">
        <f>EA123/DV123-1</f>
        <v>-1.7592293231699641E-3</v>
      </c>
      <c r="EB124" s="10">
        <f t="shared" ref="EB124:EI124" si="664">EB123/DW123-1</f>
        <v>-2.6291454370727663E-2</v>
      </c>
      <c r="EC124" s="10">
        <f t="shared" si="664"/>
        <v>-4.2131430842166528E-2</v>
      </c>
      <c r="ED124" s="10">
        <f t="shared" si="664"/>
        <v>-6.302971993806461E-2</v>
      </c>
      <c r="EE124" s="10">
        <f t="shared" si="664"/>
        <v>-7.993628036638778E-2</v>
      </c>
      <c r="EF124" s="9">
        <f t="shared" si="664"/>
        <v>-5.369179648899014E-2</v>
      </c>
      <c r="EG124" s="921">
        <f t="shared" si="664"/>
        <v>-5.7202260368909297E-2</v>
      </c>
      <c r="EH124" s="10">
        <f t="shared" si="664"/>
        <v>-2.9980787704130707E-2</v>
      </c>
      <c r="EI124" s="10">
        <f t="shared" si="664"/>
        <v>1.1539050112167049E-2</v>
      </c>
      <c r="EJ124" s="10">
        <f t="shared" ref="EJ124" si="665">EJ123/EE123-1</f>
        <v>2.8588922938580508E-2</v>
      </c>
      <c r="EK124" s="9">
        <f t="shared" ref="EK124:EQ124" si="666">EK123/EF123-1</f>
        <v>-1.1022450717567689E-2</v>
      </c>
      <c r="EL124" s="921">
        <f t="shared" si="666"/>
        <v>5.6029285099052695E-2</v>
      </c>
      <c r="EM124" s="10">
        <f t="shared" si="666"/>
        <v>3.3472719899482195E-2</v>
      </c>
      <c r="EN124" s="10">
        <f t="shared" si="666"/>
        <v>-4.6665574307718227E-3</v>
      </c>
      <c r="EO124" s="10">
        <f t="shared" si="666"/>
        <v>4.0981097086274509E-2</v>
      </c>
      <c r="EP124" s="9">
        <f t="shared" si="666"/>
        <v>3.0562553469337228E-2</v>
      </c>
      <c r="EQ124" s="921">
        <f t="shared" si="666"/>
        <v>3.3060670309605023E-2</v>
      </c>
      <c r="ER124" s="921">
        <f t="shared" ref="ER124" si="667">ER123/EM123-1</f>
        <v>2.9031147455528483E-2</v>
      </c>
      <c r="ES124" s="921">
        <f t="shared" ref="ES124:EU124" si="668">ES123/EN123-1</f>
        <v>3.7089447660323849E-2</v>
      </c>
      <c r="ET124" s="921">
        <f t="shared" si="668"/>
        <v>5.2738373056760324E-2</v>
      </c>
      <c r="EU124" s="1173">
        <f t="shared" si="668"/>
        <v>3.8580861229954522E-2</v>
      </c>
      <c r="EV124" s="1693"/>
      <c r="EW124" s="1693"/>
      <c r="EX124" s="1693"/>
      <c r="EY124" s="1693"/>
      <c r="EZ124" s="1173">
        <f>EZ123/EU123-1</f>
        <v>5.8345123881233807E-3</v>
      </c>
      <c r="FA124" s="1693"/>
      <c r="FB124" s="1693"/>
      <c r="FC124" s="1693"/>
      <c r="FD124" s="1693"/>
      <c r="FE124" s="1173">
        <f>FE123/EZ123-1</f>
        <v>-4.3190503145351666E-3</v>
      </c>
      <c r="FG124" s="484"/>
      <c r="FH124" s="780"/>
      <c r="FI124" s="780"/>
      <c r="FJ124" s="780"/>
      <c r="FK124" s="186"/>
      <c r="FL124" s="1348"/>
      <c r="FM124" s="921">
        <f t="shared" si="657"/>
        <v>3.3060670309605023E-2</v>
      </c>
      <c r="FN124" s="1508">
        <f t="shared" si="658"/>
        <v>5.6029285099052695E-2</v>
      </c>
      <c r="FO124" s="1834">
        <v>2.8060121388029602E-2</v>
      </c>
      <c r="FP124" s="1751"/>
      <c r="FQ124" s="1503">
        <f>+(FM124-FO124)*10000</f>
        <v>50.00548921575421</v>
      </c>
      <c r="FR124" s="1619"/>
      <c r="FS124" s="1619"/>
      <c r="FT124" s="432"/>
      <c r="FU124" s="432"/>
      <c r="FV124" s="432"/>
      <c r="FW124" s="432"/>
      <c r="FX124" s="432"/>
      <c r="FY124" s="432"/>
      <c r="FZ124" s="48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c r="IU124"/>
      <c r="IV124"/>
      <c r="IW124"/>
      <c r="IX124"/>
    </row>
    <row r="125" spans="1:258" s="55" customFormat="1" x14ac:dyDescent="0.2">
      <c r="A125" s="383" t="s">
        <v>336</v>
      </c>
      <c r="F125" s="54"/>
      <c r="K125" s="54"/>
      <c r="P125" s="54"/>
      <c r="R125" s="55">
        <f>R123/Q123-1</f>
        <v>-4.1147810680839392E-3</v>
      </c>
      <c r="S125" s="55">
        <f>S123/R123-1</f>
        <v>1.232665451349324E-2</v>
      </c>
      <c r="T125" s="55">
        <f>T123/S123-1</f>
        <v>-5.1261383066829258E-2</v>
      </c>
      <c r="U125" s="54"/>
      <c r="V125" s="55">
        <f>V123/T123-1</f>
        <v>3.813996646215001E-2</v>
      </c>
      <c r="W125" s="55">
        <f>W123/V123-1</f>
        <v>3.0942557918123281E-3</v>
      </c>
      <c r="X125" s="55">
        <f>X123/W123-1</f>
        <v>3.8872119561216278E-2</v>
      </c>
      <c r="Y125" s="55">
        <f>Y123/X123-1</f>
        <v>-2.3863386432902867E-2</v>
      </c>
      <c r="Z125" s="54"/>
      <c r="AA125" s="55">
        <f>AA123/Y123-1</f>
        <v>-6.1604805174797495E-4</v>
      </c>
      <c r="AB125" s="55">
        <f>AB123/AA123-1</f>
        <v>-9.4941403352610809E-4</v>
      </c>
      <c r="AC125" s="55">
        <f>AC123/AB123-1</f>
        <v>3.4613228699551524E-2</v>
      </c>
      <c r="AD125" s="55">
        <f>AD123/AC123-1</f>
        <v>-2.1994884910485846E-2</v>
      </c>
      <c r="AE125" s="54"/>
      <c r="AF125" s="55">
        <f>AF123/AD123-1</f>
        <v>1.3670319990513713E-2</v>
      </c>
      <c r="AG125" s="55">
        <f>AG123/AF123-1</f>
        <v>2.6460368144252566E-2</v>
      </c>
      <c r="AH125" s="55">
        <f>AH123/AG123-1</f>
        <v>-1.8543263708183932E-2</v>
      </c>
      <c r="AI125" s="55">
        <f>AI123/AH123-1</f>
        <v>3.0057803468208633E-3</v>
      </c>
      <c r="AJ125" s="54"/>
      <c r="AK125" s="55">
        <f>AK123/AI123-1</f>
        <v>-6.1728395061728669E-3</v>
      </c>
      <c r="AL125" s="55">
        <f>AL123/AK123-1</f>
        <v>-4.7407782988971969E-2</v>
      </c>
      <c r="AM125" s="55">
        <f>AM123/AL123-1</f>
        <v>-3.9847134998296063E-2</v>
      </c>
      <c r="AN125" s="55">
        <f>AN123/AM123-1</f>
        <v>3.2725308717747259E-2</v>
      </c>
      <c r="AO125" s="54"/>
      <c r="AP125" s="55">
        <f>AP123/AN123-1</f>
        <v>-5.1428975664968957E-2</v>
      </c>
      <c r="AQ125" s="55">
        <f>AQ123/AP123-1</f>
        <v>-1.2360068963842563E-2</v>
      </c>
      <c r="AR125" s="55">
        <f>AR123/AQ123-1</f>
        <v>6.0975609756097615E-2</v>
      </c>
      <c r="AS125" s="55">
        <f>AS123/AR123-1</f>
        <v>-3.0215952629745746E-2</v>
      </c>
      <c r="AT125" s="54"/>
      <c r="AU125" s="55">
        <f>AU123/AS123-1</f>
        <v>-3.1561461794019863E-2</v>
      </c>
      <c r="AV125" s="55">
        <f>AV123/AU123-1</f>
        <v>-2.1816037735849059E-2</v>
      </c>
      <c r="AW125" s="55">
        <f>AW123/AV123-1</f>
        <v>7.1843995894629309E-3</v>
      </c>
      <c r="AX125" s="55">
        <f>AX123/AW123-1</f>
        <v>-1.9041574103459968E-3</v>
      </c>
      <c r="AY125" s="54"/>
      <c r="AZ125" s="55">
        <f>AZ123/AX123-1</f>
        <v>-1.3086104006820198E-2</v>
      </c>
      <c r="BA125" s="55">
        <f>BA123/AZ123-1</f>
        <v>-2.295037110510656E-2</v>
      </c>
      <c r="BB125" s="55">
        <f>BB123/BA123-1</f>
        <v>-4.4858523119392646E-2</v>
      </c>
      <c r="BC125" s="55">
        <f>BC123/BB123-1</f>
        <v>-5.2986512524084706E-3</v>
      </c>
      <c r="BD125" s="54"/>
      <c r="BE125" s="55">
        <f>BE123/BC123-1</f>
        <v>-4.0369799691833519E-2</v>
      </c>
      <c r="BF125" s="55">
        <f>BF123/BE123-1</f>
        <v>2.7938342967244623E-2</v>
      </c>
      <c r="BG125" s="55">
        <f>BG123/BF123-1</f>
        <v>1.1121032551343557E-2</v>
      </c>
      <c r="BH125" s="55">
        <f>BH123/BG123-1</f>
        <v>6.8270735524256665E-2</v>
      </c>
      <c r="BI125" s="54"/>
      <c r="BJ125" s="55">
        <f>BJ123/BH123-1</f>
        <v>-7.3151863849538312E-2</v>
      </c>
      <c r="BK125" s="55">
        <f>BK123/BJ123-1</f>
        <v>-2.8608689172069379E-2</v>
      </c>
      <c r="BL125" s="55">
        <f>BL123/BK123-1</f>
        <v>1.4524613331239555E-2</v>
      </c>
      <c r="BM125" s="55">
        <f>BM123/BL123-1</f>
        <v>1.2165633973099554E-2</v>
      </c>
      <c r="BN125" s="54"/>
      <c r="BO125" s="55">
        <f>BO123/BM123-1</f>
        <v>-2.7187511398037767E-2</v>
      </c>
      <c r="BP125" s="55">
        <f>BP123/BO123-1</f>
        <v>1.1955022957624406E-2</v>
      </c>
      <c r="BQ125" s="55">
        <f>BQ123/BP123-1</f>
        <v>3.2530321841275356E-3</v>
      </c>
      <c r="BR125" s="55">
        <f>BR123/BQ123-1</f>
        <v>4.442387507091472E-2</v>
      </c>
      <c r="BS125" s="54"/>
      <c r="BT125" s="55">
        <f>BT123/BR123-1</f>
        <v>-5.931066730653245E-3</v>
      </c>
      <c r="BU125" s="55">
        <f>BU123/BT123-1</f>
        <v>-2.5868839008380773E-2</v>
      </c>
      <c r="BV125" s="55">
        <f>BV123/BU123-1</f>
        <v>-1.3971182332345178E-3</v>
      </c>
      <c r="BW125" s="55">
        <f>BW123/BV123-1</f>
        <v>3.0691511387163528E-2</v>
      </c>
      <c r="BX125" s="54"/>
      <c r="BY125" s="55">
        <f>BY123/BW123-1</f>
        <v>-3.2687831211927199E-3</v>
      </c>
      <c r="BZ125" s="55">
        <f>BZ123/BY123-1</f>
        <v>-3.8321610477807355E-2</v>
      </c>
      <c r="CA125" s="55">
        <f>CA123/BZ123-1</f>
        <v>6.0151369203247596E-2</v>
      </c>
      <c r="CB125" s="55">
        <f>CB123/CA123-1</f>
        <v>6.3863655764952787E-2</v>
      </c>
      <c r="CC125" s="54"/>
      <c r="CD125" s="55">
        <f>CD123/CB123-1</f>
        <v>1.2443031902136248E-3</v>
      </c>
      <c r="CE125" s="55">
        <f>CE123/CD123-1</f>
        <v>-2.466876018069164E-2</v>
      </c>
      <c r="CF125" s="55">
        <f>CF123/CE123-1</f>
        <v>1.9334893048128521E-2</v>
      </c>
      <c r="CG125" s="55">
        <f>CG123/CF123-1</f>
        <v>7.4205557054221716E-2</v>
      </c>
      <c r="CH125" s="54"/>
      <c r="CI125" s="55">
        <f>CI123/CG123-1</f>
        <v>-2.730122421315706E-2</v>
      </c>
      <c r="CJ125" s="55">
        <f>CJ123/CI123-1</f>
        <v>5.4625666400289763E-3</v>
      </c>
      <c r="CK125" s="55">
        <f>CK123/CJ123-1</f>
        <v>-8.3472786676229704E-3</v>
      </c>
      <c r="CL125" s="55">
        <f>CL123/CK123-1</f>
        <v>4.8972766364070441E-3</v>
      </c>
      <c r="CM125" s="54"/>
      <c r="CN125" s="55">
        <f>CN123/CL123-1</f>
        <v>-3.6691508160375697E-2</v>
      </c>
      <c r="CO125" s="55">
        <f>CO123/CN123-1</f>
        <v>1.8582046883933723E-2</v>
      </c>
      <c r="CP125" s="55">
        <f>CP123/CO123-1</f>
        <v>-8.0862533692727112E-4</v>
      </c>
      <c r="CQ125" s="55">
        <f>CQ123/CP123-1</f>
        <v>5.6335283736311581E-2</v>
      </c>
      <c r="CR125" s="54"/>
      <c r="CS125" s="55">
        <f>CS123/CQ123-1</f>
        <v>1.9904983944046162E-2</v>
      </c>
      <c r="CT125" s="55">
        <f>CT123/CS123-1</f>
        <v>6.0399045760138881E-2</v>
      </c>
      <c r="CU125" s="55">
        <f>CU123/CT123-1</f>
        <v>3.2467532467532534E-2</v>
      </c>
      <c r="CV125" s="55">
        <f>CV123/CU123-1</f>
        <v>-0.10754843019372085</v>
      </c>
      <c r="CW125" s="54"/>
      <c r="CX125" s="55">
        <f>CX123/CV123-1</f>
        <v>-8.3219923788786065E-2</v>
      </c>
      <c r="CY125" s="55">
        <f>CY123/CX123-1</f>
        <v>3.7685387794797132E-2</v>
      </c>
      <c r="CZ125" s="55">
        <f>CZ123/CY123-1</f>
        <v>-1.071650556186643E-2</v>
      </c>
      <c r="DA125" s="55">
        <f>DA123/CZ123-1</f>
        <v>3.0030483964426979E-2</v>
      </c>
      <c r="DB125" s="54"/>
      <c r="DC125" s="55">
        <f>DC123/DA123-1</f>
        <v>-4.4000000000000705E-3</v>
      </c>
      <c r="DD125" s="55">
        <f>DD123/DC123-1</f>
        <v>-0.12530067789197474</v>
      </c>
      <c r="DE125" s="55">
        <f>DE123/DD123-1</f>
        <v>-1.9553456812763437E-2</v>
      </c>
      <c r="DF125" s="55">
        <f>DF123/DE123-1</f>
        <v>3.3978733697721974E-2</v>
      </c>
      <c r="DG125" s="54"/>
      <c r="DH125" s="55">
        <f>DH123/DF123-1</f>
        <v>4.8059932833893093E-2</v>
      </c>
      <c r="DI125" s="55">
        <f>DI123/DH123-1</f>
        <v>7.7950355639425206E-2</v>
      </c>
      <c r="DJ125" s="55">
        <f>DJ123/DI123-1</f>
        <v>-1.0098071808510745E-2</v>
      </c>
      <c r="DK125" s="55">
        <f>DK123/DJ123-1</f>
        <v>1.0994565904208331E-2</v>
      </c>
      <c r="DL125" s="54"/>
      <c r="DM125" s="55">
        <f>DM123/DK123-1</f>
        <v>1.0266666666667312E-3</v>
      </c>
      <c r="DN125" s="55">
        <f>DN123/DM123-1</f>
        <v>4.8634753004916931E-4</v>
      </c>
      <c r="DO125" s="55">
        <f>DO123/DN123-1</f>
        <v>-1.1053054662379491E-2</v>
      </c>
      <c r="DP125" s="55">
        <f>DP123/DO123-1</f>
        <v>3.4068504594820359E-2</v>
      </c>
      <c r="DQ125" s="54"/>
      <c r="DR125" s="55">
        <f>DR123/DP123-1</f>
        <v>-9.6825591371492159E-3</v>
      </c>
      <c r="DS125" s="55">
        <f>DS123/DR123-1</f>
        <v>4.6084189164257161E-3</v>
      </c>
      <c r="DT125" s="55">
        <f>DT123/DS123-1</f>
        <v>-5.9486077536036186E-3</v>
      </c>
      <c r="DU125" s="55">
        <f>DU123/DT123-1</f>
        <v>2.1947701762070615E-4</v>
      </c>
      <c r="DV125" s="54"/>
      <c r="DW125" s="55">
        <f>DW123/DU123-1</f>
        <v>-8.3221628427631034E-3</v>
      </c>
      <c r="DX125" s="55">
        <f>DX123/DW123-1</f>
        <v>-1.4024907961541766E-3</v>
      </c>
      <c r="DY125" s="55">
        <f>DY123/DX123-1</f>
        <v>1.3363028953229383E-2</v>
      </c>
      <c r="DZ125" s="55">
        <f>DZ123/DY123-1</f>
        <v>9.8481527052953766E-3</v>
      </c>
      <c r="EA125" s="54"/>
      <c r="EB125" s="55">
        <f>EB123/DZ123-1</f>
        <v>-4.7165722728391923E-2</v>
      </c>
      <c r="EC125" s="55">
        <f>EC123/EB123-1</f>
        <v>-1.7647352897065427E-2</v>
      </c>
      <c r="ED125" s="55">
        <f>ED123/EC123-1</f>
        <v>-8.7460100319197709E-3</v>
      </c>
      <c r="EE125" s="55">
        <f>EE123/ED123-1</f>
        <v>-8.3734058440472214E-3</v>
      </c>
      <c r="EF125" s="54"/>
      <c r="EG125" s="55">
        <f>EG123/EE123-1</f>
        <v>-2.362196912575909E-2</v>
      </c>
      <c r="EH125" s="55">
        <f>EH123/EG123-1</f>
        <v>1.0716191696018784E-2</v>
      </c>
      <c r="EI125" s="55">
        <f>EI123/EH123-1</f>
        <v>3.3682742281987421E-2</v>
      </c>
      <c r="EJ125" s="55">
        <f>EJ123/EI123-1</f>
        <v>8.3408350147446964E-3</v>
      </c>
      <c r="EK125" s="54"/>
      <c r="EL125" s="55">
        <f>EL123/EJ123-1</f>
        <v>2.4255277655891305E-3</v>
      </c>
      <c r="EM125" s="55">
        <f>EM123/EL123-1</f>
        <v>-1.087249528259504E-2</v>
      </c>
      <c r="EN125" s="55">
        <f>EN123/EM123-1</f>
        <v>-4.4642857142858094E-3</v>
      </c>
      <c r="EO125" s="55">
        <f>EO123/EN123-1</f>
        <v>5.4585030279972857E-2</v>
      </c>
      <c r="EP125" s="54"/>
      <c r="EQ125" s="55">
        <f>EQ123/EO123-1</f>
        <v>-5.2015444396169563E-3</v>
      </c>
      <c r="ER125" s="55">
        <f t="shared" ref="ER125" si="669">ER123/EQ123-1</f>
        <v>-1.4730653859728826E-2</v>
      </c>
      <c r="ES125" s="55">
        <f t="shared" ref="ES125:ET125" si="670">ES123/ER123-1</f>
        <v>3.3317131436170211E-3</v>
      </c>
      <c r="ET125" s="55">
        <f t="shared" si="670"/>
        <v>7.0497951292023631E-2</v>
      </c>
      <c r="EU125" s="54"/>
      <c r="EZ125" s="54"/>
      <c r="FE125" s="54"/>
      <c r="FG125" s="484"/>
      <c r="FH125" s="766">
        <f>AVERAGE(CI125,CN125,CS125,CX125,DC125,DH125,DM125,DR125,DW125,EB125,EG125,EL125,EQ125)</f>
        <v>-1.3399192555831082E-2</v>
      </c>
      <c r="FI125" s="766">
        <f>AVERAGE(CJ125,CO125,CT125,CY125,DD125,DI125,DN125,DS125,DX125,EC125,EH125)</f>
        <v>6.5036217523293856E-3</v>
      </c>
      <c r="FJ125" s="766">
        <f>AVERAGE(CK125,CP125,CU125,CZ125,DE125,DJ125,DO125,DT125,DY125,ED125,EI125)</f>
        <v>3.8560846065050956E-4</v>
      </c>
      <c r="FK125" s="1408">
        <f>AVERAGE(CL125,CQ125,CV125,DA125,DF125,DK125,DP125,DU125,DZ125,EE125,EJ125,EO125)</f>
        <v>1.0614708959480154E-2</v>
      </c>
      <c r="FL125" s="1338"/>
      <c r="FM125" s="55">
        <f t="shared" si="657"/>
        <v>-5.2015444396169563E-3</v>
      </c>
      <c r="FN125" s="1416">
        <f t="shared" si="658"/>
        <v>2.4255277655891305E-3</v>
      </c>
      <c r="FO125" s="1799">
        <v>-1.0016884416354732E-2</v>
      </c>
      <c r="FP125" s="1741"/>
      <c r="FQ125" s="1503">
        <f>+(FM125-FO125)*10000</f>
        <v>48.153399767377756</v>
      </c>
      <c r="FR125" s="1619"/>
      <c r="FS125" s="1619"/>
      <c r="FT125" s="432"/>
      <c r="FU125" s="432"/>
      <c r="FV125" s="432"/>
      <c r="FW125" s="432"/>
      <c r="FX125" s="432"/>
      <c r="FY125" s="432"/>
      <c r="FZ125" s="484"/>
      <c r="GA125"/>
      <c r="GB125"/>
      <c r="GC125"/>
      <c r="GD125"/>
      <c r="GE125"/>
      <c r="GF125"/>
      <c r="GG125"/>
      <c r="GH125"/>
      <c r="GI125"/>
      <c r="GJ125"/>
      <c r="GK125"/>
      <c r="GL125"/>
      <c r="GM125"/>
      <c r="GN125"/>
      <c r="GO125"/>
      <c r="GP125"/>
      <c r="GQ125"/>
      <c r="GR125"/>
      <c r="GS125"/>
      <c r="GT125"/>
      <c r="GU125"/>
      <c r="GV125"/>
      <c r="GW125"/>
      <c r="GX125"/>
      <c r="GY125"/>
      <c r="GZ125"/>
      <c r="HA125"/>
      <c r="HB125"/>
      <c r="HC125"/>
      <c r="HD125"/>
      <c r="HE125"/>
      <c r="HF125"/>
      <c r="HG125"/>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c r="IS125"/>
      <c r="IT125"/>
      <c r="IU125"/>
      <c r="IV125"/>
      <c r="IW125"/>
      <c r="IX125"/>
    </row>
    <row r="126" spans="1:258" s="113" customFormat="1" x14ac:dyDescent="0.2">
      <c r="A126" s="109" t="s">
        <v>599</v>
      </c>
      <c r="B126" s="110"/>
      <c r="C126" s="110"/>
      <c r="D126" s="110"/>
      <c r="E126" s="110"/>
      <c r="F126" s="404"/>
      <c r="G126" s="110"/>
      <c r="H126" s="110"/>
      <c r="I126" s="110"/>
      <c r="J126" s="110"/>
      <c r="K126" s="404"/>
      <c r="L126" s="110"/>
      <c r="M126" s="110"/>
      <c r="N126" s="110"/>
      <c r="O126" s="110"/>
      <c r="P126" s="404"/>
      <c r="Q126" s="110">
        <f>Q117+Q101+Q74+Q60</f>
        <v>1269</v>
      </c>
      <c r="R126" s="110">
        <f>R117+R101+R74+R60</f>
        <v>1279.300395256917</v>
      </c>
      <c r="S126" s="110">
        <f>S117+S101+S74+S60</f>
        <v>1246.9000000000001</v>
      </c>
      <c r="T126" s="110">
        <f>T117+T101+T74+T60</f>
        <v>1288.0999999999999</v>
      </c>
      <c r="U126" s="404">
        <f>SUM(Q126:T126)</f>
        <v>5083.300395256917</v>
      </c>
      <c r="V126" s="110">
        <f>V117+V101+V74+V60</f>
        <v>1244</v>
      </c>
      <c r="W126" s="110">
        <f>W117+W101+W74+W60</f>
        <v>1281</v>
      </c>
      <c r="X126" s="110">
        <f>X117+X101+X74+X60</f>
        <v>1239</v>
      </c>
      <c r="Y126" s="110">
        <f>Y117+Y101+Y74+Y60</f>
        <v>1301</v>
      </c>
      <c r="Z126" s="404">
        <f>SUM(V126:Y126)</f>
        <v>5065</v>
      </c>
      <c r="AA126" s="110">
        <f>AA117+AA101+AA74+AA60</f>
        <v>1307</v>
      </c>
      <c r="AB126" s="110">
        <f>AB117+AB101+AB74+AB60</f>
        <v>1372</v>
      </c>
      <c r="AC126" s="110">
        <f>AC117+AC101+AC74+AC60</f>
        <v>1347</v>
      </c>
      <c r="AD126" s="110">
        <f>AD117+AD101+AD74+AD60</f>
        <v>1389</v>
      </c>
      <c r="AE126" s="404">
        <f>SUM(AA126:AD126)</f>
        <v>5415</v>
      </c>
      <c r="AF126" s="110">
        <f>AF117+AF101+AF74+AF60</f>
        <v>1341</v>
      </c>
      <c r="AG126" s="110">
        <f>AG117+AG101+AG74+AG60</f>
        <v>1353</v>
      </c>
      <c r="AH126" s="110">
        <f>AH117+AH101+AH74+AH60</f>
        <v>1328</v>
      </c>
      <c r="AI126" s="110">
        <f>AI117+AI101+AI74+AI60</f>
        <v>1365</v>
      </c>
      <c r="AJ126" s="404">
        <f>SUM(AF126:AI126)</f>
        <v>5387</v>
      </c>
      <c r="AK126" s="110">
        <f>AK117+AK101+AK74+AK60</f>
        <v>1320</v>
      </c>
      <c r="AL126" s="110">
        <f>AL117+AL101+AL74+AL60</f>
        <v>1384</v>
      </c>
      <c r="AM126" s="110">
        <f>AM117+AM101+AM74+AM60</f>
        <v>1337</v>
      </c>
      <c r="AN126" s="110">
        <f>AN117+AN101+AN74+AN60</f>
        <v>1384</v>
      </c>
      <c r="AO126" s="404">
        <f>SUM(AK126:AN126)</f>
        <v>5425</v>
      </c>
      <c r="AP126" s="110">
        <f>AP117+AP101+AP74+AP60</f>
        <v>1374</v>
      </c>
      <c r="AQ126" s="110">
        <f>AQ117+AQ101+AQ74+AQ60</f>
        <v>1386.2</v>
      </c>
      <c r="AR126" s="110">
        <f>AR117+AR101+AR74+AR60</f>
        <v>1358</v>
      </c>
      <c r="AS126" s="110">
        <f>AS117+AS101+AS74+AS60</f>
        <v>1409</v>
      </c>
      <c r="AT126" s="404">
        <f>SUM(AP126:AS126)</f>
        <v>5527.2</v>
      </c>
      <c r="AU126" s="110">
        <f>AU117+AU101+AU74+AU60</f>
        <v>1380</v>
      </c>
      <c r="AV126" s="110">
        <f>AV117+AV101+AV74+AV60</f>
        <v>1398</v>
      </c>
      <c r="AW126" s="110">
        <f>AW117+AW101+AW74+AW60</f>
        <v>1356</v>
      </c>
      <c r="AX126" s="110">
        <f>AX117+AX101+AX74+AX60</f>
        <v>1403</v>
      </c>
      <c r="AY126" s="404">
        <f>SUM(AU126:AX126)</f>
        <v>5537</v>
      </c>
      <c r="AZ126" s="110">
        <f>AZ117+AZ101+AZ74+AZ60</f>
        <v>1451</v>
      </c>
      <c r="BA126" s="110">
        <f>BA117+BA101+BA74+BA60</f>
        <v>1530</v>
      </c>
      <c r="BB126" s="110">
        <f>BB117+BB101+BB74+BB60</f>
        <v>1755</v>
      </c>
      <c r="BC126" s="110">
        <f>BC117+BC101+BC74+BC60</f>
        <v>1785</v>
      </c>
      <c r="BD126" s="404">
        <f>SUM(AZ126:BC126)</f>
        <v>6521</v>
      </c>
      <c r="BE126" s="110">
        <f>BE117+BE101+BE74+BE60</f>
        <v>1794</v>
      </c>
      <c r="BF126" s="110">
        <f>BF117+BF101+BF74+BF60</f>
        <v>1824</v>
      </c>
      <c r="BG126" s="110">
        <f>BG117+BG101+BG74+BG60</f>
        <v>1770</v>
      </c>
      <c r="BH126" s="110">
        <f>BH117+BH101+BH74+BH60</f>
        <v>1785</v>
      </c>
      <c r="BI126" s="404">
        <f>SUM(BE126:BH126)</f>
        <v>7173</v>
      </c>
      <c r="BJ126" s="110">
        <f>BJ117+BJ101+BJ74+BJ60</f>
        <v>1784</v>
      </c>
      <c r="BK126" s="110">
        <f>BK117+BK101+BK74+BK60</f>
        <v>1801</v>
      </c>
      <c r="BL126" s="110">
        <f>BL117+BL101+BL74+BL60</f>
        <v>1757</v>
      </c>
      <c r="BM126" s="110">
        <f>BM117+BM101+BM74+BM60</f>
        <v>1763</v>
      </c>
      <c r="BN126" s="404">
        <f>SUM(BJ126:BM126)</f>
        <v>7105</v>
      </c>
      <c r="BO126" s="110">
        <f>BO117+BO101+BO74+BO60</f>
        <v>1727</v>
      </c>
      <c r="BP126" s="110">
        <f>BP117+BP101+BP74+BP60</f>
        <v>1818</v>
      </c>
      <c r="BQ126" s="110">
        <f>BQ117+BQ101+BQ74+BQ60</f>
        <v>1780</v>
      </c>
      <c r="BR126" s="110">
        <f>BR117+BR101+BR74+BR60</f>
        <v>1804</v>
      </c>
      <c r="BS126" s="404">
        <f>SUM(BO126:BR126)</f>
        <v>7129</v>
      </c>
      <c r="BT126" s="110">
        <f>BT117+BT101+BT74+BT60</f>
        <v>1815</v>
      </c>
      <c r="BU126" s="110">
        <f>BU117+BU101+BU74+BU60</f>
        <v>1882</v>
      </c>
      <c r="BV126" s="110">
        <f>BV117+BV101+BV74+BV60</f>
        <v>1823</v>
      </c>
      <c r="BW126" s="110">
        <f>BW117+BW101+BW74+BW60</f>
        <v>1890</v>
      </c>
      <c r="BX126" s="404">
        <f>SUM(BT126:BW126)</f>
        <v>7410</v>
      </c>
      <c r="BY126" s="110">
        <f>BY117+BY101+BY74+BY60</f>
        <v>1896</v>
      </c>
      <c r="BZ126" s="110">
        <f>BZ117+BZ101+BZ74+BZ60</f>
        <v>1978</v>
      </c>
      <c r="CA126" s="110">
        <f>CA117+CA101+CA74+CA60</f>
        <v>1921</v>
      </c>
      <c r="CB126" s="110">
        <f>CB117+CB101+CB74+CB60</f>
        <v>2160</v>
      </c>
      <c r="CC126" s="404">
        <f>SUM(BY126:CB126)</f>
        <v>7955</v>
      </c>
      <c r="CD126" s="110">
        <f>CD117+CD101+CD74+CD60</f>
        <v>2081</v>
      </c>
      <c r="CE126" s="110">
        <f>CE117+CE101+CE74+CE60</f>
        <v>2126</v>
      </c>
      <c r="CF126" s="110">
        <f>CF117+CF101+CF74+CF60</f>
        <v>2098</v>
      </c>
      <c r="CG126" s="110">
        <f>CG117+CG101+CG74+CG60</f>
        <v>2192</v>
      </c>
      <c r="CH126" s="404">
        <f>SUM(CD126:CG126)</f>
        <v>8497</v>
      </c>
      <c r="CI126" s="110">
        <f>CI117+CI101+CI74+CI60</f>
        <v>2293</v>
      </c>
      <c r="CJ126" s="110">
        <f>CJ117+CJ101+CJ74+CJ60</f>
        <v>2379</v>
      </c>
      <c r="CK126" s="110">
        <f>CK117+CK101+CK74+CK60</f>
        <v>2369</v>
      </c>
      <c r="CL126" s="110">
        <f>CL117+CL101+CL74+CL60</f>
        <v>2344</v>
      </c>
      <c r="CM126" s="404">
        <f>SUM(CI126:CL126)</f>
        <v>9385</v>
      </c>
      <c r="CN126" s="110">
        <f>CN117+CN101+CN74+CN60</f>
        <v>2363</v>
      </c>
      <c r="CO126" s="110">
        <f>CO117+CO101+CO74+CO60</f>
        <v>2472</v>
      </c>
      <c r="CP126" s="110">
        <f>CP117+CP101+CP74+CP60</f>
        <v>2442</v>
      </c>
      <c r="CQ126" s="110">
        <f>CQ117+CQ101+CQ74+CQ60</f>
        <v>2511</v>
      </c>
      <c r="CR126" s="404">
        <f>SUM(CN126:CQ126)</f>
        <v>9788</v>
      </c>
      <c r="CS126" s="110">
        <f>CS117+CS101+CS74+CS60</f>
        <v>2654</v>
      </c>
      <c r="CT126" s="110">
        <f>CT117+CT101+CT74+CT60</f>
        <v>2846</v>
      </c>
      <c r="CU126" s="110">
        <f>CU117+CU101+CU74+CU60</f>
        <v>2901</v>
      </c>
      <c r="CV126" s="110">
        <f>CV117+CV101+CV74+CV60</f>
        <v>2599</v>
      </c>
      <c r="CW126" s="404">
        <f>SUM(CS126:CV126)</f>
        <v>11000</v>
      </c>
      <c r="CX126" s="110">
        <f>CX117+CX101+CX74+CX60</f>
        <v>2184</v>
      </c>
      <c r="CY126" s="110">
        <f>CY117+CY101+CY74+CY60</f>
        <v>2127</v>
      </c>
      <c r="CZ126" s="110">
        <f>CZ117+CZ101+CZ74+CZ60</f>
        <v>2226</v>
      </c>
      <c r="DA126" s="110">
        <f>DA117+DA101+DA74+DA60</f>
        <v>2269</v>
      </c>
      <c r="DB126" s="404">
        <f>SUM(CX126:DA126)</f>
        <v>8806</v>
      </c>
      <c r="DC126" s="110">
        <f>DC117+DC101+DC74+DC60</f>
        <v>2427</v>
      </c>
      <c r="DD126" s="110">
        <f>DD117+DD101+DD74+DD60</f>
        <v>2595</v>
      </c>
      <c r="DE126" s="110">
        <f>DE117+DE101+DE74+DE60</f>
        <v>2581</v>
      </c>
      <c r="DF126" s="110">
        <f>DF117+DF101+DF74+DF60</f>
        <v>2745</v>
      </c>
      <c r="DG126" s="404">
        <f>SUM(DC126:DF126)</f>
        <v>10348</v>
      </c>
      <c r="DH126" s="110">
        <f>DH117+DH101+DH74+DH60</f>
        <v>2737</v>
      </c>
      <c r="DI126" s="110">
        <f>DI117+DI101+DI74+DI60</f>
        <v>2946</v>
      </c>
      <c r="DJ126" s="110">
        <f>DJ117+DJ101+DJ74+DJ60</f>
        <v>2891</v>
      </c>
      <c r="DK126" s="110">
        <f>DK117+DK101+DK74+DK60</f>
        <v>2889</v>
      </c>
      <c r="DL126" s="404">
        <f>SUM(DH126:DK126)</f>
        <v>11463</v>
      </c>
      <c r="DM126" s="110">
        <f>DM117+DM101+DM74+DM60</f>
        <v>2896</v>
      </c>
      <c r="DN126" s="110">
        <f>DN117+DN101+DN74+DN60</f>
        <v>2939</v>
      </c>
      <c r="DO126" s="110">
        <f>DO117+DO101+DO74+DO60</f>
        <v>2799</v>
      </c>
      <c r="DP126" s="110">
        <f>DP117+DP101+DP74+DP60</f>
        <v>2806</v>
      </c>
      <c r="DQ126" s="404">
        <f>SUM(DM126:DP126)</f>
        <v>11440</v>
      </c>
      <c r="DR126" s="110">
        <f>DR117+DR101+DR74+DR60</f>
        <v>2847</v>
      </c>
      <c r="DS126" s="110">
        <f>DS117+DS101+DS74+DS60</f>
        <v>2977</v>
      </c>
      <c r="DT126" s="110">
        <f>DT117+DT101+DT74+DT60</f>
        <v>2870</v>
      </c>
      <c r="DU126" s="110">
        <f>DU117+DU101+DU74+DU60</f>
        <v>2935</v>
      </c>
      <c r="DV126" s="404">
        <f>SUM(DR126:DU126)</f>
        <v>11629</v>
      </c>
      <c r="DW126" s="110">
        <f>DW117+DW101+DW74+DW60</f>
        <v>2870</v>
      </c>
      <c r="DX126" s="110">
        <f>DX117+DX101+DX74+DX60</f>
        <v>3164</v>
      </c>
      <c r="DY126" s="110">
        <f>DY117+DY101+DY74+DY60</f>
        <v>3103</v>
      </c>
      <c r="DZ126" s="110">
        <f>DZ117+DZ101+DZ74+DZ60</f>
        <v>3110.0741802873722</v>
      </c>
      <c r="EA126" s="404">
        <f>SUM(DW126:DZ126)</f>
        <v>12247.074180287373</v>
      </c>
      <c r="EB126" s="110">
        <f>EB117+EB101+EB74+EB60</f>
        <v>2862</v>
      </c>
      <c r="EC126" s="110">
        <f>EC117+EC101+EC74+EC60</f>
        <v>2938</v>
      </c>
      <c r="ED126" s="110">
        <f>ED117+ED101+ED74+ED60</f>
        <v>2853</v>
      </c>
      <c r="EE126" s="110">
        <f>EE117+EE101+EE74+EE60</f>
        <v>2680</v>
      </c>
      <c r="EF126" s="404">
        <f>SUM(EB126:EE126)</f>
        <v>11333</v>
      </c>
      <c r="EG126" s="110">
        <f>EG117+EG101+EG74+EG60</f>
        <v>2538</v>
      </c>
      <c r="EH126" s="110">
        <f>EH117+EH101+EH74+EH60</f>
        <v>2607</v>
      </c>
      <c r="EI126" s="110">
        <f>EI117+EI101+EI74+EI60</f>
        <v>2633</v>
      </c>
      <c r="EJ126" s="110">
        <f>EJ117+EJ101+EJ74+EJ60</f>
        <v>2923</v>
      </c>
      <c r="EK126" s="404">
        <f>SUM(EG126:EJ126)</f>
        <v>10701</v>
      </c>
      <c r="EL126" s="110">
        <f>EL117+EL101+EL74+EL60</f>
        <v>2795</v>
      </c>
      <c r="EM126" s="110">
        <f>EM117+EM101+EM74+EM60</f>
        <v>2776</v>
      </c>
      <c r="EN126" s="110">
        <f>EN117+EN101+EN74+EN60</f>
        <v>2648</v>
      </c>
      <c r="EO126" s="110">
        <f>EO117+EO101+EO74+EO60</f>
        <v>2755</v>
      </c>
      <c r="EP126" s="404">
        <f>SUM(EL126:EO126)</f>
        <v>10974</v>
      </c>
      <c r="EQ126" s="110">
        <f>EQ117+EQ101+EQ74+EQ60</f>
        <v>2731</v>
      </c>
      <c r="ER126" s="110">
        <f t="shared" ref="ER126" si="671">ER23*ER129/1000</f>
        <v>2758.8879294734429</v>
      </c>
      <c r="ES126" s="110">
        <f t="shared" ref="ES126:ET126" si="672">ES23*ES129/1000</f>
        <v>2757.4646956823317</v>
      </c>
      <c r="ET126" s="110">
        <f t="shared" si="672"/>
        <v>2919.5971974560866</v>
      </c>
      <c r="EU126" s="404">
        <f>SUM(EQ126:ET126)</f>
        <v>11166.949822611861</v>
      </c>
      <c r="EV126" s="110"/>
      <c r="EW126" s="110"/>
      <c r="EX126" s="110"/>
      <c r="EY126" s="110"/>
      <c r="EZ126" s="404">
        <f>EZ23*EZ129/1000</f>
        <v>11421.077068356344</v>
      </c>
      <c r="FA126" s="110"/>
      <c r="FB126" s="110"/>
      <c r="FC126" s="110"/>
      <c r="FD126" s="110"/>
      <c r="FE126" s="404">
        <f>FE23*FE129/1000</f>
        <v>11729.682084017999</v>
      </c>
      <c r="FG126" s="473"/>
      <c r="FH126" s="778"/>
      <c r="FI126" s="778"/>
      <c r="FJ126" s="778"/>
      <c r="FL126" s="1347"/>
      <c r="FM126" s="1533">
        <f t="shared" si="657"/>
        <v>2731</v>
      </c>
      <c r="FN126" s="775">
        <f t="shared" si="658"/>
        <v>2795</v>
      </c>
      <c r="FO126" s="1812">
        <v>2718.7776298856702</v>
      </c>
      <c r="FP126" s="1748">
        <f>+FM126/FN126-1</f>
        <v>-2.2898032200357799E-2</v>
      </c>
      <c r="FQ126" s="1520">
        <f>+FM126/FO126-1</f>
        <v>4.4955387229825838E-3</v>
      </c>
      <c r="FR126" s="1619"/>
      <c r="FS126" s="1619"/>
      <c r="FT126" s="355"/>
      <c r="FU126" s="1914" t="s">
        <v>781</v>
      </c>
      <c r="FV126" s="1914" t="s">
        <v>767</v>
      </c>
      <c r="FW126" s="1914" t="s">
        <v>788</v>
      </c>
      <c r="FX126" s="1914" t="s">
        <v>767</v>
      </c>
      <c r="FY126" s="355"/>
      <c r="FZ126" s="473"/>
      <c r="GA126"/>
      <c r="GB126"/>
      <c r="GC126"/>
      <c r="GD126"/>
      <c r="GE126"/>
      <c r="GF126"/>
      <c r="GG126"/>
      <c r="GH126"/>
      <c r="GI126"/>
      <c r="GJ126"/>
      <c r="GK126"/>
      <c r="GL126"/>
      <c r="GM126"/>
      <c r="GN126"/>
      <c r="GO126"/>
      <c r="GP126"/>
      <c r="GQ126"/>
      <c r="GR126"/>
      <c r="GS126"/>
      <c r="GT126"/>
      <c r="GU126"/>
      <c r="GV126"/>
      <c r="GW126"/>
      <c r="GX126"/>
      <c r="GY126"/>
      <c r="GZ126"/>
      <c r="HA126"/>
      <c r="HB126"/>
      <c r="HC126"/>
      <c r="HD126"/>
      <c r="HE126"/>
      <c r="HF126"/>
      <c r="HG126"/>
      <c r="HH126"/>
      <c r="HI126"/>
      <c r="HJ126"/>
      <c r="HK126"/>
      <c r="HL126"/>
      <c r="HM126"/>
      <c r="HN126"/>
      <c r="HO126"/>
      <c r="HP126"/>
      <c r="HQ126"/>
      <c r="HR126"/>
      <c r="HS126"/>
      <c r="HT126"/>
      <c r="HU126"/>
      <c r="HV126"/>
      <c r="HW126"/>
      <c r="HX126"/>
      <c r="HY126"/>
      <c r="HZ126"/>
      <c r="IA126"/>
      <c r="IB126"/>
      <c r="IC126"/>
      <c r="ID126"/>
      <c r="IE126"/>
      <c r="IF126"/>
      <c r="IG126"/>
      <c r="IH126"/>
      <c r="II126"/>
      <c r="IJ126"/>
      <c r="IK126"/>
      <c r="IL126"/>
      <c r="IM126"/>
      <c r="IN126"/>
      <c r="IO126"/>
      <c r="IP126"/>
      <c r="IQ126"/>
      <c r="IR126"/>
      <c r="IS126"/>
      <c r="IT126"/>
      <c r="IU126"/>
      <c r="IV126"/>
      <c r="IW126"/>
      <c r="IX126"/>
    </row>
    <row r="127" spans="1:258" s="186" customFormat="1" x14ac:dyDescent="0.2">
      <c r="A127" s="383" t="s">
        <v>465</v>
      </c>
      <c r="B127" s="10"/>
      <c r="C127" s="10"/>
      <c r="D127" s="10"/>
      <c r="E127" s="10"/>
      <c r="F127" s="9"/>
      <c r="G127" s="10"/>
      <c r="H127" s="10"/>
      <c r="I127" s="10"/>
      <c r="J127" s="10"/>
      <c r="K127" s="9"/>
      <c r="L127" s="10"/>
      <c r="M127" s="10"/>
      <c r="N127" s="10"/>
      <c r="O127" s="10"/>
      <c r="P127" s="9"/>
      <c r="Q127" s="10"/>
      <c r="R127" s="10"/>
      <c r="S127" s="10"/>
      <c r="T127" s="10"/>
      <c r="U127" s="9"/>
      <c r="V127" s="10">
        <f t="shared" ref="V127:AV127" si="673">V126/Q126-1</f>
        <v>-1.9700551615445261E-2</v>
      </c>
      <c r="W127" s="10">
        <f t="shared" si="673"/>
        <v>1.32854234188029E-3</v>
      </c>
      <c r="X127" s="10">
        <f t="shared" si="673"/>
        <v>-6.3357125671666958E-3</v>
      </c>
      <c r="Y127" s="10">
        <f t="shared" si="673"/>
        <v>1.0014750407577155E-2</v>
      </c>
      <c r="Z127" s="9">
        <f t="shared" si="673"/>
        <v>-3.6001010827517721E-3</v>
      </c>
      <c r="AA127" s="10">
        <f t="shared" si="673"/>
        <v>5.0643086816720251E-2</v>
      </c>
      <c r="AB127" s="10">
        <f t="shared" si="673"/>
        <v>7.1038251366120297E-2</v>
      </c>
      <c r="AC127" s="10">
        <f t="shared" si="673"/>
        <v>8.7167070217917697E-2</v>
      </c>
      <c r="AD127" s="10">
        <f t="shared" si="673"/>
        <v>6.764027671022288E-2</v>
      </c>
      <c r="AE127" s="9">
        <f t="shared" si="673"/>
        <v>6.9101678183613124E-2</v>
      </c>
      <c r="AF127" s="10">
        <f t="shared" si="673"/>
        <v>2.601377199693955E-2</v>
      </c>
      <c r="AG127" s="10">
        <f t="shared" si="673"/>
        <v>-1.3848396501457749E-2</v>
      </c>
      <c r="AH127" s="10">
        <f t="shared" si="673"/>
        <v>-1.410541945063104E-2</v>
      </c>
      <c r="AI127" s="10">
        <f t="shared" si="673"/>
        <v>-1.7278617710583144E-2</v>
      </c>
      <c r="AJ127" s="9">
        <f t="shared" si="673"/>
        <v>-5.1708217913204457E-3</v>
      </c>
      <c r="AK127" s="10">
        <f t="shared" si="673"/>
        <v>-1.5659955257270708E-2</v>
      </c>
      <c r="AL127" s="10">
        <f t="shared" si="673"/>
        <v>2.2912047302291239E-2</v>
      </c>
      <c r="AM127" s="10">
        <f t="shared" si="673"/>
        <v>6.777108433734913E-3</v>
      </c>
      <c r="AN127" s="10">
        <f t="shared" si="673"/>
        <v>1.391941391941387E-2</v>
      </c>
      <c r="AO127" s="9">
        <f t="shared" si="673"/>
        <v>7.054018934471884E-3</v>
      </c>
      <c r="AP127" s="10">
        <f t="shared" si="673"/>
        <v>4.0909090909091006E-2</v>
      </c>
      <c r="AQ127" s="10">
        <f t="shared" si="673"/>
        <v>1.5895953757225634E-3</v>
      </c>
      <c r="AR127" s="10">
        <f t="shared" si="673"/>
        <v>1.5706806282722585E-2</v>
      </c>
      <c r="AS127" s="10">
        <f t="shared" si="673"/>
        <v>1.8063583815028927E-2</v>
      </c>
      <c r="AT127" s="9">
        <f t="shared" si="673"/>
        <v>1.8838709677419407E-2</v>
      </c>
      <c r="AU127" s="10">
        <f t="shared" si="673"/>
        <v>4.366812227074135E-3</v>
      </c>
      <c r="AV127" s="10">
        <f t="shared" si="673"/>
        <v>8.5124801615927836E-3</v>
      </c>
      <c r="AW127" s="10">
        <f t="shared" ref="AW127:CB127" si="674">AW126/AR126-1</f>
        <v>-1.4727540500736325E-3</v>
      </c>
      <c r="AX127" s="10">
        <f t="shared" si="674"/>
        <v>-4.2583392476933657E-3</v>
      </c>
      <c r="AY127" s="9">
        <f t="shared" si="674"/>
        <v>1.7730496453900457E-3</v>
      </c>
      <c r="AZ127" s="10">
        <f t="shared" si="674"/>
        <v>5.1449275362318803E-2</v>
      </c>
      <c r="BA127" s="10">
        <f t="shared" si="674"/>
        <v>9.4420600858369008E-2</v>
      </c>
      <c r="BB127" s="10">
        <f t="shared" si="674"/>
        <v>0.29424778761061954</v>
      </c>
      <c r="BC127" s="10">
        <f t="shared" si="674"/>
        <v>0.27227369921596578</v>
      </c>
      <c r="BD127" s="9">
        <f t="shared" si="674"/>
        <v>0.17771356330142685</v>
      </c>
      <c r="BE127" s="10">
        <f t="shared" si="674"/>
        <v>0.23638869745003444</v>
      </c>
      <c r="BF127" s="10">
        <f t="shared" si="674"/>
        <v>0.19215686274509802</v>
      </c>
      <c r="BG127" s="10">
        <f t="shared" si="674"/>
        <v>8.5470085470085166E-3</v>
      </c>
      <c r="BH127" s="10">
        <f t="shared" si="674"/>
        <v>0</v>
      </c>
      <c r="BI127" s="9">
        <f t="shared" si="674"/>
        <v>9.9984664928691958E-2</v>
      </c>
      <c r="BJ127" s="10">
        <f>BJ126/BE126-1</f>
        <v>-5.5741360089186509E-3</v>
      </c>
      <c r="BK127" s="10">
        <f>BK126/BF126-1</f>
        <v>-1.2609649122807043E-2</v>
      </c>
      <c r="BL127" s="10">
        <f>BL126/BG126-1</f>
        <v>-7.3446327683616142E-3</v>
      </c>
      <c r="BM127" s="10">
        <f>BM126/BH126-1</f>
        <v>-1.2324929971988752E-2</v>
      </c>
      <c r="BN127" s="9">
        <f>BN126/BI126-1</f>
        <v>-9.479994423532645E-3</v>
      </c>
      <c r="BO127" s="10">
        <f t="shared" si="674"/>
        <v>-3.1950672645739919E-2</v>
      </c>
      <c r="BP127" s="10">
        <f t="shared" si="674"/>
        <v>9.4392004441976596E-3</v>
      </c>
      <c r="BQ127" s="10">
        <f t="shared" si="674"/>
        <v>1.3090495162208393E-2</v>
      </c>
      <c r="BR127" s="10">
        <f t="shared" si="674"/>
        <v>2.3255813953488413E-2</v>
      </c>
      <c r="BS127" s="9">
        <f t="shared" si="674"/>
        <v>3.3779028852920501E-3</v>
      </c>
      <c r="BT127" s="10">
        <f t="shared" si="674"/>
        <v>5.0955414012738842E-2</v>
      </c>
      <c r="BU127" s="10">
        <f t="shared" si="674"/>
        <v>3.5203520352035111E-2</v>
      </c>
      <c r="BV127" s="10">
        <f t="shared" si="674"/>
        <v>2.4157303370786476E-2</v>
      </c>
      <c r="BW127" s="10">
        <f t="shared" si="674"/>
        <v>4.7671840354767125E-2</v>
      </c>
      <c r="BX127" s="9">
        <f t="shared" si="674"/>
        <v>3.9416467947818834E-2</v>
      </c>
      <c r="BY127" s="10">
        <f t="shared" si="674"/>
        <v>4.4628099173553704E-2</v>
      </c>
      <c r="BZ127" s="10">
        <f t="shared" si="674"/>
        <v>5.1009564293305054E-2</v>
      </c>
      <c r="CA127" s="10">
        <f t="shared" si="674"/>
        <v>5.3757542512342216E-2</v>
      </c>
      <c r="CB127" s="10">
        <f t="shared" si="674"/>
        <v>0.14285714285714279</v>
      </c>
      <c r="CC127" s="9">
        <f t="shared" ref="CC127:DN127" si="675">CC126/BX126-1</f>
        <v>7.3549257759784048E-2</v>
      </c>
      <c r="CD127" s="10">
        <f t="shared" si="675"/>
        <v>9.7573839662447259E-2</v>
      </c>
      <c r="CE127" s="10">
        <f t="shared" si="675"/>
        <v>7.4823053589484267E-2</v>
      </c>
      <c r="CF127" s="10">
        <f t="shared" si="675"/>
        <v>9.213951067152526E-2</v>
      </c>
      <c r="CG127" s="10">
        <f t="shared" si="675"/>
        <v>1.4814814814814836E-2</v>
      </c>
      <c r="CH127" s="9">
        <f t="shared" si="675"/>
        <v>6.813324952859845E-2</v>
      </c>
      <c r="CI127" s="10">
        <f t="shared" si="675"/>
        <v>0.10187409899086974</v>
      </c>
      <c r="CJ127" s="10">
        <f t="shared" si="675"/>
        <v>0.11900282220131708</v>
      </c>
      <c r="CK127" s="10">
        <f t="shared" si="675"/>
        <v>0.12917063870352719</v>
      </c>
      <c r="CL127" s="10">
        <f t="shared" si="675"/>
        <v>6.9343065693430628E-2</v>
      </c>
      <c r="CM127" s="9">
        <f t="shared" si="675"/>
        <v>0.10450747322584442</v>
      </c>
      <c r="CN127" s="10">
        <f t="shared" si="675"/>
        <v>3.0527692978630672E-2</v>
      </c>
      <c r="CO127" s="10">
        <f t="shared" si="675"/>
        <v>3.9092055485498101E-2</v>
      </c>
      <c r="CP127" s="10">
        <f t="shared" si="675"/>
        <v>3.0814689742507451E-2</v>
      </c>
      <c r="CQ127" s="10">
        <f t="shared" si="675"/>
        <v>7.1245733788395826E-2</v>
      </c>
      <c r="CR127" s="9">
        <f t="shared" si="675"/>
        <v>4.2940863079381941E-2</v>
      </c>
      <c r="CS127" s="10">
        <f t="shared" si="675"/>
        <v>0.12314853999153619</v>
      </c>
      <c r="CT127" s="10">
        <f t="shared" si="675"/>
        <v>0.15129449838187692</v>
      </c>
      <c r="CU127" s="10">
        <f t="shared" si="675"/>
        <v>0.18796068796068788</v>
      </c>
      <c r="CV127" s="10">
        <f t="shared" si="675"/>
        <v>3.5045798486658786E-2</v>
      </c>
      <c r="CW127" s="9">
        <f t="shared" si="675"/>
        <v>0.12382509194932578</v>
      </c>
      <c r="CX127" s="10">
        <f t="shared" si="675"/>
        <v>-0.1770911831198192</v>
      </c>
      <c r="CY127" s="10">
        <f t="shared" si="675"/>
        <v>-0.25263527758257198</v>
      </c>
      <c r="CZ127" s="10">
        <f t="shared" si="675"/>
        <v>-0.23267838676318509</v>
      </c>
      <c r="DA127" s="10">
        <f t="shared" si="675"/>
        <v>-0.12697191227395155</v>
      </c>
      <c r="DB127" s="9">
        <f t="shared" si="675"/>
        <v>-0.19945454545454544</v>
      </c>
      <c r="DC127" s="10">
        <f t="shared" si="675"/>
        <v>0.11126373626373631</v>
      </c>
      <c r="DD127" s="10">
        <f t="shared" si="675"/>
        <v>0.22002820874471096</v>
      </c>
      <c r="DE127" s="10">
        <f t="shared" si="675"/>
        <v>0.15947888589398018</v>
      </c>
      <c r="DF127" s="10">
        <f t="shared" si="675"/>
        <v>0.20978404583516963</v>
      </c>
      <c r="DG127" s="9">
        <f t="shared" si="675"/>
        <v>0.175107880990234</v>
      </c>
      <c r="DH127" s="10">
        <f t="shared" si="675"/>
        <v>0.12772970745776679</v>
      </c>
      <c r="DI127" s="10">
        <f t="shared" si="675"/>
        <v>0.1352601156069364</v>
      </c>
      <c r="DJ127" s="10">
        <f t="shared" si="675"/>
        <v>0.12010848508330096</v>
      </c>
      <c r="DK127" s="10">
        <f t="shared" si="675"/>
        <v>5.2459016393442637E-2</v>
      </c>
      <c r="DL127" s="9">
        <f>DL126/DG126-1</f>
        <v>0.10775028991109403</v>
      </c>
      <c r="DM127" s="10">
        <f t="shared" si="675"/>
        <v>5.8092802338326699E-2</v>
      </c>
      <c r="DN127" s="10">
        <f t="shared" si="675"/>
        <v>-2.3761031907670871E-3</v>
      </c>
      <c r="DO127" s="10">
        <f>DO126/DJ126-1</f>
        <v>-3.1822898650985865E-2</v>
      </c>
      <c r="DP127" s="10">
        <f>DP126/DK126-1</f>
        <v>-2.8729664243682951E-2</v>
      </c>
      <c r="DQ127" s="9">
        <f t="shared" ref="DQ127:DY127" si="676">DQ126/DL126-1</f>
        <v>-2.006455552647668E-3</v>
      </c>
      <c r="DR127" s="10">
        <f t="shared" si="676"/>
        <v>-1.6919889502762464E-2</v>
      </c>
      <c r="DS127" s="10">
        <f t="shared" si="676"/>
        <v>1.2929567880231474E-2</v>
      </c>
      <c r="DT127" s="10">
        <f t="shared" si="676"/>
        <v>2.5366202215076905E-2</v>
      </c>
      <c r="DU127" s="10">
        <f>DU126/DP126-1</f>
        <v>4.5972915181753393E-2</v>
      </c>
      <c r="DV127" s="9">
        <f t="shared" si="676"/>
        <v>1.6520979020979043E-2</v>
      </c>
      <c r="DW127" s="10">
        <f>DW126/DR126-1</f>
        <v>8.0786793115559252E-3</v>
      </c>
      <c r="DX127" s="10">
        <f t="shared" si="676"/>
        <v>6.2814914343298556E-2</v>
      </c>
      <c r="DY127" s="10">
        <f t="shared" si="676"/>
        <v>8.1184668989547015E-2</v>
      </c>
      <c r="DZ127" s="10">
        <f>DZ126/DU126-1</f>
        <v>5.9650487321080803E-2</v>
      </c>
      <c r="EA127" s="9">
        <f>EA126/DV126-1</f>
        <v>5.314938346266862E-2</v>
      </c>
      <c r="EB127" s="10">
        <f t="shared" ref="EB127:EI127" si="677">EB126/DW126-1</f>
        <v>-2.7874564459929863E-3</v>
      </c>
      <c r="EC127" s="10">
        <f t="shared" si="677"/>
        <v>-7.1428571428571397E-2</v>
      </c>
      <c r="ED127" s="10">
        <f t="shared" si="677"/>
        <v>-8.0567193038994511E-2</v>
      </c>
      <c r="EE127" s="10">
        <f t="shared" si="677"/>
        <v>-0.1382842193968612</v>
      </c>
      <c r="EF127" s="9">
        <f t="shared" si="677"/>
        <v>-7.4636126705155958E-2</v>
      </c>
      <c r="EG127" s="10">
        <f t="shared" si="677"/>
        <v>-0.1132075471698113</v>
      </c>
      <c r="EH127" s="10">
        <f t="shared" si="677"/>
        <v>-0.11266167460857723</v>
      </c>
      <c r="EI127" s="10">
        <f t="shared" si="677"/>
        <v>-7.7111812127585E-2</v>
      </c>
      <c r="EJ127" s="10">
        <f t="shared" ref="EJ127" si="678">EJ126/EE126-1</f>
        <v>9.0671641791044699E-2</v>
      </c>
      <c r="EK127" s="9">
        <f t="shared" ref="EK127:EQ127" si="679">EK126/EF126-1</f>
        <v>-5.5766346069001993E-2</v>
      </c>
      <c r="EL127" s="10">
        <f t="shared" si="679"/>
        <v>0.10126083530338859</v>
      </c>
      <c r="EM127" s="10">
        <f t="shared" si="679"/>
        <v>6.4825469888760923E-2</v>
      </c>
      <c r="EN127" s="10">
        <f t="shared" si="679"/>
        <v>5.6969236612229857E-3</v>
      </c>
      <c r="EO127" s="10">
        <f t="shared" si="679"/>
        <v>-5.7475196715703003E-2</v>
      </c>
      <c r="EP127" s="9">
        <f t="shared" si="679"/>
        <v>2.5511634426689023E-2</v>
      </c>
      <c r="EQ127" s="10">
        <f t="shared" si="679"/>
        <v>-2.2898032200357799E-2</v>
      </c>
      <c r="ER127" s="10">
        <f t="shared" ref="ER127" si="680">ER126/EM126-1</f>
        <v>-6.1642905355032696E-3</v>
      </c>
      <c r="ES127" s="10">
        <f t="shared" ref="ES127:EU127" si="681">ES126/EN126-1</f>
        <v>4.1338631299974171E-2</v>
      </c>
      <c r="ET127" s="10">
        <f t="shared" si="681"/>
        <v>5.9744899258107775E-2</v>
      </c>
      <c r="EU127" s="9">
        <f t="shared" si="681"/>
        <v>1.75824514864098E-2</v>
      </c>
      <c r="EV127" s="185"/>
      <c r="EW127" s="185"/>
      <c r="EX127" s="185"/>
      <c r="EY127" s="185"/>
      <c r="EZ127" s="9">
        <f>EZ126/EU126-1</f>
        <v>2.2757086740902377E-2</v>
      </c>
      <c r="FA127" s="185"/>
      <c r="FB127" s="185"/>
      <c r="FC127" s="185"/>
      <c r="FD127" s="185"/>
      <c r="FE127" s="9">
        <f>FE126/EZ126-1</f>
        <v>2.7020657842918183E-2</v>
      </c>
      <c r="FG127" s="468"/>
      <c r="FH127" s="780"/>
      <c r="FI127" s="780"/>
      <c r="FJ127" s="780"/>
      <c r="FL127" s="1348"/>
      <c r="FM127" s="1141">
        <f t="shared" si="657"/>
        <v>-2.2898032200357799E-2</v>
      </c>
      <c r="FN127" s="1418">
        <f t="shared" si="658"/>
        <v>0.10126083530338859</v>
      </c>
      <c r="FO127" s="1750">
        <v>-2.7270973207273674E-2</v>
      </c>
      <c r="FP127" s="1751"/>
      <c r="FQ127" s="1503">
        <f t="shared" ref="FQ127:FQ132" si="682">+(FM127-FO127)*10000</f>
        <v>43.72941006915876</v>
      </c>
      <c r="FR127" s="1619"/>
      <c r="FS127" s="1619"/>
      <c r="FT127" s="1021" t="s">
        <v>740</v>
      </c>
      <c r="FU127" s="1696">
        <f>FU128*FV128+FU129*FV129</f>
        <v>3.9123881932021473E-2</v>
      </c>
      <c r="FV127" s="433">
        <v>1</v>
      </c>
      <c r="FW127" s="1696">
        <f>FW128*FX128+FW129*FX129</f>
        <v>3.7207437844966544E-2</v>
      </c>
      <c r="FX127" s="433">
        <v>1</v>
      </c>
      <c r="FY127" s="432"/>
      <c r="FZ127" s="468"/>
      <c r="GA127"/>
      <c r="GB127"/>
      <c r="GC127"/>
      <c r="GD127"/>
      <c r="GE127"/>
      <c r="GF127"/>
      <c r="GG127"/>
      <c r="GH127"/>
      <c r="GI127"/>
      <c r="GJ127"/>
      <c r="GK127"/>
      <c r="GL127"/>
      <c r="GM127"/>
      <c r="GN127"/>
      <c r="GO127"/>
      <c r="GP127"/>
      <c r="GQ127"/>
      <c r="GR127"/>
      <c r="GS127"/>
      <c r="GT127"/>
      <c r="GU127"/>
      <c r="GV127"/>
      <c r="GW127"/>
      <c r="GX127"/>
      <c r="GY127"/>
      <c r="GZ127"/>
      <c r="HA127"/>
      <c r="HB127"/>
      <c r="HC127"/>
      <c r="HD127"/>
      <c r="HE127"/>
      <c r="HF127"/>
      <c r="HG127"/>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c r="IS127"/>
      <c r="IT127"/>
      <c r="IU127"/>
      <c r="IV127"/>
      <c r="IW127"/>
      <c r="IX127"/>
    </row>
    <row r="128" spans="1:258" s="40" customFormat="1" x14ac:dyDescent="0.2">
      <c r="A128" s="166" t="s">
        <v>449</v>
      </c>
      <c r="B128" s="5"/>
      <c r="C128" s="5"/>
      <c r="D128" s="5"/>
      <c r="E128" s="5"/>
      <c r="F128" s="4"/>
      <c r="G128" s="5"/>
      <c r="H128" s="5"/>
      <c r="I128" s="5"/>
      <c r="J128" s="5"/>
      <c r="K128" s="4"/>
      <c r="L128" s="5"/>
      <c r="M128" s="5"/>
      <c r="N128" s="5"/>
      <c r="O128" s="5"/>
      <c r="P128" s="4"/>
      <c r="Q128" s="5">
        <f t="shared" ref="Q128:AV128" si="683">Q126/Q156</f>
        <v>0.98068006182380218</v>
      </c>
      <c r="R128" s="5">
        <f t="shared" si="683"/>
        <v>0.98008121341686827</v>
      </c>
      <c r="S128" s="5">
        <f t="shared" si="683"/>
        <v>0.97957420064419831</v>
      </c>
      <c r="T128" s="5">
        <f t="shared" si="683"/>
        <v>0.98170871122627845</v>
      </c>
      <c r="U128" s="4">
        <f t="shared" si="683"/>
        <v>0.98051810421857422</v>
      </c>
      <c r="V128" s="5">
        <f t="shared" si="683"/>
        <v>0.97952755905511812</v>
      </c>
      <c r="W128" s="5">
        <f t="shared" si="683"/>
        <v>0.97860962566844922</v>
      </c>
      <c r="X128" s="5">
        <f t="shared" si="683"/>
        <v>0.97712933753943221</v>
      </c>
      <c r="Y128" s="5">
        <f t="shared" si="683"/>
        <v>0.9811463046757164</v>
      </c>
      <c r="Z128" s="4">
        <f t="shared" si="683"/>
        <v>0.97912236613183834</v>
      </c>
      <c r="AA128" s="5">
        <f t="shared" si="683"/>
        <v>0.9827067669172932</v>
      </c>
      <c r="AB128" s="5">
        <f t="shared" si="683"/>
        <v>0.98140200286123036</v>
      </c>
      <c r="AC128" s="5">
        <f t="shared" si="683"/>
        <v>0.97821350762527237</v>
      </c>
      <c r="AD128" s="5">
        <f t="shared" si="683"/>
        <v>0.97679324894514763</v>
      </c>
      <c r="AE128" s="4">
        <f t="shared" si="683"/>
        <v>0.97973584222905741</v>
      </c>
      <c r="AF128" s="5">
        <f t="shared" si="683"/>
        <v>0.97883211678832116</v>
      </c>
      <c r="AG128" s="5">
        <f t="shared" si="683"/>
        <v>0.97478386167146969</v>
      </c>
      <c r="AH128" s="5">
        <f t="shared" si="683"/>
        <v>0.97360703812316718</v>
      </c>
      <c r="AI128" s="5">
        <f t="shared" si="683"/>
        <v>0.97291518175338565</v>
      </c>
      <c r="AJ128" s="4">
        <f t="shared" si="683"/>
        <v>0.97502262443438914</v>
      </c>
      <c r="AK128" s="5">
        <f t="shared" si="683"/>
        <v>0.97345132743362828</v>
      </c>
      <c r="AL128" s="5">
        <f t="shared" si="683"/>
        <v>0.97327707454289736</v>
      </c>
      <c r="AM128" s="5">
        <f t="shared" si="683"/>
        <v>0.97448979591836737</v>
      </c>
      <c r="AN128" s="5">
        <f t="shared" si="683"/>
        <v>0.97533474277660326</v>
      </c>
      <c r="AO128" s="4">
        <f t="shared" si="683"/>
        <v>0.97414257496857604</v>
      </c>
      <c r="AP128" s="5">
        <f t="shared" si="683"/>
        <v>0.97724039829302989</v>
      </c>
      <c r="AQ128" s="5">
        <f t="shared" si="683"/>
        <v>0.97854016659607501</v>
      </c>
      <c r="AR128" s="5">
        <f t="shared" si="683"/>
        <v>0.97768178545716344</v>
      </c>
      <c r="AS128" s="5">
        <f t="shared" si="683"/>
        <v>0.97441217150760717</v>
      </c>
      <c r="AT128" s="4">
        <f t="shared" si="683"/>
        <v>0.97695135746606343</v>
      </c>
      <c r="AU128" s="5">
        <f t="shared" si="683"/>
        <v>0.9759547383309759</v>
      </c>
      <c r="AV128" s="5">
        <f t="shared" si="683"/>
        <v>0.99078667611622961</v>
      </c>
      <c r="AW128" s="5">
        <f t="shared" ref="AW128:CB128" si="684">AW126/AW156</f>
        <v>0.99340659340659343</v>
      </c>
      <c r="AX128" s="5">
        <f t="shared" si="684"/>
        <v>0.98456140350877197</v>
      </c>
      <c r="AY128" s="4">
        <f t="shared" si="684"/>
        <v>0.98610863757791634</v>
      </c>
      <c r="AZ128" s="5">
        <f t="shared" si="684"/>
        <v>0.98976807639836284</v>
      </c>
      <c r="BA128" s="5">
        <f t="shared" si="684"/>
        <v>0.9928617780661908</v>
      </c>
      <c r="BB128" s="5">
        <f t="shared" si="684"/>
        <v>0.98984771573604058</v>
      </c>
      <c r="BC128" s="5">
        <f t="shared" si="684"/>
        <v>0.99056603773584906</v>
      </c>
      <c r="BD128" s="4">
        <f t="shared" si="684"/>
        <v>0.99073230021270131</v>
      </c>
      <c r="BE128" s="5">
        <f t="shared" si="684"/>
        <v>0.99500831946755408</v>
      </c>
      <c r="BF128" s="5">
        <f t="shared" si="684"/>
        <v>0.99184339314845027</v>
      </c>
      <c r="BG128" s="5">
        <f t="shared" si="684"/>
        <v>0.98993288590604023</v>
      </c>
      <c r="BH128" s="5">
        <f t="shared" si="684"/>
        <v>0.98455598455598459</v>
      </c>
      <c r="BI128" s="4">
        <f t="shared" si="684"/>
        <v>0.99033549634129503</v>
      </c>
      <c r="BJ128" s="5">
        <f t="shared" si="684"/>
        <v>0.99001109877913429</v>
      </c>
      <c r="BK128" s="5">
        <f t="shared" si="684"/>
        <v>0.98576902025177893</v>
      </c>
      <c r="BL128" s="5">
        <f t="shared" si="684"/>
        <v>0.98652442448062883</v>
      </c>
      <c r="BM128" s="5">
        <f t="shared" si="684"/>
        <v>0.98822869955156956</v>
      </c>
      <c r="BN128" s="4">
        <f t="shared" si="684"/>
        <v>0.98762857937169868</v>
      </c>
      <c r="BO128" s="5">
        <f t="shared" si="684"/>
        <v>0.98798627002288331</v>
      </c>
      <c r="BP128" s="5">
        <f t="shared" si="684"/>
        <v>0.99127589967284624</v>
      </c>
      <c r="BQ128" s="5">
        <f t="shared" si="684"/>
        <v>0.99664053751399773</v>
      </c>
      <c r="BR128" s="5">
        <f t="shared" si="684"/>
        <v>0.9939393939393939</v>
      </c>
      <c r="BS128" s="4">
        <f t="shared" si="684"/>
        <v>0.99248224975636923</v>
      </c>
      <c r="BT128" s="5">
        <f t="shared" si="684"/>
        <v>0.99018003273322419</v>
      </c>
      <c r="BU128" s="5">
        <f t="shared" si="684"/>
        <v>0.99682203389830504</v>
      </c>
      <c r="BV128" s="5">
        <f t="shared" si="684"/>
        <v>0.99890410958904108</v>
      </c>
      <c r="BW128" s="5">
        <f t="shared" si="684"/>
        <v>0.99526066350710896</v>
      </c>
      <c r="BX128" s="4">
        <f t="shared" si="684"/>
        <v>0.99529885829415721</v>
      </c>
      <c r="BY128" s="5">
        <f t="shared" si="684"/>
        <v>0.98801459093277744</v>
      </c>
      <c r="BZ128" s="5">
        <f t="shared" si="684"/>
        <v>0.9904857285928893</v>
      </c>
      <c r="CA128" s="5">
        <f t="shared" si="684"/>
        <v>0.98867730313947499</v>
      </c>
      <c r="CB128" s="5">
        <f t="shared" si="684"/>
        <v>0.99082568807339455</v>
      </c>
      <c r="CC128" s="4">
        <f t="shared" ref="CC128:DH128" si="685">CC126/CC156</f>
        <v>0.9895509391715388</v>
      </c>
      <c r="CD128" s="5">
        <f t="shared" si="685"/>
        <v>0.98719165085388993</v>
      </c>
      <c r="CE128" s="5">
        <f t="shared" si="685"/>
        <v>0.98929734760353649</v>
      </c>
      <c r="CF128" s="5">
        <f t="shared" si="685"/>
        <v>0.98729411764705888</v>
      </c>
      <c r="CG128" s="5">
        <f t="shared" si="685"/>
        <v>0.98783235691753046</v>
      </c>
      <c r="CH128" s="4">
        <f t="shared" si="685"/>
        <v>0.9879083827461923</v>
      </c>
      <c r="CI128" s="5">
        <f t="shared" si="685"/>
        <v>0.98369798369798367</v>
      </c>
      <c r="CJ128" s="5">
        <f t="shared" si="685"/>
        <v>0.98265179677819081</v>
      </c>
      <c r="CK128" s="5">
        <f t="shared" si="685"/>
        <v>0.97973531844499584</v>
      </c>
      <c r="CL128" s="5">
        <f t="shared" si="685"/>
        <v>0.97829716193656091</v>
      </c>
      <c r="CM128" s="4">
        <f t="shared" si="685"/>
        <v>0.98107882082375075</v>
      </c>
      <c r="CN128" s="5">
        <f t="shared" si="685"/>
        <v>0.97563996696944677</v>
      </c>
      <c r="CO128" s="5">
        <f t="shared" si="685"/>
        <v>0.97707509881422927</v>
      </c>
      <c r="CP128" s="5">
        <f t="shared" si="685"/>
        <v>0.9764094362255098</v>
      </c>
      <c r="CQ128" s="5">
        <f t="shared" si="685"/>
        <v>0.97438882421420259</v>
      </c>
      <c r="CR128" s="4">
        <f t="shared" si="685"/>
        <v>0.97587238285144562</v>
      </c>
      <c r="CS128" s="5">
        <f t="shared" si="685"/>
        <v>0.97825285661629191</v>
      </c>
      <c r="CT128" s="5">
        <f t="shared" si="685"/>
        <v>0.97901616787065704</v>
      </c>
      <c r="CU128" s="5">
        <f t="shared" si="685"/>
        <v>0.97973657548125637</v>
      </c>
      <c r="CV128" s="5">
        <f t="shared" si="685"/>
        <v>0.97195213163799554</v>
      </c>
      <c r="CW128" s="4">
        <f t="shared" si="685"/>
        <v>0.97734340293203026</v>
      </c>
      <c r="CX128" s="5">
        <f t="shared" si="685"/>
        <v>0.9719626168224299</v>
      </c>
      <c r="CY128" s="5">
        <f t="shared" si="685"/>
        <v>0.97345537757437073</v>
      </c>
      <c r="CZ128" s="5">
        <f t="shared" si="685"/>
        <v>0.97247706422018354</v>
      </c>
      <c r="DA128" s="5">
        <f t="shared" si="685"/>
        <v>0.97801724137931034</v>
      </c>
      <c r="DB128" s="4">
        <f t="shared" si="685"/>
        <v>0.97400730007742509</v>
      </c>
      <c r="DC128" s="5">
        <f t="shared" si="685"/>
        <v>0.97430750702529101</v>
      </c>
      <c r="DD128" s="5">
        <f t="shared" si="685"/>
        <v>0.97446488922268115</v>
      </c>
      <c r="DE128" s="5">
        <f t="shared" si="685"/>
        <v>0.96811702925731435</v>
      </c>
      <c r="DF128" s="5">
        <f t="shared" si="685"/>
        <v>0.97478693181818177</v>
      </c>
      <c r="DG128" s="4">
        <f t="shared" si="685"/>
        <v>0.97292215118465586</v>
      </c>
      <c r="DH128" s="5">
        <f t="shared" si="685"/>
        <v>0.96816413158825609</v>
      </c>
      <c r="DI128" s="5">
        <f t="shared" ref="DI128:DV128" si="686">DI126/DI156</f>
        <v>0.9777630268835048</v>
      </c>
      <c r="DJ128" s="5">
        <f t="shared" si="686"/>
        <v>0.97602970965563807</v>
      </c>
      <c r="DK128" s="5">
        <f t="shared" si="686"/>
        <v>0.96525225526227865</v>
      </c>
      <c r="DL128" s="4">
        <f t="shared" si="686"/>
        <v>0.97185247986434931</v>
      </c>
      <c r="DM128" s="5">
        <f t="shared" si="686"/>
        <v>0.95957587806494371</v>
      </c>
      <c r="DN128" s="5">
        <f t="shared" si="686"/>
        <v>0.98425987943737436</v>
      </c>
      <c r="DO128" s="5">
        <f t="shared" si="686"/>
        <v>0.97730446927374304</v>
      </c>
      <c r="DP128" s="5">
        <f t="shared" si="686"/>
        <v>0.96925734024179622</v>
      </c>
      <c r="DQ128" s="4">
        <f t="shared" si="686"/>
        <v>0.97254101844767493</v>
      </c>
      <c r="DR128" s="5">
        <f t="shared" si="686"/>
        <v>0.97134083930399184</v>
      </c>
      <c r="DS128" s="5">
        <f>DS126/DS156</f>
        <v>0.98250825082508253</v>
      </c>
      <c r="DT128" s="5">
        <f t="shared" si="686"/>
        <v>0.97818677573278801</v>
      </c>
      <c r="DU128" s="5">
        <f>DU126/DU156</f>
        <v>0.96800791556728227</v>
      </c>
      <c r="DV128" s="4">
        <f t="shared" si="686"/>
        <v>0.97501467259159891</v>
      </c>
      <c r="DW128" s="5">
        <f>DW126/DW156</f>
        <v>0.97057828880622254</v>
      </c>
      <c r="DX128" s="5">
        <f>DX126/DX156</f>
        <v>0.97865759356634707</v>
      </c>
      <c r="DY128" s="5">
        <f>DY126/DY156</f>
        <v>0.96847690387016228</v>
      </c>
      <c r="DZ128" s="5">
        <f>DZ126/DZ156</f>
        <v>0.97431137393159895</v>
      </c>
      <c r="EA128" s="4">
        <f>EA126/EA156</f>
        <v>0.97306546941134753</v>
      </c>
      <c r="EB128" s="5">
        <f t="shared" ref="EB128:EF128" si="687">EB126/EB156</f>
        <v>0.97049847405900302</v>
      </c>
      <c r="EC128" s="5">
        <f t="shared" si="687"/>
        <v>0.96486042692939245</v>
      </c>
      <c r="ED128" s="5">
        <f t="shared" si="687"/>
        <v>0.97073834637631851</v>
      </c>
      <c r="EE128" s="5">
        <f t="shared" si="687"/>
        <v>0.96368212873067238</v>
      </c>
      <c r="EF128" s="4">
        <f t="shared" si="687"/>
        <v>0.96747481645893807</v>
      </c>
      <c r="EG128" s="5">
        <f>EG126/EG156</f>
        <v>0.96944232238349881</v>
      </c>
      <c r="EH128" s="5">
        <f>EH126/EH156</f>
        <v>0.96412721893491127</v>
      </c>
      <c r="EI128" s="5">
        <f>EI126/EI156</f>
        <v>0.97158671586715872</v>
      </c>
      <c r="EJ128" s="5">
        <f t="shared" ref="EJ128:EK128" si="688">EJ126/EJ156</f>
        <v>0.96246295686532768</v>
      </c>
      <c r="EK128" s="4">
        <f t="shared" si="688"/>
        <v>0.96675399765109771</v>
      </c>
      <c r="EL128" s="5">
        <f>EL126/EL156</f>
        <v>0.97420704078075981</v>
      </c>
      <c r="EM128" s="5">
        <f>EM126/EM156</f>
        <v>0.9464711899079441</v>
      </c>
      <c r="EN128" s="5">
        <f>EN126/EN156</f>
        <v>0.96536638716733503</v>
      </c>
      <c r="EO128" s="5">
        <f t="shared" ref="EO128:EP128" si="689">EO126/EO156</f>
        <v>0.96227733147048555</v>
      </c>
      <c r="EP128" s="4">
        <f t="shared" si="689"/>
        <v>0.96195652173913049</v>
      </c>
      <c r="EQ128" s="5">
        <f>EQ126/EQ156</f>
        <v>0.94958275382475665</v>
      </c>
      <c r="ER128" s="5">
        <f t="shared" ref="ER128" si="690">ER126/ER156</f>
        <v>0.95831723813509184</v>
      </c>
      <c r="ES128" s="5">
        <f t="shared" ref="ES128:EU128" si="691">ES126/ES156</f>
        <v>0.95829662126521953</v>
      </c>
      <c r="ET128" s="5">
        <f t="shared" si="691"/>
        <v>0.96052108480017317</v>
      </c>
      <c r="EU128" s="4">
        <f t="shared" si="691"/>
        <v>0.95673387842863478</v>
      </c>
      <c r="EV128" s="21"/>
      <c r="EW128" s="21"/>
      <c r="EX128" s="21"/>
      <c r="EY128" s="21"/>
      <c r="EZ128" s="4">
        <f>EZ126/EZ156</f>
        <v>0.95765581614930828</v>
      </c>
      <c r="FA128" s="21"/>
      <c r="FB128" s="21"/>
      <c r="FC128" s="21"/>
      <c r="FD128" s="21"/>
      <c r="FE128" s="4">
        <f>FE126/FE156</f>
        <v>0.95872389682608306</v>
      </c>
      <c r="FG128" s="464"/>
      <c r="FH128" s="779"/>
      <c r="FI128" s="779"/>
      <c r="FJ128" s="779"/>
      <c r="FL128" s="1349"/>
      <c r="FM128" s="1534">
        <f t="shared" si="657"/>
        <v>0.94958275382475665</v>
      </c>
      <c r="FN128" s="1425">
        <f t="shared" si="658"/>
        <v>0.97420704078075981</v>
      </c>
      <c r="FO128" s="1813">
        <v>0.96795759157208061</v>
      </c>
      <c r="FP128" s="1511"/>
      <c r="FQ128" s="1503"/>
      <c r="FR128" s="1619"/>
      <c r="FS128" s="1619"/>
      <c r="FT128" s="1690" t="s">
        <v>743</v>
      </c>
      <c r="FU128" s="432">
        <v>2.5000000000000001E-2</v>
      </c>
      <c r="FV128" s="433">
        <f>(EL101+EL117+EL60)/EL126</f>
        <v>0.8132379248658318</v>
      </c>
      <c r="FW128" s="432">
        <v>2.1999999999999999E-2</v>
      </c>
      <c r="FX128" s="433">
        <f>(EM101+EM117+EM60)/EM126</f>
        <v>0.80907780979827093</v>
      </c>
      <c r="FY128" s="433"/>
      <c r="FZ128" s="464"/>
      <c r="GA128"/>
      <c r="GB128"/>
      <c r="GC128"/>
      <c r="GD128"/>
      <c r="GE128"/>
      <c r="GF128"/>
      <c r="GG128"/>
      <c r="GH128"/>
      <c r="GI128"/>
      <c r="GJ128"/>
      <c r="GK128"/>
      <c r="GL128"/>
      <c r="GM128"/>
      <c r="GN128"/>
      <c r="GO128"/>
      <c r="GP128"/>
      <c r="GQ128"/>
      <c r="GR128"/>
      <c r="GS128"/>
      <c r="GT128"/>
      <c r="GU128"/>
      <c r="GV128"/>
      <c r="GW128"/>
      <c r="GX128"/>
      <c r="GY128"/>
      <c r="GZ128"/>
      <c r="HA128"/>
      <c r="HB128"/>
      <c r="HC128"/>
      <c r="HD128"/>
      <c r="HE128"/>
      <c r="HF128"/>
      <c r="HG128"/>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c r="IS128"/>
      <c r="IT128"/>
      <c r="IU128"/>
      <c r="IV128"/>
      <c r="IW128"/>
      <c r="IX128"/>
    </row>
    <row r="129" spans="1:258" s="43" customFormat="1" x14ac:dyDescent="0.2">
      <c r="A129" s="573" t="s">
        <v>233</v>
      </c>
      <c r="B129" s="27"/>
      <c r="C129" s="27"/>
      <c r="D129" s="27"/>
      <c r="E129" s="27"/>
      <c r="F129" s="28"/>
      <c r="G129" s="27"/>
      <c r="H129" s="27"/>
      <c r="I129" s="27"/>
      <c r="J129" s="27"/>
      <c r="K129" s="28"/>
      <c r="L129" s="27"/>
      <c r="M129" s="27"/>
      <c r="N129" s="27"/>
      <c r="O129" s="27"/>
      <c r="P129" s="28"/>
      <c r="Q129" s="27">
        <f t="shared" ref="Q129:AV129" si="692">Q126*1000/Q23</f>
        <v>955.35647067680497</v>
      </c>
      <c r="R129" s="27">
        <f t="shared" si="692"/>
        <v>941.37613104569539</v>
      </c>
      <c r="S129" s="27">
        <f t="shared" si="692"/>
        <v>936.11111111111109</v>
      </c>
      <c r="T129" s="27">
        <f t="shared" si="692"/>
        <v>936.8</v>
      </c>
      <c r="U129" s="28">
        <f t="shared" si="692"/>
        <v>942.35214818480665</v>
      </c>
      <c r="V129" s="27">
        <f t="shared" si="692"/>
        <v>953.25670498084287</v>
      </c>
      <c r="W129" s="27">
        <f t="shared" si="692"/>
        <v>948.88888888888891</v>
      </c>
      <c r="X129" s="27">
        <f t="shared" si="692"/>
        <v>932.27990970654628</v>
      </c>
      <c r="Y129" s="27">
        <f t="shared" si="692"/>
        <v>956.61764705882354</v>
      </c>
      <c r="Z129" s="28">
        <f t="shared" si="692"/>
        <v>947.79191616766468</v>
      </c>
      <c r="AA129" s="27">
        <f t="shared" si="692"/>
        <v>949.85465116279067</v>
      </c>
      <c r="AB129" s="27">
        <f t="shared" si="692"/>
        <v>938.44049247606017</v>
      </c>
      <c r="AC129" s="27">
        <f t="shared" si="692"/>
        <v>936.0667129951355</v>
      </c>
      <c r="AD129" s="27">
        <f t="shared" si="692"/>
        <v>934.72409152086141</v>
      </c>
      <c r="AE129" s="28">
        <f t="shared" si="692"/>
        <v>939.61478396668406</v>
      </c>
      <c r="AF129" s="27">
        <f t="shared" si="692"/>
        <v>964.05463695183323</v>
      </c>
      <c r="AG129" s="27">
        <f t="shared" si="692"/>
        <v>965.04992867332385</v>
      </c>
      <c r="AH129" s="27">
        <f t="shared" si="692"/>
        <v>963.71552975326563</v>
      </c>
      <c r="AI129" s="27">
        <f t="shared" si="692"/>
        <v>980.60344827586209</v>
      </c>
      <c r="AJ129" s="28">
        <f t="shared" si="692"/>
        <v>968.36239439151541</v>
      </c>
      <c r="AK129" s="27">
        <f t="shared" si="692"/>
        <v>993.22799097065467</v>
      </c>
      <c r="AL129" s="27">
        <f t="shared" si="692"/>
        <v>981.5602836879433</v>
      </c>
      <c r="AM129" s="27">
        <f t="shared" si="692"/>
        <v>966.04046242774564</v>
      </c>
      <c r="AN129" s="27">
        <f t="shared" si="692"/>
        <v>980.16997167138811</v>
      </c>
      <c r="AO129" s="28">
        <f t="shared" si="692"/>
        <v>980.12646793134593</v>
      </c>
      <c r="AP129" s="27">
        <f t="shared" si="692"/>
        <v>976.54584221748405</v>
      </c>
      <c r="AQ129" s="27">
        <f t="shared" si="692"/>
        <v>964.64857341684069</v>
      </c>
      <c r="AR129" s="27">
        <f t="shared" si="692"/>
        <v>958.36273817925189</v>
      </c>
      <c r="AS129" s="27">
        <f t="shared" si="692"/>
        <v>964.40793976728264</v>
      </c>
      <c r="AT129" s="28">
        <f t="shared" si="692"/>
        <v>965.9559594547361</v>
      </c>
      <c r="AU129" s="27">
        <f t="shared" si="692"/>
        <v>981.50782361308677</v>
      </c>
      <c r="AV129" s="27">
        <f t="shared" si="692"/>
        <v>964.80331262939956</v>
      </c>
      <c r="AW129" s="27">
        <f t="shared" ref="AW129:CB129" si="693">AW126*1000/AW23</f>
        <v>956.27644569816641</v>
      </c>
      <c r="AX129" s="27">
        <f t="shared" si="693"/>
        <v>958.98838004101162</v>
      </c>
      <c r="AY129" s="28">
        <f t="shared" si="693"/>
        <v>965.30683403068338</v>
      </c>
      <c r="AZ129" s="27">
        <f t="shared" si="693"/>
        <v>976.44683714670259</v>
      </c>
      <c r="BA129" s="27">
        <f t="shared" si="693"/>
        <v>975.76530612244903</v>
      </c>
      <c r="BB129" s="27">
        <f t="shared" si="693"/>
        <v>956.40326975476842</v>
      </c>
      <c r="BC129" s="27">
        <f t="shared" si="693"/>
        <v>968.00433839479388</v>
      </c>
      <c r="BD129" s="28">
        <f t="shared" si="693"/>
        <v>968.51329273726424</v>
      </c>
      <c r="BE129" s="27">
        <f t="shared" si="693"/>
        <v>971.30481862479701</v>
      </c>
      <c r="BF129" s="27">
        <f t="shared" si="693"/>
        <v>981.1726734803658</v>
      </c>
      <c r="BG129" s="27">
        <f t="shared" si="693"/>
        <v>971.99341021416808</v>
      </c>
      <c r="BH129" s="27">
        <f t="shared" si="693"/>
        <v>996.64991624790616</v>
      </c>
      <c r="BI129" s="28">
        <f t="shared" si="693"/>
        <v>980.18584312653729</v>
      </c>
      <c r="BJ129" s="27">
        <f t="shared" si="693"/>
        <v>1006.204173716864</v>
      </c>
      <c r="BK129" s="27">
        <f t="shared" si="693"/>
        <v>1002.2259321090706</v>
      </c>
      <c r="BL129" s="27">
        <f t="shared" si="693"/>
        <v>990.41713641488161</v>
      </c>
      <c r="BM129" s="27">
        <f t="shared" si="693"/>
        <v>993.79932356257041</v>
      </c>
      <c r="BN129" s="28">
        <f t="shared" si="693"/>
        <v>998.17364428210169</v>
      </c>
      <c r="BO129" s="27">
        <f t="shared" si="693"/>
        <v>1017.0789163722026</v>
      </c>
      <c r="BP129" s="27">
        <f t="shared" si="693"/>
        <v>1004.4198895027624</v>
      </c>
      <c r="BQ129" s="27">
        <f t="shared" si="693"/>
        <v>982.33995584988963</v>
      </c>
      <c r="BR129" s="27">
        <f t="shared" si="693"/>
        <v>1018.6335403726708</v>
      </c>
      <c r="BS129" s="28">
        <f t="shared" si="693"/>
        <v>1005.3589056550557</v>
      </c>
      <c r="BT129" s="27">
        <f t="shared" si="693"/>
        <v>1038.3295194508009</v>
      </c>
      <c r="BU129" s="27">
        <f t="shared" si="693"/>
        <v>1018.9496480779643</v>
      </c>
      <c r="BV129" s="27">
        <f t="shared" si="693"/>
        <v>1001.09829763866</v>
      </c>
      <c r="BW129" s="27">
        <f t="shared" si="693"/>
        <v>1012.3192287091591</v>
      </c>
      <c r="BX129" s="28">
        <f t="shared" si="693"/>
        <v>1017.4378690100233</v>
      </c>
      <c r="BY129" s="27">
        <f t="shared" si="693"/>
        <v>1039.4736842105262</v>
      </c>
      <c r="BZ129" s="27">
        <f t="shared" si="693"/>
        <v>1037.7754459601258</v>
      </c>
      <c r="CA129" s="27">
        <f t="shared" si="693"/>
        <v>1057.2372041827189</v>
      </c>
      <c r="CB129" s="27">
        <f t="shared" si="693"/>
        <v>1089.2586989409986</v>
      </c>
      <c r="CC129" s="28">
        <f t="shared" ref="CC129:DH129" si="694">CC126*1000/CC23</f>
        <v>1056.4409030544489</v>
      </c>
      <c r="CD129" s="27">
        <f t="shared" si="694"/>
        <v>1128.5249457700652</v>
      </c>
      <c r="CE129" s="27">
        <f t="shared" si="694"/>
        <v>1137.5066880684858</v>
      </c>
      <c r="CF129" s="27">
        <f t="shared" si="694"/>
        <v>1153.3809785596482</v>
      </c>
      <c r="CG129" s="27">
        <f t="shared" si="694"/>
        <v>1205.7205720572058</v>
      </c>
      <c r="CH129" s="28">
        <f t="shared" si="694"/>
        <v>1156.0544217687075</v>
      </c>
      <c r="CI129" s="27">
        <f t="shared" si="694"/>
        <v>1255.750273822563</v>
      </c>
      <c r="CJ129" s="27">
        <f t="shared" si="694"/>
        <v>1272.192513368984</v>
      </c>
      <c r="CK129" s="27">
        <f t="shared" si="694"/>
        <v>1279.1576673866091</v>
      </c>
      <c r="CL129" s="27">
        <f t="shared" si="694"/>
        <v>1295.0276243093922</v>
      </c>
      <c r="CM129" s="28">
        <f t="shared" si="694"/>
        <v>1275.4824680619733</v>
      </c>
      <c r="CN129" s="27">
        <f t="shared" si="694"/>
        <v>1346.4387464387464</v>
      </c>
      <c r="CO129" s="27">
        <f t="shared" si="694"/>
        <v>1353.0377668308702</v>
      </c>
      <c r="CP129" s="27">
        <f t="shared" si="694"/>
        <v>1377.3265651438239</v>
      </c>
      <c r="CQ129" s="27">
        <f t="shared" si="694"/>
        <v>1425.8943781942078</v>
      </c>
      <c r="CR129" s="28">
        <f t="shared" si="694"/>
        <v>1375.4918493535695</v>
      </c>
      <c r="CS129" s="27">
        <f t="shared" si="694"/>
        <v>1545.7192778101339</v>
      </c>
      <c r="CT129" s="27">
        <f t="shared" si="694"/>
        <v>1603.3802816901409</v>
      </c>
      <c r="CU129" s="27">
        <f t="shared" si="694"/>
        <v>1674.9422632794458</v>
      </c>
      <c r="CV129" s="27">
        <f t="shared" si="694"/>
        <v>1621.3349968808484</v>
      </c>
      <c r="CW129" s="28">
        <f t="shared" si="694"/>
        <v>1611.2494507104145</v>
      </c>
      <c r="CX129" s="27">
        <f t="shared" si="694"/>
        <v>1539.1120507399578</v>
      </c>
      <c r="CY129" s="27">
        <f t="shared" si="694"/>
        <v>1507.4415308291991</v>
      </c>
      <c r="CZ129" s="27">
        <f t="shared" si="694"/>
        <v>1519.4539249146758</v>
      </c>
      <c r="DA129" s="27">
        <f t="shared" si="694"/>
        <v>1514.6862483311081</v>
      </c>
      <c r="DB129" s="28">
        <f t="shared" si="694"/>
        <v>1520.1104781633005</v>
      </c>
      <c r="DC129" s="27">
        <f t="shared" si="694"/>
        <v>1633.2436069986541</v>
      </c>
      <c r="DD129" s="27">
        <f t="shared" si="694"/>
        <v>1623.9048811013768</v>
      </c>
      <c r="DE129" s="27">
        <f t="shared" si="694"/>
        <v>1604.1019266625233</v>
      </c>
      <c r="DF129" s="27">
        <f t="shared" si="694"/>
        <v>1623.2998225901833</v>
      </c>
      <c r="DG129" s="28">
        <f t="shared" si="694"/>
        <v>1620.9273182957393</v>
      </c>
      <c r="DH129" s="27">
        <f t="shared" si="694"/>
        <v>1719.2211055276382</v>
      </c>
      <c r="DI129" s="27">
        <f t="shared" ref="DI129:DX129" si="695">DI126*1000/DI23</f>
        <v>1789.793438639125</v>
      </c>
      <c r="DJ129" s="27">
        <f t="shared" si="695"/>
        <v>1785.6701667696109</v>
      </c>
      <c r="DK129" s="27">
        <f t="shared" si="695"/>
        <v>1784.4348363187153</v>
      </c>
      <c r="DL129" s="28">
        <f t="shared" si="695"/>
        <v>1770.0741198270537</v>
      </c>
      <c r="DM129" s="27">
        <f t="shared" si="695"/>
        <v>1807.7403245942571</v>
      </c>
      <c r="DN129" s="27">
        <f t="shared" si="695"/>
        <v>1792.0731707317073</v>
      </c>
      <c r="DO129" s="27">
        <f t="shared" si="695"/>
        <v>1749.375</v>
      </c>
      <c r="DP129" s="27">
        <f t="shared" si="695"/>
        <v>1790.6828334396937</v>
      </c>
      <c r="DQ129" s="28">
        <f t="shared" si="695"/>
        <v>1784.9898580121703</v>
      </c>
      <c r="DR129" s="27">
        <f t="shared" si="695"/>
        <v>1806.942161349082</v>
      </c>
      <c r="DS129" s="27">
        <f t="shared" si="695"/>
        <v>1797.7053140096618</v>
      </c>
      <c r="DT129" s="27">
        <f t="shared" si="695"/>
        <v>1746.8046256847231</v>
      </c>
      <c r="DU129" s="27">
        <f t="shared" si="695"/>
        <v>1765.9446450060168</v>
      </c>
      <c r="DV129" s="28">
        <f t="shared" si="695"/>
        <v>1779.0621715604007</v>
      </c>
      <c r="DW129" s="27">
        <f t="shared" si="695"/>
        <v>1771.6049382716049</v>
      </c>
      <c r="DX129" s="27">
        <f t="shared" si="695"/>
        <v>1776.5300393037619</v>
      </c>
      <c r="DY129" s="27">
        <f t="shared" ref="DY129:ED129" si="696">DY126*1000/DY23</f>
        <v>1765.0739476678043</v>
      </c>
      <c r="DZ129" s="27">
        <f t="shared" si="696"/>
        <v>1763.7805139723087</v>
      </c>
      <c r="EA129" s="28">
        <f t="shared" si="696"/>
        <v>1769.2203718832429</v>
      </c>
      <c r="EB129" s="27">
        <f t="shared" si="696"/>
        <v>1750.6407394040971</v>
      </c>
      <c r="EC129" s="27">
        <f t="shared" si="696"/>
        <v>1670.2671972711769</v>
      </c>
      <c r="ED129" s="27">
        <f t="shared" si="696"/>
        <v>1666.4719626168223</v>
      </c>
      <c r="EE129" s="27">
        <f t="shared" ref="EE129:EK129" si="697">EE126*1000/EE23</f>
        <v>1619.3353474320243</v>
      </c>
      <c r="EF129" s="28">
        <f t="shared" si="697"/>
        <v>1676.2734752981512</v>
      </c>
      <c r="EG129" s="27">
        <f t="shared" si="697"/>
        <v>1636.3636363636363</v>
      </c>
      <c r="EH129" s="27">
        <f t="shared" si="697"/>
        <v>1634.4827586206898</v>
      </c>
      <c r="EI129" s="27">
        <f t="shared" si="697"/>
        <v>1672.8081321473951</v>
      </c>
      <c r="EJ129" s="27">
        <f t="shared" si="697"/>
        <v>1688.6192952050837</v>
      </c>
      <c r="EK129" s="28">
        <f t="shared" si="697"/>
        <v>1658.8125871957836</v>
      </c>
      <c r="EL129" s="27">
        <f t="shared" ref="EL129:EP129" si="698">EL126*1000/EL23</f>
        <v>1755.6532663316582</v>
      </c>
      <c r="EM129" s="27">
        <f t="shared" si="698"/>
        <v>1713.5802469135801</v>
      </c>
      <c r="EN129" s="27">
        <f t="shared" si="698"/>
        <v>1668.5570258349087</v>
      </c>
      <c r="EO129" s="27">
        <f t="shared" si="698"/>
        <v>1720.7995003123049</v>
      </c>
      <c r="EP129" s="28">
        <f t="shared" si="698"/>
        <v>1714.6875</v>
      </c>
      <c r="EQ129" s="27">
        <f t="shared" ref="EQ129" si="699">EQ126*1000/EQ23</f>
        <v>1782.6370757180157</v>
      </c>
      <c r="ER129" s="27">
        <f t="shared" ref="ER129" si="700">EM129*(1+ER130)</f>
        <v>1739.9975589052785</v>
      </c>
      <c r="ES129" s="27">
        <f t="shared" ref="ES129:ET129" si="701">EN129*(1+ES130)</f>
        <v>1725.4320334905995</v>
      </c>
      <c r="ET129" s="27">
        <f t="shared" si="701"/>
        <v>1774.2325218276428</v>
      </c>
      <c r="EU129" s="28">
        <f>EU126*1000/EU23</f>
        <v>1755.4633201485965</v>
      </c>
      <c r="EV129" s="27"/>
      <c r="EW129" s="27"/>
      <c r="EX129" s="27"/>
      <c r="EY129" s="27"/>
      <c r="EZ129" s="28">
        <f>EU129*(1+EZ130)</f>
        <v>1773.2022642831764</v>
      </c>
      <c r="FA129" s="27"/>
      <c r="FB129" s="27"/>
      <c r="FC129" s="27"/>
      <c r="FD129" s="27"/>
      <c r="FE129" s="28">
        <f>EZ129*(1+FE130)</f>
        <v>1791.7002600122653</v>
      </c>
      <c r="FG129" s="484"/>
      <c r="FH129" s="777"/>
      <c r="FI129" s="777"/>
      <c r="FJ129" s="777"/>
      <c r="FK129" s="175"/>
      <c r="FL129" s="1347"/>
      <c r="FM129" s="1535">
        <f t="shared" si="657"/>
        <v>1782.6370757180157</v>
      </c>
      <c r="FN129" s="1426">
        <f t="shared" si="658"/>
        <v>1755.6532663316582</v>
      </c>
      <c r="FO129" s="1814">
        <v>1770.5792982785556</v>
      </c>
      <c r="FP129" s="1753">
        <f>+FM129/FN129-1</f>
        <v>1.5369668888401078E-2</v>
      </c>
      <c r="FQ129" s="1532">
        <f>+FM129/FO129-1</f>
        <v>6.8100747880557311E-3</v>
      </c>
      <c r="FR129" s="1619"/>
      <c r="FS129" s="1619"/>
      <c r="FT129" s="1649" t="s">
        <v>454</v>
      </c>
      <c r="FU129" s="1691">
        <f>+FU131*FV131+FU132*FV132</f>
        <v>0.10062499999999999</v>
      </c>
      <c r="FV129" s="433">
        <f>+FV127-FV128</f>
        <v>0.1867620751341682</v>
      </c>
      <c r="FW129" s="1691">
        <f>+FW131*FX131+FW132*FX132</f>
        <v>0.10165254237288138</v>
      </c>
      <c r="FX129" s="433">
        <f>+FX127-FX128</f>
        <v>0.19092219020172907</v>
      </c>
      <c r="FY129" s="355"/>
      <c r="FZ129" s="484"/>
      <c r="GA129"/>
      <c r="GB129"/>
      <c r="GC129"/>
      <c r="GD129"/>
      <c r="GE129"/>
      <c r="GF129"/>
      <c r="GG129"/>
      <c r="GH129"/>
      <c r="GI129"/>
      <c r="GJ129"/>
      <c r="GK129"/>
      <c r="GL129"/>
      <c r="GM129"/>
      <c r="GN129"/>
      <c r="GO129"/>
      <c r="GP129"/>
      <c r="GQ129"/>
      <c r="GR129"/>
      <c r="GS129"/>
      <c r="GT129"/>
      <c r="GU129"/>
      <c r="GV129"/>
      <c r="GW129"/>
      <c r="GX129"/>
      <c r="GY129"/>
      <c r="GZ129"/>
      <c r="HA129"/>
      <c r="HB129"/>
      <c r="HC129"/>
      <c r="HD129"/>
      <c r="HE129"/>
      <c r="HF129"/>
      <c r="HG129"/>
      <c r="HH129"/>
      <c r="HI129"/>
      <c r="HJ129"/>
      <c r="HK129"/>
      <c r="HL129"/>
      <c r="HM129"/>
      <c r="HN129"/>
      <c r="HO129"/>
      <c r="HP129"/>
      <c r="HQ129"/>
      <c r="HR129"/>
      <c r="HS129"/>
      <c r="HT129"/>
      <c r="HU129"/>
      <c r="HV129"/>
      <c r="HW129"/>
      <c r="HX129"/>
      <c r="HY129"/>
      <c r="HZ129"/>
      <c r="IA129"/>
      <c r="IB129"/>
      <c r="IC129"/>
      <c r="ID129"/>
      <c r="IE129"/>
      <c r="IF129"/>
      <c r="IG129"/>
      <c r="IH129"/>
      <c r="II129"/>
      <c r="IJ129"/>
      <c r="IK129"/>
      <c r="IL129"/>
      <c r="IM129"/>
      <c r="IN129"/>
      <c r="IO129"/>
      <c r="IP129"/>
      <c r="IQ129"/>
      <c r="IR129"/>
      <c r="IS129"/>
      <c r="IT129"/>
      <c r="IU129"/>
      <c r="IV129"/>
      <c r="IW129"/>
      <c r="IX129"/>
    </row>
    <row r="130" spans="1:258" s="45" customFormat="1" x14ac:dyDescent="0.2">
      <c r="A130" s="559" t="s">
        <v>466</v>
      </c>
      <c r="B130" s="10"/>
      <c r="C130" s="10"/>
      <c r="D130" s="10"/>
      <c r="E130" s="10"/>
      <c r="F130" s="9"/>
      <c r="G130" s="10"/>
      <c r="H130" s="10"/>
      <c r="I130" s="10"/>
      <c r="J130" s="10"/>
      <c r="K130" s="9"/>
      <c r="L130" s="10"/>
      <c r="M130" s="10"/>
      <c r="N130" s="10"/>
      <c r="O130" s="10"/>
      <c r="P130" s="9"/>
      <c r="Q130" s="10"/>
      <c r="R130" s="10"/>
      <c r="S130" s="10"/>
      <c r="T130" s="10"/>
      <c r="U130" s="9"/>
      <c r="V130" s="10">
        <f t="shared" ref="V130:AV130" si="702">V129/Q129-1</f>
        <v>-2.1978871347095863E-3</v>
      </c>
      <c r="W130" s="10">
        <f t="shared" si="702"/>
        <v>7.9806122074161934E-3</v>
      </c>
      <c r="X130" s="10">
        <f t="shared" si="702"/>
        <v>-4.0926780582888345E-3</v>
      </c>
      <c r="Y130" s="10">
        <f t="shared" si="702"/>
        <v>2.1154618978248996E-2</v>
      </c>
      <c r="Z130" s="9">
        <f t="shared" si="702"/>
        <v>5.7725426671295654E-3</v>
      </c>
      <c r="AA130" s="10">
        <f t="shared" si="702"/>
        <v>-3.568874785014553E-3</v>
      </c>
      <c r="AB130" s="10">
        <f t="shared" si="702"/>
        <v>-1.1011190598999798E-2</v>
      </c>
      <c r="AC130" s="10">
        <f t="shared" si="702"/>
        <v>4.0618737453874676E-3</v>
      </c>
      <c r="AD130" s="10">
        <f t="shared" si="702"/>
        <v>-2.2886422391720562E-2</v>
      </c>
      <c r="AE130" s="9">
        <f t="shared" si="702"/>
        <v>-8.6275606084976753E-3</v>
      </c>
      <c r="AF130" s="10">
        <f t="shared" si="702"/>
        <v>1.4949640738884939E-2</v>
      </c>
      <c r="AG130" s="10">
        <f t="shared" si="702"/>
        <v>2.8354953148979289E-2</v>
      </c>
      <c r="AH130" s="10">
        <f t="shared" si="702"/>
        <v>2.9537228890088585E-2</v>
      </c>
      <c r="AI130" s="10">
        <f t="shared" si="702"/>
        <v>4.9083314714133186E-2</v>
      </c>
      <c r="AJ130" s="9">
        <f t="shared" si="702"/>
        <v>3.0595102285928544E-2</v>
      </c>
      <c r="AK130" s="10">
        <f t="shared" si="702"/>
        <v>3.0261100253676787E-2</v>
      </c>
      <c r="AL130" s="10">
        <f t="shared" si="702"/>
        <v>1.7108291005540677E-2</v>
      </c>
      <c r="AM130" s="10">
        <f t="shared" si="702"/>
        <v>2.4124677902359615E-3</v>
      </c>
      <c r="AN130" s="10">
        <f t="shared" si="702"/>
        <v>-4.4205086698001494E-4</v>
      </c>
      <c r="AO130" s="9">
        <f t="shared" si="702"/>
        <v>1.2148420475603716E-2</v>
      </c>
      <c r="AP130" s="10">
        <f t="shared" si="702"/>
        <v>-1.6795890676487679E-2</v>
      </c>
      <c r="AQ130" s="10">
        <f t="shared" si="702"/>
        <v>-1.7229415810877668E-2</v>
      </c>
      <c r="AR130" s="10">
        <f t="shared" si="702"/>
        <v>-7.9476218099591156E-3</v>
      </c>
      <c r="AS130" s="10">
        <f t="shared" si="702"/>
        <v>-1.608091694262781E-2</v>
      </c>
      <c r="AT130" s="9">
        <f t="shared" si="702"/>
        <v>-1.4457836759084852E-2</v>
      </c>
      <c r="AU130" s="10">
        <f t="shared" si="702"/>
        <v>5.081155621261324E-3</v>
      </c>
      <c r="AV130" s="10">
        <f t="shared" si="702"/>
        <v>1.6040993251120739E-4</v>
      </c>
      <c r="AW130" s="10">
        <f t="shared" ref="AW130:CB130" si="703">AW129/AR129-1</f>
        <v>-2.1769340542695526E-3</v>
      </c>
      <c r="AX130" s="10">
        <f t="shared" si="703"/>
        <v>-5.6195718666302019E-3</v>
      </c>
      <c r="AY130" s="9">
        <f t="shared" si="703"/>
        <v>-6.7200312571102927E-4</v>
      </c>
      <c r="AZ130" s="10">
        <f t="shared" si="703"/>
        <v>-5.1563383853160394E-3</v>
      </c>
      <c r="BA130" s="10">
        <f t="shared" si="703"/>
        <v>1.1361894543225004E-2</v>
      </c>
      <c r="BB130" s="10">
        <f t="shared" si="703"/>
        <v>1.3262279665315901E-4</v>
      </c>
      <c r="BC130" s="10">
        <f t="shared" si="703"/>
        <v>9.4015303432526398E-3</v>
      </c>
      <c r="BD130" s="9">
        <f t="shared" si="703"/>
        <v>3.3216989598967572E-3</v>
      </c>
      <c r="BE130" s="10">
        <f t="shared" si="703"/>
        <v>-5.2660506709522048E-3</v>
      </c>
      <c r="BF130" s="10">
        <f t="shared" si="703"/>
        <v>5.5416679851068018E-3</v>
      </c>
      <c r="BG130" s="10">
        <f t="shared" si="703"/>
        <v>1.6300802132762637E-2</v>
      </c>
      <c r="BH130" s="10">
        <f t="shared" si="703"/>
        <v>2.9592406476828703E-2</v>
      </c>
      <c r="BI130" s="9">
        <f t="shared" si="703"/>
        <v>1.2052029101514483E-2</v>
      </c>
      <c r="BJ130" s="10">
        <f>BJ129/BE129-1</f>
        <v>3.5930383977172742E-2</v>
      </c>
      <c r="BK130" s="10">
        <f>BK129/BF129-1</f>
        <v>2.1457241113356451E-2</v>
      </c>
      <c r="BL130" s="10">
        <f>BL129/BG129-1</f>
        <v>1.8954579328530619E-2</v>
      </c>
      <c r="BM130" s="10">
        <f>BM129/BH129-1</f>
        <v>-2.860174509488167E-3</v>
      </c>
      <c r="BN130" s="9">
        <f>BN129/BI129-1</f>
        <v>1.8351419051501505E-2</v>
      </c>
      <c r="BO130" s="10">
        <f t="shared" si="703"/>
        <v>1.0807689869907655E-2</v>
      </c>
      <c r="BP130" s="10">
        <f t="shared" si="703"/>
        <v>2.1890846399024166E-3</v>
      </c>
      <c r="BQ130" s="10">
        <f t="shared" si="703"/>
        <v>-8.1553319990300688E-3</v>
      </c>
      <c r="BR130" s="10">
        <f t="shared" si="703"/>
        <v>2.4989166546295127E-2</v>
      </c>
      <c r="BS130" s="9">
        <f t="shared" si="703"/>
        <v>7.1984082269791472E-3</v>
      </c>
      <c r="BT130" s="10">
        <f t="shared" si="703"/>
        <v>2.0893760293839048E-2</v>
      </c>
      <c r="BU130" s="10">
        <f t="shared" si="703"/>
        <v>1.4465821243737853E-2</v>
      </c>
      <c r="BV130" s="10">
        <f t="shared" si="703"/>
        <v>1.9095570405197826E-2</v>
      </c>
      <c r="BW130" s="10">
        <f t="shared" si="703"/>
        <v>-6.1988059623498959E-3</v>
      </c>
      <c r="BX130" s="9">
        <f t="shared" si="703"/>
        <v>1.2014578363034767E-2</v>
      </c>
      <c r="BY130" s="10">
        <f t="shared" si="703"/>
        <v>1.1019283746556141E-3</v>
      </c>
      <c r="BZ130" s="10">
        <f t="shared" si="703"/>
        <v>1.847569005757288E-2</v>
      </c>
      <c r="CA130" s="10">
        <f t="shared" si="703"/>
        <v>5.6077316959260104E-2</v>
      </c>
      <c r="CB130" s="10">
        <f t="shared" si="703"/>
        <v>7.6003169800446635E-2</v>
      </c>
      <c r="CC130" s="9">
        <f t="shared" ref="CC130:DN130" si="704">CC129/BX129-1</f>
        <v>3.8334560991302613E-2</v>
      </c>
      <c r="CD130" s="10">
        <f t="shared" si="704"/>
        <v>8.5669568082594516E-2</v>
      </c>
      <c r="CE130" s="10">
        <f t="shared" si="704"/>
        <v>9.6100984559420732E-2</v>
      </c>
      <c r="CF130" s="10">
        <f t="shared" si="704"/>
        <v>9.0938697575679628E-2</v>
      </c>
      <c r="CG130" s="10">
        <f t="shared" si="704"/>
        <v>0.10691846962474028</v>
      </c>
      <c r="CH130" s="9">
        <f t="shared" si="704"/>
        <v>9.4291614823176273E-2</v>
      </c>
      <c r="CI130" s="10">
        <f t="shared" si="704"/>
        <v>0.11273594662604802</v>
      </c>
      <c r="CJ130" s="10">
        <f t="shared" si="704"/>
        <v>0.11840442497019343</v>
      </c>
      <c r="CK130" s="10">
        <f t="shared" si="704"/>
        <v>0.10905042753872363</v>
      </c>
      <c r="CL130" s="10">
        <f t="shared" si="704"/>
        <v>7.406944388434078E-2</v>
      </c>
      <c r="CM130" s="9">
        <f t="shared" si="704"/>
        <v>0.10330659529898845</v>
      </c>
      <c r="CN130" s="10">
        <f t="shared" si="704"/>
        <v>7.2218556911099352E-2</v>
      </c>
      <c r="CO130" s="10">
        <f t="shared" si="704"/>
        <v>6.3547971405517822E-2</v>
      </c>
      <c r="CP130" s="10">
        <f t="shared" si="704"/>
        <v>7.6744955106104573E-2</v>
      </c>
      <c r="CQ130" s="10">
        <f t="shared" si="704"/>
        <v>0.10105325278648292</v>
      </c>
      <c r="CR130" s="9">
        <f t="shared" si="704"/>
        <v>7.8409059940710124E-2</v>
      </c>
      <c r="CS130" s="10">
        <f t="shared" si="704"/>
        <v>0.14800564221615953</v>
      </c>
      <c r="CT130" s="10">
        <f t="shared" si="704"/>
        <v>0.18502256255982519</v>
      </c>
      <c r="CU130" s="10">
        <f t="shared" si="704"/>
        <v>0.21608215921148965</v>
      </c>
      <c r="CV130" s="10">
        <f t="shared" si="704"/>
        <v>0.13706528455084599</v>
      </c>
      <c r="CW130" s="9">
        <f t="shared" si="704"/>
        <v>0.17139876289898948</v>
      </c>
      <c r="CX130" s="10">
        <f t="shared" si="704"/>
        <v>-4.274532358512606E-3</v>
      </c>
      <c r="CY130" s="10">
        <f t="shared" si="704"/>
        <v>-5.9835306668366672E-2</v>
      </c>
      <c r="CZ130" s="10">
        <f t="shared" si="704"/>
        <v>-9.2832058616953317E-2</v>
      </c>
      <c r="DA130" s="10">
        <f t="shared" si="704"/>
        <v>-6.5778354723060262E-2</v>
      </c>
      <c r="DB130" s="9">
        <f t="shared" si="704"/>
        <v>-5.656416050719526E-2</v>
      </c>
      <c r="DC130" s="10">
        <f t="shared" si="704"/>
        <v>6.1159651250499047E-2</v>
      </c>
      <c r="DD130" s="10">
        <f t="shared" si="704"/>
        <v>7.725895027458507E-2</v>
      </c>
      <c r="DE130" s="10">
        <f t="shared" si="704"/>
        <v>5.5709489020932867E-2</v>
      </c>
      <c r="DF130" s="10">
        <f t="shared" si="704"/>
        <v>7.1706978510398756E-2</v>
      </c>
      <c r="DG130" s="9">
        <f>DG129/DB129-1</f>
        <v>6.6322048022622981E-2</v>
      </c>
      <c r="DH130" s="10">
        <f t="shared" si="704"/>
        <v>5.2642176684825071E-2</v>
      </c>
      <c r="DI130" s="10">
        <f t="shared" si="704"/>
        <v>0.10215410980551898</v>
      </c>
      <c r="DJ130" s="10">
        <f t="shared" si="704"/>
        <v>0.11318996448365137</v>
      </c>
      <c r="DK130" s="10">
        <f t="shared" si="704"/>
        <v>9.926386455917946E-2</v>
      </c>
      <c r="DL130" s="9">
        <f>DL129/DG129-1</f>
        <v>9.2013256762264239E-2</v>
      </c>
      <c r="DM130" s="10">
        <f t="shared" si="704"/>
        <v>5.1487978353692787E-2</v>
      </c>
      <c r="DN130" s="10">
        <f t="shared" si="704"/>
        <v>1.2737403341447351E-3</v>
      </c>
      <c r="DO130" s="10">
        <f t="shared" ref="DO130:DU130" si="705">DO129/DJ129-1</f>
        <v>-2.0325795572466276E-2</v>
      </c>
      <c r="DP130" s="10">
        <f t="shared" si="705"/>
        <v>3.501387102410547E-3</v>
      </c>
      <c r="DQ130" s="9">
        <f t="shared" si="705"/>
        <v>8.4266178563041638E-3</v>
      </c>
      <c r="DR130" s="10">
        <f t="shared" si="705"/>
        <v>-4.4152538631581084E-4</v>
      </c>
      <c r="DS130" s="10">
        <f t="shared" si="705"/>
        <v>3.1428087702773944E-3</v>
      </c>
      <c r="DT130" s="10">
        <f t="shared" si="705"/>
        <v>-1.4693100766142164E-3</v>
      </c>
      <c r="DU130" s="10">
        <f t="shared" si="705"/>
        <v>-1.3814946997709132E-2</v>
      </c>
      <c r="DV130" s="9">
        <f t="shared" ref="DV130:ED130" si="706">DV129/DQ129-1</f>
        <v>-3.3208516144572764E-3</v>
      </c>
      <c r="DW130" s="10">
        <f t="shared" si="706"/>
        <v>-1.9556366458954089E-2</v>
      </c>
      <c r="DX130" s="10">
        <f t="shared" si="706"/>
        <v>-1.1779057747050792E-2</v>
      </c>
      <c r="DY130" s="10">
        <f t="shared" si="706"/>
        <v>1.0458709414007838E-2</v>
      </c>
      <c r="DZ130" s="10">
        <f t="shared" si="706"/>
        <v>-1.2254806739431245E-3</v>
      </c>
      <c r="EA130" s="9">
        <f t="shared" si="706"/>
        <v>-5.5320155947813365E-3</v>
      </c>
      <c r="EB130" s="10">
        <f t="shared" si="706"/>
        <v>-1.1833450231833686E-2</v>
      </c>
      <c r="EC130" s="10">
        <f t="shared" si="706"/>
        <v>-5.9814829854625162E-2</v>
      </c>
      <c r="ED130" s="10">
        <f t="shared" si="706"/>
        <v>-5.5862806870649817E-2</v>
      </c>
      <c r="EE130" s="10">
        <f t="shared" ref="EE130:EQ130" si="707">EE129/DZ129-1</f>
        <v>-8.1895204871592187E-2</v>
      </c>
      <c r="EF130" s="9">
        <f t="shared" si="707"/>
        <v>-5.2535511156337478E-2</v>
      </c>
      <c r="EG130" s="10">
        <f t="shared" si="707"/>
        <v>-6.5277301315037284E-2</v>
      </c>
      <c r="EH130" s="10">
        <f t="shared" si="707"/>
        <v>-2.1424379709396479E-2</v>
      </c>
      <c r="EI130" s="10">
        <f t="shared" si="707"/>
        <v>3.8021458942658626E-3</v>
      </c>
      <c r="EJ130" s="10">
        <f t="shared" si="707"/>
        <v>4.2785422971796105E-2</v>
      </c>
      <c r="EK130" s="9">
        <f t="shared" si="707"/>
        <v>-1.0416491318197219E-2</v>
      </c>
      <c r="EL130" s="10">
        <f t="shared" si="707"/>
        <v>7.2899218313791092E-2</v>
      </c>
      <c r="EM130" s="10">
        <f t="shared" si="707"/>
        <v>4.8392978069489834E-2</v>
      </c>
      <c r="EN130" s="10">
        <f t="shared" si="707"/>
        <v>-2.5412994059451632E-3</v>
      </c>
      <c r="EO130" s="10">
        <f t="shared" si="707"/>
        <v>1.905711085891193E-2</v>
      </c>
      <c r="EP130" s="9">
        <f t="shared" si="707"/>
        <v>3.368368026352675E-2</v>
      </c>
      <c r="EQ130" s="10">
        <f t="shared" si="707"/>
        <v>1.5369668888401078E-2</v>
      </c>
      <c r="ER130" s="10">
        <f t="shared" ref="ER130" si="708">ER133+ER136</f>
        <v>1.5416442876999861E-2</v>
      </c>
      <c r="ES130" s="10">
        <f t="shared" ref="ES130:ET130" si="709">ES133+ES136</f>
        <v>3.4086343334434166E-2</v>
      </c>
      <c r="ET130" s="10">
        <f t="shared" si="709"/>
        <v>3.1051276749929524E-2</v>
      </c>
      <c r="EU130" s="9">
        <f>EU129/EP129-1</f>
        <v>2.378032157381238E-2</v>
      </c>
      <c r="EV130" s="316"/>
      <c r="EW130" s="316"/>
      <c r="EX130" s="316"/>
      <c r="EY130" s="316"/>
      <c r="EZ130" s="9">
        <f>EZ133+EZ136</f>
        <v>1.0104992756600793E-2</v>
      </c>
      <c r="FA130" s="316"/>
      <c r="FB130" s="316"/>
      <c r="FC130" s="316"/>
      <c r="FD130" s="316"/>
      <c r="FE130" s="9">
        <f>FE133+FE136</f>
        <v>1.0431971637802254E-2</v>
      </c>
      <c r="FF130" s="44"/>
      <c r="FG130" s="488"/>
      <c r="FH130" s="776"/>
      <c r="FI130" s="776"/>
      <c r="FJ130" s="776"/>
      <c r="FK130" s="83"/>
      <c r="FL130" s="1346"/>
      <c r="FM130" s="1141">
        <f t="shared" si="657"/>
        <v>1.5369668888401078E-2</v>
      </c>
      <c r="FN130" s="1418">
        <f t="shared" si="658"/>
        <v>7.2899218313791092E-2</v>
      </c>
      <c r="FO130" s="1750">
        <v>8.501696908572734E-3</v>
      </c>
      <c r="FP130" s="1512"/>
      <c r="FQ130" s="1982">
        <f>+(FM130-FO130)</f>
        <v>6.867971979828344E-3</v>
      </c>
      <c r="FR130" s="1619"/>
      <c r="FS130" s="1619"/>
      <c r="FT130" s="354"/>
      <c r="FU130" s="354"/>
      <c r="FV130" s="354"/>
      <c r="FW130" s="354"/>
      <c r="FX130" s="354"/>
      <c r="FY130" s="354"/>
      <c r="FZ130" s="488"/>
      <c r="GA130"/>
      <c r="GB130"/>
      <c r="GC130"/>
      <c r="GD130"/>
      <c r="GE130"/>
      <c r="GF130"/>
      <c r="GG130"/>
      <c r="GH130"/>
      <c r="GI130"/>
      <c r="GJ130"/>
      <c r="GK130"/>
      <c r="GL130"/>
      <c r="GM130"/>
      <c r="GN130"/>
      <c r="GO130"/>
      <c r="GP130"/>
      <c r="GQ130"/>
      <c r="GR130"/>
      <c r="GS130"/>
      <c r="GT130"/>
      <c r="GU130"/>
      <c r="GV130"/>
      <c r="GW130"/>
      <c r="GX130"/>
      <c r="GY130"/>
      <c r="GZ130"/>
      <c r="HA130"/>
      <c r="HB130"/>
      <c r="HC130"/>
      <c r="HD130"/>
      <c r="HE130"/>
      <c r="HF130"/>
      <c r="HG130"/>
      <c r="HH130"/>
      <c r="HI130"/>
      <c r="HJ130"/>
      <c r="HK130"/>
      <c r="HL130"/>
      <c r="HM130"/>
      <c r="HN130"/>
      <c r="HO130"/>
      <c r="HP130"/>
      <c r="HQ130"/>
      <c r="HR130"/>
      <c r="HS130"/>
      <c r="HT130"/>
      <c r="HU130"/>
      <c r="HV130"/>
      <c r="HW130"/>
      <c r="HX130"/>
      <c r="HY130"/>
      <c r="HZ130"/>
      <c r="IA130"/>
      <c r="IB130"/>
      <c r="IC130"/>
      <c r="ID130"/>
      <c r="IE130"/>
      <c r="IF130"/>
      <c r="IG130"/>
      <c r="IH130"/>
      <c r="II130"/>
      <c r="IJ130"/>
      <c r="IK130"/>
      <c r="IL130"/>
      <c r="IM130"/>
      <c r="IN130"/>
      <c r="IO130"/>
      <c r="IP130"/>
      <c r="IQ130"/>
      <c r="IR130"/>
      <c r="IS130"/>
      <c r="IT130"/>
      <c r="IU130"/>
      <c r="IV130"/>
      <c r="IW130"/>
      <c r="IX130"/>
    </row>
    <row r="131" spans="1:258" s="382" customFormat="1" x14ac:dyDescent="0.2">
      <c r="A131" s="580" t="s">
        <v>262</v>
      </c>
      <c r="B131" s="380"/>
      <c r="C131" s="380"/>
      <c r="D131" s="380"/>
      <c r="E131" s="380"/>
      <c r="F131" s="381"/>
      <c r="G131" s="380"/>
      <c r="H131" s="380"/>
      <c r="I131" s="380"/>
      <c r="J131" s="380"/>
      <c r="K131" s="381"/>
      <c r="L131" s="380"/>
      <c r="M131" s="380"/>
      <c r="N131" s="380"/>
      <c r="O131" s="380"/>
      <c r="P131" s="381"/>
      <c r="Q131" s="380"/>
      <c r="R131" s="380"/>
      <c r="S131" s="380"/>
      <c r="T131" s="380"/>
      <c r="U131" s="381"/>
      <c r="V131" s="380"/>
      <c r="W131" s="380"/>
      <c r="X131" s="380"/>
      <c r="Y131" s="380"/>
      <c r="Z131" s="381"/>
      <c r="AA131" s="380"/>
      <c r="AB131" s="380"/>
      <c r="AC131" s="380"/>
      <c r="AD131" s="380"/>
      <c r="AE131" s="381"/>
      <c r="AF131" s="380"/>
      <c r="AG131" s="380"/>
      <c r="AH131" s="380"/>
      <c r="AI131" s="380"/>
      <c r="AJ131" s="381"/>
      <c r="AK131" s="380"/>
      <c r="AL131" s="380"/>
      <c r="AM131" s="380"/>
      <c r="AN131" s="380"/>
      <c r="AO131" s="381"/>
      <c r="AP131" s="380"/>
      <c r="AQ131" s="380"/>
      <c r="AR131" s="380"/>
      <c r="AS131" s="380"/>
      <c r="AT131" s="381"/>
      <c r="AU131" s="380"/>
      <c r="AV131" s="380"/>
      <c r="AW131" s="380"/>
      <c r="AX131" s="380"/>
      <c r="AY131" s="381"/>
      <c r="AZ131" s="380"/>
      <c r="BA131" s="380"/>
      <c r="BB131" s="380"/>
      <c r="BC131" s="380"/>
      <c r="BD131" s="381"/>
      <c r="BE131" s="380"/>
      <c r="BF131" s="380"/>
      <c r="BG131" s="380"/>
      <c r="BH131" s="380"/>
      <c r="BI131" s="381"/>
      <c r="BJ131" s="380"/>
      <c r="BK131" s="380"/>
      <c r="BL131" s="380"/>
      <c r="BM131" s="380"/>
      <c r="BN131" s="381"/>
      <c r="BO131" s="380"/>
      <c r="BP131" s="380"/>
      <c r="BQ131" s="380"/>
      <c r="BR131" s="380"/>
      <c r="BS131" s="381"/>
      <c r="BT131" s="380">
        <f t="shared" ref="BT131:CY131" si="710">BT129-(BT139/BT23*1000)</f>
        <v>1038.3295194508009</v>
      </c>
      <c r="BU131" s="380">
        <f t="shared" si="710"/>
        <v>1018.9496480779643</v>
      </c>
      <c r="BV131" s="380">
        <f t="shared" si="710"/>
        <v>1001.09829763866</v>
      </c>
      <c r="BW131" s="380">
        <f t="shared" si="710"/>
        <v>1012.3192287091591</v>
      </c>
      <c r="BX131" s="381">
        <f t="shared" si="710"/>
        <v>1017.4378690100233</v>
      </c>
      <c r="BY131" s="380">
        <f t="shared" si="710"/>
        <v>1039.4736842105262</v>
      </c>
      <c r="BZ131" s="380">
        <f t="shared" si="710"/>
        <v>1037.7754459601258</v>
      </c>
      <c r="CA131" s="380">
        <f t="shared" si="710"/>
        <v>1057.2372041827189</v>
      </c>
      <c r="CB131" s="380">
        <f t="shared" si="710"/>
        <v>1089.2586989409986</v>
      </c>
      <c r="CC131" s="381">
        <f t="shared" si="710"/>
        <v>1056.4409030544489</v>
      </c>
      <c r="CD131" s="380">
        <f t="shared" si="710"/>
        <v>1111.5618872573903</v>
      </c>
      <c r="CE131" s="380">
        <f t="shared" si="710"/>
        <v>1107.5748067672182</v>
      </c>
      <c r="CF131" s="380">
        <f t="shared" si="710"/>
        <v>1110.1652434400139</v>
      </c>
      <c r="CG131" s="380">
        <f t="shared" si="710"/>
        <v>1105.872666016701</v>
      </c>
      <c r="CH131" s="381">
        <f t="shared" si="710"/>
        <v>1108.7951725967764</v>
      </c>
      <c r="CI131" s="380">
        <f t="shared" si="710"/>
        <v>1191.5999557205846</v>
      </c>
      <c r="CJ131" s="380">
        <f t="shared" si="710"/>
        <v>1197.7510274902322</v>
      </c>
      <c r="CK131" s="380">
        <f t="shared" si="710"/>
        <v>1173.860833518617</v>
      </c>
      <c r="CL131" s="380">
        <f t="shared" si="710"/>
        <v>1202.5923329287323</v>
      </c>
      <c r="CM131" s="381">
        <f t="shared" si="710"/>
        <v>1191.4023276474593</v>
      </c>
      <c r="CN131" s="380">
        <f t="shared" si="710"/>
        <v>1274.4615411548812</v>
      </c>
      <c r="CO131" s="380">
        <f t="shared" si="710"/>
        <v>1270.2140749865337</v>
      </c>
      <c r="CP131" s="380">
        <f t="shared" si="710"/>
        <v>1276.1059852914173</v>
      </c>
      <c r="CQ131" s="380">
        <f t="shared" si="710"/>
        <v>1308.5212947189098</v>
      </c>
      <c r="CR131" s="381">
        <f t="shared" si="710"/>
        <v>1282.2095322721891</v>
      </c>
      <c r="CS131" s="380">
        <f t="shared" si="710"/>
        <v>1377.4024461269655</v>
      </c>
      <c r="CT131" s="380">
        <f t="shared" si="710"/>
        <v>1397.7464788732395</v>
      </c>
      <c r="CU131" s="380">
        <f t="shared" si="710"/>
        <v>1402.4249422632795</v>
      </c>
      <c r="CV131" s="380">
        <f t="shared" si="710"/>
        <v>1414.223331253899</v>
      </c>
      <c r="CW131" s="381">
        <f t="shared" si="710"/>
        <v>1397.6856598798886</v>
      </c>
      <c r="CX131" s="380">
        <f t="shared" si="710"/>
        <v>1465.1162790697674</v>
      </c>
      <c r="CY131" s="380">
        <f t="shared" si="710"/>
        <v>1459.9574769666901</v>
      </c>
      <c r="CZ131" s="380">
        <f t="shared" ref="CZ131:EA131" si="711">CZ129-(CZ139/CZ23*1000)</f>
        <v>1446.4163822525597</v>
      </c>
      <c r="DA131" s="380">
        <f t="shared" si="711"/>
        <v>1427.9038718291054</v>
      </c>
      <c r="DB131" s="381">
        <f t="shared" si="711"/>
        <v>1449.5080269290522</v>
      </c>
      <c r="DC131" s="380">
        <f t="shared" si="711"/>
        <v>1537.6850605652758</v>
      </c>
      <c r="DD131" s="380">
        <f t="shared" si="711"/>
        <v>1531.9148936170213</v>
      </c>
      <c r="DE131" s="380">
        <f t="shared" si="711"/>
        <v>1513.9838408949659</v>
      </c>
      <c r="DF131" s="380">
        <f t="shared" si="711"/>
        <v>1538.1431105854524</v>
      </c>
      <c r="DG131" s="381">
        <f t="shared" si="711"/>
        <v>1530.3884711779447</v>
      </c>
      <c r="DH131" s="380">
        <f t="shared" si="711"/>
        <v>1593.7236180904522</v>
      </c>
      <c r="DI131" s="380">
        <f t="shared" si="711"/>
        <v>1612.6130012150668</v>
      </c>
      <c r="DJ131" s="380">
        <f t="shared" si="711"/>
        <v>1605.6757257566398</v>
      </c>
      <c r="DK131" s="380">
        <f t="shared" si="711"/>
        <v>1617.3255095738109</v>
      </c>
      <c r="DL131" s="381">
        <f t="shared" si="711"/>
        <v>1607.4132180358245</v>
      </c>
      <c r="DM131" s="380">
        <f t="shared" si="711"/>
        <v>1632.1679151061173</v>
      </c>
      <c r="DN131" s="380">
        <f t="shared" si="711"/>
        <v>1608.1884146341463</v>
      </c>
      <c r="DO131" s="380">
        <f t="shared" si="711"/>
        <v>1586.1456250000001</v>
      </c>
      <c r="DP131" s="380">
        <f t="shared" si="711"/>
        <v>1607.1142310146777</v>
      </c>
      <c r="DQ131" s="381">
        <f t="shared" si="711"/>
        <v>1608.4167576845061</v>
      </c>
      <c r="DR131" s="380">
        <f t="shared" si="711"/>
        <v>1629.2309547534574</v>
      </c>
      <c r="DS131" s="380">
        <f t="shared" si="711"/>
        <v>1615.9420289855072</v>
      </c>
      <c r="DT131" s="380">
        <f t="shared" si="711"/>
        <v>1580.772367620207</v>
      </c>
      <c r="DU131" s="380">
        <f t="shared" si="711"/>
        <v>1590.430806257521</v>
      </c>
      <c r="DV131" s="381">
        <f t="shared" si="711"/>
        <v>1603.8186577405038</v>
      </c>
      <c r="DW131" s="380">
        <f t="shared" si="711"/>
        <v>1598.9185185185183</v>
      </c>
      <c r="DX131" s="380">
        <f t="shared" si="711"/>
        <v>1598.186412128018</v>
      </c>
      <c r="DY131" s="380">
        <f>DY129-(DY139/DY23*1000)</f>
        <v>1592.8213879408418</v>
      </c>
      <c r="DZ131" s="380">
        <f>DZ129-(DZ139/DZ23*1000)</f>
        <v>1602.7188681945056</v>
      </c>
      <c r="EA131" s="381">
        <f t="shared" si="711"/>
        <v>1598.1497739605873</v>
      </c>
      <c r="EB131" s="380">
        <f>EB129-(EB139/EB23*1000)</f>
        <v>1633.8090198980933</v>
      </c>
      <c r="EC131" s="380">
        <f>EC129-(EC139/EC23*1000)</f>
        <v>1594.087549744173</v>
      </c>
      <c r="ED131" s="380">
        <f t="shared" ref="ED131:EI131" si="712">ED129-(ED139/ED23*1000)</f>
        <v>1591.7056074766354</v>
      </c>
      <c r="EE131" s="380">
        <f t="shared" si="712"/>
        <v>1567.3716012084592</v>
      </c>
      <c r="EF131" s="381">
        <f t="shared" si="712"/>
        <v>1596.5495360776708</v>
      </c>
      <c r="EG131" s="380">
        <f t="shared" si="712"/>
        <v>1602.8368794326241</v>
      </c>
      <c r="EH131" s="380">
        <f t="shared" si="712"/>
        <v>1611.9122257053293</v>
      </c>
      <c r="EI131" s="380">
        <f t="shared" si="712"/>
        <v>1631.5120711562897</v>
      </c>
      <c r="EJ131" s="380">
        <f t="shared" ref="EJ131:EN131" si="713">EJ129-(EJ139/EJ23*1000)</f>
        <v>1644.7140381282495</v>
      </c>
      <c r="EK131" s="381">
        <f t="shared" si="713"/>
        <v>1623.3142148504107</v>
      </c>
      <c r="EL131" s="380">
        <f t="shared" si="713"/>
        <v>1702.2613065326632</v>
      </c>
      <c r="EM131" s="380">
        <f t="shared" si="713"/>
        <v>1659.2592592592591</v>
      </c>
      <c r="EN131" s="380">
        <f t="shared" si="713"/>
        <v>1616.2570888468811</v>
      </c>
      <c r="EO131" s="380">
        <f t="shared" ref="EO131:EQ131" si="714">EO129-(EO139/EO23*1000)</f>
        <v>1651.4678326046221</v>
      </c>
      <c r="EP131" s="381">
        <f t="shared" si="714"/>
        <v>1657.34375</v>
      </c>
      <c r="EQ131" s="380">
        <f t="shared" si="714"/>
        <v>1695.1697127937337</v>
      </c>
      <c r="ER131" s="380">
        <f t="shared" ref="ER131" si="715">ER129-(ER139/ER23*1000)</f>
        <v>1648.5477963593171</v>
      </c>
      <c r="ES131" s="380">
        <f t="shared" ref="ES131:ET131" si="716">ES129-(ES139/ES23*1000)</f>
        <v>1631.5723349679511</v>
      </c>
      <c r="ET131" s="380">
        <f t="shared" si="716"/>
        <v>1680.0393772654738</v>
      </c>
      <c r="EU131" s="381">
        <f>EU129-(EU139/EU23*1000)</f>
        <v>1663.657536541431</v>
      </c>
      <c r="EV131" s="380"/>
      <c r="EW131" s="380"/>
      <c r="EX131" s="380"/>
      <c r="EY131" s="380"/>
      <c r="EZ131" s="381">
        <f>EZ129-(EZ139/EZ23*1000)</f>
        <v>1681.3964806760109</v>
      </c>
      <c r="FA131" s="380"/>
      <c r="FB131" s="380"/>
      <c r="FC131" s="380"/>
      <c r="FD131" s="380"/>
      <c r="FE131" s="381">
        <f>FE129-(FE139/FE23*1000)</f>
        <v>1699.8944764050998</v>
      </c>
      <c r="FG131" s="488"/>
      <c r="FH131" s="777"/>
      <c r="FI131" s="777"/>
      <c r="FJ131" s="777"/>
      <c r="FK131" s="175"/>
      <c r="FL131" s="1347"/>
      <c r="FM131" s="1547">
        <f t="shared" si="657"/>
        <v>1695.1697127937337</v>
      </c>
      <c r="FN131" s="1438">
        <f t="shared" si="658"/>
        <v>1702.2613065326632</v>
      </c>
      <c r="FO131" s="1835">
        <v>1682.6617714311478</v>
      </c>
      <c r="FP131" s="1753">
        <f>+FM131/FN131-1</f>
        <v>-4.1659842185888252E-3</v>
      </c>
      <c r="FQ131" s="1532">
        <f>+FM131/FO131-1</f>
        <v>7.4334257632462375E-3</v>
      </c>
      <c r="FR131" s="1619"/>
      <c r="FS131" s="1619"/>
      <c r="FT131" s="1649" t="s">
        <v>741</v>
      </c>
      <c r="FU131" s="1691">
        <v>0.02</v>
      </c>
      <c r="FV131" s="1692">
        <f>+EL97/EL91</f>
        <v>0.625</v>
      </c>
      <c r="FW131" s="1691">
        <v>0.02</v>
      </c>
      <c r="FX131" s="1692">
        <f>+EM97/EM91</f>
        <v>0.65254237288135586</v>
      </c>
      <c r="FY131" s="355"/>
      <c r="FZ131" s="488"/>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c r="IU131"/>
      <c r="IV131"/>
      <c r="IW131"/>
      <c r="IX131"/>
    </row>
    <row r="132" spans="1:258" s="55" customFormat="1" x14ac:dyDescent="0.2">
      <c r="A132" s="383" t="s">
        <v>336</v>
      </c>
      <c r="F132" s="54"/>
      <c r="K132" s="54"/>
      <c r="P132" s="54"/>
      <c r="U132" s="54"/>
      <c r="Z132" s="54"/>
      <c r="AE132" s="54"/>
      <c r="AJ132" s="54"/>
      <c r="AO132" s="54"/>
      <c r="AT132" s="54"/>
      <c r="AY132" s="54"/>
      <c r="BD132" s="54"/>
      <c r="BI132" s="54"/>
      <c r="BN132" s="54"/>
      <c r="BS132" s="54"/>
      <c r="BU132" s="55">
        <f>BU131/BT131-1</f>
        <v>-1.8664471162379348E-2</v>
      </c>
      <c r="BV132" s="55">
        <f>BV131/BU131-1</f>
        <v>-1.7519364644737023E-2</v>
      </c>
      <c r="BW132" s="55">
        <f>BW131/BV131-1</f>
        <v>1.1208620668885727E-2</v>
      </c>
      <c r="BX132" s="54"/>
      <c r="BY132" s="55">
        <f>BY131/BW131-1</f>
        <v>2.6824004455583195E-2</v>
      </c>
      <c r="BZ132" s="55">
        <f>BZ131/BY131-1</f>
        <v>-1.6337481902586326E-3</v>
      </c>
      <c r="CA132" s="55">
        <f>CA131/BZ131-1</f>
        <v>1.8753342352003211E-2</v>
      </c>
      <c r="CB132" s="55">
        <f>CB131/CA131-1</f>
        <v>3.0287900039455584E-2</v>
      </c>
      <c r="CC132" s="54"/>
      <c r="CD132" s="55">
        <f>CD131/CB131-1</f>
        <v>2.0475565940465179E-2</v>
      </c>
      <c r="CE132" s="55">
        <f>CE131/CD131-1</f>
        <v>-3.5869172340997624E-3</v>
      </c>
      <c r="CF132" s="55">
        <f>CF131/CE131-1</f>
        <v>2.3388367602514837E-3</v>
      </c>
      <c r="CG132" s="55">
        <f>CG131/CF131-1</f>
        <v>-3.8666112533046748E-3</v>
      </c>
      <c r="CH132" s="54"/>
      <c r="CI132" s="55">
        <f>CI131/CG131-1</f>
        <v>7.7520036744075593E-2</v>
      </c>
      <c r="CJ132" s="55">
        <f>CJ131/CI131-1</f>
        <v>5.1620275245209957E-3</v>
      </c>
      <c r="CK132" s="55">
        <f>CK131/CJ131-1</f>
        <v>-1.994587641613188E-2</v>
      </c>
      <c r="CL132" s="55">
        <f>CL131/CK131-1</f>
        <v>2.4476069555871671E-2</v>
      </c>
      <c r="CM132" s="54"/>
      <c r="CN132" s="55">
        <f>CN131/CL131-1</f>
        <v>5.9761904560893253E-2</v>
      </c>
      <c r="CO132" s="55">
        <f>CO131/CN131-1</f>
        <v>-3.3327535050595714E-3</v>
      </c>
      <c r="CP132" s="55">
        <f>CP131/CO131-1</f>
        <v>4.6385175703127501E-3</v>
      </c>
      <c r="CQ132" s="55">
        <f>CQ131/CP131-1</f>
        <v>2.5401737630820653E-2</v>
      </c>
      <c r="CR132" s="54"/>
      <c r="CS132" s="55">
        <f>CS131/CQ131-1</f>
        <v>5.2640451237633501E-2</v>
      </c>
      <c r="CT132" s="55">
        <f>CT131/CS131-1</f>
        <v>1.4769853795075116E-2</v>
      </c>
      <c r="CU132" s="55">
        <f>CU131/CT131-1</f>
        <v>3.3471473266106777E-3</v>
      </c>
      <c r="CV132" s="55">
        <f>CV131/CU131-1</f>
        <v>8.4128487985808409E-3</v>
      </c>
      <c r="CW132" s="54"/>
      <c r="CX132" s="55">
        <f>CX131/CV131-1</f>
        <v>3.5986499933320371E-2</v>
      </c>
      <c r="CY132" s="55">
        <f>CY131/CX131-1</f>
        <v>-3.5210871497194374E-3</v>
      </c>
      <c r="CZ132" s="55">
        <f>CZ131/CY131-1</f>
        <v>-9.2749925444844949E-3</v>
      </c>
      <c r="DA132" s="55">
        <f>DA131/CZ131-1</f>
        <v>-1.2798880495687004E-2</v>
      </c>
      <c r="DB132" s="54"/>
      <c r="DC132" s="55">
        <f>DC131/DA131-1</f>
        <v>7.6882758638047388E-2</v>
      </c>
      <c r="DD132" s="55">
        <f>DD131/DC131-1</f>
        <v>-3.7525024442477406E-3</v>
      </c>
      <c r="DE132" s="55">
        <f>DE131/DD131-1</f>
        <v>-1.1704992749119514E-2</v>
      </c>
      <c r="DF132" s="55">
        <f>DF131/DE131-1</f>
        <v>1.5957415817731135E-2</v>
      </c>
      <c r="DG132" s="54"/>
      <c r="DH132" s="55">
        <f>DH131/DF131-1</f>
        <v>3.6134808993062206E-2</v>
      </c>
      <c r="DI132" s="55">
        <f>DI131/DH131-1</f>
        <v>1.185235815683483E-2</v>
      </c>
      <c r="DJ132" s="55">
        <f>DJ131/DI131-1</f>
        <v>-4.3018848621459993E-3</v>
      </c>
      <c r="DK132" s="55">
        <f>DK131/DJ131-1</f>
        <v>7.2553776770096778E-3</v>
      </c>
      <c r="DL132" s="54"/>
      <c r="DM132" s="55">
        <f>DM131/DK131-1</f>
        <v>9.1771294303133466E-3</v>
      </c>
      <c r="DN132" s="55">
        <f>DN131/DM131-1</f>
        <v>-1.4691809739693307E-2</v>
      </c>
      <c r="DO132" s="55">
        <f>DO131/DN131-1</f>
        <v>-1.3706596461933063E-2</v>
      </c>
      <c r="DP132" s="55">
        <f>DP131/DO131-1</f>
        <v>1.3219849227070535E-2</v>
      </c>
      <c r="DQ132" s="54"/>
      <c r="DR132" s="55">
        <f>DR131/DP131-1</f>
        <v>1.3761762114953058E-2</v>
      </c>
      <c r="DS132" s="55">
        <f>DS131/DR131-1</f>
        <v>-8.1565635180071983E-3</v>
      </c>
      <c r="DT132" s="55">
        <f>DT131/DS131-1</f>
        <v>-2.1764185060140995E-2</v>
      </c>
      <c r="DU132" s="55">
        <f>DU131/DT131-1</f>
        <v>6.1099490572791293E-3</v>
      </c>
      <c r="DV132" s="54"/>
      <c r="DW132" s="55">
        <f>DW131/DU131-1</f>
        <v>5.3367378370707819E-3</v>
      </c>
      <c r="DX132" s="55">
        <f>DX131/DW131-1</f>
        <v>-4.5787598431135113E-4</v>
      </c>
      <c r="DY132" s="55">
        <f>DY131/DX131-1</f>
        <v>-3.3569451889110535E-3</v>
      </c>
      <c r="DZ132" s="55">
        <f>DZ131/DY131-1</f>
        <v>6.2138042147079631E-3</v>
      </c>
      <c r="EA132" s="54"/>
      <c r="EB132" s="55">
        <f>EB131/DZ131-1</f>
        <v>1.9398381288548316E-2</v>
      </c>
      <c r="EC132" s="55">
        <f>EC131/EB131-1</f>
        <v>-2.4312186840783845E-2</v>
      </c>
      <c r="ED132" s="55">
        <f>ED131/EC131-1</f>
        <v>-1.4942355380166417E-3</v>
      </c>
      <c r="EE132" s="55">
        <f>EE131/ED131-1</f>
        <v>-1.5288006873804605E-2</v>
      </c>
      <c r="EF132" s="54"/>
      <c r="EG132" s="55">
        <f>EG131/EE131-1</f>
        <v>2.2627230324206993E-2</v>
      </c>
      <c r="EH132" s="55">
        <f>EH131/EG131-1</f>
        <v>5.6620523205817008E-3</v>
      </c>
      <c r="EI132" s="55">
        <f>EI131/EH131-1</f>
        <v>1.2159375143633522E-2</v>
      </c>
      <c r="EJ132" s="55">
        <f>EJ131/EI131-1</f>
        <v>8.0918598184831492E-3</v>
      </c>
      <c r="EK132" s="54"/>
      <c r="EL132" s="55">
        <f>EL131/EJ131-1</f>
        <v>3.4989224309111444E-2</v>
      </c>
      <c r="EM132" s="55">
        <f>EM131/EL131-1</f>
        <v>-2.5261719283859563E-2</v>
      </c>
      <c r="EN132" s="55">
        <f>EN131/EM131-1</f>
        <v>-2.5916486632460045E-2</v>
      </c>
      <c r="EO132" s="55">
        <f>EO131/EN131-1</f>
        <v>2.1785360757713423E-2</v>
      </c>
      <c r="EP132" s="54"/>
      <c r="EQ132" s="55">
        <f>EQ131/EO131-1</f>
        <v>2.646244711904977E-2</v>
      </c>
      <c r="ER132" s="55">
        <f t="shared" ref="ER132" si="717">ER131/EQ131-1</f>
        <v>-2.7502801685608813E-2</v>
      </c>
      <c r="ES132" s="55">
        <f t="shared" ref="ES132:ET132" si="718">ES131/ER131-1</f>
        <v>-1.0297221244573551E-2</v>
      </c>
      <c r="ET132" s="55">
        <f t="shared" si="718"/>
        <v>2.9705726959678325E-2</v>
      </c>
      <c r="EU132" s="54"/>
      <c r="EZ132" s="54"/>
      <c r="FE132" s="54"/>
      <c r="FG132" s="489"/>
      <c r="FH132" s="766">
        <f>AVERAGE(CI132,CN132,CS132,CX132,DC132,DH132,DM132,DR132,DW132,EB132,EG132,EL132,EQ132)</f>
        <v>3.6206105579252773E-2</v>
      </c>
      <c r="FI132" s="766">
        <f>AVERAGE(CJ132,CO132,CT132,CY132,DD132,DI132,DN132,DS132,DX132,EC132,EH132)</f>
        <v>-1.8889533986190734E-3</v>
      </c>
      <c r="FJ132" s="766">
        <f>AVERAGE(CK132,CP132,CU132,CZ132,DE132,DJ132,DO132,DT132,DY132,ED132,EI132)</f>
        <v>-5.9458789800296988E-3</v>
      </c>
      <c r="FK132" s="1408">
        <f>AVERAGE(CL132,CQ132,CV132,DA132,DF132,DK132,DP132,DU132,DZ132,EE132,EJ132,EO132)</f>
        <v>9.0697820988147135E-3</v>
      </c>
      <c r="FL132" s="1338"/>
      <c r="FM132" s="1523">
        <f t="shared" si="657"/>
        <v>2.646244711904977E-2</v>
      </c>
      <c r="FN132" s="1416">
        <f t="shared" si="658"/>
        <v>3.4989224309111444E-2</v>
      </c>
      <c r="FO132" s="1799">
        <v>1.8888614244049862E-2</v>
      </c>
      <c r="FP132" s="1741"/>
      <c r="FQ132" s="1503">
        <f t="shared" si="682"/>
        <v>75.738328749999084</v>
      </c>
      <c r="FR132" s="1619"/>
      <c r="FS132" s="1619"/>
      <c r="FT132" s="1021" t="s">
        <v>742</v>
      </c>
      <c r="FU132" s="1691">
        <v>0.23499999999999999</v>
      </c>
      <c r="FV132" s="433">
        <f>1-FV131</f>
        <v>0.375</v>
      </c>
      <c r="FW132" s="1691">
        <v>0.255</v>
      </c>
      <c r="FX132" s="433">
        <f>1-FX131</f>
        <v>0.34745762711864414</v>
      </c>
      <c r="FY132" s="432"/>
      <c r="FZ132" s="489"/>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c r="IU132"/>
      <c r="IV132"/>
      <c r="IW132"/>
      <c r="IX132"/>
    </row>
    <row r="133" spans="1:258" s="326" customFormat="1" ht="12.75" customHeight="1" x14ac:dyDescent="0.2">
      <c r="A133" s="559" t="s">
        <v>467</v>
      </c>
      <c r="B133" s="325"/>
      <c r="C133" s="55"/>
      <c r="D133" s="55"/>
      <c r="E133" s="55"/>
      <c r="F133" s="54"/>
      <c r="G133" s="325"/>
      <c r="H133" s="55"/>
      <c r="I133" s="55"/>
      <c r="J133" s="55"/>
      <c r="K133" s="54"/>
      <c r="L133" s="325"/>
      <c r="M133" s="55"/>
      <c r="N133" s="55"/>
      <c r="O133" s="55"/>
      <c r="P133" s="54"/>
      <c r="Q133" s="325"/>
      <c r="R133" s="55"/>
      <c r="S133" s="55"/>
      <c r="T133" s="55"/>
      <c r="U133" s="54"/>
      <c r="V133" s="325"/>
      <c r="W133" s="55"/>
      <c r="X133" s="55"/>
      <c r="Y133" s="55"/>
      <c r="Z133" s="54"/>
      <c r="AA133" s="325"/>
      <c r="AB133" s="55"/>
      <c r="AC133" s="55"/>
      <c r="AD133" s="55"/>
      <c r="AE133" s="54"/>
      <c r="AF133" s="325"/>
      <c r="AG133" s="55"/>
      <c r="AH133" s="55"/>
      <c r="AI133" s="55"/>
      <c r="AJ133" s="54"/>
      <c r="AK133" s="325"/>
      <c r="AL133" s="55"/>
      <c r="AM133" s="55"/>
      <c r="AN133" s="55"/>
      <c r="AO133" s="54"/>
      <c r="AP133" s="325"/>
      <c r="AQ133" s="55"/>
      <c r="AR133" s="55"/>
      <c r="AS133" s="55"/>
      <c r="AT133" s="54"/>
      <c r="AU133" s="325"/>
      <c r="AV133" s="55"/>
      <c r="AW133" s="55"/>
      <c r="AX133" s="55"/>
      <c r="AY133" s="54"/>
      <c r="AZ133" s="325"/>
      <c r="BA133" s="55"/>
      <c r="BB133" s="55"/>
      <c r="BC133" s="55"/>
      <c r="BD133" s="54"/>
      <c r="BE133" s="325"/>
      <c r="BF133" s="55"/>
      <c r="BG133" s="55"/>
      <c r="BH133" s="55"/>
      <c r="BI133" s="54"/>
      <c r="BJ133" s="325"/>
      <c r="BK133" s="55"/>
      <c r="BL133" s="55"/>
      <c r="BM133" s="55"/>
      <c r="BN133" s="54"/>
      <c r="BO133" s="325"/>
      <c r="BP133" s="55"/>
      <c r="BQ133" s="55"/>
      <c r="BR133" s="55"/>
      <c r="BS133" s="54"/>
      <c r="BT133" s="325">
        <f t="shared" ref="BT133:DI133" si="719">BT130-BT136</f>
        <v>2.0893760293839048E-2</v>
      </c>
      <c r="BU133" s="55">
        <f t="shared" si="719"/>
        <v>1.4465821243737853E-2</v>
      </c>
      <c r="BV133" s="55">
        <f t="shared" si="719"/>
        <v>1.9095570405197826E-2</v>
      </c>
      <c r="BW133" s="55">
        <f t="shared" si="719"/>
        <v>-6.1988059623498959E-3</v>
      </c>
      <c r="BX133" s="54">
        <f t="shared" si="719"/>
        <v>1.2014578363034767E-2</v>
      </c>
      <c r="BY133" s="325">
        <f t="shared" si="719"/>
        <v>1.1019283746556141E-3</v>
      </c>
      <c r="BZ133" s="55">
        <f t="shared" si="719"/>
        <v>1.847569005757288E-2</v>
      </c>
      <c r="CA133" s="55">
        <f t="shared" si="719"/>
        <v>5.6077316959260104E-2</v>
      </c>
      <c r="CB133" s="55">
        <f t="shared" si="719"/>
        <v>7.6003169800446635E-2</v>
      </c>
      <c r="CC133" s="54">
        <f t="shared" si="719"/>
        <v>3.8334560991302613E-2</v>
      </c>
      <c r="CD133" s="325">
        <f t="shared" si="719"/>
        <v>6.9350676348882007E-2</v>
      </c>
      <c r="CE133" s="55">
        <f t="shared" si="719"/>
        <v>6.7258635843436984E-2</v>
      </c>
      <c r="CF133" s="55">
        <f t="shared" si="719"/>
        <v>5.0062596215775759E-2</v>
      </c>
      <c r="CG133" s="55">
        <f t="shared" si="719"/>
        <v>1.5252544773665791E-2</v>
      </c>
      <c r="CH133" s="54">
        <f t="shared" si="719"/>
        <v>9.4291614823176273E-2</v>
      </c>
      <c r="CI133" s="325">
        <f t="shared" si="719"/>
        <v>7.1070900131631171E-2</v>
      </c>
      <c r="CJ133" s="55">
        <f t="shared" si="719"/>
        <v>7.9261260891987539E-2</v>
      </c>
      <c r="CK133" s="55">
        <f t="shared" si="719"/>
        <v>5.4557469259443554E-2</v>
      </c>
      <c r="CL133" s="55">
        <f t="shared" si="719"/>
        <v>8.0583334045662092E-2</v>
      </c>
      <c r="CM133" s="54">
        <f t="shared" si="719"/>
        <v>7.1411666081068512E-2</v>
      </c>
      <c r="CN133" s="325">
        <f t="shared" si="719"/>
        <v>6.8052416352247291E-2</v>
      </c>
      <c r="CO133" s="55">
        <f t="shared" si="719"/>
        <v>5.8336368470455924E-2</v>
      </c>
      <c r="CP133" s="55">
        <f t="shared" si="719"/>
        <v>8.3599458923417372E-2</v>
      </c>
      <c r="CQ133" s="55">
        <f t="shared" si="719"/>
        <v>8.3782755612255705E-2</v>
      </c>
      <c r="CR133" s="54">
        <f t="shared" si="719"/>
        <v>7.3436204275977149E-2</v>
      </c>
      <c r="CS133" s="325">
        <f t="shared" si="719"/>
        <v>7.7637306382649082E-2</v>
      </c>
      <c r="CT133" s="55">
        <f t="shared" si="719"/>
        <v>9.6049638291233627E-2</v>
      </c>
      <c r="CU133" s="55">
        <f t="shared" si="719"/>
        <v>9.345282332158196E-2</v>
      </c>
      <c r="CV133" s="55">
        <f t="shared" si="719"/>
        <v>8.2243775298853558E-2</v>
      </c>
      <c r="CW133" s="54">
        <f t="shared" si="719"/>
        <v>8.6823449374976339E-2</v>
      </c>
      <c r="CX133" s="325">
        <f t="shared" si="719"/>
        <v>7.9614426453773868E-2</v>
      </c>
      <c r="CY133" s="55">
        <f t="shared" si="719"/>
        <v>7.1884993572736644E-2</v>
      </c>
      <c r="CZ133" s="55">
        <f t="shared" si="719"/>
        <v>5.5917401672719663E-2</v>
      </c>
      <c r="DA133" s="55">
        <f t="shared" si="719"/>
        <v>1.7391663939761173E-2</v>
      </c>
      <c r="DB133" s="54">
        <f t="shared" si="719"/>
        <v>5.582105362271074E-2</v>
      </c>
      <c r="DC133" s="325">
        <f t="shared" si="719"/>
        <v>4.4982104033247927E-2</v>
      </c>
      <c r="DD133" s="55">
        <f t="shared" si="719"/>
        <v>4.4048655083075705E-2</v>
      </c>
      <c r="DE133" s="55">
        <f t="shared" si="719"/>
        <v>4.0166303983042342E-2</v>
      </c>
      <c r="DF133" s="55">
        <f t="shared" si="719"/>
        <v>6.6241077709252819E-2</v>
      </c>
      <c r="DG133" s="54">
        <f t="shared" si="719"/>
        <v>4.8907240705670596E-2</v>
      </c>
      <c r="DH133" s="55">
        <f t="shared" si="719"/>
        <v>3.0415542897843189E-2</v>
      </c>
      <c r="DI133" s="55">
        <f t="shared" si="719"/>
        <v>4.804193455495534E-2</v>
      </c>
      <c r="DJ133" s="55">
        <f t="shared" ref="DJ133:DQ133" si="720">DJ130-DJ136</f>
        <v>5.6813881505437654E-2</v>
      </c>
      <c r="DK133" s="55">
        <f t="shared" si="720"/>
        <v>5.1111617394082827E-2</v>
      </c>
      <c r="DL133" s="54">
        <f t="shared" si="720"/>
        <v>4.6725429303594912E-2</v>
      </c>
      <c r="DM133" s="55">
        <f t="shared" si="720"/>
        <v>2.1905801890858834E-2</v>
      </c>
      <c r="DN133" s="55">
        <f t="shared" si="720"/>
        <v>-2.1099448611593625E-3</v>
      </c>
      <c r="DO133" s="55">
        <f t="shared" si="720"/>
        <v>-9.740134036665505E-3</v>
      </c>
      <c r="DP133" s="55">
        <f t="shared" si="720"/>
        <v>-2.6147500045835366E-3</v>
      </c>
      <c r="DQ133" s="54">
        <f t="shared" si="720"/>
        <v>1.5276222927968625E-3</v>
      </c>
      <c r="DR133" s="55">
        <f t="shared" ref="DR133:DW133" si="721">DR130-DR136</f>
        <v>3.3079776938603066E-6</v>
      </c>
      <c r="DS133" s="55">
        <f t="shared" si="721"/>
        <v>3.3352154023928984E-3</v>
      </c>
      <c r="DT133" s="55">
        <f t="shared" si="721"/>
        <v>-5.5135333308544464E-3</v>
      </c>
      <c r="DU133" s="55">
        <f t="shared" si="721"/>
        <v>-1.517645358536341E-2</v>
      </c>
      <c r="DV133" s="54">
        <f t="shared" si="721"/>
        <v>-4.5068560907973836E-3</v>
      </c>
      <c r="DW133" s="55">
        <f t="shared" si="721"/>
        <v>-1.9471645197240442E-2</v>
      </c>
      <c r="DX133" s="55">
        <f t="shared" ref="DX133:EC133" si="722">DX130-DX136</f>
        <v>-1.6973152016856903E-2</v>
      </c>
      <c r="DY133" s="55">
        <f t="shared" si="722"/>
        <v>6.8008724675252402E-4</v>
      </c>
      <c r="DZ133" s="55">
        <f t="shared" si="722"/>
        <v>1.2485950074854675E-3</v>
      </c>
      <c r="EA133" s="54">
        <f t="shared" si="722"/>
        <v>-8.6750415702694407E-3</v>
      </c>
      <c r="EB133" s="55">
        <f t="shared" si="722"/>
        <v>1.8810070950914155E-2</v>
      </c>
      <c r="EC133" s="55">
        <f t="shared" si="722"/>
        <v>-1.0516566777037245E-3</v>
      </c>
      <c r="ED133" s="55">
        <f t="shared" ref="ED133:EI133" si="723">ED130-ED136</f>
        <v>1.9900021384188851E-3</v>
      </c>
      <c r="EE133" s="55">
        <f t="shared" si="723"/>
        <v>-1.4065074485239665E-2</v>
      </c>
      <c r="EF133" s="54">
        <f t="shared" si="723"/>
        <v>1.4048385419691278E-3</v>
      </c>
      <c r="EG133" s="55">
        <f t="shared" si="723"/>
        <v>-1.408484461006887E-2</v>
      </c>
      <c r="EH133" s="55">
        <f t="shared" si="723"/>
        <v>1.5361355153848302E-2</v>
      </c>
      <c r="EI133" s="55">
        <f t="shared" si="723"/>
        <v>2.7820199518017764E-2</v>
      </c>
      <c r="EJ133" s="55">
        <f t="shared" ref="EJ133:EN133" si="724">EJ130-EJ136</f>
        <v>4.6352940669270606E-2</v>
      </c>
      <c r="EK133" s="54">
        <f t="shared" si="724"/>
        <v>1.8251005896208806E-2</v>
      </c>
      <c r="EL133" s="55">
        <f t="shared" si="724"/>
        <v>6.02317141261864E-2</v>
      </c>
      <c r="EM133" s="55">
        <f t="shared" si="724"/>
        <v>2.8754492889513796E-2</v>
      </c>
      <c r="EN133" s="55">
        <f t="shared" si="724"/>
        <v>-9.3216077936691018E-3</v>
      </c>
      <c r="EO133" s="55">
        <f t="shared" ref="EO133:EQ133" si="725">EO130-EO136</f>
        <v>6.1108317735899999E-3</v>
      </c>
      <c r="EP133" s="54">
        <f t="shared" si="725"/>
        <v>2.068492430613959E-2</v>
      </c>
      <c r="EQ133" s="55">
        <f t="shared" si="725"/>
        <v>-2.8482416848437594E-3</v>
      </c>
      <c r="ER133" s="55">
        <f t="shared" ref="ER133" si="726">ER134+ER145</f>
        <v>-5.5625670442315672E-3</v>
      </c>
      <c r="ES133" s="55">
        <f t="shared" ref="ES133:ET133" si="727">ES134+ES145</f>
        <v>8.9604423167738631E-3</v>
      </c>
      <c r="ET133" s="55">
        <f t="shared" si="727"/>
        <v>1.5512744168611259E-2</v>
      </c>
      <c r="EU133" s="54">
        <f>EU130-EU136</f>
        <v>3.8858711365348034E-3</v>
      </c>
      <c r="EV133" s="55"/>
      <c r="EW133" s="55"/>
      <c r="EX133" s="55"/>
      <c r="EY133" s="55"/>
      <c r="EZ133" s="54">
        <f>EZ134+EZ145</f>
        <v>9.4580465147875766E-3</v>
      </c>
      <c r="FA133" s="55"/>
      <c r="FB133" s="55"/>
      <c r="FC133" s="55"/>
      <c r="FD133" s="55"/>
      <c r="FE133" s="54">
        <f>FE134+FE145</f>
        <v>9.5957053732320038E-3</v>
      </c>
      <c r="FG133" s="486"/>
      <c r="FH133" s="783"/>
      <c r="FI133" s="783"/>
      <c r="FJ133" s="783"/>
      <c r="FK133" s="1312"/>
      <c r="FL133" s="1352"/>
      <c r="FM133" s="1523">
        <f t="shared" si="657"/>
        <v>-2.8482416848437594E-3</v>
      </c>
      <c r="FN133" s="1416">
        <f t="shared" si="658"/>
        <v>6.02317141261864E-2</v>
      </c>
      <c r="FO133" s="1799">
        <v>-1.0045272248132113E-2</v>
      </c>
      <c r="FP133" s="1756"/>
      <c r="FQ133" s="1982">
        <f>+(FM133-FO133)</f>
        <v>7.1970305632883536E-3</v>
      </c>
      <c r="FR133" s="1622"/>
      <c r="FS133" s="1622"/>
      <c r="FT133" s="437"/>
      <c r="FU133" s="437"/>
      <c r="FV133" s="437"/>
      <c r="FW133" s="437"/>
      <c r="FX133" s="437"/>
      <c r="FY133" s="437"/>
      <c r="FZ133" s="486"/>
      <c r="GA133"/>
      <c r="GB133"/>
      <c r="GC133"/>
      <c r="GD133"/>
      <c r="GE133"/>
      <c r="GF133"/>
      <c r="GG133"/>
      <c r="GH133"/>
      <c r="GI133"/>
      <c r="GJ133"/>
      <c r="GK133"/>
      <c r="GL133"/>
      <c r="GM133"/>
      <c r="GN133"/>
      <c r="GO133"/>
      <c r="GP133"/>
      <c r="GQ133"/>
      <c r="GR133"/>
      <c r="GS133"/>
      <c r="GT133"/>
      <c r="GU133"/>
      <c r="GV133"/>
      <c r="GW133"/>
      <c r="GX133"/>
      <c r="GY133"/>
      <c r="GZ133"/>
      <c r="HA133"/>
      <c r="HB133"/>
      <c r="HC133"/>
      <c r="HD133"/>
      <c r="HE133"/>
      <c r="HF133"/>
      <c r="HG133"/>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c r="IS133"/>
      <c r="IT133"/>
      <c r="IU133"/>
      <c r="IV133"/>
      <c r="IW133"/>
      <c r="IX133"/>
    </row>
    <row r="134" spans="1:258" s="326" customFormat="1" ht="12.75" customHeight="1" x14ac:dyDescent="0.2">
      <c r="A134" s="559" t="s">
        <v>468</v>
      </c>
      <c r="B134" s="325"/>
      <c r="C134" s="55"/>
      <c r="D134" s="55"/>
      <c r="E134" s="55"/>
      <c r="F134" s="54"/>
      <c r="G134" s="325"/>
      <c r="H134" s="55"/>
      <c r="I134" s="55"/>
      <c r="J134" s="55"/>
      <c r="K134" s="54"/>
      <c r="L134" s="325"/>
      <c r="M134" s="55"/>
      <c r="N134" s="55"/>
      <c r="O134" s="55"/>
      <c r="P134" s="54"/>
      <c r="Q134" s="325"/>
      <c r="R134" s="55"/>
      <c r="S134" s="55"/>
      <c r="T134" s="55"/>
      <c r="U134" s="54"/>
      <c r="V134" s="325"/>
      <c r="W134" s="55"/>
      <c r="X134" s="55"/>
      <c r="Y134" s="55"/>
      <c r="Z134" s="54"/>
      <c r="AA134" s="325"/>
      <c r="AB134" s="55"/>
      <c r="AC134" s="55"/>
      <c r="AD134" s="55"/>
      <c r="AE134" s="54"/>
      <c r="AF134" s="325"/>
      <c r="AG134" s="55"/>
      <c r="AH134" s="55"/>
      <c r="AI134" s="55"/>
      <c r="AJ134" s="54"/>
      <c r="AK134" s="325"/>
      <c r="AL134" s="55"/>
      <c r="AM134" s="55"/>
      <c r="AN134" s="55"/>
      <c r="AO134" s="54"/>
      <c r="AP134" s="325"/>
      <c r="AQ134" s="55"/>
      <c r="AR134" s="55"/>
      <c r="AS134" s="55"/>
      <c r="AT134" s="54"/>
      <c r="AU134" s="325"/>
      <c r="AV134" s="55"/>
      <c r="AW134" s="55"/>
      <c r="AX134" s="55"/>
      <c r="AY134" s="54"/>
      <c r="AZ134" s="325"/>
      <c r="BA134" s="55"/>
      <c r="BB134" s="55"/>
      <c r="BC134" s="55"/>
      <c r="BD134" s="54"/>
      <c r="BE134" s="325"/>
      <c r="BF134" s="55"/>
      <c r="BG134" s="55"/>
      <c r="BH134" s="55"/>
      <c r="BI134" s="54"/>
      <c r="BJ134" s="325"/>
      <c r="BK134" s="55"/>
      <c r="BL134" s="55"/>
      <c r="BM134" s="55"/>
      <c r="BN134" s="54"/>
      <c r="BO134" s="325"/>
      <c r="BP134" s="55"/>
      <c r="BQ134" s="55"/>
      <c r="BR134" s="55"/>
      <c r="BS134" s="54"/>
      <c r="BT134" s="325">
        <f t="shared" ref="BT134:CY134" si="728">BT133-BT145</f>
        <v>2.0893760293839048E-2</v>
      </c>
      <c r="BU134" s="55">
        <f t="shared" si="728"/>
        <v>1.4465821243737853E-2</v>
      </c>
      <c r="BV134" s="55">
        <f t="shared" si="728"/>
        <v>1.9095570405197826E-2</v>
      </c>
      <c r="BW134" s="55">
        <f t="shared" si="728"/>
        <v>-6.1988059623498959E-3</v>
      </c>
      <c r="BX134" s="54">
        <f t="shared" si="728"/>
        <v>1.2014578363034767E-2</v>
      </c>
      <c r="BY134" s="325">
        <f t="shared" si="728"/>
        <v>-7.1023608291848461E-3</v>
      </c>
      <c r="BZ134" s="55">
        <f t="shared" si="728"/>
        <v>-8.6216223848828051E-3</v>
      </c>
      <c r="CA134" s="55">
        <f t="shared" si="728"/>
        <v>4.7751385060553729E-2</v>
      </c>
      <c r="CB134" s="55">
        <f t="shared" si="728"/>
        <v>3.1980614164723524E-2</v>
      </c>
      <c r="CC134" s="54">
        <f t="shared" si="728"/>
        <v>1.5925672317532835E-2</v>
      </c>
      <c r="CD134" s="325">
        <f t="shared" si="728"/>
        <v>4.4922503422531804E-2</v>
      </c>
      <c r="CE134" s="55">
        <f t="shared" si="728"/>
        <v>3.9715872805241914E-2</v>
      </c>
      <c r="CF134" s="55">
        <f t="shared" si="728"/>
        <v>1.7507889274819902E-2</v>
      </c>
      <c r="CG134" s="55">
        <f t="shared" si="728"/>
        <v>2.0593323347248796E-2</v>
      </c>
      <c r="CH134" s="54">
        <f t="shared" si="728"/>
        <v>7.468066454253959E-2</v>
      </c>
      <c r="CI134" s="325">
        <f t="shared" si="728"/>
        <v>2.6939832005336936E-2</v>
      </c>
      <c r="CJ134" s="55">
        <f t="shared" si="728"/>
        <v>5.8181514335549404E-2</v>
      </c>
      <c r="CK134" s="55">
        <f t="shared" si="728"/>
        <v>3.9006293196332878E-2</v>
      </c>
      <c r="CL134" s="55">
        <f t="shared" si="728"/>
        <v>7.4011906599802668E-2</v>
      </c>
      <c r="CM134" s="54">
        <f t="shared" si="728"/>
        <v>4.9858184354750312E-2</v>
      </c>
      <c r="CN134" s="325">
        <f t="shared" si="728"/>
        <v>6.9243122647482752E-2</v>
      </c>
      <c r="CO134" s="55">
        <f t="shared" si="728"/>
        <v>3.2504865578694669E-2</v>
      </c>
      <c r="CP134" s="55">
        <f t="shared" si="728"/>
        <v>6.5174650084175251E-2</v>
      </c>
      <c r="CQ134" s="55">
        <f t="shared" si="728"/>
        <v>6.4632452702564569E-2</v>
      </c>
      <c r="CR134" s="54">
        <f t="shared" si="728"/>
        <v>5.7694659449181618E-2</v>
      </c>
      <c r="CS134" s="325">
        <f t="shared" si="728"/>
        <v>6.6867446606700381E-2</v>
      </c>
      <c r="CT134" s="55">
        <f t="shared" si="728"/>
        <v>6.4315371560311807E-2</v>
      </c>
      <c r="CU134" s="55">
        <f t="shared" si="728"/>
        <v>6.1587241100796199E-2</v>
      </c>
      <c r="CV134" s="55">
        <f t="shared" si="728"/>
        <v>6.5000000000000002E-2</v>
      </c>
      <c r="CW134" s="54">
        <f t="shared" si="728"/>
        <v>6.3763609793314094E-2</v>
      </c>
      <c r="CX134" s="325">
        <f t="shared" si="728"/>
        <v>6.4999999999999988E-2</v>
      </c>
      <c r="CY134" s="55">
        <f t="shared" si="728"/>
        <v>6.6000000000000003E-2</v>
      </c>
      <c r="CZ134" s="55">
        <f t="shared" ref="CZ134:DU134" si="729">CZ133-CZ145</f>
        <v>6.3000000000000014E-2</v>
      </c>
      <c r="DA134" s="55">
        <f t="shared" si="729"/>
        <v>5.330575217511746E-2</v>
      </c>
      <c r="DB134" s="54">
        <f t="shared" si="729"/>
        <v>6.2167437980423651E-2</v>
      </c>
      <c r="DC134" s="325">
        <f t="shared" si="729"/>
        <v>5.0738798148805435E-2</v>
      </c>
      <c r="DD134" s="55">
        <f t="shared" si="729"/>
        <v>6.4999999999999988E-2</v>
      </c>
      <c r="DE134" s="55">
        <f t="shared" si="729"/>
        <v>6.6372450751044157E-2</v>
      </c>
      <c r="DF134" s="55">
        <f t="shared" si="729"/>
        <v>6.2118682032667676E-2</v>
      </c>
      <c r="DG134" s="54">
        <f t="shared" si="729"/>
        <v>6.0978665845472152E-2</v>
      </c>
      <c r="DH134" s="55">
        <f t="shared" si="729"/>
        <v>6.9746100140160014E-2</v>
      </c>
      <c r="DI134" s="55">
        <f t="shared" si="729"/>
        <v>7.1999999999999995E-2</v>
      </c>
      <c r="DJ134" s="55">
        <f t="shared" si="729"/>
        <v>7.1000000000000008E-2</v>
      </c>
      <c r="DK134" s="55">
        <f t="shared" si="729"/>
        <v>6.9000000000000006E-2</v>
      </c>
      <c r="DL134" s="54">
        <f t="shared" si="729"/>
        <v>7.0556502270453902E-2</v>
      </c>
      <c r="DM134" s="55">
        <f t="shared" si="729"/>
        <v>5.8999999999999997E-2</v>
      </c>
      <c r="DN134" s="55">
        <f t="shared" si="729"/>
        <v>1.7000000000000012E-2</v>
      </c>
      <c r="DO134" s="55">
        <f t="shared" si="729"/>
        <v>1.5000000000000003E-2</v>
      </c>
      <c r="DP134" s="55">
        <f t="shared" si="729"/>
        <v>1.5150544843352907E-2</v>
      </c>
      <c r="DQ134" s="54">
        <f t="shared" si="729"/>
        <v>2.6087488252090976E-2</v>
      </c>
      <c r="DR134" s="55">
        <f t="shared" si="729"/>
        <v>2.981239101455715E-3</v>
      </c>
      <c r="DS134" s="55">
        <f t="shared" si="729"/>
        <v>2.2663035670550797E-2</v>
      </c>
      <c r="DT134" s="911">
        <f t="shared" si="729"/>
        <v>9.0289549980570837E-3</v>
      </c>
      <c r="DU134" s="911">
        <f t="shared" si="729"/>
        <v>1.542744145474757E-2</v>
      </c>
      <c r="DV134" s="54">
        <f t="shared" ref="DV134:EA134" si="730">DV133-DV145</f>
        <v>1.2524678303550748E-2</v>
      </c>
      <c r="DW134" s="55">
        <f t="shared" si="730"/>
        <v>4.6346351936406432E-3</v>
      </c>
      <c r="DX134" s="55">
        <f t="shared" si="730"/>
        <v>-5.9999999999999984E-3</v>
      </c>
      <c r="DY134" s="911">
        <f t="shared" si="730"/>
        <v>1.5804030760778881E-3</v>
      </c>
      <c r="DZ134" s="911">
        <f t="shared" si="730"/>
        <v>6.9999999999999993E-3</v>
      </c>
      <c r="EA134" s="54">
        <f t="shared" si="730"/>
        <v>1.5864151571816764E-3</v>
      </c>
      <c r="EB134" s="55">
        <f t="shared" ref="EB134:EG134" si="731">EB133-EB145</f>
        <v>2.0000000000000004E-2</v>
      </c>
      <c r="EC134" s="55">
        <f t="shared" si="731"/>
        <v>3.500000000000001E-2</v>
      </c>
      <c r="ED134" s="911">
        <f t="shared" si="731"/>
        <v>4.6306961232475172E-2</v>
      </c>
      <c r="EE134" s="1186">
        <f t="shared" si="731"/>
        <v>4.1266202776164149E-2</v>
      </c>
      <c r="EF134" s="54">
        <f t="shared" si="731"/>
        <v>3.5810280309432514E-2</v>
      </c>
      <c r="EG134" s="632">
        <f t="shared" si="731"/>
        <v>3.1000000000000007E-2</v>
      </c>
      <c r="EH134" s="632">
        <f>EH133-EH145</f>
        <v>2.8999999999999998E-2</v>
      </c>
      <c r="EI134" s="911">
        <f>EI133-EI145</f>
        <v>5.2289648481696684E-2</v>
      </c>
      <c r="EJ134" s="1186">
        <f t="shared" ref="EJ134:EL134" si="732">EJ133-EJ145</f>
        <v>6.5449736116789767E-2</v>
      </c>
      <c r="EK134" s="54">
        <f t="shared" si="732"/>
        <v>4.3817271736465026E-2</v>
      </c>
      <c r="EL134" s="632">
        <f t="shared" si="732"/>
        <v>3.8845734167203452E-2</v>
      </c>
      <c r="EM134" s="632">
        <f>EM133-EM145</f>
        <v>3.65984296123118E-2</v>
      </c>
      <c r="EN134" s="911">
        <f>EN133-EN145</f>
        <v>3.5073158437504762E-2</v>
      </c>
      <c r="EO134" s="1186">
        <f t="shared" ref="EO134:EQ134" si="733">EO133-EO145</f>
        <v>3.5275217090936908E-2</v>
      </c>
      <c r="EP134" s="54">
        <f t="shared" si="733"/>
        <v>3.5921671240997342E-2</v>
      </c>
      <c r="EQ134" s="632">
        <f t="shared" si="733"/>
        <v>3.458913093006865E-2</v>
      </c>
      <c r="ER134" s="1182">
        <v>0.03</v>
      </c>
      <c r="ES134" s="1182">
        <v>2.8000000000000001E-2</v>
      </c>
      <c r="ET134" s="1182">
        <v>2.7E-2</v>
      </c>
      <c r="EU134" s="1183">
        <f>EU133-EU145</f>
        <v>2.9612588997206445E-2</v>
      </c>
      <c r="EV134" s="1184"/>
      <c r="EW134" s="1184"/>
      <c r="EX134" s="1184"/>
      <c r="EY134" s="1184"/>
      <c r="EZ134" s="1299">
        <v>2.1999999999999999E-2</v>
      </c>
      <c r="FA134" s="1184"/>
      <c r="FB134" s="1184"/>
      <c r="FC134" s="1184"/>
      <c r="FD134" s="1184"/>
      <c r="FE134" s="1299">
        <v>0.02</v>
      </c>
      <c r="FG134" s="490"/>
      <c r="FH134" s="783"/>
      <c r="FI134" s="783"/>
      <c r="FJ134" s="783"/>
      <c r="FK134" s="1312"/>
      <c r="FL134" s="1352"/>
      <c r="FM134" s="1548">
        <f t="shared" si="657"/>
        <v>3.458913093006865E-2</v>
      </c>
      <c r="FN134" s="1416">
        <f t="shared" si="658"/>
        <v>3.8845734167203452E-2</v>
      </c>
      <c r="FO134" s="1831">
        <v>0.03</v>
      </c>
      <c r="FP134" s="1756"/>
      <c r="FQ134" s="1982">
        <f>+(FM134-FO134)</f>
        <v>4.5891309300686509E-3</v>
      </c>
      <c r="FR134" s="1689"/>
      <c r="FS134" s="1622"/>
      <c r="FT134" s="437"/>
      <c r="FU134" s="437"/>
      <c r="FV134" s="437"/>
      <c r="FW134" s="437"/>
      <c r="FX134" s="437"/>
      <c r="FY134" s="437"/>
      <c r="FZ134" s="490"/>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c r="IW134"/>
      <c r="IX134"/>
    </row>
    <row r="135" spans="1:258" s="326" customFormat="1" ht="12.75" customHeight="1" x14ac:dyDescent="0.2">
      <c r="A135" s="559" t="s">
        <v>261</v>
      </c>
      <c r="B135" s="325"/>
      <c r="C135" s="55"/>
      <c r="D135" s="55"/>
      <c r="E135" s="55"/>
      <c r="F135" s="54"/>
      <c r="G135" s="325"/>
      <c r="H135" s="55"/>
      <c r="I135" s="55"/>
      <c r="J135" s="55"/>
      <c r="K135" s="54"/>
      <c r="L135" s="325"/>
      <c r="M135" s="55"/>
      <c r="N135" s="55"/>
      <c r="O135" s="55"/>
      <c r="P135" s="54"/>
      <c r="Q135" s="325"/>
      <c r="R135" s="55"/>
      <c r="S135" s="55"/>
      <c r="T135" s="55"/>
      <c r="U135" s="54"/>
      <c r="V135" s="325"/>
      <c r="W135" s="55"/>
      <c r="X135" s="55"/>
      <c r="Y135" s="55"/>
      <c r="Z135" s="54"/>
      <c r="AA135" s="325"/>
      <c r="AB135" s="55"/>
      <c r="AC135" s="55"/>
      <c r="AD135" s="55"/>
      <c r="AE135" s="54"/>
      <c r="AF135" s="325"/>
      <c r="AG135" s="55"/>
      <c r="AH135" s="55"/>
      <c r="AI135" s="55"/>
      <c r="AJ135" s="54"/>
      <c r="AK135" s="325"/>
      <c r="AL135" s="55"/>
      <c r="AM135" s="55"/>
      <c r="AN135" s="55"/>
      <c r="AO135" s="54"/>
      <c r="AP135" s="325"/>
      <c r="AQ135" s="55"/>
      <c r="AR135" s="55"/>
      <c r="AS135" s="55"/>
      <c r="AT135" s="54"/>
      <c r="AU135" s="325"/>
      <c r="AV135" s="55"/>
      <c r="AW135" s="55"/>
      <c r="AX135" s="55"/>
      <c r="AY135" s="54"/>
      <c r="AZ135" s="325"/>
      <c r="BA135" s="55"/>
      <c r="BB135" s="55"/>
      <c r="BC135" s="55"/>
      <c r="BD135" s="54"/>
      <c r="BE135" s="325"/>
      <c r="BF135" s="55"/>
      <c r="BG135" s="55"/>
      <c r="BH135" s="55"/>
      <c r="BI135" s="54"/>
      <c r="BJ135" s="325"/>
      <c r="BK135" s="55"/>
      <c r="BL135" s="55"/>
      <c r="BM135" s="55"/>
      <c r="BN135" s="54"/>
      <c r="BO135" s="325"/>
      <c r="BP135" s="55"/>
      <c r="BQ135" s="55"/>
      <c r="BR135" s="55"/>
      <c r="BS135" s="54"/>
      <c r="BT135" s="325"/>
      <c r="BU135" s="55"/>
      <c r="BV135" s="55"/>
      <c r="BW135" s="55"/>
      <c r="BX135" s="54"/>
      <c r="BY135" s="325"/>
      <c r="BZ135" s="55"/>
      <c r="CA135" s="55"/>
      <c r="CB135" s="55"/>
      <c r="CC135" s="54"/>
      <c r="CD135" s="325"/>
      <c r="CE135" s="55"/>
      <c r="CF135" s="55"/>
      <c r="CG135" s="55">
        <v>5.7000000000000002E-2</v>
      </c>
      <c r="CH135" s="54"/>
      <c r="CI135" s="325"/>
      <c r="CJ135" s="55"/>
      <c r="CK135" s="55"/>
      <c r="CL135" s="55">
        <v>6.6000000000000003E-2</v>
      </c>
      <c r="CM135" s="54"/>
      <c r="CN135" s="325">
        <v>7.0999999999999994E-2</v>
      </c>
      <c r="CO135" s="55">
        <v>6.5000000000000002E-2</v>
      </c>
      <c r="CP135" s="55">
        <v>6.5000000000000002E-2</v>
      </c>
      <c r="CQ135" s="55">
        <v>6.7000000000000004E-2</v>
      </c>
      <c r="CR135" s="54"/>
      <c r="CS135" s="325">
        <v>6.8000000000000005E-2</v>
      </c>
      <c r="CT135" s="55">
        <v>6.4000000000000001E-2</v>
      </c>
      <c r="CU135" s="55">
        <v>6.2E-2</v>
      </c>
      <c r="CV135" s="55">
        <v>6.5000000000000002E-2</v>
      </c>
      <c r="CW135" s="54">
        <f>(CS135*CS126+CT135*CT126+CU135*CU126+CV135*CV126)/CW126</f>
        <v>6.4673909090909087E-2</v>
      </c>
      <c r="CX135" s="325">
        <v>6.5000000000000002E-2</v>
      </c>
      <c r="CY135" s="55">
        <v>6.6000000000000003E-2</v>
      </c>
      <c r="CZ135" s="55">
        <v>6.3E-2</v>
      </c>
      <c r="DA135" s="55">
        <v>5.2999999999999999E-2</v>
      </c>
      <c r="DB135" s="54">
        <f>(CX135*CX126+CY135*CY126+CZ135*CZ126+DA135*DA126)/DB126</f>
        <v>6.1643992732228023E-2</v>
      </c>
      <c r="DC135" s="325">
        <v>0.05</v>
      </c>
      <c r="DD135" s="55">
        <v>6.5000000000000002E-2</v>
      </c>
      <c r="DE135" s="55">
        <v>6.6000000000000003E-2</v>
      </c>
      <c r="DF135" s="55">
        <v>6.2E-2</v>
      </c>
      <c r="DG135" s="54"/>
      <c r="DH135" s="55">
        <v>7.0000000000000007E-2</v>
      </c>
      <c r="DI135" s="55">
        <v>7.1999999999999995E-2</v>
      </c>
      <c r="DJ135" s="55">
        <v>7.0999999999999994E-2</v>
      </c>
      <c r="DK135" s="55">
        <v>6.9000000000000006E-2</v>
      </c>
      <c r="DL135" s="54"/>
      <c r="DM135" s="55">
        <v>5.8999999999999997E-2</v>
      </c>
      <c r="DN135" s="55">
        <v>1.7000000000000001E-2</v>
      </c>
      <c r="DO135" s="55">
        <v>1.4999999999999999E-2</v>
      </c>
      <c r="DP135" s="55">
        <v>1.6E-2</v>
      </c>
      <c r="DQ135" s="54"/>
      <c r="DR135" s="55">
        <v>3.0000000000000001E-3</v>
      </c>
      <c r="DS135" s="55">
        <v>2.3E-2</v>
      </c>
      <c r="DT135" s="55">
        <v>0.01</v>
      </c>
      <c r="DU135" s="55">
        <v>1.6E-2</v>
      </c>
      <c r="DV135" s="54"/>
      <c r="DW135" s="632">
        <v>5.0000000000000001E-3</v>
      </c>
      <c r="DX135" s="632">
        <v>-6.0000000000000001E-3</v>
      </c>
      <c r="DY135" s="55">
        <v>2E-3</v>
      </c>
      <c r="DZ135" s="632">
        <v>7.0000000000000001E-3</v>
      </c>
      <c r="EA135" s="54"/>
      <c r="EB135" s="632">
        <v>0.02</v>
      </c>
      <c r="EC135" s="632">
        <v>3.5000000000000003E-2</v>
      </c>
      <c r="ED135" s="632">
        <v>4.5999999999999999E-2</v>
      </c>
      <c r="EE135" s="632">
        <v>4.1000000000000002E-2</v>
      </c>
      <c r="EF135" s="54"/>
      <c r="EG135" s="1607">
        <v>3.1E-2</v>
      </c>
      <c r="EH135" s="632">
        <v>2.9000000000000001E-2</v>
      </c>
      <c r="EI135" s="632">
        <v>2.3E-2</v>
      </c>
      <c r="EJ135" s="632">
        <v>2.8000000000000001E-2</v>
      </c>
      <c r="EK135" s="54"/>
      <c r="EL135" s="632">
        <v>3.9E-2</v>
      </c>
      <c r="EM135" s="632">
        <v>3.6999999999999998E-2</v>
      </c>
      <c r="EN135" s="632">
        <v>3.5000000000000003E-2</v>
      </c>
      <c r="EO135" s="632">
        <v>3.5000000000000003E-2</v>
      </c>
      <c r="EP135" s="54"/>
      <c r="EQ135" s="632">
        <v>3.5000000000000003E-2</v>
      </c>
      <c r="ER135" s="842"/>
      <c r="ES135" s="842"/>
      <c r="ET135" s="842"/>
      <c r="EU135" s="54"/>
      <c r="EV135" s="318"/>
      <c r="EW135" s="318"/>
      <c r="EX135" s="318"/>
      <c r="EY135" s="318"/>
      <c r="EZ135" s="317"/>
      <c r="FA135" s="318"/>
      <c r="FB135" s="318"/>
      <c r="FC135" s="318"/>
      <c r="FD135" s="318"/>
      <c r="FE135" s="317"/>
      <c r="FG135" s="491"/>
      <c r="FH135" s="783"/>
      <c r="FI135" s="783"/>
      <c r="FJ135" s="783"/>
      <c r="FK135" s="1312"/>
      <c r="FL135" s="1352"/>
      <c r="FM135" s="1682">
        <f t="shared" si="657"/>
        <v>3.5000000000000003E-2</v>
      </c>
      <c r="FN135" s="1439">
        <f t="shared" si="658"/>
        <v>3.9E-2</v>
      </c>
      <c r="FO135" s="1836"/>
      <c r="FP135" s="1513"/>
      <c r="FQ135" s="1513"/>
      <c r="FR135" s="1630"/>
      <c r="FS135" s="1622"/>
      <c r="FT135" s="437"/>
      <c r="FU135" s="437"/>
      <c r="FV135" s="437"/>
      <c r="FW135" s="437"/>
      <c r="FX135" s="437"/>
      <c r="FY135" s="437"/>
      <c r="FZ135" s="491"/>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c r="IW135"/>
      <c r="IX135"/>
    </row>
    <row r="136" spans="1:258" s="58" customFormat="1" x14ac:dyDescent="0.2">
      <c r="A136" s="581" t="s">
        <v>335</v>
      </c>
      <c r="B136" s="56"/>
      <c r="C136" s="327"/>
      <c r="D136" s="327"/>
      <c r="E136" s="56"/>
      <c r="F136" s="57"/>
      <c r="G136" s="56"/>
      <c r="H136" s="327"/>
      <c r="I136" s="327"/>
      <c r="J136" s="56"/>
      <c r="K136" s="57"/>
      <c r="L136" s="56"/>
      <c r="M136" s="327"/>
      <c r="N136" s="327"/>
      <c r="O136" s="56"/>
      <c r="P136" s="57"/>
      <c r="Q136" s="56"/>
      <c r="R136" s="327"/>
      <c r="S136" s="327"/>
      <c r="T136" s="56"/>
      <c r="U136" s="57"/>
      <c r="V136" s="56"/>
      <c r="W136" s="327"/>
      <c r="X136" s="327"/>
      <c r="Y136" s="56"/>
      <c r="Z136" s="57"/>
      <c r="AA136" s="56"/>
      <c r="AB136" s="327"/>
      <c r="AC136" s="327"/>
      <c r="AD136" s="56"/>
      <c r="AE136" s="57"/>
      <c r="AF136" s="56"/>
      <c r="AG136" s="327"/>
      <c r="AH136" s="327"/>
      <c r="AI136" s="56"/>
      <c r="AJ136" s="57"/>
      <c r="AK136" s="56"/>
      <c r="AL136" s="327"/>
      <c r="AM136" s="327"/>
      <c r="AN136" s="56"/>
      <c r="AO136" s="57"/>
      <c r="AP136" s="56"/>
      <c r="AQ136" s="327"/>
      <c r="AR136" s="327"/>
      <c r="AS136" s="56"/>
      <c r="AT136" s="57"/>
      <c r="AU136" s="56"/>
      <c r="AV136" s="327"/>
      <c r="AW136" s="327"/>
      <c r="AX136" s="56"/>
      <c r="AY136" s="57"/>
      <c r="AZ136" s="56"/>
      <c r="BA136" s="327"/>
      <c r="BB136" s="327"/>
      <c r="BC136" s="56"/>
      <c r="BD136" s="57"/>
      <c r="BE136" s="56"/>
      <c r="BF136" s="327"/>
      <c r="BG136" s="327"/>
      <c r="BH136" s="56"/>
      <c r="BI136" s="57"/>
      <c r="BJ136" s="56"/>
      <c r="BK136" s="327"/>
      <c r="BL136" s="327"/>
      <c r="BM136" s="56"/>
      <c r="BN136" s="57"/>
      <c r="BO136" s="56"/>
      <c r="BP136" s="327"/>
      <c r="BQ136" s="327"/>
      <c r="BR136" s="56"/>
      <c r="BS136" s="57"/>
      <c r="BT136" s="56"/>
      <c r="BU136" s="327"/>
      <c r="BV136" s="327"/>
      <c r="BW136" s="56"/>
      <c r="BX136" s="57"/>
      <c r="BY136" s="56"/>
      <c r="BZ136" s="327"/>
      <c r="CA136" s="327"/>
      <c r="CB136" s="56"/>
      <c r="CC136" s="57"/>
      <c r="CD136" s="56">
        <f>CD137*1000/CD23/BY129</f>
        <v>1.6318891733712513E-2</v>
      </c>
      <c r="CE136" s="327">
        <f>CE137*1000/CE23/BZ129</f>
        <v>2.8842348715983748E-2</v>
      </c>
      <c r="CF136" s="327">
        <f>CF137*1000/CF23/CA129</f>
        <v>4.0876101359903869E-2</v>
      </c>
      <c r="CG136" s="56">
        <f>CG137*1000/CG23/CB129</f>
        <v>9.1665924851074485E-2</v>
      </c>
      <c r="CH136" s="57"/>
      <c r="CI136" s="56">
        <f t="shared" ref="CI136:ED136" si="734">CI137*1000/CI23/CD129</f>
        <v>4.1665046494416852E-2</v>
      </c>
      <c r="CJ136" s="327">
        <f t="shared" si="734"/>
        <v>3.9143164078205887E-2</v>
      </c>
      <c r="CK136" s="327">
        <f t="shared" si="734"/>
        <v>5.4492958279280072E-2</v>
      </c>
      <c r="CL136" s="56">
        <f t="shared" si="734"/>
        <v>-6.5138901613213136E-3</v>
      </c>
      <c r="CM136" s="57">
        <f t="shared" si="734"/>
        <v>3.1894929217919935E-2</v>
      </c>
      <c r="CN136" s="56">
        <f t="shared" si="734"/>
        <v>4.1661405588520545E-3</v>
      </c>
      <c r="CO136" s="327">
        <f t="shared" si="734"/>
        <v>5.2116029350619012E-3</v>
      </c>
      <c r="CP136" s="327">
        <f t="shared" si="734"/>
        <v>-6.8545038173127969E-3</v>
      </c>
      <c r="CQ136" s="56">
        <f t="shared" si="734"/>
        <v>1.7270497174227215E-2</v>
      </c>
      <c r="CR136" s="57">
        <f t="shared" si="734"/>
        <v>4.97285566473297E-3</v>
      </c>
      <c r="CS136" s="56">
        <f t="shared" si="734"/>
        <v>7.0368335833510445E-2</v>
      </c>
      <c r="CT136" s="327">
        <f t="shared" si="734"/>
        <v>8.8972924268591561E-2</v>
      </c>
      <c r="CU136" s="327">
        <f t="shared" si="734"/>
        <v>0.1226293358899077</v>
      </c>
      <c r="CV136" s="56">
        <f t="shared" si="734"/>
        <v>5.4821509251992431E-2</v>
      </c>
      <c r="CW136" s="57">
        <f t="shared" si="734"/>
        <v>8.4575313524013138E-2</v>
      </c>
      <c r="CX136" s="56">
        <f t="shared" si="734"/>
        <v>-8.3888958812286474E-2</v>
      </c>
      <c r="CY136" s="327">
        <f t="shared" si="734"/>
        <v>-0.13172030024110332</v>
      </c>
      <c r="CZ136" s="327">
        <f t="shared" si="734"/>
        <v>-0.14874946028967298</v>
      </c>
      <c r="DA136" s="56">
        <f t="shared" si="734"/>
        <v>-8.3170018662821435E-2</v>
      </c>
      <c r="DB136" s="57">
        <f t="shared" si="734"/>
        <v>-0.112385214129906</v>
      </c>
      <c r="DC136" s="56">
        <f t="shared" si="734"/>
        <v>1.617754721725112E-2</v>
      </c>
      <c r="DD136" s="327">
        <f t="shared" si="734"/>
        <v>3.3210295191509365E-2</v>
      </c>
      <c r="DE136" s="327">
        <f t="shared" si="734"/>
        <v>1.5543185037890527E-2</v>
      </c>
      <c r="DF136" s="327">
        <f t="shared" si="734"/>
        <v>5.4659008011459318E-3</v>
      </c>
      <c r="DG136" s="57">
        <f t="shared" si="734"/>
        <v>1.7414807316952385E-2</v>
      </c>
      <c r="DH136" s="327">
        <f t="shared" si="734"/>
        <v>2.2226633786981882E-2</v>
      </c>
      <c r="DI136" s="327">
        <f t="shared" si="734"/>
        <v>5.4112175250563638E-2</v>
      </c>
      <c r="DJ136" s="327">
        <f t="shared" si="734"/>
        <v>5.6376082978213719E-2</v>
      </c>
      <c r="DK136" s="327">
        <f t="shared" si="734"/>
        <v>4.8152247165096633E-2</v>
      </c>
      <c r="DL136" s="57">
        <f t="shared" si="734"/>
        <v>4.5287827458669327E-2</v>
      </c>
      <c r="DM136" s="327">
        <f t="shared" si="734"/>
        <v>2.9582176462833953E-2</v>
      </c>
      <c r="DN136" s="327">
        <f t="shared" si="734"/>
        <v>3.3836851953040975E-3</v>
      </c>
      <c r="DO136" s="327">
        <f t="shared" si="734"/>
        <v>-1.0585661535800771E-2</v>
      </c>
      <c r="DP136" s="327">
        <f t="shared" si="734"/>
        <v>6.1161371069940835E-3</v>
      </c>
      <c r="DQ136" s="57">
        <f t="shared" si="734"/>
        <v>6.8989955635073014E-3</v>
      </c>
      <c r="DR136" s="327">
        <f t="shared" si="734"/>
        <v>-4.4483336400967115E-4</v>
      </c>
      <c r="DS136" s="327">
        <f t="shared" si="734"/>
        <v>-1.9240663211550382E-4</v>
      </c>
      <c r="DT136" s="56">
        <f t="shared" si="734"/>
        <v>4.04422325424023E-3</v>
      </c>
      <c r="DU136" s="327">
        <f t="shared" si="734"/>
        <v>1.3615065876542772E-3</v>
      </c>
      <c r="DV136" s="57">
        <f t="shared" si="734"/>
        <v>1.1860044763401072E-3</v>
      </c>
      <c r="DW136" s="327">
        <f t="shared" si="734"/>
        <v>-8.4721261713648099E-5</v>
      </c>
      <c r="DX136" s="327">
        <f t="shared" si="734"/>
        <v>5.194094269806113E-3</v>
      </c>
      <c r="DY136" s="56">
        <f t="shared" si="734"/>
        <v>9.7786221672553145E-3</v>
      </c>
      <c r="DZ136" s="327">
        <f t="shared" si="734"/>
        <v>-2.474075681428592E-3</v>
      </c>
      <c r="EA136" s="57">
        <f t="shared" si="734"/>
        <v>3.143025975488105E-3</v>
      </c>
      <c r="EB136" s="1152">
        <f t="shared" si="734"/>
        <v>-3.0643521182747841E-2</v>
      </c>
      <c r="EC136" s="1152">
        <f t="shared" si="734"/>
        <v>-5.8763173176921438E-2</v>
      </c>
      <c r="ED136" s="1176">
        <f t="shared" si="734"/>
        <v>-5.7852809009068702E-2</v>
      </c>
      <c r="EE136" s="327">
        <f t="shared" ref="EE136:EI136" si="735">EE137*1000/EE23/DZ129</f>
        <v>-6.7830130386352522E-2</v>
      </c>
      <c r="EF136" s="57">
        <f t="shared" si="735"/>
        <v>-5.3940349698306606E-2</v>
      </c>
      <c r="EG136" s="1152">
        <f t="shared" si="735"/>
        <v>-5.1192456704968414E-2</v>
      </c>
      <c r="EH136" s="1152">
        <f t="shared" si="735"/>
        <v>-3.6785734863244782E-2</v>
      </c>
      <c r="EI136" s="1176">
        <f t="shared" si="735"/>
        <v>-2.4018053623751902E-2</v>
      </c>
      <c r="EJ136" s="327">
        <f t="shared" ref="EJ136" si="736">EJ137*1000/EJ23/EE129</f>
        <v>-3.5675176974744992E-3</v>
      </c>
      <c r="EK136" s="57">
        <f t="shared" ref="EK136:EQ136" si="737">EK137*1000/EK23/EF129</f>
        <v>-2.8667497214406024E-2</v>
      </c>
      <c r="EL136" s="1152">
        <f t="shared" si="737"/>
        <v>1.2667504187604692E-2</v>
      </c>
      <c r="EM136" s="1152">
        <f t="shared" si="737"/>
        <v>1.9638485179976038E-2</v>
      </c>
      <c r="EN136" s="1176">
        <f t="shared" si="737"/>
        <v>6.7803083877239377E-3</v>
      </c>
      <c r="EO136" s="327">
        <f t="shared" si="737"/>
        <v>1.294627908532193E-2</v>
      </c>
      <c r="EP136" s="57">
        <f t="shared" si="737"/>
        <v>1.299875595738716E-2</v>
      </c>
      <c r="EQ136" s="1152">
        <f t="shared" si="737"/>
        <v>1.8217910573244837E-2</v>
      </c>
      <c r="ER136" s="56">
        <f t="shared" ref="ER136" si="738">ER137*1000/ER23/EM129</f>
        <v>2.0979009921231428E-2</v>
      </c>
      <c r="ES136" s="56">
        <f t="shared" ref="ES136:EU136" si="739">ES137*1000/ES23/EN129</f>
        <v>2.5125901017660306E-2</v>
      </c>
      <c r="ET136" s="56">
        <f t="shared" si="739"/>
        <v>1.5538532581318267E-2</v>
      </c>
      <c r="EU136" s="57">
        <f t="shared" si="739"/>
        <v>1.9894450437277576E-2</v>
      </c>
      <c r="EV136" s="56"/>
      <c r="EW136" s="56"/>
      <c r="EX136" s="56"/>
      <c r="EY136" s="56"/>
      <c r="EZ136" s="57">
        <f>EZ137*1000/EZ23/EU129</f>
        <v>6.4694624181321672E-4</v>
      </c>
      <c r="FA136" s="56"/>
      <c r="FB136" s="56"/>
      <c r="FC136" s="56"/>
      <c r="FD136" s="56"/>
      <c r="FE136" s="57">
        <f>FE137*1000/FE23/EZ129</f>
        <v>8.362662645702495E-4</v>
      </c>
      <c r="FG136" s="492"/>
      <c r="FH136" s="784"/>
      <c r="FI136" s="784"/>
      <c r="FJ136" s="784"/>
      <c r="FK136" s="847"/>
      <c r="FL136" s="1350"/>
      <c r="FM136" s="56">
        <f t="shared" si="657"/>
        <v>1.8217910573244837E-2</v>
      </c>
      <c r="FN136" s="1440">
        <f t="shared" si="658"/>
        <v>1.2667504187604692E-2</v>
      </c>
      <c r="FO136" s="1837">
        <v>1.8546969156704847E-2</v>
      </c>
      <c r="FP136" s="1757">
        <f>+(FM136-FN136)*10000</f>
        <v>55.504063856401459</v>
      </c>
      <c r="FQ136" s="1546">
        <f>+(FM136-FO136)*10000</f>
        <v>-3.2905858346000958</v>
      </c>
      <c r="FR136" s="1614" t="s">
        <v>801</v>
      </c>
      <c r="FS136" s="1620"/>
      <c r="FT136" s="711"/>
      <c r="FU136" s="711"/>
      <c r="FV136" s="711"/>
      <c r="FW136" s="711"/>
      <c r="FX136" s="711"/>
      <c r="FY136" s="711"/>
      <c r="FZ136" s="492"/>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c r="IU136"/>
      <c r="IV136"/>
      <c r="IW136"/>
      <c r="IX136"/>
    </row>
    <row r="137" spans="1:258" s="39" customFormat="1" x14ac:dyDescent="0.2">
      <c r="A137" s="575" t="s">
        <v>469</v>
      </c>
      <c r="B137" s="63"/>
      <c r="C137" s="63"/>
      <c r="D137" s="63"/>
      <c r="E137" s="63"/>
      <c r="F137" s="64"/>
      <c r="G137" s="63"/>
      <c r="H137" s="63"/>
      <c r="I137" s="63"/>
      <c r="J137" s="63"/>
      <c r="K137" s="64"/>
      <c r="L137" s="63"/>
      <c r="M137" s="63"/>
      <c r="N137" s="63"/>
      <c r="O137" s="63"/>
      <c r="P137" s="64"/>
      <c r="Q137" s="63"/>
      <c r="R137" s="63"/>
      <c r="S137" s="63"/>
      <c r="T137" s="63"/>
      <c r="U137" s="64"/>
      <c r="V137" s="63"/>
      <c r="W137" s="63"/>
      <c r="X137" s="63"/>
      <c r="Y137" s="63"/>
      <c r="Z137" s="64"/>
      <c r="AA137" s="63"/>
      <c r="AB137" s="63"/>
      <c r="AC137" s="63"/>
      <c r="AD137" s="63"/>
      <c r="AE137" s="64"/>
      <c r="AF137" s="63"/>
      <c r="AG137" s="63"/>
      <c r="AH137" s="63"/>
      <c r="AI137" s="63"/>
      <c r="AJ137" s="64"/>
      <c r="AK137" s="63"/>
      <c r="AL137" s="63"/>
      <c r="AM137" s="63"/>
      <c r="AN137" s="63"/>
      <c r="AO137" s="64"/>
      <c r="AP137" s="63"/>
      <c r="AQ137" s="63"/>
      <c r="AR137" s="63"/>
      <c r="AS137" s="63"/>
      <c r="AT137" s="64"/>
      <c r="AU137" s="63"/>
      <c r="AV137" s="63"/>
      <c r="AW137" s="63"/>
      <c r="AX137" s="63"/>
      <c r="AY137" s="64"/>
      <c r="AZ137" s="63"/>
      <c r="BA137" s="63"/>
      <c r="BB137" s="63"/>
      <c r="BC137" s="63"/>
      <c r="BD137" s="64"/>
      <c r="BE137" s="63"/>
      <c r="BF137" s="63"/>
      <c r="BG137" s="63"/>
      <c r="BH137" s="63"/>
      <c r="BI137" s="64"/>
      <c r="BJ137" s="63"/>
      <c r="BK137" s="63"/>
      <c r="BL137" s="63"/>
      <c r="BM137" s="63"/>
      <c r="BN137" s="64"/>
      <c r="BO137" s="63"/>
      <c r="BP137" s="63"/>
      <c r="BQ137" s="63"/>
      <c r="BR137" s="63"/>
      <c r="BS137" s="64"/>
      <c r="BT137" s="63"/>
      <c r="BU137" s="63"/>
      <c r="BV137" s="63"/>
      <c r="BW137" s="63"/>
      <c r="BX137" s="64"/>
      <c r="BY137" s="63"/>
      <c r="BZ137" s="63"/>
      <c r="CA137" s="63"/>
      <c r="CB137" s="63"/>
      <c r="CC137" s="64"/>
      <c r="CD137" s="63">
        <f>CD139-BY139</f>
        <v>31.279879897372421</v>
      </c>
      <c r="CE137" s="63">
        <f>CE139-BZ139</f>
        <v>55.942686152068951</v>
      </c>
      <c r="CF137" s="63">
        <f>CF139-CA139</f>
        <v>78.609422182614608</v>
      </c>
      <c r="CG137" s="63">
        <f>CG139-CB139</f>
        <v>181.5234931816376</v>
      </c>
      <c r="CH137" s="64"/>
      <c r="CI137" s="63">
        <f>CI139-CD139</f>
        <v>85.85860095684032</v>
      </c>
      <c r="CJ137" s="63">
        <f t="shared" ref="CJ137:ED137" si="740">CJ139-CE139</f>
        <v>83.26289244119684</v>
      </c>
      <c r="CK137" s="63">
        <f t="shared" si="740"/>
        <v>116.40031414090687</v>
      </c>
      <c r="CL137" s="63">
        <f t="shared" si="740"/>
        <v>-14.215615782643312</v>
      </c>
      <c r="CM137" s="64">
        <f t="shared" si="740"/>
        <v>271.30619175630068</v>
      </c>
      <c r="CN137" s="63">
        <f t="shared" si="740"/>
        <v>9.1815144189708775</v>
      </c>
      <c r="CO137" s="63">
        <f t="shared" si="740"/>
        <v>12.113306406336847</v>
      </c>
      <c r="CP137" s="63">
        <f t="shared" si="740"/>
        <v>-15.545648245204347</v>
      </c>
      <c r="CQ137" s="63">
        <f t="shared" si="740"/>
        <v>39.386122601005695</v>
      </c>
      <c r="CR137" s="64">
        <f t="shared" si="740"/>
        <v>45.135295181109086</v>
      </c>
      <c r="CS137" s="63">
        <f t="shared" si="740"/>
        <v>162.68000472681638</v>
      </c>
      <c r="CT137" s="63">
        <f t="shared" si="740"/>
        <v>213.68111500039737</v>
      </c>
      <c r="CU137" s="63">
        <f t="shared" si="740"/>
        <v>292.5359119216829</v>
      </c>
      <c r="CV137" s="63">
        <f t="shared" si="740"/>
        <v>125.30600000000001</v>
      </c>
      <c r="CW137" s="64">
        <f t="shared" si="740"/>
        <v>794.20303164889663</v>
      </c>
      <c r="CX137" s="63">
        <f t="shared" si="740"/>
        <v>-184</v>
      </c>
      <c r="CY137" s="63">
        <f t="shared" si="740"/>
        <v>-298</v>
      </c>
      <c r="CZ137" s="63">
        <f t="shared" si="740"/>
        <v>-365</v>
      </c>
      <c r="DA137" s="63">
        <f t="shared" si="740"/>
        <v>-202</v>
      </c>
      <c r="DB137" s="64">
        <f t="shared" si="740"/>
        <v>-1049</v>
      </c>
      <c r="DC137" s="63">
        <f t="shared" si="740"/>
        <v>37</v>
      </c>
      <c r="DD137" s="63">
        <f t="shared" si="740"/>
        <v>80</v>
      </c>
      <c r="DE137" s="63">
        <f t="shared" si="740"/>
        <v>38</v>
      </c>
      <c r="DF137" s="63">
        <f t="shared" si="740"/>
        <v>14</v>
      </c>
      <c r="DG137" s="183">
        <f t="shared" si="740"/>
        <v>169</v>
      </c>
      <c r="DH137" s="63">
        <f t="shared" si="740"/>
        <v>57.792000000000002</v>
      </c>
      <c r="DI137" s="63">
        <f t="shared" si="740"/>
        <v>144.63900000000001</v>
      </c>
      <c r="DJ137" s="63">
        <f t="shared" si="740"/>
        <v>146.411</v>
      </c>
      <c r="DK137" s="63">
        <f t="shared" si="740"/>
        <v>126.55000000000001</v>
      </c>
      <c r="DL137" s="183">
        <f t="shared" si="740"/>
        <v>475.39200000000005</v>
      </c>
      <c r="DM137" s="63">
        <f t="shared" si="740"/>
        <v>81.474999999999994</v>
      </c>
      <c r="DN137" s="63">
        <f t="shared" si="740"/>
        <v>9.9320000000000164</v>
      </c>
      <c r="DO137" s="63">
        <f t="shared" si="740"/>
        <v>-30.244000000000028</v>
      </c>
      <c r="DP137" s="63">
        <f t="shared" si="740"/>
        <v>17.101999999999975</v>
      </c>
      <c r="DQ137" s="183">
        <f t="shared" si="740"/>
        <v>78.264999999999873</v>
      </c>
      <c r="DR137" s="63">
        <f t="shared" si="740"/>
        <v>-1.2669999999999959</v>
      </c>
      <c r="DS137" s="63">
        <f t="shared" si="740"/>
        <v>-0.57100000000002638</v>
      </c>
      <c r="DT137" s="182">
        <f t="shared" si="740"/>
        <v>11.624000000000024</v>
      </c>
      <c r="DU137" s="63">
        <f t="shared" si="740"/>
        <v>4.0520000000000209</v>
      </c>
      <c r="DV137" s="183">
        <f t="shared" si="740"/>
        <v>13.837999999999965</v>
      </c>
      <c r="DW137" s="63">
        <f>DW139-DR139</f>
        <v>-0.24799999999999045</v>
      </c>
      <c r="DX137" s="63">
        <f t="shared" si="740"/>
        <v>16.629999999999995</v>
      </c>
      <c r="DY137" s="182">
        <f t="shared" si="740"/>
        <v>30.028999999999996</v>
      </c>
      <c r="DZ137" s="63">
        <f t="shared" si="740"/>
        <v>-7.7040000000000077</v>
      </c>
      <c r="EA137" s="183">
        <f>EA139-DV139</f>
        <v>38.707000000000107</v>
      </c>
      <c r="EB137" s="497">
        <f>EB139-DW139</f>
        <v>-88.75200000000001</v>
      </c>
      <c r="EC137" s="497">
        <f t="shared" si="740"/>
        <v>-183.63</v>
      </c>
      <c r="ED137" s="1177">
        <f t="shared" si="740"/>
        <v>-174.82</v>
      </c>
      <c r="EE137" s="63">
        <f t="shared" ref="EE137:EQ137" si="741">EE139-DZ139</f>
        <v>-198</v>
      </c>
      <c r="EF137" s="183">
        <f t="shared" si="741"/>
        <v>-645.202</v>
      </c>
      <c r="EG137" s="497">
        <f t="shared" si="741"/>
        <v>-139</v>
      </c>
      <c r="EH137" s="497">
        <f t="shared" si="741"/>
        <v>-98</v>
      </c>
      <c r="EI137" s="1177">
        <f t="shared" si="741"/>
        <v>-63</v>
      </c>
      <c r="EJ137" s="63">
        <f t="shared" si="741"/>
        <v>-10</v>
      </c>
      <c r="EK137" s="183">
        <f t="shared" si="741"/>
        <v>-310</v>
      </c>
      <c r="EL137" s="497">
        <f t="shared" si="741"/>
        <v>33</v>
      </c>
      <c r="EM137" s="497">
        <f t="shared" si="741"/>
        <v>52</v>
      </c>
      <c r="EN137" s="1177">
        <f t="shared" si="741"/>
        <v>18</v>
      </c>
      <c r="EO137" s="63">
        <f t="shared" si="741"/>
        <v>35</v>
      </c>
      <c r="EP137" s="183">
        <f t="shared" si="741"/>
        <v>138</v>
      </c>
      <c r="EQ137" s="497">
        <f t="shared" si="741"/>
        <v>49</v>
      </c>
      <c r="ER137" s="182">
        <f t="shared" ref="ER137" si="742">ER139-EM139</f>
        <v>57</v>
      </c>
      <c r="ES137" s="182">
        <f t="shared" ref="ES137:EZ137" si="743">ES139-EN139</f>
        <v>67</v>
      </c>
      <c r="ET137" s="182">
        <f t="shared" si="743"/>
        <v>44</v>
      </c>
      <c r="EU137" s="183">
        <f t="shared" si="743"/>
        <v>217</v>
      </c>
      <c r="EV137" s="184">
        <f t="shared" si="743"/>
        <v>-134</v>
      </c>
      <c r="EW137" s="184">
        <f t="shared" si="743"/>
        <v>-145</v>
      </c>
      <c r="EX137" s="184">
        <f t="shared" si="743"/>
        <v>-150</v>
      </c>
      <c r="EY137" s="184">
        <f t="shared" si="743"/>
        <v>-155</v>
      </c>
      <c r="EZ137" s="183">
        <f t="shared" si="743"/>
        <v>7.314905816540886</v>
      </c>
      <c r="FA137" s="184">
        <f t="shared" ref="FA137" si="744">FA139-EV139</f>
        <v>0</v>
      </c>
      <c r="FB137" s="184">
        <f t="shared" ref="FB137" si="745">FB139-EW139</f>
        <v>0</v>
      </c>
      <c r="FC137" s="184">
        <f t="shared" ref="FC137" si="746">FC139-EX139</f>
        <v>0</v>
      </c>
      <c r="FD137" s="184">
        <f t="shared" ref="FD137" si="747">FD139-EY139</f>
        <v>0</v>
      </c>
      <c r="FE137" s="183">
        <f t="shared" ref="FE137" si="748">FE139-EZ139</f>
        <v>9.7078652460875219</v>
      </c>
      <c r="FG137" s="490"/>
      <c r="FH137" s="777"/>
      <c r="FI137" s="777"/>
      <c r="FJ137" s="777"/>
      <c r="FK137" s="175"/>
      <c r="FL137" s="1347"/>
      <c r="FM137" s="1549">
        <f t="shared" si="657"/>
        <v>49</v>
      </c>
      <c r="FN137" s="1441">
        <f t="shared" si="658"/>
        <v>33</v>
      </c>
      <c r="FO137" s="1838">
        <v>50</v>
      </c>
      <c r="FP137" s="1733">
        <f>+FM137/FN137-1</f>
        <v>0.48484848484848486</v>
      </c>
      <c r="FQ137" s="1519">
        <f>+FM137/FO137-1</f>
        <v>-2.0000000000000018E-2</v>
      </c>
      <c r="FR137" s="1619"/>
      <c r="FS137" s="1615"/>
      <c r="FT137" s="355"/>
      <c r="FU137" s="355"/>
      <c r="FV137" s="355"/>
      <c r="FW137" s="355"/>
      <c r="FX137" s="355"/>
      <c r="FY137" s="355"/>
      <c r="FZ137" s="490"/>
      <c r="GA137"/>
      <c r="GB137"/>
      <c r="GC137"/>
      <c r="GD137"/>
      <c r="GE137"/>
      <c r="GF137"/>
      <c r="GG137"/>
      <c r="GH137"/>
      <c r="GI137"/>
      <c r="GJ137"/>
      <c r="GK137"/>
      <c r="GL137"/>
      <c r="GM137"/>
      <c r="GN137"/>
      <c r="GO137"/>
      <c r="GP137"/>
      <c r="GQ137"/>
      <c r="GR137"/>
      <c r="GS137"/>
      <c r="GT137"/>
      <c r="GU137"/>
      <c r="GV137"/>
      <c r="GW137"/>
      <c r="GX137"/>
      <c r="GY137"/>
      <c r="GZ137"/>
      <c r="HA137"/>
      <c r="HB137"/>
      <c r="HC137"/>
      <c r="HD137"/>
      <c r="HE137"/>
      <c r="HF137"/>
      <c r="HG137"/>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c r="IS137"/>
      <c r="IT137"/>
      <c r="IU137"/>
      <c r="IV137"/>
      <c r="IW137"/>
      <c r="IX137"/>
    </row>
    <row r="138" spans="1:258" s="39" customFormat="1" x14ac:dyDescent="0.2">
      <c r="A138" s="582" t="s">
        <v>606</v>
      </c>
      <c r="B138" s="63"/>
      <c r="C138" s="63"/>
      <c r="D138" s="63"/>
      <c r="E138" s="63"/>
      <c r="F138" s="64"/>
      <c r="G138" s="63"/>
      <c r="H138" s="63"/>
      <c r="I138" s="63"/>
      <c r="J138" s="63"/>
      <c r="K138" s="64"/>
      <c r="L138" s="63"/>
      <c r="M138" s="63"/>
      <c r="N138" s="63"/>
      <c r="O138" s="63"/>
      <c r="P138" s="64"/>
      <c r="Q138" s="63"/>
      <c r="R138" s="63"/>
      <c r="S138" s="63"/>
      <c r="T138" s="63"/>
      <c r="U138" s="64"/>
      <c r="V138" s="63"/>
      <c r="W138" s="63"/>
      <c r="X138" s="63"/>
      <c r="Y138" s="63"/>
      <c r="Z138" s="64"/>
      <c r="AA138" s="63"/>
      <c r="AB138" s="63"/>
      <c r="AC138" s="63"/>
      <c r="AD138" s="63"/>
      <c r="AE138" s="64"/>
      <c r="AF138" s="63"/>
      <c r="AG138" s="63"/>
      <c r="AH138" s="63"/>
      <c r="AI138" s="63"/>
      <c r="AJ138" s="64"/>
      <c r="AK138" s="63"/>
      <c r="AL138" s="63"/>
      <c r="AM138" s="63"/>
      <c r="AN138" s="63"/>
      <c r="AO138" s="64"/>
      <c r="AP138" s="63"/>
      <c r="AQ138" s="63"/>
      <c r="AR138" s="63"/>
      <c r="AS138" s="63"/>
      <c r="AT138" s="64"/>
      <c r="AU138" s="63"/>
      <c r="AV138" s="63"/>
      <c r="AW138" s="63"/>
      <c r="AX138" s="63"/>
      <c r="AY138" s="64"/>
      <c r="AZ138" s="63"/>
      <c r="BA138" s="63"/>
      <c r="BB138" s="63"/>
      <c r="BC138" s="63"/>
      <c r="BD138" s="64"/>
      <c r="BE138" s="63"/>
      <c r="BF138" s="63"/>
      <c r="BG138" s="63"/>
      <c r="BH138" s="63"/>
      <c r="BI138" s="64"/>
      <c r="BJ138" s="63"/>
      <c r="BK138" s="63"/>
      <c r="BL138" s="63"/>
      <c r="BM138" s="63"/>
      <c r="BN138" s="64"/>
      <c r="BO138" s="63"/>
      <c r="BP138" s="63"/>
      <c r="BQ138" s="63"/>
      <c r="BR138" s="63"/>
      <c r="BS138" s="64"/>
      <c r="BT138" s="63"/>
      <c r="BU138" s="63"/>
      <c r="BV138" s="63"/>
      <c r="BW138" s="63"/>
      <c r="BX138" s="64"/>
      <c r="BY138" s="63"/>
      <c r="BZ138" s="63"/>
      <c r="CA138" s="63"/>
      <c r="CB138" s="63"/>
      <c r="CC138" s="64"/>
      <c r="CD138" s="63">
        <f>CD137-(CD177-BY177)</f>
        <v>6.279879897372421</v>
      </c>
      <c r="CE138" s="63">
        <f>CE137-(CE177-BZ177)</f>
        <v>30.942686152068951</v>
      </c>
      <c r="CF138" s="63">
        <f>CF137-(CF177-CA177)</f>
        <v>52.609422182614608</v>
      </c>
      <c r="CG138" s="63">
        <f>CG137-(CG177-CB177)</f>
        <v>130.5234931816376</v>
      </c>
      <c r="CH138" s="64"/>
      <c r="CI138" s="63">
        <f t="shared" ref="CI138:DN138" si="749">CI137-(CI177-CD177)</f>
        <v>11.85860095684032</v>
      </c>
      <c r="CJ138" s="63">
        <f t="shared" si="749"/>
        <v>-28.73710755880316</v>
      </c>
      <c r="CK138" s="63">
        <f t="shared" si="749"/>
        <v>4.4003141409068718</v>
      </c>
      <c r="CL138" s="63">
        <f t="shared" si="749"/>
        <v>-45.215615782643312</v>
      </c>
      <c r="CM138" s="64">
        <f t="shared" si="749"/>
        <v>-57.693808243699323</v>
      </c>
      <c r="CN138" s="63">
        <f t="shared" si="749"/>
        <v>-21.818485581029122</v>
      </c>
      <c r="CO138" s="63">
        <f t="shared" si="749"/>
        <v>-15.886693593663153</v>
      </c>
      <c r="CP138" s="63">
        <f t="shared" si="749"/>
        <v>-45.545648245204347</v>
      </c>
      <c r="CQ138" s="63">
        <f t="shared" si="749"/>
        <v>-71.613877398994305</v>
      </c>
      <c r="CR138" s="64">
        <f t="shared" si="749"/>
        <v>-154.86470481889091</v>
      </c>
      <c r="CS138" s="63">
        <f t="shared" si="749"/>
        <v>5.680004726816378</v>
      </c>
      <c r="CT138" s="63">
        <f t="shared" si="749"/>
        <v>-7.3188849996026306</v>
      </c>
      <c r="CU138" s="63">
        <f t="shared" si="749"/>
        <v>114.5359119216829</v>
      </c>
      <c r="CV138" s="63">
        <f t="shared" si="749"/>
        <v>176.30600000000001</v>
      </c>
      <c r="CW138" s="64">
        <f t="shared" si="749"/>
        <v>289.20303164889663</v>
      </c>
      <c r="CX138" s="63">
        <f t="shared" si="749"/>
        <v>66</v>
      </c>
      <c r="CY138" s="63">
        <f t="shared" si="749"/>
        <v>54</v>
      </c>
      <c r="CZ138" s="63">
        <f t="shared" si="749"/>
        <v>-80</v>
      </c>
      <c r="DA138" s="63">
        <f t="shared" si="749"/>
        <v>-121</v>
      </c>
      <c r="DB138" s="64">
        <f t="shared" si="749"/>
        <v>-81</v>
      </c>
      <c r="DC138" s="63">
        <f t="shared" si="749"/>
        <v>-55</v>
      </c>
      <c r="DD138" s="63">
        <f t="shared" si="749"/>
        <v>-39</v>
      </c>
      <c r="DE138" s="63">
        <f t="shared" si="749"/>
        <v>-18</v>
      </c>
      <c r="DF138" s="63">
        <f t="shared" si="749"/>
        <v>-82</v>
      </c>
      <c r="DG138" s="64">
        <f t="shared" si="749"/>
        <v>-194</v>
      </c>
      <c r="DH138" s="63">
        <f t="shared" si="749"/>
        <v>-61.207999999999998</v>
      </c>
      <c r="DI138" s="63">
        <f t="shared" si="749"/>
        <v>17.63900000000001</v>
      </c>
      <c r="DJ138" s="63">
        <f t="shared" si="749"/>
        <v>13.411000000000001</v>
      </c>
      <c r="DK138" s="63">
        <f t="shared" si="749"/>
        <v>49.550000000000011</v>
      </c>
      <c r="DL138" s="64">
        <f t="shared" si="749"/>
        <v>19.392000000000053</v>
      </c>
      <c r="DM138" s="63">
        <f t="shared" si="749"/>
        <v>39.474999999999994</v>
      </c>
      <c r="DN138" s="63">
        <f t="shared" si="749"/>
        <v>30.932000000000016</v>
      </c>
      <c r="DO138" s="63">
        <f t="shared" ref="DO138:EI138" si="750">DO137-(DO177-DJ177)</f>
        <v>-15.244000000000028</v>
      </c>
      <c r="DP138" s="63">
        <f t="shared" si="750"/>
        <v>19.101999999999975</v>
      </c>
      <c r="DQ138" s="64">
        <f t="shared" si="750"/>
        <v>74.264999999999873</v>
      </c>
      <c r="DR138" s="63">
        <f t="shared" si="750"/>
        <v>-1.2669999999999959</v>
      </c>
      <c r="DS138" s="63">
        <f t="shared" si="750"/>
        <v>12.428999999999974</v>
      </c>
      <c r="DT138" s="63">
        <f t="shared" si="750"/>
        <v>17.624000000000024</v>
      </c>
      <c r="DU138" s="63">
        <f t="shared" si="750"/>
        <v>17.052000000000021</v>
      </c>
      <c r="DV138" s="64">
        <f t="shared" si="750"/>
        <v>45.837999999999965</v>
      </c>
      <c r="DW138" s="63">
        <f t="shared" si="750"/>
        <v>-2.2479999999999905</v>
      </c>
      <c r="DX138" s="63">
        <f t="shared" si="750"/>
        <v>-2.3700000000000045</v>
      </c>
      <c r="DY138" s="63">
        <f t="shared" si="750"/>
        <v>28.028999999999996</v>
      </c>
      <c r="DZ138" s="63">
        <f t="shared" si="750"/>
        <v>39.295999999999992</v>
      </c>
      <c r="EA138" s="64">
        <f t="shared" si="750"/>
        <v>62.707000000000107</v>
      </c>
      <c r="EB138" s="497">
        <f t="shared" si="750"/>
        <v>87.24799999999999</v>
      </c>
      <c r="EC138" s="497">
        <f t="shared" si="750"/>
        <v>-30.629999999999995</v>
      </c>
      <c r="ED138" s="497">
        <f t="shared" si="750"/>
        <v>-4.8199999999999932</v>
      </c>
      <c r="EE138" s="63">
        <f>EE137-(EE177-DZ177)</f>
        <v>-38</v>
      </c>
      <c r="EF138" s="64">
        <f>EF137-(EF177-EA177)</f>
        <v>13.798000000000002</v>
      </c>
      <c r="EG138" s="497">
        <f t="shared" si="750"/>
        <v>-19</v>
      </c>
      <c r="EH138" s="497">
        <f t="shared" si="750"/>
        <v>-7</v>
      </c>
      <c r="EI138" s="497">
        <f t="shared" si="750"/>
        <v>-14</v>
      </c>
      <c r="EJ138" s="63">
        <f>EJ137-(EJ177-EE177)</f>
        <v>-26</v>
      </c>
      <c r="EK138" s="64">
        <f>EK137-(EK177-EF177)</f>
        <v>-66</v>
      </c>
      <c r="EL138" s="497">
        <f t="shared" ref="EL138:EN138" si="751">EL137-(EL177-EG177)</f>
        <v>-35</v>
      </c>
      <c r="EM138" s="497">
        <f t="shared" si="751"/>
        <v>26</v>
      </c>
      <c r="EN138" s="497">
        <f t="shared" si="751"/>
        <v>-13</v>
      </c>
      <c r="EO138" s="63">
        <f>EO137-(EO177-EJ177)</f>
        <v>9</v>
      </c>
      <c r="EP138" s="64">
        <f>EP137-(EP177-EK177)</f>
        <v>-13</v>
      </c>
      <c r="EQ138" s="497">
        <f t="shared" ref="EQ138" si="752">EQ137-(EQ177-EL177)</f>
        <v>12</v>
      </c>
      <c r="ER138" s="497">
        <f t="shared" ref="ER138" si="753">ER137-(ER177-EM177)</f>
        <v>10.754974283052661</v>
      </c>
      <c r="ES138" s="497">
        <f t="shared" ref="ES138:EU138" si="754">ES137-(ES177-EN177)</f>
        <v>29.52284966737335</v>
      </c>
      <c r="ET138" s="497">
        <f t="shared" si="754"/>
        <v>20.26796577832215</v>
      </c>
      <c r="EU138" s="1660">
        <f t="shared" si="754"/>
        <v>72.545789728748105</v>
      </c>
      <c r="EV138" s="1661"/>
      <c r="EW138" s="1661"/>
      <c r="EX138" s="1661"/>
      <c r="EY138" s="1661"/>
      <c r="EZ138" s="1660">
        <f>EZ137-(EZ177-EU177)</f>
        <v>16.949181305922593</v>
      </c>
      <c r="FA138" s="1661"/>
      <c r="FB138" s="1661"/>
      <c r="FC138" s="1661"/>
      <c r="FD138" s="1661"/>
      <c r="FE138" s="1660">
        <f>FE137-(FE177-EZ177)</f>
        <v>24.135495666197471</v>
      </c>
      <c r="FG138" s="464"/>
      <c r="FH138" s="777"/>
      <c r="FI138" s="777"/>
      <c r="FJ138" s="777"/>
      <c r="FK138" s="175"/>
      <c r="FL138" s="1347"/>
      <c r="FM138" s="1549">
        <f t="shared" si="657"/>
        <v>12</v>
      </c>
      <c r="FN138" s="1441">
        <f t="shared" si="658"/>
        <v>-35</v>
      </c>
      <c r="FO138" s="1839">
        <v>13.748207695560922</v>
      </c>
      <c r="FP138" s="1733">
        <f>+FM138/FN138-1</f>
        <v>-1.342857142857143</v>
      </c>
      <c r="FQ138" s="1519">
        <f>+FM138/FO138-1</f>
        <v>-0.12715895295394686</v>
      </c>
      <c r="FR138" s="1615"/>
      <c r="FS138" s="1619"/>
      <c r="FT138" s="355"/>
      <c r="FU138" s="355"/>
      <c r="FV138" s="355"/>
      <c r="FW138" s="355"/>
      <c r="FX138" s="355"/>
      <c r="FY138" s="355"/>
      <c r="FZ138" s="464"/>
      <c r="GA138"/>
      <c r="GB138"/>
      <c r="GC138"/>
      <c r="GD138"/>
      <c r="GE138"/>
      <c r="GF138"/>
      <c r="GG138"/>
      <c r="GH138"/>
      <c r="GI138"/>
      <c r="GJ138"/>
      <c r="GK138"/>
      <c r="GL138"/>
      <c r="GM138"/>
      <c r="GN138"/>
      <c r="GO138"/>
      <c r="GP138"/>
      <c r="GQ138"/>
      <c r="GR138"/>
      <c r="GS138"/>
      <c r="GT138"/>
      <c r="GU138"/>
      <c r="GV138"/>
      <c r="GW138"/>
      <c r="GX138"/>
      <c r="GY138"/>
      <c r="GZ138"/>
      <c r="HA138"/>
      <c r="HB138"/>
      <c r="HC138"/>
      <c r="HD138"/>
      <c r="HE138"/>
      <c r="HF138"/>
      <c r="HG138"/>
      <c r="HH138"/>
      <c r="HI138"/>
      <c r="HJ138"/>
      <c r="HK138"/>
      <c r="HL138"/>
      <c r="HM138"/>
      <c r="HN138"/>
      <c r="HO138"/>
      <c r="HP138"/>
      <c r="HQ138"/>
      <c r="HR138"/>
      <c r="HS138"/>
      <c r="HT138"/>
      <c r="HU138"/>
      <c r="HV138"/>
      <c r="HW138"/>
      <c r="HX138"/>
      <c r="HY138"/>
      <c r="HZ138"/>
      <c r="IA138"/>
      <c r="IB138"/>
      <c r="IC138"/>
      <c r="ID138"/>
      <c r="IE138"/>
      <c r="IF138"/>
      <c r="IG138"/>
      <c r="IH138"/>
      <c r="II138"/>
      <c r="IJ138"/>
      <c r="IK138"/>
      <c r="IL138"/>
      <c r="IM138"/>
      <c r="IN138"/>
      <c r="IO138"/>
      <c r="IP138"/>
      <c r="IQ138"/>
      <c r="IR138"/>
      <c r="IS138"/>
      <c r="IT138"/>
      <c r="IU138"/>
      <c r="IV138"/>
      <c r="IW138"/>
      <c r="IX138"/>
    </row>
    <row r="139" spans="1:258" s="39" customFormat="1" x14ac:dyDescent="0.2">
      <c r="A139" s="583" t="s">
        <v>308</v>
      </c>
      <c r="B139" s="63"/>
      <c r="C139" s="63"/>
      <c r="D139" s="63"/>
      <c r="E139" s="63"/>
      <c r="F139" s="64"/>
      <c r="G139" s="63"/>
      <c r="H139" s="63"/>
      <c r="I139" s="63"/>
      <c r="J139" s="63"/>
      <c r="K139" s="64"/>
      <c r="L139" s="63"/>
      <c r="M139" s="63"/>
      <c r="N139" s="63"/>
      <c r="O139" s="63"/>
      <c r="P139" s="64"/>
      <c r="Q139" s="63"/>
      <c r="R139" s="63"/>
      <c r="S139" s="63"/>
      <c r="T139" s="63"/>
      <c r="U139" s="64"/>
      <c r="V139" s="63"/>
      <c r="W139" s="63"/>
      <c r="X139" s="63"/>
      <c r="Y139" s="63"/>
      <c r="Z139" s="64"/>
      <c r="AA139" s="63"/>
      <c r="AB139" s="63"/>
      <c r="AC139" s="63"/>
      <c r="AD139" s="63"/>
      <c r="AE139" s="64"/>
      <c r="AF139" s="63"/>
      <c r="AG139" s="63"/>
      <c r="AH139" s="63"/>
      <c r="AI139" s="63"/>
      <c r="AJ139" s="64"/>
      <c r="AK139" s="63"/>
      <c r="AL139" s="63"/>
      <c r="AM139" s="63"/>
      <c r="AN139" s="63"/>
      <c r="AO139" s="64"/>
      <c r="AP139" s="63"/>
      <c r="AQ139" s="63"/>
      <c r="AR139" s="63"/>
      <c r="AS139" s="63"/>
      <c r="AT139" s="64"/>
      <c r="AU139" s="63"/>
      <c r="AV139" s="63"/>
      <c r="AW139" s="63"/>
      <c r="AX139" s="63"/>
      <c r="AY139" s="64"/>
      <c r="AZ139" s="63"/>
      <c r="BA139" s="63"/>
      <c r="BB139" s="63"/>
      <c r="BC139" s="63"/>
      <c r="BD139" s="64"/>
      <c r="BE139" s="63"/>
      <c r="BF139" s="63"/>
      <c r="BG139" s="63"/>
      <c r="BH139" s="63"/>
      <c r="BI139" s="64"/>
      <c r="BJ139" s="63"/>
      <c r="BK139" s="63"/>
      <c r="BL139" s="63"/>
      <c r="BM139" s="63"/>
      <c r="BN139" s="64"/>
      <c r="BO139" s="63"/>
      <c r="BP139" s="63"/>
      <c r="BQ139" s="63"/>
      <c r="BR139" s="63"/>
      <c r="BS139" s="64"/>
      <c r="BT139" s="63"/>
      <c r="BU139" s="63"/>
      <c r="BV139" s="63"/>
      <c r="BW139" s="63"/>
      <c r="BX139" s="64"/>
      <c r="BY139" s="63"/>
      <c r="BZ139" s="63"/>
      <c r="CA139" s="63"/>
      <c r="CB139" s="63"/>
      <c r="CC139" s="64"/>
      <c r="CD139" s="63">
        <v>31.279879897372421</v>
      </c>
      <c r="CE139" s="63">
        <v>55.942686152068951</v>
      </c>
      <c r="CF139" s="63">
        <v>78.609422182614608</v>
      </c>
      <c r="CG139" s="63">
        <v>181.5234931816376</v>
      </c>
      <c r="CH139" s="64">
        <f>SUM(CD139:CG139)</f>
        <v>347.35548141369361</v>
      </c>
      <c r="CI139" s="63">
        <v>117.13848085421274</v>
      </c>
      <c r="CJ139" s="63">
        <v>139.20557859326578</v>
      </c>
      <c r="CK139" s="63">
        <v>195.00973632352148</v>
      </c>
      <c r="CL139" s="63">
        <v>167.30787739899429</v>
      </c>
      <c r="CM139" s="64">
        <f>SUM(CI139:CL139)</f>
        <v>618.66167316999429</v>
      </c>
      <c r="CN139" s="63">
        <v>126.31999527318362</v>
      </c>
      <c r="CO139" s="63">
        <v>151.31888499960263</v>
      </c>
      <c r="CP139" s="63">
        <v>179.46408807831713</v>
      </c>
      <c r="CQ139" s="63">
        <f>190.869+15.825</f>
        <v>206.69399999999999</v>
      </c>
      <c r="CR139" s="64">
        <f>SUM(CN139:CQ139)</f>
        <v>663.79696835110337</v>
      </c>
      <c r="CS139" s="63">
        <v>289</v>
      </c>
      <c r="CT139" s="63">
        <v>365</v>
      </c>
      <c r="CU139" s="63">
        <v>472</v>
      </c>
      <c r="CV139" s="63">
        <v>332</v>
      </c>
      <c r="CW139" s="64">
        <f>SUM(CS139:CV139)</f>
        <v>1458</v>
      </c>
      <c r="CX139" s="63">
        <v>105</v>
      </c>
      <c r="CY139" s="63">
        <v>67</v>
      </c>
      <c r="CZ139" s="63">
        <v>107</v>
      </c>
      <c r="DA139" s="63">
        <v>130</v>
      </c>
      <c r="DB139" s="64">
        <f>SUM(CX139:DA139)</f>
        <v>409</v>
      </c>
      <c r="DC139" s="63">
        <v>142</v>
      </c>
      <c r="DD139" s="63">
        <v>147</v>
      </c>
      <c r="DE139" s="63">
        <v>145</v>
      </c>
      <c r="DF139" s="63">
        <v>144</v>
      </c>
      <c r="DG139" s="64">
        <f>SUM(DC139:DF139)</f>
        <v>578</v>
      </c>
      <c r="DH139" s="63">
        <v>199.792</v>
      </c>
      <c r="DI139" s="63">
        <v>291.63900000000001</v>
      </c>
      <c r="DJ139" s="497">
        <v>291.411</v>
      </c>
      <c r="DK139" s="63">
        <v>270.55</v>
      </c>
      <c r="DL139" s="64">
        <f>SUM(DH139:DK139)</f>
        <v>1053.3920000000001</v>
      </c>
      <c r="DM139" s="63">
        <v>281.267</v>
      </c>
      <c r="DN139" s="63">
        <v>301.57100000000003</v>
      </c>
      <c r="DO139" s="63">
        <v>261.16699999999997</v>
      </c>
      <c r="DP139" s="63">
        <v>287.65199999999999</v>
      </c>
      <c r="DQ139" s="64">
        <f>SUM(DM139:DP139)</f>
        <v>1131.6569999999999</v>
      </c>
      <c r="DR139" s="63">
        <v>280</v>
      </c>
      <c r="DS139" s="63">
        <v>301</v>
      </c>
      <c r="DT139" s="497">
        <v>272.791</v>
      </c>
      <c r="DU139" s="497">
        <v>291.70400000000001</v>
      </c>
      <c r="DV139" s="64">
        <f>SUM(DR139:DU139)</f>
        <v>1145.4949999999999</v>
      </c>
      <c r="DW139" s="1019">
        <v>279.75200000000001</v>
      </c>
      <c r="DX139" s="1019">
        <v>317.63</v>
      </c>
      <c r="DY139" s="497">
        <v>302.82</v>
      </c>
      <c r="DZ139" s="497">
        <v>284</v>
      </c>
      <c r="EA139" s="64">
        <f>SUM(DW139:DZ139)</f>
        <v>1184.202</v>
      </c>
      <c r="EB139" s="1019">
        <v>191</v>
      </c>
      <c r="EC139" s="1019">
        <v>134</v>
      </c>
      <c r="ED139" s="497">
        <v>128</v>
      </c>
      <c r="EE139" s="497">
        <v>86</v>
      </c>
      <c r="EF139" s="64">
        <f>SUM(EB139:EE139)</f>
        <v>539</v>
      </c>
      <c r="EG139" s="1608">
        <v>52</v>
      </c>
      <c r="EH139" s="1019">
        <v>36</v>
      </c>
      <c r="EI139" s="497">
        <v>65</v>
      </c>
      <c r="EJ139" s="497">
        <v>76</v>
      </c>
      <c r="EK139" s="64">
        <f>SUM(EG139:EJ139)</f>
        <v>229</v>
      </c>
      <c r="EL139" s="1019">
        <v>85</v>
      </c>
      <c r="EM139" s="1019">
        <v>88</v>
      </c>
      <c r="EN139" s="497">
        <v>83</v>
      </c>
      <c r="EO139" s="497">
        <v>111</v>
      </c>
      <c r="EP139" s="64">
        <f>SUM(EL139:EO139)</f>
        <v>367</v>
      </c>
      <c r="EQ139" s="1019">
        <v>134</v>
      </c>
      <c r="ER139" s="1662">
        <v>145</v>
      </c>
      <c r="ES139" s="1662">
        <v>150</v>
      </c>
      <c r="ET139" s="1662">
        <v>155</v>
      </c>
      <c r="EU139" s="1660">
        <f>SUM(EQ139:ET139)</f>
        <v>584</v>
      </c>
      <c r="EV139" s="1663"/>
      <c r="EW139" s="1663"/>
      <c r="EX139" s="1663"/>
      <c r="EY139" s="1663"/>
      <c r="EZ139" s="1664">
        <f>EU139*(1+EZ40)</f>
        <v>591.31490581654089</v>
      </c>
      <c r="FA139" s="1663"/>
      <c r="FB139" s="1663"/>
      <c r="FC139" s="1663"/>
      <c r="FD139" s="1663"/>
      <c r="FE139" s="1664">
        <f>EZ139*(1+FE40)</f>
        <v>601.02277106262841</v>
      </c>
      <c r="FG139" s="490"/>
      <c r="FH139" s="777"/>
      <c r="FI139" s="777"/>
      <c r="FJ139" s="777"/>
      <c r="FK139" s="175"/>
      <c r="FL139" s="1347"/>
      <c r="FM139" s="1549">
        <f t="shared" si="657"/>
        <v>134</v>
      </c>
      <c r="FN139" s="1442">
        <f t="shared" si="658"/>
        <v>85</v>
      </c>
      <c r="FO139" s="1840">
        <v>135</v>
      </c>
      <c r="FP139" s="1733">
        <f>+FM139/FN139-1</f>
        <v>0.57647058823529407</v>
      </c>
      <c r="FQ139" s="1519">
        <f>+FM139/FO139-1</f>
        <v>-7.4074074074074181E-3</v>
      </c>
      <c r="FR139" s="1615"/>
      <c r="FS139" s="1619"/>
      <c r="FT139" s="355"/>
      <c r="FU139" s="355"/>
      <c r="FV139" s="355"/>
      <c r="FW139" s="355"/>
      <c r="FX139" s="355"/>
      <c r="FY139" s="355"/>
      <c r="FZ139" s="490"/>
      <c r="GA139"/>
      <c r="GB139"/>
      <c r="GC139"/>
      <c r="GD139"/>
      <c r="GE139"/>
      <c r="GF139"/>
      <c r="GG139"/>
      <c r="GH139"/>
      <c r="GI139"/>
      <c r="GJ139"/>
      <c r="GK139"/>
      <c r="GL139"/>
      <c r="GM139"/>
      <c r="GN139"/>
      <c r="GO139"/>
      <c r="GP139"/>
      <c r="GQ139"/>
      <c r="GR139"/>
      <c r="GS139"/>
      <c r="GT139"/>
      <c r="GU139"/>
      <c r="GV139"/>
      <c r="GW139"/>
      <c r="GX139"/>
      <c r="GY139"/>
      <c r="GZ139"/>
      <c r="HA139"/>
      <c r="HB139"/>
      <c r="HC139"/>
      <c r="HD139"/>
      <c r="HE139"/>
      <c r="HF139"/>
      <c r="HG139"/>
      <c r="HH139"/>
      <c r="HI139"/>
      <c r="HJ139"/>
      <c r="HK139"/>
      <c r="HL139"/>
      <c r="HM139"/>
      <c r="HN139"/>
      <c r="HO139"/>
      <c r="HP139"/>
      <c r="HQ139"/>
      <c r="HR139"/>
      <c r="HS139"/>
      <c r="HT139"/>
      <c r="HU139"/>
      <c r="HV139"/>
      <c r="HW139"/>
      <c r="HX139"/>
      <c r="HY139"/>
      <c r="HZ139"/>
      <c r="IA139"/>
      <c r="IB139"/>
      <c r="IC139"/>
      <c r="ID139"/>
      <c r="IE139"/>
      <c r="IF139"/>
      <c r="IG139"/>
      <c r="IH139"/>
      <c r="II139"/>
      <c r="IJ139"/>
      <c r="IK139"/>
      <c r="IL139"/>
      <c r="IM139"/>
      <c r="IN139"/>
      <c r="IO139"/>
      <c r="IP139"/>
      <c r="IQ139"/>
      <c r="IR139"/>
      <c r="IS139"/>
      <c r="IT139"/>
      <c r="IU139"/>
      <c r="IV139"/>
      <c r="IW139"/>
      <c r="IX139"/>
    </row>
    <row r="140" spans="1:258" s="227" customFormat="1" x14ac:dyDescent="0.2">
      <c r="A140" s="867" t="s">
        <v>465</v>
      </c>
      <c r="B140" s="868"/>
      <c r="C140" s="868"/>
      <c r="D140" s="868"/>
      <c r="E140" s="868"/>
      <c r="F140" s="869"/>
      <c r="G140" s="868"/>
      <c r="H140" s="868"/>
      <c r="I140" s="868"/>
      <c r="J140" s="868"/>
      <c r="K140" s="869"/>
      <c r="L140" s="868"/>
      <c r="M140" s="868"/>
      <c r="N140" s="868"/>
      <c r="O140" s="868"/>
      <c r="P140" s="869"/>
      <c r="Q140" s="868"/>
      <c r="R140" s="868"/>
      <c r="S140" s="868"/>
      <c r="T140" s="868"/>
      <c r="U140" s="869"/>
      <c r="V140" s="868"/>
      <c r="W140" s="868"/>
      <c r="X140" s="868"/>
      <c r="Y140" s="868"/>
      <c r="Z140" s="869"/>
      <c r="AA140" s="868"/>
      <c r="AB140" s="868"/>
      <c r="AC140" s="868"/>
      <c r="AD140" s="868"/>
      <c r="AE140" s="869"/>
      <c r="AF140" s="868"/>
      <c r="AG140" s="868"/>
      <c r="AH140" s="868"/>
      <c r="AI140" s="868"/>
      <c r="AJ140" s="869"/>
      <c r="AK140" s="868"/>
      <c r="AL140" s="868"/>
      <c r="AM140" s="868"/>
      <c r="AN140" s="868"/>
      <c r="AO140" s="869"/>
      <c r="AP140" s="868"/>
      <c r="AQ140" s="868"/>
      <c r="AR140" s="868"/>
      <c r="AS140" s="868"/>
      <c r="AT140" s="869"/>
      <c r="AU140" s="868"/>
      <c r="AV140" s="868"/>
      <c r="AW140" s="868"/>
      <c r="AX140" s="868"/>
      <c r="AY140" s="869"/>
      <c r="AZ140" s="868"/>
      <c r="BA140" s="868"/>
      <c r="BB140" s="868"/>
      <c r="BC140" s="868"/>
      <c r="BD140" s="869"/>
      <c r="BE140" s="868"/>
      <c r="BF140" s="868"/>
      <c r="BG140" s="868"/>
      <c r="BH140" s="868"/>
      <c r="BI140" s="869"/>
      <c r="BJ140" s="868"/>
      <c r="BK140" s="868"/>
      <c r="BL140" s="868"/>
      <c r="BM140" s="868"/>
      <c r="BN140" s="869"/>
      <c r="BO140" s="868"/>
      <c r="BP140" s="868"/>
      <c r="BQ140" s="868"/>
      <c r="BR140" s="868"/>
      <c r="BS140" s="869"/>
      <c r="BT140" s="868"/>
      <c r="BU140" s="868"/>
      <c r="BV140" s="868"/>
      <c r="BW140" s="868"/>
      <c r="BX140" s="869"/>
      <c r="BY140" s="868"/>
      <c r="BZ140" s="868"/>
      <c r="CA140" s="868"/>
      <c r="CB140" s="868"/>
      <c r="CC140" s="869"/>
      <c r="CD140" s="868"/>
      <c r="CE140" s="868"/>
      <c r="CF140" s="868"/>
      <c r="CG140" s="868"/>
      <c r="CH140" s="869"/>
      <c r="CI140" s="868">
        <f t="shared" ref="CI140:DD140" si="755">CI139/CD139-1</f>
        <v>2.7448507231657446</v>
      </c>
      <c r="CJ140" s="868">
        <f t="shared" si="755"/>
        <v>1.4883606449440663</v>
      </c>
      <c r="CK140" s="868">
        <f t="shared" si="755"/>
        <v>1.480742523084595</v>
      </c>
      <c r="CL140" s="868">
        <f t="shared" si="755"/>
        <v>-7.8312815236641353E-2</v>
      </c>
      <c r="CM140" s="869">
        <f t="shared" si="755"/>
        <v>0.78106207120186566</v>
      </c>
      <c r="CN140" s="868">
        <f t="shared" si="755"/>
        <v>7.8381709853296844E-2</v>
      </c>
      <c r="CO140" s="868">
        <f t="shared" si="755"/>
        <v>8.7017392038071906E-2</v>
      </c>
      <c r="CP140" s="868">
        <f t="shared" si="755"/>
        <v>-7.971729277872619E-2</v>
      </c>
      <c r="CQ140" s="868">
        <f t="shared" si="755"/>
        <v>0.23541104706670812</v>
      </c>
      <c r="CR140" s="869">
        <f t="shared" si="755"/>
        <v>7.2956346155788054E-2</v>
      </c>
      <c r="CS140" s="868">
        <f t="shared" si="755"/>
        <v>1.2878404909294008</v>
      </c>
      <c r="CT140" s="868">
        <f t="shared" si="755"/>
        <v>1.4121245672736653</v>
      </c>
      <c r="CU140" s="868">
        <f t="shared" si="755"/>
        <v>1.6300526476027994</v>
      </c>
      <c r="CV140" s="868">
        <f t="shared" si="755"/>
        <v>0.60623917481881429</v>
      </c>
      <c r="CW140" s="869">
        <f t="shared" si="755"/>
        <v>1.1964547437173851</v>
      </c>
      <c r="CX140" s="868">
        <f t="shared" si="755"/>
        <v>-0.63667820069204151</v>
      </c>
      <c r="CY140" s="868">
        <f t="shared" si="755"/>
        <v>-0.81643835616438354</v>
      </c>
      <c r="CZ140" s="868">
        <f t="shared" si="755"/>
        <v>-0.77330508474576276</v>
      </c>
      <c r="DA140" s="868">
        <f t="shared" si="755"/>
        <v>-0.60843373493975905</v>
      </c>
      <c r="DB140" s="869">
        <f t="shared" si="755"/>
        <v>-0.71947873799725648</v>
      </c>
      <c r="DC140" s="868">
        <f t="shared" si="755"/>
        <v>0.35238095238095246</v>
      </c>
      <c r="DD140" s="868">
        <f t="shared" si="755"/>
        <v>1.1940298507462686</v>
      </c>
      <c r="DE140" s="868">
        <f t="shared" ref="DE140:DN140" si="756">DE139/CZ139-1</f>
        <v>0.35514018691588789</v>
      </c>
      <c r="DF140" s="868">
        <f t="shared" si="756"/>
        <v>0.10769230769230775</v>
      </c>
      <c r="DG140" s="869">
        <f t="shared" si="756"/>
        <v>0.41320293398533003</v>
      </c>
      <c r="DH140" s="868">
        <f t="shared" si="756"/>
        <v>0.40698591549295782</v>
      </c>
      <c r="DI140" s="868">
        <f t="shared" si="756"/>
        <v>0.98393877551020426</v>
      </c>
      <c r="DJ140" s="868">
        <f t="shared" si="756"/>
        <v>1.0097310344827588</v>
      </c>
      <c r="DK140" s="868">
        <f t="shared" si="756"/>
        <v>0.8788194444444446</v>
      </c>
      <c r="DL140" s="869">
        <f t="shared" si="756"/>
        <v>0.82247750865051916</v>
      </c>
      <c r="DM140" s="868">
        <f t="shared" si="756"/>
        <v>0.40779911107551858</v>
      </c>
      <c r="DN140" s="868">
        <f t="shared" si="756"/>
        <v>3.4055801864633972E-2</v>
      </c>
      <c r="DO140" s="868">
        <f>DO139/DJ139-1</f>
        <v>-0.10378468897879634</v>
      </c>
      <c r="DP140" s="868">
        <f>DP139/DK139-1</f>
        <v>6.3211975605248494E-2</v>
      </c>
      <c r="DQ140" s="869">
        <f t="shared" ref="DQ140:DY140" si="757">DQ139/DL139-1</f>
        <v>7.4298077069125057E-2</v>
      </c>
      <c r="DR140" s="868">
        <f t="shared" si="757"/>
        <v>-4.5046166098404727E-3</v>
      </c>
      <c r="DS140" s="868">
        <f t="shared" si="757"/>
        <v>-1.8934181337065814E-3</v>
      </c>
      <c r="DT140" s="868">
        <f t="shared" si="757"/>
        <v>4.4507920219629682E-2</v>
      </c>
      <c r="DU140" s="868">
        <f>DU139/DP139-1</f>
        <v>1.4086465590366304E-2</v>
      </c>
      <c r="DV140" s="869">
        <f t="shared" si="757"/>
        <v>1.222808677894438E-2</v>
      </c>
      <c r="DW140" s="868">
        <f>DW139/DR139-1</f>
        <v>-8.8571428571426747E-4</v>
      </c>
      <c r="DX140" s="868">
        <f t="shared" si="757"/>
        <v>5.5249169435215961E-2</v>
      </c>
      <c r="DY140" s="868">
        <f t="shared" si="757"/>
        <v>0.11008061116385814</v>
      </c>
      <c r="DZ140" s="868">
        <f>DZ139/DU139-1</f>
        <v>-2.6410333762992622E-2</v>
      </c>
      <c r="EA140" s="869">
        <f>EA139/DV139-1</f>
        <v>3.3790631997520748E-2</v>
      </c>
      <c r="EB140" s="868">
        <f t="shared" ref="EB140:EI140" si="758">EB139/DW139-1</f>
        <v>-0.31725242357516659</v>
      </c>
      <c r="EC140" s="868">
        <f t="shared" si="758"/>
        <v>-0.5781254919245663</v>
      </c>
      <c r="ED140" s="868">
        <f t="shared" si="758"/>
        <v>-0.57730665081566612</v>
      </c>
      <c r="EE140" s="868">
        <f t="shared" si="758"/>
        <v>-0.69718309859154926</v>
      </c>
      <c r="EF140" s="869">
        <f t="shared" si="758"/>
        <v>-0.54484116730084908</v>
      </c>
      <c r="EG140" s="868">
        <f t="shared" si="758"/>
        <v>-0.72774869109947637</v>
      </c>
      <c r="EH140" s="1665">
        <f t="shared" si="758"/>
        <v>-0.73134328358208955</v>
      </c>
      <c r="EI140" s="1665">
        <f t="shared" si="758"/>
        <v>-0.4921875</v>
      </c>
      <c r="EJ140" s="868">
        <f t="shared" ref="EJ140" si="759">EJ139/EE139-1</f>
        <v>-0.11627906976744184</v>
      </c>
      <c r="EK140" s="869">
        <f t="shared" ref="EK140:EQ140" si="760">EK139/EF139-1</f>
        <v>-0.57513914656771803</v>
      </c>
      <c r="EL140" s="868">
        <f t="shared" si="760"/>
        <v>0.63461538461538458</v>
      </c>
      <c r="EM140" s="1665">
        <f t="shared" si="760"/>
        <v>1.4444444444444446</v>
      </c>
      <c r="EN140" s="1665">
        <f t="shared" si="760"/>
        <v>0.27692307692307683</v>
      </c>
      <c r="EO140" s="868">
        <f t="shared" si="760"/>
        <v>0.46052631578947367</v>
      </c>
      <c r="EP140" s="869">
        <f t="shared" si="760"/>
        <v>0.60262008733624461</v>
      </c>
      <c r="EQ140" s="1665">
        <f t="shared" si="760"/>
        <v>0.57647058823529407</v>
      </c>
      <c r="ER140" s="1665">
        <f t="shared" ref="ER140" si="761">ER139/EM139-1</f>
        <v>0.64772727272727271</v>
      </c>
      <c r="ES140" s="1665">
        <f t="shared" ref="ES140:EU140" si="762">ES139/EN139-1</f>
        <v>0.80722891566265065</v>
      </c>
      <c r="ET140" s="1665">
        <f t="shared" si="762"/>
        <v>0.39639639639639634</v>
      </c>
      <c r="EU140" s="1666">
        <f t="shared" si="762"/>
        <v>0.59128065395095364</v>
      </c>
      <c r="EV140" s="1667"/>
      <c r="EW140" s="1667"/>
      <c r="EX140" s="1667"/>
      <c r="EY140" s="1667"/>
      <c r="EZ140" s="1666">
        <f>EZ139/EU139-1</f>
        <v>1.2525523658460491E-2</v>
      </c>
      <c r="FA140" s="1667"/>
      <c r="FB140" s="1667"/>
      <c r="FC140" s="1667"/>
      <c r="FD140" s="1667"/>
      <c r="FE140" s="1666">
        <f>FE139/EZ139-1</f>
        <v>1.6417420143809869E-2</v>
      </c>
      <c r="FG140" s="493"/>
      <c r="FH140" s="780"/>
      <c r="FI140" s="780"/>
      <c r="FJ140" s="780"/>
      <c r="FK140" s="186"/>
      <c r="FL140" s="1348"/>
      <c r="FM140" s="1550">
        <f t="shared" si="657"/>
        <v>0.57647058823529407</v>
      </c>
      <c r="FN140" s="1443">
        <f t="shared" si="658"/>
        <v>0.63461538461538458</v>
      </c>
      <c r="FO140" s="1841">
        <v>0.58823529411764697</v>
      </c>
      <c r="FP140" s="1515"/>
      <c r="FQ140" s="1515"/>
      <c r="FR140" s="1619"/>
      <c r="FS140" s="1619"/>
      <c r="FT140" s="432"/>
      <c r="FU140" s="432"/>
      <c r="FV140" s="432"/>
      <c r="FW140" s="432"/>
      <c r="FX140" s="432"/>
      <c r="FY140" s="432"/>
      <c r="FZ140" s="493"/>
      <c r="GA140"/>
      <c r="GB140"/>
      <c r="GC140"/>
      <c r="GD140"/>
      <c r="GE140"/>
      <c r="GF140"/>
      <c r="GG140"/>
      <c r="GH140"/>
      <c r="GI140"/>
      <c r="GJ140"/>
      <c r="GK140"/>
      <c r="GL140"/>
      <c r="GM140"/>
      <c r="GN140"/>
      <c r="GO140"/>
      <c r="GP140"/>
      <c r="GQ140"/>
      <c r="GR140"/>
      <c r="GS140"/>
      <c r="GT140"/>
      <c r="GU140"/>
      <c r="GV140"/>
      <c r="GW140"/>
      <c r="GX140"/>
      <c r="GY140"/>
      <c r="GZ140"/>
      <c r="HA140"/>
      <c r="HB140"/>
      <c r="HC140"/>
      <c r="HD140"/>
      <c r="HE140"/>
      <c r="HF140"/>
      <c r="HG140"/>
      <c r="HH140"/>
      <c r="HI140"/>
      <c r="HJ140"/>
      <c r="HK140"/>
      <c r="HL140"/>
      <c r="HM140"/>
      <c r="HN140"/>
      <c r="HO140"/>
      <c r="HP140"/>
      <c r="HQ140"/>
      <c r="HR140"/>
      <c r="HS140"/>
      <c r="HT140"/>
      <c r="HU140"/>
      <c r="HV140"/>
      <c r="HW140"/>
      <c r="HX140"/>
      <c r="HY140"/>
      <c r="HZ140"/>
      <c r="IA140"/>
      <c r="IB140"/>
      <c r="IC140"/>
      <c r="ID140"/>
      <c r="IE140"/>
      <c r="IF140"/>
      <c r="IG140"/>
      <c r="IH140"/>
      <c r="II140"/>
      <c r="IJ140"/>
      <c r="IK140"/>
      <c r="IL140"/>
      <c r="IM140"/>
      <c r="IN140"/>
      <c r="IO140"/>
      <c r="IP140"/>
      <c r="IQ140"/>
      <c r="IR140"/>
      <c r="IS140"/>
      <c r="IT140"/>
      <c r="IU140"/>
      <c r="IV140"/>
      <c r="IW140"/>
      <c r="IX140"/>
    </row>
    <row r="141" spans="1:258" s="45" customFormat="1" x14ac:dyDescent="0.2">
      <c r="A141" s="584" t="s">
        <v>191</v>
      </c>
      <c r="B141" s="30"/>
      <c r="C141" s="30"/>
      <c r="D141" s="30"/>
      <c r="E141" s="30"/>
      <c r="F141" s="165"/>
      <c r="G141" s="30"/>
      <c r="H141" s="30"/>
      <c r="I141" s="30"/>
      <c r="J141" s="30"/>
      <c r="K141" s="165"/>
      <c r="L141" s="30"/>
      <c r="M141" s="30"/>
      <c r="N141" s="30"/>
      <c r="O141" s="30"/>
      <c r="P141" s="165"/>
      <c r="Q141" s="30"/>
      <c r="R141" s="30"/>
      <c r="S141" s="30"/>
      <c r="T141" s="30"/>
      <c r="U141" s="165"/>
      <c r="V141" s="30"/>
      <c r="W141" s="30"/>
      <c r="X141" s="30"/>
      <c r="Y141" s="30"/>
      <c r="Z141" s="165"/>
      <c r="AA141" s="30"/>
      <c r="AB141" s="30"/>
      <c r="AC141" s="30"/>
      <c r="AD141" s="30"/>
      <c r="AE141" s="165"/>
      <c r="AF141" s="30"/>
      <c r="AG141" s="30"/>
      <c r="AH141" s="30"/>
      <c r="AI141" s="30"/>
      <c r="AJ141" s="165"/>
      <c r="AK141" s="30"/>
      <c r="AL141" s="30"/>
      <c r="AM141" s="30"/>
      <c r="AN141" s="30"/>
      <c r="AO141" s="165"/>
      <c r="AP141" s="30"/>
      <c r="AQ141" s="30"/>
      <c r="AR141" s="30"/>
      <c r="AS141" s="30"/>
      <c r="AT141" s="165"/>
      <c r="AU141" s="30"/>
      <c r="AV141" s="30"/>
      <c r="AW141" s="30"/>
      <c r="AX141" s="30"/>
      <c r="AY141" s="165"/>
      <c r="AZ141" s="30"/>
      <c r="BA141" s="30"/>
      <c r="BB141" s="30"/>
      <c r="BC141" s="30"/>
      <c r="BD141" s="165"/>
      <c r="BE141" s="30"/>
      <c r="BF141" s="30"/>
      <c r="BG141" s="30"/>
      <c r="BH141" s="30"/>
      <c r="BI141" s="165"/>
      <c r="BJ141" s="30"/>
      <c r="BK141" s="30"/>
      <c r="BL141" s="30"/>
      <c r="BM141" s="30"/>
      <c r="BN141" s="165"/>
      <c r="BO141" s="30"/>
      <c r="BP141" s="30"/>
      <c r="BQ141" s="30"/>
      <c r="BR141" s="30"/>
      <c r="BS141" s="165"/>
      <c r="BT141" s="30"/>
      <c r="BU141" s="30"/>
      <c r="BV141" s="30"/>
      <c r="BW141" s="30"/>
      <c r="BX141" s="165"/>
      <c r="BY141" s="30"/>
      <c r="BZ141" s="30"/>
      <c r="CA141" s="30"/>
      <c r="CB141" s="30"/>
      <c r="CC141" s="165"/>
      <c r="CD141" s="30"/>
      <c r="CE141" s="30"/>
      <c r="CF141" s="30"/>
      <c r="CG141" s="30"/>
      <c r="CH141" s="165"/>
      <c r="CI141" s="30"/>
      <c r="CJ141" s="30"/>
      <c r="CK141" s="30"/>
      <c r="CL141" s="30"/>
      <c r="CM141" s="165"/>
      <c r="CN141" s="30"/>
      <c r="CO141" s="30"/>
      <c r="CP141" s="30"/>
      <c r="CQ141" s="30"/>
      <c r="CR141" s="165"/>
      <c r="CS141" s="30"/>
      <c r="CT141" s="30"/>
      <c r="CU141" s="30"/>
      <c r="CV141" s="30"/>
      <c r="CW141" s="165"/>
      <c r="CX141" s="30"/>
      <c r="CY141" s="30"/>
      <c r="CZ141" s="30"/>
      <c r="DA141" s="30"/>
      <c r="DB141" s="165"/>
      <c r="DC141" s="30"/>
      <c r="DD141" s="30"/>
      <c r="DE141" s="30"/>
      <c r="DF141" s="30"/>
      <c r="DG141" s="165"/>
      <c r="DH141" s="30"/>
      <c r="DI141" s="8"/>
      <c r="DJ141" s="30"/>
      <c r="DK141" s="30"/>
      <c r="DL141" s="165"/>
      <c r="DM141" s="30"/>
      <c r="DN141" s="8"/>
      <c r="DO141" s="8"/>
      <c r="DP141" s="8"/>
      <c r="DQ141" s="165"/>
      <c r="DR141" s="59"/>
      <c r="DS141" s="59"/>
      <c r="DT141" s="59"/>
      <c r="DU141" s="8"/>
      <c r="DV141" s="165"/>
      <c r="DW141" s="1178"/>
      <c r="DX141" s="1178"/>
      <c r="DY141" s="1178"/>
      <c r="DZ141" s="1178"/>
      <c r="EA141" s="165"/>
      <c r="EB141" s="1178">
        <f t="shared" ref="EB141:EF141" si="763">+EB143-EB142</f>
        <v>1.5478301797079749E-2</v>
      </c>
      <c r="EC141" s="1178">
        <f t="shared" si="763"/>
        <v>1.2195626961483602E-2</v>
      </c>
      <c r="ED141" s="1178">
        <f t="shared" si="763"/>
        <v>1.3098122935779832E-2</v>
      </c>
      <c r="EE141" s="1178">
        <f t="shared" si="763"/>
        <v>1.0541769005397043E-2</v>
      </c>
      <c r="EF141" s="1189">
        <f t="shared" si="763"/>
        <v>1.274920084306097E-2</v>
      </c>
      <c r="EG141" s="1178">
        <f>+EG143-EG142</f>
        <v>1.0773264038616257E-2</v>
      </c>
      <c r="EH141" s="1668">
        <f>+EH143-EH142</f>
        <v>4.6213662777129585E-3</v>
      </c>
      <c r="EI141" s="1668">
        <f>+EI143-EI142</f>
        <v>9.2960235202492504E-3</v>
      </c>
      <c r="EJ141" s="1178">
        <f t="shared" ref="EJ141:EK141" si="764">+EJ143-EJ142</f>
        <v>9.5466335792061749E-3</v>
      </c>
      <c r="EK141" s="1189">
        <f t="shared" si="764"/>
        <v>8.4229244556913788E-3</v>
      </c>
      <c r="EL141" s="1178">
        <f>+EL143-EL142</f>
        <v>1.0775986346863449E-2</v>
      </c>
      <c r="EM141" s="1668">
        <f>+EM143-EM142</f>
        <v>1.2297804761904764E-2</v>
      </c>
      <c r="EN141" s="1668">
        <f>+EN143-EN142</f>
        <v>9.9876255360623958E-3</v>
      </c>
      <c r="EO141" s="1178">
        <f t="shared" ref="EO141:EP141" si="765">+EO143-EO142</f>
        <v>1.162715431164902E-2</v>
      </c>
      <c r="EP141" s="1189">
        <f t="shared" si="765"/>
        <v>1.1183332410200808E-2</v>
      </c>
      <c r="EQ141" s="1668">
        <f>+EQ143-EQ142</f>
        <v>1.3790302310358105E-2</v>
      </c>
      <c r="ER141" s="1668">
        <f t="shared" ref="ER141" si="766">+ER143-ER142</f>
        <v>1.4700078469959625E-2</v>
      </c>
      <c r="ES141" s="1668">
        <f t="shared" ref="ES141:EU141" si="767">+ES143-ES142</f>
        <v>1.6016054858444234E-2</v>
      </c>
      <c r="ET141" s="1668">
        <f t="shared" si="767"/>
        <v>1.7477166169600704E-2</v>
      </c>
      <c r="EU141" s="1994">
        <f t="shared" si="767"/>
        <v>1.5478822954839808E-2</v>
      </c>
      <c r="EV141" s="1669"/>
      <c r="EW141" s="1669"/>
      <c r="EX141" s="1669"/>
      <c r="EY141" s="1669"/>
      <c r="EZ141" s="1687">
        <f>+EZ143-EZ142</f>
        <v>1.6061011615041081E-2</v>
      </c>
      <c r="FA141" s="1669"/>
      <c r="FB141" s="1669"/>
      <c r="FC141" s="1669"/>
      <c r="FD141" s="1669"/>
      <c r="FE141" s="1687">
        <f>+FE143-FE142</f>
        <v>1.6655170532914182E-2</v>
      </c>
      <c r="FG141" s="491"/>
      <c r="FH141" s="785"/>
      <c r="FI141" s="785"/>
      <c r="FJ141" s="785"/>
      <c r="FK141" s="84"/>
      <c r="FL141" s="1353"/>
      <c r="FM141" s="1141"/>
      <c r="FN141" s="1444"/>
      <c r="FO141" s="1842">
        <v>1.3139221581446758E-2</v>
      </c>
      <c r="FP141" s="1758"/>
      <c r="FQ141" s="757"/>
      <c r="FR141" s="1619"/>
      <c r="FS141" s="1619"/>
      <c r="FT141" s="205"/>
      <c r="FU141" s="205"/>
      <c r="FV141" s="205"/>
      <c r="FW141" s="205"/>
      <c r="FX141" s="205"/>
      <c r="FY141" s="205"/>
      <c r="FZ141" s="491"/>
      <c r="GA141"/>
      <c r="GB141"/>
      <c r="GC141"/>
      <c r="GD141"/>
      <c r="GE141"/>
      <c r="GF141"/>
      <c r="GG141"/>
      <c r="GH141"/>
      <c r="GI141"/>
      <c r="GJ141"/>
      <c r="GK141"/>
      <c r="GL141"/>
      <c r="GM141"/>
      <c r="GN141"/>
      <c r="GO141"/>
      <c r="GP141"/>
      <c r="GQ141"/>
      <c r="GR141"/>
      <c r="GS141"/>
      <c r="GT141"/>
      <c r="GU141"/>
      <c r="GV141"/>
      <c r="GW141"/>
      <c r="GX141"/>
      <c r="GY141"/>
      <c r="GZ141"/>
      <c r="HA141"/>
      <c r="HB141"/>
      <c r="HC141"/>
      <c r="HD141"/>
      <c r="HE141"/>
      <c r="HF141"/>
      <c r="HG141"/>
      <c r="HH141"/>
      <c r="HI141"/>
      <c r="HJ141"/>
      <c r="HK141"/>
      <c r="HL141"/>
      <c r="HM141"/>
      <c r="HN141"/>
      <c r="HO141"/>
      <c r="HP141"/>
      <c r="HQ141"/>
      <c r="HR141"/>
      <c r="HS141"/>
      <c r="HT141"/>
      <c r="HU141"/>
      <c r="HV141"/>
      <c r="HW141"/>
      <c r="HX141"/>
      <c r="HY141"/>
      <c r="HZ141"/>
      <c r="IA141"/>
      <c r="IB141"/>
      <c r="IC141"/>
      <c r="ID141"/>
      <c r="IE141"/>
      <c r="IF141"/>
      <c r="IG141"/>
      <c r="IH141"/>
      <c r="II141"/>
      <c r="IJ141"/>
      <c r="IK141"/>
      <c r="IL141"/>
      <c r="IM141"/>
      <c r="IN141"/>
      <c r="IO141"/>
      <c r="IP141"/>
      <c r="IQ141"/>
      <c r="IR141"/>
      <c r="IS141"/>
      <c r="IT141"/>
      <c r="IU141"/>
      <c r="IV141"/>
      <c r="IW141"/>
      <c r="IX141"/>
    </row>
    <row r="142" spans="1:258" s="227" customFormat="1" x14ac:dyDescent="0.2">
      <c r="A142" s="585" t="s">
        <v>0</v>
      </c>
      <c r="B142" s="10"/>
      <c r="C142" s="10"/>
      <c r="D142" s="10"/>
      <c r="E142" s="10"/>
      <c r="F142" s="9"/>
      <c r="G142" s="10"/>
      <c r="H142" s="10"/>
      <c r="I142" s="10"/>
      <c r="J142" s="10"/>
      <c r="K142" s="9"/>
      <c r="L142" s="10"/>
      <c r="M142" s="10"/>
      <c r="N142" s="10"/>
      <c r="O142" s="10"/>
      <c r="P142" s="9"/>
      <c r="Q142" s="10"/>
      <c r="R142" s="10"/>
      <c r="S142" s="10"/>
      <c r="T142" s="10"/>
      <c r="U142" s="9"/>
      <c r="V142" s="10"/>
      <c r="W142" s="10"/>
      <c r="X142" s="10"/>
      <c r="Y142" s="10"/>
      <c r="Z142" s="9"/>
      <c r="AA142" s="10"/>
      <c r="AB142" s="10"/>
      <c r="AC142" s="10"/>
      <c r="AD142" s="10"/>
      <c r="AE142" s="9"/>
      <c r="AF142" s="10"/>
      <c r="AG142" s="10"/>
      <c r="AH142" s="10"/>
      <c r="AI142" s="10"/>
      <c r="AJ142" s="9"/>
      <c r="AK142" s="10"/>
      <c r="AL142" s="10"/>
      <c r="AM142" s="10"/>
      <c r="AN142" s="10"/>
      <c r="AO142" s="9"/>
      <c r="AP142" s="10"/>
      <c r="AQ142" s="10"/>
      <c r="AR142" s="10"/>
      <c r="AS142" s="10"/>
      <c r="AT142" s="9"/>
      <c r="AU142" s="10"/>
      <c r="AV142" s="10"/>
      <c r="AW142" s="10"/>
      <c r="AX142" s="10"/>
      <c r="AY142" s="9"/>
      <c r="AZ142" s="10"/>
      <c r="BA142" s="10"/>
      <c r="BB142" s="10"/>
      <c r="BC142" s="10"/>
      <c r="BD142" s="9"/>
      <c r="BE142" s="10"/>
      <c r="BF142" s="10"/>
      <c r="BG142" s="10"/>
      <c r="BH142" s="10"/>
      <c r="BI142" s="9"/>
      <c r="BJ142" s="10"/>
      <c r="BK142" s="10"/>
      <c r="BL142" s="10"/>
      <c r="BM142" s="10"/>
      <c r="BN142" s="9"/>
      <c r="BO142" s="10"/>
      <c r="BP142" s="10"/>
      <c r="BQ142" s="10"/>
      <c r="BR142" s="10"/>
      <c r="BS142" s="9"/>
      <c r="BT142" s="10">
        <f t="shared" ref="BT142:DL142" si="768">BT139/(BT126-BT139)</f>
        <v>0</v>
      </c>
      <c r="BU142" s="10">
        <f t="shared" si="768"/>
        <v>0</v>
      </c>
      <c r="BV142" s="10">
        <f t="shared" si="768"/>
        <v>0</v>
      </c>
      <c r="BW142" s="10">
        <f t="shared" si="768"/>
        <v>0</v>
      </c>
      <c r="BX142" s="9">
        <f t="shared" si="768"/>
        <v>0</v>
      </c>
      <c r="BY142" s="10">
        <f t="shared" si="768"/>
        <v>0</v>
      </c>
      <c r="BZ142" s="10">
        <f t="shared" si="768"/>
        <v>0</v>
      </c>
      <c r="CA142" s="10">
        <f t="shared" si="768"/>
        <v>0</v>
      </c>
      <c r="CB142" s="10">
        <f t="shared" si="768"/>
        <v>0</v>
      </c>
      <c r="CC142" s="9">
        <f t="shared" si="768"/>
        <v>0</v>
      </c>
      <c r="CD142" s="10">
        <f t="shared" si="768"/>
        <v>1.5260561474025177E-2</v>
      </c>
      <c r="CE142" s="10">
        <f t="shared" si="768"/>
        <v>2.7024703991446377E-2</v>
      </c>
      <c r="CF142" s="10">
        <f t="shared" si="768"/>
        <v>3.8927299674527502E-2</v>
      </c>
      <c r="CG142" s="10">
        <f t="shared" si="768"/>
        <v>9.0288791023429474E-2</v>
      </c>
      <c r="CH142" s="9">
        <f t="shared" si="768"/>
        <v>4.2622163533821013E-2</v>
      </c>
      <c r="CI142" s="10">
        <f t="shared" si="768"/>
        <v>5.3835448544629662E-2</v>
      </c>
      <c r="CJ142" s="10">
        <f t="shared" si="768"/>
        <v>6.215105157099006E-2</v>
      </c>
      <c r="CK142" s="10">
        <f t="shared" si="768"/>
        <v>8.9701292403093186E-2</v>
      </c>
      <c r="CL142" s="10">
        <f t="shared" si="768"/>
        <v>7.6863363294149403E-2</v>
      </c>
      <c r="CM142" s="9">
        <f t="shared" si="768"/>
        <v>7.0572415768683713E-2</v>
      </c>
      <c r="CN142" s="10">
        <f t="shared" si="768"/>
        <v>5.6476561245340999E-2</v>
      </c>
      <c r="CO142" s="10">
        <f t="shared" si="768"/>
        <v>6.520451432189843E-2</v>
      </c>
      <c r="CP142" s="10">
        <f t="shared" si="768"/>
        <v>7.9319884883457814E-2</v>
      </c>
      <c r="CQ142" s="10">
        <f t="shared" si="768"/>
        <v>8.9699024348328729E-2</v>
      </c>
      <c r="CR142" s="9">
        <f t="shared" si="768"/>
        <v>7.275122726320396E-2</v>
      </c>
      <c r="CS142" s="10">
        <f t="shared" si="768"/>
        <v>0.12219873150105708</v>
      </c>
      <c r="CT142" s="10">
        <f t="shared" si="768"/>
        <v>0.147118097541314</v>
      </c>
      <c r="CU142" s="10">
        <f t="shared" si="768"/>
        <v>0.19431864965006176</v>
      </c>
      <c r="CV142" s="10">
        <f t="shared" si="768"/>
        <v>0.14644905161005733</v>
      </c>
      <c r="CW142" s="9">
        <f t="shared" si="768"/>
        <v>0.15279815552295117</v>
      </c>
      <c r="CX142" s="10">
        <f t="shared" si="768"/>
        <v>5.0505050505050504E-2</v>
      </c>
      <c r="CY142" s="10">
        <f t="shared" si="768"/>
        <v>3.2524271844660196E-2</v>
      </c>
      <c r="CZ142" s="10">
        <f t="shared" si="768"/>
        <v>5.0495516753185463E-2</v>
      </c>
      <c r="DA142" s="10">
        <f t="shared" si="768"/>
        <v>6.077606358111267E-2</v>
      </c>
      <c r="DB142" s="9">
        <f t="shared" si="768"/>
        <v>4.8707871858997262E-2</v>
      </c>
      <c r="DC142" s="10">
        <f t="shared" si="768"/>
        <v>6.2144420131291025E-2</v>
      </c>
      <c r="DD142" s="10">
        <f t="shared" si="768"/>
        <v>6.0049019607843139E-2</v>
      </c>
      <c r="DE142" s="10">
        <f t="shared" si="768"/>
        <v>5.9523809523809521E-2</v>
      </c>
      <c r="DF142" s="10">
        <f t="shared" si="768"/>
        <v>5.536332179930796E-2</v>
      </c>
      <c r="DG142" s="9">
        <f t="shared" si="768"/>
        <v>5.9160696008188331E-2</v>
      </c>
      <c r="DH142" s="10">
        <f t="shared" si="768"/>
        <v>7.8744825020258494E-2</v>
      </c>
      <c r="DI142" s="10">
        <f t="shared" si="768"/>
        <v>0.10987164142330302</v>
      </c>
      <c r="DJ142" s="10">
        <f t="shared" si="768"/>
        <v>0.11209887409125058</v>
      </c>
      <c r="DK142" s="10">
        <f>DK139/(DK126-DK139)</f>
        <v>0.10332448585995532</v>
      </c>
      <c r="DL142" s="9">
        <f t="shared" si="768"/>
        <v>0.10119420443113708</v>
      </c>
      <c r="DM142" s="10">
        <f t="shared" ref="DM142:DV142" si="769">DM139/(DM126-DM139)</f>
        <v>0.10757006547131198</v>
      </c>
      <c r="DN142" s="10">
        <f t="shared" si="769"/>
        <v>0.1143427936827873</v>
      </c>
      <c r="DO142" s="10">
        <f>DO139/(DO126-DO139)</f>
        <v>0.10290945070065681</v>
      </c>
      <c r="DP142" s="10">
        <f>DP139/(DP126-DP139)</f>
        <v>0.11422249824091031</v>
      </c>
      <c r="DQ142" s="9">
        <f t="shared" si="769"/>
        <v>0.10978068929215877</v>
      </c>
      <c r="DR142" s="10">
        <f>DR139/(DR126-DR139)</f>
        <v>0.10907674328009349</v>
      </c>
      <c r="DS142" s="10">
        <f>DS139/(DS126-DS139)</f>
        <v>0.1124813153961136</v>
      </c>
      <c r="DT142" s="10">
        <f t="shared" si="769"/>
        <v>0.10503236358721998</v>
      </c>
      <c r="DU142" s="10">
        <f>DU139/(DU126-DU139)</f>
        <v>0.11035616139849644</v>
      </c>
      <c r="DV142" s="9">
        <f t="shared" si="769"/>
        <v>0.10926641423836778</v>
      </c>
      <c r="DW142" s="10">
        <f>DW139/(DW126-DW139)</f>
        <v>0.10800201370679564</v>
      </c>
      <c r="DX142" s="10">
        <f>DX139/(DX126-DX139)</f>
        <v>0.11159125482632265</v>
      </c>
      <c r="DY142" s="10">
        <f>DY139/(DY126-DY139)</f>
        <v>0.1081430479469177</v>
      </c>
      <c r="DZ142" s="10">
        <f>DZ139/(DZ126-DZ139)</f>
        <v>0.10049276200213583</v>
      </c>
      <c r="EA142" s="9">
        <f>EA139/(EA126-EA139)</f>
        <v>0.10704290718554056</v>
      </c>
      <c r="EB142" s="10">
        <f t="shared" ref="EB142:EF142" si="770">EB139/(EB126-EB139)</f>
        <v>7.1508798202920248E-2</v>
      </c>
      <c r="EC142" s="10">
        <f t="shared" si="770"/>
        <v>4.7788873038516408E-2</v>
      </c>
      <c r="ED142" s="10">
        <f t="shared" si="770"/>
        <v>4.6972477064220183E-2</v>
      </c>
      <c r="EE142" s="10">
        <f t="shared" si="770"/>
        <v>3.3153430994602932E-2</v>
      </c>
      <c r="EF142" s="9">
        <f t="shared" si="770"/>
        <v>4.9935149156939043E-2</v>
      </c>
      <c r="EG142" s="10">
        <f>EG139/(EG126-EG139)</f>
        <v>2.091713596138375E-2</v>
      </c>
      <c r="EH142" s="921">
        <f>EH139/(EH126-EH139)</f>
        <v>1.4002333722287048E-2</v>
      </c>
      <c r="EI142" s="921">
        <f>EI139/(EI126-EI139)</f>
        <v>2.5311526479750778E-2</v>
      </c>
      <c r="EJ142" s="10">
        <f t="shared" ref="EJ142:EK142" si="771">EJ139/(EJ126-EJ139)</f>
        <v>2.6694766420793818E-2</v>
      </c>
      <c r="EK142" s="9">
        <f t="shared" si="771"/>
        <v>2.1867838044308634E-2</v>
      </c>
      <c r="EL142" s="10">
        <f>EL139/(EL126-EL139)</f>
        <v>3.136531365313653E-2</v>
      </c>
      <c r="EM142" s="921">
        <f>EM139/(EM126-EM139)</f>
        <v>3.273809523809524E-2</v>
      </c>
      <c r="EN142" s="921">
        <f>EN139/(EN126-EN139)</f>
        <v>3.2358674463937621E-2</v>
      </c>
      <c r="EO142" s="10">
        <f t="shared" ref="EO142:EP142" si="772">EO139/(EO126-EO139)</f>
        <v>4.1981845688350984E-2</v>
      </c>
      <c r="EP142" s="9">
        <f t="shared" si="772"/>
        <v>3.4599792589799186E-2</v>
      </c>
      <c r="EQ142" s="921">
        <f>EQ139/(EQ126-EQ139)</f>
        <v>5.1597997689641892E-2</v>
      </c>
      <c r="ER142" s="921">
        <f t="shared" ref="ER142" si="773">ER139/(ER126-ER139)</f>
        <v>5.5472921530040374E-2</v>
      </c>
      <c r="ES142" s="921">
        <f t="shared" ref="ES142:EU142" si="774">ES139/(ES126-ES139)</f>
        <v>5.7527145141555755E-2</v>
      </c>
      <c r="ET142" s="921">
        <f t="shared" si="774"/>
        <v>5.6066033830399285E-2</v>
      </c>
      <c r="EU142" s="1173">
        <f t="shared" si="774"/>
        <v>5.5183102045160165E-2</v>
      </c>
      <c r="EV142" s="1670"/>
      <c r="EW142" s="1670"/>
      <c r="EX142" s="1670"/>
      <c r="EY142" s="1670"/>
      <c r="EZ142" s="1173">
        <f>EZ139/(EZ126-EZ139)</f>
        <v>5.4600913384958892E-2</v>
      </c>
      <c r="FA142" s="1670"/>
      <c r="FB142" s="1670"/>
      <c r="FC142" s="1670"/>
      <c r="FD142" s="1670"/>
      <c r="FE142" s="1173">
        <f>FE139/(FE126-FE139)</f>
        <v>5.4006754467085791E-2</v>
      </c>
      <c r="FG142" s="491"/>
      <c r="FH142" s="780"/>
      <c r="FI142" s="780"/>
      <c r="FJ142" s="780"/>
      <c r="FK142" s="186"/>
      <c r="FL142" s="1348"/>
      <c r="FM142" s="1141">
        <f t="shared" ref="FM142:FM157" si="775">+EQ142</f>
        <v>5.1597997689641892E-2</v>
      </c>
      <c r="FN142" s="1418">
        <f t="shared" ref="FN142:FN157" si="776">EL142</f>
        <v>3.136531365313653E-2</v>
      </c>
      <c r="FO142" s="1834">
        <v>5.2249078418553238E-2</v>
      </c>
      <c r="FP142" s="1751"/>
      <c r="FQ142" s="737"/>
      <c r="FR142" s="1619"/>
      <c r="FS142" s="1619"/>
      <c r="FT142" s="432"/>
      <c r="FU142" s="432"/>
      <c r="FV142" s="432"/>
      <c r="FW142" s="432"/>
      <c r="FX142" s="432"/>
      <c r="FY142" s="432"/>
      <c r="FZ142" s="491"/>
      <c r="GA142"/>
      <c r="GB142"/>
      <c r="GC142"/>
      <c r="GD142"/>
      <c r="GE142"/>
      <c r="GF142"/>
      <c r="GG142"/>
      <c r="GH142"/>
      <c r="GI142"/>
      <c r="GJ142"/>
      <c r="GK142"/>
      <c r="GL142"/>
      <c r="GM142"/>
      <c r="GN142"/>
      <c r="GO142"/>
      <c r="GP142"/>
      <c r="GQ142"/>
      <c r="GR142"/>
      <c r="GS142"/>
      <c r="GT142"/>
      <c r="GU142"/>
      <c r="GV142"/>
      <c r="GW142"/>
      <c r="GX142"/>
      <c r="GY142"/>
      <c r="GZ142"/>
      <c r="HA142"/>
      <c r="HB142"/>
      <c r="HC142"/>
      <c r="HD142"/>
      <c r="HE142"/>
      <c r="HF142"/>
      <c r="HG142"/>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c r="IS142"/>
      <c r="IT142"/>
      <c r="IU142"/>
      <c r="IV142"/>
      <c r="IW142"/>
      <c r="IX142"/>
    </row>
    <row r="143" spans="1:258" s="227" customFormat="1" x14ac:dyDescent="0.2">
      <c r="A143" s="585" t="s">
        <v>1</v>
      </c>
      <c r="B143" s="10"/>
      <c r="C143" s="10"/>
      <c r="D143" s="10"/>
      <c r="E143" s="10"/>
      <c r="F143" s="9"/>
      <c r="G143" s="10"/>
      <c r="H143" s="10"/>
      <c r="I143" s="10"/>
      <c r="J143" s="10"/>
      <c r="K143" s="9"/>
      <c r="L143" s="10"/>
      <c r="M143" s="10"/>
      <c r="N143" s="10"/>
      <c r="O143" s="10"/>
      <c r="P143" s="9"/>
      <c r="Q143" s="10"/>
      <c r="R143" s="10"/>
      <c r="S143" s="10"/>
      <c r="T143" s="10"/>
      <c r="U143" s="9"/>
      <c r="V143" s="10"/>
      <c r="W143" s="10"/>
      <c r="X143" s="10"/>
      <c r="Y143" s="10"/>
      <c r="Z143" s="9"/>
      <c r="AA143" s="10"/>
      <c r="AB143" s="10"/>
      <c r="AC143" s="10"/>
      <c r="AD143" s="10"/>
      <c r="AE143" s="9"/>
      <c r="AF143" s="10"/>
      <c r="AG143" s="10"/>
      <c r="AH143" s="10"/>
      <c r="AI143" s="10"/>
      <c r="AJ143" s="9"/>
      <c r="AK143" s="10"/>
      <c r="AL143" s="10"/>
      <c r="AM143" s="10"/>
      <c r="AN143" s="10"/>
      <c r="AO143" s="9"/>
      <c r="AP143" s="10"/>
      <c r="AQ143" s="10"/>
      <c r="AR143" s="10"/>
      <c r="AS143" s="10"/>
      <c r="AT143" s="9"/>
      <c r="AU143" s="10"/>
      <c r="AV143" s="10"/>
      <c r="AW143" s="10"/>
      <c r="AX143" s="10"/>
      <c r="AY143" s="9"/>
      <c r="AZ143" s="10"/>
      <c r="BA143" s="10"/>
      <c r="BB143" s="10"/>
      <c r="BC143" s="10"/>
      <c r="BD143" s="9"/>
      <c r="BE143" s="10"/>
      <c r="BF143" s="10"/>
      <c r="BG143" s="10"/>
      <c r="BH143" s="10"/>
      <c r="BI143" s="9"/>
      <c r="BJ143" s="10"/>
      <c r="BK143" s="10"/>
      <c r="BL143" s="10"/>
      <c r="BM143" s="10"/>
      <c r="BN143" s="9"/>
      <c r="BO143" s="10"/>
      <c r="BP143" s="10"/>
      <c r="BQ143" s="10"/>
      <c r="BR143" s="10"/>
      <c r="BS143" s="9"/>
      <c r="BT143" s="10">
        <f t="shared" ref="BT143:BW143" si="777">+BT144* 0.0468- 0.067</f>
        <v>5.8639999999998693E-4</v>
      </c>
      <c r="BU143" s="10">
        <f t="shared" si="777"/>
        <v>9.6331999999999807E-3</v>
      </c>
      <c r="BV143" s="10">
        <f t="shared" si="777"/>
        <v>1.9399999999999973E-4</v>
      </c>
      <c r="BW143" s="10">
        <f t="shared" si="777"/>
        <v>2.1344000000000085E-3</v>
      </c>
      <c r="BX143" s="9">
        <f t="shared" ref="BX143:EI143" si="778">+BX144*0.0533 - 0.0919</f>
        <v>-1.2021749999999998E-2</v>
      </c>
      <c r="BY143" s="10">
        <f t="shared" si="778"/>
        <v>-1.1613799999999994E-2</v>
      </c>
      <c r="BZ143" s="10">
        <f t="shared" si="778"/>
        <v>-4.7996000000000011E-3</v>
      </c>
      <c r="CA143" s="10">
        <f t="shared" si="778"/>
        <v>4.770999999999942E-4</v>
      </c>
      <c r="CB143" s="10">
        <f t="shared" si="778"/>
        <v>1.3078157142857164E-2</v>
      </c>
      <c r="CC143" s="9">
        <f t="shared" si="778"/>
        <v>-7.1453571428571616E-4</v>
      </c>
      <c r="CD143" s="10">
        <f t="shared" si="778"/>
        <v>1.6325650000000025E-2</v>
      </c>
      <c r="CE143" s="10">
        <f t="shared" si="778"/>
        <v>2.3396099999999989E-2</v>
      </c>
      <c r="CF143" s="10">
        <f t="shared" si="778"/>
        <v>2.9894307142857138E-2</v>
      </c>
      <c r="CG143" s="10">
        <f t="shared" si="778"/>
        <v>5.9398199999999998E-2</v>
      </c>
      <c r="CH143" s="9">
        <f t="shared" si="778"/>
        <v>3.2253564285714298E-2</v>
      </c>
      <c r="CI143" s="10">
        <f t="shared" si="778"/>
        <v>4.0940000000000018E-2</v>
      </c>
      <c r="CJ143" s="10">
        <f t="shared" si="778"/>
        <v>4.7266300000000025E-2</v>
      </c>
      <c r="CK143" s="10">
        <f t="shared" si="778"/>
        <v>6.326449999999996E-2</v>
      </c>
      <c r="CL143" s="10">
        <f t="shared" si="778"/>
        <v>5.5322800000000019E-2</v>
      </c>
      <c r="CM143" s="9">
        <f t="shared" si="778"/>
        <v>5.1698400000000019E-2</v>
      </c>
      <c r="CN143" s="10">
        <f t="shared" si="778"/>
        <v>4.3572200000000019E-2</v>
      </c>
      <c r="CO143" s="10">
        <f t="shared" si="778"/>
        <v>5.0738999999999992E-2</v>
      </c>
      <c r="CP143" s="10">
        <f t="shared" si="778"/>
        <v>5.8807800000000007E-2</v>
      </c>
      <c r="CQ143" s="10">
        <f t="shared" si="778"/>
        <v>6.6614199999999971E-2</v>
      </c>
      <c r="CR143" s="9">
        <f t="shared" si="778"/>
        <v>5.4933299999999977E-2</v>
      </c>
      <c r="CS143" s="10">
        <f t="shared" si="778"/>
        <v>8.6515600000000012E-2</v>
      </c>
      <c r="CT143" s="10">
        <f t="shared" si="778"/>
        <v>0.1100086</v>
      </c>
      <c r="CU143" s="10">
        <f t="shared" si="778"/>
        <v>0.15367360000000002</v>
      </c>
      <c r="CV143" s="10">
        <f t="shared" si="778"/>
        <v>0.11978710000000002</v>
      </c>
      <c r="CW143" s="9">
        <f t="shared" si="778"/>
        <v>0.117496225</v>
      </c>
      <c r="CX143" s="10">
        <f t="shared" si="778"/>
        <v>4.3067900000000006E-2</v>
      </c>
      <c r="CY143" s="10">
        <f t="shared" si="778"/>
        <v>2.3391999999999982E-2</v>
      </c>
      <c r="CZ143" s="10">
        <f t="shared" si="778"/>
        <v>3.8119200000000006E-2</v>
      </c>
      <c r="DA143" s="10">
        <f t="shared" si="778"/>
        <v>4.8980100000000013E-2</v>
      </c>
      <c r="DB143" s="9">
        <f t="shared" si="778"/>
        <v>3.8389799999999988E-2</v>
      </c>
      <c r="DC143" s="10">
        <f t="shared" si="778"/>
        <v>5.7003800000000007E-2</v>
      </c>
      <c r="DD143" s="10">
        <f t="shared" si="778"/>
        <v>6.3686800000000029E-2</v>
      </c>
      <c r="DE143" s="10">
        <f t="shared" si="778"/>
        <v>6.7098000000000005E-2</v>
      </c>
      <c r="DF143" s="10">
        <f t="shared" si="778"/>
        <v>6.7432735714285749E-2</v>
      </c>
      <c r="DG143" s="9">
        <f t="shared" si="778"/>
        <v>6.3805333928571448E-2</v>
      </c>
      <c r="DH143" s="10">
        <f t="shared" si="778"/>
        <v>8.1786933333333353E-2</v>
      </c>
      <c r="DI143" s="10">
        <f t="shared" si="778"/>
        <v>0.11166089999999999</v>
      </c>
      <c r="DJ143" s="10">
        <f t="shared" si="778"/>
        <v>0.11948780000000002</v>
      </c>
      <c r="DK143" s="10">
        <f t="shared" si="778"/>
        <v>0.11186590000000003</v>
      </c>
      <c r="DL143" s="9">
        <f t="shared" si="778"/>
        <v>0.10620038333333336</v>
      </c>
      <c r="DM143" s="10">
        <f t="shared" si="778"/>
        <v>0.11496550000000001</v>
      </c>
      <c r="DN143" s="10">
        <f t="shared" si="778"/>
        <v>0.12495310000000008</v>
      </c>
      <c r="DO143" s="10">
        <f t="shared" si="778"/>
        <v>0.11126729999999997</v>
      </c>
      <c r="DP143" s="10">
        <f t="shared" si="778"/>
        <v>0.12490390000000003</v>
      </c>
      <c r="DQ143" s="9">
        <f t="shared" si="778"/>
        <v>0.11902245000000002</v>
      </c>
      <c r="DR143" s="10">
        <f t="shared" si="778"/>
        <v>0.1189958</v>
      </c>
      <c r="DS143" s="10">
        <f t="shared" si="778"/>
        <v>0.12278830000000003</v>
      </c>
      <c r="DT143" s="921">
        <f t="shared" si="778"/>
        <v>0.11395280000000003</v>
      </c>
      <c r="DU143" s="10">
        <f t="shared" si="778"/>
        <v>0.11704009999999999</v>
      </c>
      <c r="DV143" s="9">
        <f t="shared" si="778"/>
        <v>0.11819425000000001</v>
      </c>
      <c r="DW143" s="10">
        <f t="shared" si="778"/>
        <v>0.11448170000000001</v>
      </c>
      <c r="DX143" s="10">
        <f t="shared" si="778"/>
        <v>0.12045540000000003</v>
      </c>
      <c r="DY143" s="921">
        <f t="shared" si="778"/>
        <v>0.11652759999999997</v>
      </c>
      <c r="DZ143" s="10">
        <f t="shared" si="778"/>
        <v>0.10914759999999997</v>
      </c>
      <c r="EA143" s="9">
        <f t="shared" si="778"/>
        <v>0.11515307500000001</v>
      </c>
      <c r="EB143" s="10">
        <f t="shared" si="778"/>
        <v>8.6987099999999998E-2</v>
      </c>
      <c r="EC143" s="10">
        <f t="shared" si="778"/>
        <v>5.998450000000001E-2</v>
      </c>
      <c r="ED143" s="921">
        <f t="shared" si="778"/>
        <v>6.0070600000000016E-2</v>
      </c>
      <c r="EE143" s="10">
        <f t="shared" si="778"/>
        <v>4.3695199999999976E-2</v>
      </c>
      <c r="EF143" s="9">
        <f t="shared" si="778"/>
        <v>6.2684350000000014E-2</v>
      </c>
      <c r="EG143" s="10">
        <f t="shared" si="778"/>
        <v>3.1690400000000007E-2</v>
      </c>
      <c r="EH143" s="921">
        <f t="shared" si="778"/>
        <v>1.8623700000000007E-2</v>
      </c>
      <c r="EI143" s="921">
        <f t="shared" si="778"/>
        <v>3.4607550000000029E-2</v>
      </c>
      <c r="EJ143" s="921">
        <f t="shared" ref="EJ143:EN143" si="779">+EJ144*0.0533 - 0.0919</f>
        <v>3.6241399999999993E-2</v>
      </c>
      <c r="EK143" s="9">
        <f t="shared" si="779"/>
        <v>3.0290762500000012E-2</v>
      </c>
      <c r="EL143" s="10">
        <f t="shared" si="779"/>
        <v>4.2141299999999979E-2</v>
      </c>
      <c r="EM143" s="921">
        <f t="shared" si="779"/>
        <v>4.5035900000000004E-2</v>
      </c>
      <c r="EN143" s="921">
        <f t="shared" si="779"/>
        <v>4.2346300000000017E-2</v>
      </c>
      <c r="EO143" s="921">
        <f>+EO144*0.0533 - 0.0919</f>
        <v>5.3609000000000004E-2</v>
      </c>
      <c r="EP143" s="9">
        <f t="shared" ref="EP143:FE143" si="780">+EP144*0.0533 - 0.0919</f>
        <v>4.5783124999999994E-2</v>
      </c>
      <c r="EQ143" s="921">
        <f t="shared" si="780"/>
        <v>6.5388299999999996E-2</v>
      </c>
      <c r="ER143" s="633">
        <f t="shared" si="780"/>
        <v>7.0172999999999999E-2</v>
      </c>
      <c r="ES143" s="633">
        <f t="shared" si="780"/>
        <v>7.3543199999999989E-2</v>
      </c>
      <c r="ET143" s="633">
        <f t="shared" si="780"/>
        <v>7.3543199999999989E-2</v>
      </c>
      <c r="EU143" s="1173">
        <f t="shared" si="780"/>
        <v>7.0661924999999973E-2</v>
      </c>
      <c r="EV143" s="1670">
        <f t="shared" si="780"/>
        <v>-9.1899999999999996E-2</v>
      </c>
      <c r="EW143" s="1670">
        <f t="shared" si="780"/>
        <v>-9.1899999999999996E-2</v>
      </c>
      <c r="EX143" s="1670">
        <f t="shared" si="780"/>
        <v>-9.1899999999999996E-2</v>
      </c>
      <c r="EY143" s="1670">
        <f t="shared" si="780"/>
        <v>-9.1899999999999996E-2</v>
      </c>
      <c r="EZ143" s="1012">
        <f t="shared" si="780"/>
        <v>7.0661924999999973E-2</v>
      </c>
      <c r="FA143" s="1670">
        <f t="shared" si="780"/>
        <v>-9.1899999999999996E-2</v>
      </c>
      <c r="FB143" s="1670">
        <f t="shared" si="780"/>
        <v>-9.1899999999999996E-2</v>
      </c>
      <c r="FC143" s="1670">
        <f t="shared" si="780"/>
        <v>-9.1899999999999996E-2</v>
      </c>
      <c r="FD143" s="1670">
        <f t="shared" si="780"/>
        <v>-9.1899999999999996E-2</v>
      </c>
      <c r="FE143" s="1012">
        <f t="shared" si="780"/>
        <v>7.0661924999999973E-2</v>
      </c>
      <c r="FG143" s="491"/>
      <c r="FH143" s="780"/>
      <c r="FI143" s="780"/>
      <c r="FJ143" s="780"/>
      <c r="FK143" s="186"/>
      <c r="FL143" s="1348"/>
      <c r="FM143" s="1551">
        <f t="shared" si="775"/>
        <v>6.5388299999999996E-2</v>
      </c>
      <c r="FN143" s="1418">
        <f t="shared" si="776"/>
        <v>4.2141299999999979E-2</v>
      </c>
      <c r="FO143" s="1843">
        <v>6.5388299999999996E-2</v>
      </c>
      <c r="FP143" s="1751"/>
      <c r="FQ143" s="737"/>
      <c r="FR143" s="1619"/>
      <c r="FS143" s="1619"/>
      <c r="FT143" s="432"/>
      <c r="FU143" s="432"/>
      <c r="FV143" s="432"/>
      <c r="FW143" s="432"/>
      <c r="FX143" s="432"/>
      <c r="FY143" s="432"/>
      <c r="FZ143" s="491"/>
      <c r="GA143"/>
      <c r="GB143"/>
      <c r="GC143"/>
      <c r="GD143"/>
      <c r="GE143"/>
      <c r="GF143"/>
      <c r="GG143"/>
      <c r="GH143"/>
      <c r="GI143"/>
      <c r="GJ143"/>
      <c r="GK143"/>
      <c r="GL143"/>
      <c r="GM143"/>
      <c r="GN143"/>
      <c r="GO143"/>
      <c r="GP143"/>
      <c r="GQ143"/>
      <c r="GR143"/>
      <c r="GS143"/>
      <c r="GT143"/>
      <c r="GU143"/>
      <c r="GV143"/>
      <c r="GW143"/>
      <c r="GX143"/>
      <c r="GY143"/>
      <c r="GZ143"/>
      <c r="HA143"/>
      <c r="HB143"/>
      <c r="HC143"/>
      <c r="HD143"/>
      <c r="HE143"/>
      <c r="HF143"/>
      <c r="HG143"/>
      <c r="HH143"/>
      <c r="HI143"/>
      <c r="HJ143"/>
      <c r="HK143"/>
      <c r="HL143"/>
      <c r="HM143"/>
      <c r="HN143"/>
      <c r="HO143"/>
      <c r="HP143"/>
      <c r="HQ143"/>
      <c r="HR143"/>
      <c r="HS143"/>
      <c r="HT143"/>
      <c r="HU143"/>
      <c r="HV143"/>
      <c r="HW143"/>
      <c r="HX143"/>
      <c r="HY143"/>
      <c r="HZ143"/>
      <c r="IA143"/>
      <c r="IB143"/>
      <c r="IC143"/>
      <c r="ID143"/>
      <c r="IE143"/>
      <c r="IF143"/>
      <c r="IG143"/>
      <c r="IH143"/>
      <c r="II143"/>
      <c r="IJ143"/>
      <c r="IK143"/>
      <c r="IL143"/>
      <c r="IM143"/>
      <c r="IN143"/>
      <c r="IO143"/>
      <c r="IP143"/>
      <c r="IQ143"/>
      <c r="IR143"/>
      <c r="IS143"/>
      <c r="IT143"/>
      <c r="IU143"/>
      <c r="IV143"/>
      <c r="IW143"/>
      <c r="IX143"/>
    </row>
    <row r="144" spans="1:258" s="62" customFormat="1" x14ac:dyDescent="0.2">
      <c r="A144" s="586" t="s">
        <v>126</v>
      </c>
      <c r="B144" s="61"/>
      <c r="C144" s="61"/>
      <c r="D144" s="61"/>
      <c r="E144" s="61"/>
      <c r="F144" s="60"/>
      <c r="G144" s="61"/>
      <c r="H144" s="61"/>
      <c r="I144" s="61"/>
      <c r="J144" s="61"/>
      <c r="K144" s="60"/>
      <c r="L144" s="61"/>
      <c r="M144" s="61"/>
      <c r="N144" s="61"/>
      <c r="O144" s="61"/>
      <c r="P144" s="60"/>
      <c r="Q144" s="61"/>
      <c r="R144" s="61"/>
      <c r="S144" s="61"/>
      <c r="T144" s="61"/>
      <c r="U144" s="60"/>
      <c r="V144" s="61"/>
      <c r="W144" s="61"/>
      <c r="X144" s="61"/>
      <c r="Y144" s="61"/>
      <c r="Z144" s="60"/>
      <c r="AA144" s="61"/>
      <c r="AB144" s="61"/>
      <c r="AC144" s="61"/>
      <c r="AD144" s="61"/>
      <c r="AE144" s="60"/>
      <c r="AF144" s="61"/>
      <c r="AG144" s="61"/>
      <c r="AH144" s="61"/>
      <c r="AI144" s="61"/>
      <c r="AJ144" s="60"/>
      <c r="AK144" s="61"/>
      <c r="AL144" s="61"/>
      <c r="AM144" s="61"/>
      <c r="AN144" s="61"/>
      <c r="AO144" s="60"/>
      <c r="AP144" s="61"/>
      <c r="AQ144" s="61"/>
      <c r="AR144" s="61"/>
      <c r="AS144" s="61"/>
      <c r="AT144" s="60"/>
      <c r="AU144" s="61"/>
      <c r="AV144" s="61"/>
      <c r="AW144" s="61"/>
      <c r="AX144" s="61"/>
      <c r="AY144" s="60"/>
      <c r="AZ144" s="61"/>
      <c r="BA144" s="61"/>
      <c r="BB144" s="61"/>
      <c r="BC144" s="61"/>
      <c r="BD144" s="60"/>
      <c r="BE144" s="61"/>
      <c r="BF144" s="61"/>
      <c r="BG144" s="61"/>
      <c r="BH144" s="61"/>
      <c r="BI144" s="60"/>
      <c r="BJ144" s="61"/>
      <c r="BK144" s="61"/>
      <c r="BL144" s="61"/>
      <c r="BM144" s="61"/>
      <c r="BN144" s="60"/>
      <c r="BO144" s="61"/>
      <c r="BP144" s="61"/>
      <c r="BQ144" s="61"/>
      <c r="BR144" s="61"/>
      <c r="BS144" s="60"/>
      <c r="BT144" s="61">
        <f>Fuel!AE5</f>
        <v>1.4441538461538459</v>
      </c>
      <c r="BU144" s="61">
        <f>Fuel!AF5</f>
        <v>1.6374615384615381</v>
      </c>
      <c r="BV144" s="61">
        <f>Fuel!AG5</f>
        <v>1.4357692307692309</v>
      </c>
      <c r="BW144" s="61">
        <f>Fuel!AH5</f>
        <v>1.4772307692307693</v>
      </c>
      <c r="BX144" s="60">
        <f>Fuel!AI5</f>
        <v>1.4986538461538461</v>
      </c>
      <c r="BY144" s="61">
        <f>Fuel!AJ5</f>
        <v>1.5063076923076923</v>
      </c>
      <c r="BZ144" s="61">
        <f>Fuel!AK5</f>
        <v>1.6341538461538461</v>
      </c>
      <c r="CA144" s="61">
        <f>Fuel!AL5</f>
        <v>1.733153846153846</v>
      </c>
      <c r="CB144" s="61">
        <f>Fuel!AM5</f>
        <v>1.9695714285714288</v>
      </c>
      <c r="CC144" s="60">
        <f>Fuel!AN5</f>
        <v>1.7107967032967033</v>
      </c>
      <c r="CD144" s="61">
        <f>Fuel!AO5</f>
        <v>2.0305000000000004</v>
      </c>
      <c r="CE144" s="61">
        <f>Fuel!AP5</f>
        <v>2.163153846153846</v>
      </c>
      <c r="CF144" s="61">
        <f>Fuel!AQ5</f>
        <v>2.2850714285714284</v>
      </c>
      <c r="CG144" s="61">
        <f>Fuel!AR5</f>
        <v>2.8386153846153843</v>
      </c>
      <c r="CH144" s="60">
        <f>Fuel!AS5</f>
        <v>2.329335164835165</v>
      </c>
      <c r="CI144" s="61">
        <f>Fuel!AT5</f>
        <v>2.4923076923076923</v>
      </c>
      <c r="CJ144" s="61">
        <f>Fuel!AU5</f>
        <v>2.6110000000000002</v>
      </c>
      <c r="CK144" s="61">
        <f>Fuel!AV5</f>
        <v>2.9111538461538453</v>
      </c>
      <c r="CL144" s="61">
        <f>Fuel!AW5</f>
        <v>2.7621538461538462</v>
      </c>
      <c r="CM144" s="60">
        <f>Fuel!AX5</f>
        <v>2.6941538461538466</v>
      </c>
      <c r="CN144" s="61">
        <f>Fuel!AY5</f>
        <v>2.5416923076923079</v>
      </c>
      <c r="CO144" s="61">
        <f>Fuel!AZ5</f>
        <v>2.6761538461538459</v>
      </c>
      <c r="CP144" s="61">
        <f>Fuel!BA5</f>
        <v>2.8275384615384618</v>
      </c>
      <c r="CQ144" s="61">
        <f>Fuel!BB5</f>
        <v>2.9739999999999993</v>
      </c>
      <c r="CR144" s="60">
        <f>Fuel!BC5</f>
        <v>2.7548461538461533</v>
      </c>
      <c r="CS144" s="61">
        <f>Fuel!BD5</f>
        <v>3.3473846153846156</v>
      </c>
      <c r="CT144" s="61">
        <f>Fuel!BE5</f>
        <v>3.788153846153846</v>
      </c>
      <c r="CU144" s="61">
        <f>Fuel!BF5</f>
        <v>4.6073846153846159</v>
      </c>
      <c r="CV144" s="61">
        <f>Fuel!BG5</f>
        <v>3.9716153846153848</v>
      </c>
      <c r="CW144" s="60">
        <f>Fuel!BH5</f>
        <v>3.9286346153846154</v>
      </c>
      <c r="CX144" s="61">
        <f>Fuel!BI5</f>
        <v>2.5322307692307691</v>
      </c>
      <c r="CY144" s="61">
        <f>Fuel!BJ5</f>
        <v>2.1630769230769227</v>
      </c>
      <c r="CZ144" s="61">
        <f>Fuel!BK5</f>
        <v>2.4393846153846153</v>
      </c>
      <c r="DA144" s="61">
        <f>Fuel!BL5</f>
        <v>2.6431538461538464</v>
      </c>
      <c r="DB144" s="60">
        <f>Fuel!BM5</f>
        <v>2.444461538461538</v>
      </c>
      <c r="DC144" s="61">
        <f>Fuel!BN5</f>
        <v>2.7936923076923077</v>
      </c>
      <c r="DD144" s="61">
        <f>Fuel!BO5</f>
        <v>2.9190769230769238</v>
      </c>
      <c r="DE144" s="61">
        <f>Fuel!BP5</f>
        <v>2.983076923076923</v>
      </c>
      <c r="DF144" s="61">
        <f>Fuel!BQ5</f>
        <v>2.9893571428571435</v>
      </c>
      <c r="DG144" s="168">
        <f>Fuel!BR5</f>
        <v>2.9213008241758245</v>
      </c>
      <c r="DH144" s="61">
        <f>Fuel!BS5</f>
        <v>3.258666666666667</v>
      </c>
      <c r="DI144" s="61">
        <f>Fuel!BT5</f>
        <v>3.8191538461538461</v>
      </c>
      <c r="DJ144" s="61">
        <f>Fuel!BU5</f>
        <v>3.9660000000000002</v>
      </c>
      <c r="DK144" s="61">
        <f>Fuel!BV5</f>
        <v>3.8230000000000004</v>
      </c>
      <c r="DL144" s="168">
        <f>Fuel!BW5</f>
        <v>3.7167051282051284</v>
      </c>
      <c r="DM144" s="61">
        <f>Fuel!BX5</f>
        <v>3.8811538461538464</v>
      </c>
      <c r="DN144" s="61">
        <f>Fuel!BY5</f>
        <v>4.0685384615384628</v>
      </c>
      <c r="DO144" s="61">
        <f>Fuel!BZ5</f>
        <v>3.8117692307692304</v>
      </c>
      <c r="DP144" s="61">
        <f>Fuel!CA5</f>
        <v>4.0676153846153849</v>
      </c>
      <c r="DQ144" s="168">
        <f>Fuel!CB5</f>
        <v>3.957269230769231</v>
      </c>
      <c r="DR144" s="61">
        <f>Fuel!CC5</f>
        <v>3.9567692307692308</v>
      </c>
      <c r="DS144" s="61">
        <f>Fuel!CD5</f>
        <v>4.0279230769230772</v>
      </c>
      <c r="DT144" s="919">
        <f>Fuel!CE5</f>
        <v>3.8621538461538467</v>
      </c>
      <c r="DU144" s="61">
        <f>Fuel!CF5</f>
        <v>3.9200769230769228</v>
      </c>
      <c r="DV144" s="168">
        <f>Fuel!CG5</f>
        <v>3.9417307692307695</v>
      </c>
      <c r="DW144" s="61">
        <f>Fuel!CH5</f>
        <v>3.8720769230769232</v>
      </c>
      <c r="DX144" s="61">
        <f>Fuel!CI5</f>
        <v>3.9841538461538466</v>
      </c>
      <c r="DY144" s="919">
        <f>Fuel!CJ5</f>
        <v>3.9104615384615378</v>
      </c>
      <c r="DZ144" s="61">
        <f>Fuel!CK5</f>
        <v>3.7719999999999994</v>
      </c>
      <c r="EA144" s="168">
        <f>Fuel!CL5</f>
        <v>3.8846730769230771</v>
      </c>
      <c r="EB144" s="61">
        <f>Fuel!CM5</f>
        <v>3.3562307692307689</v>
      </c>
      <c r="EC144" s="61">
        <f>Fuel!CN5</f>
        <v>2.8496153846153849</v>
      </c>
      <c r="ED144" s="919">
        <f>Fuel!CO5</f>
        <v>2.8512307692307695</v>
      </c>
      <c r="EE144" s="61">
        <f>Fuel!CP5</f>
        <v>2.5439999999999996</v>
      </c>
      <c r="EF144" s="168">
        <f>Fuel!CQ5</f>
        <v>2.900269230769231</v>
      </c>
      <c r="EG144" s="61">
        <f>Fuel!CR5</f>
        <v>2.3187692307692309</v>
      </c>
      <c r="EH144" s="919">
        <f>Fuel!CS5</f>
        <v>2.0736153846153846</v>
      </c>
      <c r="EI144" s="919">
        <f>Fuel!CT5</f>
        <v>2.3735000000000004</v>
      </c>
      <c r="EJ144" s="61">
        <f>Fuel!CU5</f>
        <v>2.4041538461538461</v>
      </c>
      <c r="EK144" s="168">
        <f>Fuel!CV5</f>
        <v>2.2925096153846156</v>
      </c>
      <c r="EL144" s="61">
        <f>Fuel!CW5</f>
        <v>2.5148461538461535</v>
      </c>
      <c r="EM144" s="919">
        <f>Fuel!CX5</f>
        <v>2.5691538461538461</v>
      </c>
      <c r="EN144" s="919">
        <f>Fuel!CY5</f>
        <v>2.5186923076923078</v>
      </c>
      <c r="EO144" s="61">
        <f>Fuel!CZ5</f>
        <v>2.73</v>
      </c>
      <c r="EP144" s="168">
        <f>Fuel!DA5</f>
        <v>2.5831730769230767</v>
      </c>
      <c r="EQ144" s="919">
        <f>Fuel!DB5</f>
        <v>2.9509999999999996</v>
      </c>
      <c r="ER144" s="1671">
        <f>Fuel!DC5</f>
        <v>3.0407692307692309</v>
      </c>
      <c r="ES144" s="1671">
        <f>Fuel!DD5</f>
        <v>3.1039999999999996</v>
      </c>
      <c r="ET144" s="1671">
        <f>Fuel!DE5</f>
        <v>3.1039999999999996</v>
      </c>
      <c r="EU144" s="1672">
        <f>Fuel!DF5</f>
        <v>3.0499423076923073</v>
      </c>
      <c r="EV144" s="1673"/>
      <c r="EW144" s="1673"/>
      <c r="EX144" s="1673"/>
      <c r="EY144" s="1673"/>
      <c r="EZ144" s="1674">
        <f>+EU144</f>
        <v>3.0499423076923073</v>
      </c>
      <c r="FA144" s="1673"/>
      <c r="FB144" s="1673"/>
      <c r="FC144" s="1673"/>
      <c r="FD144" s="1673"/>
      <c r="FE144" s="1674">
        <f>+EZ144</f>
        <v>3.0499423076923073</v>
      </c>
      <c r="FG144" s="464"/>
      <c r="FH144" s="786"/>
      <c r="FI144" s="786"/>
      <c r="FJ144" s="786"/>
      <c r="FK144" s="378"/>
      <c r="FL144" s="1354"/>
      <c r="FM144" s="1552">
        <f t="shared" si="775"/>
        <v>2.9509999999999996</v>
      </c>
      <c r="FN144" s="1445">
        <f t="shared" si="776"/>
        <v>2.5148461538461535</v>
      </c>
      <c r="FO144" s="1844">
        <v>2.9509999999999996</v>
      </c>
      <c r="FP144" s="1517"/>
      <c r="FQ144" s="1517"/>
      <c r="FR144" s="1619"/>
      <c r="FS144" s="1619"/>
      <c r="FT144" s="438"/>
      <c r="FU144" s="438"/>
      <c r="FV144" s="438"/>
      <c r="FW144" s="438"/>
      <c r="FX144" s="438"/>
      <c r="FY144" s="438"/>
      <c r="FZ144" s="464"/>
      <c r="GA144"/>
      <c r="GB144"/>
      <c r="GC144"/>
      <c r="GD144"/>
      <c r="GE144"/>
      <c r="GF144"/>
      <c r="GG144"/>
      <c r="GH144"/>
      <c r="GI144"/>
      <c r="GJ144"/>
      <c r="GK144"/>
      <c r="GL144"/>
      <c r="GM144"/>
      <c r="GN144"/>
      <c r="GO144"/>
      <c r="GP144"/>
      <c r="GQ144"/>
      <c r="GR144"/>
      <c r="GS144"/>
      <c r="GT144"/>
      <c r="GU144"/>
      <c r="GV144"/>
      <c r="GW144"/>
      <c r="GX144"/>
      <c r="GY144"/>
      <c r="GZ144"/>
      <c r="HA144"/>
      <c r="HB144"/>
      <c r="HC144"/>
      <c r="HD144"/>
      <c r="HE144"/>
      <c r="HF144"/>
      <c r="HG144"/>
      <c r="HH144"/>
      <c r="HI144"/>
      <c r="HJ144"/>
      <c r="HK144"/>
      <c r="HL144"/>
      <c r="HM144"/>
      <c r="HN144"/>
      <c r="HO144"/>
      <c r="HP144"/>
      <c r="HQ144"/>
      <c r="HR144"/>
      <c r="HS144"/>
      <c r="HT144"/>
      <c r="HU144"/>
      <c r="HV144"/>
      <c r="HW144"/>
      <c r="HX144"/>
      <c r="HY144"/>
      <c r="HZ144"/>
      <c r="IA144"/>
      <c r="IB144"/>
      <c r="IC144"/>
      <c r="ID144"/>
      <c r="IE144"/>
      <c r="IF144"/>
      <c r="IG144"/>
      <c r="IH144"/>
      <c r="II144"/>
      <c r="IJ144"/>
      <c r="IK144"/>
      <c r="IL144"/>
      <c r="IM144"/>
      <c r="IN144"/>
      <c r="IO144"/>
      <c r="IP144"/>
      <c r="IQ144"/>
      <c r="IR144"/>
      <c r="IS144"/>
      <c r="IT144"/>
      <c r="IU144"/>
      <c r="IV144"/>
      <c r="IW144"/>
      <c r="IX144"/>
    </row>
    <row r="145" spans="1:258" s="58" customFormat="1" x14ac:dyDescent="0.2">
      <c r="A145" s="581" t="s">
        <v>220</v>
      </c>
      <c r="B145" s="56"/>
      <c r="C145" s="327"/>
      <c r="D145" s="327"/>
      <c r="E145" s="56"/>
      <c r="F145" s="57"/>
      <c r="G145" s="56"/>
      <c r="H145" s="327"/>
      <c r="I145" s="327"/>
      <c r="J145" s="56"/>
      <c r="K145" s="57"/>
      <c r="L145" s="56"/>
      <c r="M145" s="327"/>
      <c r="N145" s="327"/>
      <c r="O145" s="56"/>
      <c r="P145" s="57"/>
      <c r="Q145" s="56"/>
      <c r="R145" s="327"/>
      <c r="S145" s="327"/>
      <c r="T145" s="56"/>
      <c r="U145" s="57"/>
      <c r="V145" s="56"/>
      <c r="W145" s="327"/>
      <c r="X145" s="327"/>
      <c r="Y145" s="56"/>
      <c r="Z145" s="57"/>
      <c r="AA145" s="56"/>
      <c r="AB145" s="327"/>
      <c r="AC145" s="327"/>
      <c r="AD145" s="56"/>
      <c r="AE145" s="57"/>
      <c r="AF145" s="56"/>
      <c r="AG145" s="327"/>
      <c r="AH145" s="327"/>
      <c r="AI145" s="56"/>
      <c r="AJ145" s="57"/>
      <c r="AK145" s="56"/>
      <c r="AL145" s="327"/>
      <c r="AM145" s="327"/>
      <c r="AN145" s="56"/>
      <c r="AO145" s="57"/>
      <c r="AP145" s="56"/>
      <c r="AQ145" s="327"/>
      <c r="AR145" s="327"/>
      <c r="AS145" s="56"/>
      <c r="AT145" s="57"/>
      <c r="AU145" s="56"/>
      <c r="AV145" s="327"/>
      <c r="AW145" s="327"/>
      <c r="AX145" s="56"/>
      <c r="AY145" s="57"/>
      <c r="AZ145" s="56"/>
      <c r="BA145" s="327"/>
      <c r="BB145" s="327"/>
      <c r="BC145" s="56"/>
      <c r="BD145" s="57"/>
      <c r="BE145" s="56"/>
      <c r="BF145" s="327"/>
      <c r="BG145" s="327"/>
      <c r="BH145" s="56"/>
      <c r="BI145" s="57"/>
      <c r="BJ145" s="56"/>
      <c r="BK145" s="327"/>
      <c r="BL145" s="327"/>
      <c r="BM145" s="56"/>
      <c r="BN145" s="57"/>
      <c r="BO145" s="56"/>
      <c r="BP145" s="327"/>
      <c r="BQ145" s="327"/>
      <c r="BR145" s="56"/>
      <c r="BS145" s="57"/>
      <c r="BT145" s="56"/>
      <c r="BU145" s="327"/>
      <c r="BV145" s="327"/>
      <c r="BW145" s="56"/>
      <c r="BX145" s="57"/>
      <c r="BY145" s="56">
        <f t="shared" ref="BY145:DD145" si="781">BY150*1000/BY23/BT129</f>
        <v>8.2042892038404602E-3</v>
      </c>
      <c r="BZ145" s="327">
        <f t="shared" si="781"/>
        <v>2.7097312442455685E-2</v>
      </c>
      <c r="CA145" s="327">
        <f t="shared" si="781"/>
        <v>8.3259318987063766E-3</v>
      </c>
      <c r="CB145" s="56">
        <f t="shared" si="781"/>
        <v>4.4022555635723111E-2</v>
      </c>
      <c r="CC145" s="57">
        <f t="shared" si="781"/>
        <v>2.2408888673769778E-2</v>
      </c>
      <c r="CD145" s="56">
        <f t="shared" si="781"/>
        <v>2.4428172926350203E-2</v>
      </c>
      <c r="CE145" s="327">
        <f t="shared" si="781"/>
        <v>2.7542763038195073E-2</v>
      </c>
      <c r="CF145" s="327">
        <f t="shared" si="781"/>
        <v>3.2554706940955858E-2</v>
      </c>
      <c r="CG145" s="56">
        <f t="shared" si="781"/>
        <v>-5.340778573583004E-3</v>
      </c>
      <c r="CH145" s="57">
        <f t="shared" si="781"/>
        <v>1.9610950280636686E-2</v>
      </c>
      <c r="CI145" s="56">
        <f t="shared" si="781"/>
        <v>4.4131068126294234E-2</v>
      </c>
      <c r="CJ145" s="327">
        <f t="shared" si="781"/>
        <v>2.1079746556438135E-2</v>
      </c>
      <c r="CK145" s="327">
        <f t="shared" si="781"/>
        <v>1.5551176063110678E-2</v>
      </c>
      <c r="CL145" s="56">
        <f t="shared" si="781"/>
        <v>6.5714274458594261E-3</v>
      </c>
      <c r="CM145" s="57">
        <f t="shared" si="781"/>
        <v>2.1553481726318203E-2</v>
      </c>
      <c r="CN145" s="56">
        <f t="shared" si="781"/>
        <v>-1.1907062952354567E-3</v>
      </c>
      <c r="CO145" s="327">
        <f t="shared" si="781"/>
        <v>2.5831502891761254E-2</v>
      </c>
      <c r="CP145" s="327">
        <f t="shared" si="781"/>
        <v>1.8424808839242118E-2</v>
      </c>
      <c r="CQ145" s="56">
        <f t="shared" si="781"/>
        <v>1.9150302909691136E-2</v>
      </c>
      <c r="CR145" s="57">
        <f t="shared" si="781"/>
        <v>1.5741544826795531E-2</v>
      </c>
      <c r="CS145" s="56">
        <f t="shared" si="781"/>
        <v>1.0769859775948708E-2</v>
      </c>
      <c r="CT145" s="327">
        <f t="shared" si="781"/>
        <v>3.1734266730921813E-2</v>
      </c>
      <c r="CU145" s="327">
        <f t="shared" si="781"/>
        <v>3.1865582220785761E-2</v>
      </c>
      <c r="CV145" s="56">
        <f t="shared" si="781"/>
        <v>1.7243775298853552E-2</v>
      </c>
      <c r="CW145" s="57">
        <f t="shared" si="781"/>
        <v>2.3059839581662248E-2</v>
      </c>
      <c r="CX145" s="56">
        <f t="shared" si="781"/>
        <v>1.4614426453773878E-2</v>
      </c>
      <c r="CY145" s="327">
        <f t="shared" si="781"/>
        <v>5.8849935727366461E-3</v>
      </c>
      <c r="CZ145" s="327">
        <f t="shared" si="781"/>
        <v>-7.0825983272803537E-3</v>
      </c>
      <c r="DA145" s="56">
        <f t="shared" si="781"/>
        <v>-3.5914088235356287E-2</v>
      </c>
      <c r="DB145" s="57">
        <f t="shared" si="781"/>
        <v>-6.3463843577129149E-3</v>
      </c>
      <c r="DC145" s="56">
        <f t="shared" si="781"/>
        <v>-5.7566941155575068E-3</v>
      </c>
      <c r="DD145" s="327">
        <f t="shared" si="781"/>
        <v>-2.095134491692428E-2</v>
      </c>
      <c r="DE145" s="327">
        <f t="shared" ref="DE145:ED145" si="782">DE150*1000/DE23/CZ129</f>
        <v>-2.6206146768001811E-2</v>
      </c>
      <c r="DF145" s="327">
        <f t="shared" si="782"/>
        <v>4.1223956765851456E-3</v>
      </c>
      <c r="DG145" s="57">
        <f t="shared" si="782"/>
        <v>-1.2071425139801559E-2</v>
      </c>
      <c r="DH145" s="327">
        <f t="shared" si="782"/>
        <v>-3.9330557242316821E-2</v>
      </c>
      <c r="DI145" s="327">
        <f t="shared" si="782"/>
        <v>-2.3958065445044651E-2</v>
      </c>
      <c r="DJ145" s="327">
        <f t="shared" si="782"/>
        <v>-1.4186118494562349E-2</v>
      </c>
      <c r="DK145" s="327">
        <f t="shared" si="782"/>
        <v>-1.7888382605917175E-2</v>
      </c>
      <c r="DL145" s="57">
        <f t="shared" si="782"/>
        <v>-2.383107296685899E-2</v>
      </c>
      <c r="DM145" s="327">
        <f t="shared" si="782"/>
        <v>-3.7094198109141163E-2</v>
      </c>
      <c r="DN145" s="327">
        <f t="shared" si="782"/>
        <v>-1.9109944861159373E-2</v>
      </c>
      <c r="DO145" s="327">
        <f t="shared" si="782"/>
        <v>-2.4740134036665508E-2</v>
      </c>
      <c r="DP145" s="327">
        <f t="shared" si="782"/>
        <v>-1.7765294847936444E-2</v>
      </c>
      <c r="DQ145" s="57">
        <f t="shared" si="782"/>
        <v>-2.4559865959294113E-2</v>
      </c>
      <c r="DR145" s="327">
        <f t="shared" si="782"/>
        <v>-2.9779311237618546E-3</v>
      </c>
      <c r="DS145" s="327">
        <f t="shared" si="782"/>
        <v>-1.9327820268157898E-2</v>
      </c>
      <c r="DT145" s="56">
        <f t="shared" si="782"/>
        <v>-1.4542488328911531E-2</v>
      </c>
      <c r="DU145" s="327">
        <f t="shared" si="782"/>
        <v>-3.060389504011098E-2</v>
      </c>
      <c r="DV145" s="57">
        <f t="shared" si="782"/>
        <v>-1.7031534394348131E-2</v>
      </c>
      <c r="DW145" s="327">
        <f t="shared" si="782"/>
        <v>-2.4106280390881085E-2</v>
      </c>
      <c r="DX145" s="327">
        <f t="shared" si="782"/>
        <v>-1.0973152016856905E-2</v>
      </c>
      <c r="DY145" s="56">
        <f t="shared" si="782"/>
        <v>-9.0031582932536408E-4</v>
      </c>
      <c r="DZ145" s="327">
        <f t="shared" si="782"/>
        <v>-5.7514049925145323E-3</v>
      </c>
      <c r="EA145" s="57">
        <f t="shared" si="782"/>
        <v>-1.0261456727451117E-2</v>
      </c>
      <c r="EB145" s="327">
        <f t="shared" si="782"/>
        <v>-1.1899290490858484E-3</v>
      </c>
      <c r="EC145" s="327">
        <f t="shared" si="782"/>
        <v>-3.6051656677703735E-2</v>
      </c>
      <c r="ED145" s="56">
        <f t="shared" si="782"/>
        <v>-4.4316959094056287E-2</v>
      </c>
      <c r="EE145" s="327">
        <f t="shared" ref="EE145:EI145" si="783">EE150*1000/EE23/DZ129</f>
        <v>-5.5331277261403813E-2</v>
      </c>
      <c r="EF145" s="57">
        <f t="shared" si="783"/>
        <v>-3.4405441767463386E-2</v>
      </c>
      <c r="EG145" s="327">
        <f t="shared" si="783"/>
        <v>-4.5084844610068876E-2</v>
      </c>
      <c r="EH145" s="1152">
        <f t="shared" si="783"/>
        <v>-1.3638644846151694E-2</v>
      </c>
      <c r="EI145" s="1176">
        <f t="shared" si="783"/>
        <v>-2.4469448963678919E-2</v>
      </c>
      <c r="EJ145" s="327">
        <f t="shared" ref="EJ145" si="784">EJ150*1000/EJ23/EE129</f>
        <v>-1.9096795447519164E-2</v>
      </c>
      <c r="EK145" s="57">
        <f t="shared" ref="EK145:EQ145" si="785">EK150*1000/EK23/EF129</f>
        <v>-2.556626584025622E-2</v>
      </c>
      <c r="EL145" s="327">
        <f t="shared" si="785"/>
        <v>2.1385979958982951E-2</v>
      </c>
      <c r="EM145" s="1152">
        <f t="shared" si="785"/>
        <v>-7.843936722798003E-3</v>
      </c>
      <c r="EN145" s="1176">
        <f t="shared" si="785"/>
        <v>-4.4394766231173867E-2</v>
      </c>
      <c r="EO145" s="327">
        <f t="shared" si="785"/>
        <v>-2.916438531734691E-2</v>
      </c>
      <c r="EP145" s="57">
        <f t="shared" si="785"/>
        <v>-1.5236746934857753E-2</v>
      </c>
      <c r="EQ145" s="1152">
        <f t="shared" si="785"/>
        <v>-3.7437372614912409E-2</v>
      </c>
      <c r="ER145" s="1176">
        <f t="shared" ref="ER145" si="786">ER150*1000/ER23/EM129</f>
        <v>-3.5562567044231566E-2</v>
      </c>
      <c r="ES145" s="1176">
        <f t="shared" ref="ES145:EU145" si="787">ES150*1000/ES23/EN129</f>
        <v>-1.9039557683226137E-2</v>
      </c>
      <c r="ET145" s="1176">
        <f t="shared" si="787"/>
        <v>-1.1487255831388741E-2</v>
      </c>
      <c r="EU145" s="1675">
        <f t="shared" si="787"/>
        <v>-2.5726717860671641E-2</v>
      </c>
      <c r="EV145" s="1176"/>
      <c r="EW145" s="1176"/>
      <c r="EX145" s="1176"/>
      <c r="EY145" s="1176"/>
      <c r="EZ145" s="1675">
        <f>EZ150*1000/EZ23/EU129</f>
        <v>-1.2541953485212422E-2</v>
      </c>
      <c r="FA145" s="1176"/>
      <c r="FB145" s="1176"/>
      <c r="FC145" s="1176"/>
      <c r="FD145" s="1176"/>
      <c r="FE145" s="1675">
        <f>FE150*1000/FE23/EZ129</f>
        <v>-1.0404294626767997E-2</v>
      </c>
      <c r="FG145" s="489"/>
      <c r="FH145" s="784"/>
      <c r="FI145" s="784"/>
      <c r="FJ145" s="784"/>
      <c r="FK145" s="847"/>
      <c r="FL145" s="1350"/>
      <c r="FM145" s="56">
        <f t="shared" si="775"/>
        <v>-3.7437372614912409E-2</v>
      </c>
      <c r="FN145" s="1446">
        <f t="shared" si="776"/>
        <v>2.1385979958982951E-2</v>
      </c>
      <c r="FO145" s="1845">
        <v>-4.0045272248132112E-2</v>
      </c>
      <c r="FP145" s="1757">
        <f>+(FM145-FN145)*10000</f>
        <v>-588.23352573895352</v>
      </c>
      <c r="FQ145" s="1546">
        <f>+(FM145-FO145)*10000</f>
        <v>26.078996332197026</v>
      </c>
      <c r="FR145" s="1614"/>
      <c r="FS145" s="1620"/>
      <c r="FT145" s="711"/>
      <c r="FU145" s="711"/>
      <c r="FV145" s="711"/>
      <c r="FW145" s="711"/>
      <c r="FX145" s="711"/>
      <c r="FY145" s="711"/>
      <c r="FZ145" s="489"/>
      <c r="GA145"/>
      <c r="GB145"/>
      <c r="GC145"/>
      <c r="GD145"/>
      <c r="GE145"/>
      <c r="GF145"/>
      <c r="GG145"/>
      <c r="GH145"/>
      <c r="GI145"/>
      <c r="GJ145"/>
      <c r="GK145"/>
      <c r="GL145"/>
      <c r="GM145"/>
      <c r="GN145"/>
      <c r="GO145"/>
      <c r="GP145"/>
      <c r="GQ145"/>
      <c r="GR145"/>
      <c r="GS145"/>
      <c r="GT145"/>
      <c r="GU145"/>
      <c r="GV145"/>
      <c r="GW145"/>
      <c r="GX145"/>
      <c r="GY145"/>
      <c r="GZ145"/>
      <c r="HA145"/>
      <c r="HB145"/>
      <c r="HC145"/>
      <c r="HD145"/>
      <c r="HE145"/>
      <c r="HF145"/>
      <c r="HG145"/>
      <c r="HH145"/>
      <c r="HI145"/>
      <c r="HJ145"/>
      <c r="HK145"/>
      <c r="HL145"/>
      <c r="HM145"/>
      <c r="HN145"/>
      <c r="HO145"/>
      <c r="HP145"/>
      <c r="HQ145"/>
      <c r="HR145"/>
      <c r="HS145"/>
      <c r="HT145"/>
      <c r="HU145"/>
      <c r="HV145"/>
      <c r="HW145"/>
      <c r="HX145"/>
      <c r="HY145"/>
      <c r="HZ145"/>
      <c r="IA145"/>
      <c r="IB145"/>
      <c r="IC145"/>
      <c r="ID145"/>
      <c r="IE145"/>
      <c r="IF145"/>
      <c r="IG145"/>
      <c r="IH145"/>
      <c r="II145"/>
      <c r="IJ145"/>
      <c r="IK145"/>
      <c r="IL145"/>
      <c r="IM145"/>
      <c r="IN145"/>
      <c r="IO145"/>
      <c r="IP145"/>
      <c r="IQ145"/>
      <c r="IR145"/>
      <c r="IS145"/>
      <c r="IT145"/>
      <c r="IU145"/>
      <c r="IV145"/>
      <c r="IW145"/>
      <c r="IX145"/>
    </row>
    <row r="146" spans="1:258" s="331" customFormat="1" ht="12.75" customHeight="1" x14ac:dyDescent="0.2">
      <c r="A146" s="587" t="s">
        <v>432</v>
      </c>
      <c r="B146" s="328"/>
      <c r="C146" s="328"/>
      <c r="D146" s="328"/>
      <c r="E146" s="328"/>
      <c r="F146" s="329"/>
      <c r="G146" s="328"/>
      <c r="H146" s="328"/>
      <c r="I146" s="328"/>
      <c r="J146" s="328"/>
      <c r="K146" s="329"/>
      <c r="L146" s="328"/>
      <c r="M146" s="328"/>
      <c r="N146" s="328"/>
      <c r="O146" s="328"/>
      <c r="P146" s="329"/>
      <c r="Q146" s="328"/>
      <c r="R146" s="328"/>
      <c r="S146" s="328"/>
      <c r="T146" s="328"/>
      <c r="U146" s="329"/>
      <c r="V146" s="328"/>
      <c r="W146" s="328"/>
      <c r="X146" s="328"/>
      <c r="Y146" s="328"/>
      <c r="Z146" s="329"/>
      <c r="AA146" s="328"/>
      <c r="AB146" s="328"/>
      <c r="AC146" s="328"/>
      <c r="AD146" s="328"/>
      <c r="AE146" s="329"/>
      <c r="AF146" s="328"/>
      <c r="AG146" s="328"/>
      <c r="AH146" s="328"/>
      <c r="AI146" s="328"/>
      <c r="AJ146" s="329"/>
      <c r="AK146" s="328"/>
      <c r="AL146" s="328"/>
      <c r="AM146" s="328"/>
      <c r="AN146" s="328"/>
      <c r="AO146" s="329"/>
      <c r="AP146" s="328"/>
      <c r="AQ146" s="328"/>
      <c r="AR146" s="328"/>
      <c r="AS146" s="328"/>
      <c r="AT146" s="329"/>
      <c r="AU146" s="328"/>
      <c r="AV146" s="328"/>
      <c r="AW146" s="328"/>
      <c r="AX146" s="328"/>
      <c r="AY146" s="329"/>
      <c r="AZ146" s="328"/>
      <c r="BA146" s="328"/>
      <c r="BB146" s="328"/>
      <c r="BC146" s="328"/>
      <c r="BD146" s="329"/>
      <c r="BE146" s="328"/>
      <c r="BF146" s="328"/>
      <c r="BG146" s="328"/>
      <c r="BH146" s="328"/>
      <c r="BI146" s="329"/>
      <c r="BJ146" s="328">
        <f t="shared" ref="BJ146:CO146" si="788">BJ129/BJ148*100</f>
        <v>3.3037037037037038</v>
      </c>
      <c r="BK146" s="328">
        <f t="shared" si="788"/>
        <v>3.4435946462715106</v>
      </c>
      <c r="BL146" s="328">
        <f t="shared" si="788"/>
        <v>3.4654832347140037</v>
      </c>
      <c r="BM146" s="328">
        <f t="shared" si="788"/>
        <v>3.0396551724137932</v>
      </c>
      <c r="BN146" s="329">
        <f t="shared" si="788"/>
        <v>3.3046511627906976</v>
      </c>
      <c r="BO146" s="328">
        <f t="shared" si="788"/>
        <v>3.4402390438247012</v>
      </c>
      <c r="BP146" s="328">
        <f t="shared" si="788"/>
        <v>3.571709233791748</v>
      </c>
      <c r="BQ146" s="328">
        <f t="shared" si="788"/>
        <v>3.6105476673427992</v>
      </c>
      <c r="BR146" s="328">
        <f t="shared" si="788"/>
        <v>3.1649122807017545</v>
      </c>
      <c r="BS146" s="329">
        <f t="shared" si="788"/>
        <v>3.43731918997107</v>
      </c>
      <c r="BT146" s="328">
        <f t="shared" si="788"/>
        <v>3.1842105263157894</v>
      </c>
      <c r="BU146" s="328">
        <f t="shared" si="788"/>
        <v>3.2170940170940172</v>
      </c>
      <c r="BV146" s="328">
        <f t="shared" si="788"/>
        <v>3.1269296740994856</v>
      </c>
      <c r="BW146" s="328">
        <f t="shared" si="788"/>
        <v>3.0932896890343704</v>
      </c>
      <c r="BX146" s="329">
        <f t="shared" si="788"/>
        <v>3.1545338441890163</v>
      </c>
      <c r="BY146" s="328">
        <f t="shared" si="788"/>
        <v>3.1547420965058235</v>
      </c>
      <c r="BZ146" s="328">
        <f t="shared" si="788"/>
        <v>3.1851851851851847</v>
      </c>
      <c r="CA146" s="328">
        <f t="shared" si="788"/>
        <v>3.2781569965870312</v>
      </c>
      <c r="CB146" s="328">
        <f t="shared" si="788"/>
        <v>3.1811487481590581</v>
      </c>
      <c r="CC146" s="329">
        <f t="shared" si="788"/>
        <v>3.1986328910333732</v>
      </c>
      <c r="CD146" s="328">
        <f t="shared" si="788"/>
        <v>3.3456591639871385</v>
      </c>
      <c r="CE146" s="328">
        <f t="shared" si="788"/>
        <v>3.4015999999999997</v>
      </c>
      <c r="CF146" s="328">
        <f t="shared" si="788"/>
        <v>3.4563426688632619</v>
      </c>
      <c r="CG146" s="328">
        <f t="shared" si="788"/>
        <v>3.5354838709677421</v>
      </c>
      <c r="CH146" s="329">
        <f t="shared" si="788"/>
        <v>3.4345189975747772</v>
      </c>
      <c r="CI146" s="328">
        <f t="shared" si="788"/>
        <v>3.577223088923557</v>
      </c>
      <c r="CJ146" s="328">
        <f t="shared" si="788"/>
        <v>3.7288401253918497</v>
      </c>
      <c r="CK146" s="328">
        <f t="shared" si="788"/>
        <v>3.7603174603174603</v>
      </c>
      <c r="CL146" s="328">
        <f t="shared" si="788"/>
        <v>3.7564102564102564</v>
      </c>
      <c r="CM146" s="329">
        <f t="shared" si="788"/>
        <v>3.7050927753651806</v>
      </c>
      <c r="CN146" s="328">
        <f t="shared" si="788"/>
        <v>3.8174474959612277</v>
      </c>
      <c r="CO146" s="328">
        <f t="shared" si="788"/>
        <v>3.8564742589703584</v>
      </c>
      <c r="CP146" s="328">
        <f t="shared" ref="CP146:DV146" si="789">CP129/CP148*100</f>
        <v>3.977198697068403</v>
      </c>
      <c r="CQ146" s="328">
        <f t="shared" si="789"/>
        <v>4.1231527093596059</v>
      </c>
      <c r="CR146" s="329">
        <f t="shared" si="789"/>
        <v>3.9420056383407167</v>
      </c>
      <c r="CS146" s="328">
        <f t="shared" si="789"/>
        <v>4.2328548644338122</v>
      </c>
      <c r="CT146" s="328">
        <f t="shared" si="789"/>
        <v>4.4364770070148092</v>
      </c>
      <c r="CU146" s="328">
        <f t="shared" si="789"/>
        <v>4.6602409638554212</v>
      </c>
      <c r="CV146" s="328">
        <f t="shared" si="789"/>
        <v>4.4887737478411056</v>
      </c>
      <c r="CW146" s="329">
        <f t="shared" si="789"/>
        <v>4.4534412955465594</v>
      </c>
      <c r="CX146" s="328">
        <f t="shared" si="789"/>
        <v>4.1129943502824862</v>
      </c>
      <c r="CY146" s="328">
        <f t="shared" si="789"/>
        <v>4.0903846153846155</v>
      </c>
      <c r="CZ146" s="328">
        <f t="shared" si="789"/>
        <v>4.1842105263157903</v>
      </c>
      <c r="DA146" s="328">
        <f t="shared" si="789"/>
        <v>4.3972868217054266</v>
      </c>
      <c r="DB146" s="329">
        <f t="shared" si="789"/>
        <v>4.1953311100524058</v>
      </c>
      <c r="DC146" s="328">
        <f t="shared" si="789"/>
        <v>4.4696132596685079</v>
      </c>
      <c r="DD146" s="328">
        <f t="shared" si="789"/>
        <v>4.4587628865979383</v>
      </c>
      <c r="DE146" s="328">
        <f t="shared" si="789"/>
        <v>4.5440140845070429</v>
      </c>
      <c r="DF146" s="328">
        <f t="shared" si="789"/>
        <v>4.5979899497487438</v>
      </c>
      <c r="DG146" s="329">
        <f t="shared" si="789"/>
        <v>4.5187772925764191</v>
      </c>
      <c r="DH146" s="328">
        <f t="shared" si="789"/>
        <v>4.7682926829268295</v>
      </c>
      <c r="DI146" s="328">
        <f t="shared" si="789"/>
        <v>5.0618556701030926</v>
      </c>
      <c r="DJ146" s="328">
        <f t="shared" si="789"/>
        <v>5.1349911190053277</v>
      </c>
      <c r="DK146" s="328">
        <f t="shared" si="789"/>
        <v>5.0952380952380967</v>
      </c>
      <c r="DL146" s="329">
        <f t="shared" si="789"/>
        <v>5.0144356955380571</v>
      </c>
      <c r="DM146" s="328">
        <f t="shared" si="789"/>
        <v>5.098591549295775</v>
      </c>
      <c r="DN146" s="328">
        <f t="shared" si="789"/>
        <v>5.1381118881118892</v>
      </c>
      <c r="DO146" s="328">
        <f t="shared" si="789"/>
        <v>5.0341726618705032</v>
      </c>
      <c r="DP146" s="328">
        <f t="shared" si="789"/>
        <v>5.2156133828996278</v>
      </c>
      <c r="DQ146" s="329">
        <f t="shared" si="789"/>
        <v>5.1208594449418072</v>
      </c>
      <c r="DR146" s="328">
        <f t="shared" si="789"/>
        <v>5.1113105924596063</v>
      </c>
      <c r="DS146" s="328">
        <f>DS129/DS148*100</f>
        <v>5.1864111498257843</v>
      </c>
      <c r="DT146" s="328">
        <f t="shared" si="789"/>
        <v>5.0976909413854354</v>
      </c>
      <c r="DU146" s="328">
        <f>DU129/DU148*100</f>
        <v>5.0603448275862064</v>
      </c>
      <c r="DV146" s="329">
        <f t="shared" si="789"/>
        <v>5.1138962181178549</v>
      </c>
      <c r="DW146" s="328">
        <f>DW129/DW148*100</f>
        <v>4.9913043478260866</v>
      </c>
      <c r="DX146" s="328">
        <f>DX129/DX148*100</f>
        <v>4.9826771653543318</v>
      </c>
      <c r="DY146" s="328">
        <f>DY129/DY148*100</f>
        <v>5.0702614379084974</v>
      </c>
      <c r="DZ146" s="328">
        <f>DZ129/DZ148*100</f>
        <v>4.9754513468077812</v>
      </c>
      <c r="EA146" s="329">
        <f>EA129/EA148*100</f>
        <v>5.0047628257435726</v>
      </c>
      <c r="EB146" s="328">
        <f t="shared" ref="EB146:EF146" si="790">EB129/EB148*100</f>
        <v>4.8756388415672909</v>
      </c>
      <c r="EC146" s="328">
        <f t="shared" si="790"/>
        <v>4.8966666666666683</v>
      </c>
      <c r="ED146" s="328">
        <f t="shared" si="790"/>
        <v>5.0317460317460316</v>
      </c>
      <c r="EE146" s="328">
        <f t="shared" si="790"/>
        <v>4.9629629629629646</v>
      </c>
      <c r="EF146" s="329">
        <f t="shared" si="790"/>
        <v>4.9402789886660852</v>
      </c>
      <c r="EG146" s="328">
        <f>EG129/EG148*100</f>
        <v>4.95703125</v>
      </c>
      <c r="EH146" s="1683">
        <f>EH129/EH148*100</f>
        <v>5.0328185328185331</v>
      </c>
      <c r="EI146" s="1683">
        <f>EI129/EI148*100</f>
        <v>5.2138613861386141</v>
      </c>
      <c r="EJ146" s="328">
        <f t="shared" ref="EJ146:EK146" si="791">EJ129/EJ148*100</f>
        <v>5.1918294849023088</v>
      </c>
      <c r="EK146" s="329">
        <f t="shared" si="791"/>
        <v>5.100571973307912</v>
      </c>
      <c r="EL146" s="328">
        <f>EL129/EL148*100</f>
        <v>5.2242990654205599</v>
      </c>
      <c r="EM146" s="1683">
        <f>EM129/EM148*100</f>
        <v>5.2377358490566035</v>
      </c>
      <c r="EN146" s="1683">
        <f>EN129/EN148*100</f>
        <v>5.1417475728155342</v>
      </c>
      <c r="EO146" s="328">
        <f t="shared" ref="EO146:EP146" si="792">EO129/EO148*100</f>
        <v>5.4662698412698409</v>
      </c>
      <c r="EP146" s="329">
        <f t="shared" si="792"/>
        <v>5.2658349328214973</v>
      </c>
      <c r="EQ146" s="1683">
        <f>EQ129/EQ148*100</f>
        <v>5.596311475409836</v>
      </c>
      <c r="ER146" s="328">
        <f t="shared" ref="ER146" si="793">ER129/ER148*100</f>
        <v>5.4392267787002497</v>
      </c>
      <c r="ES146" s="328">
        <f t="shared" ref="ES146:EU146" si="794">ES129/ES148*100</f>
        <v>5.3898189593921702</v>
      </c>
      <c r="ET146" s="328">
        <f t="shared" si="794"/>
        <v>5.6720920165169471</v>
      </c>
      <c r="EU146" s="329">
        <f t="shared" si="794"/>
        <v>5.5239351302178381</v>
      </c>
      <c r="EV146" s="330"/>
      <c r="EW146" s="330"/>
      <c r="EX146" s="330"/>
      <c r="EY146" s="330"/>
      <c r="EZ146" s="329">
        <f>EZ129/EZ148*100</f>
        <v>5.651523422020797</v>
      </c>
      <c r="FA146" s="330"/>
      <c r="FB146" s="330"/>
      <c r="FC146" s="330"/>
      <c r="FD146" s="330"/>
      <c r="FE146" s="329">
        <f>FE129/FE148*100</f>
        <v>5.7715143316559869</v>
      </c>
      <c r="FG146" s="473"/>
      <c r="FH146" s="787"/>
      <c r="FI146" s="787"/>
      <c r="FJ146" s="787"/>
      <c r="FK146" s="1313"/>
      <c r="FL146" s="1355"/>
      <c r="FM146" s="1553">
        <f t="shared" si="775"/>
        <v>5.596311475409836</v>
      </c>
      <c r="FN146" s="1447">
        <f t="shared" si="776"/>
        <v>5.2242990654205599</v>
      </c>
      <c r="FO146" s="1846">
        <v>5.4099268769286395</v>
      </c>
      <c r="FP146" s="1733">
        <f>+FM146/FN146-1</f>
        <v>7.1208099944280123E-2</v>
      </c>
      <c r="FQ146" s="1519">
        <f>+FM146/FO146-1</f>
        <v>3.445233229973188E-2</v>
      </c>
      <c r="FR146" s="1623"/>
      <c r="FS146" s="1615"/>
      <c r="FT146" s="440"/>
      <c r="FU146" s="440"/>
      <c r="FV146" s="440"/>
      <c r="FW146" s="440"/>
      <c r="FX146" s="440"/>
      <c r="FY146" s="440"/>
      <c r="FZ146" s="473"/>
      <c r="GA146"/>
      <c r="GB146"/>
      <c r="GC146"/>
      <c r="GD146"/>
      <c r="GE146"/>
      <c r="GF146"/>
      <c r="GG146"/>
      <c r="GH146"/>
      <c r="GI146"/>
      <c r="GJ146"/>
      <c r="GK146"/>
      <c r="GL146"/>
      <c r="GM146"/>
      <c r="GN146"/>
      <c r="GO146"/>
      <c r="GP146"/>
      <c r="GQ146"/>
      <c r="GR146"/>
      <c r="GS146"/>
      <c r="GT146"/>
      <c r="GU146"/>
      <c r="GV146"/>
      <c r="GW146"/>
      <c r="GX146"/>
      <c r="GY146"/>
      <c r="GZ146"/>
      <c r="HA146"/>
      <c r="HB146"/>
      <c r="HC146"/>
      <c r="HD146"/>
      <c r="HE146"/>
      <c r="HF146"/>
      <c r="HG146"/>
      <c r="HH146"/>
      <c r="HI146"/>
      <c r="HJ146"/>
      <c r="HK146"/>
      <c r="HL146"/>
      <c r="HM146"/>
      <c r="HN146"/>
      <c r="HO146"/>
      <c r="HP146"/>
      <c r="HQ146"/>
      <c r="HR146"/>
      <c r="HS146"/>
      <c r="HT146"/>
      <c r="HU146"/>
      <c r="HV146"/>
      <c r="HW146"/>
      <c r="HX146"/>
      <c r="HY146"/>
      <c r="HZ146"/>
      <c r="IA146"/>
      <c r="IB146"/>
      <c r="IC146"/>
      <c r="ID146"/>
      <c r="IE146"/>
      <c r="IF146"/>
      <c r="IG146"/>
      <c r="IH146"/>
      <c r="II146"/>
      <c r="IJ146"/>
      <c r="IK146"/>
      <c r="IL146"/>
      <c r="IM146"/>
      <c r="IN146"/>
      <c r="IO146"/>
      <c r="IP146"/>
      <c r="IQ146"/>
      <c r="IR146"/>
      <c r="IS146"/>
      <c r="IT146"/>
      <c r="IU146"/>
      <c r="IV146"/>
      <c r="IW146"/>
      <c r="IX146"/>
    </row>
    <row r="147" spans="1:258" s="42" customFormat="1" x14ac:dyDescent="0.2">
      <c r="A147" s="557" t="s">
        <v>465</v>
      </c>
      <c r="B147" s="5"/>
      <c r="C147" s="5"/>
      <c r="D147" s="5"/>
      <c r="E147" s="5"/>
      <c r="F147" s="4"/>
      <c r="G147" s="5"/>
      <c r="H147" s="5"/>
      <c r="I147" s="5"/>
      <c r="J147" s="5"/>
      <c r="K147" s="4"/>
      <c r="L147" s="5"/>
      <c r="M147" s="5"/>
      <c r="N147" s="5"/>
      <c r="O147" s="5"/>
      <c r="P147" s="4"/>
      <c r="Q147" s="5"/>
      <c r="R147" s="5"/>
      <c r="S147" s="5"/>
      <c r="T147" s="5"/>
      <c r="U147" s="4"/>
      <c r="V147" s="5"/>
      <c r="W147" s="5"/>
      <c r="X147" s="5"/>
      <c r="Y147" s="5"/>
      <c r="Z147" s="4"/>
      <c r="AA147" s="5"/>
      <c r="AB147" s="5"/>
      <c r="AC147" s="5"/>
      <c r="AD147" s="5"/>
      <c r="AE147" s="4"/>
      <c r="AF147" s="5"/>
      <c r="AG147" s="5"/>
      <c r="AH147" s="5"/>
      <c r="AI147" s="5"/>
      <c r="AJ147" s="4"/>
      <c r="AK147" s="5"/>
      <c r="AL147" s="5"/>
      <c r="AM147" s="5"/>
      <c r="AN147" s="5"/>
      <c r="AO147" s="4"/>
      <c r="AP147" s="5"/>
      <c r="AQ147" s="5"/>
      <c r="AR147" s="5"/>
      <c r="AS147" s="5"/>
      <c r="AT147" s="4"/>
      <c r="AU147" s="5"/>
      <c r="AV147" s="5"/>
      <c r="AW147" s="5"/>
      <c r="AX147" s="5"/>
      <c r="AY147" s="4"/>
      <c r="AZ147" s="5"/>
      <c r="BA147" s="5"/>
      <c r="BB147" s="5"/>
      <c r="BC147" s="5"/>
      <c r="BD147" s="4"/>
      <c r="BE147" s="5"/>
      <c r="BF147" s="5"/>
      <c r="BG147" s="5"/>
      <c r="BH147" s="5"/>
      <c r="BI147" s="4"/>
      <c r="BJ147" s="5"/>
      <c r="BK147" s="5"/>
      <c r="BL147" s="5"/>
      <c r="BM147" s="5"/>
      <c r="BN147" s="4"/>
      <c r="BO147" s="5">
        <f t="shared" ref="BO147:CE147" si="795">BO146/BJ146-1</f>
        <v>4.1327961695817539E-2</v>
      </c>
      <c r="BP147" s="5">
        <f t="shared" si="795"/>
        <v>3.7203736409263888E-2</v>
      </c>
      <c r="BQ147" s="5">
        <f t="shared" si="795"/>
        <v>4.1859799284461818E-2</v>
      </c>
      <c r="BR147" s="5">
        <f t="shared" si="795"/>
        <v>4.1207670338637259E-2</v>
      </c>
      <c r="BS147" s="4">
        <f t="shared" si="795"/>
        <v>4.0145849181956406E-2</v>
      </c>
      <c r="BT147" s="5">
        <f t="shared" si="795"/>
        <v>-7.4421723097552794E-2</v>
      </c>
      <c r="BU147" s="5">
        <f t="shared" si="795"/>
        <v>-9.9284458360365813E-2</v>
      </c>
      <c r="BV147" s="5">
        <f t="shared" si="795"/>
        <v>-0.13394588239828853</v>
      </c>
      <c r="BW147" s="5">
        <f t="shared" si="795"/>
        <v>-2.2630198032377424E-2</v>
      </c>
      <c r="BX147" s="4">
        <f t="shared" si="795"/>
        <v>-8.226915516229194E-2</v>
      </c>
      <c r="BY147" s="5">
        <f t="shared" si="795"/>
        <v>-9.2545482047826644E-3</v>
      </c>
      <c r="BZ147" s="5">
        <f t="shared" si="795"/>
        <v>-9.9185263903650567E-3</v>
      </c>
      <c r="CA147" s="5">
        <f t="shared" si="795"/>
        <v>4.8362879325419161E-2</v>
      </c>
      <c r="CB147" s="5">
        <f t="shared" si="795"/>
        <v>2.840311382284888E-2</v>
      </c>
      <c r="CC147" s="4">
        <f t="shared" si="795"/>
        <v>1.3979576388312376E-2</v>
      </c>
      <c r="CD147" s="5">
        <f t="shared" si="795"/>
        <v>6.0517488162589839E-2</v>
      </c>
      <c r="CE147" s="5">
        <f t="shared" si="795"/>
        <v>6.7944186046511756E-2</v>
      </c>
      <c r="CF147" s="5">
        <f t="shared" ref="CF147:DN147" si="796">CF146/CA146-1</f>
        <v>5.4355441933300996E-2</v>
      </c>
      <c r="CG147" s="5">
        <f t="shared" si="796"/>
        <v>0.11138590203106302</v>
      </c>
      <c r="CH147" s="4">
        <f t="shared" si="796"/>
        <v>7.3745914138085622E-2</v>
      </c>
      <c r="CI147" s="5">
        <f t="shared" si="796"/>
        <v>6.9213244262591234E-2</v>
      </c>
      <c r="CJ147" s="5">
        <f t="shared" si="796"/>
        <v>9.6201824256776147E-2</v>
      </c>
      <c r="CK147" s="5">
        <f t="shared" si="796"/>
        <v>8.7946948719112683E-2</v>
      </c>
      <c r="CL147" s="5">
        <f t="shared" si="796"/>
        <v>6.2488302451806144E-2</v>
      </c>
      <c r="CM147" s="4">
        <f t="shared" si="796"/>
        <v>7.8780690391133001E-2</v>
      </c>
      <c r="CN147" s="5">
        <f t="shared" si="796"/>
        <v>6.7153879158807994E-2</v>
      </c>
      <c r="CO147" s="5">
        <f t="shared" si="796"/>
        <v>3.4228910140011948E-2</v>
      </c>
      <c r="CP147" s="5">
        <f t="shared" si="796"/>
        <v>5.7676310322116509E-2</v>
      </c>
      <c r="CQ147" s="5">
        <f t="shared" si="796"/>
        <v>9.7631096689587915E-2</v>
      </c>
      <c r="CR147" s="4">
        <f t="shared" si="796"/>
        <v>6.3942491413642388E-2</v>
      </c>
      <c r="CS147" s="5">
        <f t="shared" si="796"/>
        <v>0.10881809610009729</v>
      </c>
      <c r="CT147" s="5">
        <f t="shared" si="796"/>
        <v>0.15039715270893739</v>
      </c>
      <c r="CU147" s="5">
        <f t="shared" si="796"/>
        <v>0.17173953800459829</v>
      </c>
      <c r="CV147" s="5">
        <f t="shared" si="796"/>
        <v>8.8675114470423422E-2</v>
      </c>
      <c r="CW147" s="4">
        <f t="shared" si="796"/>
        <v>0.12973996085432238</v>
      </c>
      <c r="CX147" s="5">
        <f t="shared" si="796"/>
        <v>-2.8316707751650849E-2</v>
      </c>
      <c r="CY147" s="5">
        <f t="shared" si="796"/>
        <v>-7.8010635710038412E-2</v>
      </c>
      <c r="CZ147" s="5">
        <f t="shared" si="796"/>
        <v>-0.10214717248135829</v>
      </c>
      <c r="DA147" s="5">
        <f t="shared" si="796"/>
        <v>-2.0381273656236321E-2</v>
      </c>
      <c r="DB147" s="4">
        <f t="shared" si="796"/>
        <v>-5.79574689245963E-2</v>
      </c>
      <c r="DC147" s="5">
        <f t="shared" si="796"/>
        <v>8.6705421650172809E-2</v>
      </c>
      <c r="DD147" s="5">
        <f t="shared" si="796"/>
        <v>9.0059567950600883E-2</v>
      </c>
      <c r="DE147" s="5">
        <f t="shared" si="796"/>
        <v>8.5990787492248977E-2</v>
      </c>
      <c r="DF147" s="5">
        <f t="shared" si="796"/>
        <v>4.5642491877634139E-2</v>
      </c>
      <c r="DG147" s="4">
        <f t="shared" si="796"/>
        <v>7.7096699650000433E-2</v>
      </c>
      <c r="DH147" s="5">
        <f t="shared" si="796"/>
        <v>6.682444451144165E-2</v>
      </c>
      <c r="DI147" s="5">
        <f t="shared" si="796"/>
        <v>0.1352601156069364</v>
      </c>
      <c r="DJ147" s="5">
        <f t="shared" si="796"/>
        <v>0.13005616257071906</v>
      </c>
      <c r="DK147" s="5">
        <f t="shared" si="796"/>
        <v>0.10814467863648214</v>
      </c>
      <c r="DL147" s="4">
        <f>DL146/DG146-1</f>
        <v>0.10968861062834856</v>
      </c>
      <c r="DM147" s="5">
        <f t="shared" si="796"/>
        <v>6.9269838982745524E-2</v>
      </c>
      <c r="DN147" s="5">
        <f t="shared" si="796"/>
        <v>1.5064874026177844E-2</v>
      </c>
      <c r="DO147" s="5">
        <f>DO146/DJ146-1</f>
        <v>-1.9633618598030478E-2</v>
      </c>
      <c r="DP147" s="5">
        <f>DP146/DK146-1</f>
        <v>2.3625056456936022E-2</v>
      </c>
      <c r="DQ147" s="4">
        <f t="shared" ref="DQ147:DY147" si="797">DQ146/DL146-1</f>
        <v>2.1223474756780325E-2</v>
      </c>
      <c r="DR147" s="5">
        <f t="shared" si="797"/>
        <v>2.494618963071904E-3</v>
      </c>
      <c r="DS147" s="5">
        <f t="shared" si="797"/>
        <v>9.4001965635752693E-3</v>
      </c>
      <c r="DT147" s="5">
        <f t="shared" si="797"/>
        <v>1.261742172572422E-2</v>
      </c>
      <c r="DU147" s="5">
        <f>DU146/DP146-1</f>
        <v>-2.9769951090028779E-2</v>
      </c>
      <c r="DV147" s="4">
        <f t="shared" si="797"/>
        <v>-1.3597769864256426E-3</v>
      </c>
      <c r="DW147" s="5">
        <f>DW146/DR146-1</f>
        <v>-2.3478566301675663E-2</v>
      </c>
      <c r="DX147" s="5">
        <f t="shared" si="797"/>
        <v>-3.9282266404640165E-2</v>
      </c>
      <c r="DY147" s="5">
        <f t="shared" si="797"/>
        <v>-5.3807701942565345E-3</v>
      </c>
      <c r="DZ147" s="5">
        <f>DZ146/DU146-1</f>
        <v>-1.6776224480915314E-2</v>
      </c>
      <c r="EA147" s="4">
        <f>EA146/DV146-1</f>
        <v>-2.1340556733951188E-2</v>
      </c>
      <c r="EB147" s="5">
        <f t="shared" ref="EB147:EI147" si="798">EB146/DW146-1</f>
        <v>-2.3173402821884181E-2</v>
      </c>
      <c r="EC147" s="5">
        <f t="shared" si="798"/>
        <v>-1.7261904761904701E-2</v>
      </c>
      <c r="ED147" s="5">
        <f t="shared" si="798"/>
        <v>-7.5963353436767633E-3</v>
      </c>
      <c r="EE147" s="5">
        <f t="shared" si="798"/>
        <v>-2.5100001938174188E-3</v>
      </c>
      <c r="EF147" s="4">
        <f t="shared" si="798"/>
        <v>-1.2884494095463328E-2</v>
      </c>
      <c r="EG147" s="5">
        <f t="shared" si="798"/>
        <v>1.6693691037735992E-2</v>
      </c>
      <c r="EH147" s="1684">
        <f t="shared" si="798"/>
        <v>2.7805010105894867E-2</v>
      </c>
      <c r="EI147" s="1684">
        <f t="shared" si="798"/>
        <v>3.6193272324077874E-2</v>
      </c>
      <c r="EJ147" s="5">
        <f t="shared" ref="EJ147" si="799">EJ146/EE146-1</f>
        <v>4.6114896211658873E-2</v>
      </c>
      <c r="EK147" s="4">
        <f t="shared" ref="EK147:EQ147" si="800">EK146/EF146-1</f>
        <v>3.2446140189565931E-2</v>
      </c>
      <c r="EL147" s="5">
        <f t="shared" si="800"/>
        <v>5.3916911542681856E-2</v>
      </c>
      <c r="EM147" s="1684">
        <f t="shared" si="800"/>
        <v>4.071621396675118E-2</v>
      </c>
      <c r="EN147" s="1684">
        <f t="shared" si="800"/>
        <v>-1.3831171943849307E-2</v>
      </c>
      <c r="EO147" s="5">
        <f t="shared" si="800"/>
        <v>5.2860048113212654E-2</v>
      </c>
      <c r="EP147" s="4">
        <f t="shared" si="800"/>
        <v>3.2400868055275422E-2</v>
      </c>
      <c r="EQ147" s="1684">
        <f t="shared" si="800"/>
        <v>7.1208099944280123E-2</v>
      </c>
      <c r="ER147" s="5">
        <f t="shared" ref="ER147" si="801">ER146/EM146-1</f>
        <v>3.8469089593347494E-2</v>
      </c>
      <c r="ES147" s="5">
        <f t="shared" ref="ES147:EU147" si="802">ES146/EN146-1</f>
        <v>4.8246512117434914E-2</v>
      </c>
      <c r="ET147" s="5">
        <f t="shared" si="802"/>
        <v>3.7653131152283636E-2</v>
      </c>
      <c r="EU147" s="4">
        <f t="shared" si="802"/>
        <v>4.9014107105337601E-2</v>
      </c>
      <c r="EV147" s="26"/>
      <c r="EW147" s="26"/>
      <c r="EX147" s="26"/>
      <c r="EY147" s="26"/>
      <c r="EZ147" s="9">
        <f>EZ146/EU146-1</f>
        <v>2.30973551997391E-2</v>
      </c>
      <c r="FA147" s="2050"/>
      <c r="FB147" s="2050"/>
      <c r="FC147" s="2050"/>
      <c r="FD147" s="2050"/>
      <c r="FE147" s="9">
        <f>FE146/EZ146-1</f>
        <v>2.1231604414422733E-2</v>
      </c>
      <c r="FG147" s="468"/>
      <c r="FH147" s="779"/>
      <c r="FI147" s="779"/>
      <c r="FJ147" s="779"/>
      <c r="FK147" s="40"/>
      <c r="FL147" s="1349"/>
      <c r="FM147" s="1534">
        <f t="shared" si="775"/>
        <v>7.1208099944280123E-2</v>
      </c>
      <c r="FN147" s="1425">
        <f t="shared" si="776"/>
        <v>5.3916911542681856E-2</v>
      </c>
      <c r="FO147" s="1813">
        <v>3.5531620449668289E-2</v>
      </c>
      <c r="FP147" s="1755"/>
      <c r="FQ147" s="731"/>
      <c r="FR147" s="1619"/>
      <c r="FS147" s="1619"/>
      <c r="FT147" s="433"/>
      <c r="FU147" s="433"/>
      <c r="FV147" s="433"/>
      <c r="FW147" s="433"/>
      <c r="FX147" s="433"/>
      <c r="FY147" s="433"/>
      <c r="FZ147" s="468"/>
      <c r="GA147"/>
      <c r="GB147"/>
      <c r="GC147"/>
      <c r="GD147"/>
      <c r="GE147"/>
      <c r="GF147"/>
      <c r="GG147"/>
      <c r="GH147"/>
      <c r="GI147"/>
      <c r="GJ147"/>
      <c r="GK147"/>
      <c r="GL147"/>
      <c r="GM147"/>
      <c r="GN147"/>
      <c r="GO147"/>
      <c r="GP147"/>
      <c r="GQ147"/>
      <c r="GR147"/>
      <c r="GS147"/>
      <c r="GT147"/>
      <c r="GU147"/>
      <c r="GV147"/>
      <c r="GW147"/>
      <c r="GX147"/>
      <c r="GY147"/>
      <c r="GZ147"/>
      <c r="HA147"/>
      <c r="HB147"/>
      <c r="HC147"/>
      <c r="HD147"/>
      <c r="HE147"/>
      <c r="HF147"/>
      <c r="HG147"/>
      <c r="HH147"/>
      <c r="HI147"/>
      <c r="HJ147"/>
      <c r="HK147"/>
      <c r="HL147"/>
      <c r="HM147"/>
      <c r="HN147"/>
      <c r="HO147"/>
      <c r="HP147"/>
      <c r="HQ147"/>
      <c r="HR147"/>
      <c r="HS147"/>
      <c r="HT147"/>
      <c r="HU147"/>
      <c r="HV147"/>
      <c r="HW147"/>
      <c r="HX147"/>
      <c r="HY147"/>
      <c r="HZ147"/>
      <c r="IA147"/>
      <c r="IB147"/>
      <c r="IC147"/>
      <c r="ID147"/>
      <c r="IE147"/>
      <c r="IF147"/>
      <c r="IG147"/>
      <c r="IH147"/>
      <c r="II147"/>
      <c r="IJ147"/>
      <c r="IK147"/>
      <c r="IL147"/>
      <c r="IM147"/>
      <c r="IN147"/>
      <c r="IO147"/>
      <c r="IP147"/>
      <c r="IQ147"/>
      <c r="IR147"/>
      <c r="IS147"/>
      <c r="IT147"/>
      <c r="IU147"/>
      <c r="IV147"/>
      <c r="IW147"/>
      <c r="IX147"/>
    </row>
    <row r="148" spans="1:258" s="41" customFormat="1" ht="12.75" customHeight="1" x14ac:dyDescent="0.2">
      <c r="A148" s="587" t="s">
        <v>94</v>
      </c>
      <c r="B148" s="23"/>
      <c r="C148" s="23"/>
      <c r="D148" s="23"/>
      <c r="E148" s="23"/>
      <c r="F148" s="24"/>
      <c r="G148" s="23"/>
      <c r="H148" s="23"/>
      <c r="I148" s="23"/>
      <c r="J148" s="23"/>
      <c r="K148" s="24"/>
      <c r="L148" s="23"/>
      <c r="M148" s="23"/>
      <c r="N148" s="23"/>
      <c r="O148" s="23"/>
      <c r="P148" s="24"/>
      <c r="Q148" s="23"/>
      <c r="R148" s="23"/>
      <c r="S148" s="23"/>
      <c r="T148" s="23"/>
      <c r="U148" s="24"/>
      <c r="V148" s="23"/>
      <c r="W148" s="23"/>
      <c r="X148" s="23"/>
      <c r="Y148" s="23"/>
      <c r="Z148" s="24"/>
      <c r="AA148" s="23"/>
      <c r="AB148" s="23"/>
      <c r="AC148" s="23"/>
      <c r="AD148" s="23"/>
      <c r="AE148" s="24"/>
      <c r="AF148" s="23"/>
      <c r="AG148" s="23"/>
      <c r="AH148" s="23"/>
      <c r="AI148" s="23"/>
      <c r="AJ148" s="24"/>
      <c r="AK148" s="23"/>
      <c r="AL148" s="23"/>
      <c r="AM148" s="23"/>
      <c r="AN148" s="23"/>
      <c r="AO148" s="24"/>
      <c r="AP148" s="23"/>
      <c r="AQ148" s="23"/>
      <c r="AR148" s="23"/>
      <c r="AS148" s="23"/>
      <c r="AT148" s="24"/>
      <c r="AU148" s="23"/>
      <c r="AV148" s="23"/>
      <c r="AW148" s="23"/>
      <c r="AX148" s="23"/>
      <c r="AY148" s="24"/>
      <c r="AZ148" s="23"/>
      <c r="BA148" s="23"/>
      <c r="BB148" s="23"/>
      <c r="BC148" s="23"/>
      <c r="BD148" s="24"/>
      <c r="BE148" s="23"/>
      <c r="BF148" s="23"/>
      <c r="BG148" s="23"/>
      <c r="BH148" s="23"/>
      <c r="BI148" s="24"/>
      <c r="BJ148" s="23">
        <f t="shared" ref="BJ148:BX148" si="803">BJ$42</f>
        <v>30456.852791878173</v>
      </c>
      <c r="BK148" s="23">
        <f t="shared" si="803"/>
        <v>29104.062326099054</v>
      </c>
      <c r="BL148" s="23">
        <f t="shared" si="803"/>
        <v>28579.481397970689</v>
      </c>
      <c r="BM148" s="23">
        <f t="shared" si="803"/>
        <v>32694.475760992107</v>
      </c>
      <c r="BN148" s="24">
        <f t="shared" si="803"/>
        <v>30205.113796010115</v>
      </c>
      <c r="BO148" s="23">
        <f t="shared" si="803"/>
        <v>29564.193168433452</v>
      </c>
      <c r="BP148" s="23">
        <f t="shared" si="803"/>
        <v>28121.54696132597</v>
      </c>
      <c r="BQ148" s="23">
        <f t="shared" si="803"/>
        <v>27207.505518763795</v>
      </c>
      <c r="BR148" s="23">
        <f t="shared" si="803"/>
        <v>32185.206098249579</v>
      </c>
      <c r="BS148" s="24">
        <f t="shared" si="803"/>
        <v>29248.342969961926</v>
      </c>
      <c r="BT148" s="23">
        <f t="shared" si="803"/>
        <v>32608.695652173916</v>
      </c>
      <c r="BU148" s="23">
        <f t="shared" si="803"/>
        <v>31672.983216025987</v>
      </c>
      <c r="BV148" s="23">
        <f t="shared" si="803"/>
        <v>32015.376166941238</v>
      </c>
      <c r="BW148" s="23">
        <f t="shared" si="803"/>
        <v>32726.298875200853</v>
      </c>
      <c r="BX148" s="24">
        <f t="shared" si="803"/>
        <v>32253.192365783336</v>
      </c>
      <c r="BY148" s="23">
        <f t="shared" ref="BY148:DL148" si="804">BY$42</f>
        <v>32949.561403508771</v>
      </c>
      <c r="BZ148" s="23">
        <f t="shared" si="804"/>
        <v>32581.322140608605</v>
      </c>
      <c r="CA148" s="23">
        <f t="shared" si="804"/>
        <v>32250.963126031918</v>
      </c>
      <c r="CB148" s="23">
        <f t="shared" si="804"/>
        <v>34241.048915784166</v>
      </c>
      <c r="CC148" s="24">
        <f t="shared" si="804"/>
        <v>33027.88844621514</v>
      </c>
      <c r="CD148" s="23">
        <f t="shared" si="804"/>
        <v>33731.019522776573</v>
      </c>
      <c r="CE148" s="23">
        <f t="shared" si="804"/>
        <v>33440.342429106473</v>
      </c>
      <c r="CF148" s="23">
        <f t="shared" si="804"/>
        <v>33369.983507421661</v>
      </c>
      <c r="CG148" s="23">
        <f t="shared" si="804"/>
        <v>34103.410341034105</v>
      </c>
      <c r="CH148" s="24">
        <f t="shared" si="804"/>
        <v>33659.863945578232</v>
      </c>
      <c r="CI148" s="23">
        <f t="shared" si="804"/>
        <v>35104.052573932095</v>
      </c>
      <c r="CJ148" s="23">
        <f t="shared" si="804"/>
        <v>34117.647058823532</v>
      </c>
      <c r="CK148" s="23">
        <f t="shared" si="804"/>
        <v>34017.278617710581</v>
      </c>
      <c r="CL148" s="23">
        <f t="shared" si="804"/>
        <v>34475.138121546959</v>
      </c>
      <c r="CM148" s="24">
        <f t="shared" si="804"/>
        <v>34425.115520521875</v>
      </c>
      <c r="CN148" s="23">
        <f t="shared" si="804"/>
        <v>35270.655270655268</v>
      </c>
      <c r="CO148" s="23">
        <f t="shared" si="804"/>
        <v>35084.838533114395</v>
      </c>
      <c r="CP148" s="23">
        <f t="shared" si="804"/>
        <v>34630.56965595037</v>
      </c>
      <c r="CQ148" s="23">
        <f t="shared" si="804"/>
        <v>34582.623509369674</v>
      </c>
      <c r="CR148" s="24">
        <f t="shared" si="804"/>
        <v>34893.198426082068</v>
      </c>
      <c r="CS148" s="23">
        <f t="shared" si="804"/>
        <v>36517.181129877688</v>
      </c>
      <c r="CT148" s="23">
        <f t="shared" si="804"/>
        <v>36140.845070422532</v>
      </c>
      <c r="CU148" s="23">
        <f t="shared" si="804"/>
        <v>35941.108545034644</v>
      </c>
      <c r="CV148" s="23">
        <f t="shared" si="804"/>
        <v>36119.775421085462</v>
      </c>
      <c r="CW148" s="24">
        <f t="shared" si="804"/>
        <v>36179.874029588398</v>
      </c>
      <c r="CX148" s="23">
        <f t="shared" si="804"/>
        <v>37420.718816067652</v>
      </c>
      <c r="CY148" s="23">
        <f t="shared" si="804"/>
        <v>36853.295535081503</v>
      </c>
      <c r="CZ148" s="23">
        <f t="shared" si="804"/>
        <v>36313.993174061427</v>
      </c>
      <c r="DA148" s="23">
        <f>DA$42</f>
        <v>34445.927903871823</v>
      </c>
      <c r="DB148" s="24">
        <f t="shared" si="804"/>
        <v>36233.385119972379</v>
      </c>
      <c r="DC148" s="23">
        <f t="shared" si="804"/>
        <v>36541.049798115753</v>
      </c>
      <c r="DD148" s="23">
        <f>DD$42</f>
        <v>36420.525657071339</v>
      </c>
      <c r="DE148" s="23">
        <f>DE$42</f>
        <v>35301.429459291481</v>
      </c>
      <c r="DF148" s="23">
        <f>DF$42</f>
        <v>35304.553518628032</v>
      </c>
      <c r="DG148" s="24">
        <f t="shared" si="804"/>
        <v>35870.92731829574</v>
      </c>
      <c r="DH148" s="23">
        <f>DH$42</f>
        <v>36055.276381909549</v>
      </c>
      <c r="DI148" s="23">
        <f>DI$42</f>
        <v>35358.444714459292</v>
      </c>
      <c r="DJ148" s="23">
        <f>DJ$42</f>
        <v>34774.552192711555</v>
      </c>
      <c r="DK148" s="23">
        <f>DK$42</f>
        <v>35021.618282890668</v>
      </c>
      <c r="DL148" s="24">
        <f t="shared" si="804"/>
        <v>35299.567634342187</v>
      </c>
      <c r="DM148" s="23">
        <f t="shared" ref="DM148:DZ148" si="805">DM$42</f>
        <v>35455.680399500619</v>
      </c>
      <c r="DN148" s="23">
        <f t="shared" si="805"/>
        <v>34878.048780487799</v>
      </c>
      <c r="DO148" s="23">
        <f t="shared" si="805"/>
        <v>34750</v>
      </c>
      <c r="DP148" s="23">
        <f t="shared" si="805"/>
        <v>34333.120612635612</v>
      </c>
      <c r="DQ148" s="24">
        <f t="shared" si="805"/>
        <v>34857.232017475428</v>
      </c>
      <c r="DR148" s="23">
        <f t="shared" si="805"/>
        <v>35351.836454915298</v>
      </c>
      <c r="DS148" s="23">
        <f t="shared" si="805"/>
        <v>34661.835748792269</v>
      </c>
      <c r="DT148" s="23">
        <f t="shared" si="805"/>
        <v>34266.5855143031</v>
      </c>
      <c r="DU148" s="23">
        <f t="shared" si="805"/>
        <v>34897.71359807461</v>
      </c>
      <c r="DV148" s="24">
        <f t="shared" si="805"/>
        <v>34788.781306461009</v>
      </c>
      <c r="DW148" s="23">
        <f>DW$42</f>
        <v>35493.827160493827</v>
      </c>
      <c r="DX148" s="23">
        <f t="shared" si="805"/>
        <v>35654.126895002802</v>
      </c>
      <c r="DY148" s="23">
        <f t="shared" si="805"/>
        <v>34812.286689419794</v>
      </c>
      <c r="DZ148" s="23">
        <f t="shared" si="805"/>
        <v>35449.658554171961</v>
      </c>
      <c r="EA148" s="24">
        <f t="shared" ref="EA148:EQ148" si="806">EA$42</f>
        <v>35350.733560893263</v>
      </c>
      <c r="EB148" s="23">
        <f t="shared" si="806"/>
        <v>35905.874005248254</v>
      </c>
      <c r="EC148" s="23">
        <f t="shared" si="806"/>
        <v>34110.289937464462</v>
      </c>
      <c r="ED148" s="23">
        <f t="shared" si="806"/>
        <v>33119.15887850467</v>
      </c>
      <c r="EE148" s="23">
        <f t="shared" si="806"/>
        <v>32628.398791540782</v>
      </c>
      <c r="EF148" s="24">
        <f t="shared" si="806"/>
        <v>33930.74518956992</v>
      </c>
      <c r="EG148" s="23">
        <f t="shared" si="806"/>
        <v>33010.96067053514</v>
      </c>
      <c r="EH148" s="1685">
        <f t="shared" si="806"/>
        <v>32476.489028213167</v>
      </c>
      <c r="EI148" s="1685">
        <f t="shared" si="806"/>
        <v>32083.862770012707</v>
      </c>
      <c r="EJ148" s="23">
        <f t="shared" si="806"/>
        <v>32524.552281917971</v>
      </c>
      <c r="EK148" s="24">
        <f t="shared" si="806"/>
        <v>32522.089598511862</v>
      </c>
      <c r="EL148" s="23">
        <f t="shared" si="806"/>
        <v>33605.527638190957</v>
      </c>
      <c r="EM148" s="1685">
        <f t="shared" si="806"/>
        <v>32716.04938271605</v>
      </c>
      <c r="EN148" s="1685">
        <f t="shared" si="806"/>
        <v>32451.165721487079</v>
      </c>
      <c r="EO148" s="23">
        <f t="shared" si="806"/>
        <v>31480.324797001875</v>
      </c>
      <c r="EP148" s="24">
        <f t="shared" si="806"/>
        <v>32562.5</v>
      </c>
      <c r="EQ148" s="1685">
        <f t="shared" si="806"/>
        <v>31853.785900783289</v>
      </c>
      <c r="ER148" s="23">
        <f t="shared" ref="ER148:EU148" si="807">ER$42</f>
        <v>31989.796154832617</v>
      </c>
      <c r="ES148" s="23">
        <f t="shared" si="807"/>
        <v>32012.801292405242</v>
      </c>
      <c r="ET148" s="23">
        <f t="shared" si="807"/>
        <v>31280.037712031743</v>
      </c>
      <c r="EU148" s="24">
        <f t="shared" si="807"/>
        <v>31779.21678597571</v>
      </c>
      <c r="EV148" s="25"/>
      <c r="EW148" s="25"/>
      <c r="EX148" s="25"/>
      <c r="EY148" s="25"/>
      <c r="EZ148" s="24">
        <f>EZ$42</f>
        <v>31375.650985962613</v>
      </c>
      <c r="FA148" s="25"/>
      <c r="FB148" s="25"/>
      <c r="FC148" s="25"/>
      <c r="FD148" s="25"/>
      <c r="FE148" s="24">
        <f>FE$42</f>
        <v>31043.850141461629</v>
      </c>
      <c r="FG148" s="468"/>
      <c r="FH148" s="788"/>
      <c r="FI148" s="788"/>
      <c r="FJ148" s="788"/>
      <c r="FK148" s="1314"/>
      <c r="FL148" s="1356"/>
      <c r="FM148" s="1554">
        <f t="shared" si="775"/>
        <v>31853.785900783289</v>
      </c>
      <c r="FN148" s="1448">
        <f t="shared" si="776"/>
        <v>33605.527638190957</v>
      </c>
      <c r="FO148" s="1847">
        <v>32728.340669989997</v>
      </c>
      <c r="FP148" s="1733">
        <f>+FM148/FN148-1</f>
        <v>-5.212659525145813E-2</v>
      </c>
      <c r="FQ148" s="1519">
        <f>+FM148/FO148-1</f>
        <v>-2.6721634867624799E-2</v>
      </c>
      <c r="FR148" s="1623"/>
      <c r="FS148" s="1623"/>
      <c r="FT148" s="435"/>
      <c r="FU148" s="435"/>
      <c r="FV148" s="435"/>
      <c r="FW148" s="435"/>
      <c r="FX148" s="435"/>
      <c r="FY148" s="435"/>
      <c r="FZ148" s="468"/>
      <c r="GA148"/>
      <c r="GB148"/>
      <c r="GC148"/>
      <c r="GD148"/>
      <c r="GE148"/>
      <c r="GF148"/>
      <c r="GG148"/>
      <c r="GH148"/>
      <c r="GI148"/>
      <c r="GJ148"/>
      <c r="GK148"/>
      <c r="GL148"/>
      <c r="GM148"/>
      <c r="GN148"/>
      <c r="GO148"/>
      <c r="GP148"/>
      <c r="GQ148"/>
      <c r="GR148"/>
      <c r="GS148"/>
      <c r="GT148"/>
      <c r="GU148"/>
      <c r="GV148"/>
      <c r="GW148"/>
      <c r="GX148"/>
      <c r="GY148"/>
      <c r="GZ148"/>
      <c r="HA148"/>
      <c r="HB148"/>
      <c r="HC148"/>
      <c r="HD148"/>
      <c r="HE148"/>
      <c r="HF148"/>
      <c r="HG148"/>
      <c r="HH148"/>
      <c r="HI148"/>
      <c r="HJ148"/>
      <c r="HK148"/>
      <c r="HL148"/>
      <c r="HM148"/>
      <c r="HN148"/>
      <c r="HO148"/>
      <c r="HP148"/>
      <c r="HQ148"/>
      <c r="HR148"/>
      <c r="HS148"/>
      <c r="HT148"/>
      <c r="HU148"/>
      <c r="HV148"/>
      <c r="HW148"/>
      <c r="HX148"/>
      <c r="HY148"/>
      <c r="HZ148"/>
      <c r="IA148"/>
      <c r="IB148"/>
      <c r="IC148"/>
      <c r="ID148"/>
      <c r="IE148"/>
      <c r="IF148"/>
      <c r="IG148"/>
      <c r="IH148"/>
      <c r="II148"/>
      <c r="IJ148"/>
      <c r="IK148"/>
      <c r="IL148"/>
      <c r="IM148"/>
      <c r="IN148"/>
      <c r="IO148"/>
      <c r="IP148"/>
      <c r="IQ148"/>
      <c r="IR148"/>
      <c r="IS148"/>
      <c r="IT148"/>
      <c r="IU148"/>
      <c r="IV148"/>
      <c r="IW148"/>
      <c r="IX148"/>
    </row>
    <row r="149" spans="1:258" s="42" customFormat="1" x14ac:dyDescent="0.2">
      <c r="A149" s="557" t="s">
        <v>465</v>
      </c>
      <c r="B149" s="5"/>
      <c r="C149" s="5"/>
      <c r="D149" s="5"/>
      <c r="E149" s="5"/>
      <c r="F149" s="4"/>
      <c r="G149" s="5"/>
      <c r="H149" s="5"/>
      <c r="I149" s="5"/>
      <c r="J149" s="5"/>
      <c r="K149" s="4"/>
      <c r="L149" s="5"/>
      <c r="M149" s="5"/>
      <c r="N149" s="5"/>
      <c r="O149" s="5"/>
      <c r="P149" s="4"/>
      <c r="Q149" s="5"/>
      <c r="R149" s="5"/>
      <c r="S149" s="5"/>
      <c r="T149" s="5"/>
      <c r="U149" s="4"/>
      <c r="V149" s="5"/>
      <c r="W149" s="5"/>
      <c r="X149" s="5"/>
      <c r="Y149" s="5"/>
      <c r="Z149" s="4"/>
      <c r="AA149" s="5"/>
      <c r="AB149" s="5"/>
      <c r="AC149" s="5"/>
      <c r="AD149" s="5"/>
      <c r="AE149" s="4"/>
      <c r="AF149" s="5"/>
      <c r="AG149" s="5"/>
      <c r="AH149" s="5"/>
      <c r="AI149" s="5"/>
      <c r="AJ149" s="4"/>
      <c r="AK149" s="5"/>
      <c r="AL149" s="5"/>
      <c r="AM149" s="5"/>
      <c r="AN149" s="5"/>
      <c r="AO149" s="4"/>
      <c r="AP149" s="5"/>
      <c r="AQ149" s="5"/>
      <c r="AR149" s="5"/>
      <c r="AS149" s="5"/>
      <c r="AT149" s="4"/>
      <c r="AU149" s="5"/>
      <c r="AV149" s="5"/>
      <c r="AW149" s="5"/>
      <c r="AX149" s="5"/>
      <c r="AY149" s="4"/>
      <c r="AZ149" s="5"/>
      <c r="BA149" s="5"/>
      <c r="BB149" s="5"/>
      <c r="BC149" s="5"/>
      <c r="BD149" s="4"/>
      <c r="BE149" s="5"/>
      <c r="BF149" s="5"/>
      <c r="BG149" s="5"/>
      <c r="BH149" s="5"/>
      <c r="BI149" s="4"/>
      <c r="BJ149" s="5"/>
      <c r="BK149" s="5"/>
      <c r="BL149" s="5"/>
      <c r="BM149" s="5"/>
      <c r="BN149" s="4"/>
      <c r="BO149" s="5">
        <f t="shared" ref="BO149:CC149" si="808">BO148/BJ148-1</f>
        <v>-2.9308990969768356E-2</v>
      </c>
      <c r="BP149" s="5">
        <f t="shared" si="808"/>
        <v>-3.3758701921553169E-2</v>
      </c>
      <c r="BQ149" s="5">
        <f t="shared" si="808"/>
        <v>-4.8005625438126809E-2</v>
      </c>
      <c r="BR149" s="5">
        <f t="shared" si="808"/>
        <v>-1.557662727078013E-2</v>
      </c>
      <c r="BS149" s="4">
        <f t="shared" si="808"/>
        <v>-3.1675789487493056E-2</v>
      </c>
      <c r="BT149" s="5">
        <f t="shared" si="808"/>
        <v>0.10297938680062368</v>
      </c>
      <c r="BU149" s="5">
        <f t="shared" si="808"/>
        <v>0.12628879412587479</v>
      </c>
      <c r="BV149" s="5">
        <f t="shared" si="808"/>
        <v>0.17671118893504101</v>
      </c>
      <c r="BW149" s="5">
        <f t="shared" si="808"/>
        <v>1.6811847508433564E-2</v>
      </c>
      <c r="BX149" s="4">
        <f t="shared" si="808"/>
        <v>0.10273571391402903</v>
      </c>
      <c r="BY149" s="5">
        <f t="shared" si="808"/>
        <v>1.0453216374268992E-2</v>
      </c>
      <c r="BZ149" s="5">
        <f t="shared" si="808"/>
        <v>2.8678666559044386E-2</v>
      </c>
      <c r="CA149" s="5">
        <f t="shared" si="808"/>
        <v>7.3585566467260222E-3</v>
      </c>
      <c r="CB149" s="5">
        <f t="shared" si="808"/>
        <v>4.6285406313732347E-2</v>
      </c>
      <c r="CC149" s="4">
        <f t="shared" si="808"/>
        <v>2.4019206274094707E-2</v>
      </c>
      <c r="CD149" s="5">
        <f t="shared" ref="CD149:DN149" si="809">CD148/BY148-1</f>
        <v>2.3716798827694952E-2</v>
      </c>
      <c r="CE149" s="5">
        <f t="shared" si="809"/>
        <v>2.6365421415087464E-2</v>
      </c>
      <c r="CF149" s="5">
        <f t="shared" si="809"/>
        <v>3.4697270187460161E-2</v>
      </c>
      <c r="CG149" s="5">
        <f t="shared" si="809"/>
        <v>-4.0196950475607229E-3</v>
      </c>
      <c r="CH149" s="4">
        <f t="shared" si="809"/>
        <v>1.9134601971065868E-2</v>
      </c>
      <c r="CI149" s="5">
        <f t="shared" si="809"/>
        <v>4.0705352834899955E-2</v>
      </c>
      <c r="CJ149" s="5">
        <f t="shared" si="809"/>
        <v>2.0254117647058978E-2</v>
      </c>
      <c r="CK149" s="5">
        <f t="shared" si="809"/>
        <v>1.9397525627933287E-2</v>
      </c>
      <c r="CL149" s="5">
        <f t="shared" si="809"/>
        <v>1.0900017822135011E-2</v>
      </c>
      <c r="CM149" s="4">
        <f t="shared" si="809"/>
        <v>2.2734838625043441E-2</v>
      </c>
      <c r="CN149" s="5">
        <f t="shared" si="809"/>
        <v>4.7459676164822717E-3</v>
      </c>
      <c r="CO149" s="5">
        <f t="shared" si="809"/>
        <v>2.8348715625766685E-2</v>
      </c>
      <c r="CP149" s="5">
        <f t="shared" si="809"/>
        <v>1.8028809568572779E-2</v>
      </c>
      <c r="CQ149" s="5">
        <f t="shared" si="809"/>
        <v>3.1177652557550228E-3</v>
      </c>
      <c r="CR149" s="4">
        <f t="shared" si="809"/>
        <v>1.3597133908850756E-2</v>
      </c>
      <c r="CS149" s="5">
        <f t="shared" si="809"/>
        <v>3.5341726703317367E-2</v>
      </c>
      <c r="CT149" s="5">
        <f t="shared" si="809"/>
        <v>3.0098657467425349E-2</v>
      </c>
      <c r="CU149" s="5">
        <f t="shared" si="809"/>
        <v>3.7843411243426939E-2</v>
      </c>
      <c r="CV149" s="5">
        <f t="shared" si="809"/>
        <v>4.4448678432372768E-2</v>
      </c>
      <c r="CW149" s="4">
        <f t="shared" si="809"/>
        <v>3.6874682217281629E-2</v>
      </c>
      <c r="CX149" s="5">
        <f t="shared" si="809"/>
        <v>2.4742810321980446E-2</v>
      </c>
      <c r="CY149" s="5">
        <f t="shared" si="809"/>
        <v>1.9713165623845175E-2</v>
      </c>
      <c r="CZ149" s="5">
        <f t="shared" si="809"/>
        <v>1.0374878353002215E-2</v>
      </c>
      <c r="DA149" s="5">
        <f t="shared" si="809"/>
        <v>-4.634158152147605E-2</v>
      </c>
      <c r="DB149" s="4">
        <f t="shared" si="809"/>
        <v>1.4790292066859667E-3</v>
      </c>
      <c r="DC149" s="5">
        <f t="shared" si="809"/>
        <v>-2.3507539293290858E-2</v>
      </c>
      <c r="DD149" s="5">
        <f t="shared" si="809"/>
        <v>-1.1743044189852725E-2</v>
      </c>
      <c r="DE149" s="5">
        <f t="shared" si="809"/>
        <v>-2.7883568461240071E-2</v>
      </c>
      <c r="DF149" s="5">
        <f t="shared" si="809"/>
        <v>2.4926766877999995E-2</v>
      </c>
      <c r="DG149" s="4">
        <f>DG148/DB148-1</f>
        <v>-1.0003420891437687E-2</v>
      </c>
      <c r="DH149" s="5">
        <f t="shared" si="809"/>
        <v>-1.3293909695808792E-2</v>
      </c>
      <c r="DI149" s="5">
        <f t="shared" si="809"/>
        <v>-2.9161603888213983E-2</v>
      </c>
      <c r="DJ149" s="5">
        <f t="shared" si="809"/>
        <v>-1.4925097217026395E-2</v>
      </c>
      <c r="DK149" s="5">
        <f t="shared" si="809"/>
        <v>-8.014128704051604E-3</v>
      </c>
      <c r="DL149" s="4">
        <f>DL148/DG148-1</f>
        <v>-1.5928210577988988E-2</v>
      </c>
      <c r="DM149" s="5">
        <f t="shared" si="809"/>
        <v>-1.6629909477265059E-2</v>
      </c>
      <c r="DN149" s="5">
        <f t="shared" si="809"/>
        <v>-1.358645545218351E-2</v>
      </c>
      <c r="DO149" s="5">
        <f t="shared" ref="DO149:DU149" si="810">DO148/DJ148-1</f>
        <v>-7.060390763766744E-4</v>
      </c>
      <c r="DP149" s="5">
        <f t="shared" si="810"/>
        <v>-1.9659219191233479E-2</v>
      </c>
      <c r="DQ149" s="4">
        <f t="shared" si="810"/>
        <v>-1.2530907501439814E-2</v>
      </c>
      <c r="DR149" s="5">
        <f t="shared" si="810"/>
        <v>-2.9288380145366943E-3</v>
      </c>
      <c r="DS149" s="5">
        <f t="shared" si="810"/>
        <v>-6.1991148947669883E-3</v>
      </c>
      <c r="DT149" s="5">
        <f t="shared" si="810"/>
        <v>-1.3911208221493498E-2</v>
      </c>
      <c r="DU149" s="5">
        <f t="shared" si="810"/>
        <v>1.6444557772916646E-2</v>
      </c>
      <c r="DV149" s="4">
        <f t="shared" ref="DV149:ED149" si="811">DV148/DQ148-1</f>
        <v>-1.9637448831307802E-3</v>
      </c>
      <c r="DW149" s="5">
        <f t="shared" si="811"/>
        <v>4.0165015404394211E-3</v>
      </c>
      <c r="DX149" s="5">
        <f t="shared" si="811"/>
        <v>2.8627772441195853E-2</v>
      </c>
      <c r="DY149" s="5">
        <f t="shared" si="811"/>
        <v>1.592516928448906E-2</v>
      </c>
      <c r="DZ149" s="5">
        <f t="shared" si="811"/>
        <v>1.5816077879893031E-2</v>
      </c>
      <c r="EA149" s="4">
        <f t="shared" si="811"/>
        <v>1.6153260715916051E-2</v>
      </c>
      <c r="EB149" s="5">
        <f t="shared" si="811"/>
        <v>1.1608971973950721E-2</v>
      </c>
      <c r="EC149" s="5">
        <f t="shared" si="811"/>
        <v>-4.3300371990169784E-2</v>
      </c>
      <c r="ED149" s="5">
        <f t="shared" si="811"/>
        <v>-4.863592633315017E-2</v>
      </c>
      <c r="EE149" s="5">
        <f t="shared" ref="EE149:EQ149" si="812">EE148/DZ148-1</f>
        <v>-7.9584962950204674E-2</v>
      </c>
      <c r="EF149" s="4">
        <f t="shared" si="812"/>
        <v>-4.0168568747727673E-2</v>
      </c>
      <c r="EG149" s="5">
        <f t="shared" si="812"/>
        <v>-8.0625062470000675E-2</v>
      </c>
      <c r="EH149" s="1684">
        <f t="shared" si="812"/>
        <v>-4.7897596656217178E-2</v>
      </c>
      <c r="EI149" s="1684">
        <f t="shared" si="812"/>
        <v>-3.1259734351644419E-2</v>
      </c>
      <c r="EJ149" s="5">
        <f t="shared" si="812"/>
        <v>-3.1827032115879783E-3</v>
      </c>
      <c r="EK149" s="4">
        <f t="shared" si="812"/>
        <v>-4.1515610199185038E-2</v>
      </c>
      <c r="EL149" s="5">
        <f t="shared" si="812"/>
        <v>1.8011198570979881E-2</v>
      </c>
      <c r="EM149" s="1684">
        <f t="shared" si="812"/>
        <v>7.3764240430906902E-3</v>
      </c>
      <c r="EN149" s="1684">
        <f t="shared" si="812"/>
        <v>1.1448214764765652E-2</v>
      </c>
      <c r="EO149" s="5">
        <f t="shared" si="812"/>
        <v>-3.2105821960741743E-2</v>
      </c>
      <c r="EP149" s="4">
        <f t="shared" si="812"/>
        <v>1.2425524308865565E-3</v>
      </c>
      <c r="EQ149" s="1684">
        <f t="shared" si="812"/>
        <v>-5.212659525145813E-2</v>
      </c>
      <c r="ER149" s="5">
        <f t="shared" ref="ER149:ET149" si="813">ER$43</f>
        <v>-2.2198683569267241E-2</v>
      </c>
      <c r="ES149" s="5">
        <f t="shared" si="813"/>
        <v>-1.3508433960250033E-2</v>
      </c>
      <c r="ET149" s="5">
        <f t="shared" si="813"/>
        <v>-6.3622941078805839E-3</v>
      </c>
      <c r="EU149" s="4">
        <f>EU148/EP148-1</f>
        <v>-2.4054762810726715E-2</v>
      </c>
      <c r="EV149" s="26"/>
      <c r="EW149" s="26"/>
      <c r="EX149" s="26"/>
      <c r="EY149" s="26"/>
      <c r="EZ149" s="4">
        <f>EZ$43</f>
        <v>-1.269904802031474E-2</v>
      </c>
      <c r="FA149" s="26"/>
      <c r="FB149" s="26"/>
      <c r="FC149" s="26"/>
      <c r="FD149" s="26"/>
      <c r="FE149" s="4">
        <f>FE$43</f>
        <v>-1.0575106302955439E-2</v>
      </c>
      <c r="FG149" s="468"/>
      <c r="FH149" s="779"/>
      <c r="FI149" s="779"/>
      <c r="FJ149" s="779"/>
      <c r="FK149" s="40"/>
      <c r="FL149" s="1349"/>
      <c r="FM149" s="1534">
        <f t="shared" si="775"/>
        <v>-5.212659525145813E-2</v>
      </c>
      <c r="FN149" s="1425">
        <f t="shared" si="776"/>
        <v>1.8011198570979881E-2</v>
      </c>
      <c r="FO149" s="1813">
        <v>-2.610246081076506E-2</v>
      </c>
      <c r="FP149" s="1511"/>
      <c r="FQ149" s="1511"/>
      <c r="FR149" s="1619"/>
      <c r="FS149" s="1619"/>
      <c r="FT149" s="433"/>
      <c r="FU149" s="433"/>
      <c r="FV149" s="433"/>
      <c r="FW149" s="433"/>
      <c r="FX149" s="433"/>
      <c r="FY149" s="433"/>
      <c r="FZ149" s="468"/>
      <c r="GA149"/>
      <c r="GB149"/>
      <c r="GC149"/>
      <c r="GD149"/>
      <c r="GE149"/>
      <c r="GF149"/>
      <c r="GG149"/>
      <c r="GH149"/>
      <c r="GI149"/>
      <c r="GJ149"/>
      <c r="GK149"/>
      <c r="GL149"/>
      <c r="GM149"/>
      <c r="GN149"/>
      <c r="GO149"/>
      <c r="GP149"/>
      <c r="GQ149"/>
      <c r="GR149"/>
      <c r="GS149"/>
      <c r="GT149"/>
      <c r="GU149"/>
      <c r="GV149"/>
      <c r="GW149"/>
      <c r="GX149"/>
      <c r="GY149"/>
      <c r="GZ149"/>
      <c r="HA149"/>
      <c r="HB149"/>
      <c r="HC149"/>
      <c r="HD149"/>
      <c r="HE149"/>
      <c r="HF149"/>
      <c r="HG149"/>
      <c r="HH149"/>
      <c r="HI149"/>
      <c r="HJ149"/>
      <c r="HK149"/>
      <c r="HL149"/>
      <c r="HM149"/>
      <c r="HN149"/>
      <c r="HO149"/>
      <c r="HP149"/>
      <c r="HQ149"/>
      <c r="HR149"/>
      <c r="HS149"/>
      <c r="HT149"/>
      <c r="HU149"/>
      <c r="HV149"/>
      <c r="HW149"/>
      <c r="HX149"/>
      <c r="HY149"/>
      <c r="HZ149"/>
      <c r="IA149"/>
      <c r="IB149"/>
      <c r="IC149"/>
      <c r="ID149"/>
      <c r="IE149"/>
      <c r="IF149"/>
      <c r="IG149"/>
      <c r="IH149"/>
      <c r="II149"/>
      <c r="IJ149"/>
      <c r="IK149"/>
      <c r="IL149"/>
      <c r="IM149"/>
      <c r="IN149"/>
      <c r="IO149"/>
      <c r="IP149"/>
      <c r="IQ149"/>
      <c r="IR149"/>
      <c r="IS149"/>
      <c r="IT149"/>
      <c r="IU149"/>
      <c r="IV149"/>
      <c r="IW149"/>
      <c r="IX149"/>
    </row>
    <row r="150" spans="1:258" s="181" customFormat="1" x14ac:dyDescent="0.2">
      <c r="A150" s="588" t="s">
        <v>24</v>
      </c>
      <c r="B150" s="180"/>
      <c r="C150" s="180"/>
      <c r="D150" s="180"/>
      <c r="E150" s="180"/>
      <c r="F150" s="179"/>
      <c r="G150" s="180"/>
      <c r="H150" s="180"/>
      <c r="I150" s="180"/>
      <c r="J150" s="180"/>
      <c r="K150" s="179"/>
      <c r="L150" s="180"/>
      <c r="M150" s="180"/>
      <c r="N150" s="180"/>
      <c r="O150" s="180"/>
      <c r="P150" s="179"/>
      <c r="Q150" s="180"/>
      <c r="R150" s="180"/>
      <c r="S150" s="180"/>
      <c r="T150" s="180"/>
      <c r="U150" s="179"/>
      <c r="V150" s="180"/>
      <c r="W150" s="180"/>
      <c r="X150" s="180"/>
      <c r="Y150" s="180"/>
      <c r="Z150" s="179"/>
      <c r="AA150" s="180"/>
      <c r="AB150" s="180"/>
      <c r="AC150" s="180"/>
      <c r="AD150" s="180"/>
      <c r="AE150" s="179"/>
      <c r="AF150" s="180"/>
      <c r="AG150" s="180"/>
      <c r="AH150" s="180"/>
      <c r="AI150" s="180"/>
      <c r="AJ150" s="179"/>
      <c r="AK150" s="180"/>
      <c r="AL150" s="180"/>
      <c r="AM150" s="180"/>
      <c r="AN150" s="180"/>
      <c r="AO150" s="179"/>
      <c r="AP150" s="180"/>
      <c r="AQ150" s="180"/>
      <c r="AR150" s="180"/>
      <c r="AS150" s="180"/>
      <c r="AT150" s="179"/>
      <c r="AU150" s="180"/>
      <c r="AV150" s="180"/>
      <c r="AW150" s="180"/>
      <c r="AX150" s="180"/>
      <c r="AY150" s="179"/>
      <c r="AZ150" s="180"/>
      <c r="BA150" s="180"/>
      <c r="BB150" s="180"/>
      <c r="BC150" s="180"/>
      <c r="BD150" s="179"/>
      <c r="BE150" s="180"/>
      <c r="BF150" s="180"/>
      <c r="BG150" s="180"/>
      <c r="BH150" s="180"/>
      <c r="BI150" s="179"/>
      <c r="BJ150" s="180"/>
      <c r="BK150" s="180"/>
      <c r="BL150" s="180"/>
      <c r="BM150" s="180"/>
      <c r="BN150" s="179"/>
      <c r="BO150" s="180">
        <f>SUM(BO151:BO152)</f>
        <v>-25.112040242427042</v>
      </c>
      <c r="BP150" s="180">
        <f>SUM(BP151:BP152)</f>
        <v>-42.474404405526997</v>
      </c>
      <c r="BQ150" s="180">
        <f>SUM(BQ151:BQ152)</f>
        <v>-71.094622729713421</v>
      </c>
      <c r="BR150" s="180">
        <f>SUM(BR151:BR152)</f>
        <v>-3.5943818051296681</v>
      </c>
      <c r="BS150" s="179">
        <f>SUM(BO150:BR150)</f>
        <v>-142.27544918279713</v>
      </c>
      <c r="BT150" s="180">
        <f>SUM(BT151:BT152)</f>
        <v>179.46186323106787</v>
      </c>
      <c r="BU150" s="180">
        <f>SUM(BU151:BU152)</f>
        <v>227.24533293730315</v>
      </c>
      <c r="BV150" s="180">
        <f>SUM(BV151:BV152)</f>
        <v>318.54207862694551</v>
      </c>
      <c r="BW150" s="180">
        <f>SUM(BW151:BW152)</f>
        <v>31.743878472472122</v>
      </c>
      <c r="BX150" s="179">
        <f>SUM(BT150:BW150)</f>
        <v>756.99315326778867</v>
      </c>
      <c r="BY150" s="180">
        <f>SUM(BY151:BY152)</f>
        <v>15.538210335621322</v>
      </c>
      <c r="BZ150" s="180">
        <f>SUM(BZ151:BZ152)</f>
        <v>52.626179038350436</v>
      </c>
      <c r="CA150" s="180">
        <f>SUM(CA151:CA152)</f>
        <v>15.144833546341523</v>
      </c>
      <c r="CB150" s="180">
        <f>SUM(CB151:CB152)</f>
        <v>88.372156181284197</v>
      </c>
      <c r="CC150" s="179">
        <f>SUM(BY150:CB150)</f>
        <v>171.68137910159749</v>
      </c>
      <c r="CD150" s="180">
        <f>SUM(CD151:CD152)</f>
        <v>46.823664726565681</v>
      </c>
      <c r="CE150" s="180">
        <f>SUM(CE151:CE152)</f>
        <v>53.42200677133718</v>
      </c>
      <c r="CF150" s="180">
        <f>SUM(CF151:CF152)</f>
        <v>62.606428128274686</v>
      </c>
      <c r="CG150" s="180">
        <f>SUM(CG151:CG152)</f>
        <v>-10.576195948074446</v>
      </c>
      <c r="CH150" s="179">
        <f>SUM(CD150:CG150)</f>
        <v>152.27590367810311</v>
      </c>
      <c r="CI150" s="180">
        <f>SUM(CI151:CI152)</f>
        <v>90.940298568066297</v>
      </c>
      <c r="CJ150" s="180">
        <f>SUM(CJ151:CJ152)</f>
        <v>44.839519531678214</v>
      </c>
      <c r="CK150" s="180">
        <f>SUM(CK151:CK152)</f>
        <v>33.218269592365189</v>
      </c>
      <c r="CL150" s="180">
        <f>SUM(CL151:CL152)</f>
        <v>14.341182519249831</v>
      </c>
      <c r="CM150" s="179">
        <f>SUM(CI150:CL150)</f>
        <v>183.33927021135955</v>
      </c>
      <c r="CN150" s="180">
        <f>SUM(CN151:CN152)</f>
        <v>-2.6241282222787259</v>
      </c>
      <c r="CO150" s="180">
        <f>SUM(CO151:CO152)</f>
        <v>60.040051662217408</v>
      </c>
      <c r="CP150" s="180">
        <f>SUM(CP151:CP152)</f>
        <v>41.786481535913495</v>
      </c>
      <c r="CQ150" s="180">
        <f>SUM(CQ151:CQ152)</f>
        <v>43.673101627500834</v>
      </c>
      <c r="CR150" s="179">
        <f>SUM(CN150:CQ150)</f>
        <v>142.87550660335302</v>
      </c>
      <c r="CS150" s="180">
        <f>SUM(CS151:CS152)</f>
        <v>24.898142303716917</v>
      </c>
      <c r="CT150" s="180">
        <f>SUM(CT151:CT152)</f>
        <v>76.214348966578399</v>
      </c>
      <c r="CU150" s="180">
        <f>SUM(CU151:CU152)</f>
        <v>76.016289953993848</v>
      </c>
      <c r="CV150" s="180">
        <f>SUM(CV151:CV152)</f>
        <v>39.414247018739516</v>
      </c>
      <c r="CW150" s="179">
        <f>SUM(CS150:CV150)</f>
        <v>216.54302824302869</v>
      </c>
      <c r="CX150" s="180">
        <f>SUM(CX151:CX152)</f>
        <v>32.054927198602343</v>
      </c>
      <c r="CY150" s="180">
        <f>SUM(CY151:CY152)</f>
        <v>13.314030422535204</v>
      </c>
      <c r="CZ150" s="180">
        <f>SUM(CZ151:CZ152)</f>
        <v>-17.379211893764463</v>
      </c>
      <c r="DA150" s="180">
        <f>SUM(DA151:DA152)</f>
        <v>-87.226694669300741</v>
      </c>
      <c r="DB150" s="179">
        <f>SUM(CX150:DA150)</f>
        <v>-59.236948941927658</v>
      </c>
      <c r="DC150" s="180">
        <f>SUM(DC151:DC152)</f>
        <v>-13.166253166518047</v>
      </c>
      <c r="DD150" s="180">
        <f>SUM(DD151:DD152)</f>
        <v>-50.469518072289233</v>
      </c>
      <c r="DE150" s="180">
        <f>SUM(DE151:DE152)</f>
        <v>-64.068823394720411</v>
      </c>
      <c r="DF150" s="180">
        <f>SUM(DF151:DF152)</f>
        <v>10.558834046181801</v>
      </c>
      <c r="DG150" s="179">
        <f>SUM(DC150:DF150)</f>
        <v>-117.14576058734589</v>
      </c>
      <c r="DH150" s="180">
        <f>SUM(DH151:DH152)</f>
        <v>-102.26431883172802</v>
      </c>
      <c r="DI150" s="180">
        <f>SUM(DI151:DI152)</f>
        <v>-64.038649561952667</v>
      </c>
      <c r="DJ150" s="180">
        <f>SUM(DJ151:DJ152)</f>
        <v>-36.841931634555323</v>
      </c>
      <c r="DK150" s="180">
        <f>SUM(DK151:DK152)</f>
        <v>-47.012859254878677</v>
      </c>
      <c r="DL150" s="179">
        <f>SUM(DH150:DK150)</f>
        <v>-250.15775928311467</v>
      </c>
      <c r="DM150" s="180">
        <f>SUM(DM151:DM152)</f>
        <v>-102.16455150753795</v>
      </c>
      <c r="DN150" s="180">
        <f>SUM(DN151:DN152)</f>
        <v>-56.092680437423951</v>
      </c>
      <c r="DO150" s="180">
        <f>SUM(DO151:DO152)</f>
        <v>-70.684350833848043</v>
      </c>
      <c r="DP150" s="180">
        <f>SUM(DP151:DP152)</f>
        <v>-49.675484243473562</v>
      </c>
      <c r="DQ150" s="179">
        <f>SUM(DM150:DP150)</f>
        <v>-278.61706702228355</v>
      </c>
      <c r="DR150" s="180">
        <f>SUM(DR151:DR152)</f>
        <v>-8.4819148900985475</v>
      </c>
      <c r="DS150" s="180">
        <f>SUM(DS151:DS152)</f>
        <v>-57.35865365853671</v>
      </c>
      <c r="DT150" s="180">
        <f>SUM(DT151:DT152)</f>
        <v>-41.798356250000126</v>
      </c>
      <c r="DU150" s="180">
        <f>SUM(DU151:DU152)</f>
        <v>-91.080707083599506</v>
      </c>
      <c r="DV150" s="179">
        <f>SUM(DR150:DU150)</f>
        <v>-198.71963188223489</v>
      </c>
      <c r="DW150" s="180">
        <f>SUM(DW151:DW152)</f>
        <v>-70.565020114368778</v>
      </c>
      <c r="DX150" s="180">
        <f>SUM(DX151:DX152)</f>
        <v>-35.132885265700438</v>
      </c>
      <c r="DY150" s="180">
        <f>SUM(DY151:DY152)</f>
        <v>-2.7647641535167082</v>
      </c>
      <c r="DZ150" s="180">
        <f>SUM(DZ151:DZ152)</f>
        <v>-17.909243599511477</v>
      </c>
      <c r="EA150" s="179">
        <f>SUM(DW150:DZ150)</f>
        <v>-126.37191313309739</v>
      </c>
      <c r="EB150" s="180">
        <f>SUM(EB151:EB152)</f>
        <v>-3.446359259259161</v>
      </c>
      <c r="EC150" s="180">
        <f>SUM(EC151:EC152)</f>
        <v>-112.65841100505328</v>
      </c>
      <c r="ED150" s="180">
        <f>SUM(ED151:ED152)</f>
        <v>-133.91727941176484</v>
      </c>
      <c r="EE150" s="180">
        <f>SUM(EE151:EE152)</f>
        <v>-161.51513841055848</v>
      </c>
      <c r="EF150" s="179">
        <f>SUM(EB150:EE150)</f>
        <v>-411.53718808663575</v>
      </c>
      <c r="EG150" s="180">
        <f>SUM(EG151:EG152)</f>
        <v>-122.41634420704327</v>
      </c>
      <c r="EH150" s="1686">
        <f>SUM(EH151:EH152)</f>
        <v>-36.334388857305242</v>
      </c>
      <c r="EI150" s="1686">
        <f>SUM(EI151:EI152)</f>
        <v>-64.184022105241681</v>
      </c>
      <c r="EJ150" s="180">
        <f>SUM(EJ151:EJ152)</f>
        <v>-53.529644607055715</v>
      </c>
      <c r="EK150" s="179">
        <f>SUM(EG150:EJ150)</f>
        <v>-276.46439977664591</v>
      </c>
      <c r="EL150" s="180">
        <f>SUM(EL151:EL152)</f>
        <v>55.712421973146853</v>
      </c>
      <c r="EM150" s="1686">
        <f>SUM(EM151:EM152)</f>
        <v>-20.769662519662521</v>
      </c>
      <c r="EN150" s="1686">
        <f>SUM(EN151:EN152)</f>
        <v>-117.85685052437256</v>
      </c>
      <c r="EO150" s="180">
        <f>SUM(EO151:EO152)</f>
        <v>-78.84531759124819</v>
      </c>
      <c r="EP150" s="179">
        <f>SUM(EL150:EO150)</f>
        <v>-161.75940866213642</v>
      </c>
      <c r="EQ150" s="1686">
        <f>SUM(EQ151:EQ152)</f>
        <v>-100.69383372782539</v>
      </c>
      <c r="ER150" s="180">
        <f t="shared" ref="ER150" si="814">SUM(ER151:ER152)</f>
        <v>-96.623545588285538</v>
      </c>
      <c r="ES150" s="180">
        <f t="shared" ref="ES150:ET150" si="815">SUM(ES151:ES152)</f>
        <v>-50.770333126741654</v>
      </c>
      <c r="ET150" s="180">
        <f t="shared" si="815"/>
        <v>-32.528120267211477</v>
      </c>
      <c r="EU150" s="179">
        <f>SUM(EQ150:ET150)</f>
        <v>-280.61583271006407</v>
      </c>
      <c r="EV150" s="332"/>
      <c r="EW150" s="332"/>
      <c r="EX150" s="332"/>
      <c r="EY150" s="332"/>
      <c r="EZ150" s="179">
        <f>SUM(EZ151:EZ152)</f>
        <v>-141.80963203779339</v>
      </c>
      <c r="FA150" s="332"/>
      <c r="FB150" s="332"/>
      <c r="FC150" s="332"/>
      <c r="FD150" s="332"/>
      <c r="FE150" s="179">
        <f>SUM(FE151:FE152)</f>
        <v>-120.77910409211718</v>
      </c>
      <c r="FG150" s="464"/>
      <c r="FH150" s="789"/>
      <c r="FI150" s="789"/>
      <c r="FJ150" s="789"/>
      <c r="FK150" s="1315"/>
      <c r="FL150" s="1357"/>
      <c r="FM150" s="1555">
        <f t="shared" si="775"/>
        <v>-100.69383372782539</v>
      </c>
      <c r="FN150" s="1449">
        <f t="shared" si="776"/>
        <v>55.712421973146853</v>
      </c>
      <c r="FO150" s="1848">
        <v>-107.95637796608804</v>
      </c>
      <c r="FP150" s="1518"/>
      <c r="FQ150" s="1518"/>
      <c r="FR150" s="1624"/>
      <c r="FS150" s="1624"/>
      <c r="FT150" s="441"/>
      <c r="FU150" s="441"/>
      <c r="FV150" s="441"/>
      <c r="FW150" s="441"/>
      <c r="FX150" s="441"/>
      <c r="FY150" s="441"/>
      <c r="FZ150" s="464"/>
      <c r="GA150"/>
      <c r="GB150"/>
      <c r="GC150"/>
      <c r="GD150"/>
      <c r="GE150"/>
      <c r="GF150"/>
      <c r="GG150"/>
      <c r="GH150"/>
      <c r="GI150"/>
      <c r="GJ150"/>
      <c r="GK150"/>
      <c r="GL150"/>
      <c r="GM150"/>
      <c r="GN150"/>
      <c r="GO150"/>
      <c r="GP150"/>
      <c r="GQ150"/>
      <c r="GR150"/>
      <c r="GS150"/>
      <c r="GT150"/>
      <c r="GU150"/>
      <c r="GV150"/>
      <c r="GW150"/>
      <c r="GX150"/>
      <c r="GY150"/>
      <c r="GZ150"/>
      <c r="HA150"/>
      <c r="HB150"/>
      <c r="HC150"/>
      <c r="HD150"/>
      <c r="HE150"/>
      <c r="HF150"/>
      <c r="HG150"/>
      <c r="HH150"/>
      <c r="HI150"/>
      <c r="HJ150"/>
      <c r="HK150"/>
      <c r="HL150"/>
      <c r="HM150"/>
      <c r="HN150"/>
      <c r="HO150"/>
      <c r="HP150"/>
      <c r="HQ150"/>
      <c r="HR150"/>
      <c r="HS150"/>
      <c r="HT150"/>
      <c r="HU150"/>
      <c r="HV150"/>
      <c r="HW150"/>
      <c r="HX150"/>
      <c r="HY150"/>
      <c r="HZ150"/>
      <c r="IA150"/>
      <c r="IB150"/>
      <c r="IC150"/>
      <c r="ID150"/>
      <c r="IE150"/>
      <c r="IF150"/>
      <c r="IG150"/>
      <c r="IH150"/>
      <c r="II150"/>
      <c r="IJ150"/>
      <c r="IK150"/>
      <c r="IL150"/>
      <c r="IM150"/>
      <c r="IN150"/>
      <c r="IO150"/>
      <c r="IP150"/>
      <c r="IQ150"/>
      <c r="IR150"/>
      <c r="IS150"/>
      <c r="IT150"/>
      <c r="IU150"/>
      <c r="IV150"/>
      <c r="IW150"/>
      <c r="IX150"/>
    </row>
    <row r="151" spans="1:258" s="67" customFormat="1" x14ac:dyDescent="0.2">
      <c r="A151" s="589" t="s">
        <v>36</v>
      </c>
      <c r="B151" s="66"/>
      <c r="C151" s="66"/>
      <c r="D151" s="66"/>
      <c r="E151" s="66"/>
      <c r="F151" s="65"/>
      <c r="G151" s="66"/>
      <c r="H151" s="66"/>
      <c r="I151" s="66"/>
      <c r="J151" s="66"/>
      <c r="K151" s="65"/>
      <c r="L151" s="66"/>
      <c r="M151" s="66"/>
      <c r="N151" s="66"/>
      <c r="O151" s="66"/>
      <c r="P151" s="65"/>
      <c r="Q151" s="66"/>
      <c r="R151" s="66"/>
      <c r="S151" s="66"/>
      <c r="T151" s="66"/>
      <c r="U151" s="65"/>
      <c r="V151" s="66"/>
      <c r="W151" s="66"/>
      <c r="X151" s="66"/>
      <c r="Y151" s="66"/>
      <c r="Z151" s="65"/>
      <c r="AA151" s="66"/>
      <c r="AB151" s="66"/>
      <c r="AC151" s="66"/>
      <c r="AD151" s="66"/>
      <c r="AE151" s="65"/>
      <c r="AF151" s="66"/>
      <c r="AG151" s="66"/>
      <c r="AH151" s="66"/>
      <c r="AI151" s="66"/>
      <c r="AJ151" s="65"/>
      <c r="AK151" s="66"/>
      <c r="AL151" s="66"/>
      <c r="AM151" s="66"/>
      <c r="AN151" s="66"/>
      <c r="AO151" s="65"/>
      <c r="AP151" s="66"/>
      <c r="AQ151" s="66"/>
      <c r="AR151" s="66"/>
      <c r="AS151" s="66"/>
      <c r="AT151" s="65"/>
      <c r="AU151" s="66"/>
      <c r="AV151" s="66"/>
      <c r="AW151" s="66"/>
      <c r="AX151" s="66"/>
      <c r="AY151" s="65"/>
      <c r="AZ151" s="66"/>
      <c r="BA151" s="66"/>
      <c r="BB151" s="66"/>
      <c r="BC151" s="66"/>
      <c r="BD151" s="65"/>
      <c r="BE151" s="66"/>
      <c r="BF151" s="66"/>
      <c r="BG151" s="66"/>
      <c r="BH151" s="66"/>
      <c r="BI151" s="65"/>
      <c r="BJ151" s="66"/>
      <c r="BK151" s="66"/>
      <c r="BL151" s="66"/>
      <c r="BM151" s="66"/>
      <c r="BN151" s="65"/>
      <c r="BO151" s="66">
        <f t="shared" ref="BO151:CT151" si="816">(BO148*BJ146/100-BJ148*BJ146/100)*BJ23/1000</f>
        <v>-52.287239890066672</v>
      </c>
      <c r="BP151" s="66">
        <f t="shared" si="816"/>
        <v>-60.799422160717462</v>
      </c>
      <c r="BQ151" s="66">
        <f t="shared" si="816"/>
        <v>-84.345883894788514</v>
      </c>
      <c r="BR151" s="66">
        <f t="shared" si="816"/>
        <v>-27.461593878385546</v>
      </c>
      <c r="BS151" s="65">
        <f t="shared" si="816"/>
        <v>-225.05648430863866</v>
      </c>
      <c r="BT151" s="66">
        <f t="shared" si="816"/>
        <v>177.84540100467692</v>
      </c>
      <c r="BU151" s="66">
        <f t="shared" si="816"/>
        <v>229.59302772084044</v>
      </c>
      <c r="BV151" s="66">
        <f t="shared" si="816"/>
        <v>314.54591630437329</v>
      </c>
      <c r="BW151" s="66">
        <f t="shared" si="816"/>
        <v>30.328572905213903</v>
      </c>
      <c r="BX151" s="65">
        <f t="shared" si="816"/>
        <v>732.40290449311283</v>
      </c>
      <c r="BY151" s="66">
        <f t="shared" si="816"/>
        <v>18.972587719297859</v>
      </c>
      <c r="BZ151" s="66">
        <f t="shared" si="816"/>
        <v>53.973250464121797</v>
      </c>
      <c r="CA151" s="66">
        <f t="shared" si="816"/>
        <v>13.41464876698176</v>
      </c>
      <c r="CB151" s="66">
        <f t="shared" si="816"/>
        <v>87.479417932954306</v>
      </c>
      <c r="CC151" s="65">
        <f t="shared" si="816"/>
        <v>177.98231849104033</v>
      </c>
      <c r="CD151" s="66">
        <f t="shared" si="816"/>
        <v>44.967050577309678</v>
      </c>
      <c r="CE151" s="66">
        <f t="shared" si="816"/>
        <v>52.150803559043148</v>
      </c>
      <c r="CF151" s="66">
        <f t="shared" si="816"/>
        <v>66.65345603011076</v>
      </c>
      <c r="CG151" s="66">
        <f t="shared" si="816"/>
        <v>-8.6825413027309235</v>
      </c>
      <c r="CH151" s="65">
        <f t="shared" si="816"/>
        <v>152.21575867982958</v>
      </c>
      <c r="CI151" s="66">
        <f t="shared" si="816"/>
        <v>84.707839249427153</v>
      </c>
      <c r="CJ151" s="66">
        <f t="shared" si="816"/>
        <v>43.060254117647446</v>
      </c>
      <c r="CK151" s="66">
        <f t="shared" si="816"/>
        <v>40.696008767403775</v>
      </c>
      <c r="CL151" s="66">
        <f t="shared" si="816"/>
        <v>23.892839066119933</v>
      </c>
      <c r="CM151" s="65">
        <f t="shared" si="816"/>
        <v>193.17792379699404</v>
      </c>
      <c r="CN151" s="66">
        <f t="shared" si="816"/>
        <v>10.882503744594196</v>
      </c>
      <c r="CO151" s="66">
        <f t="shared" si="816"/>
        <v>67.441594473699368</v>
      </c>
      <c r="CP151" s="66">
        <f t="shared" si="816"/>
        <v>42.710249867949486</v>
      </c>
      <c r="CQ151" s="66">
        <f t="shared" si="816"/>
        <v>7.3080417594897611</v>
      </c>
      <c r="CR151" s="65">
        <f t="shared" si="816"/>
        <v>127.60910173456439</v>
      </c>
      <c r="CS151" s="66">
        <f t="shared" si="816"/>
        <v>83.512500199938799</v>
      </c>
      <c r="CT151" s="66">
        <f t="shared" si="816"/>
        <v>74.403881259475583</v>
      </c>
      <c r="CU151" s="66">
        <f t="shared" ref="CU151:DK151" si="817">(CU148*CP146/100-CP148*CP146/100)*CP23/1000</f>
        <v>92.413610256448948</v>
      </c>
      <c r="CV151" s="66">
        <f t="shared" si="817"/>
        <v>111.61063154368797</v>
      </c>
      <c r="CW151" s="65">
        <f t="shared" si="817"/>
        <v>360.92938954275365</v>
      </c>
      <c r="CX151" s="66">
        <f t="shared" si="817"/>
        <v>65.667418594535562</v>
      </c>
      <c r="CY151" s="66">
        <f t="shared" si="817"/>
        <v>56.10366936546334</v>
      </c>
      <c r="CZ151" s="66">
        <f t="shared" si="817"/>
        <v>30.097522102058939</v>
      </c>
      <c r="DA151" s="66">
        <f t="shared" si="817"/>
        <v>-120.44177037431646</v>
      </c>
      <c r="DB151" s="65">
        <f t="shared" si="817"/>
        <v>16.269321273545508</v>
      </c>
      <c r="DC151" s="66">
        <f t="shared" si="817"/>
        <v>-51.340465816547336</v>
      </c>
      <c r="DD151" s="66">
        <f t="shared" si="817"/>
        <v>-24.977454991816547</v>
      </c>
      <c r="DE151" s="66">
        <f t="shared" si="817"/>
        <v>-62.068823394720411</v>
      </c>
      <c r="DF151" s="66">
        <f t="shared" si="817"/>
        <v>56.558834046181801</v>
      </c>
      <c r="DG151" s="65">
        <f t="shared" si="817"/>
        <v>-88.0901243699997</v>
      </c>
      <c r="DH151" s="66">
        <f t="shared" si="817"/>
        <v>-32.264318831728026</v>
      </c>
      <c r="DI151" s="66">
        <f t="shared" si="817"/>
        <v>-75.674362089915334</v>
      </c>
      <c r="DJ151" s="66">
        <f t="shared" si="817"/>
        <v>-38.521675917145487</v>
      </c>
      <c r="DK151" s="66">
        <f t="shared" si="817"/>
        <v>-21.998783292622019</v>
      </c>
      <c r="DL151" s="65">
        <f>SUM(DH151:DK151)</f>
        <v>-168.45914013141089</v>
      </c>
      <c r="DM151" s="66">
        <f>(DM148*DH146/100-DH148*DH146/100)*DH23/1000</f>
        <v>-45.516062239274383</v>
      </c>
      <c r="DN151" s="66">
        <f>(DN148*DI146/100-DI148*DI146/100)*DI23/1000</f>
        <v>-40.025697762132296</v>
      </c>
      <c r="DO151" s="66">
        <f>(DO148*DJ146/100-DJ148*DJ146/100)*DJ23/1000</f>
        <v>-2.0411589698046737</v>
      </c>
      <c r="DP151" s="66">
        <f>(DP148*DK146/100-DK148*DK146/100)*DK23/1000</f>
        <v>-56.79548424347356</v>
      </c>
      <c r="DQ151" s="65">
        <f>SUM(DM151:DP151)</f>
        <v>-144.37840321468491</v>
      </c>
      <c r="DR151" s="66">
        <f>(DR148*DM146/100-DM148*DM146/100)*DM23/1000</f>
        <v>-8.4819148900985475</v>
      </c>
      <c r="DS151" s="66">
        <f>(DS148*DN146/100-DN148*DN146/100)*DN23/1000</f>
        <v>-18.219198675719809</v>
      </c>
      <c r="DT151" s="66">
        <f>(DT148*DO146/100-DO148*DO146/100)*DO23/1000</f>
        <v>-38.93747181196013</v>
      </c>
      <c r="DU151" s="66">
        <f>(DU148*DP146/100-DP148*DP146/100)*DP23/1000</f>
        <v>46.143429110803638</v>
      </c>
      <c r="DV151" s="65">
        <f>SUM(DR151:DU151)</f>
        <v>-19.495156266974845</v>
      </c>
      <c r="DW151" s="66">
        <f>(DW148*DR146/100-DR148*DR146/100)*DR23/1000</f>
        <v>11.43497988563122</v>
      </c>
      <c r="DX151" s="66">
        <f>(DX148*DS146/100-DS148*DS146/100)*DS23/1000</f>
        <v>85.224878557439908</v>
      </c>
      <c r="DY151" s="66">
        <f>(DY148*DT146/100-DT148*DT146/100)*DT23/1000</f>
        <v>45.705235846483291</v>
      </c>
      <c r="DZ151" s="66">
        <f>(DZ148*DU146/100-DU148*DU146/100)*DU23/1000</f>
        <v>46.420188577486449</v>
      </c>
      <c r="EA151" s="65">
        <f>SUM(DW151:DZ151)</f>
        <v>188.78528286704085</v>
      </c>
      <c r="EB151" s="66">
        <f>(EB148*DW146/100-DW148*DW146/100)*DW23/1000</f>
        <v>33.317749565238692</v>
      </c>
      <c r="EC151" s="66">
        <f>(EC148*DX146/100-DX148*DX146/100)*DX23/1000</f>
        <v>-137.00237697689732</v>
      </c>
      <c r="ED151" s="66">
        <f>(ED148*DY146/100-DY148*DY146/100)*DY23/1000</f>
        <v>-150.91727941176484</v>
      </c>
      <c r="EE151" s="66">
        <f>(EE148*DZ146/100-DZ148*DZ146/100)*DZ23/1000</f>
        <v>-247.51513841055848</v>
      </c>
      <c r="EF151" s="65">
        <f>SUM(EB151:EE151)</f>
        <v>-502.11704523398191</v>
      </c>
      <c r="EG151" s="66">
        <f>(EG148*EB146/100-EB148*EB146/100)*EB23/1000</f>
        <v>-230.74892878914201</v>
      </c>
      <c r="EH151" s="333">
        <f>(EH148*EC146/100-EC148*EC146/100)*EC23/1000</f>
        <v>-140.72313897596615</v>
      </c>
      <c r="EI151" s="333">
        <f>(EI148*ED146/100-ED148*ED146/100)*ED23/1000</f>
        <v>-89.184022105241681</v>
      </c>
      <c r="EJ151" s="66">
        <f>(EJ148*EE146/100-EE148*EE146/100)*EE23/1000</f>
        <v>-8.5296446070557135</v>
      </c>
      <c r="EK151" s="65">
        <f>SUM(EG151:EJ151)</f>
        <v>-469.18573447740556</v>
      </c>
      <c r="EL151" s="66">
        <f>(EL148*EG146/100-EG148*EG146/100)*EG23/1000</f>
        <v>45.712421973146853</v>
      </c>
      <c r="EM151" s="333">
        <f>(EM148*EH146/100-EH148*EH146/100)*EH23/1000</f>
        <v>19.230337480337479</v>
      </c>
      <c r="EN151" s="333">
        <f>(EN148*EI146/100-EI148*EI146/100)*EI23/1000</f>
        <v>30.143149475627439</v>
      </c>
      <c r="EO151" s="66">
        <f>(EO148*EJ146/100-EJ148*EJ146/100)*EJ23/1000</f>
        <v>-93.84531759124819</v>
      </c>
      <c r="EP151" s="65">
        <f>SUM(EL151:EO151)</f>
        <v>1.2405913378635773</v>
      </c>
      <c r="EQ151" s="333">
        <f>(EQ148*EL146/100-EL148*EL146/100)*EL23/1000</f>
        <v>-145.69383372782539</v>
      </c>
      <c r="ER151" s="66">
        <f t="shared" ref="ER151" si="818">(ER148*EM146/100-EM148*EM146/100)*EM23/1000</f>
        <v>-61.623545588285538</v>
      </c>
      <c r="ES151" s="66">
        <f t="shared" ref="ES151:ET151" si="819">(ES148*EN146/100-EN148*EN146/100)*EN23/1000</f>
        <v>-35.770333126741654</v>
      </c>
      <c r="ET151" s="66">
        <f t="shared" si="819"/>
        <v>-17.528120267211474</v>
      </c>
      <c r="EU151" s="65">
        <f>SUM(EQ151:ET151)</f>
        <v>-260.61583271006407</v>
      </c>
      <c r="EV151" s="131"/>
      <c r="EW151" s="131"/>
      <c r="EX151" s="131"/>
      <c r="EY151" s="131"/>
      <c r="EZ151" s="65">
        <f>(EZ148*EU146/100-EU148*EU146/100)*EU23/1000</f>
        <v>-141.80963203779339</v>
      </c>
      <c r="FA151" s="131"/>
      <c r="FB151" s="131"/>
      <c r="FC151" s="131"/>
      <c r="FD151" s="131"/>
      <c r="FE151" s="65">
        <f>(FE148*EZ146/100-EZ148*EZ146/100)*EZ23/1000</f>
        <v>-120.77910409211718</v>
      </c>
      <c r="FG151" s="474"/>
      <c r="FH151" s="789"/>
      <c r="FI151" s="789"/>
      <c r="FJ151" s="789"/>
      <c r="FK151" s="1315"/>
      <c r="FL151" s="1357"/>
      <c r="FM151" s="1556">
        <f t="shared" si="775"/>
        <v>-145.69383372782539</v>
      </c>
      <c r="FN151" s="1450">
        <f t="shared" si="776"/>
        <v>45.712421973146853</v>
      </c>
      <c r="FO151" s="1849">
        <v>-72.956377966088041</v>
      </c>
      <c r="FP151" s="1759"/>
      <c r="FQ151" s="758"/>
      <c r="FR151" s="1624"/>
      <c r="FS151" s="1624"/>
      <c r="FT151" s="441"/>
      <c r="FU151" s="441"/>
      <c r="FV151" s="441"/>
      <c r="FW151" s="441"/>
      <c r="FX151" s="441"/>
      <c r="FY151" s="441"/>
      <c r="FZ151" s="474"/>
      <c r="GA151"/>
      <c r="GB151"/>
      <c r="GC151"/>
      <c r="GD151"/>
      <c r="GE151"/>
      <c r="GF151"/>
      <c r="GG151"/>
      <c r="GH151"/>
      <c r="GI151"/>
      <c r="GJ151"/>
      <c r="GK151"/>
      <c r="GL151"/>
      <c r="GM151"/>
      <c r="GN151"/>
      <c r="GO151"/>
      <c r="GP151"/>
      <c r="GQ151"/>
      <c r="GR151"/>
      <c r="GS151"/>
      <c r="GT151"/>
      <c r="GU151"/>
      <c r="GV151"/>
      <c r="GW151"/>
      <c r="GX151"/>
      <c r="GY151"/>
      <c r="GZ151"/>
      <c r="HA151"/>
      <c r="HB151"/>
      <c r="HC151"/>
      <c r="HD151"/>
      <c r="HE151"/>
      <c r="HF151"/>
      <c r="HG151"/>
      <c r="HH151"/>
      <c r="HI151"/>
      <c r="HJ151"/>
      <c r="HK151"/>
      <c r="HL151"/>
      <c r="HM151"/>
      <c r="HN151"/>
      <c r="HO151"/>
      <c r="HP151"/>
      <c r="HQ151"/>
      <c r="HR151"/>
      <c r="HS151"/>
      <c r="HT151"/>
      <c r="HU151"/>
      <c r="HV151"/>
      <c r="HW151"/>
      <c r="HX151"/>
      <c r="HY151"/>
      <c r="HZ151"/>
      <c r="IA151"/>
      <c r="IB151"/>
      <c r="IC151"/>
      <c r="ID151"/>
      <c r="IE151"/>
      <c r="IF151"/>
      <c r="IG151"/>
      <c r="IH151"/>
      <c r="II151"/>
      <c r="IJ151"/>
      <c r="IK151"/>
      <c r="IL151"/>
      <c r="IM151"/>
      <c r="IN151"/>
      <c r="IO151"/>
      <c r="IP151"/>
      <c r="IQ151"/>
      <c r="IR151"/>
      <c r="IS151"/>
      <c r="IT151"/>
      <c r="IU151"/>
      <c r="IV151"/>
      <c r="IW151"/>
      <c r="IX151"/>
    </row>
    <row r="152" spans="1:258" s="67" customFormat="1" x14ac:dyDescent="0.2">
      <c r="A152" s="590" t="s">
        <v>605</v>
      </c>
      <c r="B152" s="66"/>
      <c r="C152" s="66"/>
      <c r="D152" s="66"/>
      <c r="E152" s="66"/>
      <c r="F152" s="65"/>
      <c r="G152" s="66"/>
      <c r="H152" s="66"/>
      <c r="I152" s="66"/>
      <c r="J152" s="66"/>
      <c r="K152" s="65"/>
      <c r="L152" s="66"/>
      <c r="M152" s="66"/>
      <c r="N152" s="66"/>
      <c r="O152" s="66"/>
      <c r="P152" s="65"/>
      <c r="Q152" s="66"/>
      <c r="R152" s="66"/>
      <c r="S152" s="66"/>
      <c r="T152" s="66"/>
      <c r="U152" s="65"/>
      <c r="V152" s="66"/>
      <c r="W152" s="66"/>
      <c r="X152" s="66"/>
      <c r="Y152" s="66"/>
      <c r="Z152" s="65"/>
      <c r="AA152" s="66"/>
      <c r="AB152" s="66"/>
      <c r="AC152" s="66"/>
      <c r="AD152" s="66"/>
      <c r="AE152" s="65"/>
      <c r="AF152" s="66"/>
      <c r="AG152" s="66"/>
      <c r="AH152" s="66"/>
      <c r="AI152" s="66"/>
      <c r="AJ152" s="65"/>
      <c r="AK152" s="66"/>
      <c r="AL152" s="66"/>
      <c r="AM152" s="66"/>
      <c r="AN152" s="66"/>
      <c r="AO152" s="65"/>
      <c r="AP152" s="66"/>
      <c r="AQ152" s="66"/>
      <c r="AR152" s="66"/>
      <c r="AS152" s="66"/>
      <c r="AT152" s="65"/>
      <c r="AU152" s="66"/>
      <c r="AV152" s="66"/>
      <c r="AW152" s="66"/>
      <c r="AX152" s="66"/>
      <c r="AY152" s="65"/>
      <c r="AZ152" s="66"/>
      <c r="BA152" s="66"/>
      <c r="BB152" s="66"/>
      <c r="BC152" s="66"/>
      <c r="BD152" s="65"/>
      <c r="BE152" s="66"/>
      <c r="BF152" s="66"/>
      <c r="BG152" s="66"/>
      <c r="BH152" s="66"/>
      <c r="BI152" s="65"/>
      <c r="BJ152" s="66"/>
      <c r="BK152" s="66"/>
      <c r="BL152" s="66"/>
      <c r="BM152" s="66"/>
      <c r="BN152" s="65"/>
      <c r="BO152" s="66">
        <v>27.17519964763963</v>
      </c>
      <c r="BP152" s="66">
        <v>18.325017755190469</v>
      </c>
      <c r="BQ152" s="66">
        <v>13.251261165075096</v>
      </c>
      <c r="BR152" s="66">
        <v>23.867212073255878</v>
      </c>
      <c r="BS152" s="65">
        <v>82.618690641161066</v>
      </c>
      <c r="BT152" s="66">
        <v>1.6164622263909574</v>
      </c>
      <c r="BU152" s="66">
        <v>-2.3476947835372881</v>
      </c>
      <c r="BV152" s="66">
        <v>3.9961623225722072</v>
      </c>
      <c r="BW152" s="66">
        <v>1.4153055672582178</v>
      </c>
      <c r="BX152" s="65">
        <v>4.6802353326840942</v>
      </c>
      <c r="BY152" s="66">
        <v>-3.4343773836765372</v>
      </c>
      <c r="BZ152" s="66">
        <v>-1.3470714257713587</v>
      </c>
      <c r="CA152" s="66">
        <v>1.7301847793597644</v>
      </c>
      <c r="CB152" s="66">
        <v>0.89273824832988924</v>
      </c>
      <c r="CC152" s="65">
        <v>-2.1585257817582426</v>
      </c>
      <c r="CD152" s="66">
        <v>1.8566141492560051</v>
      </c>
      <c r="CE152" s="66">
        <v>1.2712032122940362</v>
      </c>
      <c r="CF152" s="66">
        <v>-4.0470279018360751</v>
      </c>
      <c r="CG152" s="66">
        <v>-1.893654645343523</v>
      </c>
      <c r="CH152" s="65">
        <v>-2.8128651856295566</v>
      </c>
      <c r="CI152" s="66">
        <v>6.2324593186391475</v>
      </c>
      <c r="CJ152" s="66">
        <v>1.779265414030768</v>
      </c>
      <c r="CK152" s="66">
        <v>-7.4777391750385833</v>
      </c>
      <c r="CL152" s="66">
        <v>-9.5516565468701025</v>
      </c>
      <c r="CM152" s="65">
        <v>-9.0176709892387699</v>
      </c>
      <c r="CN152" s="66">
        <v>-13.506631966872922</v>
      </c>
      <c r="CO152" s="66">
        <v>-7.4015428114819564</v>
      </c>
      <c r="CP152" s="66">
        <v>-0.92376833203599185</v>
      </c>
      <c r="CQ152" s="66">
        <v>36.365059868011073</v>
      </c>
      <c r="CR152" s="65">
        <f>SUM(CN152:CQ152)</f>
        <v>14.533116757620206</v>
      </c>
      <c r="CS152" s="66">
        <v>-58.614357896221883</v>
      </c>
      <c r="CT152" s="66">
        <v>1.8104677071028159</v>
      </c>
      <c r="CU152" s="66">
        <v>-16.3973203024551</v>
      </c>
      <c r="CV152" s="66">
        <v>-72.196384524948456</v>
      </c>
      <c r="CW152" s="65">
        <f>SUM(CS152:CV152)</f>
        <v>-145.39759501652262</v>
      </c>
      <c r="CX152" s="66">
        <v>-33.612491395933219</v>
      </c>
      <c r="CY152" s="66">
        <v>-42.789638942928136</v>
      </c>
      <c r="CZ152" s="66">
        <v>-47.476733995823402</v>
      </c>
      <c r="DA152" s="66">
        <v>33.215075705015721</v>
      </c>
      <c r="DB152" s="65">
        <v>-90.663788629669028</v>
      </c>
      <c r="DC152" s="66">
        <v>38.17421265002929</v>
      </c>
      <c r="DD152" s="333">
        <v>-25.49206308047269</v>
      </c>
      <c r="DE152" s="66">
        <v>-2</v>
      </c>
      <c r="DF152" s="66">
        <v>-46</v>
      </c>
      <c r="DG152" s="65">
        <v>-81.886328029876424</v>
      </c>
      <c r="DH152" s="66">
        <v>-70</v>
      </c>
      <c r="DI152" s="66">
        <v>11.63571252796266</v>
      </c>
      <c r="DJ152" s="333">
        <v>1.6797442825901623</v>
      </c>
      <c r="DK152" s="66">
        <v>-25.014075962256658</v>
      </c>
      <c r="DL152" s="65">
        <f>SUM(DH152:DK152)</f>
        <v>-81.698619151703838</v>
      </c>
      <c r="DM152" s="66">
        <v>-56.648489268263567</v>
      </c>
      <c r="DN152" s="66">
        <v>-16.066982675291658</v>
      </c>
      <c r="DO152" s="66">
        <v>-68.643191864043374</v>
      </c>
      <c r="DP152" s="66">
        <v>7.12</v>
      </c>
      <c r="DQ152" s="65">
        <f>SUM(DM152:DP152)</f>
        <v>-134.23866380759858</v>
      </c>
      <c r="DR152" s="66">
        <v>0</v>
      </c>
      <c r="DS152" s="66">
        <v>-39.1394549828169</v>
      </c>
      <c r="DT152" s="333">
        <v>-2.8608844380399958</v>
      </c>
      <c r="DU152" s="66">
        <v>-137.22413619440314</v>
      </c>
      <c r="DV152" s="65">
        <f>SUM(DR152:DU152)</f>
        <v>-179.22447561526005</v>
      </c>
      <c r="DW152" s="333">
        <v>-82</v>
      </c>
      <c r="DX152" s="333">
        <v>-120.35776382314035</v>
      </c>
      <c r="DY152" s="333">
        <v>-48.47</v>
      </c>
      <c r="DZ152" s="333">
        <v>-64.329432176997926</v>
      </c>
      <c r="EA152" s="65">
        <f>SUM(DW152:DZ152)</f>
        <v>-315.15719600013824</v>
      </c>
      <c r="EB152" s="333">
        <v>-36.764108824497853</v>
      </c>
      <c r="EC152" s="333">
        <v>24.343965971844042</v>
      </c>
      <c r="ED152" s="333">
        <v>17</v>
      </c>
      <c r="EE152" s="333">
        <v>86</v>
      </c>
      <c r="EF152" s="65">
        <f>SUM(EB152:EE152)</f>
        <v>90.579857147346189</v>
      </c>
      <c r="EG152" s="1609">
        <v>108.33258458209875</v>
      </c>
      <c r="EH152" s="333">
        <v>104.38875011866091</v>
      </c>
      <c r="EI152" s="333">
        <v>25</v>
      </c>
      <c r="EJ152" s="333">
        <v>-45</v>
      </c>
      <c r="EK152" s="65">
        <f>SUM(EG152:EJ152)</f>
        <v>192.72133470075966</v>
      </c>
      <c r="EL152" s="333">
        <v>10</v>
      </c>
      <c r="EM152" s="333">
        <v>-40</v>
      </c>
      <c r="EN152" s="333">
        <v>-148</v>
      </c>
      <c r="EO152" s="333">
        <v>15</v>
      </c>
      <c r="EP152" s="65">
        <f>SUM(EL152:EO152)</f>
        <v>-163</v>
      </c>
      <c r="EQ152" s="333">
        <v>45</v>
      </c>
      <c r="ER152" s="1169">
        <v>-35</v>
      </c>
      <c r="ES152" s="1169">
        <v>-15</v>
      </c>
      <c r="ET152" s="1169">
        <v>-15</v>
      </c>
      <c r="EU152" s="65">
        <f>SUM(EQ152:ET152)</f>
        <v>-20</v>
      </c>
      <c r="EV152" s="170"/>
      <c r="EW152" s="170"/>
      <c r="EX152" s="170"/>
      <c r="EY152" s="170"/>
      <c r="EZ152" s="629">
        <v>0</v>
      </c>
      <c r="FA152" s="170"/>
      <c r="FB152" s="170"/>
      <c r="FC152" s="170"/>
      <c r="FD152" s="170"/>
      <c r="FE152" s="629">
        <v>0</v>
      </c>
      <c r="FG152" s="489"/>
      <c r="FH152" s="789"/>
      <c r="FI152" s="789"/>
      <c r="FJ152" s="789"/>
      <c r="FK152" s="1315"/>
      <c r="FL152" s="1357"/>
      <c r="FM152" s="1557">
        <f t="shared" si="775"/>
        <v>45</v>
      </c>
      <c r="FN152" s="1451">
        <f t="shared" si="776"/>
        <v>10</v>
      </c>
      <c r="FO152" s="1850">
        <v>-35</v>
      </c>
      <c r="FP152" s="1759"/>
      <c r="FQ152" s="758"/>
      <c r="FR152" s="1624"/>
      <c r="FS152" s="1624"/>
      <c r="FT152" s="441"/>
      <c r="FU152" s="441"/>
      <c r="FV152" s="441"/>
      <c r="FW152" s="441"/>
      <c r="FX152" s="441"/>
      <c r="FY152" s="441"/>
      <c r="FZ152" s="489"/>
      <c r="GA152"/>
      <c r="GB152"/>
      <c r="GC152"/>
      <c r="GD152"/>
      <c r="GE152"/>
      <c r="GF152"/>
      <c r="GG152"/>
      <c r="GH152"/>
      <c r="GI152"/>
      <c r="GJ152"/>
      <c r="GK152"/>
      <c r="GL152"/>
      <c r="GM152"/>
      <c r="GN152"/>
      <c r="GO152"/>
      <c r="GP152"/>
      <c r="GQ152"/>
      <c r="GR152"/>
      <c r="GS152"/>
      <c r="GT152"/>
      <c r="GU152"/>
      <c r="GV152"/>
      <c r="GW152"/>
      <c r="GX152"/>
      <c r="GY152"/>
      <c r="GZ152"/>
      <c r="HA152"/>
      <c r="HB152"/>
      <c r="HC152"/>
      <c r="HD152"/>
      <c r="HE152"/>
      <c r="HF152"/>
      <c r="HG152"/>
      <c r="HH152"/>
      <c r="HI152"/>
      <c r="HJ152"/>
      <c r="HK152"/>
      <c r="HL152"/>
      <c r="HM152"/>
      <c r="HN152"/>
      <c r="HO152"/>
      <c r="HP152"/>
      <c r="HQ152"/>
      <c r="HR152"/>
      <c r="HS152"/>
      <c r="HT152"/>
      <c r="HU152"/>
      <c r="HV152"/>
      <c r="HW152"/>
      <c r="HX152"/>
      <c r="HY152"/>
      <c r="HZ152"/>
      <c r="IA152"/>
      <c r="IB152"/>
      <c r="IC152"/>
      <c r="ID152"/>
      <c r="IE152"/>
      <c r="IF152"/>
      <c r="IG152"/>
      <c r="IH152"/>
      <c r="II152"/>
      <c r="IJ152"/>
      <c r="IK152"/>
      <c r="IL152"/>
      <c r="IM152"/>
      <c r="IN152"/>
      <c r="IO152"/>
      <c r="IP152"/>
      <c r="IQ152"/>
      <c r="IR152"/>
      <c r="IS152"/>
      <c r="IT152"/>
      <c r="IU152"/>
      <c r="IV152"/>
      <c r="IW152"/>
      <c r="IX152"/>
    </row>
    <row r="153" spans="1:258" s="113" customFormat="1" x14ac:dyDescent="0.2">
      <c r="A153" s="109" t="s">
        <v>309</v>
      </c>
      <c r="B153" s="110"/>
      <c r="C153" s="110"/>
      <c r="D153" s="110"/>
      <c r="E153" s="110"/>
      <c r="F153" s="404"/>
      <c r="G153" s="110"/>
      <c r="H153" s="110"/>
      <c r="I153" s="110"/>
      <c r="J153" s="110"/>
      <c r="K153" s="404"/>
      <c r="L153" s="110"/>
      <c r="M153" s="110"/>
      <c r="N153" s="110"/>
      <c r="O153" s="110"/>
      <c r="P153" s="404"/>
      <c r="Q153" s="110">
        <v>25</v>
      </c>
      <c r="R153" s="110">
        <v>26</v>
      </c>
      <c r="S153" s="110">
        <v>26</v>
      </c>
      <c r="T153" s="110">
        <v>24</v>
      </c>
      <c r="U153" s="404">
        <v>101</v>
      </c>
      <c r="V153" s="110">
        <v>26</v>
      </c>
      <c r="W153" s="110">
        <v>28</v>
      </c>
      <c r="X153" s="110">
        <v>29</v>
      </c>
      <c r="Y153" s="110">
        <v>25</v>
      </c>
      <c r="Z153" s="404">
        <v>108</v>
      </c>
      <c r="AA153" s="110">
        <v>23</v>
      </c>
      <c r="AB153" s="110">
        <v>26</v>
      </c>
      <c r="AC153" s="110">
        <v>30</v>
      </c>
      <c r="AD153" s="110">
        <v>33</v>
      </c>
      <c r="AE153" s="404">
        <v>112</v>
      </c>
      <c r="AF153" s="110">
        <v>29</v>
      </c>
      <c r="AG153" s="110">
        <v>35</v>
      </c>
      <c r="AH153" s="110">
        <v>36</v>
      </c>
      <c r="AI153" s="110">
        <v>38</v>
      </c>
      <c r="AJ153" s="404">
        <v>138</v>
      </c>
      <c r="AK153" s="110">
        <v>36</v>
      </c>
      <c r="AL153" s="110">
        <v>38</v>
      </c>
      <c r="AM153" s="110">
        <v>35</v>
      </c>
      <c r="AN153" s="110">
        <v>35</v>
      </c>
      <c r="AO153" s="404">
        <v>144</v>
      </c>
      <c r="AP153" s="110">
        <v>32</v>
      </c>
      <c r="AQ153" s="110">
        <v>30.4</v>
      </c>
      <c r="AR153" s="110">
        <v>31</v>
      </c>
      <c r="AS153" s="110">
        <v>37</v>
      </c>
      <c r="AT153" s="404">
        <v>130.4</v>
      </c>
      <c r="AU153" s="110">
        <v>34</v>
      </c>
      <c r="AV153" s="110">
        <v>13</v>
      </c>
      <c r="AW153" s="110">
        <v>9</v>
      </c>
      <c r="AX153" s="110">
        <v>22</v>
      </c>
      <c r="AY153" s="404">
        <v>78</v>
      </c>
      <c r="AZ153" s="110">
        <v>15</v>
      </c>
      <c r="BA153" s="110">
        <v>11</v>
      </c>
      <c r="BB153" s="110">
        <v>18</v>
      </c>
      <c r="BC153" s="110">
        <v>17</v>
      </c>
      <c r="BD153" s="404">
        <v>61</v>
      </c>
      <c r="BE153" s="110">
        <v>9</v>
      </c>
      <c r="BF153" s="110">
        <v>15</v>
      </c>
      <c r="BG153" s="110">
        <v>18</v>
      </c>
      <c r="BH153" s="110">
        <v>28</v>
      </c>
      <c r="BI153" s="404">
        <f>SUM(BE153:BH153)</f>
        <v>70</v>
      </c>
      <c r="BJ153" s="110">
        <v>18</v>
      </c>
      <c r="BK153" s="110">
        <v>26</v>
      </c>
      <c r="BL153" s="110">
        <v>24</v>
      </c>
      <c r="BM153" s="110">
        <v>21</v>
      </c>
      <c r="BN153" s="404">
        <f>SUM(BJ153:BM153)</f>
        <v>89</v>
      </c>
      <c r="BO153" s="110">
        <v>21</v>
      </c>
      <c r="BP153" s="110">
        <v>16</v>
      </c>
      <c r="BQ153" s="110">
        <v>6</v>
      </c>
      <c r="BR153" s="110">
        <v>11</v>
      </c>
      <c r="BS153" s="404">
        <f>SUM(BO153:BR153)</f>
        <v>54</v>
      </c>
      <c r="BT153" s="110">
        <v>18</v>
      </c>
      <c r="BU153" s="110">
        <v>6</v>
      </c>
      <c r="BV153" s="110">
        <v>2</v>
      </c>
      <c r="BW153" s="110">
        <v>9</v>
      </c>
      <c r="BX153" s="404">
        <f>SUM(BT153:BW153)</f>
        <v>35</v>
      </c>
      <c r="BY153" s="110">
        <v>23</v>
      </c>
      <c r="BZ153" s="110">
        <v>19</v>
      </c>
      <c r="CA153" s="110">
        <v>22</v>
      </c>
      <c r="CB153" s="110">
        <v>20</v>
      </c>
      <c r="CC153" s="404">
        <f>SUM(BY153:CB153)</f>
        <v>84</v>
      </c>
      <c r="CD153" s="110">
        <v>27</v>
      </c>
      <c r="CE153" s="110">
        <v>23</v>
      </c>
      <c r="CF153" s="110">
        <v>27</v>
      </c>
      <c r="CG153" s="110">
        <v>27</v>
      </c>
      <c r="CH153" s="404">
        <f>SUM(CD153:CG153)</f>
        <v>104</v>
      </c>
      <c r="CI153" s="110">
        <v>38</v>
      </c>
      <c r="CJ153" s="110">
        <v>42</v>
      </c>
      <c r="CK153" s="110">
        <v>49</v>
      </c>
      <c r="CL153" s="110">
        <v>52</v>
      </c>
      <c r="CM153" s="404">
        <f>SUM(CI153:CL153)</f>
        <v>181</v>
      </c>
      <c r="CN153" s="110">
        <v>59</v>
      </c>
      <c r="CO153" s="110">
        <v>58</v>
      </c>
      <c r="CP153" s="110">
        <v>59</v>
      </c>
      <c r="CQ153" s="110">
        <v>66</v>
      </c>
      <c r="CR153" s="404">
        <f>SUM(CN153:CQ153)</f>
        <v>242</v>
      </c>
      <c r="CS153" s="110">
        <v>59</v>
      </c>
      <c r="CT153" s="110">
        <v>61</v>
      </c>
      <c r="CU153" s="110">
        <v>60</v>
      </c>
      <c r="CV153" s="110">
        <v>75</v>
      </c>
      <c r="CW153" s="404">
        <f>SUM(CS153:CV153)</f>
        <v>255</v>
      </c>
      <c r="CX153" s="110">
        <v>63</v>
      </c>
      <c r="CY153" s="110">
        <v>58</v>
      </c>
      <c r="CZ153" s="110">
        <v>63</v>
      </c>
      <c r="DA153" s="110">
        <v>51</v>
      </c>
      <c r="DB153" s="404">
        <f>SUM(CX153:DA153)</f>
        <v>235</v>
      </c>
      <c r="DC153" s="110">
        <v>64</v>
      </c>
      <c r="DD153" s="110">
        <v>68</v>
      </c>
      <c r="DE153" s="110">
        <v>85</v>
      </c>
      <c r="DF153" s="110">
        <v>71</v>
      </c>
      <c r="DG153" s="404">
        <f>SUM(DC153:DF153)</f>
        <v>288</v>
      </c>
      <c r="DH153" s="110">
        <v>90</v>
      </c>
      <c r="DI153" s="110">
        <v>67</v>
      </c>
      <c r="DJ153" s="110">
        <v>71</v>
      </c>
      <c r="DK153" s="110">
        <v>104</v>
      </c>
      <c r="DL153" s="404">
        <f>SUM(DH153:DK153)</f>
        <v>332</v>
      </c>
      <c r="DM153" s="110">
        <v>122</v>
      </c>
      <c r="DN153" s="110">
        <v>47</v>
      </c>
      <c r="DO153" s="110">
        <v>65</v>
      </c>
      <c r="DP153" s="110">
        <v>89</v>
      </c>
      <c r="DQ153" s="404">
        <f>SUM(DM153:DP153)</f>
        <v>323</v>
      </c>
      <c r="DR153" s="110">
        <f>116-32</f>
        <v>84</v>
      </c>
      <c r="DS153" s="110">
        <f>69-16</f>
        <v>53</v>
      </c>
      <c r="DT153" s="110">
        <f>115-51</f>
        <v>64</v>
      </c>
      <c r="DU153" s="110">
        <v>97</v>
      </c>
      <c r="DV153" s="404">
        <f>SUM(DR153:DU153)</f>
        <v>298</v>
      </c>
      <c r="DW153" s="110">
        <f>142-55</f>
        <v>87</v>
      </c>
      <c r="DX153" s="110">
        <f>80-11</f>
        <v>69</v>
      </c>
      <c r="DY153" s="110">
        <f>118-17</f>
        <v>101</v>
      </c>
      <c r="DZ153" s="110">
        <v>82</v>
      </c>
      <c r="EA153" s="404">
        <f>SUM(DW153:DZ153)</f>
        <v>339</v>
      </c>
      <c r="EB153" s="110">
        <f>165-105+27</f>
        <v>87</v>
      </c>
      <c r="EC153" s="110">
        <f>126-19</f>
        <v>107</v>
      </c>
      <c r="ED153" s="110">
        <v>86</v>
      </c>
      <c r="EE153" s="110">
        <v>101</v>
      </c>
      <c r="EF153" s="404">
        <f>SUM(EB153:EE153)</f>
        <v>381</v>
      </c>
      <c r="EG153" s="110">
        <v>80</v>
      </c>
      <c r="EH153" s="110">
        <v>97</v>
      </c>
      <c r="EI153" s="110">
        <v>77</v>
      </c>
      <c r="EJ153" s="110">
        <v>114</v>
      </c>
      <c r="EK153" s="404">
        <f>SUM(EG153:EJ153)</f>
        <v>368</v>
      </c>
      <c r="EL153" s="110">
        <v>74</v>
      </c>
      <c r="EM153" s="110">
        <f>99+58</f>
        <v>157</v>
      </c>
      <c r="EN153" s="110">
        <f>77+18</f>
        <v>95</v>
      </c>
      <c r="EO153" s="110">
        <v>108</v>
      </c>
      <c r="EP153" s="404">
        <f>SUM(EL153:EO153)</f>
        <v>434</v>
      </c>
      <c r="EQ153" s="110">
        <f>122+23</f>
        <v>145</v>
      </c>
      <c r="ER153" s="1172">
        <v>120</v>
      </c>
      <c r="ES153" s="1172">
        <v>120</v>
      </c>
      <c r="ET153" s="1172">
        <v>120</v>
      </c>
      <c r="EU153" s="404">
        <f>SUM(EQ153:ET153)</f>
        <v>505</v>
      </c>
      <c r="EV153" s="630"/>
      <c r="EW153" s="630"/>
      <c r="EX153" s="630"/>
      <c r="EY153" s="405"/>
      <c r="EZ153" s="404">
        <f>+EU153*(1+EZ154)</f>
        <v>505</v>
      </c>
      <c r="FA153" s="630"/>
      <c r="FB153" s="630"/>
      <c r="FC153" s="630"/>
      <c r="FD153" s="405"/>
      <c r="FE153" s="404">
        <f>+EZ153*(1+FE154)</f>
        <v>505</v>
      </c>
      <c r="FF153" s="175"/>
      <c r="FG153" s="466"/>
      <c r="FH153" s="1921"/>
      <c r="FI153" s="778"/>
      <c r="FJ153" s="778"/>
      <c r="FL153" s="1347"/>
      <c r="FM153" s="1558">
        <f t="shared" si="775"/>
        <v>145</v>
      </c>
      <c r="FN153" s="775">
        <f t="shared" si="776"/>
        <v>74</v>
      </c>
      <c r="FO153" s="1851">
        <v>90</v>
      </c>
      <c r="FP153" s="1748">
        <f>+FM153/FN153-1</f>
        <v>0.95945945945945943</v>
      </c>
      <c r="FQ153" s="1520">
        <f>+FM153/FO153-1</f>
        <v>0.61111111111111116</v>
      </c>
      <c r="FR153" s="1614" t="s">
        <v>769</v>
      </c>
      <c r="FS153" s="1619"/>
      <c r="FT153" s="355"/>
      <c r="FU153" s="355"/>
      <c r="FV153" s="355"/>
      <c r="FW153" s="355"/>
      <c r="FX153" s="355"/>
      <c r="FY153" s="355"/>
      <c r="FZ153" s="466"/>
      <c r="GA153"/>
      <c r="GB153"/>
      <c r="GC153"/>
      <c r="GD153"/>
      <c r="GE153"/>
      <c r="GF153"/>
      <c r="GG153"/>
      <c r="GH153"/>
      <c r="GI153"/>
      <c r="GJ153"/>
      <c r="GK153"/>
      <c r="GL153"/>
      <c r="GM153"/>
      <c r="GN153"/>
      <c r="GO153"/>
      <c r="GP153"/>
      <c r="GQ153"/>
      <c r="GR153"/>
      <c r="GS153"/>
      <c r="GT153"/>
      <c r="GU153"/>
      <c r="GV153"/>
      <c r="GW153"/>
      <c r="GX153"/>
      <c r="GY153"/>
      <c r="GZ153"/>
      <c r="HA153"/>
      <c r="HB153"/>
      <c r="HC153"/>
      <c r="HD153"/>
      <c r="HE153"/>
      <c r="HF153"/>
      <c r="HG153"/>
      <c r="HH153"/>
      <c r="HI153"/>
      <c r="HJ153"/>
      <c r="HK153"/>
      <c r="HL153"/>
      <c r="HM153"/>
      <c r="HN153"/>
      <c r="HO153"/>
      <c r="HP153"/>
      <c r="HQ153"/>
      <c r="HR153"/>
      <c r="HS153"/>
      <c r="HT153"/>
      <c r="HU153"/>
      <c r="HV153"/>
      <c r="HW153"/>
      <c r="HX153"/>
      <c r="HY153"/>
      <c r="HZ153"/>
      <c r="IA153"/>
      <c r="IB153"/>
      <c r="IC153"/>
      <c r="ID153"/>
      <c r="IE153"/>
      <c r="IF153"/>
      <c r="IG153"/>
      <c r="IH153"/>
      <c r="II153"/>
      <c r="IJ153"/>
      <c r="IK153"/>
      <c r="IL153"/>
      <c r="IM153"/>
      <c r="IN153"/>
      <c r="IO153"/>
      <c r="IP153"/>
      <c r="IQ153"/>
      <c r="IR153"/>
      <c r="IS153"/>
      <c r="IT153"/>
      <c r="IU153"/>
      <c r="IV153"/>
      <c r="IW153"/>
      <c r="IX153"/>
    </row>
    <row r="154" spans="1:258" s="186" customFormat="1" x14ac:dyDescent="0.2">
      <c r="A154" s="383" t="s">
        <v>277</v>
      </c>
      <c r="B154" s="10"/>
      <c r="C154" s="10"/>
      <c r="D154" s="10"/>
      <c r="E154" s="10"/>
      <c r="F154" s="9"/>
      <c r="G154" s="10"/>
      <c r="H154" s="10"/>
      <c r="I154" s="10"/>
      <c r="J154" s="10"/>
      <c r="K154" s="9"/>
      <c r="L154" s="10"/>
      <c r="M154" s="10"/>
      <c r="N154" s="10"/>
      <c r="O154" s="10"/>
      <c r="P154" s="9"/>
      <c r="Q154" s="10"/>
      <c r="R154" s="10"/>
      <c r="S154" s="10"/>
      <c r="T154" s="10"/>
      <c r="U154" s="9"/>
      <c r="V154" s="10">
        <f t="shared" ref="V154:AV154" si="820">V153/Q153-1</f>
        <v>4.0000000000000036E-2</v>
      </c>
      <c r="W154" s="10">
        <f t="shared" si="820"/>
        <v>7.6923076923076872E-2</v>
      </c>
      <c r="X154" s="10">
        <f t="shared" si="820"/>
        <v>0.11538461538461542</v>
      </c>
      <c r="Y154" s="10">
        <f t="shared" si="820"/>
        <v>4.1666666666666741E-2</v>
      </c>
      <c r="Z154" s="9">
        <f t="shared" si="820"/>
        <v>6.9306930693069368E-2</v>
      </c>
      <c r="AA154" s="10">
        <f t="shared" si="820"/>
        <v>-0.11538461538461542</v>
      </c>
      <c r="AB154" s="10">
        <f t="shared" si="820"/>
        <v>-7.1428571428571397E-2</v>
      </c>
      <c r="AC154" s="10">
        <f t="shared" si="820"/>
        <v>3.4482758620689724E-2</v>
      </c>
      <c r="AD154" s="10">
        <f t="shared" si="820"/>
        <v>0.32000000000000006</v>
      </c>
      <c r="AE154" s="9">
        <f t="shared" si="820"/>
        <v>3.7037037037036979E-2</v>
      </c>
      <c r="AF154" s="10">
        <f t="shared" si="820"/>
        <v>0.26086956521739135</v>
      </c>
      <c r="AG154" s="10">
        <f t="shared" si="820"/>
        <v>0.34615384615384626</v>
      </c>
      <c r="AH154" s="10">
        <f t="shared" si="820"/>
        <v>0.19999999999999996</v>
      </c>
      <c r="AI154" s="10">
        <f t="shared" si="820"/>
        <v>0.1515151515151516</v>
      </c>
      <c r="AJ154" s="9">
        <f t="shared" si="820"/>
        <v>0.23214285714285721</v>
      </c>
      <c r="AK154" s="10">
        <f t="shared" si="820"/>
        <v>0.24137931034482762</v>
      </c>
      <c r="AL154" s="10">
        <f t="shared" si="820"/>
        <v>8.5714285714285632E-2</v>
      </c>
      <c r="AM154" s="10">
        <f t="shared" si="820"/>
        <v>-2.777777777777779E-2</v>
      </c>
      <c r="AN154" s="10">
        <f t="shared" si="820"/>
        <v>-7.8947368421052655E-2</v>
      </c>
      <c r="AO154" s="9">
        <f t="shared" si="820"/>
        <v>4.3478260869565188E-2</v>
      </c>
      <c r="AP154" s="10">
        <f t="shared" si="820"/>
        <v>-0.11111111111111116</v>
      </c>
      <c r="AQ154" s="10">
        <f t="shared" si="820"/>
        <v>-0.20000000000000007</v>
      </c>
      <c r="AR154" s="10">
        <f t="shared" si="820"/>
        <v>-0.11428571428571432</v>
      </c>
      <c r="AS154" s="10">
        <f t="shared" si="820"/>
        <v>5.7142857142857162E-2</v>
      </c>
      <c r="AT154" s="9">
        <f t="shared" si="820"/>
        <v>-9.4444444444444442E-2</v>
      </c>
      <c r="AU154" s="10">
        <f t="shared" si="820"/>
        <v>6.25E-2</v>
      </c>
      <c r="AV154" s="10">
        <f t="shared" si="820"/>
        <v>-0.57236842105263164</v>
      </c>
      <c r="AW154" s="10">
        <f t="shared" ref="AW154:CB154" si="821">AW153/AR153-1</f>
        <v>-0.70967741935483875</v>
      </c>
      <c r="AX154" s="10">
        <f t="shared" si="821"/>
        <v>-0.40540540540540537</v>
      </c>
      <c r="AY154" s="9">
        <f t="shared" si="821"/>
        <v>-0.40184049079754602</v>
      </c>
      <c r="AZ154" s="10">
        <f t="shared" si="821"/>
        <v>-0.55882352941176472</v>
      </c>
      <c r="BA154" s="10">
        <f t="shared" si="821"/>
        <v>-0.15384615384615385</v>
      </c>
      <c r="BB154" s="10">
        <f t="shared" si="821"/>
        <v>1</v>
      </c>
      <c r="BC154" s="10">
        <f t="shared" si="821"/>
        <v>-0.22727272727272729</v>
      </c>
      <c r="BD154" s="9">
        <f t="shared" si="821"/>
        <v>-0.21794871794871795</v>
      </c>
      <c r="BE154" s="10">
        <f t="shared" si="821"/>
        <v>-0.4</v>
      </c>
      <c r="BF154" s="10">
        <f t="shared" si="821"/>
        <v>0.36363636363636354</v>
      </c>
      <c r="BG154" s="10">
        <f t="shared" si="821"/>
        <v>0</v>
      </c>
      <c r="BH154" s="10">
        <f t="shared" si="821"/>
        <v>0.64705882352941169</v>
      </c>
      <c r="BI154" s="9">
        <f t="shared" si="821"/>
        <v>0.14754098360655732</v>
      </c>
      <c r="BJ154" s="10">
        <f>BJ153/BE153-1</f>
        <v>1</v>
      </c>
      <c r="BK154" s="10">
        <f>BK153/BF153-1</f>
        <v>0.73333333333333339</v>
      </c>
      <c r="BL154" s="10">
        <f>BL153/BG153-1</f>
        <v>0.33333333333333326</v>
      </c>
      <c r="BM154" s="10">
        <f>BM153/BH153-1</f>
        <v>-0.25</v>
      </c>
      <c r="BN154" s="9">
        <f>BN153/BI153-1</f>
        <v>0.27142857142857135</v>
      </c>
      <c r="BO154" s="10">
        <f t="shared" si="821"/>
        <v>0.16666666666666674</v>
      </c>
      <c r="BP154" s="10">
        <f t="shared" si="821"/>
        <v>-0.38461538461538458</v>
      </c>
      <c r="BQ154" s="10">
        <f t="shared" si="821"/>
        <v>-0.75</v>
      </c>
      <c r="BR154" s="10">
        <f t="shared" si="821"/>
        <v>-0.47619047619047616</v>
      </c>
      <c r="BS154" s="9">
        <f t="shared" si="821"/>
        <v>-0.3932584269662921</v>
      </c>
      <c r="BT154" s="10">
        <f t="shared" si="821"/>
        <v>-0.1428571428571429</v>
      </c>
      <c r="BU154" s="10">
        <f t="shared" si="821"/>
        <v>-0.625</v>
      </c>
      <c r="BV154" s="10">
        <f t="shared" si="821"/>
        <v>-0.66666666666666674</v>
      </c>
      <c r="BW154" s="10">
        <f t="shared" si="821"/>
        <v>-0.18181818181818177</v>
      </c>
      <c r="BX154" s="9">
        <f t="shared" si="821"/>
        <v>-0.35185185185185186</v>
      </c>
      <c r="BY154" s="10">
        <f t="shared" si="821"/>
        <v>0.27777777777777768</v>
      </c>
      <c r="BZ154" s="10">
        <f t="shared" si="821"/>
        <v>2.1666666666666665</v>
      </c>
      <c r="CA154" s="10">
        <f t="shared" si="821"/>
        <v>10</v>
      </c>
      <c r="CB154" s="10">
        <f t="shared" si="821"/>
        <v>1.2222222222222223</v>
      </c>
      <c r="CC154" s="9">
        <f t="shared" ref="CC154:DG154" si="822">CC153/BX153-1</f>
        <v>1.4</v>
      </c>
      <c r="CD154" s="10">
        <f t="shared" si="822"/>
        <v>0.17391304347826098</v>
      </c>
      <c r="CE154" s="10">
        <f t="shared" si="822"/>
        <v>0.21052631578947367</v>
      </c>
      <c r="CF154" s="10">
        <f t="shared" si="822"/>
        <v>0.22727272727272729</v>
      </c>
      <c r="CG154" s="10">
        <f t="shared" si="822"/>
        <v>0.35000000000000009</v>
      </c>
      <c r="CH154" s="9">
        <f t="shared" si="822"/>
        <v>0.23809523809523814</v>
      </c>
      <c r="CI154" s="10">
        <f t="shared" si="822"/>
        <v>0.40740740740740744</v>
      </c>
      <c r="CJ154" s="10">
        <f t="shared" si="822"/>
        <v>0.82608695652173902</v>
      </c>
      <c r="CK154" s="10">
        <f t="shared" si="822"/>
        <v>0.81481481481481488</v>
      </c>
      <c r="CL154" s="10">
        <f t="shared" si="822"/>
        <v>0.92592592592592582</v>
      </c>
      <c r="CM154" s="9">
        <f t="shared" si="822"/>
        <v>0.74038461538461542</v>
      </c>
      <c r="CN154" s="10">
        <f t="shared" si="822"/>
        <v>0.55263157894736836</v>
      </c>
      <c r="CO154" s="10">
        <f t="shared" si="822"/>
        <v>0.38095238095238093</v>
      </c>
      <c r="CP154" s="10">
        <f t="shared" si="822"/>
        <v>0.20408163265306123</v>
      </c>
      <c r="CQ154" s="10">
        <f t="shared" si="822"/>
        <v>0.26923076923076916</v>
      </c>
      <c r="CR154" s="9">
        <f t="shared" si="822"/>
        <v>0.33701657458563528</v>
      </c>
      <c r="CS154" s="10">
        <f t="shared" si="822"/>
        <v>0</v>
      </c>
      <c r="CT154" s="10">
        <f t="shared" si="822"/>
        <v>5.1724137931034475E-2</v>
      </c>
      <c r="CU154" s="10">
        <f t="shared" si="822"/>
        <v>1.6949152542372836E-2</v>
      </c>
      <c r="CV154" s="10">
        <f t="shared" si="822"/>
        <v>0.13636363636363646</v>
      </c>
      <c r="CW154" s="9">
        <f t="shared" si="822"/>
        <v>5.3719008264462742E-2</v>
      </c>
      <c r="CX154" s="10">
        <f t="shared" si="822"/>
        <v>6.7796610169491567E-2</v>
      </c>
      <c r="CY154" s="10">
        <f t="shared" si="822"/>
        <v>-4.9180327868852514E-2</v>
      </c>
      <c r="CZ154" s="10">
        <f t="shared" si="822"/>
        <v>5.0000000000000044E-2</v>
      </c>
      <c r="DA154" s="10">
        <f t="shared" si="822"/>
        <v>-0.31999999999999995</v>
      </c>
      <c r="DB154" s="9">
        <f t="shared" si="822"/>
        <v>-7.8431372549019662E-2</v>
      </c>
      <c r="DC154" s="10">
        <f t="shared" si="822"/>
        <v>1.5873015873015817E-2</v>
      </c>
      <c r="DD154" s="10">
        <f>DD153/CY153-1</f>
        <v>0.17241379310344818</v>
      </c>
      <c r="DE154" s="10">
        <f>DE153/CZ153-1</f>
        <v>0.3492063492063493</v>
      </c>
      <c r="DF154" s="10">
        <f>DF153/DA153-1</f>
        <v>0.39215686274509798</v>
      </c>
      <c r="DG154" s="9">
        <f t="shared" si="822"/>
        <v>0.22553191489361701</v>
      </c>
      <c r="DH154" s="10">
        <f t="shared" ref="DH154:DO154" si="823">DH153/DC153-1</f>
        <v>0.40625</v>
      </c>
      <c r="DI154" s="10">
        <f t="shared" si="823"/>
        <v>-1.4705882352941124E-2</v>
      </c>
      <c r="DJ154" s="10">
        <f t="shared" si="823"/>
        <v>-0.16470588235294115</v>
      </c>
      <c r="DK154" s="10">
        <f>DK153/DF153-1</f>
        <v>0.46478873239436624</v>
      </c>
      <c r="DL154" s="9">
        <f t="shared" si="823"/>
        <v>0.15277777777777768</v>
      </c>
      <c r="DM154" s="10">
        <f t="shared" si="823"/>
        <v>0.35555555555555562</v>
      </c>
      <c r="DN154" s="10">
        <f t="shared" si="823"/>
        <v>-0.29850746268656714</v>
      </c>
      <c r="DO154" s="10">
        <f t="shared" si="823"/>
        <v>-8.4507042253521125E-2</v>
      </c>
      <c r="DP154" s="10">
        <f>DP153/DK153-1</f>
        <v>-0.14423076923076927</v>
      </c>
      <c r="DQ154" s="9">
        <f t="shared" ref="DQ154:DY154" si="824">DQ153/DL153-1</f>
        <v>-2.7108433734939763E-2</v>
      </c>
      <c r="DR154" s="10">
        <f t="shared" si="824"/>
        <v>-0.31147540983606559</v>
      </c>
      <c r="DS154" s="10">
        <f t="shared" si="824"/>
        <v>0.12765957446808507</v>
      </c>
      <c r="DT154" s="10">
        <f t="shared" si="824"/>
        <v>-1.538461538461533E-2</v>
      </c>
      <c r="DU154" s="10">
        <f>DU153/DP153-1</f>
        <v>8.98876404494382E-2</v>
      </c>
      <c r="DV154" s="9">
        <f t="shared" si="824"/>
        <v>-7.7399380804953566E-2</v>
      </c>
      <c r="DW154" s="10">
        <f t="shared" si="824"/>
        <v>3.5714285714285809E-2</v>
      </c>
      <c r="DX154" s="10">
        <f t="shared" si="824"/>
        <v>0.30188679245283012</v>
      </c>
      <c r="DY154" s="10">
        <f t="shared" si="824"/>
        <v>0.578125</v>
      </c>
      <c r="DZ154" s="10">
        <f>DZ153/DU153-1</f>
        <v>-0.15463917525773196</v>
      </c>
      <c r="EA154" s="9">
        <f>EA153/DV153-1</f>
        <v>0.13758389261744974</v>
      </c>
      <c r="EB154" s="10">
        <f>EB153/DW153-1</f>
        <v>0</v>
      </c>
      <c r="EC154" s="10">
        <f>EC153/DX153-1</f>
        <v>0.55072463768115942</v>
      </c>
      <c r="ED154" s="10">
        <f>ED153/DY153-1</f>
        <v>-0.14851485148514854</v>
      </c>
      <c r="EE154" s="10">
        <f t="shared" ref="EE154:EF154" si="825">EE153/DZ153-1</f>
        <v>0.23170731707317072</v>
      </c>
      <c r="EF154" s="9">
        <f t="shared" si="825"/>
        <v>0.12389380530973448</v>
      </c>
      <c r="EG154" s="10">
        <f>EG153/EB153-1</f>
        <v>-8.0459770114942541E-2</v>
      </c>
      <c r="EH154" s="10">
        <f>EH153/EC153-1</f>
        <v>-9.3457943925233655E-2</v>
      </c>
      <c r="EI154" s="10">
        <f>EI153/ED153-1</f>
        <v>-0.10465116279069764</v>
      </c>
      <c r="EJ154" s="10">
        <f t="shared" ref="EJ154" si="826">EJ153/EE153-1</f>
        <v>0.12871287128712861</v>
      </c>
      <c r="EK154" s="9">
        <f t="shared" ref="EK154" si="827">EK153/EF153-1</f>
        <v>-3.4120734908136496E-2</v>
      </c>
      <c r="EL154" s="10">
        <f>EL153/EG153-1</f>
        <v>-7.4999999999999956E-2</v>
      </c>
      <c r="EM154" s="10">
        <f>EM153/EH153-1</f>
        <v>0.61855670103092786</v>
      </c>
      <c r="EN154" s="10">
        <f>EN153/EI153-1</f>
        <v>0.23376623376623384</v>
      </c>
      <c r="EO154" s="10">
        <f t="shared" ref="EO154:EP154" si="828">EO153/EJ153-1</f>
        <v>-5.2631578947368474E-2</v>
      </c>
      <c r="EP154" s="9">
        <f t="shared" si="828"/>
        <v>0.17934782608695654</v>
      </c>
      <c r="EQ154" s="10">
        <f>EQ153/EL153-1</f>
        <v>0.95945945945945943</v>
      </c>
      <c r="ER154" s="10">
        <f t="shared" ref="ER154" si="829">ER153/EM153-1</f>
        <v>-0.23566878980891715</v>
      </c>
      <c r="ES154" s="10">
        <f t="shared" ref="ES154:EU154" si="830">ES153/EN153-1</f>
        <v>0.26315789473684204</v>
      </c>
      <c r="ET154" s="10">
        <f t="shared" si="830"/>
        <v>0.11111111111111116</v>
      </c>
      <c r="EU154" s="9">
        <f t="shared" si="830"/>
        <v>0.16359447004608296</v>
      </c>
      <c r="EV154" s="1712"/>
      <c r="EW154" s="1712"/>
      <c r="EX154" s="1712"/>
      <c r="EY154" s="1712"/>
      <c r="EZ154" s="1711">
        <v>0</v>
      </c>
      <c r="FA154" s="1712"/>
      <c r="FB154" s="1712"/>
      <c r="FC154" s="1712"/>
      <c r="FD154" s="1712"/>
      <c r="FE154" s="1711">
        <v>0</v>
      </c>
      <c r="FG154" s="464"/>
      <c r="FH154" s="780"/>
      <c r="FI154" s="780"/>
      <c r="FJ154" s="780"/>
      <c r="FL154" s="1348"/>
      <c r="FM154" s="1141">
        <f t="shared" si="775"/>
        <v>0.95945945945945943</v>
      </c>
      <c r="FN154" s="1418">
        <f t="shared" si="776"/>
        <v>-7.4999999999999956E-2</v>
      </c>
      <c r="FO154" s="1750">
        <v>0.21621621621621623</v>
      </c>
      <c r="FP154" s="1751"/>
      <c r="FQ154" s="1503">
        <f>+(FM154-FO154)*10000</f>
        <v>7432.4324324324316</v>
      </c>
      <c r="FR154" s="1619"/>
      <c r="FS154" s="1615" t="s">
        <v>735</v>
      </c>
      <c r="FT154" s="432"/>
      <c r="FU154" s="432"/>
      <c r="FV154" s="432"/>
      <c r="FW154" s="432"/>
      <c r="FX154" s="432"/>
      <c r="FY154" s="432"/>
      <c r="FZ154" s="464"/>
      <c r="GA154"/>
      <c r="GB154"/>
      <c r="GC154"/>
      <c r="GD154"/>
      <c r="GE154"/>
      <c r="GF154"/>
      <c r="GG154"/>
      <c r="GH154"/>
      <c r="GI154"/>
      <c r="GJ154"/>
      <c r="GK154"/>
      <c r="GL154"/>
      <c r="GM154"/>
      <c r="GN154"/>
      <c r="GO154"/>
      <c r="GP154"/>
      <c r="GQ154"/>
      <c r="GR154"/>
      <c r="GS154"/>
      <c r="GT154"/>
      <c r="GU154"/>
      <c r="GV154"/>
      <c r="GW154"/>
      <c r="GX154"/>
      <c r="GY154"/>
      <c r="GZ154"/>
      <c r="HA154"/>
      <c r="HB154"/>
      <c r="HC154"/>
      <c r="HD154"/>
      <c r="HE154"/>
      <c r="HF154"/>
      <c r="HG154"/>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c r="IS154"/>
      <c r="IT154"/>
      <c r="IU154"/>
      <c r="IV154"/>
      <c r="IW154"/>
      <c r="IX154"/>
    </row>
    <row r="155" spans="1:258" s="186" customFormat="1" x14ac:dyDescent="0.2">
      <c r="A155" s="1135" t="s">
        <v>639</v>
      </c>
      <c r="B155" s="10"/>
      <c r="C155" s="10"/>
      <c r="D155" s="10"/>
      <c r="E155" s="10"/>
      <c r="F155" s="9"/>
      <c r="G155" s="10"/>
      <c r="H155" s="10"/>
      <c r="I155" s="10"/>
      <c r="J155" s="10"/>
      <c r="K155" s="9"/>
      <c r="L155" s="10"/>
      <c r="M155" s="10"/>
      <c r="N155" s="10"/>
      <c r="O155" s="10"/>
      <c r="P155" s="9"/>
      <c r="Q155" s="10">
        <f>+Q153/Q126</f>
        <v>1.9700551615445233E-2</v>
      </c>
      <c r="R155" s="10">
        <f t="shared" ref="R155:CC155" si="831">+R153/R126</f>
        <v>2.0323608197415213E-2</v>
      </c>
      <c r="S155" s="10">
        <f t="shared" si="831"/>
        <v>2.0851712246370998E-2</v>
      </c>
      <c r="T155" s="10">
        <f t="shared" si="831"/>
        <v>1.8632093781538701E-2</v>
      </c>
      <c r="U155" s="9">
        <f t="shared" si="831"/>
        <v>1.9868981202495965E-2</v>
      </c>
      <c r="V155" s="10">
        <f t="shared" si="831"/>
        <v>2.0900321543408359E-2</v>
      </c>
      <c r="W155" s="10">
        <f t="shared" si="831"/>
        <v>2.185792349726776E-2</v>
      </c>
      <c r="X155" s="10">
        <f t="shared" si="831"/>
        <v>2.3405972558514933E-2</v>
      </c>
      <c r="Y155" s="10">
        <f t="shared" si="831"/>
        <v>1.921598770176787E-2</v>
      </c>
      <c r="Z155" s="9">
        <f t="shared" si="831"/>
        <v>2.1322803553800593E-2</v>
      </c>
      <c r="AA155" s="10">
        <f t="shared" si="831"/>
        <v>1.7597551644988524E-2</v>
      </c>
      <c r="AB155" s="10">
        <f t="shared" si="831"/>
        <v>1.8950437317784258E-2</v>
      </c>
      <c r="AC155" s="10">
        <f t="shared" si="831"/>
        <v>2.2271714922048998E-2</v>
      </c>
      <c r="AD155" s="10">
        <f t="shared" si="831"/>
        <v>2.3758099352051837E-2</v>
      </c>
      <c r="AE155" s="9">
        <f t="shared" si="831"/>
        <v>2.0683287165281627E-2</v>
      </c>
      <c r="AF155" s="10">
        <f t="shared" si="831"/>
        <v>2.1625652498135719E-2</v>
      </c>
      <c r="AG155" s="10">
        <f t="shared" si="831"/>
        <v>2.5868440502586843E-2</v>
      </c>
      <c r="AH155" s="10">
        <f t="shared" si="831"/>
        <v>2.710843373493976E-2</v>
      </c>
      <c r="AI155" s="10">
        <f t="shared" si="831"/>
        <v>2.7838827838827841E-2</v>
      </c>
      <c r="AJ155" s="9">
        <f t="shared" si="831"/>
        <v>2.5617226656766291E-2</v>
      </c>
      <c r="AK155" s="10">
        <f t="shared" si="831"/>
        <v>2.7272727272727271E-2</v>
      </c>
      <c r="AL155" s="10">
        <f t="shared" si="831"/>
        <v>2.7456647398843931E-2</v>
      </c>
      <c r="AM155" s="10">
        <f t="shared" si="831"/>
        <v>2.6178010471204188E-2</v>
      </c>
      <c r="AN155" s="10">
        <f t="shared" si="831"/>
        <v>2.5289017341040464E-2</v>
      </c>
      <c r="AO155" s="9">
        <f t="shared" si="831"/>
        <v>2.6543778801843318E-2</v>
      </c>
      <c r="AP155" s="10">
        <f t="shared" si="831"/>
        <v>2.3289665211062592E-2</v>
      </c>
      <c r="AQ155" s="10">
        <f t="shared" si="831"/>
        <v>2.1930457365459528E-2</v>
      </c>
      <c r="AR155" s="10">
        <f t="shared" si="831"/>
        <v>2.2827687776141383E-2</v>
      </c>
      <c r="AS155" s="10">
        <f t="shared" si="831"/>
        <v>2.6259758694109299E-2</v>
      </c>
      <c r="AT155" s="9">
        <f t="shared" si="831"/>
        <v>2.3592415689680128E-2</v>
      </c>
      <c r="AU155" s="10">
        <f t="shared" si="831"/>
        <v>2.4637681159420291E-2</v>
      </c>
      <c r="AV155" s="10">
        <f t="shared" si="831"/>
        <v>9.2989985693848354E-3</v>
      </c>
      <c r="AW155" s="10">
        <f t="shared" si="831"/>
        <v>6.6371681415929203E-3</v>
      </c>
      <c r="AX155" s="10">
        <f t="shared" si="831"/>
        <v>1.5680684248039915E-2</v>
      </c>
      <c r="AY155" s="9">
        <f t="shared" si="831"/>
        <v>1.4087050749503342E-2</v>
      </c>
      <c r="AZ155" s="10">
        <f t="shared" si="831"/>
        <v>1.0337698139214336E-2</v>
      </c>
      <c r="BA155" s="10">
        <f t="shared" si="831"/>
        <v>7.1895424836601303E-3</v>
      </c>
      <c r="BB155" s="10">
        <f t="shared" si="831"/>
        <v>1.0256410256410256E-2</v>
      </c>
      <c r="BC155" s="10">
        <f t="shared" si="831"/>
        <v>9.5238095238095247E-3</v>
      </c>
      <c r="BD155" s="9">
        <f t="shared" si="831"/>
        <v>9.3543934979297659E-3</v>
      </c>
      <c r="BE155" s="10">
        <f t="shared" si="831"/>
        <v>5.016722408026756E-3</v>
      </c>
      <c r="BF155" s="10">
        <f t="shared" si="831"/>
        <v>8.2236842105263153E-3</v>
      </c>
      <c r="BG155" s="10">
        <f t="shared" si="831"/>
        <v>1.0169491525423728E-2</v>
      </c>
      <c r="BH155" s="10">
        <f t="shared" si="831"/>
        <v>1.5686274509803921E-2</v>
      </c>
      <c r="BI155" s="9">
        <f t="shared" si="831"/>
        <v>9.7588177889307119E-3</v>
      </c>
      <c r="BJ155" s="10">
        <f t="shared" si="831"/>
        <v>1.0089686098654708E-2</v>
      </c>
      <c r="BK155" s="10">
        <f t="shared" si="831"/>
        <v>1.4436424208772903E-2</v>
      </c>
      <c r="BL155" s="10">
        <f t="shared" si="831"/>
        <v>1.3659647125782584E-2</v>
      </c>
      <c r="BM155" s="10">
        <f t="shared" si="831"/>
        <v>1.1911514463981849E-2</v>
      </c>
      <c r="BN155" s="9">
        <f t="shared" si="831"/>
        <v>1.2526389866291345E-2</v>
      </c>
      <c r="BO155" s="10">
        <f t="shared" si="831"/>
        <v>1.2159814707585408E-2</v>
      </c>
      <c r="BP155" s="10">
        <f t="shared" si="831"/>
        <v>8.8008800880088004E-3</v>
      </c>
      <c r="BQ155" s="10">
        <f t="shared" si="831"/>
        <v>3.3707865168539327E-3</v>
      </c>
      <c r="BR155" s="10">
        <f t="shared" si="831"/>
        <v>6.0975609756097563E-3</v>
      </c>
      <c r="BS155" s="9">
        <f t="shared" si="831"/>
        <v>7.5746949081217565E-3</v>
      </c>
      <c r="BT155" s="10">
        <f t="shared" si="831"/>
        <v>9.9173553719008271E-3</v>
      </c>
      <c r="BU155" s="10">
        <f t="shared" si="831"/>
        <v>3.188097768331562E-3</v>
      </c>
      <c r="BV155" s="10">
        <f t="shared" si="831"/>
        <v>1.0970927043335162E-3</v>
      </c>
      <c r="BW155" s="10">
        <f t="shared" si="831"/>
        <v>4.7619047619047623E-3</v>
      </c>
      <c r="BX155" s="9">
        <f t="shared" si="831"/>
        <v>4.7233468286099868E-3</v>
      </c>
      <c r="BY155" s="10">
        <f t="shared" si="831"/>
        <v>1.2130801687763712E-2</v>
      </c>
      <c r="BZ155" s="10">
        <f t="shared" si="831"/>
        <v>9.6056622851365021E-3</v>
      </c>
      <c r="CA155" s="10">
        <f t="shared" si="831"/>
        <v>1.1452368558042686E-2</v>
      </c>
      <c r="CB155" s="10">
        <f t="shared" si="831"/>
        <v>9.2592592592592587E-3</v>
      </c>
      <c r="CC155" s="9">
        <f t="shared" si="831"/>
        <v>1.0559396605908234E-2</v>
      </c>
      <c r="CD155" s="10">
        <f t="shared" ref="CD155:EA155" si="832">+CD153/CD126</f>
        <v>1.2974531475252283E-2</v>
      </c>
      <c r="CE155" s="10">
        <f t="shared" si="832"/>
        <v>1.0818438381937912E-2</v>
      </c>
      <c r="CF155" s="10">
        <f t="shared" si="832"/>
        <v>1.2869399428026692E-2</v>
      </c>
      <c r="CG155" s="10">
        <f t="shared" si="832"/>
        <v>1.2317518248175183E-2</v>
      </c>
      <c r="CH155" s="9">
        <f t="shared" si="832"/>
        <v>1.2239613981405202E-2</v>
      </c>
      <c r="CI155" s="10">
        <f t="shared" si="832"/>
        <v>1.6572176188399478E-2</v>
      </c>
      <c r="CJ155" s="10">
        <f t="shared" si="832"/>
        <v>1.7654476670870115E-2</v>
      </c>
      <c r="CK155" s="10">
        <f t="shared" si="832"/>
        <v>2.0683832840861123E-2</v>
      </c>
      <c r="CL155" s="10">
        <f t="shared" si="832"/>
        <v>2.2184300341296929E-2</v>
      </c>
      <c r="CM155" s="9">
        <f t="shared" si="832"/>
        <v>1.928609483217901E-2</v>
      </c>
      <c r="CN155" s="10">
        <f t="shared" si="832"/>
        <v>2.4968260685569191E-2</v>
      </c>
      <c r="CO155" s="10">
        <f t="shared" si="832"/>
        <v>2.3462783171521034E-2</v>
      </c>
      <c r="CP155" s="10">
        <f t="shared" si="832"/>
        <v>2.4160524160524159E-2</v>
      </c>
      <c r="CQ155" s="10">
        <f t="shared" si="832"/>
        <v>2.6284348864994027E-2</v>
      </c>
      <c r="CR155" s="9">
        <f t="shared" si="832"/>
        <v>2.4724152022885165E-2</v>
      </c>
      <c r="CS155" s="10">
        <f t="shared" si="832"/>
        <v>2.2230595327807082E-2</v>
      </c>
      <c r="CT155" s="10">
        <f t="shared" si="832"/>
        <v>2.1433591004919185E-2</v>
      </c>
      <c r="CU155" s="10">
        <f t="shared" si="832"/>
        <v>2.0682523267838676E-2</v>
      </c>
      <c r="CV155" s="10">
        <f t="shared" si="832"/>
        <v>2.8857252789534438E-2</v>
      </c>
      <c r="CW155" s="9">
        <f t="shared" si="832"/>
        <v>2.3181818181818182E-2</v>
      </c>
      <c r="CX155" s="10">
        <f t="shared" si="832"/>
        <v>2.8846153846153848E-2</v>
      </c>
      <c r="CY155" s="10">
        <f t="shared" si="832"/>
        <v>2.7268453220498354E-2</v>
      </c>
      <c r="CZ155" s="10">
        <f t="shared" si="832"/>
        <v>2.8301886792452831E-2</v>
      </c>
      <c r="DA155" s="10">
        <f t="shared" si="832"/>
        <v>2.2476862053768181E-2</v>
      </c>
      <c r="DB155" s="9">
        <f t="shared" si="832"/>
        <v>2.6686350215761979E-2</v>
      </c>
      <c r="DC155" s="10">
        <f t="shared" si="832"/>
        <v>2.6370004120313144E-2</v>
      </c>
      <c r="DD155" s="10">
        <f t="shared" si="832"/>
        <v>2.6204238921001925E-2</v>
      </c>
      <c r="DE155" s="10">
        <f t="shared" si="832"/>
        <v>3.2932971716388995E-2</v>
      </c>
      <c r="DF155" s="10">
        <f t="shared" si="832"/>
        <v>2.5865209471766848E-2</v>
      </c>
      <c r="DG155" s="9">
        <f t="shared" si="832"/>
        <v>2.7831465017394665E-2</v>
      </c>
      <c r="DH155" s="10">
        <f t="shared" si="832"/>
        <v>3.288271830471319E-2</v>
      </c>
      <c r="DI155" s="10">
        <f t="shared" si="832"/>
        <v>2.2742701968771217E-2</v>
      </c>
      <c r="DJ155" s="10">
        <f t="shared" si="832"/>
        <v>2.455897613282601E-2</v>
      </c>
      <c r="DK155" s="10">
        <f t="shared" si="832"/>
        <v>3.5998615437867774E-2</v>
      </c>
      <c r="DL155" s="9">
        <f t="shared" si="832"/>
        <v>2.8962749716479108E-2</v>
      </c>
      <c r="DM155" s="10">
        <f t="shared" si="832"/>
        <v>4.2127071823204423E-2</v>
      </c>
      <c r="DN155" s="10">
        <f t="shared" si="832"/>
        <v>1.5991833957128276E-2</v>
      </c>
      <c r="DO155" s="10">
        <f t="shared" si="832"/>
        <v>2.3222579492675956E-2</v>
      </c>
      <c r="DP155" s="10">
        <f t="shared" si="832"/>
        <v>3.1717747683535281E-2</v>
      </c>
      <c r="DQ155" s="9">
        <f t="shared" si="832"/>
        <v>2.8234265734265733E-2</v>
      </c>
      <c r="DR155" s="10">
        <f t="shared" si="832"/>
        <v>2.9504741833508957E-2</v>
      </c>
      <c r="DS155" s="10">
        <f t="shared" si="832"/>
        <v>1.7803157541148806E-2</v>
      </c>
      <c r="DT155" s="10">
        <f t="shared" si="832"/>
        <v>2.2299651567944251E-2</v>
      </c>
      <c r="DU155" s="10">
        <f t="shared" si="832"/>
        <v>3.3049403747870527E-2</v>
      </c>
      <c r="DV155" s="9">
        <f t="shared" si="832"/>
        <v>2.5625591194427724E-2</v>
      </c>
      <c r="DW155" s="10">
        <f t="shared" si="832"/>
        <v>3.0313588850174215E-2</v>
      </c>
      <c r="DX155" s="10">
        <f t="shared" si="832"/>
        <v>2.1807838179519597E-2</v>
      </c>
      <c r="DY155" s="10">
        <f>+DY153/DY126</f>
        <v>3.254914598775379E-2</v>
      </c>
      <c r="DZ155" s="10">
        <f>+DZ153/DZ126</f>
        <v>2.6365930600543798E-2</v>
      </c>
      <c r="EA155" s="9">
        <f t="shared" si="832"/>
        <v>2.7680080565335934E-2</v>
      </c>
      <c r="EB155" s="10">
        <f t="shared" ref="EB155:EF155" si="833">+EB153/EB126</f>
        <v>3.0398322851153039E-2</v>
      </c>
      <c r="EC155" s="10">
        <f t="shared" si="833"/>
        <v>3.6419332879509873E-2</v>
      </c>
      <c r="ED155" s="10">
        <f t="shared" si="833"/>
        <v>3.0143708377146864E-2</v>
      </c>
      <c r="EE155" s="10">
        <f t="shared" si="833"/>
        <v>3.7686567164179105E-2</v>
      </c>
      <c r="EF155" s="9">
        <f t="shared" si="833"/>
        <v>3.3618635842230654E-2</v>
      </c>
      <c r="EG155" s="10">
        <f>+EG153/EG126</f>
        <v>3.1520882584712369E-2</v>
      </c>
      <c r="EH155" s="10">
        <f>+EH153/EH126</f>
        <v>3.7207518220176448E-2</v>
      </c>
      <c r="EI155" s="10">
        <f>+EI153/EI126</f>
        <v>2.9244208127611089E-2</v>
      </c>
      <c r="EJ155" s="10">
        <f t="shared" ref="EJ155:EK155" si="834">+EJ153/EJ126</f>
        <v>3.9001026342798492E-2</v>
      </c>
      <c r="EK155" s="9">
        <f t="shared" si="834"/>
        <v>3.4389309410335481E-2</v>
      </c>
      <c r="EL155" s="10">
        <f>+EL153/EL126</f>
        <v>2.6475849731663684E-2</v>
      </c>
      <c r="EM155" s="10">
        <f>+EM153/EM126</f>
        <v>5.6556195965417867E-2</v>
      </c>
      <c r="EN155" s="10">
        <f>+EN153/EN126</f>
        <v>3.5876132930513595E-2</v>
      </c>
      <c r="EO155" s="10">
        <f t="shared" ref="EO155:EP155" si="835">+EO153/EO126</f>
        <v>3.9201451905626135E-2</v>
      </c>
      <c r="EP155" s="9">
        <f t="shared" si="835"/>
        <v>3.954802259887006E-2</v>
      </c>
      <c r="EQ155" s="10">
        <f>+EQ153/EQ126</f>
        <v>5.3094104723544491E-2</v>
      </c>
      <c r="ER155" s="10">
        <f t="shared" ref="ER155" si="836">+ER153/ER126</f>
        <v>4.3495786370308639E-2</v>
      </c>
      <c r="ES155" s="10">
        <f t="shared" ref="ES155:EU155" si="837">+ES153/ES126</f>
        <v>4.3518236221808136E-2</v>
      </c>
      <c r="ET155" s="10">
        <f t="shared" si="837"/>
        <v>4.1101560209935398E-2</v>
      </c>
      <c r="EU155" s="9">
        <f t="shared" si="837"/>
        <v>4.5222733872899636E-2</v>
      </c>
      <c r="EV155" s="185" t="e">
        <f t="shared" ref="EV155:EZ155" si="838">+EV153/EV126</f>
        <v>#DIV/0!</v>
      </c>
      <c r="EW155" s="185" t="e">
        <f t="shared" si="838"/>
        <v>#DIV/0!</v>
      </c>
      <c r="EX155" s="185" t="e">
        <f t="shared" si="838"/>
        <v>#DIV/0!</v>
      </c>
      <c r="EY155" s="185" t="e">
        <f t="shared" si="838"/>
        <v>#DIV/0!</v>
      </c>
      <c r="EZ155" s="9">
        <f t="shared" si="838"/>
        <v>4.421649525500284E-2</v>
      </c>
      <c r="FA155" s="185" t="e">
        <f t="shared" ref="FA155:FE155" si="839">+FA153/FA126</f>
        <v>#DIV/0!</v>
      </c>
      <c r="FB155" s="185" t="e">
        <f t="shared" si="839"/>
        <v>#DIV/0!</v>
      </c>
      <c r="FC155" s="185" t="e">
        <f t="shared" si="839"/>
        <v>#DIV/0!</v>
      </c>
      <c r="FD155" s="185" t="e">
        <f t="shared" si="839"/>
        <v>#DIV/0!</v>
      </c>
      <c r="FE155" s="9">
        <f t="shared" si="839"/>
        <v>4.3053170272029435E-2</v>
      </c>
      <c r="FG155" s="489"/>
      <c r="FH155" s="767"/>
      <c r="FI155" s="767"/>
      <c r="FJ155" s="767"/>
      <c r="FK155" s="185"/>
      <c r="FL155" s="1338"/>
      <c r="FM155" s="1141">
        <f t="shared" si="775"/>
        <v>5.3094104723544491E-2</v>
      </c>
      <c r="FN155" s="1418">
        <f t="shared" si="776"/>
        <v>2.6475849731663684E-2</v>
      </c>
      <c r="FO155" s="1750">
        <v>3.3103111858318719E-2</v>
      </c>
      <c r="FP155" s="1741"/>
      <c r="FQ155" s="1503"/>
      <c r="FR155" s="1619"/>
      <c r="FS155" s="1615"/>
      <c r="FT155" s="432"/>
      <c r="FU155" s="432"/>
      <c r="FV155" s="432"/>
      <c r="FW155" s="432"/>
      <c r="FX155" s="432"/>
      <c r="FY155" s="432"/>
      <c r="FZ155" s="489"/>
      <c r="GA155"/>
      <c r="GB155"/>
      <c r="GC155"/>
      <c r="GD155"/>
      <c r="GE155"/>
      <c r="GF155"/>
      <c r="GG155"/>
      <c r="GH155"/>
      <c r="GI155"/>
      <c r="GJ155"/>
      <c r="GK155"/>
      <c r="GL155"/>
      <c r="GM155"/>
      <c r="GN155"/>
      <c r="GO155"/>
      <c r="GP155"/>
      <c r="GQ155"/>
      <c r="GR155"/>
      <c r="GS155"/>
      <c r="GT155"/>
      <c r="GU155"/>
      <c r="GV155"/>
      <c r="GW155"/>
      <c r="GX155"/>
      <c r="GY155"/>
      <c r="GZ155"/>
      <c r="HA155"/>
      <c r="HB155"/>
      <c r="HC155"/>
      <c r="HD155"/>
      <c r="HE155"/>
      <c r="HF155"/>
      <c r="HG155"/>
      <c r="HH155"/>
      <c r="HI155"/>
      <c r="HJ155"/>
      <c r="HK155"/>
      <c r="HL155"/>
      <c r="HM155"/>
      <c r="HN155"/>
      <c r="HO155"/>
      <c r="HP155"/>
      <c r="HQ155"/>
      <c r="HR155"/>
      <c r="HS155"/>
      <c r="HT155"/>
      <c r="HU155"/>
      <c r="HV155"/>
      <c r="HW155"/>
      <c r="HX155"/>
      <c r="HY155"/>
      <c r="HZ155"/>
      <c r="IA155"/>
      <c r="IB155"/>
      <c r="IC155"/>
      <c r="ID155"/>
      <c r="IE155"/>
      <c r="IF155"/>
      <c r="IG155"/>
      <c r="IH155"/>
      <c r="II155"/>
      <c r="IJ155"/>
      <c r="IK155"/>
      <c r="IL155"/>
      <c r="IM155"/>
      <c r="IN155"/>
      <c r="IO155"/>
      <c r="IP155"/>
      <c r="IQ155"/>
      <c r="IR155"/>
      <c r="IS155"/>
      <c r="IT155"/>
      <c r="IU155"/>
      <c r="IV155"/>
      <c r="IW155"/>
      <c r="IX155"/>
    </row>
    <row r="156" spans="1:258" s="113" customFormat="1" x14ac:dyDescent="0.2">
      <c r="A156" s="109" t="s">
        <v>310</v>
      </c>
      <c r="B156" s="110"/>
      <c r="C156" s="110"/>
      <c r="D156" s="110"/>
      <c r="E156" s="110"/>
      <c r="F156" s="404"/>
      <c r="G156" s="110"/>
      <c r="H156" s="110"/>
      <c r="I156" s="110"/>
      <c r="J156" s="110"/>
      <c r="K156" s="404"/>
      <c r="L156" s="110"/>
      <c r="M156" s="110"/>
      <c r="N156" s="110"/>
      <c r="O156" s="110"/>
      <c r="P156" s="404"/>
      <c r="Q156" s="110">
        <f t="shared" ref="Q156:BH156" si="840">Q126+Q153</f>
        <v>1294</v>
      </c>
      <c r="R156" s="110">
        <f t="shared" si="840"/>
        <v>1305.300395256917</v>
      </c>
      <c r="S156" s="110">
        <f t="shared" si="840"/>
        <v>1272.9000000000001</v>
      </c>
      <c r="T156" s="110">
        <f t="shared" si="840"/>
        <v>1312.1</v>
      </c>
      <c r="U156" s="404">
        <f t="shared" si="840"/>
        <v>5184.300395256917</v>
      </c>
      <c r="V156" s="110">
        <f t="shared" si="840"/>
        <v>1270</v>
      </c>
      <c r="W156" s="110">
        <f t="shared" si="840"/>
        <v>1309</v>
      </c>
      <c r="X156" s="110">
        <f t="shared" si="840"/>
        <v>1268</v>
      </c>
      <c r="Y156" s="110">
        <f t="shared" si="840"/>
        <v>1326</v>
      </c>
      <c r="Z156" s="404">
        <f t="shared" si="840"/>
        <v>5173</v>
      </c>
      <c r="AA156" s="110">
        <f t="shared" si="840"/>
        <v>1330</v>
      </c>
      <c r="AB156" s="110">
        <f t="shared" si="840"/>
        <v>1398</v>
      </c>
      <c r="AC156" s="110">
        <f t="shared" si="840"/>
        <v>1377</v>
      </c>
      <c r="AD156" s="110">
        <f t="shared" si="840"/>
        <v>1422</v>
      </c>
      <c r="AE156" s="404">
        <f t="shared" si="840"/>
        <v>5527</v>
      </c>
      <c r="AF156" s="110">
        <f t="shared" si="840"/>
        <v>1370</v>
      </c>
      <c r="AG156" s="110">
        <f t="shared" si="840"/>
        <v>1388</v>
      </c>
      <c r="AH156" s="110">
        <f t="shared" si="840"/>
        <v>1364</v>
      </c>
      <c r="AI156" s="110">
        <f t="shared" si="840"/>
        <v>1403</v>
      </c>
      <c r="AJ156" s="404">
        <f t="shared" si="840"/>
        <v>5525</v>
      </c>
      <c r="AK156" s="110">
        <f t="shared" si="840"/>
        <v>1356</v>
      </c>
      <c r="AL156" s="110">
        <f t="shared" si="840"/>
        <v>1422</v>
      </c>
      <c r="AM156" s="110">
        <f t="shared" si="840"/>
        <v>1372</v>
      </c>
      <c r="AN156" s="110">
        <f t="shared" si="840"/>
        <v>1419</v>
      </c>
      <c r="AO156" s="404">
        <f t="shared" si="840"/>
        <v>5569</v>
      </c>
      <c r="AP156" s="110">
        <f t="shared" si="840"/>
        <v>1406</v>
      </c>
      <c r="AQ156" s="110">
        <f t="shared" si="840"/>
        <v>1416.6000000000001</v>
      </c>
      <c r="AR156" s="110">
        <f t="shared" si="840"/>
        <v>1389</v>
      </c>
      <c r="AS156" s="110">
        <f t="shared" si="840"/>
        <v>1446</v>
      </c>
      <c r="AT156" s="404">
        <f t="shared" si="840"/>
        <v>5657.5999999999995</v>
      </c>
      <c r="AU156" s="110">
        <f t="shared" si="840"/>
        <v>1414</v>
      </c>
      <c r="AV156" s="110">
        <f t="shared" si="840"/>
        <v>1411</v>
      </c>
      <c r="AW156" s="110">
        <f t="shared" si="840"/>
        <v>1365</v>
      </c>
      <c r="AX156" s="110">
        <f t="shared" si="840"/>
        <v>1425</v>
      </c>
      <c r="AY156" s="404">
        <f t="shared" si="840"/>
        <v>5615</v>
      </c>
      <c r="AZ156" s="110">
        <f t="shared" si="840"/>
        <v>1466</v>
      </c>
      <c r="BA156" s="110">
        <f t="shared" si="840"/>
        <v>1541</v>
      </c>
      <c r="BB156" s="110">
        <f t="shared" si="840"/>
        <v>1773</v>
      </c>
      <c r="BC156" s="110">
        <f t="shared" si="840"/>
        <v>1802</v>
      </c>
      <c r="BD156" s="404">
        <f t="shared" si="840"/>
        <v>6582</v>
      </c>
      <c r="BE156" s="110">
        <f t="shared" si="840"/>
        <v>1803</v>
      </c>
      <c r="BF156" s="110">
        <f t="shared" si="840"/>
        <v>1839</v>
      </c>
      <c r="BG156" s="110">
        <f t="shared" si="840"/>
        <v>1788</v>
      </c>
      <c r="BH156" s="110">
        <f t="shared" si="840"/>
        <v>1813</v>
      </c>
      <c r="BI156" s="404">
        <f>SUM(BE156:BH156)</f>
        <v>7243</v>
      </c>
      <c r="BJ156" s="110">
        <f>BJ126+BJ153</f>
        <v>1802</v>
      </c>
      <c r="BK156" s="110">
        <f>BK126+BK153</f>
        <v>1827</v>
      </c>
      <c r="BL156" s="110">
        <f>BL126+BL153</f>
        <v>1781</v>
      </c>
      <c r="BM156" s="110">
        <f>BM126+BM153</f>
        <v>1784</v>
      </c>
      <c r="BN156" s="404">
        <f>SUM(BJ156:BM156)</f>
        <v>7194</v>
      </c>
      <c r="BO156" s="110">
        <f>BO126+BO153</f>
        <v>1748</v>
      </c>
      <c r="BP156" s="110">
        <f>BP126+BP153</f>
        <v>1834</v>
      </c>
      <c r="BQ156" s="110">
        <f>BQ126+BQ153</f>
        <v>1786</v>
      </c>
      <c r="BR156" s="110">
        <f>BR126+BR153</f>
        <v>1815</v>
      </c>
      <c r="BS156" s="404">
        <f>SUM(BO156:BR156)</f>
        <v>7183</v>
      </c>
      <c r="BT156" s="110">
        <f>BT126+BT153</f>
        <v>1833</v>
      </c>
      <c r="BU156" s="110">
        <f>BU126+BU153</f>
        <v>1888</v>
      </c>
      <c r="BV156" s="110">
        <f>BV126+BV153</f>
        <v>1825</v>
      </c>
      <c r="BW156" s="110">
        <f>BW126+BW153</f>
        <v>1899</v>
      </c>
      <c r="BX156" s="404">
        <f>SUM(BT156:BW156)</f>
        <v>7445</v>
      </c>
      <c r="BY156" s="110">
        <f>BY126+BY153</f>
        <v>1919</v>
      </c>
      <c r="BZ156" s="110">
        <f>BZ126+BZ153</f>
        <v>1997</v>
      </c>
      <c r="CA156" s="110">
        <f>CA126+CA153</f>
        <v>1943</v>
      </c>
      <c r="CB156" s="110">
        <f>CB126+CB153</f>
        <v>2180</v>
      </c>
      <c r="CC156" s="404">
        <f>SUM(BY156:CB156)</f>
        <v>8039</v>
      </c>
      <c r="CD156" s="110">
        <f>CD126+CD153</f>
        <v>2108</v>
      </c>
      <c r="CE156" s="110">
        <f>CE126+CE153</f>
        <v>2149</v>
      </c>
      <c r="CF156" s="110">
        <f>CF126+CF153</f>
        <v>2125</v>
      </c>
      <c r="CG156" s="110">
        <f>CG126+CG153</f>
        <v>2219</v>
      </c>
      <c r="CH156" s="404">
        <f>SUM(CD156:CG156)</f>
        <v>8601</v>
      </c>
      <c r="CI156" s="110">
        <f>CI126+CI153</f>
        <v>2331</v>
      </c>
      <c r="CJ156" s="110">
        <f>CJ126+CJ153</f>
        <v>2421</v>
      </c>
      <c r="CK156" s="110">
        <f>CK126+CK153</f>
        <v>2418</v>
      </c>
      <c r="CL156" s="110">
        <f>CL126+CL153</f>
        <v>2396</v>
      </c>
      <c r="CM156" s="404">
        <f>SUM(CI156:CL156)</f>
        <v>9566</v>
      </c>
      <c r="CN156" s="110">
        <f>CN126+CN153</f>
        <v>2422</v>
      </c>
      <c r="CO156" s="110">
        <f>CO126+CO153</f>
        <v>2530</v>
      </c>
      <c r="CP156" s="110">
        <f>CP126+CP153</f>
        <v>2501</v>
      </c>
      <c r="CQ156" s="110">
        <f>CQ126+CQ153</f>
        <v>2577</v>
      </c>
      <c r="CR156" s="404">
        <f>SUM(CN156:CQ156)</f>
        <v>10030</v>
      </c>
      <c r="CS156" s="110">
        <f>CS126+CS153</f>
        <v>2713</v>
      </c>
      <c r="CT156" s="110">
        <f>CT126+CT153</f>
        <v>2907</v>
      </c>
      <c r="CU156" s="110">
        <f>CU126+CU153</f>
        <v>2961</v>
      </c>
      <c r="CV156" s="110">
        <f>CV126+CV153</f>
        <v>2674</v>
      </c>
      <c r="CW156" s="404">
        <f>SUM(CS156:CV156)</f>
        <v>11255</v>
      </c>
      <c r="CX156" s="110">
        <f>CX126+CX153</f>
        <v>2247</v>
      </c>
      <c r="CY156" s="110">
        <f>CY126+CY153</f>
        <v>2185</v>
      </c>
      <c r="CZ156" s="110">
        <f>CZ126+CZ153</f>
        <v>2289</v>
      </c>
      <c r="DA156" s="110">
        <f>DA126+DA153</f>
        <v>2320</v>
      </c>
      <c r="DB156" s="404">
        <f>SUM(CX156:DA156)</f>
        <v>9041</v>
      </c>
      <c r="DC156" s="110">
        <f t="shared" ref="DC156:DV156" si="841">DC126+DC153</f>
        <v>2491</v>
      </c>
      <c r="DD156" s="110">
        <f t="shared" si="841"/>
        <v>2663</v>
      </c>
      <c r="DE156" s="110">
        <f t="shared" si="841"/>
        <v>2666</v>
      </c>
      <c r="DF156" s="110">
        <f t="shared" si="841"/>
        <v>2816</v>
      </c>
      <c r="DG156" s="404">
        <f t="shared" si="841"/>
        <v>10636</v>
      </c>
      <c r="DH156" s="110">
        <f t="shared" si="841"/>
        <v>2827</v>
      </c>
      <c r="DI156" s="110">
        <f t="shared" si="841"/>
        <v>3013</v>
      </c>
      <c r="DJ156" s="110">
        <f t="shared" si="841"/>
        <v>2962</v>
      </c>
      <c r="DK156" s="110">
        <f t="shared" si="841"/>
        <v>2993</v>
      </c>
      <c r="DL156" s="404">
        <f t="shared" si="841"/>
        <v>11795</v>
      </c>
      <c r="DM156" s="110">
        <f t="shared" si="841"/>
        <v>3018</v>
      </c>
      <c r="DN156" s="110">
        <f t="shared" si="841"/>
        <v>2986</v>
      </c>
      <c r="DO156" s="110">
        <f t="shared" si="841"/>
        <v>2864</v>
      </c>
      <c r="DP156" s="110">
        <f t="shared" si="841"/>
        <v>2895</v>
      </c>
      <c r="DQ156" s="404">
        <f t="shared" si="841"/>
        <v>11763</v>
      </c>
      <c r="DR156" s="110">
        <f t="shared" si="841"/>
        <v>2931</v>
      </c>
      <c r="DS156" s="110">
        <f>DS126+DS153</f>
        <v>3030</v>
      </c>
      <c r="DT156" s="110">
        <f t="shared" si="841"/>
        <v>2934</v>
      </c>
      <c r="DU156" s="110">
        <f>DU126+DU153</f>
        <v>3032</v>
      </c>
      <c r="DV156" s="404">
        <f t="shared" si="841"/>
        <v>11927</v>
      </c>
      <c r="DW156" s="110">
        <f t="shared" ref="DW156:EB156" si="842">DW126+DW153</f>
        <v>2957</v>
      </c>
      <c r="DX156" s="110">
        <f t="shared" si="842"/>
        <v>3233</v>
      </c>
      <c r="DY156" s="110">
        <f t="shared" si="842"/>
        <v>3204</v>
      </c>
      <c r="DZ156" s="110">
        <f t="shared" si="842"/>
        <v>3192.0741802873722</v>
      </c>
      <c r="EA156" s="404">
        <f t="shared" si="842"/>
        <v>12586.074180287373</v>
      </c>
      <c r="EB156" s="110">
        <f t="shared" si="842"/>
        <v>2949</v>
      </c>
      <c r="EC156" s="110">
        <f t="shared" ref="EC156:EF156" si="843">EC126+EC153</f>
        <v>3045</v>
      </c>
      <c r="ED156" s="110">
        <f t="shared" si="843"/>
        <v>2939</v>
      </c>
      <c r="EE156" s="110">
        <f t="shared" si="843"/>
        <v>2781</v>
      </c>
      <c r="EF156" s="404">
        <f t="shared" si="843"/>
        <v>11714</v>
      </c>
      <c r="EG156" s="110">
        <f>EG126+EG153</f>
        <v>2618</v>
      </c>
      <c r="EH156" s="110">
        <f>EH126+EH153</f>
        <v>2704</v>
      </c>
      <c r="EI156" s="110">
        <f>EI126+EI153</f>
        <v>2710</v>
      </c>
      <c r="EJ156" s="110">
        <f t="shared" ref="EJ156:EL156" si="844">EJ126+EJ153</f>
        <v>3037</v>
      </c>
      <c r="EK156" s="404">
        <f t="shared" si="844"/>
        <v>11069</v>
      </c>
      <c r="EL156" s="110">
        <f t="shared" si="844"/>
        <v>2869</v>
      </c>
      <c r="EM156" s="110">
        <f>EM126+EM153</f>
        <v>2933</v>
      </c>
      <c r="EN156" s="110">
        <f>EN126+EN153</f>
        <v>2743</v>
      </c>
      <c r="EO156" s="110">
        <f t="shared" ref="EO156:EQ156" si="845">EO126+EO153</f>
        <v>2863</v>
      </c>
      <c r="EP156" s="404">
        <f t="shared" si="845"/>
        <v>11408</v>
      </c>
      <c r="EQ156" s="110">
        <f t="shared" si="845"/>
        <v>2876</v>
      </c>
      <c r="ER156" s="110">
        <f t="shared" ref="ER156" si="846">ER126+ER153</f>
        <v>2878.8879294734429</v>
      </c>
      <c r="ES156" s="110">
        <f t="shared" ref="ES156:EU156" si="847">ES126+ES153</f>
        <v>2877.4646956823317</v>
      </c>
      <c r="ET156" s="110">
        <f t="shared" si="847"/>
        <v>3039.5971974560866</v>
      </c>
      <c r="EU156" s="404">
        <f t="shared" si="847"/>
        <v>11671.949822611861</v>
      </c>
      <c r="EV156" s="110"/>
      <c r="EW156" s="110"/>
      <c r="EX156" s="110"/>
      <c r="EY156" s="110"/>
      <c r="EZ156" s="404">
        <f>EZ126+EZ153</f>
        <v>11926.077068356344</v>
      </c>
      <c r="FA156" s="110"/>
      <c r="FB156" s="110"/>
      <c r="FC156" s="110"/>
      <c r="FD156" s="110"/>
      <c r="FE156" s="404">
        <f>FE126+FE153</f>
        <v>12234.682084017999</v>
      </c>
      <c r="FG156" s="489"/>
      <c r="FH156" s="815">
        <f>+(FE156/EU156)^(0.5)-1</f>
        <v>2.3822426622750692E-2</v>
      </c>
      <c r="FI156" s="1930"/>
      <c r="FJ156" s="1930"/>
      <c r="FL156" s="1347"/>
      <c r="FM156" s="1533">
        <f t="shared" si="775"/>
        <v>2876</v>
      </c>
      <c r="FN156" s="775">
        <f t="shared" si="776"/>
        <v>2869</v>
      </c>
      <c r="FO156" s="1812">
        <v>2808.7776298856702</v>
      </c>
      <c r="FP156" s="1748">
        <f>+FM156/FN156-1</f>
        <v>2.439874520739016E-3</v>
      </c>
      <c r="FQ156" s="1613">
        <f>+FM156/FO156-1</f>
        <v>2.3932962652179146E-2</v>
      </c>
      <c r="FR156" s="1614" t="s">
        <v>813</v>
      </c>
      <c r="FS156" s="1619"/>
      <c r="FT156" s="355"/>
      <c r="FU156" s="355"/>
      <c r="FV156" s="355"/>
      <c r="FW156" s="355"/>
      <c r="FX156" s="355"/>
      <c r="FY156" s="355"/>
      <c r="FZ156" s="489"/>
      <c r="GA156"/>
      <c r="GB156"/>
      <c r="GC156"/>
      <c r="GD156"/>
      <c r="GE156"/>
      <c r="GF156"/>
      <c r="GG156"/>
      <c r="GH156"/>
      <c r="GI156"/>
      <c r="GJ156"/>
      <c r="GK156"/>
      <c r="GL156"/>
      <c r="GM156"/>
      <c r="GN156"/>
      <c r="GO156"/>
      <c r="GP156"/>
      <c r="GQ156"/>
      <c r="GR156"/>
      <c r="GS156"/>
      <c r="GT156"/>
      <c r="GU156"/>
      <c r="GV156"/>
      <c r="GW156"/>
      <c r="GX156"/>
      <c r="GY156"/>
      <c r="GZ156"/>
      <c r="HA156"/>
      <c r="HB156"/>
      <c r="HC156"/>
      <c r="HD156"/>
      <c r="HE156"/>
      <c r="HF156"/>
      <c r="HG156"/>
      <c r="HH156"/>
      <c r="HI156"/>
      <c r="HJ156"/>
      <c r="HK156"/>
      <c r="HL156"/>
      <c r="HM156"/>
      <c r="HN156"/>
      <c r="HO156"/>
      <c r="HP156"/>
      <c r="HQ156"/>
      <c r="HR156"/>
      <c r="HS156"/>
      <c r="HT156"/>
      <c r="HU156"/>
      <c r="HV156"/>
      <c r="HW156"/>
      <c r="HX156"/>
      <c r="HY156"/>
      <c r="HZ156"/>
      <c r="IA156"/>
      <c r="IB156"/>
      <c r="IC156"/>
      <c r="ID156"/>
      <c r="IE156"/>
      <c r="IF156"/>
      <c r="IG156"/>
      <c r="IH156"/>
      <c r="II156"/>
      <c r="IJ156"/>
      <c r="IK156"/>
      <c r="IL156"/>
      <c r="IM156"/>
      <c r="IN156"/>
      <c r="IO156"/>
      <c r="IP156"/>
      <c r="IQ156"/>
      <c r="IR156"/>
      <c r="IS156"/>
      <c r="IT156"/>
      <c r="IU156"/>
      <c r="IV156"/>
      <c r="IW156"/>
      <c r="IX156"/>
    </row>
    <row r="157" spans="1:258" s="709" customFormat="1" x14ac:dyDescent="0.2">
      <c r="A157" s="690" t="s">
        <v>463</v>
      </c>
      <c r="B157" s="706"/>
      <c r="C157" s="706"/>
      <c r="D157" s="706"/>
      <c r="E157" s="706"/>
      <c r="F157" s="707"/>
      <c r="G157" s="706"/>
      <c r="H157" s="706"/>
      <c r="I157" s="706"/>
      <c r="J157" s="706"/>
      <c r="K157" s="707"/>
      <c r="L157" s="706"/>
      <c r="M157" s="706"/>
      <c r="N157" s="706"/>
      <c r="O157" s="706"/>
      <c r="P157" s="707"/>
      <c r="Q157" s="706"/>
      <c r="R157" s="706"/>
      <c r="S157" s="706"/>
      <c r="T157" s="706"/>
      <c r="U157" s="707"/>
      <c r="V157" s="706">
        <f t="shared" ref="V157:AV157" si="848">V156/Q156-1</f>
        <v>-1.8547140649149974E-2</v>
      </c>
      <c r="W157" s="706">
        <f t="shared" si="848"/>
        <v>2.834293743054328E-3</v>
      </c>
      <c r="X157" s="706">
        <f t="shared" si="848"/>
        <v>-3.8494775709011497E-3</v>
      </c>
      <c r="Y157" s="706">
        <f t="shared" si="848"/>
        <v>1.0593704748113719E-2</v>
      </c>
      <c r="Z157" s="707">
        <f t="shared" si="848"/>
        <v>-2.1797338879621098E-3</v>
      </c>
      <c r="AA157" s="706">
        <f t="shared" si="848"/>
        <v>4.7244094488188892E-2</v>
      </c>
      <c r="AB157" s="706">
        <f t="shared" si="848"/>
        <v>6.7990832696715131E-2</v>
      </c>
      <c r="AC157" s="706">
        <f t="shared" si="848"/>
        <v>8.5962145110410004E-2</v>
      </c>
      <c r="AD157" s="706">
        <f t="shared" si="848"/>
        <v>7.2398190045248834E-2</v>
      </c>
      <c r="AE157" s="707">
        <f t="shared" si="848"/>
        <v>6.843224434564088E-2</v>
      </c>
      <c r="AF157" s="706">
        <f t="shared" si="848"/>
        <v>3.007518796992481E-2</v>
      </c>
      <c r="AG157" s="706">
        <f t="shared" si="848"/>
        <v>-7.1530758226037161E-3</v>
      </c>
      <c r="AH157" s="706">
        <f t="shared" si="848"/>
        <v>-9.4408133623820056E-3</v>
      </c>
      <c r="AI157" s="706">
        <f t="shared" si="848"/>
        <v>-1.3361462728551321E-2</v>
      </c>
      <c r="AJ157" s="707">
        <f t="shared" si="848"/>
        <v>-3.6185996019544309E-4</v>
      </c>
      <c r="AK157" s="706">
        <f t="shared" si="848"/>
        <v>-1.0218978102189746E-2</v>
      </c>
      <c r="AL157" s="706">
        <f t="shared" si="848"/>
        <v>2.4495677233429491E-2</v>
      </c>
      <c r="AM157" s="706">
        <f t="shared" si="848"/>
        <v>5.8651026392961825E-3</v>
      </c>
      <c r="AN157" s="706">
        <f t="shared" si="848"/>
        <v>1.1404133998574428E-2</v>
      </c>
      <c r="AO157" s="707">
        <f t="shared" si="848"/>
        <v>7.9638009049773917E-3</v>
      </c>
      <c r="AP157" s="706">
        <f t="shared" si="848"/>
        <v>3.6873156342182911E-2</v>
      </c>
      <c r="AQ157" s="706">
        <f t="shared" si="848"/>
        <v>-3.797468354430289E-3</v>
      </c>
      <c r="AR157" s="706">
        <f t="shared" si="848"/>
        <v>1.2390670553935834E-2</v>
      </c>
      <c r="AS157" s="706">
        <f t="shared" si="848"/>
        <v>1.9027484143763207E-2</v>
      </c>
      <c r="AT157" s="707">
        <f t="shared" si="848"/>
        <v>1.5909499012390027E-2</v>
      </c>
      <c r="AU157" s="706">
        <f t="shared" si="848"/>
        <v>5.6899004267425557E-3</v>
      </c>
      <c r="AV157" s="706">
        <f t="shared" si="848"/>
        <v>-3.9531272059862843E-3</v>
      </c>
      <c r="AW157" s="706">
        <f t="shared" ref="AW157:CB157" si="849">AW156/AR156-1</f>
        <v>-1.7278617710583144E-2</v>
      </c>
      <c r="AX157" s="706">
        <f t="shared" si="849"/>
        <v>-1.4522821576763434E-2</v>
      </c>
      <c r="AY157" s="707">
        <f t="shared" si="849"/>
        <v>-7.5296945701356366E-3</v>
      </c>
      <c r="AZ157" s="706">
        <f t="shared" si="849"/>
        <v>3.6775106082036713E-2</v>
      </c>
      <c r="BA157" s="706">
        <f t="shared" si="849"/>
        <v>9.2133238837703857E-2</v>
      </c>
      <c r="BB157" s="706">
        <f t="shared" si="849"/>
        <v>0.29890109890109895</v>
      </c>
      <c r="BC157" s="706">
        <f t="shared" si="849"/>
        <v>0.264561403508772</v>
      </c>
      <c r="BD157" s="707">
        <f t="shared" si="849"/>
        <v>0.17221727515583263</v>
      </c>
      <c r="BE157" s="706">
        <f t="shared" si="849"/>
        <v>0.22987721691678042</v>
      </c>
      <c r="BF157" s="706">
        <f t="shared" si="849"/>
        <v>0.19338092147955876</v>
      </c>
      <c r="BG157" s="706">
        <f t="shared" si="849"/>
        <v>8.4602368866328881E-3</v>
      </c>
      <c r="BH157" s="706">
        <f t="shared" si="849"/>
        <v>6.1043285238624456E-3</v>
      </c>
      <c r="BI157" s="707">
        <f t="shared" si="849"/>
        <v>0.10042540261318744</v>
      </c>
      <c r="BJ157" s="706">
        <f>BJ156/BE156-1</f>
        <v>-5.5463117027176878E-4</v>
      </c>
      <c r="BK157" s="706">
        <f>BK156/BF156-1</f>
        <v>-6.525285481239762E-3</v>
      </c>
      <c r="BL157" s="706">
        <f>BL156/BG156-1</f>
        <v>-3.9149888143176215E-3</v>
      </c>
      <c r="BM157" s="706">
        <f>BM156/BH156-1</f>
        <v>-1.5995587424158852E-2</v>
      </c>
      <c r="BN157" s="707">
        <f>BN156/BI156-1</f>
        <v>-6.765152561093446E-3</v>
      </c>
      <c r="BO157" s="706">
        <f t="shared" si="849"/>
        <v>-2.9966703662597127E-2</v>
      </c>
      <c r="BP157" s="706">
        <f t="shared" si="849"/>
        <v>3.8314176245211051E-3</v>
      </c>
      <c r="BQ157" s="706">
        <f t="shared" si="849"/>
        <v>2.8074115665357446E-3</v>
      </c>
      <c r="BR157" s="706">
        <f t="shared" si="849"/>
        <v>1.7376681614349687E-2</v>
      </c>
      <c r="BS157" s="707">
        <f t="shared" si="849"/>
        <v>-1.5290519877675379E-3</v>
      </c>
      <c r="BT157" s="706">
        <f t="shared" si="849"/>
        <v>4.8627002288329502E-2</v>
      </c>
      <c r="BU157" s="706">
        <f t="shared" si="849"/>
        <v>2.9443838604144013E-2</v>
      </c>
      <c r="BV157" s="706">
        <f t="shared" si="849"/>
        <v>2.1836506159014668E-2</v>
      </c>
      <c r="BW157" s="706">
        <f t="shared" si="849"/>
        <v>4.6280991735537125E-2</v>
      </c>
      <c r="BX157" s="707">
        <f t="shared" si="849"/>
        <v>3.6475010441319844E-2</v>
      </c>
      <c r="BY157" s="706">
        <f t="shared" si="849"/>
        <v>4.6917621385706543E-2</v>
      </c>
      <c r="BZ157" s="706">
        <f t="shared" si="849"/>
        <v>5.7733050847457612E-2</v>
      </c>
      <c r="CA157" s="706">
        <f t="shared" si="849"/>
        <v>6.4657534246575388E-2</v>
      </c>
      <c r="CB157" s="706">
        <f t="shared" si="849"/>
        <v>0.14797261716693</v>
      </c>
      <c r="CC157" s="707">
        <f t="shared" ref="CC157:ED157" si="850">CC156/BX156-1</f>
        <v>7.9785090664875824E-2</v>
      </c>
      <c r="CD157" s="706">
        <f t="shared" si="850"/>
        <v>9.8488796248045851E-2</v>
      </c>
      <c r="CE157" s="706">
        <f t="shared" si="850"/>
        <v>7.6114171256885355E-2</v>
      </c>
      <c r="CF157" s="706">
        <f t="shared" si="850"/>
        <v>9.3669583118888289E-2</v>
      </c>
      <c r="CG157" s="706">
        <f t="shared" si="850"/>
        <v>1.7889908256880638E-2</v>
      </c>
      <c r="CH157" s="707">
        <f t="shared" si="850"/>
        <v>6.9909192685657429E-2</v>
      </c>
      <c r="CI157" s="706">
        <f t="shared" si="850"/>
        <v>0.10578747628083485</v>
      </c>
      <c r="CJ157" s="706">
        <f t="shared" si="850"/>
        <v>0.12657049790600272</v>
      </c>
      <c r="CK157" s="706">
        <f t="shared" si="850"/>
        <v>0.13788235294117657</v>
      </c>
      <c r="CL157" s="706">
        <f t="shared" si="850"/>
        <v>7.9765660207300693E-2</v>
      </c>
      <c r="CM157" s="707">
        <f t="shared" si="850"/>
        <v>0.11219625624927332</v>
      </c>
      <c r="CN157" s="706">
        <f t="shared" si="850"/>
        <v>3.9039039039038936E-2</v>
      </c>
      <c r="CO157" s="706">
        <f t="shared" si="850"/>
        <v>4.5022717885171426E-2</v>
      </c>
      <c r="CP157" s="706">
        <f t="shared" si="850"/>
        <v>3.4325889164598777E-2</v>
      </c>
      <c r="CQ157" s="706">
        <f t="shared" si="850"/>
        <v>7.5542570951586008E-2</v>
      </c>
      <c r="CR157" s="707">
        <f t="shared" si="850"/>
        <v>4.850512230817472E-2</v>
      </c>
      <c r="CS157" s="706">
        <f t="shared" si="850"/>
        <v>0.12014863748967786</v>
      </c>
      <c r="CT157" s="706">
        <f t="shared" si="850"/>
        <v>0.14901185770750991</v>
      </c>
      <c r="CU157" s="706">
        <f t="shared" si="850"/>
        <v>0.18392642942822879</v>
      </c>
      <c r="CV157" s="706">
        <f t="shared" si="850"/>
        <v>3.7640667442762954E-2</v>
      </c>
      <c r="CW157" s="707">
        <f t="shared" si="850"/>
        <v>0.12213359920239286</v>
      </c>
      <c r="CX157" s="706">
        <f t="shared" si="850"/>
        <v>-0.17176557316623664</v>
      </c>
      <c r="CY157" s="706">
        <f t="shared" si="850"/>
        <v>-0.24836601307189543</v>
      </c>
      <c r="CZ157" s="706">
        <f t="shared" si="850"/>
        <v>-0.22695035460992907</v>
      </c>
      <c r="DA157" s="706">
        <f t="shared" si="850"/>
        <v>-0.13238593866866122</v>
      </c>
      <c r="DB157" s="707">
        <f t="shared" si="850"/>
        <v>-0.19671257219013771</v>
      </c>
      <c r="DC157" s="706">
        <f t="shared" si="850"/>
        <v>0.10858923008455723</v>
      </c>
      <c r="DD157" s="706">
        <f t="shared" si="850"/>
        <v>0.21876430205949648</v>
      </c>
      <c r="DE157" s="706">
        <f t="shared" si="850"/>
        <v>0.1647007426823941</v>
      </c>
      <c r="DF157" s="706">
        <f t="shared" si="850"/>
        <v>0.21379310344827585</v>
      </c>
      <c r="DG157" s="707">
        <f t="shared" si="850"/>
        <v>0.17641853777237038</v>
      </c>
      <c r="DH157" s="706">
        <f t="shared" si="850"/>
        <v>0.13488558811722196</v>
      </c>
      <c r="DI157" s="706">
        <f t="shared" si="850"/>
        <v>0.1314307172361997</v>
      </c>
      <c r="DJ157" s="706">
        <f t="shared" si="850"/>
        <v>0.11102775693923483</v>
      </c>
      <c r="DK157" s="706">
        <f t="shared" si="850"/>
        <v>6.2855113636363535E-2</v>
      </c>
      <c r="DL157" s="707">
        <f>DL156/DG156-1</f>
        <v>0.10896953742008275</v>
      </c>
      <c r="DM157" s="706">
        <f t="shared" si="850"/>
        <v>6.7562787407145386E-2</v>
      </c>
      <c r="DN157" s="706">
        <f t="shared" si="850"/>
        <v>-8.9611682708263807E-3</v>
      </c>
      <c r="DO157" s="706">
        <f t="shared" si="850"/>
        <v>-3.3085752869682628E-2</v>
      </c>
      <c r="DP157" s="706">
        <f t="shared" si="850"/>
        <v>-3.2743067156698946E-2</v>
      </c>
      <c r="DQ157" s="707">
        <f t="shared" ref="DQ157:DV157" si="851">DQ156/DL156-1</f>
        <v>-2.7130139889783855E-3</v>
      </c>
      <c r="DR157" s="706">
        <f t="shared" si="850"/>
        <v>-2.882703777335982E-2</v>
      </c>
      <c r="DS157" s="706">
        <f t="shared" si="850"/>
        <v>1.4735432016075078E-2</v>
      </c>
      <c r="DT157" s="706">
        <f t="shared" si="851"/>
        <v>2.44413407821229E-2</v>
      </c>
      <c r="DU157" s="706">
        <f t="shared" si="850"/>
        <v>4.7322970639032791E-2</v>
      </c>
      <c r="DV157" s="707">
        <f t="shared" si="851"/>
        <v>1.394202159313096E-2</v>
      </c>
      <c r="DW157" s="706">
        <f t="shared" si="850"/>
        <v>8.8706925963835115E-3</v>
      </c>
      <c r="DX157" s="706">
        <f t="shared" si="850"/>
        <v>6.6996699669966908E-2</v>
      </c>
      <c r="DY157" s="706">
        <f t="shared" si="850"/>
        <v>9.2024539877300526E-2</v>
      </c>
      <c r="DZ157" s="706">
        <f t="shared" si="850"/>
        <v>5.2794914342800814E-2</v>
      </c>
      <c r="EA157" s="707">
        <f>EA156/DV156-1</f>
        <v>5.5259007318468445E-2</v>
      </c>
      <c r="EB157" s="706">
        <f t="shared" si="850"/>
        <v>-2.7054447074738031E-3</v>
      </c>
      <c r="EC157" s="706">
        <f t="shared" si="850"/>
        <v>-5.8150324775750106E-2</v>
      </c>
      <c r="ED157" s="706">
        <f t="shared" si="850"/>
        <v>-8.2709113607990048E-2</v>
      </c>
      <c r="EE157" s="706">
        <f t="shared" ref="EE157:EI157" si="852">EE156/DZ156-1</f>
        <v>-0.12877964516800933</v>
      </c>
      <c r="EF157" s="707">
        <f t="shared" si="852"/>
        <v>-6.9288816178537771E-2</v>
      </c>
      <c r="EG157" s="706">
        <f t="shared" si="852"/>
        <v>-0.11224143777551709</v>
      </c>
      <c r="EH157" s="706">
        <f t="shared" si="852"/>
        <v>-0.11198686371100164</v>
      </c>
      <c r="EI157" s="706">
        <f t="shared" si="852"/>
        <v>-7.7917659067710088E-2</v>
      </c>
      <c r="EJ157" s="706">
        <f t="shared" ref="EJ157" si="853">EJ156/EE156-1</f>
        <v>9.2053218266810566E-2</v>
      </c>
      <c r="EK157" s="707">
        <f t="shared" ref="EK157:EQ157" si="854">EK156/EF156-1</f>
        <v>-5.5062318593136372E-2</v>
      </c>
      <c r="EL157" s="706">
        <f t="shared" si="854"/>
        <v>9.5874713521772348E-2</v>
      </c>
      <c r="EM157" s="706">
        <f t="shared" si="854"/>
        <v>8.4689349112426093E-2</v>
      </c>
      <c r="EN157" s="706">
        <f t="shared" si="854"/>
        <v>1.2177121771217658E-2</v>
      </c>
      <c r="EO157" s="706">
        <f t="shared" si="854"/>
        <v>-5.7293381626605244E-2</v>
      </c>
      <c r="EP157" s="707">
        <f t="shared" si="854"/>
        <v>3.0626072815972627E-2</v>
      </c>
      <c r="EQ157" s="706">
        <f t="shared" si="854"/>
        <v>2.439874520739016E-3</v>
      </c>
      <c r="ER157" s="706">
        <f t="shared" ref="ER157" si="855">ER156/EM156-1</f>
        <v>-1.8449393292382266E-2</v>
      </c>
      <c r="ES157" s="706">
        <f t="shared" ref="ES157:EU157" si="856">ES156/EN156-1</f>
        <v>4.9021033788673618E-2</v>
      </c>
      <c r="ET157" s="706">
        <f t="shared" si="856"/>
        <v>6.168256984145537E-2</v>
      </c>
      <c r="EU157" s="2042">
        <f t="shared" si="856"/>
        <v>2.3137256540310513E-2</v>
      </c>
      <c r="EV157" s="708"/>
      <c r="EW157" s="708"/>
      <c r="EX157" s="708"/>
      <c r="EY157" s="708"/>
      <c r="EZ157" s="707">
        <f>EZ156/EU156-1</f>
        <v>2.1772475859360485E-2</v>
      </c>
      <c r="FA157" s="708"/>
      <c r="FB157" s="708"/>
      <c r="FC157" s="708"/>
      <c r="FD157" s="708"/>
      <c r="FE157" s="707">
        <f>FE156/EZ156-1</f>
        <v>2.5876490139451036E-2</v>
      </c>
      <c r="FG157" s="464"/>
      <c r="FH157" s="809">
        <f>+EQ156/2803-1</f>
        <v>2.6043524794862716E-2</v>
      </c>
      <c r="FI157" s="780"/>
      <c r="FJ157" s="780"/>
      <c r="FK157" s="186"/>
      <c r="FL157" s="1348"/>
      <c r="FM157" s="1559">
        <f t="shared" si="775"/>
        <v>2.439874520739016E-3</v>
      </c>
      <c r="FN157" s="1452">
        <f t="shared" si="776"/>
        <v>9.5874713521772348E-2</v>
      </c>
      <c r="FO157" s="1852">
        <v>-2.0990718060066138E-2</v>
      </c>
      <c r="FP157" s="1751"/>
      <c r="FQ157" s="1506">
        <f>+(FM157-FO157)*10000</f>
        <v>234.30592580805154</v>
      </c>
      <c r="FR157" s="1619"/>
      <c r="FS157" s="1619"/>
      <c r="FT157" s="355"/>
      <c r="FU157" s="355"/>
      <c r="FV157" s="432"/>
      <c r="FW157" s="432"/>
      <c r="FX157" s="432"/>
      <c r="FY157" s="432"/>
      <c r="FZ157" s="464"/>
      <c r="GA157"/>
      <c r="GB157"/>
      <c r="GC157"/>
      <c r="GD157"/>
      <c r="GE157"/>
      <c r="GF157"/>
      <c r="GG157"/>
      <c r="GH157"/>
      <c r="GI157"/>
      <c r="GJ157"/>
      <c r="GK157"/>
      <c r="GL157"/>
      <c r="GM157"/>
      <c r="GN157"/>
      <c r="GO157"/>
      <c r="GP157"/>
      <c r="GQ157"/>
      <c r="GR157"/>
      <c r="GS157"/>
      <c r="GT157"/>
      <c r="GU157"/>
      <c r="GV157"/>
      <c r="GW157"/>
      <c r="GX157"/>
      <c r="GY157"/>
      <c r="GZ157"/>
      <c r="HA157"/>
      <c r="HB157"/>
      <c r="HC157"/>
      <c r="HD157"/>
      <c r="HE157"/>
      <c r="HF157"/>
      <c r="HG157"/>
      <c r="HH157"/>
      <c r="HI157"/>
      <c r="HJ157"/>
      <c r="HK157"/>
      <c r="HL157"/>
      <c r="HM157"/>
      <c r="HN157"/>
      <c r="HO157"/>
      <c r="HP157"/>
      <c r="HQ157"/>
      <c r="HR157"/>
      <c r="HS157"/>
      <c r="HT157"/>
      <c r="HU157"/>
      <c r="HV157"/>
      <c r="HW157"/>
      <c r="HX157"/>
      <c r="HY157"/>
      <c r="HZ157"/>
      <c r="IA157"/>
      <c r="IB157"/>
      <c r="IC157"/>
      <c r="ID157"/>
      <c r="IE157"/>
      <c r="IF157"/>
      <c r="IG157"/>
      <c r="IH157"/>
      <c r="II157"/>
      <c r="IJ157"/>
      <c r="IK157"/>
      <c r="IL157"/>
      <c r="IM157"/>
      <c r="IN157"/>
      <c r="IO157"/>
      <c r="IP157"/>
      <c r="IQ157"/>
      <c r="IR157"/>
      <c r="IS157"/>
      <c r="IT157"/>
      <c r="IU157"/>
      <c r="IV157"/>
      <c r="IW157"/>
      <c r="IX157"/>
    </row>
    <row r="158" spans="1:258" s="395" customFormat="1" x14ac:dyDescent="0.2">
      <c r="A158" s="391" t="s">
        <v>541</v>
      </c>
      <c r="B158" s="392"/>
      <c r="C158" s="392"/>
      <c r="D158" s="392"/>
      <c r="E158" s="392"/>
      <c r="F158" s="393"/>
      <c r="G158" s="392"/>
      <c r="H158" s="392"/>
      <c r="I158" s="392"/>
      <c r="J158" s="392"/>
      <c r="K158" s="393"/>
      <c r="L158" s="392"/>
      <c r="M158" s="392"/>
      <c r="N158" s="392"/>
      <c r="O158" s="392"/>
      <c r="P158" s="393"/>
      <c r="Q158" s="392"/>
      <c r="R158" s="392"/>
      <c r="S158" s="392"/>
      <c r="T158" s="392"/>
      <c r="U158" s="393"/>
      <c r="V158" s="392"/>
      <c r="W158" s="392"/>
      <c r="X158" s="392"/>
      <c r="Y158" s="392"/>
      <c r="Z158" s="393"/>
      <c r="AA158" s="392"/>
      <c r="AB158" s="392"/>
      <c r="AC158" s="392"/>
      <c r="AD158" s="392"/>
      <c r="AE158" s="393"/>
      <c r="AF158" s="392"/>
      <c r="AG158" s="392"/>
      <c r="AH158" s="392"/>
      <c r="AI158" s="392"/>
      <c r="AJ158" s="393"/>
      <c r="AK158" s="392"/>
      <c r="AL158" s="392"/>
      <c r="AM158" s="392"/>
      <c r="AN158" s="392"/>
      <c r="AO158" s="393"/>
      <c r="AP158" s="392"/>
      <c r="AQ158" s="392"/>
      <c r="AR158" s="392"/>
      <c r="AS158" s="392"/>
      <c r="AT158" s="393"/>
      <c r="AU158" s="392"/>
      <c r="AV158" s="392"/>
      <c r="AW158" s="392"/>
      <c r="AX158" s="392"/>
      <c r="AY158" s="393"/>
      <c r="AZ158" s="392"/>
      <c r="BA158" s="392"/>
      <c r="BB158" s="392"/>
      <c r="BC158" s="392"/>
      <c r="BD158" s="393"/>
      <c r="BE158" s="392"/>
      <c r="BF158" s="392"/>
      <c r="BG158" s="392"/>
      <c r="BH158" s="392"/>
      <c r="BI158" s="393"/>
      <c r="BJ158" s="392"/>
      <c r="BK158" s="392"/>
      <c r="BL158" s="392"/>
      <c r="BM158" s="392"/>
      <c r="BN158" s="393"/>
      <c r="BO158" s="392"/>
      <c r="BP158" s="392"/>
      <c r="BQ158" s="392"/>
      <c r="BR158" s="392"/>
      <c r="BS158" s="393"/>
      <c r="BT158" s="392"/>
      <c r="BU158" s="392"/>
      <c r="BV158" s="392"/>
      <c r="BW158" s="392"/>
      <c r="BX158" s="393"/>
      <c r="BY158" s="392"/>
      <c r="BZ158" s="392"/>
      <c r="CA158" s="392"/>
      <c r="CB158" s="392"/>
      <c r="CC158" s="393"/>
      <c r="CD158" s="392"/>
      <c r="CE158" s="392"/>
      <c r="CF158" s="392"/>
      <c r="CG158" s="392"/>
      <c r="CH158" s="393"/>
      <c r="CI158" s="392"/>
      <c r="CJ158" s="392"/>
      <c r="CK158" s="392"/>
      <c r="CL158" s="392"/>
      <c r="CM158" s="393"/>
      <c r="CN158" s="392"/>
      <c r="CO158" s="392"/>
      <c r="CP158" s="392"/>
      <c r="CQ158" s="392"/>
      <c r="CR158" s="393"/>
      <c r="CS158" s="392"/>
      <c r="CT158" s="392"/>
      <c r="CU158" s="392"/>
      <c r="CV158" s="392"/>
      <c r="CW158" s="1145"/>
      <c r="CX158" s="422"/>
      <c r="CY158" s="422"/>
      <c r="CZ158" s="422"/>
      <c r="DA158" s="422"/>
      <c r="DB158" s="1145"/>
      <c r="DC158" s="422"/>
      <c r="DD158" s="422"/>
      <c r="DE158" s="422"/>
      <c r="DF158" s="422"/>
      <c r="DG158" s="394"/>
      <c r="DH158" s="422"/>
      <c r="DI158" s="422"/>
      <c r="DJ158" s="422"/>
      <c r="DK158" s="422"/>
      <c r="DL158" s="394"/>
      <c r="DM158" s="422"/>
      <c r="DN158" s="422"/>
      <c r="DO158" s="422"/>
      <c r="DP158" s="422"/>
      <c r="DQ158" s="394"/>
      <c r="DR158" s="422"/>
      <c r="DS158" s="422"/>
      <c r="DU158" s="422"/>
      <c r="DV158" s="394"/>
      <c r="DW158" s="422"/>
      <c r="DX158" s="422"/>
      <c r="DZ158" s="422"/>
      <c r="EA158" s="1144"/>
      <c r="EB158" s="422"/>
      <c r="EC158" s="424"/>
      <c r="EE158" s="1190">
        <f>+(EE159-EE164)/DZ159-1</f>
        <v>-6.2706270627062688E-2</v>
      </c>
      <c r="EF158" s="1144"/>
      <c r="EG158" s="424">
        <f>+EB159+23-65-39-2</f>
        <v>796</v>
      </c>
      <c r="EH158" s="424">
        <f>+EC159+19-53-50+8</f>
        <v>749</v>
      </c>
      <c r="EI158" s="424">
        <f>+ED159+28-53-35+37-2</f>
        <v>762</v>
      </c>
      <c r="EJ158" s="424">
        <f>+EE159+71+51+34+6-76-37+4</f>
        <v>852</v>
      </c>
      <c r="EK158" s="1144"/>
      <c r="EL158" s="424">
        <f>+EG159+35-30-15</f>
        <v>786</v>
      </c>
      <c r="EM158" s="424">
        <f>+EH159+40+30+10-(65)-20</f>
        <v>744</v>
      </c>
      <c r="EN158" s="424">
        <f>+EI159+40-70-15</f>
        <v>717</v>
      </c>
      <c r="EO158" s="424">
        <f>+EJ159-61-51+33-80-17-11</f>
        <v>665</v>
      </c>
      <c r="EP158" s="1144"/>
      <c r="EQ158" s="424">
        <f>+EL159-97-15</f>
        <v>683</v>
      </c>
      <c r="ER158" s="424"/>
      <c r="ES158" s="424"/>
      <c r="ET158" s="424"/>
      <c r="EU158" s="682"/>
      <c r="EZ158" s="682"/>
      <c r="FE158" s="682"/>
      <c r="FG158" s="464"/>
      <c r="FH158" s="762"/>
      <c r="FI158" s="762"/>
      <c r="FJ158" s="762"/>
      <c r="FL158" s="1335"/>
      <c r="FM158" s="1560"/>
      <c r="FN158" s="1453"/>
      <c r="FO158" s="1853"/>
      <c r="FP158" s="1747"/>
      <c r="FQ158" s="726"/>
      <c r="FR158" s="1657"/>
      <c r="FS158" s="1618"/>
      <c r="FT158" s="1926">
        <f>+FU158*3</f>
        <v>131.25</v>
      </c>
      <c r="FU158" s="1926">
        <f>175/4</f>
        <v>43.75</v>
      </c>
      <c r="FV158" s="1618"/>
      <c r="FW158" s="431"/>
      <c r="FX158" s="431"/>
      <c r="FY158" s="431"/>
      <c r="FZ158" s="464"/>
      <c r="GA158"/>
      <c r="GB158"/>
      <c r="GC158"/>
      <c r="GD158"/>
      <c r="GE158"/>
      <c r="GF158"/>
      <c r="GG158"/>
      <c r="GH158"/>
      <c r="GI158"/>
      <c r="GJ158"/>
      <c r="GK158"/>
      <c r="GL158"/>
      <c r="GM158"/>
      <c r="GN158"/>
      <c r="GO158"/>
      <c r="GP158"/>
      <c r="GQ158"/>
      <c r="GR158"/>
      <c r="GS158"/>
      <c r="GT158"/>
      <c r="GU158"/>
      <c r="GV158"/>
      <c r="GW158"/>
      <c r="GX158"/>
      <c r="GY158"/>
      <c r="GZ158"/>
      <c r="HA158"/>
      <c r="HB158"/>
      <c r="HC158"/>
      <c r="HD158"/>
      <c r="HE158"/>
      <c r="HF158"/>
      <c r="HG158"/>
      <c r="HH158"/>
      <c r="HI158"/>
      <c r="HJ158"/>
      <c r="HK158"/>
      <c r="HL158"/>
      <c r="HM158"/>
      <c r="HN158"/>
      <c r="HO158"/>
      <c r="HP158"/>
      <c r="HQ158"/>
      <c r="HR158"/>
      <c r="HS158"/>
      <c r="HT158"/>
      <c r="HU158"/>
      <c r="HV158"/>
      <c r="HW158"/>
      <c r="HX158"/>
      <c r="HY158"/>
      <c r="HZ158"/>
      <c r="IA158"/>
      <c r="IB158"/>
      <c r="IC158"/>
      <c r="ID158"/>
      <c r="IE158"/>
      <c r="IF158"/>
      <c r="IG158"/>
      <c r="IH158"/>
      <c r="II158"/>
      <c r="IJ158"/>
      <c r="IK158"/>
      <c r="IL158"/>
      <c r="IM158"/>
      <c r="IN158"/>
      <c r="IO158"/>
      <c r="IP158"/>
      <c r="IQ158"/>
      <c r="IR158"/>
      <c r="IS158"/>
      <c r="IT158"/>
      <c r="IU158"/>
      <c r="IV158"/>
      <c r="IW158"/>
      <c r="IX158"/>
    </row>
    <row r="159" spans="1:258" s="408" customFormat="1" x14ac:dyDescent="0.2">
      <c r="A159" s="109" t="s">
        <v>420</v>
      </c>
      <c r="B159" s="110"/>
      <c r="C159" s="110"/>
      <c r="D159" s="110"/>
      <c r="E159" s="110"/>
      <c r="F159" s="404"/>
      <c r="G159" s="110"/>
      <c r="H159" s="110"/>
      <c r="I159" s="110"/>
      <c r="J159" s="110"/>
      <c r="K159" s="404"/>
      <c r="L159" s="110"/>
      <c r="M159" s="110"/>
      <c r="N159" s="110"/>
      <c r="O159" s="110"/>
      <c r="P159" s="404"/>
      <c r="Q159" s="110">
        <v>499</v>
      </c>
      <c r="R159" s="110">
        <v>481.5</v>
      </c>
      <c r="S159" s="110">
        <v>442</v>
      </c>
      <c r="T159" s="110">
        <v>469</v>
      </c>
      <c r="U159" s="404">
        <v>1891.5</v>
      </c>
      <c r="V159" s="110">
        <v>476</v>
      </c>
      <c r="W159" s="110">
        <v>461</v>
      </c>
      <c r="X159" s="110">
        <v>464</v>
      </c>
      <c r="Y159" s="110">
        <v>477</v>
      </c>
      <c r="Z159" s="404">
        <v>1878</v>
      </c>
      <c r="AA159" s="110">
        <v>483</v>
      </c>
      <c r="AB159" s="110">
        <v>472</v>
      </c>
      <c r="AC159" s="110">
        <v>476</v>
      </c>
      <c r="AD159" s="110">
        <v>486</v>
      </c>
      <c r="AE159" s="404">
        <v>1917</v>
      </c>
      <c r="AF159" s="110">
        <v>490</v>
      </c>
      <c r="AG159" s="110">
        <v>483</v>
      </c>
      <c r="AH159" s="110">
        <v>482</v>
      </c>
      <c r="AI159" s="110">
        <v>477</v>
      </c>
      <c r="AJ159" s="404">
        <v>1932</v>
      </c>
      <c r="AK159" s="110">
        <v>509</v>
      </c>
      <c r="AL159" s="110">
        <v>504</v>
      </c>
      <c r="AM159" s="110">
        <v>501</v>
      </c>
      <c r="AN159" s="110">
        <v>482</v>
      </c>
      <c r="AO159" s="404">
        <v>1996</v>
      </c>
      <c r="AP159" s="110">
        <v>504</v>
      </c>
      <c r="AQ159" s="110">
        <v>494</v>
      </c>
      <c r="AR159" s="110">
        <v>510</v>
      </c>
      <c r="AS159" s="110">
        <v>511</v>
      </c>
      <c r="AT159" s="404">
        <v>2019</v>
      </c>
      <c r="AU159" s="110">
        <v>531</v>
      </c>
      <c r="AV159" s="110">
        <v>481</v>
      </c>
      <c r="AW159" s="110">
        <v>508</v>
      </c>
      <c r="AX159" s="110">
        <v>504</v>
      </c>
      <c r="AY159" s="404">
        <v>2024</v>
      </c>
      <c r="AZ159" s="110">
        <v>524</v>
      </c>
      <c r="BA159" s="110">
        <v>554</v>
      </c>
      <c r="BB159" s="110">
        <v>614</v>
      </c>
      <c r="BC159" s="110">
        <v>616</v>
      </c>
      <c r="BD159" s="404">
        <v>2308</v>
      </c>
      <c r="BE159" s="110">
        <v>656</v>
      </c>
      <c r="BF159" s="110">
        <v>659</v>
      </c>
      <c r="BG159" s="110">
        <v>651</v>
      </c>
      <c r="BH159" s="110">
        <v>651</v>
      </c>
      <c r="BI159" s="404">
        <f>SUM(BE159:BH159)</f>
        <v>2617</v>
      </c>
      <c r="BJ159" s="110">
        <v>680</v>
      </c>
      <c r="BK159" s="110">
        <v>670</v>
      </c>
      <c r="BL159" s="110">
        <v>639</v>
      </c>
      <c r="BM159" s="110">
        <v>661</v>
      </c>
      <c r="BN159" s="404">
        <f>SUM(BJ159:BM159)</f>
        <v>2650</v>
      </c>
      <c r="BO159" s="110">
        <v>657</v>
      </c>
      <c r="BP159" s="110">
        <v>641</v>
      </c>
      <c r="BQ159" s="110">
        <v>645</v>
      </c>
      <c r="BR159" s="110">
        <v>659</v>
      </c>
      <c r="BS159" s="404">
        <f>SUM(BO159:BR159)</f>
        <v>2602</v>
      </c>
      <c r="BT159" s="110">
        <v>667</v>
      </c>
      <c r="BU159" s="110">
        <v>663</v>
      </c>
      <c r="BV159" s="110">
        <v>643</v>
      </c>
      <c r="BW159" s="110">
        <v>655</v>
      </c>
      <c r="BX159" s="404">
        <f>SUM(BT159:BW159)</f>
        <v>2628</v>
      </c>
      <c r="BY159" s="110">
        <v>677</v>
      </c>
      <c r="BZ159" s="110">
        <v>664</v>
      </c>
      <c r="CA159" s="110">
        <v>671</v>
      </c>
      <c r="CB159" s="110">
        <v>729</v>
      </c>
      <c r="CC159" s="404">
        <f>SUM(BY159:CB159)</f>
        <v>2741</v>
      </c>
      <c r="CD159" s="110">
        <v>694</v>
      </c>
      <c r="CE159" s="110">
        <v>706</v>
      </c>
      <c r="CF159" s="110">
        <v>725</v>
      </c>
      <c r="CG159" s="110">
        <v>731</v>
      </c>
      <c r="CH159" s="404">
        <f>SUM(CD159:CG159)</f>
        <v>2856</v>
      </c>
      <c r="CI159" s="110">
        <v>718</v>
      </c>
      <c r="CJ159" s="110">
        <v>715</v>
      </c>
      <c r="CK159" s="110">
        <v>736</v>
      </c>
      <c r="CL159" s="110">
        <v>753</v>
      </c>
      <c r="CM159" s="404">
        <f>SUM(CI159:CL159)</f>
        <v>2922</v>
      </c>
      <c r="CN159" s="110">
        <v>734</v>
      </c>
      <c r="CO159" s="110">
        <v>743</v>
      </c>
      <c r="CP159" s="110">
        <v>748</v>
      </c>
      <c r="CQ159" s="110">
        <v>761</v>
      </c>
      <c r="CR159" s="404">
        <f>SUM(CN159:CQ159)</f>
        <v>2986</v>
      </c>
      <c r="CS159" s="110">
        <v>745</v>
      </c>
      <c r="CT159" s="110">
        <v>733</v>
      </c>
      <c r="CU159" s="110">
        <v>754</v>
      </c>
      <c r="CV159" s="110">
        <v>723</v>
      </c>
      <c r="CW159" s="404">
        <f>SUM(CS159:CV159)</f>
        <v>2955</v>
      </c>
      <c r="CX159" s="110">
        <v>662</v>
      </c>
      <c r="CY159" s="110">
        <v>654</v>
      </c>
      <c r="CZ159" s="110">
        <v>653</v>
      </c>
      <c r="DA159" s="110">
        <v>660</v>
      </c>
      <c r="DB159" s="404">
        <f>SUM(CX159:DA159)</f>
        <v>2629</v>
      </c>
      <c r="DC159" s="110">
        <v>729</v>
      </c>
      <c r="DD159" s="110">
        <v>721</v>
      </c>
      <c r="DE159" s="110">
        <v>731</v>
      </c>
      <c r="DF159" s="110">
        <v>776</v>
      </c>
      <c r="DG159" s="406">
        <f>SUM(DC159:DF159)</f>
        <v>2957</v>
      </c>
      <c r="DH159" s="110">
        <v>765</v>
      </c>
      <c r="DI159" s="110">
        <v>764</v>
      </c>
      <c r="DJ159" s="110">
        <v>765</v>
      </c>
      <c r="DK159" s="110">
        <v>779</v>
      </c>
      <c r="DL159" s="406">
        <f>SUM(DH159:DK159)</f>
        <v>3073</v>
      </c>
      <c r="DM159" s="110">
        <v>770</v>
      </c>
      <c r="DN159" s="110">
        <v>744</v>
      </c>
      <c r="DO159" s="110">
        <v>754</v>
      </c>
      <c r="DP159" s="110">
        <v>752</v>
      </c>
      <c r="DQ159" s="406">
        <f>SUM(DM159:DP159)</f>
        <v>3020</v>
      </c>
      <c r="DR159" s="110">
        <v>767</v>
      </c>
      <c r="DS159" s="110">
        <v>777</v>
      </c>
      <c r="DT159" s="407">
        <v>791</v>
      </c>
      <c r="DU159" s="110">
        <v>803</v>
      </c>
      <c r="DV159" s="406">
        <f>SUM(DR159:DU159)</f>
        <v>3138</v>
      </c>
      <c r="DW159" s="110">
        <v>814</v>
      </c>
      <c r="DX159" s="110">
        <v>809</v>
      </c>
      <c r="DY159" s="407">
        <v>845</v>
      </c>
      <c r="DZ159" s="110">
        <v>909</v>
      </c>
      <c r="EA159" s="406">
        <f>SUM(DW159:DZ159)</f>
        <v>3377</v>
      </c>
      <c r="EB159" s="110">
        <v>879</v>
      </c>
      <c r="EC159" s="1533">
        <v>825</v>
      </c>
      <c r="ED159" s="407">
        <v>787</v>
      </c>
      <c r="EE159" s="110">
        <v>799</v>
      </c>
      <c r="EF159" s="406">
        <f>SUM(EB159:EE159)</f>
        <v>3290</v>
      </c>
      <c r="EG159" s="110">
        <v>796</v>
      </c>
      <c r="EH159" s="1533">
        <v>749</v>
      </c>
      <c r="EI159" s="407">
        <v>762</v>
      </c>
      <c r="EJ159" s="110">
        <v>852</v>
      </c>
      <c r="EK159" s="406">
        <f>SUM(EG159:EJ159)</f>
        <v>3159</v>
      </c>
      <c r="EL159" s="110">
        <f>789+6</f>
        <v>795</v>
      </c>
      <c r="EM159" s="1533">
        <f>743+6</f>
        <v>749</v>
      </c>
      <c r="EN159" s="407">
        <f>717+6</f>
        <v>723</v>
      </c>
      <c r="EO159" s="110">
        <f>665+6</f>
        <v>671</v>
      </c>
      <c r="EP159" s="406">
        <f>SUM(EL159:EO159)</f>
        <v>2938</v>
      </c>
      <c r="EQ159" s="110">
        <v>696</v>
      </c>
      <c r="ER159" s="110">
        <f t="shared" ref="ER159:ES159" si="857">ER166+ER164+ER165</f>
        <v>692.69584294353126</v>
      </c>
      <c r="ES159" s="110">
        <f t="shared" si="857"/>
        <v>714.6633454583083</v>
      </c>
      <c r="ET159" s="109">
        <f>ET166+ET164+ET165</f>
        <v>768.46151411213884</v>
      </c>
      <c r="EU159" s="406">
        <f>SUM(EQ159:ET159)</f>
        <v>2871.8207025139786</v>
      </c>
      <c r="EV159" s="407"/>
      <c r="EW159" s="407"/>
      <c r="EX159" s="407"/>
      <c r="EY159" s="407"/>
      <c r="EZ159" s="681">
        <f>EZ166+EZ164+EZ165</f>
        <v>2934.5664243201932</v>
      </c>
      <c r="FA159" s="407"/>
      <c r="FB159" s="407"/>
      <c r="FC159" s="407"/>
      <c r="FD159" s="407"/>
      <c r="FE159" s="681">
        <f>FE166+FE164+FE165</f>
        <v>2857.8636778563127</v>
      </c>
      <c r="FG159" s="464"/>
      <c r="FH159" s="1934">
        <f>3102-FT158</f>
        <v>2970.75</v>
      </c>
      <c r="FI159" s="1934">
        <f>+FH159*1.05-43</f>
        <v>3076.2874999999999</v>
      </c>
      <c r="FJ159" s="1934">
        <f>+FI159*1.05</f>
        <v>3230.1018749999998</v>
      </c>
      <c r="FL159" s="1358"/>
      <c r="FM159" s="1569">
        <f t="shared" ref="FM159:FM190" si="858">+EQ159</f>
        <v>696</v>
      </c>
      <c r="FN159" s="775">
        <f t="shared" ref="FN159:FN190" si="859">EL159</f>
        <v>795</v>
      </c>
      <c r="FO159" s="1812">
        <v>727.25879833506758</v>
      </c>
      <c r="FP159" s="1748">
        <f>+FM159/FN159-1</f>
        <v>-0.12452830188679243</v>
      </c>
      <c r="FQ159" s="1520">
        <f>+FM159/FO159-1</f>
        <v>-4.2981670908113001E-2</v>
      </c>
      <c r="FR159" s="1614" t="s">
        <v>776</v>
      </c>
      <c r="FS159" s="1297"/>
      <c r="FT159" s="409"/>
      <c r="FU159" s="409"/>
      <c r="FV159" s="409"/>
      <c r="FW159" s="409"/>
      <c r="FX159" s="409"/>
      <c r="FY159" s="409"/>
      <c r="FZ159" s="464"/>
      <c r="GA159"/>
      <c r="GB159"/>
      <c r="GC159"/>
      <c r="GD159"/>
      <c r="GE159"/>
      <c r="GF159"/>
      <c r="GG159"/>
      <c r="GH159"/>
      <c r="GI159"/>
      <c r="GJ159"/>
      <c r="GK159"/>
      <c r="GL159"/>
      <c r="GM159"/>
      <c r="GN159"/>
      <c r="GO159"/>
      <c r="GP159"/>
      <c r="GQ159"/>
      <c r="GR159"/>
      <c r="GS159"/>
      <c r="GT159"/>
      <c r="GU159"/>
      <c r="GV159"/>
      <c r="GW159"/>
      <c r="GX159"/>
      <c r="GY159"/>
      <c r="GZ159"/>
      <c r="HA159"/>
      <c r="HB159"/>
      <c r="HC159"/>
      <c r="HD159"/>
      <c r="HE159"/>
      <c r="HF159"/>
      <c r="HG159"/>
      <c r="HH159"/>
      <c r="HI159"/>
      <c r="HJ159"/>
      <c r="HK159"/>
      <c r="HL159"/>
      <c r="HM159"/>
      <c r="HN159"/>
      <c r="HO159"/>
      <c r="HP159"/>
      <c r="HQ159"/>
      <c r="HR159"/>
      <c r="HS159"/>
      <c r="HT159"/>
      <c r="HU159"/>
      <c r="HV159"/>
      <c r="HW159"/>
      <c r="HX159"/>
      <c r="HY159"/>
      <c r="HZ159"/>
      <c r="IA159"/>
      <c r="IB159"/>
      <c r="IC159"/>
      <c r="ID159"/>
      <c r="IE159"/>
      <c r="IF159"/>
      <c r="IG159"/>
      <c r="IH159"/>
      <c r="II159"/>
      <c r="IJ159"/>
      <c r="IK159"/>
      <c r="IL159"/>
      <c r="IM159"/>
      <c r="IN159"/>
      <c r="IO159"/>
      <c r="IP159"/>
      <c r="IQ159"/>
      <c r="IR159"/>
      <c r="IS159"/>
      <c r="IT159"/>
      <c r="IU159"/>
      <c r="IV159"/>
      <c r="IW159"/>
      <c r="IX159"/>
    </row>
    <row r="160" spans="1:258" s="186" customFormat="1" x14ac:dyDescent="0.2">
      <c r="A160" s="383" t="s">
        <v>465</v>
      </c>
      <c r="B160" s="10"/>
      <c r="C160" s="10"/>
      <c r="D160" s="10"/>
      <c r="E160" s="10"/>
      <c r="F160" s="9"/>
      <c r="G160" s="10"/>
      <c r="H160" s="10"/>
      <c r="I160" s="10"/>
      <c r="J160" s="10"/>
      <c r="K160" s="9"/>
      <c r="L160" s="10"/>
      <c r="M160" s="10"/>
      <c r="N160" s="10"/>
      <c r="O160" s="10"/>
      <c r="P160" s="9"/>
      <c r="Q160" s="10"/>
      <c r="R160" s="10"/>
      <c r="S160" s="10"/>
      <c r="T160" s="10"/>
      <c r="U160" s="9"/>
      <c r="V160" s="10"/>
      <c r="W160" s="10"/>
      <c r="X160" s="10"/>
      <c r="Y160" s="10"/>
      <c r="Z160" s="9"/>
      <c r="AA160" s="10"/>
      <c r="AB160" s="10"/>
      <c r="AC160" s="10"/>
      <c r="AD160" s="10"/>
      <c r="AE160" s="9"/>
      <c r="AF160" s="10"/>
      <c r="AG160" s="10"/>
      <c r="AH160" s="10"/>
      <c r="AI160" s="10"/>
      <c r="AJ160" s="9"/>
      <c r="AK160" s="10">
        <f t="shared" ref="AK160:BP160" si="860">AK159/AF159-1</f>
        <v>3.8775510204081653E-2</v>
      </c>
      <c r="AL160" s="10">
        <f t="shared" si="860"/>
        <v>4.3478260869565188E-2</v>
      </c>
      <c r="AM160" s="10">
        <f t="shared" si="860"/>
        <v>3.9419087136929543E-2</v>
      </c>
      <c r="AN160" s="10">
        <f t="shared" si="860"/>
        <v>1.048218029350112E-2</v>
      </c>
      <c r="AO160" s="9">
        <f t="shared" si="860"/>
        <v>3.3126293995859202E-2</v>
      </c>
      <c r="AP160" s="10">
        <f t="shared" si="860"/>
        <v>-9.8231827111984193E-3</v>
      </c>
      <c r="AQ160" s="10">
        <f t="shared" si="860"/>
        <v>-1.9841269841269882E-2</v>
      </c>
      <c r="AR160" s="10">
        <f t="shared" si="860"/>
        <v>1.7964071856287456E-2</v>
      </c>
      <c r="AS160" s="10">
        <f t="shared" si="860"/>
        <v>6.0165975103734448E-2</v>
      </c>
      <c r="AT160" s="9">
        <f t="shared" si="860"/>
        <v>1.1523046092184464E-2</v>
      </c>
      <c r="AU160" s="10">
        <f t="shared" si="860"/>
        <v>5.3571428571428603E-2</v>
      </c>
      <c r="AV160" s="10">
        <f t="shared" si="860"/>
        <v>-2.6315789473684181E-2</v>
      </c>
      <c r="AW160" s="10">
        <f t="shared" si="860"/>
        <v>-3.9215686274509665E-3</v>
      </c>
      <c r="AX160" s="10">
        <f t="shared" si="860"/>
        <v>-1.3698630136986356E-2</v>
      </c>
      <c r="AY160" s="9">
        <f t="shared" si="860"/>
        <v>2.4764735017335227E-3</v>
      </c>
      <c r="AZ160" s="10">
        <f t="shared" si="860"/>
        <v>-1.3182674199623379E-2</v>
      </c>
      <c r="BA160" s="10">
        <f t="shared" si="860"/>
        <v>0.15176715176715172</v>
      </c>
      <c r="BB160" s="10">
        <f t="shared" si="860"/>
        <v>0.20866141732283472</v>
      </c>
      <c r="BC160" s="10">
        <f t="shared" si="860"/>
        <v>0.22222222222222232</v>
      </c>
      <c r="BD160" s="9">
        <f t="shared" si="860"/>
        <v>0.14031620553359692</v>
      </c>
      <c r="BE160" s="10">
        <f t="shared" si="860"/>
        <v>0.25190839694656497</v>
      </c>
      <c r="BF160" s="10">
        <f t="shared" si="860"/>
        <v>0.18953068592057765</v>
      </c>
      <c r="BG160" s="10">
        <f t="shared" si="860"/>
        <v>6.0260586319218268E-2</v>
      </c>
      <c r="BH160" s="10">
        <f t="shared" si="860"/>
        <v>5.6818181818181879E-2</v>
      </c>
      <c r="BI160" s="9">
        <f t="shared" si="860"/>
        <v>0.13388214904679385</v>
      </c>
      <c r="BJ160" s="10">
        <f t="shared" si="860"/>
        <v>3.6585365853658569E-2</v>
      </c>
      <c r="BK160" s="10">
        <f t="shared" si="860"/>
        <v>1.6691957511380862E-2</v>
      </c>
      <c r="BL160" s="10">
        <f t="shared" si="860"/>
        <v>-1.8433179723502335E-2</v>
      </c>
      <c r="BM160" s="10">
        <f t="shared" si="860"/>
        <v>1.5360983102918668E-2</v>
      </c>
      <c r="BN160" s="9">
        <f t="shared" si="860"/>
        <v>1.2609858616736691E-2</v>
      </c>
      <c r="BO160" s="10">
        <f t="shared" si="860"/>
        <v>-3.3823529411764697E-2</v>
      </c>
      <c r="BP160" s="10">
        <f t="shared" si="860"/>
        <v>-4.3283582089552186E-2</v>
      </c>
      <c r="BQ160" s="10">
        <f t="shared" ref="BQ160:CV160" si="861">BQ159/BL159-1</f>
        <v>9.3896713615022609E-3</v>
      </c>
      <c r="BR160" s="10">
        <f t="shared" si="861"/>
        <v>-3.0257186081694698E-3</v>
      </c>
      <c r="BS160" s="9">
        <f t="shared" si="861"/>
        <v>-1.811320754716983E-2</v>
      </c>
      <c r="BT160" s="10">
        <f t="shared" si="861"/>
        <v>1.5220700152207112E-2</v>
      </c>
      <c r="BU160" s="10">
        <f t="shared" si="861"/>
        <v>3.4321372854914101E-2</v>
      </c>
      <c r="BV160" s="10">
        <f t="shared" si="861"/>
        <v>-3.1007751937984773E-3</v>
      </c>
      <c r="BW160" s="10">
        <f t="shared" si="861"/>
        <v>-6.0698027314112224E-3</v>
      </c>
      <c r="BX160" s="9">
        <f t="shared" si="861"/>
        <v>9.9923136049193673E-3</v>
      </c>
      <c r="BY160" s="10">
        <f t="shared" si="861"/>
        <v>1.4992503748125996E-2</v>
      </c>
      <c r="BZ160" s="10">
        <f t="shared" si="861"/>
        <v>1.5082956259426794E-3</v>
      </c>
      <c r="CA160" s="10">
        <f t="shared" si="861"/>
        <v>4.3545878693623585E-2</v>
      </c>
      <c r="CB160" s="10">
        <f t="shared" si="861"/>
        <v>0.11297709923664123</v>
      </c>
      <c r="CC160" s="9">
        <f t="shared" si="861"/>
        <v>4.2998477929984791E-2</v>
      </c>
      <c r="CD160" s="10">
        <f t="shared" si="861"/>
        <v>2.5110782865583436E-2</v>
      </c>
      <c r="CE160" s="10">
        <f t="shared" si="861"/>
        <v>6.3253012048192669E-2</v>
      </c>
      <c r="CF160" s="10">
        <f t="shared" si="861"/>
        <v>8.0476900149031305E-2</v>
      </c>
      <c r="CG160" s="10">
        <f t="shared" si="861"/>
        <v>2.7434842249656199E-3</v>
      </c>
      <c r="CH160" s="9">
        <f t="shared" si="861"/>
        <v>4.1955490696826025E-2</v>
      </c>
      <c r="CI160" s="10">
        <f t="shared" si="861"/>
        <v>3.4582132564841439E-2</v>
      </c>
      <c r="CJ160" s="10">
        <f t="shared" si="861"/>
        <v>1.2747875354107707E-2</v>
      </c>
      <c r="CK160" s="10">
        <f t="shared" si="861"/>
        <v>1.5172413793103523E-2</v>
      </c>
      <c r="CL160" s="10">
        <f t="shared" si="861"/>
        <v>3.0095759233926156E-2</v>
      </c>
      <c r="CM160" s="9">
        <f t="shared" si="861"/>
        <v>2.3109243697478909E-2</v>
      </c>
      <c r="CN160" s="10">
        <f t="shared" si="861"/>
        <v>2.2284122562674202E-2</v>
      </c>
      <c r="CO160" s="10">
        <f t="shared" si="861"/>
        <v>3.9160839160839123E-2</v>
      </c>
      <c r="CP160" s="10">
        <f t="shared" si="861"/>
        <v>1.6304347826086918E-2</v>
      </c>
      <c r="CQ160" s="10">
        <f t="shared" si="861"/>
        <v>1.0624169986719778E-2</v>
      </c>
      <c r="CR160" s="9">
        <f t="shared" si="861"/>
        <v>2.1902806297056765E-2</v>
      </c>
      <c r="CS160" s="10">
        <f t="shared" si="861"/>
        <v>1.4986376021798309E-2</v>
      </c>
      <c r="CT160" s="10">
        <f t="shared" si="861"/>
        <v>-1.3458950201884257E-2</v>
      </c>
      <c r="CU160" s="10">
        <f t="shared" si="861"/>
        <v>8.0213903743315829E-3</v>
      </c>
      <c r="CV160" s="10">
        <f t="shared" si="861"/>
        <v>-4.9934296977660941E-2</v>
      </c>
      <c r="CW160" s="9">
        <f t="shared" ref="CW160:DU160" si="862">CW159/CR159-1</f>
        <v>-1.0381781647689214E-2</v>
      </c>
      <c r="CX160" s="10">
        <f t="shared" si="862"/>
        <v>-0.11140939597315436</v>
      </c>
      <c r="CY160" s="10">
        <f t="shared" si="862"/>
        <v>-0.10777626193724421</v>
      </c>
      <c r="CZ160" s="10">
        <f t="shared" si="862"/>
        <v>-0.13395225464190985</v>
      </c>
      <c r="DA160" s="10">
        <f t="shared" si="862"/>
        <v>-8.7136929460580936E-2</v>
      </c>
      <c r="DB160" s="9">
        <f t="shared" si="862"/>
        <v>-0.11032148900169203</v>
      </c>
      <c r="DC160" s="10">
        <f t="shared" si="862"/>
        <v>0.1012084592145015</v>
      </c>
      <c r="DD160" s="10">
        <f t="shared" si="862"/>
        <v>0.10244648318042815</v>
      </c>
      <c r="DE160" s="10">
        <f t="shared" si="862"/>
        <v>0.11944869831546701</v>
      </c>
      <c r="DF160" s="10">
        <f t="shared" si="862"/>
        <v>0.17575757575757578</v>
      </c>
      <c r="DG160" s="9">
        <f t="shared" si="862"/>
        <v>0.12476226702168125</v>
      </c>
      <c r="DH160" s="10">
        <f t="shared" si="862"/>
        <v>4.9382716049382713E-2</v>
      </c>
      <c r="DI160" s="10">
        <f t="shared" si="862"/>
        <v>5.9639389736477089E-2</v>
      </c>
      <c r="DJ160" s="10">
        <f t="shared" si="862"/>
        <v>4.6511627906976827E-2</v>
      </c>
      <c r="DK160" s="10">
        <f t="shared" si="862"/>
        <v>3.8659793814432852E-3</v>
      </c>
      <c r="DL160" s="9">
        <f t="shared" si="862"/>
        <v>3.9228948258369867E-2</v>
      </c>
      <c r="DM160" s="10">
        <f t="shared" si="862"/>
        <v>6.5359477124182774E-3</v>
      </c>
      <c r="DN160" s="10">
        <f t="shared" si="862"/>
        <v>-2.6178010471204161E-2</v>
      </c>
      <c r="DO160" s="10">
        <f t="shared" si="862"/>
        <v>-1.437908496732021E-2</v>
      </c>
      <c r="DP160" s="10">
        <f t="shared" si="862"/>
        <v>-3.4659820282413323E-2</v>
      </c>
      <c r="DQ160" s="9">
        <f t="shared" ref="DQ160:DV160" si="863">DQ159/DL159-1</f>
        <v>-1.7246989912138022E-2</v>
      </c>
      <c r="DR160" s="10">
        <f t="shared" si="862"/>
        <v>-3.8961038961038419E-3</v>
      </c>
      <c r="DS160" s="10">
        <f t="shared" si="862"/>
        <v>4.4354838709677491E-2</v>
      </c>
      <c r="DT160" s="10">
        <f t="shared" si="863"/>
        <v>4.9071618037135334E-2</v>
      </c>
      <c r="DU160" s="10">
        <f t="shared" si="862"/>
        <v>6.7819148936170137E-2</v>
      </c>
      <c r="DV160" s="9">
        <f t="shared" si="863"/>
        <v>3.9072847682119161E-2</v>
      </c>
      <c r="DW160" s="10">
        <f t="shared" ref="DW160:ED160" si="864">DW159/DR159-1</f>
        <v>6.1277705345502032E-2</v>
      </c>
      <c r="DX160" s="10">
        <f t="shared" si="864"/>
        <v>4.1184041184041176E-2</v>
      </c>
      <c r="DY160" s="10">
        <f t="shared" si="864"/>
        <v>6.8268015170670049E-2</v>
      </c>
      <c r="DZ160" s="10">
        <f t="shared" si="864"/>
        <v>0.1320049813200499</v>
      </c>
      <c r="EA160" s="9">
        <f t="shared" si="864"/>
        <v>7.6163161249203304E-2</v>
      </c>
      <c r="EB160" s="10">
        <f t="shared" si="864"/>
        <v>7.9852579852579764E-2</v>
      </c>
      <c r="EC160" s="10">
        <f t="shared" si="864"/>
        <v>1.977750309023496E-2</v>
      </c>
      <c r="ED160" s="10">
        <f t="shared" si="864"/>
        <v>-6.8639053254437865E-2</v>
      </c>
      <c r="EE160" s="10">
        <f t="shared" ref="EE160:EI160" si="865">EE159/DZ159-1</f>
        <v>-0.12101210121012096</v>
      </c>
      <c r="EF160" s="9">
        <f t="shared" si="865"/>
        <v>-2.576251110453065E-2</v>
      </c>
      <c r="EG160" s="10">
        <f t="shared" si="865"/>
        <v>-9.4425483503981833E-2</v>
      </c>
      <c r="EH160" s="10">
        <f t="shared" si="865"/>
        <v>-9.2121212121212159E-2</v>
      </c>
      <c r="EI160" s="10">
        <f t="shared" si="865"/>
        <v>-3.1766200762388785E-2</v>
      </c>
      <c r="EJ160" s="10">
        <f t="shared" ref="EJ160" si="866">EJ159/EE159-1</f>
        <v>6.6332916145181553E-2</v>
      </c>
      <c r="EK160" s="9">
        <f t="shared" ref="EK160:EQ160" si="867">EK159/EF159-1</f>
        <v>-3.9817629179331293E-2</v>
      </c>
      <c r="EL160" s="10">
        <f t="shared" si="867"/>
        <v>-1.2562814070351536E-3</v>
      </c>
      <c r="EM160" s="10">
        <f t="shared" si="867"/>
        <v>0</v>
      </c>
      <c r="EN160" s="10">
        <f t="shared" si="867"/>
        <v>-5.1181102362204745E-2</v>
      </c>
      <c r="EO160" s="10">
        <f t="shared" si="867"/>
        <v>-0.21244131455399062</v>
      </c>
      <c r="EP160" s="9">
        <f t="shared" si="867"/>
        <v>-6.9958847736625529E-2</v>
      </c>
      <c r="EQ160" s="10">
        <f t="shared" si="867"/>
        <v>-0.12452830188679243</v>
      </c>
      <c r="ER160" s="10">
        <f t="shared" ref="ER160" si="868">ER159/EM159-1</f>
        <v>-7.5172439327728657E-2</v>
      </c>
      <c r="ES160" s="10">
        <f t="shared" ref="ES160:EU160" si="869">ES159/EN159-1</f>
        <v>-1.1530642519628875E-2</v>
      </c>
      <c r="ET160" s="664">
        <f t="shared" si="869"/>
        <v>0.14524815814029624</v>
      </c>
      <c r="EU160" s="9">
        <f t="shared" si="869"/>
        <v>-2.252528845678059E-2</v>
      </c>
      <c r="EV160" s="185"/>
      <c r="EW160" s="185"/>
      <c r="EX160" s="185"/>
      <c r="EY160" s="185"/>
      <c r="EZ160" s="664">
        <f>EZ159/EU159-1</f>
        <v>2.1848760178964977E-2</v>
      </c>
      <c r="FA160" s="185"/>
      <c r="FB160" s="185"/>
      <c r="FC160" s="185"/>
      <c r="FD160" s="185"/>
      <c r="FE160" s="664">
        <f>FE159/EZ159-1</f>
        <v>-2.6137676021986467E-2</v>
      </c>
      <c r="FG160" s="464"/>
      <c r="FH160" s="780"/>
      <c r="FI160" s="780"/>
      <c r="FJ160" s="780"/>
      <c r="FL160" s="1348"/>
      <c r="FM160" s="1141">
        <f t="shared" si="858"/>
        <v>-0.12452830188679243</v>
      </c>
      <c r="FN160" s="1418">
        <f t="shared" si="859"/>
        <v>-1.2562814070351536E-3</v>
      </c>
      <c r="FO160" s="1750">
        <v>-7.8252473593070193E-2</v>
      </c>
      <c r="FP160" s="1751"/>
      <c r="FQ160" s="1503">
        <f>+(FM160-FO160)*10000</f>
        <v>-462.7582829372223</v>
      </c>
      <c r="FR160" s="1614" t="s">
        <v>777</v>
      </c>
      <c r="FS160" s="1615"/>
      <c r="FT160" s="432"/>
      <c r="FU160" s="432"/>
      <c r="FV160" s="432"/>
      <c r="FW160" s="432"/>
      <c r="FX160" s="432"/>
      <c r="FY160" s="432"/>
      <c r="FZ160" s="464"/>
      <c r="GA160"/>
      <c r="GB160"/>
      <c r="GC160"/>
      <c r="GD160"/>
      <c r="GE160"/>
      <c r="GF160"/>
      <c r="GG160"/>
      <c r="GH160"/>
      <c r="GI160"/>
      <c r="GJ160"/>
      <c r="GK160"/>
      <c r="GL160"/>
      <c r="GM160"/>
      <c r="GN160"/>
      <c r="GO160"/>
      <c r="GP160"/>
      <c r="GQ160"/>
      <c r="GR160"/>
      <c r="GS160"/>
      <c r="GT160"/>
      <c r="GU160"/>
      <c r="GV160"/>
      <c r="GW160"/>
      <c r="GX160"/>
      <c r="GY160"/>
      <c r="GZ160"/>
      <c r="HA160"/>
      <c r="HB160"/>
      <c r="HC160"/>
      <c r="HD160"/>
      <c r="HE160"/>
      <c r="HF160"/>
      <c r="HG160"/>
      <c r="HH160"/>
      <c r="HI160"/>
      <c r="HJ160"/>
      <c r="HK160"/>
      <c r="HL160"/>
      <c r="HM160"/>
      <c r="HN160"/>
      <c r="HO160"/>
      <c r="HP160"/>
      <c r="HQ160"/>
      <c r="HR160"/>
      <c r="HS160"/>
      <c r="HT160"/>
      <c r="HU160"/>
      <c r="HV160"/>
      <c r="HW160"/>
      <c r="HX160"/>
      <c r="HY160"/>
      <c r="HZ160"/>
      <c r="IA160"/>
      <c r="IB160"/>
      <c r="IC160"/>
      <c r="ID160"/>
      <c r="IE160"/>
      <c r="IF160"/>
      <c r="IG160"/>
      <c r="IH160"/>
      <c r="II160"/>
      <c r="IJ160"/>
      <c r="IK160"/>
      <c r="IL160"/>
      <c r="IM160"/>
      <c r="IN160"/>
      <c r="IO160"/>
      <c r="IP160"/>
      <c r="IQ160"/>
      <c r="IR160"/>
      <c r="IS160"/>
      <c r="IT160"/>
      <c r="IU160"/>
      <c r="IV160"/>
      <c r="IW160"/>
      <c r="IX160"/>
    </row>
    <row r="161" spans="1:258" s="227" customFormat="1" x14ac:dyDescent="0.2">
      <c r="A161" s="591" t="s">
        <v>414</v>
      </c>
      <c r="B161" s="341"/>
      <c r="C161" s="341"/>
      <c r="D161" s="341"/>
      <c r="E161" s="14"/>
      <c r="F161" s="15"/>
      <c r="G161" s="341"/>
      <c r="H161" s="341"/>
      <c r="I161" s="341"/>
      <c r="J161" s="14"/>
      <c r="K161" s="15"/>
      <c r="L161" s="341"/>
      <c r="M161" s="341"/>
      <c r="N161" s="341"/>
      <c r="O161" s="14"/>
      <c r="P161" s="15"/>
      <c r="Q161" s="341">
        <f t="shared" ref="Q161:AV161" si="870">Q159/Q$223</f>
        <v>0.44159292035398229</v>
      </c>
      <c r="R161" s="341">
        <f t="shared" si="870"/>
        <v>0.43832498862084662</v>
      </c>
      <c r="S161" s="341">
        <f t="shared" si="870"/>
        <v>0.40625</v>
      </c>
      <c r="T161" s="14">
        <f t="shared" si="870"/>
        <v>0.42909423604757546</v>
      </c>
      <c r="U161" s="15">
        <f t="shared" si="870"/>
        <v>0.42896019956911213</v>
      </c>
      <c r="V161" s="341">
        <f t="shared" si="870"/>
        <v>0.4296028880866426</v>
      </c>
      <c r="W161" s="341">
        <f t="shared" si="870"/>
        <v>0.42566943674976915</v>
      </c>
      <c r="X161" s="341">
        <f t="shared" si="870"/>
        <v>0.4249084249084249</v>
      </c>
      <c r="Y161" s="14">
        <f t="shared" si="870"/>
        <v>0.43721356553620533</v>
      </c>
      <c r="Z161" s="15">
        <f t="shared" si="870"/>
        <v>0.42935528120713307</v>
      </c>
      <c r="AA161" s="341">
        <f t="shared" si="870"/>
        <v>0.42331288343558282</v>
      </c>
      <c r="AB161" s="341">
        <f t="shared" si="870"/>
        <v>0.42105263157894735</v>
      </c>
      <c r="AC161" s="341">
        <f t="shared" si="870"/>
        <v>0.41901408450704225</v>
      </c>
      <c r="AD161" s="14">
        <f t="shared" si="870"/>
        <v>0.42669007901668132</v>
      </c>
      <c r="AE161" s="15">
        <f t="shared" si="870"/>
        <v>0.42252589817059732</v>
      </c>
      <c r="AF161" s="341">
        <f t="shared" si="870"/>
        <v>0.4398563734290844</v>
      </c>
      <c r="AG161" s="341">
        <f t="shared" si="870"/>
        <v>0.43318385650224217</v>
      </c>
      <c r="AH161" s="341">
        <f t="shared" si="870"/>
        <v>0.44220183486238535</v>
      </c>
      <c r="AI161" s="14">
        <f t="shared" si="870"/>
        <v>0.4289568345323741</v>
      </c>
      <c r="AJ161" s="15">
        <f t="shared" si="870"/>
        <v>0.43601895734597157</v>
      </c>
      <c r="AK161" s="341">
        <f t="shared" si="870"/>
        <v>0.45568487018800358</v>
      </c>
      <c r="AL161" s="341">
        <f t="shared" si="870"/>
        <v>0.45652173913043476</v>
      </c>
      <c r="AM161" s="341">
        <f t="shared" si="870"/>
        <v>0.46132596685082872</v>
      </c>
      <c r="AN161" s="14">
        <f t="shared" si="870"/>
        <v>0.43818181818181817</v>
      </c>
      <c r="AO161" s="15">
        <f t="shared" si="870"/>
        <v>0.45291581574767414</v>
      </c>
      <c r="AP161" s="341">
        <f t="shared" si="870"/>
        <v>0.45040214477211798</v>
      </c>
      <c r="AQ161" s="341">
        <f t="shared" si="870"/>
        <v>0.46298031865042172</v>
      </c>
      <c r="AR161" s="341">
        <f t="shared" si="870"/>
        <v>0.46575342465753422</v>
      </c>
      <c r="AS161" s="14">
        <f t="shared" si="870"/>
        <v>0.46370235934664245</v>
      </c>
      <c r="AT161" s="15">
        <f t="shared" si="870"/>
        <v>0.46064339493497602</v>
      </c>
      <c r="AU161" s="341">
        <f t="shared" si="870"/>
        <v>0.4653812445223488</v>
      </c>
      <c r="AV161" s="341">
        <f t="shared" si="870"/>
        <v>0.43100358422939067</v>
      </c>
      <c r="AW161" s="341">
        <f t="shared" ref="AW161:CB161" si="871">AW159/AW$223</f>
        <v>0.43906655142610201</v>
      </c>
      <c r="AX161" s="14">
        <f t="shared" si="871"/>
        <v>0.43187660668380462</v>
      </c>
      <c r="AY161" s="15">
        <f t="shared" si="871"/>
        <v>0.44182492905479154</v>
      </c>
      <c r="AZ161" s="341">
        <f t="shared" si="871"/>
        <v>0.43922883487007541</v>
      </c>
      <c r="BA161" s="341">
        <f t="shared" si="871"/>
        <v>0.42065299924069854</v>
      </c>
      <c r="BB161" s="341">
        <f t="shared" si="871"/>
        <v>0.39358974358974358</v>
      </c>
      <c r="BC161" s="14">
        <f t="shared" si="871"/>
        <v>0.38370499563971594</v>
      </c>
      <c r="BD161" s="15">
        <f t="shared" si="871"/>
        <v>0.40666737146280441</v>
      </c>
      <c r="BE161" s="341">
        <f t="shared" si="871"/>
        <v>0.3992696287279367</v>
      </c>
      <c r="BF161" s="341">
        <f t="shared" si="871"/>
        <v>0.39202855443188578</v>
      </c>
      <c r="BG161" s="341">
        <f t="shared" si="871"/>
        <v>0.40738423028785981</v>
      </c>
      <c r="BH161" s="14">
        <f t="shared" si="871"/>
        <v>0.40485074626865669</v>
      </c>
      <c r="BI161" s="15">
        <f t="shared" si="871"/>
        <v>0.40680864293486707</v>
      </c>
      <c r="BJ161" s="341">
        <f t="shared" si="871"/>
        <v>0.41975308641975306</v>
      </c>
      <c r="BK161" s="341">
        <f t="shared" si="871"/>
        <v>0.4227129337539432</v>
      </c>
      <c r="BL161" s="341">
        <f t="shared" si="871"/>
        <v>0.41386010362694303</v>
      </c>
      <c r="BM161" s="14">
        <f t="shared" si="871"/>
        <v>0.42977893368010406</v>
      </c>
      <c r="BN161" s="15">
        <f t="shared" si="871"/>
        <v>0.42529289038677581</v>
      </c>
      <c r="BO161" s="341">
        <f t="shared" si="871"/>
        <v>0.42277992277992277</v>
      </c>
      <c r="BP161" s="341">
        <f t="shared" si="871"/>
        <v>0.41301546391752575</v>
      </c>
      <c r="BQ161" s="341">
        <f t="shared" si="871"/>
        <v>0.41372674791533032</v>
      </c>
      <c r="BR161" s="14">
        <f t="shared" si="871"/>
        <v>0.42959582790091266</v>
      </c>
      <c r="BS161" s="15">
        <f t="shared" si="871"/>
        <v>0.42260841318824105</v>
      </c>
      <c r="BT161" s="341">
        <f t="shared" si="871"/>
        <v>0.40084134615384615</v>
      </c>
      <c r="BU161" s="341">
        <f t="shared" si="871"/>
        <v>0.40724815724815727</v>
      </c>
      <c r="BV161" s="341">
        <f t="shared" si="871"/>
        <v>0.40187499999999998</v>
      </c>
      <c r="BW161" s="14">
        <f t="shared" si="871"/>
        <v>0.3981762917933131</v>
      </c>
      <c r="BX161" s="15">
        <f t="shared" si="871"/>
        <v>0.40586872586872585</v>
      </c>
      <c r="BY161" s="341">
        <f t="shared" si="871"/>
        <v>0.39452214452214451</v>
      </c>
      <c r="BZ161" s="341">
        <f t="shared" si="871"/>
        <v>0.39012925969447709</v>
      </c>
      <c r="CA161" s="341">
        <f t="shared" si="871"/>
        <v>0.39633786178381569</v>
      </c>
      <c r="CB161" s="14">
        <f t="shared" si="871"/>
        <v>0.39088471849865952</v>
      </c>
      <c r="CC161" s="15">
        <f t="shared" ref="CC161:DH161" si="872">CC159/CC$223</f>
        <v>0.39157142857142857</v>
      </c>
      <c r="CD161" s="341">
        <f t="shared" si="872"/>
        <v>0.39499146272054636</v>
      </c>
      <c r="CE161" s="341">
        <f t="shared" si="872"/>
        <v>0.40481651376146788</v>
      </c>
      <c r="CF161" s="341">
        <f t="shared" si="872"/>
        <v>0.41099773242630383</v>
      </c>
      <c r="CG161" s="14">
        <f t="shared" si="872"/>
        <v>0.40521064301552107</v>
      </c>
      <c r="CH161" s="15">
        <f t="shared" si="872"/>
        <v>0.39209225700164746</v>
      </c>
      <c r="CI161" s="341">
        <f t="shared" si="872"/>
        <v>0.38937093275488072</v>
      </c>
      <c r="CJ161" s="341">
        <f t="shared" si="872"/>
        <v>0.37592008412197686</v>
      </c>
      <c r="CK161" s="341">
        <f t="shared" si="872"/>
        <v>0.37860082304526749</v>
      </c>
      <c r="CL161" s="14">
        <f t="shared" si="872"/>
        <v>0.39259645464025028</v>
      </c>
      <c r="CM161" s="15">
        <f t="shared" si="872"/>
        <v>0.38406940063091483</v>
      </c>
      <c r="CN161" s="341">
        <f t="shared" si="872"/>
        <v>0.37544757033248083</v>
      </c>
      <c r="CO161" s="341">
        <f t="shared" si="872"/>
        <v>0.38738269030239836</v>
      </c>
      <c r="CP161" s="341">
        <f t="shared" si="872"/>
        <v>0.38497169325784869</v>
      </c>
      <c r="CQ161" s="14">
        <f t="shared" si="872"/>
        <v>0.38434343434343432</v>
      </c>
      <c r="CR161" s="15">
        <f t="shared" si="872"/>
        <v>0.38301693175987683</v>
      </c>
      <c r="CS161" s="341">
        <f t="shared" si="872"/>
        <v>0.35662996649114409</v>
      </c>
      <c r="CT161" s="341">
        <f t="shared" si="872"/>
        <v>0.33470319634703194</v>
      </c>
      <c r="CU161" s="341">
        <f t="shared" si="872"/>
        <v>0.3384201077199282</v>
      </c>
      <c r="CV161" s="14">
        <f t="shared" si="872"/>
        <v>0.36478304742684159</v>
      </c>
      <c r="CW161" s="15">
        <f t="shared" si="872"/>
        <v>0.34809753799034043</v>
      </c>
      <c r="CX161" s="341">
        <f t="shared" si="872"/>
        <v>0.38376811594202898</v>
      </c>
      <c r="CY161" s="341">
        <f t="shared" si="872"/>
        <v>0.40798502807236431</v>
      </c>
      <c r="CZ161" s="341">
        <f t="shared" si="872"/>
        <v>0.38616203429923124</v>
      </c>
      <c r="DA161" s="14">
        <f t="shared" si="872"/>
        <v>0.37996545768566492</v>
      </c>
      <c r="DB161" s="15">
        <f t="shared" si="872"/>
        <v>0.38913558318531677</v>
      </c>
      <c r="DC161" s="341">
        <f t="shared" si="872"/>
        <v>0.39256865912762517</v>
      </c>
      <c r="DD161" s="341">
        <f t="shared" si="872"/>
        <v>0.38047493403693933</v>
      </c>
      <c r="DE161" s="341">
        <f t="shared" si="872"/>
        <v>0.39706681151548073</v>
      </c>
      <c r="DF161" s="341">
        <f t="shared" si="872"/>
        <v>0.39390862944162436</v>
      </c>
      <c r="DG161" s="498">
        <f t="shared" si="872"/>
        <v>0.39098241438582571</v>
      </c>
      <c r="DH161" s="341">
        <f t="shared" si="872"/>
        <v>0.37555228276877761</v>
      </c>
      <c r="DI161" s="341">
        <f t="shared" ref="DI161:EN161" si="873">DI159/DI$223</f>
        <v>0.36502627806975635</v>
      </c>
      <c r="DJ161" s="341">
        <f t="shared" si="873"/>
        <v>0.36690647482014388</v>
      </c>
      <c r="DK161" s="341">
        <f t="shared" si="873"/>
        <v>0.36919431279620851</v>
      </c>
      <c r="DL161" s="498">
        <f t="shared" si="873"/>
        <v>0.36912912912912915</v>
      </c>
      <c r="DM161" s="341">
        <f t="shared" si="873"/>
        <v>0.36492890995260663</v>
      </c>
      <c r="DN161" s="341">
        <f t="shared" si="873"/>
        <v>0.3595940067665539</v>
      </c>
      <c r="DO161" s="341">
        <f t="shared" si="873"/>
        <v>0.36960784313725492</v>
      </c>
      <c r="DP161" s="341">
        <f t="shared" si="873"/>
        <v>0.36153846153846153</v>
      </c>
      <c r="DQ161" s="498">
        <f t="shared" si="873"/>
        <v>0.36389926497168334</v>
      </c>
      <c r="DR161" s="341">
        <f t="shared" si="873"/>
        <v>0.364717070851165</v>
      </c>
      <c r="DS161" s="341">
        <f t="shared" si="873"/>
        <v>0.36513157894736842</v>
      </c>
      <c r="DT161" s="14">
        <f t="shared" si="873"/>
        <v>0.37153593236261157</v>
      </c>
      <c r="DU161" s="341">
        <f t="shared" si="873"/>
        <v>0.36187471834159529</v>
      </c>
      <c r="DV161" s="498">
        <f t="shared" si="873"/>
        <v>0.36577689707425109</v>
      </c>
      <c r="DW161" s="341">
        <f t="shared" si="873"/>
        <v>0.35811702595688516</v>
      </c>
      <c r="DX161" s="341">
        <f t="shared" si="873"/>
        <v>0.36003560302625726</v>
      </c>
      <c r="DY161" s="14">
        <f t="shared" si="873"/>
        <v>0.37639198218262804</v>
      </c>
      <c r="DZ161" s="341">
        <f t="shared" si="873"/>
        <v>0.3967699694456569</v>
      </c>
      <c r="EA161" s="498">
        <f t="shared" si="873"/>
        <v>0.37290194346289751</v>
      </c>
      <c r="EB161" s="341">
        <f t="shared" si="873"/>
        <v>0.40247252747252749</v>
      </c>
      <c r="EC161" s="341">
        <f t="shared" si="873"/>
        <v>0.39970930232558138</v>
      </c>
      <c r="ED161" s="14">
        <f t="shared" si="873"/>
        <v>0.39232303090727816</v>
      </c>
      <c r="EE161" s="341">
        <f t="shared" si="873"/>
        <v>0.40150753768844222</v>
      </c>
      <c r="EF161" s="498">
        <f t="shared" si="873"/>
        <v>0.39907811741872878</v>
      </c>
      <c r="EG161" s="341">
        <f t="shared" si="873"/>
        <v>0.41588296760710552</v>
      </c>
      <c r="EH161" s="341">
        <f t="shared" si="873"/>
        <v>0.40182403433476394</v>
      </c>
      <c r="EI161" s="14">
        <f t="shared" si="873"/>
        <v>0.40770465489566615</v>
      </c>
      <c r="EJ161" s="341">
        <f t="shared" si="873"/>
        <v>0.41908509591736348</v>
      </c>
      <c r="EK161" s="498">
        <f t="shared" si="873"/>
        <v>0.41063304302612763</v>
      </c>
      <c r="EL161" s="341">
        <f t="shared" si="873"/>
        <v>0.39949748743718594</v>
      </c>
      <c r="EM161" s="341">
        <f t="shared" si="873"/>
        <v>0.40290478752017211</v>
      </c>
      <c r="EN161" s="14">
        <f t="shared" si="873"/>
        <v>0.38621794871794873</v>
      </c>
      <c r="EO161" s="341">
        <f t="shared" ref="EO161:EU161" si="874">EO159/EO$223</f>
        <v>0.36055883933369154</v>
      </c>
      <c r="EP161" s="498">
        <f t="shared" si="874"/>
        <v>0.38749670271696124</v>
      </c>
      <c r="EQ161" s="341">
        <f t="shared" si="874"/>
        <v>0.37991266375545851</v>
      </c>
      <c r="ER161" s="341">
        <f t="shared" si="874"/>
        <v>0.38223904532762792</v>
      </c>
      <c r="ES161" s="341">
        <f t="shared" si="874"/>
        <v>0.38351093874135606</v>
      </c>
      <c r="ET161" s="1995">
        <f t="shared" si="874"/>
        <v>0.38993139954747269</v>
      </c>
      <c r="EU161" s="498">
        <f t="shared" si="874"/>
        <v>0.38401321177041592</v>
      </c>
      <c r="EV161" s="208"/>
      <c r="EW161" s="208"/>
      <c r="EX161" s="208"/>
      <c r="EY161" s="208"/>
      <c r="EZ161" s="661">
        <f>EZ159/EZ$223</f>
        <v>0.38803017010018848</v>
      </c>
      <c r="FA161" s="208"/>
      <c r="FB161" s="208"/>
      <c r="FC161" s="208"/>
      <c r="FD161" s="208"/>
      <c r="FE161" s="661">
        <f>FE159/FE$223</f>
        <v>0.37936177952443417</v>
      </c>
      <c r="FG161" s="464"/>
      <c r="FH161" s="780"/>
      <c r="FI161" s="780"/>
      <c r="FJ161" s="780"/>
      <c r="FK161" s="186"/>
      <c r="FL161" s="1348"/>
      <c r="FM161" s="1141">
        <f t="shared" si="858"/>
        <v>0.37991266375545851</v>
      </c>
      <c r="FN161" s="1454">
        <f t="shared" si="859"/>
        <v>0.39949748743718594</v>
      </c>
      <c r="FO161" s="1854">
        <v>0.38043976809534774</v>
      </c>
      <c r="FP161" s="1751"/>
      <c r="FQ161" s="1503"/>
      <c r="FR161" s="1614" t="s">
        <v>778</v>
      </c>
      <c r="FS161" s="1614"/>
      <c r="FT161" s="432"/>
      <c r="FU161" s="432"/>
      <c r="FV161" s="432"/>
      <c r="FW161" s="432"/>
      <c r="FX161" s="432"/>
      <c r="FY161" s="432"/>
      <c r="FZ161" s="464"/>
      <c r="GA161"/>
      <c r="GB161"/>
      <c r="GC161"/>
      <c r="GD161"/>
      <c r="GE161"/>
      <c r="GF161"/>
      <c r="GG161"/>
      <c r="GH161"/>
      <c r="GI161"/>
      <c r="GJ161"/>
      <c r="GK161"/>
      <c r="GL161"/>
      <c r="GM161"/>
      <c r="GN161"/>
      <c r="GO161"/>
      <c r="GP161"/>
      <c r="GQ161"/>
      <c r="GR161"/>
      <c r="GS161"/>
      <c r="GT161"/>
      <c r="GU161"/>
      <c r="GV161"/>
      <c r="GW161"/>
      <c r="GX161"/>
      <c r="GY161"/>
      <c r="GZ161"/>
      <c r="HA161"/>
      <c r="HB161"/>
      <c r="HC161"/>
      <c r="HD161"/>
      <c r="HE161"/>
      <c r="HF161"/>
      <c r="HG161"/>
      <c r="HH161"/>
      <c r="HI161"/>
      <c r="HJ161"/>
      <c r="HK161"/>
      <c r="HL161"/>
      <c r="HM161"/>
      <c r="HN161"/>
      <c r="HO161"/>
      <c r="HP161"/>
      <c r="HQ161"/>
      <c r="HR161"/>
      <c r="HS161"/>
      <c r="HT161"/>
      <c r="HU161"/>
      <c r="HV161"/>
      <c r="HW161"/>
      <c r="HX161"/>
      <c r="HY161"/>
      <c r="HZ161"/>
      <c r="IA161"/>
      <c r="IB161"/>
      <c r="IC161"/>
      <c r="ID161"/>
      <c r="IE161"/>
      <c r="IF161"/>
      <c r="IG161"/>
      <c r="IH161"/>
      <c r="II161"/>
      <c r="IJ161"/>
      <c r="IK161"/>
      <c r="IL161"/>
      <c r="IM161"/>
      <c r="IN161"/>
      <c r="IO161"/>
      <c r="IP161"/>
      <c r="IQ161"/>
      <c r="IR161"/>
      <c r="IS161"/>
      <c r="IT161"/>
      <c r="IU161"/>
      <c r="IV161"/>
      <c r="IW161"/>
      <c r="IX161"/>
    </row>
    <row r="162" spans="1:258" s="227" customFormat="1" x14ac:dyDescent="0.2">
      <c r="A162" s="558" t="s">
        <v>330</v>
      </c>
      <c r="B162" s="341"/>
      <c r="C162" s="341"/>
      <c r="D162" s="341"/>
      <c r="E162" s="14"/>
      <c r="F162" s="15"/>
      <c r="G162" s="341"/>
      <c r="H162" s="341"/>
      <c r="I162" s="341"/>
      <c r="J162" s="14"/>
      <c r="K162" s="15"/>
      <c r="L162" s="341"/>
      <c r="M162" s="341"/>
      <c r="N162" s="341"/>
      <c r="O162" s="14"/>
      <c r="P162" s="15"/>
      <c r="Q162" s="14">
        <f>Q159/U159</f>
        <v>0.26381178958498547</v>
      </c>
      <c r="R162" s="14">
        <f>R159/U159</f>
        <v>0.25455987311657413</v>
      </c>
      <c r="S162" s="14">
        <f>S159/U159</f>
        <v>0.23367697594501718</v>
      </c>
      <c r="T162" s="14">
        <f>T159/U159</f>
        <v>0.24795136135342322</v>
      </c>
      <c r="U162" s="498"/>
      <c r="V162" s="14">
        <f>V159/Z159</f>
        <v>0.25346112886048988</v>
      </c>
      <c r="W162" s="14">
        <f>W159/Z159</f>
        <v>0.24547390841320554</v>
      </c>
      <c r="X162" s="14">
        <f>X159/Z159</f>
        <v>0.24707135250266241</v>
      </c>
      <c r="Y162" s="14">
        <f>Y159/Z159</f>
        <v>0.2539936102236422</v>
      </c>
      <c r="Z162" s="498"/>
      <c r="AA162" s="14">
        <f>AA159/AE159</f>
        <v>0.2519561815336463</v>
      </c>
      <c r="AB162" s="14">
        <f>AB159/AE159</f>
        <v>0.24621804903495045</v>
      </c>
      <c r="AC162" s="14">
        <f>AC159/AE159</f>
        <v>0.24830464267083985</v>
      </c>
      <c r="AD162" s="14">
        <f>AD159/AE159</f>
        <v>0.25352112676056338</v>
      </c>
      <c r="AE162" s="498"/>
      <c r="AF162" s="14">
        <f>AF159/AJ159</f>
        <v>0.25362318840579712</v>
      </c>
      <c r="AG162" s="14">
        <f>AG159/AJ159</f>
        <v>0.25</v>
      </c>
      <c r="AH162" s="14">
        <f>AH159/AJ159</f>
        <v>0.24948240165631469</v>
      </c>
      <c r="AI162" s="14">
        <f>AI159/AJ159</f>
        <v>0.24689440993788819</v>
      </c>
      <c r="AJ162" s="498"/>
      <c r="AK162" s="14">
        <f>AK159/AO159</f>
        <v>0.25501002004008017</v>
      </c>
      <c r="AL162" s="14">
        <f>AL159/AO159</f>
        <v>0.25250501002004005</v>
      </c>
      <c r="AM162" s="14">
        <f>AM159/AO159</f>
        <v>0.25100200400801603</v>
      </c>
      <c r="AN162" s="14">
        <f>AN159/AO159</f>
        <v>0.24148296593186372</v>
      </c>
      <c r="AO162" s="498"/>
      <c r="AP162" s="14">
        <f>AP159/AT159</f>
        <v>0.24962852897473997</v>
      </c>
      <c r="AQ162" s="14">
        <f>AQ159/AT159</f>
        <v>0.2446755819712729</v>
      </c>
      <c r="AR162" s="14">
        <f>AR159/AT159</f>
        <v>0.2526002971768202</v>
      </c>
      <c r="AS162" s="14">
        <f>AS159/AT159</f>
        <v>0.2530955918771669</v>
      </c>
      <c r="AT162" s="498"/>
      <c r="AU162" s="14">
        <f>AU159/AY159</f>
        <v>0.26235177865612647</v>
      </c>
      <c r="AV162" s="14">
        <f>AV159/AY159</f>
        <v>0.23764822134387351</v>
      </c>
      <c r="AW162" s="14">
        <f>AW159/AY159</f>
        <v>0.25098814229249011</v>
      </c>
      <c r="AX162" s="14">
        <f>AX159/AY159</f>
        <v>0.24901185770750989</v>
      </c>
      <c r="AY162" s="498"/>
      <c r="AZ162" s="14">
        <f>AZ159/BD159</f>
        <v>0.22703639514731369</v>
      </c>
      <c r="BA162" s="14">
        <f>BA159/BD159</f>
        <v>0.24003466204506066</v>
      </c>
      <c r="BB162" s="14">
        <f>BB159/BD159</f>
        <v>0.26603119584055457</v>
      </c>
      <c r="BC162" s="14">
        <f>BC159/BD159</f>
        <v>0.26689774696707108</v>
      </c>
      <c r="BD162" s="498"/>
      <c r="BE162" s="14">
        <f>BE159/BI159</f>
        <v>0.25066870462361485</v>
      </c>
      <c r="BF162" s="14">
        <f>BF159/BI159</f>
        <v>0.25181505540695454</v>
      </c>
      <c r="BG162" s="14">
        <f>BG159/BI159</f>
        <v>0.24875811998471531</v>
      </c>
      <c r="BH162" s="14">
        <f>BH159/BI159</f>
        <v>0.24875811998471531</v>
      </c>
      <c r="BI162" s="498"/>
      <c r="BJ162" s="14">
        <f>BJ159/BN159</f>
        <v>0.25660377358490566</v>
      </c>
      <c r="BK162" s="14">
        <f>BK159/BN159</f>
        <v>0.25283018867924528</v>
      </c>
      <c r="BL162" s="14">
        <f>BL159/BN159</f>
        <v>0.24113207547169813</v>
      </c>
      <c r="BM162" s="14">
        <f>BM159/BN159</f>
        <v>0.24943396226415093</v>
      </c>
      <c r="BN162" s="498"/>
      <c r="BO162" s="14">
        <f>BO159/BS159</f>
        <v>0.25249807840122984</v>
      </c>
      <c r="BP162" s="14">
        <f>BP159/BS159</f>
        <v>0.24634896233666412</v>
      </c>
      <c r="BQ162" s="14">
        <f>BQ159/BS159</f>
        <v>0.24788624135280554</v>
      </c>
      <c r="BR162" s="14">
        <f>BR159/BS159</f>
        <v>0.25326671790930055</v>
      </c>
      <c r="BS162" s="498"/>
      <c r="BT162" s="14">
        <f>BT159/BX159</f>
        <v>0.25380517503805178</v>
      </c>
      <c r="BU162" s="14">
        <f>BU159/BX159</f>
        <v>0.25228310502283108</v>
      </c>
      <c r="BV162" s="14">
        <f>BV159/BX159</f>
        <v>0.24467275494672755</v>
      </c>
      <c r="BW162" s="14">
        <f>BW159/BX159</f>
        <v>0.24923896499238965</v>
      </c>
      <c r="BX162" s="498"/>
      <c r="BY162" s="14">
        <f>BY159/CC159</f>
        <v>0.2469901495804451</v>
      </c>
      <c r="BZ162" s="14">
        <f>BZ159/CC159</f>
        <v>0.24224735497993433</v>
      </c>
      <c r="CA162" s="14">
        <f>CA159/CC159</f>
        <v>0.24480116745713243</v>
      </c>
      <c r="CB162" s="14">
        <f>CB159/CC159</f>
        <v>0.26596132798248812</v>
      </c>
      <c r="CC162" s="498"/>
      <c r="CD162" s="14">
        <f>CD159/CH159</f>
        <v>0.24299719887955182</v>
      </c>
      <c r="CE162" s="14">
        <f>CE159/CH159</f>
        <v>0.24719887955182074</v>
      </c>
      <c r="CF162" s="14">
        <f>CF159/CH159</f>
        <v>0.25385154061624648</v>
      </c>
      <c r="CG162" s="14">
        <f>CG159/CH159</f>
        <v>0.25595238095238093</v>
      </c>
      <c r="CH162" s="498"/>
      <c r="CI162" s="14">
        <f>CI159/CM159</f>
        <v>0.24572210814510609</v>
      </c>
      <c r="CJ162" s="14">
        <f>CJ159/CM159</f>
        <v>0.24469541409993156</v>
      </c>
      <c r="CK162" s="14">
        <f>CK159/CM159</f>
        <v>0.2518822724161533</v>
      </c>
      <c r="CL162" s="14">
        <f>CL159/CM159</f>
        <v>0.25770020533880905</v>
      </c>
      <c r="CM162" s="498"/>
      <c r="CN162" s="14">
        <f>CN159/CR159</f>
        <v>0.24581379772270595</v>
      </c>
      <c r="CO162" s="14">
        <f>CO159/CR159</f>
        <v>0.24882786336235768</v>
      </c>
      <c r="CP162" s="14">
        <f>CP159/CR159</f>
        <v>0.25050234427327528</v>
      </c>
      <c r="CQ162" s="14">
        <f>CQ159/CR159</f>
        <v>0.25485599464166109</v>
      </c>
      <c r="CR162" s="498"/>
      <c r="CS162" s="14">
        <f>CS159/CW159</f>
        <v>0.25211505922165822</v>
      </c>
      <c r="CT162" s="14">
        <f>CT159/CW159</f>
        <v>0.24805414551607444</v>
      </c>
      <c r="CU162" s="14">
        <f>CU159/CW159</f>
        <v>0.25516074450084603</v>
      </c>
      <c r="CV162" s="14">
        <f>CV159/CW159</f>
        <v>0.24467005076142131</v>
      </c>
      <c r="CW162" s="498"/>
      <c r="CX162" s="14">
        <f>CX159/DB159</f>
        <v>0.2518067706352225</v>
      </c>
      <c r="CY162" s="14">
        <f>CY159/DB159</f>
        <v>0.2487637885127425</v>
      </c>
      <c r="CZ162" s="14">
        <f>CZ159/DB159</f>
        <v>0.24838341574743247</v>
      </c>
      <c r="DA162" s="14">
        <f>DA159/DB159</f>
        <v>0.2510460251046025</v>
      </c>
      <c r="DB162" s="498"/>
      <c r="DC162" s="14">
        <f>DC159/DG159</f>
        <v>0.24653364896854921</v>
      </c>
      <c r="DD162" s="14">
        <f>DD159/DG159</f>
        <v>0.2438282042610754</v>
      </c>
      <c r="DE162" s="14">
        <f>DE159/DG159</f>
        <v>0.24721001014541766</v>
      </c>
      <c r="DF162" s="14">
        <f>DF159/DG159</f>
        <v>0.26242813662495773</v>
      </c>
      <c r="DG162" s="498"/>
      <c r="DH162" s="14">
        <f>DH159/DL159</f>
        <v>0.24894240156199154</v>
      </c>
      <c r="DI162" s="14">
        <f>DI159/DL159</f>
        <v>0.24861698665798893</v>
      </c>
      <c r="DJ162" s="14">
        <f>DJ159/DL159</f>
        <v>0.24894240156199154</v>
      </c>
      <c r="DK162" s="14">
        <f>DK159/DL159</f>
        <v>0.25349821021802799</v>
      </c>
      <c r="DL162" s="498"/>
      <c r="DM162" s="14">
        <f>DM159/DQ159</f>
        <v>0.25496688741721857</v>
      </c>
      <c r="DN162" s="14">
        <f>DN159/DQ159</f>
        <v>0.24635761589403973</v>
      </c>
      <c r="DO162" s="14">
        <f>DO159/DQ159</f>
        <v>0.24966887417218542</v>
      </c>
      <c r="DP162" s="14">
        <f>DP159/DQ159</f>
        <v>0.24900662251655628</v>
      </c>
      <c r="DQ162" s="498"/>
      <c r="DR162" s="14">
        <f>DR159/DV159</f>
        <v>0.24442319949012109</v>
      </c>
      <c r="DS162" s="14">
        <f>DS159/DV159</f>
        <v>0.24760994263862332</v>
      </c>
      <c r="DT162" s="14">
        <f>DT159/DV159</f>
        <v>0.25207138304652643</v>
      </c>
      <c r="DU162" s="14">
        <f>DU159/DV159</f>
        <v>0.25589547482472913</v>
      </c>
      <c r="DV162" s="498"/>
      <c r="DW162" s="14">
        <f>DW159/EA159</f>
        <v>0.24104234527687296</v>
      </c>
      <c r="DX162" s="14">
        <f>DX159/EA159</f>
        <v>0.23956174119040569</v>
      </c>
      <c r="DY162" s="14">
        <f>DY159/EA159</f>
        <v>0.25022209061297007</v>
      </c>
      <c r="DZ162" s="14">
        <f>DZ159/EA159</f>
        <v>0.26917382291975128</v>
      </c>
      <c r="EA162" s="498"/>
      <c r="EB162" s="14">
        <f>EB159/EF159</f>
        <v>0.26717325227963523</v>
      </c>
      <c r="EC162" s="14">
        <f>EC159/EF159</f>
        <v>0.25075987841945291</v>
      </c>
      <c r="ED162" s="14">
        <f>ED159/EF159</f>
        <v>0.23920972644376901</v>
      </c>
      <c r="EE162" s="14">
        <f>EE159/EF159</f>
        <v>0.24285714285714285</v>
      </c>
      <c r="EF162" s="498"/>
      <c r="EG162" s="14">
        <f>EG159/EK159</f>
        <v>0.25197847420069641</v>
      </c>
      <c r="EH162" s="14">
        <f>EH159/EK159</f>
        <v>0.23710034821145931</v>
      </c>
      <c r="EI162" s="14">
        <f>EI159/EK159</f>
        <v>0.24121557454890788</v>
      </c>
      <c r="EJ162" s="14">
        <f>EJ159/EK159</f>
        <v>0.26970560303893637</v>
      </c>
      <c r="EK162" s="498"/>
      <c r="EL162" s="14">
        <f>EL159/EP159</f>
        <v>0.27059223961878831</v>
      </c>
      <c r="EM162" s="14">
        <f>EM159/EP159</f>
        <v>0.25493533015656911</v>
      </c>
      <c r="EN162" s="14">
        <f>EN159/EP159</f>
        <v>0.2460857726344452</v>
      </c>
      <c r="EO162" s="14">
        <f>EO159/EP159</f>
        <v>0.22838665759019741</v>
      </c>
      <c r="EP162" s="498"/>
      <c r="EQ162" s="14">
        <f>EQ159/EU159</f>
        <v>0.24235496296503636</v>
      </c>
      <c r="ER162" s="14">
        <f t="shared" ref="ER162:ES162" si="875">ER159/$EU159</f>
        <v>0.24120441862444564</v>
      </c>
      <c r="ES162" s="14">
        <f t="shared" si="875"/>
        <v>0.24885374801870302</v>
      </c>
      <c r="ET162" s="661">
        <f>ET159/$EU159</f>
        <v>0.26758687039181489</v>
      </c>
      <c r="EU162" s="498"/>
      <c r="EV162" s="208"/>
      <c r="EW162" s="208"/>
      <c r="EX162" s="208"/>
      <c r="EY162" s="208"/>
      <c r="EZ162" s="661"/>
      <c r="FA162" s="208"/>
      <c r="FB162" s="208"/>
      <c r="FC162" s="208"/>
      <c r="FD162" s="208"/>
      <c r="FE162" s="661"/>
      <c r="FG162" s="464"/>
      <c r="FH162" s="780"/>
      <c r="FI162" s="780"/>
      <c r="FJ162" s="780"/>
      <c r="FK162" s="186"/>
      <c r="FL162" s="1348"/>
      <c r="FM162" s="1141">
        <f t="shared" si="858"/>
        <v>0.24235496296503636</v>
      </c>
      <c r="FN162" s="1419">
        <f t="shared" si="859"/>
        <v>0.27059223961878831</v>
      </c>
      <c r="FO162" s="1806">
        <v>0.25010510030876282</v>
      </c>
      <c r="FP162" s="1751"/>
      <c r="FQ162" s="1503"/>
      <c r="FR162" s="1619"/>
      <c r="FS162" s="1619"/>
      <c r="FT162" s="432"/>
      <c r="FU162" s="432"/>
      <c r="FV162" s="432"/>
      <c r="FW162" s="432"/>
      <c r="FX162" s="432"/>
      <c r="FY162" s="432"/>
      <c r="FZ162" s="464"/>
      <c r="GA162"/>
      <c r="GB162"/>
      <c r="GC162"/>
      <c r="GD162"/>
      <c r="GE162"/>
      <c r="GF162"/>
      <c r="GG162"/>
      <c r="GH162"/>
      <c r="GI162"/>
      <c r="GJ162"/>
      <c r="GK162"/>
      <c r="GL162"/>
      <c r="GM162"/>
      <c r="GN162"/>
      <c r="GO162"/>
      <c r="GP162"/>
      <c r="GQ162"/>
      <c r="GR162"/>
      <c r="GS162"/>
      <c r="GT162"/>
      <c r="GU162"/>
      <c r="GV162"/>
      <c r="GW162"/>
      <c r="GX162"/>
      <c r="GY162"/>
      <c r="GZ162"/>
      <c r="HA162"/>
      <c r="HB162"/>
      <c r="HC162"/>
      <c r="HD162"/>
      <c r="HE162"/>
      <c r="HF162"/>
      <c r="HG162"/>
      <c r="HH162"/>
      <c r="HI162"/>
      <c r="HJ162"/>
      <c r="HK162"/>
      <c r="HL162"/>
      <c r="HM162"/>
      <c r="HN162"/>
      <c r="HO162"/>
      <c r="HP162"/>
      <c r="HQ162"/>
      <c r="HR162"/>
      <c r="HS162"/>
      <c r="HT162"/>
      <c r="HU162"/>
      <c r="HV162"/>
      <c r="HW162"/>
      <c r="HX162"/>
      <c r="HY162"/>
      <c r="HZ162"/>
      <c r="IA162"/>
      <c r="IB162"/>
      <c r="IC162"/>
      <c r="ID162"/>
      <c r="IE162"/>
      <c r="IF162"/>
      <c r="IG162"/>
      <c r="IH162"/>
      <c r="II162"/>
      <c r="IJ162"/>
      <c r="IK162"/>
      <c r="IL162"/>
      <c r="IM162"/>
      <c r="IN162"/>
      <c r="IO162"/>
      <c r="IP162"/>
      <c r="IQ162"/>
      <c r="IR162"/>
      <c r="IS162"/>
      <c r="IT162"/>
      <c r="IU162"/>
      <c r="IV162"/>
      <c r="IW162"/>
      <c r="IX162"/>
    </row>
    <row r="163" spans="1:258" s="227" customFormat="1" x14ac:dyDescent="0.2">
      <c r="A163" s="1022" t="s">
        <v>665</v>
      </c>
      <c r="B163" s="341"/>
      <c r="C163" s="341"/>
      <c r="D163" s="341"/>
      <c r="E163" s="14"/>
      <c r="F163" s="15"/>
      <c r="G163" s="341"/>
      <c r="H163" s="341"/>
      <c r="I163" s="341"/>
      <c r="J163" s="14"/>
      <c r="K163" s="15"/>
      <c r="L163" s="341"/>
      <c r="M163" s="341"/>
      <c r="N163" s="341"/>
      <c r="O163" s="14"/>
      <c r="P163" s="15"/>
      <c r="Q163" s="341"/>
      <c r="R163" s="341"/>
      <c r="S163" s="341"/>
      <c r="T163" s="14"/>
      <c r="U163" s="15"/>
      <c r="V163" s="341"/>
      <c r="W163" s="341"/>
      <c r="X163" s="341"/>
      <c r="Y163" s="14"/>
      <c r="Z163" s="15"/>
      <c r="AA163" s="341"/>
      <c r="AB163" s="341"/>
      <c r="AC163" s="341"/>
      <c r="AD163" s="14"/>
      <c r="AE163" s="15"/>
      <c r="AF163" s="341"/>
      <c r="AG163" s="341"/>
      <c r="AH163" s="341"/>
      <c r="AI163" s="14"/>
      <c r="AJ163" s="15"/>
      <c r="AK163" s="341"/>
      <c r="AL163" s="341"/>
      <c r="AM163" s="341"/>
      <c r="AN163" s="14"/>
      <c r="AO163" s="15"/>
      <c r="AP163" s="341"/>
      <c r="AQ163" s="341"/>
      <c r="AR163" s="341"/>
      <c r="AS163" s="14"/>
      <c r="AT163" s="15"/>
      <c r="AU163" s="341"/>
      <c r="AV163" s="341"/>
      <c r="AW163" s="341"/>
      <c r="AX163" s="14"/>
      <c r="AY163" s="15"/>
      <c r="AZ163" s="341"/>
      <c r="BA163" s="341"/>
      <c r="BB163" s="341"/>
      <c r="BC163" s="14"/>
      <c r="BD163" s="15"/>
      <c r="BE163" s="341"/>
      <c r="BF163" s="341"/>
      <c r="BG163" s="341"/>
      <c r="BH163" s="14"/>
      <c r="BI163" s="15"/>
      <c r="BJ163" s="341"/>
      <c r="BK163" s="341"/>
      <c r="BL163" s="341"/>
      <c r="BM163" s="14"/>
      <c r="BN163" s="15"/>
      <c r="BO163" s="341"/>
      <c r="BP163" s="341"/>
      <c r="BQ163" s="341"/>
      <c r="BR163" s="14"/>
      <c r="BS163" s="15"/>
      <c r="BT163" s="341"/>
      <c r="BU163" s="341"/>
      <c r="BV163" s="341"/>
      <c r="BW163" s="14"/>
      <c r="BX163" s="15"/>
      <c r="BY163" s="341"/>
      <c r="BZ163" s="341"/>
      <c r="CA163" s="341"/>
      <c r="CB163" s="14"/>
      <c r="CC163" s="15"/>
      <c r="CD163" s="341"/>
      <c r="CE163" s="341"/>
      <c r="CF163" s="341"/>
      <c r="CG163" s="14"/>
      <c r="CH163" s="15"/>
      <c r="CI163" s="341"/>
      <c r="CJ163" s="341"/>
      <c r="CK163" s="341"/>
      <c r="CL163" s="14"/>
      <c r="CM163" s="15"/>
      <c r="CN163" s="341"/>
      <c r="CO163" s="341"/>
      <c r="CP163" s="341"/>
      <c r="CQ163" s="14"/>
      <c r="CR163" s="15"/>
      <c r="CS163" s="341"/>
      <c r="CT163" s="341"/>
      <c r="CU163" s="341"/>
      <c r="CV163" s="14"/>
      <c r="CW163" s="15"/>
      <c r="CX163" s="501">
        <v>-29</v>
      </c>
      <c r="CY163" s="501">
        <v>-54</v>
      </c>
      <c r="CZ163" s="501">
        <v>-84</v>
      </c>
      <c r="DA163" s="501">
        <v>-85</v>
      </c>
      <c r="DB163" s="183">
        <f>SUM(CX163:DA163)</f>
        <v>-252</v>
      </c>
      <c r="DC163" s="501">
        <v>40</v>
      </c>
      <c r="DD163" s="501">
        <v>45</v>
      </c>
      <c r="DE163" s="501">
        <v>48</v>
      </c>
      <c r="DF163" s="501">
        <v>34</v>
      </c>
      <c r="DG163" s="183">
        <f>SUM(DC163:DF163)</f>
        <v>167</v>
      </c>
      <c r="DH163" s="501">
        <v>36</v>
      </c>
      <c r="DI163" s="501">
        <v>34</v>
      </c>
      <c r="DJ163" s="501">
        <v>56</v>
      </c>
      <c r="DK163" s="501">
        <f>28+9-12</f>
        <v>25</v>
      </c>
      <c r="DL163" s="183">
        <f>SUM(DH163:DK163)</f>
        <v>151</v>
      </c>
      <c r="DM163" s="501">
        <v>29</v>
      </c>
      <c r="DN163" s="501">
        <v>8</v>
      </c>
      <c r="DO163" s="501">
        <f>7-7</f>
        <v>0</v>
      </c>
      <c r="DP163" s="501">
        <f>9-35</f>
        <v>-26</v>
      </c>
      <c r="DQ163" s="183">
        <f>SUM(DM163:DP163)</f>
        <v>11</v>
      </c>
      <c r="DR163" s="501">
        <f>-20+13</f>
        <v>-7</v>
      </c>
      <c r="DS163" s="501">
        <f>-19+18</f>
        <v>-1</v>
      </c>
      <c r="DT163" s="996">
        <f>+-17+18</f>
        <v>1</v>
      </c>
      <c r="DU163" s="996">
        <f>14+13</f>
        <v>27</v>
      </c>
      <c r="DV163" s="183">
        <f>SUM(DR163:DU163)</f>
        <v>20</v>
      </c>
      <c r="DW163" s="1010">
        <v>14</v>
      </c>
      <c r="DX163" s="1010">
        <f>14+25</f>
        <v>39</v>
      </c>
      <c r="DY163" s="1010">
        <f>18+25</f>
        <v>43</v>
      </c>
      <c r="DZ163" s="996">
        <f>21+21</f>
        <v>42</v>
      </c>
      <c r="EA163" s="183">
        <f>SUM(DW163:DZ163)</f>
        <v>138</v>
      </c>
      <c r="EB163" s="1010">
        <f>37+12</f>
        <v>49</v>
      </c>
      <c r="EC163" s="1010">
        <f>30-10</f>
        <v>20</v>
      </c>
      <c r="ED163" s="1010">
        <f>33-25</f>
        <v>8</v>
      </c>
      <c r="EE163" s="996">
        <f>28-43</f>
        <v>-15</v>
      </c>
      <c r="EF163" s="183">
        <f>SUM(EB163:EE163)</f>
        <v>62</v>
      </c>
      <c r="EG163" s="1610">
        <v>-16</v>
      </c>
      <c r="EH163" s="1010">
        <v>-34</v>
      </c>
      <c r="EI163" s="1010">
        <f>28-35</f>
        <v>-7</v>
      </c>
      <c r="EJ163" s="1010">
        <f>34+6</f>
        <v>40</v>
      </c>
      <c r="EK163" s="183">
        <f>SUM(EG163:EJ163)</f>
        <v>-17</v>
      </c>
      <c r="EL163" s="1010">
        <f>36+21</f>
        <v>57</v>
      </c>
      <c r="EM163" s="1010">
        <f>40+9</f>
        <v>49</v>
      </c>
      <c r="EN163" s="1010">
        <f>43-4</f>
        <v>39</v>
      </c>
      <c r="EO163" s="1010">
        <f>33-11</f>
        <v>22</v>
      </c>
      <c r="EP163" s="183">
        <f>SUM(EL163:EO163)</f>
        <v>167</v>
      </c>
      <c r="EQ163" s="1010">
        <f>30-17</f>
        <v>13</v>
      </c>
      <c r="ER163" s="996">
        <f t="shared" ref="ER163" si="876">ER166-EM159</f>
        <v>38.695842943531261</v>
      </c>
      <c r="ES163" s="996">
        <f t="shared" ref="ES163:ET163" si="877">ES166-EN159</f>
        <v>51.663345458308299</v>
      </c>
      <c r="ET163" s="1996">
        <f t="shared" si="877"/>
        <v>117.46151411213884</v>
      </c>
      <c r="EU163" s="183">
        <f>SUM(EQ163:ET163)</f>
        <v>220.8207025139784</v>
      </c>
      <c r="EV163" s="208"/>
      <c r="EW163" s="208"/>
      <c r="EX163" s="208"/>
      <c r="EY163" s="208"/>
      <c r="EZ163" s="683">
        <f>EZ166-EU159</f>
        <v>137.74572180621453</v>
      </c>
      <c r="FA163" s="208"/>
      <c r="FB163" s="208"/>
      <c r="FC163" s="208"/>
      <c r="FD163" s="208"/>
      <c r="FE163" s="683">
        <f>FE166-EZ159</f>
        <v>-51.70274646388043</v>
      </c>
      <c r="FG163" s="464"/>
      <c r="FH163" s="780"/>
      <c r="FI163" s="780"/>
      <c r="FJ163" s="780"/>
      <c r="FK163" s="186"/>
      <c r="FL163" s="1348"/>
      <c r="FM163" s="1570">
        <f t="shared" si="858"/>
        <v>13</v>
      </c>
      <c r="FN163" s="1455">
        <f t="shared" si="859"/>
        <v>57</v>
      </c>
      <c r="FO163" s="1855">
        <v>8.2587983350675813</v>
      </c>
      <c r="FP163" s="1751"/>
      <c r="FQ163" s="737"/>
      <c r="FR163" s="1614" t="s">
        <v>771</v>
      </c>
      <c r="FS163" s="1619"/>
      <c r="FT163" s="432"/>
      <c r="FU163" s="432"/>
      <c r="FV163" s="432"/>
      <c r="FW163" s="432"/>
      <c r="FX163" s="432"/>
      <c r="FY163" s="432"/>
      <c r="FZ163" s="464"/>
      <c r="GA163"/>
      <c r="GB163"/>
      <c r="GC163"/>
      <c r="GD163"/>
      <c r="GE163"/>
      <c r="GF163"/>
      <c r="GG163"/>
      <c r="GH163"/>
      <c r="GI163"/>
      <c r="GJ163"/>
      <c r="GK163"/>
      <c r="GL163"/>
      <c r="GM163"/>
      <c r="GN163"/>
      <c r="GO163"/>
      <c r="GP163"/>
      <c r="GQ163"/>
      <c r="GR163"/>
      <c r="GS163"/>
      <c r="GT163"/>
      <c r="GU163"/>
      <c r="GV163"/>
      <c r="GW163"/>
      <c r="GX163"/>
      <c r="GY163"/>
      <c r="GZ163"/>
      <c r="HA163"/>
      <c r="HB163"/>
      <c r="HC163"/>
      <c r="HD163"/>
      <c r="HE163"/>
      <c r="HF163"/>
      <c r="HG163"/>
      <c r="HH163"/>
      <c r="HI163"/>
      <c r="HJ163"/>
      <c r="HK163"/>
      <c r="HL163"/>
      <c r="HM163"/>
      <c r="HN163"/>
      <c r="HO163"/>
      <c r="HP163"/>
      <c r="HQ163"/>
      <c r="HR163"/>
      <c r="HS163"/>
      <c r="HT163"/>
      <c r="HU163"/>
      <c r="HV163"/>
      <c r="HW163"/>
      <c r="HX163"/>
      <c r="HY163"/>
      <c r="HZ163"/>
      <c r="IA163"/>
      <c r="IB163"/>
      <c r="IC163"/>
      <c r="ID163"/>
      <c r="IE163"/>
      <c r="IF163"/>
      <c r="IG163"/>
      <c r="IH163"/>
      <c r="II163"/>
      <c r="IJ163"/>
      <c r="IK163"/>
      <c r="IL163"/>
      <c r="IM163"/>
      <c r="IN163"/>
      <c r="IO163"/>
      <c r="IP163"/>
      <c r="IQ163"/>
      <c r="IR163"/>
      <c r="IS163"/>
      <c r="IT163"/>
      <c r="IU163"/>
      <c r="IV163"/>
      <c r="IW163"/>
      <c r="IX163"/>
    </row>
    <row r="164" spans="1:258" s="227" customFormat="1" x14ac:dyDescent="0.2">
      <c r="A164" s="560" t="s">
        <v>299</v>
      </c>
      <c r="B164" s="341"/>
      <c r="C164" s="341"/>
      <c r="D164" s="341"/>
      <c r="E164" s="14"/>
      <c r="F164" s="15"/>
      <c r="G164" s="341"/>
      <c r="H164" s="341"/>
      <c r="I164" s="341"/>
      <c r="J164" s="14"/>
      <c r="K164" s="15"/>
      <c r="L164" s="341"/>
      <c r="M164" s="341"/>
      <c r="N164" s="341"/>
      <c r="O164" s="14"/>
      <c r="P164" s="15"/>
      <c r="Q164" s="341"/>
      <c r="R164" s="341"/>
      <c r="S164" s="341"/>
      <c r="T164" s="14"/>
      <c r="U164" s="15"/>
      <c r="V164" s="341"/>
      <c r="W164" s="341"/>
      <c r="X164" s="341"/>
      <c r="Y164" s="14"/>
      <c r="Z164" s="15"/>
      <c r="AA164" s="341"/>
      <c r="AB164" s="341"/>
      <c r="AC164" s="341"/>
      <c r="AD164" s="14"/>
      <c r="AE164" s="15"/>
      <c r="AF164" s="341"/>
      <c r="AG164" s="341"/>
      <c r="AH164" s="341"/>
      <c r="AI164" s="14"/>
      <c r="AJ164" s="15"/>
      <c r="AK164" s="341"/>
      <c r="AL164" s="341"/>
      <c r="AM164" s="341"/>
      <c r="AN164" s="14"/>
      <c r="AO164" s="15"/>
      <c r="AP164" s="341"/>
      <c r="AQ164" s="341"/>
      <c r="AR164" s="341"/>
      <c r="AS164" s="14"/>
      <c r="AT164" s="15"/>
      <c r="AU164" s="341"/>
      <c r="AV164" s="341"/>
      <c r="AW164" s="341"/>
      <c r="AX164" s="14"/>
      <c r="AY164" s="15"/>
      <c r="AZ164" s="341"/>
      <c r="BA164" s="341"/>
      <c r="BB164" s="341"/>
      <c r="BC164" s="14"/>
      <c r="BD164" s="15"/>
      <c r="BE164" s="341"/>
      <c r="BF164" s="341"/>
      <c r="BG164" s="341"/>
      <c r="BH164" s="14"/>
      <c r="BI164" s="15"/>
      <c r="BJ164" s="341"/>
      <c r="BK164" s="341"/>
      <c r="BL164" s="341"/>
      <c r="BM164" s="14"/>
      <c r="BN164" s="15"/>
      <c r="BO164" s="341"/>
      <c r="BP164" s="341"/>
      <c r="BQ164" s="341"/>
      <c r="BR164" s="14"/>
      <c r="BS164" s="15"/>
      <c r="BT164" s="341"/>
      <c r="BU164" s="341"/>
      <c r="BV164" s="341"/>
      <c r="BW164" s="14"/>
      <c r="BX164" s="15"/>
      <c r="BY164" s="341"/>
      <c r="BZ164" s="341"/>
      <c r="CA164" s="341"/>
      <c r="CB164" s="14"/>
      <c r="CC164" s="15"/>
      <c r="CD164" s="341"/>
      <c r="CE164" s="341"/>
      <c r="CF164" s="341"/>
      <c r="CG164" s="14"/>
      <c r="CH164" s="15"/>
      <c r="CI164" s="341"/>
      <c r="CJ164" s="341"/>
      <c r="CK164" s="341"/>
      <c r="CL164" s="14"/>
      <c r="CM164" s="15"/>
      <c r="CN164" s="341"/>
      <c r="CO164" s="341"/>
      <c r="CP164" s="341"/>
      <c r="CQ164" s="14"/>
      <c r="CR164" s="15"/>
      <c r="CS164" s="341"/>
      <c r="CT164" s="341"/>
      <c r="CU164" s="341"/>
      <c r="CV164" s="14"/>
      <c r="CW164" s="15"/>
      <c r="CX164" s="501">
        <v>-38</v>
      </c>
      <c r="CY164" s="501">
        <v>-16</v>
      </c>
      <c r="CZ164" s="501">
        <v>-28</v>
      </c>
      <c r="DA164" s="182">
        <v>0</v>
      </c>
      <c r="DB164" s="183">
        <f>SUM(CX164:DA164)</f>
        <v>-82</v>
      </c>
      <c r="DC164" s="501">
        <v>48</v>
      </c>
      <c r="DD164" s="501">
        <v>22</v>
      </c>
      <c r="DE164" s="501">
        <v>30</v>
      </c>
      <c r="DF164" s="501">
        <v>29</v>
      </c>
      <c r="DG164" s="183">
        <f>SUM(DC164:DF164)</f>
        <v>129</v>
      </c>
      <c r="DH164" s="501">
        <v>0</v>
      </c>
      <c r="DI164" s="501">
        <v>0</v>
      </c>
      <c r="DJ164" s="501">
        <v>-30</v>
      </c>
      <c r="DK164" s="501">
        <v>-22</v>
      </c>
      <c r="DL164" s="183">
        <f>SUM(DH164:DK164)</f>
        <v>-52</v>
      </c>
      <c r="DM164" s="501">
        <v>-24</v>
      </c>
      <c r="DN164" s="501">
        <v>-18</v>
      </c>
      <c r="DO164" s="501">
        <v>-8</v>
      </c>
      <c r="DP164" s="501">
        <v>-5</v>
      </c>
      <c r="DQ164" s="183">
        <f>SUM(DM164:DP164)</f>
        <v>-55</v>
      </c>
      <c r="DR164" s="501">
        <v>7</v>
      </c>
      <c r="DS164" s="501">
        <v>24</v>
      </c>
      <c r="DT164" s="922">
        <v>36</v>
      </c>
      <c r="DU164" s="922">
        <v>24</v>
      </c>
      <c r="DV164" s="183">
        <f>SUM(DR164:DU164)</f>
        <v>91</v>
      </c>
      <c r="DW164" s="1010">
        <v>0</v>
      </c>
      <c r="DX164" s="1010">
        <v>-10</v>
      </c>
      <c r="DY164" s="1010">
        <v>0</v>
      </c>
      <c r="DZ164" s="1143">
        <v>10</v>
      </c>
      <c r="EA164" s="183">
        <f>SUM(DW164:DZ164)</f>
        <v>0</v>
      </c>
      <c r="EB164" s="1010">
        <v>0</v>
      </c>
      <c r="EC164" s="1010">
        <v>0</v>
      </c>
      <c r="ED164" s="1010">
        <v>-41</v>
      </c>
      <c r="EE164" s="922">
        <v>-53</v>
      </c>
      <c r="EF164" s="183">
        <f>SUM(EB164:EE164)</f>
        <v>-94</v>
      </c>
      <c r="EG164" s="1610">
        <v>0</v>
      </c>
      <c r="EH164" s="1010">
        <v>0</v>
      </c>
      <c r="EI164" s="1010">
        <v>37</v>
      </c>
      <c r="EJ164" s="1010">
        <v>71</v>
      </c>
      <c r="EK164" s="183">
        <f>SUM(EG164:EJ164)</f>
        <v>108</v>
      </c>
      <c r="EL164" s="1010">
        <v>30</v>
      </c>
      <c r="EM164" s="1010">
        <v>28</v>
      </c>
      <c r="EN164" s="1010">
        <v>0</v>
      </c>
      <c r="EO164" s="1010">
        <f>-33-28</f>
        <v>-61</v>
      </c>
      <c r="EP164" s="183">
        <f>SUM(EL164:EO164)</f>
        <v>-3</v>
      </c>
      <c r="EQ164" s="1010">
        <v>-15</v>
      </c>
      <c r="ER164" s="1697">
        <v>-15</v>
      </c>
      <c r="ES164" s="1697">
        <v>0</v>
      </c>
      <c r="ET164" s="1697">
        <v>35</v>
      </c>
      <c r="EU164" s="183">
        <f>SUM(EQ164:ET164)</f>
        <v>5</v>
      </c>
      <c r="EV164" s="208"/>
      <c r="EW164" s="208"/>
      <c r="EX164" s="208"/>
      <c r="EY164" s="208"/>
      <c r="EZ164" s="626">
        <v>0</v>
      </c>
      <c r="FA164" s="208"/>
      <c r="FB164" s="208"/>
      <c r="FC164" s="208"/>
      <c r="FD164" s="208"/>
      <c r="FE164" s="626">
        <v>0</v>
      </c>
      <c r="FG164" s="464"/>
      <c r="FH164" s="791"/>
      <c r="FI164" s="780"/>
      <c r="FJ164" s="780"/>
      <c r="FK164" s="186"/>
      <c r="FL164" s="1348"/>
      <c r="FM164" s="1571">
        <f t="shared" si="858"/>
        <v>-15</v>
      </c>
      <c r="FN164" s="1455">
        <f t="shared" si="859"/>
        <v>30</v>
      </c>
      <c r="FO164" s="1856">
        <v>0</v>
      </c>
      <c r="FP164" s="1751"/>
      <c r="FQ164" s="737"/>
      <c r="FR164" s="1614" t="s">
        <v>761</v>
      </c>
      <c r="FS164" s="1614"/>
      <c r="FT164" s="432"/>
      <c r="FU164" s="432"/>
      <c r="FV164" s="432"/>
      <c r="FW164" s="432"/>
      <c r="FX164" s="432"/>
      <c r="FY164" s="432"/>
      <c r="FZ164" s="464"/>
      <c r="GA164"/>
      <c r="GB164"/>
      <c r="GC164"/>
      <c r="GD164"/>
      <c r="GE164"/>
      <c r="GF164"/>
      <c r="GG164"/>
      <c r="GH164"/>
      <c r="GI164"/>
      <c r="GJ164"/>
      <c r="GK164"/>
      <c r="GL164"/>
      <c r="GM164"/>
      <c r="GN164"/>
      <c r="GO164"/>
      <c r="GP164"/>
      <c r="GQ164"/>
      <c r="GR164"/>
      <c r="GS164"/>
      <c r="GT164"/>
      <c r="GU164"/>
      <c r="GV164"/>
      <c r="GW164"/>
      <c r="GX164"/>
      <c r="GY164"/>
      <c r="GZ164"/>
      <c r="HA164"/>
      <c r="HB164"/>
      <c r="HC164"/>
      <c r="HD164"/>
      <c r="HE164"/>
      <c r="HF164"/>
      <c r="HG164"/>
      <c r="HH164"/>
      <c r="HI164"/>
      <c r="HJ164"/>
      <c r="HK164"/>
      <c r="HL164"/>
      <c r="HM164"/>
      <c r="HN164"/>
      <c r="HO164"/>
      <c r="HP164"/>
      <c r="HQ164"/>
      <c r="HR164"/>
      <c r="HS164"/>
      <c r="HT164"/>
      <c r="HU164"/>
      <c r="HV164"/>
      <c r="HW164"/>
      <c r="HX164"/>
      <c r="HY164"/>
      <c r="HZ164"/>
      <c r="IA164"/>
      <c r="IB164"/>
      <c r="IC164"/>
      <c r="ID164"/>
      <c r="IE164"/>
      <c r="IF164"/>
      <c r="IG164"/>
      <c r="IH164"/>
      <c r="II164"/>
      <c r="IJ164"/>
      <c r="IK164"/>
      <c r="IL164"/>
      <c r="IM164"/>
      <c r="IN164"/>
      <c r="IO164"/>
      <c r="IP164"/>
      <c r="IQ164"/>
      <c r="IR164"/>
      <c r="IS164"/>
      <c r="IT164"/>
      <c r="IU164"/>
      <c r="IV164"/>
      <c r="IW164"/>
      <c r="IX164"/>
    </row>
    <row r="165" spans="1:258" s="227" customFormat="1" x14ac:dyDescent="0.2">
      <c r="A165" s="1022" t="s">
        <v>635</v>
      </c>
      <c r="B165" s="341"/>
      <c r="C165" s="341"/>
      <c r="D165" s="341"/>
      <c r="E165" s="14"/>
      <c r="F165" s="15"/>
      <c r="G165" s="341"/>
      <c r="H165" s="341"/>
      <c r="I165" s="341"/>
      <c r="J165" s="14"/>
      <c r="K165" s="15"/>
      <c r="L165" s="341"/>
      <c r="M165" s="341"/>
      <c r="N165" s="341"/>
      <c r="O165" s="14"/>
      <c r="P165" s="15"/>
      <c r="Q165" s="341"/>
      <c r="R165" s="341"/>
      <c r="S165" s="341"/>
      <c r="T165" s="14"/>
      <c r="U165" s="15"/>
      <c r="V165" s="341"/>
      <c r="W165" s="341"/>
      <c r="X165" s="341"/>
      <c r="Y165" s="14"/>
      <c r="Z165" s="15"/>
      <c r="AA165" s="341"/>
      <c r="AB165" s="341"/>
      <c r="AC165" s="341"/>
      <c r="AD165" s="14"/>
      <c r="AE165" s="15"/>
      <c r="AF165" s="341"/>
      <c r="AG165" s="341"/>
      <c r="AH165" s="341"/>
      <c r="AI165" s="14"/>
      <c r="AJ165" s="15"/>
      <c r="AK165" s="341"/>
      <c r="AL165" s="341"/>
      <c r="AM165" s="341"/>
      <c r="AN165" s="14"/>
      <c r="AO165" s="15"/>
      <c r="AP165" s="341"/>
      <c r="AQ165" s="341"/>
      <c r="AR165" s="341"/>
      <c r="AS165" s="14"/>
      <c r="AT165" s="15"/>
      <c r="AU165" s="341"/>
      <c r="AV165" s="341"/>
      <c r="AW165" s="341"/>
      <c r="AX165" s="14"/>
      <c r="AY165" s="15"/>
      <c r="AZ165" s="341"/>
      <c r="BA165" s="341"/>
      <c r="BB165" s="341"/>
      <c r="BC165" s="14"/>
      <c r="BD165" s="15"/>
      <c r="BE165" s="341"/>
      <c r="BF165" s="341"/>
      <c r="BG165" s="341"/>
      <c r="BH165" s="14"/>
      <c r="BI165" s="15"/>
      <c r="BJ165" s="341"/>
      <c r="BK165" s="341"/>
      <c r="BL165" s="341"/>
      <c r="BM165" s="14"/>
      <c r="BN165" s="15"/>
      <c r="BO165" s="341"/>
      <c r="BP165" s="341"/>
      <c r="BQ165" s="341"/>
      <c r="BR165" s="14"/>
      <c r="BS165" s="15"/>
      <c r="BT165" s="341"/>
      <c r="BU165" s="341"/>
      <c r="BV165" s="341"/>
      <c r="BW165" s="14"/>
      <c r="BX165" s="15"/>
      <c r="BY165" s="341"/>
      <c r="BZ165" s="341"/>
      <c r="CA165" s="341"/>
      <c r="CB165" s="14"/>
      <c r="CC165" s="15"/>
      <c r="CD165" s="341"/>
      <c r="CE165" s="341"/>
      <c r="CF165" s="341"/>
      <c r="CG165" s="14"/>
      <c r="CH165" s="15"/>
      <c r="CI165" s="341"/>
      <c r="CJ165" s="341"/>
      <c r="CK165" s="341"/>
      <c r="CL165" s="14"/>
      <c r="CM165" s="15"/>
      <c r="CN165" s="341"/>
      <c r="CO165" s="341"/>
      <c r="CP165" s="341"/>
      <c r="CQ165" s="14"/>
      <c r="CR165" s="15"/>
      <c r="CS165" s="341"/>
      <c r="CT165" s="341"/>
      <c r="CU165" s="341"/>
      <c r="CV165" s="14"/>
      <c r="CW165" s="15"/>
      <c r="CX165" s="501">
        <f>CX159-(CS159+CX163+CX164)</f>
        <v>-16</v>
      </c>
      <c r="CY165" s="501">
        <f>CY159-(CT159+CY163+CY164)</f>
        <v>-9</v>
      </c>
      <c r="CZ165" s="501">
        <f>CZ159-(CU159+CZ163+CZ164)</f>
        <v>11</v>
      </c>
      <c r="DA165" s="501">
        <f>DA159-(CV159+DA163+DA164)</f>
        <v>22</v>
      </c>
      <c r="DB165" s="183">
        <f>SUM(CX165:DA165)</f>
        <v>8</v>
      </c>
      <c r="DC165" s="501">
        <f>DC159-(CX159+DC163+DC164)</f>
        <v>-21</v>
      </c>
      <c r="DD165" s="501">
        <f>DD159-(CY159+DD163+DD164)</f>
        <v>0</v>
      </c>
      <c r="DE165" s="501">
        <f>DE159-(CZ159+DE163+DE164)</f>
        <v>0</v>
      </c>
      <c r="DF165" s="501">
        <f>DF159-(DA159+DF163+DF164)</f>
        <v>53</v>
      </c>
      <c r="DG165" s="183">
        <f>SUM(DC165:DF165)</f>
        <v>32</v>
      </c>
      <c r="DH165" s="501">
        <f>DH159-(DC159+DH163+DH164)</f>
        <v>0</v>
      </c>
      <c r="DI165" s="501">
        <f>DI159-(DD159+DI163+DI164)</f>
        <v>9</v>
      </c>
      <c r="DJ165" s="501">
        <f>DJ159-(DE159+DJ163+DJ164)</f>
        <v>8</v>
      </c>
      <c r="DK165" s="501">
        <f>DK159-(DF159+DK163+DK164)</f>
        <v>0</v>
      </c>
      <c r="DL165" s="183">
        <f>SUM(DH165:DK165)</f>
        <v>17</v>
      </c>
      <c r="DM165" s="501">
        <f>DM159-(DH159+DM163+DM164)</f>
        <v>0</v>
      </c>
      <c r="DN165" s="501">
        <f>DN159-(DI159+DN163+DN164)</f>
        <v>-10</v>
      </c>
      <c r="DO165" s="501">
        <f>DO159-(DJ159+DO163+DO164)</f>
        <v>-3</v>
      </c>
      <c r="DP165" s="501">
        <f>DP159-(DK159+DP163+DP164)</f>
        <v>4</v>
      </c>
      <c r="DQ165" s="183">
        <f>SUM(DM165:DP165)</f>
        <v>-9</v>
      </c>
      <c r="DR165" s="501">
        <f>DR159-(DM159+DR163+DR164)</f>
        <v>-3</v>
      </c>
      <c r="DS165" s="501">
        <f>DS159-(DN159+DS163+DS164)</f>
        <v>10</v>
      </c>
      <c r="DT165" s="914">
        <f>DT159-(DO159+DT163+DT164)</f>
        <v>0</v>
      </c>
      <c r="DU165" s="501">
        <f>DU159-(DP159+DU163+DU164)</f>
        <v>0</v>
      </c>
      <c r="DV165" s="183">
        <f>SUM(DR165:DU165)</f>
        <v>7</v>
      </c>
      <c r="DW165" s="501">
        <f>DW159-(DR159+DW163+DW164)</f>
        <v>33</v>
      </c>
      <c r="DX165" s="501">
        <f>DX159-(DS159+DX163+DX164)</f>
        <v>3</v>
      </c>
      <c r="DY165" s="914">
        <f>DY159-(DT159+DY163+DY164)</f>
        <v>11</v>
      </c>
      <c r="DZ165" s="501">
        <f>DZ159-(DU159+DZ163+DZ164)</f>
        <v>54</v>
      </c>
      <c r="EA165" s="183">
        <f>SUM(DW165:DZ165)</f>
        <v>101</v>
      </c>
      <c r="EB165" s="501">
        <f>EB159-(DW159+EB163+EB164)</f>
        <v>16</v>
      </c>
      <c r="EC165" s="501">
        <f>EC159-(DX159+EC163+EC164)</f>
        <v>-4</v>
      </c>
      <c r="ED165" s="914">
        <f>ED159-(DY159+ED163+ED164)</f>
        <v>-25</v>
      </c>
      <c r="EE165" s="501">
        <f>EE159-(DZ159+EE163+EE164)</f>
        <v>-42</v>
      </c>
      <c r="EF165" s="183">
        <f>SUM(EB165:EE165)</f>
        <v>-55</v>
      </c>
      <c r="EG165" s="501">
        <f>EG159-(EB159+EG163+EG164)</f>
        <v>-67</v>
      </c>
      <c r="EH165" s="501">
        <f>EH159-(EC159+EH163+EH164)</f>
        <v>-42</v>
      </c>
      <c r="EI165" s="914">
        <f>EI159-(ED159+EI163+EI164)</f>
        <v>-55</v>
      </c>
      <c r="EJ165" s="501">
        <f>EJ159-(EE159+EJ163+EJ164)</f>
        <v>-58</v>
      </c>
      <c r="EK165" s="183">
        <f>SUM(EG165:EJ165)</f>
        <v>-222</v>
      </c>
      <c r="EL165" s="501">
        <f>EL159-(EG159+EL163+EL164)</f>
        <v>-88</v>
      </c>
      <c r="EM165" s="501">
        <f>EM159-(EH159+EM163+EM164)</f>
        <v>-77</v>
      </c>
      <c r="EN165" s="914">
        <f>EN159-(EI159+EN163+EN164)</f>
        <v>-78</v>
      </c>
      <c r="EO165" s="501">
        <f>EO159-(EJ159+EO163+EO164)</f>
        <v>-142</v>
      </c>
      <c r="EP165" s="183">
        <f>SUM(EL165:EO165)</f>
        <v>-385</v>
      </c>
      <c r="EQ165" s="501">
        <f>EQ159-(EL159+EQ163+EQ164)</f>
        <v>-97</v>
      </c>
      <c r="ER165" s="1697">
        <v>-80</v>
      </c>
      <c r="ES165" s="1697">
        <v>-60</v>
      </c>
      <c r="ET165" s="1697">
        <v>-55</v>
      </c>
      <c r="EU165" s="2002">
        <f>SUM(EQ165:ET165)</f>
        <v>-292</v>
      </c>
      <c r="EV165" s="2003"/>
      <c r="EW165" s="2003"/>
      <c r="EX165" s="2003"/>
      <c r="EY165" s="2003"/>
      <c r="EZ165" s="2004">
        <v>-75</v>
      </c>
      <c r="FA165" s="2003"/>
      <c r="FB165" s="2003"/>
      <c r="FC165" s="2003"/>
      <c r="FD165" s="2003"/>
      <c r="FE165" s="2004">
        <v>-25</v>
      </c>
      <c r="FG165" s="464"/>
      <c r="FH165" s="807">
        <f>+EU165+EU197</f>
        <v>-490</v>
      </c>
      <c r="FI165" s="807">
        <f>+EZ165+EZ197</f>
        <v>-150</v>
      </c>
      <c r="FJ165" s="807">
        <f>+FE165+FE197</f>
        <v>-50</v>
      </c>
      <c r="FK165" s="1989"/>
      <c r="FL165" s="1348"/>
      <c r="FM165" s="1571">
        <f t="shared" si="858"/>
        <v>-97</v>
      </c>
      <c r="FN165" s="1456">
        <f t="shared" si="859"/>
        <v>-88</v>
      </c>
      <c r="FO165" s="1856">
        <v>-70</v>
      </c>
      <c r="FP165" s="1751"/>
      <c r="FQ165" s="1514"/>
      <c r="FR165" s="1615"/>
      <c r="FS165" s="1722" t="s">
        <v>789</v>
      </c>
      <c r="FT165" s="432"/>
      <c r="FU165" s="432"/>
      <c r="FV165" s="432"/>
      <c r="FW165" s="432"/>
      <c r="FX165" s="432"/>
      <c r="FY165" s="432"/>
      <c r="FZ165" s="464"/>
      <c r="GA165"/>
      <c r="GB165"/>
      <c r="GC165"/>
      <c r="GD165"/>
      <c r="GE165"/>
      <c r="GF165"/>
      <c r="GG165"/>
      <c r="GH165"/>
      <c r="GI165"/>
      <c r="GJ165"/>
      <c r="GK165"/>
      <c r="GL165"/>
      <c r="GM165"/>
      <c r="GN165"/>
      <c r="GO165"/>
      <c r="GP165"/>
      <c r="GQ165"/>
      <c r="GR165"/>
      <c r="GS165"/>
      <c r="GT165"/>
      <c r="GU165"/>
      <c r="GV165"/>
      <c r="GW165"/>
      <c r="GX165"/>
      <c r="GY165"/>
      <c r="GZ165"/>
      <c r="HA165"/>
      <c r="HB165"/>
      <c r="HC165"/>
      <c r="HD165"/>
      <c r="HE165"/>
      <c r="HF165"/>
      <c r="HG165"/>
      <c r="HH165"/>
      <c r="HI165"/>
      <c r="HJ165"/>
      <c r="HK165"/>
      <c r="HL165"/>
      <c r="HM165"/>
      <c r="HN165"/>
      <c r="HO165"/>
      <c r="HP165"/>
      <c r="HQ165"/>
      <c r="HR165"/>
      <c r="HS165"/>
      <c r="HT165"/>
      <c r="HU165"/>
      <c r="HV165"/>
      <c r="HW165"/>
      <c r="HX165"/>
      <c r="HY165"/>
      <c r="HZ165"/>
      <c r="IA165"/>
      <c r="IB165"/>
      <c r="IC165"/>
      <c r="ID165"/>
      <c r="IE165"/>
      <c r="IF165"/>
      <c r="IG165"/>
      <c r="IH165"/>
      <c r="II165"/>
      <c r="IJ165"/>
      <c r="IK165"/>
      <c r="IL165"/>
      <c r="IM165"/>
      <c r="IN165"/>
      <c r="IO165"/>
      <c r="IP165"/>
      <c r="IQ165"/>
      <c r="IR165"/>
      <c r="IS165"/>
      <c r="IT165"/>
      <c r="IU165"/>
      <c r="IV165"/>
      <c r="IW165"/>
      <c r="IX165"/>
    </row>
    <row r="166" spans="1:258" s="645" customFormat="1" x14ac:dyDescent="0.2">
      <c r="A166" s="641" t="s">
        <v>666</v>
      </c>
      <c r="B166" s="642"/>
      <c r="C166" s="642"/>
      <c r="D166" s="642"/>
      <c r="E166" s="642"/>
      <c r="F166" s="643"/>
      <c r="G166" s="642"/>
      <c r="H166" s="642"/>
      <c r="I166" s="642"/>
      <c r="J166" s="642"/>
      <c r="K166" s="643"/>
      <c r="L166" s="642"/>
      <c r="M166" s="642"/>
      <c r="N166" s="642"/>
      <c r="O166" s="642"/>
      <c r="P166" s="643"/>
      <c r="Q166" s="642"/>
      <c r="R166" s="642"/>
      <c r="S166" s="642"/>
      <c r="T166" s="642"/>
      <c r="U166" s="643"/>
      <c r="V166" s="642"/>
      <c r="W166" s="642"/>
      <c r="X166" s="642"/>
      <c r="Y166" s="642"/>
      <c r="Z166" s="643"/>
      <c r="AA166" s="642"/>
      <c r="AB166" s="642"/>
      <c r="AC166" s="642"/>
      <c r="AD166" s="642"/>
      <c r="AE166" s="643"/>
      <c r="AF166" s="642"/>
      <c r="AG166" s="642"/>
      <c r="AH166" s="642"/>
      <c r="AI166" s="642"/>
      <c r="AJ166" s="643"/>
      <c r="AK166" s="642"/>
      <c r="AL166" s="642"/>
      <c r="AM166" s="642"/>
      <c r="AN166" s="642"/>
      <c r="AO166" s="643"/>
      <c r="AP166" s="642"/>
      <c r="AQ166" s="642"/>
      <c r="AR166" s="642"/>
      <c r="AS166" s="642"/>
      <c r="AT166" s="643"/>
      <c r="AU166" s="642"/>
      <c r="AV166" s="642"/>
      <c r="AW166" s="642"/>
      <c r="AX166" s="642"/>
      <c r="AY166" s="643"/>
      <c r="AZ166" s="642"/>
      <c r="BA166" s="642"/>
      <c r="BB166" s="642"/>
      <c r="BC166" s="642"/>
      <c r="BD166" s="643"/>
      <c r="BE166" s="642"/>
      <c r="BF166" s="642"/>
      <c r="BG166" s="642"/>
      <c r="BH166" s="642"/>
      <c r="BI166" s="643"/>
      <c r="BJ166" s="642"/>
      <c r="BK166" s="642"/>
      <c r="BL166" s="642"/>
      <c r="BM166" s="642"/>
      <c r="BN166" s="643"/>
      <c r="BO166" s="642"/>
      <c r="BP166" s="642"/>
      <c r="BQ166" s="642"/>
      <c r="BR166" s="642"/>
      <c r="BS166" s="643"/>
      <c r="BT166" s="642"/>
      <c r="BU166" s="642"/>
      <c r="BV166" s="642"/>
      <c r="BW166" s="642"/>
      <c r="BX166" s="643"/>
      <c r="BY166" s="642"/>
      <c r="BZ166" s="642"/>
      <c r="CA166" s="642"/>
      <c r="CB166" s="642"/>
      <c r="CC166" s="643"/>
      <c r="CD166" s="642"/>
      <c r="CE166" s="642"/>
      <c r="CF166" s="642"/>
      <c r="CG166" s="642"/>
      <c r="CH166" s="643"/>
      <c r="CI166" s="642"/>
      <c r="CJ166" s="642"/>
      <c r="CK166" s="642"/>
      <c r="CL166" s="642"/>
      <c r="CM166" s="643"/>
      <c r="CN166" s="642"/>
      <c r="CO166" s="642"/>
      <c r="CP166" s="642"/>
      <c r="CQ166" s="642"/>
      <c r="CR166" s="643"/>
      <c r="CS166" s="642"/>
      <c r="CT166" s="642"/>
      <c r="CU166" s="642"/>
      <c r="CV166" s="642"/>
      <c r="CW166" s="643"/>
      <c r="CX166" s="642">
        <f>CX159-CX164-CX165</f>
        <v>716</v>
      </c>
      <c r="CY166" s="642">
        <f>CY159-CY164-CY165</f>
        <v>679</v>
      </c>
      <c r="CZ166" s="642">
        <f>CZ159-CZ164-CZ165</f>
        <v>670</v>
      </c>
      <c r="DA166" s="642">
        <f>DA159-DA164-DA165</f>
        <v>638</v>
      </c>
      <c r="DB166" s="644">
        <f>SUM(CX166:DA166)</f>
        <v>2703</v>
      </c>
      <c r="DC166" s="642">
        <f>DC159-DC164-DC165</f>
        <v>702</v>
      </c>
      <c r="DD166" s="642">
        <f>DD159-DD164-DD165</f>
        <v>699</v>
      </c>
      <c r="DE166" s="642">
        <f>DE159-DE164-DE165</f>
        <v>701</v>
      </c>
      <c r="DF166" s="642">
        <f>DF159-DF164-DF165</f>
        <v>694</v>
      </c>
      <c r="DG166" s="644">
        <f>SUM(DC166:DF166)</f>
        <v>2796</v>
      </c>
      <c r="DH166" s="642">
        <f>DH159-DH164-DH165</f>
        <v>765</v>
      </c>
      <c r="DI166" s="642">
        <f>DI159-DI164-DI165</f>
        <v>755</v>
      </c>
      <c r="DJ166" s="642">
        <f>DJ159-DJ164-DJ165</f>
        <v>787</v>
      </c>
      <c r="DK166" s="642">
        <f>DK159-DK164-DK165</f>
        <v>801</v>
      </c>
      <c r="DL166" s="644">
        <f>SUM(DH166:DK166)</f>
        <v>3108</v>
      </c>
      <c r="DM166" s="642">
        <f>DM159-DM164-DM165</f>
        <v>794</v>
      </c>
      <c r="DN166" s="642">
        <f>DN159-DN164-DN165</f>
        <v>772</v>
      </c>
      <c r="DO166" s="642">
        <f>DO159-DO164-DO165</f>
        <v>765</v>
      </c>
      <c r="DP166" s="642">
        <f>DP159-DP164-DP165</f>
        <v>753</v>
      </c>
      <c r="DQ166" s="644">
        <f>SUM(DM166:DP166)</f>
        <v>3084</v>
      </c>
      <c r="DR166" s="642">
        <f>DR159-DR164-DR165</f>
        <v>763</v>
      </c>
      <c r="DS166" s="642">
        <f>DS159-DS164-DS165</f>
        <v>743</v>
      </c>
      <c r="DT166" s="642">
        <f>DT159-DT164-DT165</f>
        <v>755</v>
      </c>
      <c r="DU166" s="642">
        <f>DU159-DU164-DU165</f>
        <v>779</v>
      </c>
      <c r="DV166" s="644">
        <f>SUM(DR166:DU166)</f>
        <v>3040</v>
      </c>
      <c r="DW166" s="642">
        <f>DW159-DW164-DW165</f>
        <v>781</v>
      </c>
      <c r="DX166" s="642">
        <f>DX159-DX164-DX165</f>
        <v>816</v>
      </c>
      <c r="DY166" s="642">
        <f>DY159-DY164-DY165</f>
        <v>834</v>
      </c>
      <c r="DZ166" s="642">
        <f>DZ159-DZ164-DZ165</f>
        <v>845</v>
      </c>
      <c r="EA166" s="644">
        <f>SUM(DW166:DZ166)</f>
        <v>3276</v>
      </c>
      <c r="EB166" s="642">
        <f>EB159-EB164-EB165</f>
        <v>863</v>
      </c>
      <c r="EC166" s="642">
        <f>EC159-EC164-EC165</f>
        <v>829</v>
      </c>
      <c r="ED166" s="642">
        <f>ED159-ED164-ED165</f>
        <v>853</v>
      </c>
      <c r="EE166" s="642">
        <f>EE159-EE164-EE165</f>
        <v>894</v>
      </c>
      <c r="EF166" s="644">
        <f>SUM(EB166:EE166)</f>
        <v>3439</v>
      </c>
      <c r="EG166" s="642">
        <f>EG159-EG164-EG165</f>
        <v>863</v>
      </c>
      <c r="EH166" s="642">
        <f>EH159-EH164-EH165</f>
        <v>791</v>
      </c>
      <c r="EI166" s="642">
        <f>EI159-EI164-EI165</f>
        <v>780</v>
      </c>
      <c r="EJ166" s="642">
        <f>EJ159-EJ164-EJ165</f>
        <v>839</v>
      </c>
      <c r="EK166" s="644">
        <f>SUM(EG166:EJ166)</f>
        <v>3273</v>
      </c>
      <c r="EL166" s="642">
        <f>EL159-EL164-EL165</f>
        <v>853</v>
      </c>
      <c r="EM166" s="642">
        <f>EM159-EM164-EM165</f>
        <v>798</v>
      </c>
      <c r="EN166" s="642">
        <f>EN159-EN164-EN165</f>
        <v>801</v>
      </c>
      <c r="EO166" s="642">
        <f>EO159-EO164-EO165</f>
        <v>874</v>
      </c>
      <c r="EP166" s="644">
        <f>SUM(EL166:EO166)</f>
        <v>3326</v>
      </c>
      <c r="EQ166" s="642">
        <f>EQ159-EQ164-EQ165</f>
        <v>808</v>
      </c>
      <c r="ER166" s="1938">
        <f t="shared" ref="ER166" si="878">ER169*ER174/1000000</f>
        <v>787.69584294353126</v>
      </c>
      <c r="ES166" s="1938">
        <f t="shared" ref="ES166:ET166" si="879">ES169*ES174/1000000</f>
        <v>774.6633454583083</v>
      </c>
      <c r="ET166" s="1997">
        <f t="shared" si="879"/>
        <v>788.46151411213884</v>
      </c>
      <c r="EU166" s="1939">
        <f>SUM(EQ166:ET166)</f>
        <v>3158.8207025139786</v>
      </c>
      <c r="EV166" s="1940"/>
      <c r="EW166" s="1940"/>
      <c r="EX166" s="1940"/>
      <c r="EY166" s="1940"/>
      <c r="EZ166" s="1941">
        <f>EZ169*EZ174/1000000</f>
        <v>3009.5664243201932</v>
      </c>
      <c r="FA166" s="1940"/>
      <c r="FB166" s="1940"/>
      <c r="FC166" s="1940"/>
      <c r="FD166" s="1940"/>
      <c r="FE166" s="1941">
        <f>FE169*FE174/1000000</f>
        <v>2882.8636778563127</v>
      </c>
      <c r="FF166" s="646"/>
      <c r="FG166" s="647"/>
      <c r="FH166" s="792"/>
      <c r="FI166" s="792"/>
      <c r="FJ166" s="792"/>
      <c r="FK166" s="1316"/>
      <c r="FL166" s="1359"/>
      <c r="FM166" s="1572">
        <f t="shared" si="858"/>
        <v>808</v>
      </c>
      <c r="FN166" s="1457">
        <f t="shared" si="859"/>
        <v>853</v>
      </c>
      <c r="FO166" s="1857">
        <v>797.25879833506758</v>
      </c>
      <c r="FP166" s="1753">
        <f>+FM166/FN166-1</f>
        <v>-5.2754982415005869E-2</v>
      </c>
      <c r="FQ166" s="1532">
        <f>+FM166/FO166-1</f>
        <v>1.3472666199938477E-2</v>
      </c>
      <c r="FR166" s="1614"/>
      <c r="FS166" s="1722" t="s">
        <v>790</v>
      </c>
      <c r="FT166" s="448"/>
      <c r="FU166" s="448"/>
      <c r="FV166" s="448"/>
      <c r="FW166" s="448"/>
      <c r="FX166" s="448"/>
      <c r="FY166" s="448"/>
      <c r="FZ166" s="647"/>
      <c r="GA166"/>
      <c r="GB166"/>
      <c r="GC166"/>
      <c r="GD166"/>
      <c r="GE166"/>
      <c r="GF166"/>
      <c r="GG166"/>
      <c r="GH166"/>
      <c r="GI166"/>
      <c r="GJ166"/>
      <c r="GK166"/>
      <c r="GL166"/>
      <c r="GM166"/>
      <c r="GN166"/>
      <c r="GO166"/>
      <c r="GP166"/>
      <c r="GQ166"/>
      <c r="GR166"/>
      <c r="GS166"/>
      <c r="GT166"/>
      <c r="GU166"/>
      <c r="GV166"/>
      <c r="GW166"/>
      <c r="GX166"/>
      <c r="GY166"/>
      <c r="GZ166"/>
      <c r="HA166"/>
      <c r="HB166"/>
      <c r="HC166"/>
      <c r="HD166"/>
      <c r="HE166"/>
      <c r="HF166"/>
      <c r="HG166"/>
      <c r="HH166"/>
      <c r="HI166"/>
      <c r="HJ166"/>
      <c r="HK166"/>
      <c r="HL166"/>
      <c r="HM166"/>
      <c r="HN166"/>
      <c r="HO166"/>
      <c r="HP166"/>
      <c r="HQ166"/>
      <c r="HR166"/>
      <c r="HS166"/>
      <c r="HT166"/>
      <c r="HU166"/>
      <c r="HV166"/>
      <c r="HW166"/>
      <c r="HX166"/>
      <c r="HY166"/>
      <c r="HZ166"/>
      <c r="IA166"/>
      <c r="IB166"/>
      <c r="IC166"/>
      <c r="ID166"/>
      <c r="IE166"/>
      <c r="IF166"/>
      <c r="IG166"/>
      <c r="IH166"/>
      <c r="II166"/>
      <c r="IJ166"/>
      <c r="IK166"/>
      <c r="IL166"/>
      <c r="IM166"/>
      <c r="IN166"/>
      <c r="IO166"/>
      <c r="IP166"/>
      <c r="IQ166"/>
      <c r="IR166"/>
      <c r="IS166"/>
      <c r="IT166"/>
      <c r="IU166"/>
      <c r="IV166"/>
      <c r="IW166"/>
      <c r="IX166"/>
    </row>
    <row r="167" spans="1:258" s="84" customFormat="1" x14ac:dyDescent="0.2">
      <c r="A167" s="559" t="s">
        <v>465</v>
      </c>
      <c r="B167" s="10"/>
      <c r="C167" s="10"/>
      <c r="D167" s="10"/>
      <c r="E167" s="10"/>
      <c r="F167" s="9"/>
      <c r="G167" s="10"/>
      <c r="H167" s="10"/>
      <c r="I167" s="10"/>
      <c r="J167" s="10"/>
      <c r="K167" s="9"/>
      <c r="L167" s="10"/>
      <c r="M167" s="10"/>
      <c r="N167" s="10"/>
      <c r="O167" s="10"/>
      <c r="P167" s="9"/>
      <c r="Q167" s="10"/>
      <c r="R167" s="10"/>
      <c r="S167" s="10"/>
      <c r="T167" s="10"/>
      <c r="U167" s="9"/>
      <c r="V167" s="10"/>
      <c r="W167" s="10"/>
      <c r="X167" s="10"/>
      <c r="Y167" s="10"/>
      <c r="Z167" s="9"/>
      <c r="AA167" s="10"/>
      <c r="AB167" s="10"/>
      <c r="AC167" s="10"/>
      <c r="AD167" s="10"/>
      <c r="AE167" s="9"/>
      <c r="AF167" s="10"/>
      <c r="AG167" s="10"/>
      <c r="AH167" s="10"/>
      <c r="AI167" s="10"/>
      <c r="AJ167" s="9"/>
      <c r="AK167" s="10"/>
      <c r="AL167" s="10"/>
      <c r="AM167" s="10"/>
      <c r="AN167" s="10"/>
      <c r="AO167" s="9"/>
      <c r="AP167" s="10"/>
      <c r="AQ167" s="10"/>
      <c r="AR167" s="10"/>
      <c r="AS167" s="10"/>
      <c r="AT167" s="9"/>
      <c r="AU167" s="10"/>
      <c r="AV167" s="10"/>
      <c r="AW167" s="10"/>
      <c r="AX167" s="10"/>
      <c r="AY167" s="9"/>
      <c r="AZ167" s="10"/>
      <c r="BA167" s="10"/>
      <c r="BB167" s="10"/>
      <c r="BC167" s="10"/>
      <c r="BD167" s="9"/>
      <c r="BE167" s="10"/>
      <c r="BF167" s="10"/>
      <c r="BG167" s="10"/>
      <c r="BH167" s="10"/>
      <c r="BI167" s="9"/>
      <c r="BJ167" s="10"/>
      <c r="BK167" s="10"/>
      <c r="BL167" s="10"/>
      <c r="BM167" s="10"/>
      <c r="BN167" s="9"/>
      <c r="BO167" s="10"/>
      <c r="BP167" s="10"/>
      <c r="BQ167" s="10"/>
      <c r="BR167" s="10"/>
      <c r="BS167" s="9"/>
      <c r="BT167" s="10"/>
      <c r="BU167" s="10"/>
      <c r="BV167" s="10"/>
      <c r="BW167" s="10"/>
      <c r="BX167" s="9"/>
      <c r="BY167" s="10"/>
      <c r="BZ167" s="10"/>
      <c r="CA167" s="10"/>
      <c r="CB167" s="10"/>
      <c r="CC167" s="9"/>
      <c r="CD167" s="10"/>
      <c r="CE167" s="10"/>
      <c r="CF167" s="10"/>
      <c r="CG167" s="10"/>
      <c r="CH167" s="9"/>
      <c r="CI167" s="10"/>
      <c r="CJ167" s="10"/>
      <c r="CK167" s="10"/>
      <c r="CL167" s="10"/>
      <c r="CM167" s="9"/>
      <c r="CN167" s="10"/>
      <c r="CO167" s="10"/>
      <c r="CP167" s="10"/>
      <c r="CQ167" s="10"/>
      <c r="CR167" s="9"/>
      <c r="CS167" s="10"/>
      <c r="CT167" s="10"/>
      <c r="CU167" s="10"/>
      <c r="CV167" s="10"/>
      <c r="CW167" s="9"/>
      <c r="CX167" s="10"/>
      <c r="CY167" s="10"/>
      <c r="CZ167" s="10"/>
      <c r="DA167" s="10"/>
      <c r="DB167" s="9"/>
      <c r="DC167" s="10">
        <f t="shared" ref="DC167:DU167" si="880">DC166/CX166-1</f>
        <v>-1.9553072625698276E-2</v>
      </c>
      <c r="DD167" s="10">
        <f t="shared" si="880"/>
        <v>2.9455081001472649E-2</v>
      </c>
      <c r="DE167" s="10">
        <f t="shared" si="880"/>
        <v>4.6268656716417889E-2</v>
      </c>
      <c r="DF167" s="10">
        <f t="shared" si="880"/>
        <v>8.7774294670846409E-2</v>
      </c>
      <c r="DG167" s="9">
        <f t="shared" si="880"/>
        <v>3.4406215316315159E-2</v>
      </c>
      <c r="DH167" s="10">
        <f t="shared" si="880"/>
        <v>8.9743589743589647E-2</v>
      </c>
      <c r="DI167" s="10">
        <f t="shared" si="880"/>
        <v>8.0114449213161576E-2</v>
      </c>
      <c r="DJ167" s="10">
        <f t="shared" si="880"/>
        <v>0.12268188302425109</v>
      </c>
      <c r="DK167" s="10">
        <f t="shared" si="880"/>
        <v>0.15417867435158494</v>
      </c>
      <c r="DL167" s="9">
        <f t="shared" si="880"/>
        <v>0.11158798283261806</v>
      </c>
      <c r="DM167" s="10">
        <f t="shared" si="880"/>
        <v>3.7908496732026231E-2</v>
      </c>
      <c r="DN167" s="10">
        <f t="shared" si="880"/>
        <v>2.251655629139071E-2</v>
      </c>
      <c r="DO167" s="10">
        <f t="shared" si="880"/>
        <v>-2.7954256670902122E-2</v>
      </c>
      <c r="DP167" s="10">
        <f t="shared" si="880"/>
        <v>-5.9925093632958837E-2</v>
      </c>
      <c r="DQ167" s="9">
        <f t="shared" ref="DQ167:DV167" si="881">DQ166/DL166-1</f>
        <v>-7.7220077220077066E-3</v>
      </c>
      <c r="DR167" s="10">
        <f t="shared" si="880"/>
        <v>-3.9042821158690177E-2</v>
      </c>
      <c r="DS167" s="10">
        <f t="shared" si="880"/>
        <v>-3.7564766839378261E-2</v>
      </c>
      <c r="DT167" s="10">
        <f t="shared" si="881"/>
        <v>-1.3071895424836555E-2</v>
      </c>
      <c r="DU167" s="10">
        <f t="shared" si="880"/>
        <v>3.4528552456839279E-2</v>
      </c>
      <c r="DV167" s="9">
        <f t="shared" si="881"/>
        <v>-1.4267185473411104E-2</v>
      </c>
      <c r="DW167" s="10">
        <f t="shared" ref="DW167:ED167" si="882">DW166/DR166-1</f>
        <v>2.3591087811271283E-2</v>
      </c>
      <c r="DX167" s="10">
        <f t="shared" si="882"/>
        <v>9.8250336473755029E-2</v>
      </c>
      <c r="DY167" s="10">
        <f t="shared" si="882"/>
        <v>0.10463576158940402</v>
      </c>
      <c r="DZ167" s="10">
        <f t="shared" si="882"/>
        <v>8.4724005134788172E-2</v>
      </c>
      <c r="EA167" s="9">
        <f t="shared" si="882"/>
        <v>7.7631578947368496E-2</v>
      </c>
      <c r="EB167" s="10">
        <f t="shared" si="882"/>
        <v>0.10499359795134433</v>
      </c>
      <c r="EC167" s="10">
        <f t="shared" si="882"/>
        <v>1.5931372549019551E-2</v>
      </c>
      <c r="ED167" s="10">
        <f t="shared" si="882"/>
        <v>2.2781774580335812E-2</v>
      </c>
      <c r="EE167" s="10">
        <f t="shared" ref="EE167:EI167" si="883">EE166/DZ166-1</f>
        <v>5.7988165680473269E-2</v>
      </c>
      <c r="EF167" s="9">
        <f t="shared" si="883"/>
        <v>4.9755799755799801E-2</v>
      </c>
      <c r="EG167" s="10">
        <f t="shared" si="883"/>
        <v>0</v>
      </c>
      <c r="EH167" s="10">
        <f t="shared" si="883"/>
        <v>-4.5838359469240086E-2</v>
      </c>
      <c r="EI167" s="10">
        <f t="shared" si="883"/>
        <v>-8.5580304806565088E-2</v>
      </c>
      <c r="EJ167" s="10">
        <f t="shared" ref="EJ167" si="884">EJ166/EE166-1</f>
        <v>-6.1521252796420622E-2</v>
      </c>
      <c r="EK167" s="9">
        <f t="shared" ref="EK167:EQ167" si="885">EK166/EF166-1</f>
        <v>-4.8269845885431817E-2</v>
      </c>
      <c r="EL167" s="10">
        <f t="shared" si="885"/>
        <v>-1.1587485515643148E-2</v>
      </c>
      <c r="EM167" s="10">
        <f t="shared" si="885"/>
        <v>8.8495575221239076E-3</v>
      </c>
      <c r="EN167" s="10">
        <f t="shared" si="885"/>
        <v>2.6923076923076827E-2</v>
      </c>
      <c r="EO167" s="10">
        <f t="shared" si="885"/>
        <v>4.171632896305133E-2</v>
      </c>
      <c r="EP167" s="9">
        <f t="shared" si="885"/>
        <v>1.6193095019859438E-2</v>
      </c>
      <c r="EQ167" s="10">
        <f t="shared" si="885"/>
        <v>-5.2754982415005869E-2</v>
      </c>
      <c r="ER167" s="921">
        <f t="shared" ref="ER167" si="886">ER166/EM166-1</f>
        <v>-1.2912477514371856E-2</v>
      </c>
      <c r="ES167" s="921">
        <f t="shared" ref="ES167:EU167" si="887">ES166/EN166-1</f>
        <v>-3.2879718528953439E-2</v>
      </c>
      <c r="ET167" s="921">
        <f t="shared" si="887"/>
        <v>-9.7870121153159184E-2</v>
      </c>
      <c r="EU167" s="1173">
        <f t="shared" si="887"/>
        <v>-5.0264370861702101E-2</v>
      </c>
      <c r="EV167" s="1942"/>
      <c r="EW167" s="1173"/>
      <c r="EX167" s="1173"/>
      <c r="EY167" s="1173"/>
      <c r="EZ167" s="1943">
        <f>EZ166/EU166-1</f>
        <v>-4.7250000000000014E-2</v>
      </c>
      <c r="FA167" s="1942"/>
      <c r="FB167" s="1173"/>
      <c r="FC167" s="1173"/>
      <c r="FD167" s="1173"/>
      <c r="FE167" s="1943">
        <f>FE166/EZ166-1</f>
        <v>-4.2100000000000137E-2</v>
      </c>
      <c r="FF167" s="82"/>
      <c r="FG167" s="490"/>
      <c r="FH167" s="793"/>
      <c r="FI167" s="767"/>
      <c r="FJ167" s="767"/>
      <c r="FK167" s="82"/>
      <c r="FL167" s="1360"/>
      <c r="FM167" s="1141">
        <f t="shared" si="858"/>
        <v>-5.2754982415005869E-2</v>
      </c>
      <c r="FN167" s="1418">
        <f t="shared" si="859"/>
        <v>-1.1587485515643148E-2</v>
      </c>
      <c r="FO167" s="1750">
        <v>-6.5347246969440165E-2</v>
      </c>
      <c r="FP167" s="1760"/>
      <c r="FQ167" s="1503">
        <f>+(FM167-FO167)*10000</f>
        <v>125.92264554434296</v>
      </c>
      <c r="FR167" s="1619"/>
      <c r="FS167" s="1619"/>
      <c r="FT167" s="354"/>
      <c r="FU167" s="1988">
        <f>75+60+60+80</f>
        <v>275</v>
      </c>
      <c r="FV167" s="354"/>
      <c r="FW167" s="354"/>
      <c r="FX167" s="354"/>
      <c r="FY167" s="354"/>
      <c r="FZ167" s="490"/>
      <c r="GA167"/>
      <c r="GB167"/>
      <c r="GC167"/>
      <c r="GD167"/>
      <c r="GE167"/>
      <c r="GF167"/>
      <c r="GG167"/>
      <c r="GH167"/>
      <c r="GI167"/>
      <c r="GJ167"/>
      <c r="GK167"/>
      <c r="GL167"/>
      <c r="GM167"/>
      <c r="GN167"/>
      <c r="GO167"/>
      <c r="GP167"/>
      <c r="GQ167"/>
      <c r="GR167"/>
      <c r="GS167"/>
      <c r="GT167"/>
      <c r="GU167"/>
      <c r="GV167"/>
      <c r="GW167"/>
      <c r="GX167"/>
      <c r="GY167"/>
      <c r="GZ167"/>
      <c r="HA167"/>
      <c r="HB167"/>
      <c r="HC167"/>
      <c r="HD167"/>
      <c r="HE167"/>
      <c r="HF167"/>
      <c r="HG167"/>
      <c r="HH167"/>
      <c r="HI167"/>
      <c r="HJ167"/>
      <c r="HK167"/>
      <c r="HL167"/>
      <c r="HM167"/>
      <c r="HN167"/>
      <c r="HO167"/>
      <c r="HP167"/>
      <c r="HQ167"/>
      <c r="HR167"/>
      <c r="HS167"/>
      <c r="HT167"/>
      <c r="HU167"/>
      <c r="HV167"/>
      <c r="HW167"/>
      <c r="HX167"/>
      <c r="HY167"/>
      <c r="HZ167"/>
      <c r="IA167"/>
      <c r="IB167"/>
      <c r="IC167"/>
      <c r="ID167"/>
      <c r="IE167"/>
      <c r="IF167"/>
      <c r="IG167"/>
      <c r="IH167"/>
      <c r="II167"/>
      <c r="IJ167"/>
      <c r="IK167"/>
      <c r="IL167"/>
      <c r="IM167"/>
      <c r="IN167"/>
      <c r="IO167"/>
      <c r="IP167"/>
      <c r="IQ167"/>
      <c r="IR167"/>
      <c r="IS167"/>
      <c r="IT167"/>
      <c r="IU167"/>
      <c r="IV167"/>
      <c r="IW167"/>
      <c r="IX167"/>
    </row>
    <row r="168" spans="1:258" s="55" customFormat="1" x14ac:dyDescent="0.2">
      <c r="A168" s="383" t="s">
        <v>336</v>
      </c>
      <c r="F168" s="54"/>
      <c r="K168" s="54"/>
      <c r="P168" s="54"/>
      <c r="U168" s="54"/>
      <c r="Z168" s="54"/>
      <c r="AE168" s="54"/>
      <c r="AJ168" s="54"/>
      <c r="AO168" s="54"/>
      <c r="AT168" s="54"/>
      <c r="AY168" s="54"/>
      <c r="BD168" s="54"/>
      <c r="BI168" s="54"/>
      <c r="BN168" s="54"/>
      <c r="BS168" s="54"/>
      <c r="BX168" s="54"/>
      <c r="CC168" s="54"/>
      <c r="CH168" s="54"/>
      <c r="CM168" s="54"/>
      <c r="CR168" s="54"/>
      <c r="CW168" s="54"/>
      <c r="CY168" s="55">
        <f>CY166/CX166-1</f>
        <v>-5.16759776536313E-2</v>
      </c>
      <c r="CZ168" s="55">
        <f>CZ166/CY166-1</f>
        <v>-1.3254786450662692E-2</v>
      </c>
      <c r="DA168" s="55">
        <f>DA166/CZ166-1</f>
        <v>-4.7761194029850795E-2</v>
      </c>
      <c r="DB168" s="54"/>
      <c r="DC168" s="55">
        <f>DC166/DA166-1</f>
        <v>0.10031347962382453</v>
      </c>
      <c r="DD168" s="55">
        <f>DD166/DC166-1</f>
        <v>-4.2735042735042583E-3</v>
      </c>
      <c r="DE168" s="55">
        <f>DE166/DD166-1</f>
        <v>2.8612303290413976E-3</v>
      </c>
      <c r="DF168" s="55">
        <f>DF166/DE166-1</f>
        <v>-9.9857346647646006E-3</v>
      </c>
      <c r="DG168" s="54"/>
      <c r="DH168" s="55">
        <f>DH166/DF166-1</f>
        <v>0.10230547550432267</v>
      </c>
      <c r="DI168" s="55">
        <f>DI166/DH166-1</f>
        <v>-1.3071895424836555E-2</v>
      </c>
      <c r="DJ168" s="55">
        <f>DJ166/DI166-1</f>
        <v>4.2384105960264984E-2</v>
      </c>
      <c r="DK168" s="55">
        <f>DK166/DJ166-1</f>
        <v>1.7789072426937835E-2</v>
      </c>
      <c r="DL168" s="54"/>
      <c r="DM168" s="55">
        <f>DM166/DK166-1</f>
        <v>-8.7390761548065132E-3</v>
      </c>
      <c r="DN168" s="55">
        <f>DN166/DM166-1</f>
        <v>-2.7707808564231717E-2</v>
      </c>
      <c r="DO168" s="55">
        <f>DO166/DN166-1</f>
        <v>-9.0673575129534001E-3</v>
      </c>
      <c r="DP168" s="55">
        <f>DP166/DO166-1</f>
        <v>-1.5686274509803977E-2</v>
      </c>
      <c r="DQ168" s="54"/>
      <c r="DR168" s="55">
        <f>DR166/DP166-1</f>
        <v>1.3280212483399723E-2</v>
      </c>
      <c r="DS168" s="55">
        <f>DS166/DR166-1</f>
        <v>-2.6212319790301475E-2</v>
      </c>
      <c r="DT168" s="55">
        <f>DT166/DS166-1</f>
        <v>1.6150740242261152E-2</v>
      </c>
      <c r="DU168" s="55">
        <f>DU166/DT166-1</f>
        <v>3.1788079470198571E-2</v>
      </c>
      <c r="DV168" s="54"/>
      <c r="DW168" s="55">
        <f>DW166/DU166-1</f>
        <v>2.5673940949935137E-3</v>
      </c>
      <c r="DX168" s="55">
        <f>DX166/DW166-1</f>
        <v>4.4814340588988477E-2</v>
      </c>
      <c r="DY168" s="55">
        <f>DY166/DX166-1</f>
        <v>2.2058823529411686E-2</v>
      </c>
      <c r="DZ168" s="55">
        <f>DZ166/DY166-1</f>
        <v>1.318944844124692E-2</v>
      </c>
      <c r="EA168" s="54"/>
      <c r="EB168" s="55">
        <f>EB166/DZ166-1</f>
        <v>2.130177514792897E-2</v>
      </c>
      <c r="EC168" s="55">
        <f>EC166/EB166-1</f>
        <v>-3.9397450753186569E-2</v>
      </c>
      <c r="ED168" s="55">
        <f>ED166/EC166-1</f>
        <v>2.8950542822677949E-2</v>
      </c>
      <c r="EE168" s="55">
        <f>EE166/ED166-1</f>
        <v>4.8065650644783187E-2</v>
      </c>
      <c r="EF168" s="54"/>
      <c r="EG168" s="55">
        <f>EG166/EE166-1</f>
        <v>-3.4675615212527933E-2</v>
      </c>
      <c r="EH168" s="55">
        <f>EH166/EG166-1</f>
        <v>-8.3429895712630375E-2</v>
      </c>
      <c r="EI168" s="55">
        <f>EI166/EH166-1</f>
        <v>-1.3906447534766109E-2</v>
      </c>
      <c r="EJ168" s="55">
        <f>EJ166/EI166-1</f>
        <v>7.5641025641025594E-2</v>
      </c>
      <c r="EK168" s="54"/>
      <c r="EL168" s="55">
        <f>EL166/EJ166-1</f>
        <v>1.6686531585220488E-2</v>
      </c>
      <c r="EM168" s="55">
        <f>EM166/EL166-1</f>
        <v>-6.4478311840562741E-2</v>
      </c>
      <c r="EN168" s="55">
        <f>EN166/EM166-1</f>
        <v>3.759398496240518E-3</v>
      </c>
      <c r="EO168" s="55">
        <f>EO166/EN166-1</f>
        <v>9.1136079900124844E-2</v>
      </c>
      <c r="EP168" s="54"/>
      <c r="EQ168" s="55">
        <f>EQ166/EO166-1</f>
        <v>-7.5514874141876409E-2</v>
      </c>
      <c r="ER168" s="632">
        <f t="shared" ref="ER168" si="888">ER166/EQ166-1</f>
        <v>-2.5128907248104904E-2</v>
      </c>
      <c r="ES168" s="632">
        <f t="shared" ref="ES168:ET168" si="889">ES166/ER166-1</f>
        <v>-1.6545088566828015E-2</v>
      </c>
      <c r="ET168" s="632">
        <f t="shared" si="889"/>
        <v>1.7811825917317892E-2</v>
      </c>
      <c r="EU168" s="1183"/>
      <c r="EV168" s="632"/>
      <c r="EW168" s="632"/>
      <c r="EX168" s="632"/>
      <c r="EY168" s="632"/>
      <c r="EZ168" s="1944"/>
      <c r="FA168" s="632"/>
      <c r="FB168" s="632"/>
      <c r="FC168" s="632"/>
      <c r="FD168" s="632"/>
      <c r="FE168" s="1944"/>
      <c r="FG168" s="493"/>
      <c r="FH168" s="766">
        <f>AVERAGE(CI168,CN168,CS168,CX168,DC168,DH168,DM168,DR168,DW168,EB168,EG168,EL168,EQ168)</f>
        <v>1.5280589214497672E-2</v>
      </c>
      <c r="FI168" s="766">
        <f>AVERAGE(CJ168,CO168,CT168,CY168,DD168,DI168,DN168,DS168,DX168,EC168,EH168)</f>
        <v>-2.5119313947916722E-2</v>
      </c>
      <c r="FJ168" s="766">
        <f>AVERAGE(CK168,CP168,CU168,CZ168,DE168,DJ168,DO168,DT168,DY168,ED168,EI168)</f>
        <v>9.5221064231593711E-3</v>
      </c>
      <c r="FK168" s="766">
        <f>AVERAGE(CL168,CQ168,CV168,DA168,DF168,DK168,DP168,DU168,DZ168,EE168,EJ168,EO168)</f>
        <v>2.2686239257766399E-2</v>
      </c>
      <c r="FL168" s="1338"/>
      <c r="FM168" s="1523">
        <f t="shared" si="858"/>
        <v>-7.5514874141876409E-2</v>
      </c>
      <c r="FN168" s="1416">
        <f t="shared" si="859"/>
        <v>1.6686531585220488E-2</v>
      </c>
      <c r="FO168" s="1799">
        <v>-8.7804578563995928E-2</v>
      </c>
      <c r="FP168" s="1741"/>
      <c r="FQ168" s="1503">
        <f>+(FM168-FO168)*10000</f>
        <v>122.89704422119519</v>
      </c>
      <c r="FR168" s="1619"/>
      <c r="FS168" s="1619"/>
      <c r="FT168" s="432"/>
      <c r="FU168" s="432"/>
      <c r="FV168" s="432"/>
      <c r="FW168" s="432"/>
      <c r="FX168" s="432"/>
      <c r="FY168" s="432"/>
      <c r="FZ168" s="493"/>
      <c r="GA168"/>
      <c r="GB168"/>
      <c r="GC168"/>
      <c r="GD168"/>
      <c r="GE168"/>
      <c r="GF168"/>
      <c r="GG168"/>
      <c r="GH168"/>
      <c r="GI168"/>
      <c r="GJ168"/>
      <c r="GK168"/>
      <c r="GL168"/>
      <c r="GM168"/>
      <c r="GN168"/>
      <c r="GO168"/>
      <c r="GP168"/>
      <c r="GQ168"/>
      <c r="GR168"/>
      <c r="GS168"/>
      <c r="GT168"/>
      <c r="GU168"/>
      <c r="GV168"/>
      <c r="GW168"/>
      <c r="GX168"/>
      <c r="GY168"/>
      <c r="GZ168"/>
      <c r="HA168"/>
      <c r="HB168"/>
      <c r="HC168"/>
      <c r="HD168"/>
      <c r="HE168"/>
      <c r="HF168"/>
      <c r="HG168"/>
      <c r="HH168"/>
      <c r="HI168"/>
      <c r="HJ168"/>
      <c r="HK168"/>
      <c r="HL168"/>
      <c r="HM168"/>
      <c r="HN168"/>
      <c r="HO168"/>
      <c r="HP168"/>
      <c r="HQ168"/>
      <c r="HR168"/>
      <c r="HS168"/>
      <c r="HT168"/>
      <c r="HU168"/>
      <c r="HV168"/>
      <c r="HW168"/>
      <c r="HX168"/>
      <c r="HY168"/>
      <c r="HZ168"/>
      <c r="IA168"/>
      <c r="IB168"/>
      <c r="IC168"/>
      <c r="ID168"/>
      <c r="IE168"/>
      <c r="IF168"/>
      <c r="IG168"/>
      <c r="IH168"/>
      <c r="II168"/>
      <c r="IJ168"/>
      <c r="IK168"/>
      <c r="IL168"/>
      <c r="IM168"/>
      <c r="IN168"/>
      <c r="IO168"/>
      <c r="IP168"/>
      <c r="IQ168"/>
      <c r="IR168"/>
      <c r="IS168"/>
      <c r="IT168"/>
      <c r="IU168"/>
      <c r="IV168"/>
      <c r="IW168"/>
      <c r="IX168"/>
    </row>
    <row r="169" spans="1:258" s="171" customFormat="1" x14ac:dyDescent="0.2">
      <c r="A169" s="592" t="s">
        <v>106</v>
      </c>
      <c r="B169" s="173"/>
      <c r="C169" s="173"/>
      <c r="D169" s="173"/>
      <c r="E169" s="173"/>
      <c r="F169" s="502"/>
      <c r="G169" s="173"/>
      <c r="H169" s="173"/>
      <c r="I169" s="173"/>
      <c r="J169" s="173"/>
      <c r="K169" s="502"/>
      <c r="L169" s="173"/>
      <c r="M169" s="173"/>
      <c r="N169" s="173"/>
      <c r="O169" s="173"/>
      <c r="P169" s="502"/>
      <c r="Q169" s="173"/>
      <c r="R169" s="173"/>
      <c r="S169" s="173"/>
      <c r="T169" s="173"/>
      <c r="U169" s="502"/>
      <c r="V169" s="173"/>
      <c r="W169" s="173"/>
      <c r="X169" s="173"/>
      <c r="Y169" s="173"/>
      <c r="Z169" s="502"/>
      <c r="AA169" s="173">
        <v>30818</v>
      </c>
      <c r="AB169" s="173">
        <v>31352</v>
      </c>
      <c r="AC169" s="173">
        <v>31532</v>
      </c>
      <c r="AD169" s="173">
        <v>31429</v>
      </c>
      <c r="AE169" s="502">
        <v>31352.5</v>
      </c>
      <c r="AF169" s="173">
        <v>31011</v>
      </c>
      <c r="AG169" s="173">
        <v>31463</v>
      </c>
      <c r="AH169" s="173">
        <v>31065</v>
      </c>
      <c r="AI169" s="173">
        <v>30736</v>
      </c>
      <c r="AJ169" s="502">
        <v>31135.75</v>
      </c>
      <c r="AK169" s="173">
        <v>29912</v>
      </c>
      <c r="AL169" s="173">
        <v>29793</v>
      </c>
      <c r="AM169" s="173">
        <v>29661</v>
      </c>
      <c r="AN169" s="173">
        <v>29544</v>
      </c>
      <c r="AO169" s="502">
        <v>29657</v>
      </c>
      <c r="AP169" s="173">
        <v>28451</v>
      </c>
      <c r="AQ169" s="173">
        <v>28741</v>
      </c>
      <c r="AR169" s="173">
        <v>28752</v>
      </c>
      <c r="AS169" s="173">
        <v>28791</v>
      </c>
      <c r="AT169" s="502">
        <f>AVERAGE(AP169:AS169)</f>
        <v>28683.75</v>
      </c>
      <c r="AU169" s="173">
        <v>28817</v>
      </c>
      <c r="AV169" s="173">
        <v>29784</v>
      </c>
      <c r="AW169" s="173">
        <v>30359</v>
      </c>
      <c r="AX169" s="173">
        <v>30193</v>
      </c>
      <c r="AY169" s="502">
        <f>AVERAGE(AU169:AX169)</f>
        <v>29788.25</v>
      </c>
      <c r="AZ169" s="173">
        <v>29261</v>
      </c>
      <c r="BA169" s="173">
        <v>30012</v>
      </c>
      <c r="BB169" s="173">
        <v>36905</v>
      </c>
      <c r="BC169" s="173">
        <v>36955</v>
      </c>
      <c r="BD169" s="502">
        <f>AVERAGE(AZ169:BC169)</f>
        <v>33283.25</v>
      </c>
      <c r="BE169" s="173">
        <v>37142</v>
      </c>
      <c r="BF169" s="173">
        <v>37655</v>
      </c>
      <c r="BG169" s="173">
        <v>37868</v>
      </c>
      <c r="BH169" s="173">
        <v>38338</v>
      </c>
      <c r="BI169" s="502">
        <f>AVERAGE(BE169:BH169)</f>
        <v>37750.75</v>
      </c>
      <c r="BJ169" s="173">
        <v>37579</v>
      </c>
      <c r="BK169" s="173">
        <v>37559</v>
      </c>
      <c r="BL169" s="173">
        <v>36853</v>
      </c>
      <c r="BM169" s="173">
        <v>36201</v>
      </c>
      <c r="BN169" s="502">
        <f>AVERAGE(BJ169:BM169)</f>
        <v>37048</v>
      </c>
      <c r="BO169" s="173">
        <v>34907</v>
      </c>
      <c r="BP169" s="173">
        <v>35838</v>
      </c>
      <c r="BQ169" s="173">
        <v>35921</v>
      </c>
      <c r="BR169" s="173">
        <v>35290</v>
      </c>
      <c r="BS169" s="502">
        <f>AVERAGE(BO169:BR169)</f>
        <v>35489</v>
      </c>
      <c r="BT169" s="173">
        <v>34546</v>
      </c>
      <c r="BU169" s="173">
        <v>35506</v>
      </c>
      <c r="BV169" s="173">
        <v>35199</v>
      </c>
      <c r="BW169" s="173">
        <v>34084</v>
      </c>
      <c r="BX169" s="502">
        <f>AVERAGE(BT169:BW169)</f>
        <v>34833.75</v>
      </c>
      <c r="BY169" s="173">
        <v>33845</v>
      </c>
      <c r="BZ169" s="173">
        <v>33271</v>
      </c>
      <c r="CA169" s="173">
        <v>33202</v>
      </c>
      <c r="CB169" s="173">
        <v>33591</v>
      </c>
      <c r="CC169" s="502">
        <f>AVERAGE(BY169:CB169)</f>
        <v>33477.25</v>
      </c>
      <c r="CD169" s="173">
        <v>32859</v>
      </c>
      <c r="CE169" s="173">
        <v>33680</v>
      </c>
      <c r="CF169" s="173">
        <v>33991</v>
      </c>
      <c r="CG169" s="173">
        <v>34153</v>
      </c>
      <c r="CH169" s="502">
        <f>AVERAGE(CD169:CG169)</f>
        <v>33670.75</v>
      </c>
      <c r="CI169" s="173">
        <v>34230</v>
      </c>
      <c r="CJ169" s="173">
        <v>34718</v>
      </c>
      <c r="CK169" s="173">
        <v>34728</v>
      </c>
      <c r="CL169" s="173">
        <v>34668</v>
      </c>
      <c r="CM169" s="502">
        <f>AVERAGE(CI169:CL169)</f>
        <v>34586</v>
      </c>
      <c r="CN169" s="173">
        <v>34219</v>
      </c>
      <c r="CO169" s="173">
        <v>34419</v>
      </c>
      <c r="CP169" s="173">
        <v>34213</v>
      </c>
      <c r="CQ169" s="173">
        <v>33469</v>
      </c>
      <c r="CR169" s="502">
        <f>AVERAGE(CN169:CQ169)</f>
        <v>34080</v>
      </c>
      <c r="CS169" s="173">
        <v>32857</v>
      </c>
      <c r="CT169" s="173">
        <v>33082</v>
      </c>
      <c r="CU169" s="173">
        <v>33428</v>
      </c>
      <c r="CV169" s="173">
        <v>33363</v>
      </c>
      <c r="CW169" s="502">
        <f>AVERAGE(CS169:CV169)</f>
        <v>33182.5</v>
      </c>
      <c r="CX169" s="173">
        <v>31134</v>
      </c>
      <c r="CY169" s="173">
        <v>29878</v>
      </c>
      <c r="CZ169" s="173">
        <v>29883</v>
      </c>
      <c r="DA169" s="173">
        <v>29417</v>
      </c>
      <c r="DB169" s="502">
        <f>AVERAGE(CX169:DA169)</f>
        <v>30078</v>
      </c>
      <c r="DC169" s="173">
        <v>29310</v>
      </c>
      <c r="DD169" s="173">
        <v>30052</v>
      </c>
      <c r="DE169" s="173">
        <v>30219</v>
      </c>
      <c r="DF169" s="173">
        <v>30083</v>
      </c>
      <c r="DG169" s="172">
        <f>AVERAGE(DC169:DF169)</f>
        <v>29916</v>
      </c>
      <c r="DH169" s="173">
        <v>30295</v>
      </c>
      <c r="DI169" s="173">
        <v>30980</v>
      </c>
      <c r="DJ169" s="173">
        <v>31664</v>
      </c>
      <c r="DK169" s="173">
        <v>32139</v>
      </c>
      <c r="DL169" s="172">
        <f>AVERAGE(DH169:DK169)</f>
        <v>31269.5</v>
      </c>
      <c r="DM169" s="173">
        <v>32393</v>
      </c>
      <c r="DN169" s="173">
        <v>32422</v>
      </c>
      <c r="DO169" s="173">
        <v>32204</v>
      </c>
      <c r="DP169" s="173">
        <v>31463</v>
      </c>
      <c r="DQ169" s="172">
        <f>AVERAGE(DM169:DP169)</f>
        <v>32120.5</v>
      </c>
      <c r="DR169" s="173">
        <v>31010</v>
      </c>
      <c r="DS169" s="173">
        <v>31288</v>
      </c>
      <c r="DT169" s="174">
        <v>31259</v>
      </c>
      <c r="DU169" s="173">
        <v>31452</v>
      </c>
      <c r="DV169" s="172">
        <f>AVERAGE(DR169:DU169)</f>
        <v>31252.25</v>
      </c>
      <c r="DW169" s="173">
        <v>31175</v>
      </c>
      <c r="DX169" s="173">
        <v>31380</v>
      </c>
      <c r="DY169" s="174">
        <v>31590</v>
      </c>
      <c r="DZ169" s="173">
        <v>32012</v>
      </c>
      <c r="EA169" s="172">
        <f>AVERAGE(DW169:DZ169)</f>
        <v>31539.25</v>
      </c>
      <c r="EB169" s="173">
        <v>32197</v>
      </c>
      <c r="EC169" s="173">
        <v>32052</v>
      </c>
      <c r="ED169" s="174">
        <v>30889</v>
      </c>
      <c r="EE169" s="173">
        <v>29775</v>
      </c>
      <c r="EF169" s="172">
        <f>AVERAGE(EB169:EE169)</f>
        <v>31228.25</v>
      </c>
      <c r="EG169" s="2032">
        <v>28305</v>
      </c>
      <c r="EH169" s="2032">
        <v>27936</v>
      </c>
      <c r="EI169" s="2033">
        <v>27275</v>
      </c>
      <c r="EJ169" s="2032">
        <v>27178</v>
      </c>
      <c r="EK169" s="2034">
        <f>AVERAGE(EG169:EJ169)</f>
        <v>27673.5</v>
      </c>
      <c r="EL169" s="2032">
        <v>26504</v>
      </c>
      <c r="EM169" s="2032">
        <v>25785</v>
      </c>
      <c r="EN169" s="2033">
        <v>24068</v>
      </c>
      <c r="EO169" s="2032">
        <v>24025</v>
      </c>
      <c r="EP169" s="172">
        <f>AVERAGE(EL169:EO169)</f>
        <v>25095.5</v>
      </c>
      <c r="EQ169" s="2032">
        <v>23482</v>
      </c>
      <c r="ER169" s="1945">
        <f t="shared" ref="ER169" si="890">EM169*(1+ER170)</f>
        <v>23722.2</v>
      </c>
      <c r="ES169" s="1945">
        <f t="shared" ref="ES169:ET169" si="891">EN169*(1+ES170)</f>
        <v>22984.94</v>
      </c>
      <c r="ET169" s="1945">
        <f t="shared" si="891"/>
        <v>22823.75</v>
      </c>
      <c r="EU169" s="1946">
        <f>AVERAGE(EQ169:ET169)</f>
        <v>23253.2225</v>
      </c>
      <c r="EV169" s="1947"/>
      <c r="EW169" s="1947"/>
      <c r="EX169" s="1947"/>
      <c r="EY169" s="1947"/>
      <c r="EZ169" s="1948">
        <f>EU169*(1+EZ170)</f>
        <v>21509.230812500002</v>
      </c>
      <c r="FA169" s="1947"/>
      <c r="FB169" s="1947"/>
      <c r="FC169" s="1947"/>
      <c r="FD169" s="1947"/>
      <c r="FE169" s="1948">
        <f>EZ169*(1+FE170)</f>
        <v>20003.584655625</v>
      </c>
      <c r="FF169" s="347"/>
      <c r="FG169" s="490"/>
      <c r="FH169" s="1917">
        <f>EQ24</f>
        <v>-4.30980637101811E-2</v>
      </c>
      <c r="FI169" s="1917">
        <f>ER24</f>
        <v>3.4967362924282153E-2</v>
      </c>
      <c r="FJ169" s="1917">
        <f>ES24</f>
        <v>7.9214415005328664E-3</v>
      </c>
      <c r="FK169" s="1917">
        <f>ET24</f>
        <v>2.967530801624374E-2</v>
      </c>
      <c r="FL169" s="1361"/>
      <c r="FM169" s="1573">
        <f t="shared" si="858"/>
        <v>23482</v>
      </c>
      <c r="FN169" s="1458">
        <f t="shared" si="859"/>
        <v>26504</v>
      </c>
      <c r="FO169" s="1858">
        <v>23191</v>
      </c>
      <c r="FP169" s="1753">
        <f>+FM169/FN169-1</f>
        <v>-0.11402052520374284</v>
      </c>
      <c r="FQ169" s="1532">
        <f>+FM169/FO169-1</f>
        <v>1.2547971195722374E-2</v>
      </c>
      <c r="FR169" s="1614" t="s">
        <v>779</v>
      </c>
      <c r="FS169" s="1619"/>
      <c r="FT169" s="354"/>
      <c r="FU169" s="354"/>
      <c r="FV169" s="354"/>
      <c r="FW169" s="354"/>
      <c r="FX169" s="354"/>
      <c r="FY169" s="354"/>
      <c r="FZ169" s="490"/>
      <c r="GA169"/>
      <c r="GB169"/>
      <c r="GC169"/>
      <c r="GD169"/>
      <c r="GE169"/>
      <c r="GF169"/>
      <c r="GG169"/>
      <c r="GH169"/>
      <c r="GI169"/>
      <c r="GJ169"/>
      <c r="GK169"/>
      <c r="GL169"/>
      <c r="GM169"/>
      <c r="GN169"/>
      <c r="GO169"/>
      <c r="GP169"/>
      <c r="GQ169"/>
      <c r="GR169"/>
      <c r="GS169"/>
      <c r="GT169"/>
      <c r="GU169"/>
      <c r="GV169"/>
      <c r="GW169"/>
      <c r="GX169"/>
      <c r="GY169"/>
      <c r="GZ169"/>
      <c r="HA169"/>
      <c r="HB169"/>
      <c r="HC169"/>
      <c r="HD169"/>
      <c r="HE169"/>
      <c r="HF169"/>
      <c r="HG169"/>
      <c r="HH169"/>
      <c r="HI169"/>
      <c r="HJ169"/>
      <c r="HK169"/>
      <c r="HL169"/>
      <c r="HM169"/>
      <c r="HN169"/>
      <c r="HO169"/>
      <c r="HP169"/>
      <c r="HQ169"/>
      <c r="HR169"/>
      <c r="HS169"/>
      <c r="HT169"/>
      <c r="HU169"/>
      <c r="HV169"/>
      <c r="HW169"/>
      <c r="HX169"/>
      <c r="HY169"/>
      <c r="HZ169"/>
      <c r="IA169"/>
      <c r="IB169"/>
      <c r="IC169"/>
      <c r="ID169"/>
      <c r="IE169"/>
      <c r="IF169"/>
      <c r="IG169"/>
      <c r="IH169"/>
      <c r="II169"/>
      <c r="IJ169"/>
      <c r="IK169"/>
      <c r="IL169"/>
      <c r="IM169"/>
      <c r="IN169"/>
      <c r="IO169"/>
      <c r="IP169"/>
      <c r="IQ169"/>
      <c r="IR169"/>
      <c r="IS169"/>
      <c r="IT169"/>
      <c r="IU169"/>
      <c r="IV169"/>
      <c r="IW169"/>
      <c r="IX169"/>
    </row>
    <row r="170" spans="1:258" s="84" customFormat="1" x14ac:dyDescent="0.2">
      <c r="A170" s="559" t="s">
        <v>465</v>
      </c>
      <c r="B170" s="10"/>
      <c r="C170" s="10"/>
      <c r="D170" s="10"/>
      <c r="E170" s="10"/>
      <c r="F170" s="9"/>
      <c r="G170" s="10"/>
      <c r="H170" s="10"/>
      <c r="I170" s="10"/>
      <c r="J170" s="10"/>
      <c r="K170" s="9"/>
      <c r="L170" s="10"/>
      <c r="M170" s="10"/>
      <c r="N170" s="10"/>
      <c r="O170" s="10"/>
      <c r="P170" s="9"/>
      <c r="Q170" s="10"/>
      <c r="R170" s="10"/>
      <c r="S170" s="10"/>
      <c r="T170" s="10"/>
      <c r="U170" s="9"/>
      <c r="V170" s="10"/>
      <c r="W170" s="10"/>
      <c r="X170" s="10"/>
      <c r="Y170" s="10"/>
      <c r="Z170" s="9"/>
      <c r="AA170" s="10"/>
      <c r="AB170" s="10"/>
      <c r="AC170" s="10"/>
      <c r="AD170" s="10"/>
      <c r="AE170" s="9"/>
      <c r="AF170" s="10">
        <f t="shared" ref="AF170:BK170" si="892">AF169/AA169-1</f>
        <v>6.2625738204944437E-3</v>
      </c>
      <c r="AG170" s="10">
        <f t="shared" si="892"/>
        <v>3.5404439908139906E-3</v>
      </c>
      <c r="AH170" s="10">
        <f t="shared" si="892"/>
        <v>-1.4810351389065057E-2</v>
      </c>
      <c r="AI170" s="10">
        <f t="shared" si="892"/>
        <v>-2.2049699322281957E-2</v>
      </c>
      <c r="AJ170" s="9">
        <f t="shared" si="892"/>
        <v>-6.9133242963080876E-3</v>
      </c>
      <c r="AK170" s="10">
        <f t="shared" si="892"/>
        <v>-3.5439037760794601E-2</v>
      </c>
      <c r="AL170" s="10">
        <f t="shared" si="892"/>
        <v>-5.3078218860248549E-2</v>
      </c>
      <c r="AM170" s="10">
        <f t="shared" si="892"/>
        <v>-4.5195557701593447E-2</v>
      </c>
      <c r="AN170" s="10">
        <f t="shared" si="892"/>
        <v>-3.8781884435190039E-2</v>
      </c>
      <c r="AO170" s="9">
        <f t="shared" si="892"/>
        <v>-4.7493636735906453E-2</v>
      </c>
      <c r="AP170" s="10">
        <f t="shared" si="892"/>
        <v>-4.8843273602567572E-2</v>
      </c>
      <c r="AQ170" s="10">
        <f t="shared" si="892"/>
        <v>-3.5310307790420548E-2</v>
      </c>
      <c r="AR170" s="10">
        <f t="shared" si="892"/>
        <v>-3.0646303226459004E-2</v>
      </c>
      <c r="AS170" s="10">
        <f t="shared" si="892"/>
        <v>-2.5487408610885498E-2</v>
      </c>
      <c r="AT170" s="9">
        <f t="shared" si="892"/>
        <v>-3.2816872913645989E-2</v>
      </c>
      <c r="AU170" s="10">
        <f t="shared" si="892"/>
        <v>1.2864222698674821E-2</v>
      </c>
      <c r="AV170" s="10">
        <f t="shared" si="892"/>
        <v>3.6289621098778646E-2</v>
      </c>
      <c r="AW170" s="10">
        <f t="shared" si="892"/>
        <v>5.5891764051196446E-2</v>
      </c>
      <c r="AX170" s="10">
        <f t="shared" si="892"/>
        <v>4.8695772984613139E-2</v>
      </c>
      <c r="AY170" s="9">
        <f t="shared" si="892"/>
        <v>3.8506122804723875E-2</v>
      </c>
      <c r="AZ170" s="10">
        <f t="shared" si="892"/>
        <v>1.5407571919353158E-2</v>
      </c>
      <c r="BA170" s="10">
        <f t="shared" si="892"/>
        <v>7.6551168412570814E-3</v>
      </c>
      <c r="BB170" s="10">
        <f t="shared" si="892"/>
        <v>0.21561975032115677</v>
      </c>
      <c r="BC170" s="10">
        <f t="shared" si="892"/>
        <v>0.22395919584009549</v>
      </c>
      <c r="BD170" s="9">
        <f t="shared" si="892"/>
        <v>0.11732814112947221</v>
      </c>
      <c r="BE170" s="10">
        <f t="shared" si="892"/>
        <v>0.26933460920679408</v>
      </c>
      <c r="BF170" s="10">
        <f t="shared" si="892"/>
        <v>0.2546648007463681</v>
      </c>
      <c r="BG170" s="10">
        <f t="shared" si="892"/>
        <v>2.609402519983739E-2</v>
      </c>
      <c r="BH170" s="10">
        <f t="shared" si="892"/>
        <v>3.7423893925043972E-2</v>
      </c>
      <c r="BI170" s="9">
        <f t="shared" si="892"/>
        <v>0.13422667558005896</v>
      </c>
      <c r="BJ170" s="10">
        <f t="shared" si="892"/>
        <v>1.1765656130526159E-2</v>
      </c>
      <c r="BK170" s="10">
        <f t="shared" si="892"/>
        <v>-2.549462222812382E-3</v>
      </c>
      <c r="BL170" s="10">
        <f t="shared" ref="BL170:CQ170" si="893">BL169/BG169-1</f>
        <v>-2.6803633674870597E-2</v>
      </c>
      <c r="BM170" s="10">
        <f t="shared" si="893"/>
        <v>-5.5741040221190419E-2</v>
      </c>
      <c r="BN170" s="9">
        <f t="shared" si="893"/>
        <v>-1.8615524194883548E-2</v>
      </c>
      <c r="BO170" s="10">
        <f t="shared" si="893"/>
        <v>-7.1103541871790132E-2</v>
      </c>
      <c r="BP170" s="10">
        <f t="shared" si="893"/>
        <v>-4.5821241247104516E-2</v>
      </c>
      <c r="BQ170" s="10">
        <f t="shared" si="893"/>
        <v>-2.5289664342115992E-2</v>
      </c>
      <c r="BR170" s="10">
        <f t="shared" si="893"/>
        <v>-2.5165050689207491E-2</v>
      </c>
      <c r="BS170" s="9">
        <f t="shared" si="893"/>
        <v>-4.2080544158928923E-2</v>
      </c>
      <c r="BT170" s="10">
        <f t="shared" si="893"/>
        <v>-1.0341765261981828E-2</v>
      </c>
      <c r="BU170" s="10">
        <f t="shared" si="893"/>
        <v>-9.263909816396021E-3</v>
      </c>
      <c r="BV170" s="10">
        <f t="shared" si="893"/>
        <v>-2.0099663149689584E-2</v>
      </c>
      <c r="BW170" s="10">
        <f t="shared" si="893"/>
        <v>-3.4173986965145953E-2</v>
      </c>
      <c r="BX170" s="9">
        <f t="shared" si="893"/>
        <v>-1.8463467553326396E-2</v>
      </c>
      <c r="BY170" s="10">
        <f t="shared" si="893"/>
        <v>-2.0291784866554696E-2</v>
      </c>
      <c r="BZ170" s="10">
        <f t="shared" si="893"/>
        <v>-6.2947107531121538E-2</v>
      </c>
      <c r="CA170" s="10">
        <f t="shared" si="893"/>
        <v>-5.6734566322906854E-2</v>
      </c>
      <c r="CB170" s="10">
        <f t="shared" si="893"/>
        <v>-1.4464264757657497E-2</v>
      </c>
      <c r="CC170" s="9">
        <f t="shared" si="893"/>
        <v>-3.8942117917249774E-2</v>
      </c>
      <c r="CD170" s="10">
        <f t="shared" si="893"/>
        <v>-2.9132811345841336E-2</v>
      </c>
      <c r="CE170" s="10">
        <f t="shared" si="893"/>
        <v>1.2292987887349449E-2</v>
      </c>
      <c r="CF170" s="10">
        <f t="shared" si="893"/>
        <v>2.3763628697066386E-2</v>
      </c>
      <c r="CG170" s="10">
        <f t="shared" si="893"/>
        <v>1.6730671906165284E-2</v>
      </c>
      <c r="CH170" s="9">
        <f t="shared" si="893"/>
        <v>5.7800446571925068E-3</v>
      </c>
      <c r="CI170" s="10">
        <f t="shared" si="893"/>
        <v>4.1723728658815018E-2</v>
      </c>
      <c r="CJ170" s="10">
        <f t="shared" si="893"/>
        <v>3.0819477434679277E-2</v>
      </c>
      <c r="CK170" s="10">
        <f t="shared" si="893"/>
        <v>2.1682209996763957E-2</v>
      </c>
      <c r="CL170" s="10">
        <f t="shared" si="893"/>
        <v>1.5079202412672466E-2</v>
      </c>
      <c r="CM170" s="9">
        <f t="shared" si="893"/>
        <v>2.7182346695574067E-2</v>
      </c>
      <c r="CN170" s="10">
        <f t="shared" si="893"/>
        <v>-3.2135553607948175E-4</v>
      </c>
      <c r="CO170" s="10">
        <f t="shared" si="893"/>
        <v>-8.6122472492654589E-3</v>
      </c>
      <c r="CP170" s="10">
        <f t="shared" si="893"/>
        <v>-1.4829532365814302E-2</v>
      </c>
      <c r="CQ170" s="10">
        <f t="shared" si="893"/>
        <v>-3.458520826122069E-2</v>
      </c>
      <c r="CR170" s="9">
        <f t="shared" ref="CR170:DW170" si="894">CR169/CM169-1</f>
        <v>-1.4630197189614336E-2</v>
      </c>
      <c r="CS170" s="10">
        <f t="shared" si="894"/>
        <v>-3.9802448931879897E-2</v>
      </c>
      <c r="CT170" s="10">
        <f t="shared" si="894"/>
        <v>-3.884482407972345E-2</v>
      </c>
      <c r="CU170" s="10">
        <f t="shared" si="894"/>
        <v>-2.2944494782684899E-2</v>
      </c>
      <c r="CV170" s="10">
        <f t="shared" si="894"/>
        <v>-3.1671098628581751E-3</v>
      </c>
      <c r="CW170" s="9">
        <f t="shared" si="894"/>
        <v>-2.6335093896713624E-2</v>
      </c>
      <c r="CX170" s="10">
        <f t="shared" si="894"/>
        <v>-5.243935843199321E-2</v>
      </c>
      <c r="CY170" s="10">
        <f t="shared" si="894"/>
        <v>-9.685025089172361E-2</v>
      </c>
      <c r="CZ170" s="10">
        <f t="shared" si="894"/>
        <v>-0.10604882134737348</v>
      </c>
      <c r="DA170" s="10">
        <f t="shared" si="894"/>
        <v>-0.118274735485418</v>
      </c>
      <c r="DB170" s="9">
        <f t="shared" si="894"/>
        <v>-9.3558351540721785E-2</v>
      </c>
      <c r="DC170" s="10">
        <f t="shared" si="894"/>
        <v>-5.8585469261900225E-2</v>
      </c>
      <c r="DD170" s="10">
        <f t="shared" si="894"/>
        <v>5.8236829774416243E-3</v>
      </c>
      <c r="DE170" s="10">
        <f t="shared" si="894"/>
        <v>1.1243851018974071E-2</v>
      </c>
      <c r="DF170" s="10">
        <f t="shared" si="894"/>
        <v>2.2639970085324812E-2</v>
      </c>
      <c r="DG170" s="9">
        <f t="shared" si="894"/>
        <v>-5.3859964093356805E-3</v>
      </c>
      <c r="DH170" s="10">
        <f t="shared" si="894"/>
        <v>3.360627772091429E-2</v>
      </c>
      <c r="DI170" s="10">
        <f t="shared" si="894"/>
        <v>3.0879808332224146E-2</v>
      </c>
      <c r="DJ170" s="10">
        <f t="shared" si="894"/>
        <v>4.7817598199808131E-2</v>
      </c>
      <c r="DK170" s="10">
        <f t="shared" si="894"/>
        <v>6.8344247581690665E-2</v>
      </c>
      <c r="DL170" s="9">
        <f t="shared" si="894"/>
        <v>4.5243348041182019E-2</v>
      </c>
      <c r="DM170" s="10">
        <f t="shared" si="894"/>
        <v>6.9252351873246409E-2</v>
      </c>
      <c r="DN170" s="10">
        <f t="shared" si="894"/>
        <v>4.6546158812136973E-2</v>
      </c>
      <c r="DO170" s="10">
        <f t="shared" si="894"/>
        <v>1.7054067710965182E-2</v>
      </c>
      <c r="DP170" s="10">
        <f t="shared" si="894"/>
        <v>-2.1033635147328811E-2</v>
      </c>
      <c r="DQ170" s="9">
        <f t="shared" si="894"/>
        <v>2.721501782887481E-2</v>
      </c>
      <c r="DR170" s="10">
        <f t="shared" si="894"/>
        <v>-4.2694409285956803E-2</v>
      </c>
      <c r="DS170" s="10">
        <f t="shared" si="894"/>
        <v>-3.4976250693973254E-2</v>
      </c>
      <c r="DT170" s="10">
        <f t="shared" si="894"/>
        <v>-2.9344180847099777E-2</v>
      </c>
      <c r="DU170" s="10">
        <f t="shared" si="894"/>
        <v>-3.4961701045677085E-4</v>
      </c>
      <c r="DV170" s="9">
        <f t="shared" si="894"/>
        <v>-2.703102380099931E-2</v>
      </c>
      <c r="DW170" s="10">
        <f t="shared" si="894"/>
        <v>5.3208642373427928E-3</v>
      </c>
      <c r="DX170" s="10">
        <f t="shared" ref="DX170:ED170" si="895">DX169/DS169-1</f>
        <v>2.9404244438762106E-3</v>
      </c>
      <c r="DY170" s="10">
        <f t="shared" si="895"/>
        <v>1.0588950382289797E-2</v>
      </c>
      <c r="DZ170" s="10">
        <f t="shared" si="895"/>
        <v>1.7804909067785868E-2</v>
      </c>
      <c r="EA170" s="9">
        <f t="shared" si="895"/>
        <v>9.183338799606533E-3</v>
      </c>
      <c r="EB170" s="10">
        <f t="shared" si="895"/>
        <v>3.2782678428227685E-2</v>
      </c>
      <c r="EC170" s="10">
        <f t="shared" si="895"/>
        <v>2.1414913957934933E-2</v>
      </c>
      <c r="ED170" s="10">
        <f t="shared" si="895"/>
        <v>-2.2190566635011066E-2</v>
      </c>
      <c r="EE170" s="10">
        <f t="shared" ref="EE170:EQ170" si="896">EE169/DZ169-1</f>
        <v>-6.9880044983131273E-2</v>
      </c>
      <c r="EF170" s="9">
        <f t="shared" si="896"/>
        <v>-9.8607290915287971E-3</v>
      </c>
      <c r="EG170" s="10">
        <f t="shared" si="896"/>
        <v>-0.12088082740628003</v>
      </c>
      <c r="EH170" s="10">
        <f t="shared" si="896"/>
        <v>-0.12841632347435417</v>
      </c>
      <c r="EI170" s="10">
        <f t="shared" si="896"/>
        <v>-0.11699957913820458</v>
      </c>
      <c r="EJ170" s="10">
        <f t="shared" si="896"/>
        <v>-8.7220822837951295E-2</v>
      </c>
      <c r="EK170" s="9">
        <f t="shared" si="896"/>
        <v>-0.1138312265336674</v>
      </c>
      <c r="EL170" s="10">
        <f t="shared" si="896"/>
        <v>-6.3628334216569549E-2</v>
      </c>
      <c r="EM170" s="10">
        <f t="shared" si="896"/>
        <v>-7.699742268041232E-2</v>
      </c>
      <c r="EN170" s="10">
        <f t="shared" si="896"/>
        <v>-0.11758020164986249</v>
      </c>
      <c r="EO170" s="10">
        <f t="shared" si="896"/>
        <v>-0.11601295165207148</v>
      </c>
      <c r="EP170" s="9">
        <f t="shared" si="896"/>
        <v>-9.3157714058575869E-2</v>
      </c>
      <c r="EQ170" s="10">
        <f t="shared" si="896"/>
        <v>-0.11402052520374284</v>
      </c>
      <c r="ER170" s="633">
        <v>-0.08</v>
      </c>
      <c r="ES170" s="633">
        <v>-4.4999999999999998E-2</v>
      </c>
      <c r="ET170" s="633">
        <v>-0.05</v>
      </c>
      <c r="EU170" s="1173">
        <f>EU169/EP169-1</f>
        <v>-7.3410671235878966E-2</v>
      </c>
      <c r="EV170" s="1949"/>
      <c r="EW170" s="1949"/>
      <c r="EX170" s="1949"/>
      <c r="EY170" s="1949"/>
      <c r="EZ170" s="1950">
        <v>-7.4999999999999997E-2</v>
      </c>
      <c r="FA170" s="1949"/>
      <c r="FB170" s="1949"/>
      <c r="FC170" s="1949"/>
      <c r="FD170" s="1949"/>
      <c r="FE170" s="1950">
        <v>-7.0000000000000007E-2</v>
      </c>
      <c r="FF170" s="82"/>
      <c r="FG170" s="490"/>
      <c r="FH170" s="1917">
        <f>+EQ169/EO169-1</f>
        <v>-2.2601456815816823E-2</v>
      </c>
      <c r="FI170" s="1917">
        <f>+ER169/EP169-1</f>
        <v>-5.4722958299296631E-2</v>
      </c>
      <c r="FJ170" s="1917">
        <f>+ES169/EQ169-1</f>
        <v>-2.11677029213867E-2</v>
      </c>
      <c r="FK170" s="1917">
        <f>+ET169/ER169-1</f>
        <v>-3.7873805970778496E-2</v>
      </c>
      <c r="FL170" s="1360"/>
      <c r="FM170" s="1551">
        <f t="shared" si="858"/>
        <v>-0.11402052520374284</v>
      </c>
      <c r="FN170" s="1418">
        <f t="shared" si="859"/>
        <v>-6.3628334216569549E-2</v>
      </c>
      <c r="FO170" s="1859">
        <v>-0.125</v>
      </c>
      <c r="FP170" s="1761"/>
      <c r="FQ170" s="738"/>
      <c r="FR170" s="1619"/>
      <c r="FS170" s="1615" t="s">
        <v>770</v>
      </c>
      <c r="FT170" s="1615"/>
      <c r="FU170" s="1615"/>
      <c r="FV170" s="1615"/>
      <c r="FW170" s="1615"/>
      <c r="FX170" s="354"/>
      <c r="FY170" s="354"/>
      <c r="FZ170" s="490"/>
      <c r="GA170"/>
      <c r="GB170"/>
      <c r="GC170"/>
      <c r="GD170"/>
      <c r="GE170"/>
      <c r="GF170"/>
      <c r="GG170"/>
      <c r="GH170"/>
      <c r="GI170"/>
      <c r="GJ170"/>
      <c r="GK170"/>
      <c r="GL170"/>
      <c r="GM170"/>
      <c r="GN170"/>
      <c r="GO170"/>
      <c r="GP170"/>
      <c r="GQ170"/>
      <c r="GR170"/>
      <c r="GS170"/>
      <c r="GT170"/>
      <c r="GU170"/>
      <c r="GV170"/>
      <c r="GW170"/>
      <c r="GX170"/>
      <c r="GY170"/>
      <c r="GZ170"/>
      <c r="HA170"/>
      <c r="HB170"/>
      <c r="HC170"/>
      <c r="HD170"/>
      <c r="HE170"/>
      <c r="HF170"/>
      <c r="HG170"/>
      <c r="HH170"/>
      <c r="HI170"/>
      <c r="HJ170"/>
      <c r="HK170"/>
      <c r="HL170"/>
      <c r="HM170"/>
      <c r="HN170"/>
      <c r="HO170"/>
      <c r="HP170"/>
      <c r="HQ170"/>
      <c r="HR170"/>
      <c r="HS170"/>
      <c r="HT170"/>
      <c r="HU170"/>
      <c r="HV170"/>
      <c r="HW170"/>
      <c r="HX170"/>
      <c r="HY170"/>
      <c r="HZ170"/>
      <c r="IA170"/>
      <c r="IB170"/>
      <c r="IC170"/>
      <c r="ID170"/>
      <c r="IE170"/>
      <c r="IF170"/>
      <c r="IG170"/>
      <c r="IH170"/>
      <c r="II170"/>
      <c r="IJ170"/>
      <c r="IK170"/>
      <c r="IL170"/>
      <c r="IM170"/>
      <c r="IN170"/>
      <c r="IO170"/>
      <c r="IP170"/>
      <c r="IQ170"/>
      <c r="IR170"/>
      <c r="IS170"/>
      <c r="IT170"/>
      <c r="IU170"/>
      <c r="IV170"/>
      <c r="IW170"/>
      <c r="IX170"/>
    </row>
    <row r="171" spans="1:258" s="104" customFormat="1" x14ac:dyDescent="0.2">
      <c r="A171" s="593" t="s">
        <v>37</v>
      </c>
      <c r="B171" s="1"/>
      <c r="C171" s="1"/>
      <c r="D171" s="1"/>
      <c r="E171" s="1"/>
      <c r="F171" s="2"/>
      <c r="G171" s="1"/>
      <c r="H171" s="1"/>
      <c r="I171" s="1"/>
      <c r="J171" s="1"/>
      <c r="K171" s="2"/>
      <c r="L171" s="1"/>
      <c r="M171" s="1"/>
      <c r="N171" s="1"/>
      <c r="O171" s="1"/>
      <c r="P171" s="2"/>
      <c r="Q171" s="1"/>
      <c r="R171" s="1"/>
      <c r="S171" s="1"/>
      <c r="T171" s="1"/>
      <c r="U171" s="2"/>
      <c r="V171" s="1"/>
      <c r="W171" s="1"/>
      <c r="X171" s="1"/>
      <c r="Y171" s="1"/>
      <c r="Z171" s="2"/>
      <c r="AA171" s="1"/>
      <c r="AB171" s="1"/>
      <c r="AC171" s="1"/>
      <c r="AD171" s="1"/>
      <c r="AE171" s="2"/>
      <c r="AF171" s="1"/>
      <c r="AG171" s="1"/>
      <c r="AH171" s="1"/>
      <c r="AI171" s="1"/>
      <c r="AJ171" s="2"/>
      <c r="AK171" s="1"/>
      <c r="AL171" s="1"/>
      <c r="AM171" s="1"/>
      <c r="AN171" s="1"/>
      <c r="AO171" s="2"/>
      <c r="AP171" s="1">
        <f t="shared" ref="AP171:BU171" si="897">AP23*1000/AP169</f>
        <v>49.453446276053569</v>
      </c>
      <c r="AQ171" s="1">
        <f t="shared" si="897"/>
        <v>49.998260324971298</v>
      </c>
      <c r="AR171" s="1">
        <f t="shared" si="897"/>
        <v>49.283528102392879</v>
      </c>
      <c r="AS171" s="1">
        <f t="shared" si="897"/>
        <v>50.745024486818799</v>
      </c>
      <c r="AT171" s="2">
        <f t="shared" si="897"/>
        <v>199.48577156055256</v>
      </c>
      <c r="AU171" s="1">
        <f t="shared" si="897"/>
        <v>48.790644411285008</v>
      </c>
      <c r="AV171" s="1">
        <f t="shared" si="897"/>
        <v>48.650282030620467</v>
      </c>
      <c r="AW171" s="1">
        <f t="shared" si="897"/>
        <v>46.707730821173293</v>
      </c>
      <c r="AX171" s="1">
        <f t="shared" si="897"/>
        <v>48.45493988672871</v>
      </c>
      <c r="AY171" s="2">
        <f t="shared" si="897"/>
        <v>192.55914664339127</v>
      </c>
      <c r="AZ171" s="1">
        <f t="shared" si="897"/>
        <v>50.78432042650627</v>
      </c>
      <c r="BA171" s="1">
        <f t="shared" si="897"/>
        <v>52.245768359322938</v>
      </c>
      <c r="BB171" s="1">
        <f t="shared" si="897"/>
        <v>49.722259856388021</v>
      </c>
      <c r="BC171" s="1">
        <f t="shared" si="897"/>
        <v>49.898525233391965</v>
      </c>
      <c r="BD171" s="2">
        <f t="shared" si="897"/>
        <v>202.29394665484892</v>
      </c>
      <c r="BE171" s="1">
        <f t="shared" si="897"/>
        <v>49.728070647784179</v>
      </c>
      <c r="BF171" s="1">
        <f t="shared" si="897"/>
        <v>49.369273668835483</v>
      </c>
      <c r="BG171" s="1">
        <f t="shared" si="897"/>
        <v>48.088095489595439</v>
      </c>
      <c r="BH171" s="1">
        <f t="shared" si="897"/>
        <v>46.71605195889196</v>
      </c>
      <c r="BI171" s="2">
        <f t="shared" si="897"/>
        <v>193.85045330225228</v>
      </c>
      <c r="BJ171" s="1">
        <f t="shared" si="897"/>
        <v>47.180606189627184</v>
      </c>
      <c r="BK171" s="1">
        <f t="shared" si="897"/>
        <v>47.844724300433981</v>
      </c>
      <c r="BL171" s="1">
        <f t="shared" si="897"/>
        <v>48.137193715572678</v>
      </c>
      <c r="BM171" s="1">
        <f t="shared" si="897"/>
        <v>49.004171155492941</v>
      </c>
      <c r="BN171" s="2">
        <f t="shared" si="897"/>
        <v>192.12912977758583</v>
      </c>
      <c r="BO171" s="1">
        <f t="shared" si="897"/>
        <v>48.643538545277451</v>
      </c>
      <c r="BP171" s="1">
        <f t="shared" si="897"/>
        <v>50.505050505050505</v>
      </c>
      <c r="BQ171" s="1">
        <f t="shared" si="897"/>
        <v>50.444029954622643</v>
      </c>
      <c r="BR171" s="1">
        <f t="shared" si="897"/>
        <v>50.184188155284787</v>
      </c>
      <c r="BS171" s="2">
        <f t="shared" si="897"/>
        <v>199.80839133252556</v>
      </c>
      <c r="BT171" s="1">
        <f t="shared" si="897"/>
        <v>50.599201065246341</v>
      </c>
      <c r="BU171" s="1">
        <f t="shared" si="897"/>
        <v>52.019377006703095</v>
      </c>
      <c r="BV171" s="1">
        <f t="shared" ref="BV171:DA171" si="898">BV23*1000/BV169</f>
        <v>51.734424273416856</v>
      </c>
      <c r="BW171" s="1">
        <f t="shared" si="898"/>
        <v>54.776434690763992</v>
      </c>
      <c r="BX171" s="2">
        <f t="shared" si="898"/>
        <v>209.07883876987117</v>
      </c>
      <c r="BY171" s="1">
        <f t="shared" si="898"/>
        <v>53.892746343625348</v>
      </c>
      <c r="BZ171" s="1">
        <f t="shared" si="898"/>
        <v>57.287126927354151</v>
      </c>
      <c r="CA171" s="1">
        <f t="shared" si="898"/>
        <v>54.725618938618155</v>
      </c>
      <c r="CB171" s="1">
        <f t="shared" si="898"/>
        <v>59.033669732964185</v>
      </c>
      <c r="CC171" s="2">
        <f t="shared" si="898"/>
        <v>224.92886960547835</v>
      </c>
      <c r="CD171" s="1">
        <f t="shared" si="898"/>
        <v>56.118567211418487</v>
      </c>
      <c r="CE171" s="1">
        <f t="shared" si="898"/>
        <v>55.49287410926366</v>
      </c>
      <c r="CF171" s="1">
        <f t="shared" si="898"/>
        <v>53.514165514400872</v>
      </c>
      <c r="CG171" s="1">
        <f t="shared" si="898"/>
        <v>53.231048516967761</v>
      </c>
      <c r="CH171" s="2">
        <f t="shared" si="898"/>
        <v>218.29035587267882</v>
      </c>
      <c r="CI171" s="1">
        <f t="shared" si="898"/>
        <v>53.34501898919077</v>
      </c>
      <c r="CJ171" s="1">
        <f t="shared" si="898"/>
        <v>53.862549686041824</v>
      </c>
      <c r="CK171" s="1">
        <f t="shared" si="898"/>
        <v>53.328726099976961</v>
      </c>
      <c r="CL171" s="1">
        <f t="shared" si="898"/>
        <v>52.209530402676819</v>
      </c>
      <c r="CM171" s="2">
        <f t="shared" si="898"/>
        <v>212.74504134620946</v>
      </c>
      <c r="CN171" s="1">
        <f t="shared" si="898"/>
        <v>51.287296531166895</v>
      </c>
      <c r="CO171" s="1">
        <f t="shared" si="898"/>
        <v>53.081147040878584</v>
      </c>
      <c r="CP171" s="1">
        <f t="shared" si="898"/>
        <v>51.822406687516441</v>
      </c>
      <c r="CQ171" s="1">
        <f t="shared" si="898"/>
        <v>52.615853476351248</v>
      </c>
      <c r="CR171" s="2">
        <f t="shared" si="898"/>
        <v>208.80281690140845</v>
      </c>
      <c r="CS171" s="1">
        <f t="shared" si="898"/>
        <v>52.256748942386707</v>
      </c>
      <c r="CT171" s="1">
        <f t="shared" si="898"/>
        <v>53.654555347318784</v>
      </c>
      <c r="CU171" s="1">
        <f t="shared" si="898"/>
        <v>51.812851501735075</v>
      </c>
      <c r="CV171" s="1">
        <f t="shared" si="898"/>
        <v>48.047237958217188</v>
      </c>
      <c r="CW171" s="2">
        <f t="shared" si="898"/>
        <v>205.74097792511114</v>
      </c>
      <c r="CX171" s="1">
        <f t="shared" si="898"/>
        <v>45.577182501445364</v>
      </c>
      <c r="CY171" s="1">
        <f t="shared" si="898"/>
        <v>47.225383225115472</v>
      </c>
      <c r="CZ171" s="1">
        <f t="shared" si="898"/>
        <v>49.02452899641937</v>
      </c>
      <c r="DA171" s="1">
        <f t="shared" si="898"/>
        <v>50.922935717442293</v>
      </c>
      <c r="DB171" s="2">
        <f t="shared" ref="DB171:ED171" si="899">DB23*1000/DB169</f>
        <v>192.59924197087571</v>
      </c>
      <c r="DC171" s="1">
        <f t="shared" si="899"/>
        <v>50.699419993176392</v>
      </c>
      <c r="DD171" s="1">
        <f t="shared" si="899"/>
        <v>53.174497537601489</v>
      </c>
      <c r="DE171" s="1">
        <f t="shared" si="899"/>
        <v>53.244647407260331</v>
      </c>
      <c r="DF171" s="1">
        <f t="shared" si="899"/>
        <v>56.211149154007245</v>
      </c>
      <c r="DG171" s="2">
        <f t="shared" si="899"/>
        <v>213.3975130365022</v>
      </c>
      <c r="DH171" s="1">
        <f t="shared" si="899"/>
        <v>52.549925730318535</v>
      </c>
      <c r="DI171" s="1">
        <f t="shared" si="899"/>
        <v>53.131052291801161</v>
      </c>
      <c r="DJ171" s="1">
        <f t="shared" si="899"/>
        <v>51.130621526023241</v>
      </c>
      <c r="DK171" s="1">
        <f t="shared" si="899"/>
        <v>50.3749338809546</v>
      </c>
      <c r="DL171" s="2">
        <f t="shared" si="899"/>
        <v>207.10276787284735</v>
      </c>
      <c r="DM171" s="1">
        <f t="shared" si="899"/>
        <v>49.455129194579072</v>
      </c>
      <c r="DN171" s="1">
        <f t="shared" si="899"/>
        <v>50.582937511566222</v>
      </c>
      <c r="DO171" s="1">
        <f t="shared" si="899"/>
        <v>49.683269159110672</v>
      </c>
      <c r="DP171" s="1">
        <f t="shared" si="899"/>
        <v>49.804532307790105</v>
      </c>
      <c r="DQ171" s="2">
        <f t="shared" si="899"/>
        <v>199.52989523824348</v>
      </c>
      <c r="DR171" s="1">
        <f t="shared" si="899"/>
        <v>50.809093840696548</v>
      </c>
      <c r="DS171" s="1">
        <f t="shared" si="899"/>
        <v>52.927639989772437</v>
      </c>
      <c r="DT171" s="1">
        <f t="shared" si="899"/>
        <v>52.560862471608175</v>
      </c>
      <c r="DU171" s="1">
        <f t="shared" si="899"/>
        <v>52.842426554750098</v>
      </c>
      <c r="DV171" s="2">
        <f t="shared" si="899"/>
        <v>209.15582078090378</v>
      </c>
      <c r="DW171" s="1">
        <f t="shared" si="899"/>
        <v>51.964715316760227</v>
      </c>
      <c r="DX171" s="1">
        <f t="shared" si="899"/>
        <v>56.755895474824726</v>
      </c>
      <c r="DY171" s="1">
        <f t="shared" si="899"/>
        <v>55.650522317188987</v>
      </c>
      <c r="DZ171" s="1">
        <f t="shared" si="899"/>
        <v>55.082469074097219</v>
      </c>
      <c r="EA171" s="2">
        <f t="shared" si="899"/>
        <v>219.48207392376167</v>
      </c>
      <c r="EB171" s="1">
        <f t="shared" si="899"/>
        <v>50.77584868155418</v>
      </c>
      <c r="EC171" s="1">
        <f t="shared" si="899"/>
        <v>54.879570697616373</v>
      </c>
      <c r="ED171" s="1">
        <f t="shared" si="899"/>
        <v>55.424261063809126</v>
      </c>
      <c r="EE171" s="1">
        <f t="shared" ref="EE171:EK171" si="900">EE23*1000/EE169</f>
        <v>55.583543240973974</v>
      </c>
      <c r="EF171" s="2">
        <f t="shared" si="900"/>
        <v>216.49724208048801</v>
      </c>
      <c r="EG171" s="1">
        <f t="shared" si="900"/>
        <v>54.795972443031268</v>
      </c>
      <c r="EH171" s="1">
        <f t="shared" si="900"/>
        <v>57.094788087056131</v>
      </c>
      <c r="EI171" s="1">
        <f t="shared" si="900"/>
        <v>57.708524289642533</v>
      </c>
      <c r="EJ171" s="1">
        <f t="shared" si="900"/>
        <v>63.691220840385604</v>
      </c>
      <c r="EK171" s="2">
        <f t="shared" si="900"/>
        <v>233.11109906589337</v>
      </c>
      <c r="EL171" s="1">
        <f t="shared" ref="EL171:EP171" si="901">EL23*1000/EL169</f>
        <v>60.066405070932689</v>
      </c>
      <c r="EM171" s="1">
        <f t="shared" si="901"/>
        <v>62.827225130890049</v>
      </c>
      <c r="EN171" s="1">
        <f t="shared" si="901"/>
        <v>65.938175170350675</v>
      </c>
      <c r="EO171" s="1">
        <f t="shared" si="901"/>
        <v>66.638917793964623</v>
      </c>
      <c r="EP171" s="2">
        <f t="shared" si="901"/>
        <v>255.02580143850491</v>
      </c>
      <c r="EQ171" s="1">
        <f t="shared" ref="EQ171" si="902">EQ23*1000/EQ169</f>
        <v>65.241461545013195</v>
      </c>
      <c r="ER171" s="1">
        <f t="shared" ref="ER171" si="903">ER23*1000/ER169</f>
        <v>66.839079006163004</v>
      </c>
      <c r="ES171" s="1">
        <f t="shared" ref="ES171:EU171" si="904">ES23*1000/ES169</f>
        <v>69.529439711393636</v>
      </c>
      <c r="ET171" s="1">
        <f t="shared" si="904"/>
        <v>72.098362451393825</v>
      </c>
      <c r="EU171" s="2">
        <f t="shared" si="904"/>
        <v>273.56444897045992</v>
      </c>
      <c r="EV171" s="1301"/>
      <c r="EW171" s="1301"/>
      <c r="EX171" s="1301"/>
      <c r="EY171" s="1301"/>
      <c r="EZ171" s="1300">
        <f>EZ23*1000/EZ169</f>
        <v>299.44971561962495</v>
      </c>
      <c r="FA171" s="1301"/>
      <c r="FB171" s="1301"/>
      <c r="FC171" s="1301"/>
      <c r="FD171" s="1301"/>
      <c r="FE171" s="1300">
        <f>FE23*1000/FE169</f>
        <v>327.27516926117926</v>
      </c>
      <c r="FG171" s="466"/>
      <c r="FH171" s="781">
        <f>AVERAGE(24025,25000-2500)</f>
        <v>23262.5</v>
      </c>
      <c r="FI171" s="781">
        <f>23000-2500</f>
        <v>20500</v>
      </c>
      <c r="FJ171" s="781">
        <f>21000-2500</f>
        <v>18500</v>
      </c>
      <c r="FL171" s="1362"/>
      <c r="FM171" s="1574">
        <f t="shared" si="858"/>
        <v>65.241461545013195</v>
      </c>
      <c r="FN171" s="1459">
        <f t="shared" si="859"/>
        <v>60.066405070932689</v>
      </c>
      <c r="FO171" s="1860">
        <v>66.212323746280887</v>
      </c>
      <c r="FP171" s="1733">
        <f>+FM171/FN171-1</f>
        <v>8.6155588435320229E-2</v>
      </c>
      <c r="FQ171" s="1519">
        <f>+FM171/FO171-1</f>
        <v>-1.4662862535801402E-2</v>
      </c>
      <c r="FR171" s="1615"/>
      <c r="FS171" s="1619"/>
      <c r="FT171" s="1615"/>
      <c r="FU171" s="1986">
        <v>2016</v>
      </c>
      <c r="FV171" s="1986">
        <v>2017</v>
      </c>
      <c r="FW171" s="1986">
        <f>+FV171+1</f>
        <v>2018</v>
      </c>
      <c r="FX171" s="1986">
        <f t="shared" ref="FX171:FY171" si="905">+FW171+1</f>
        <v>2019</v>
      </c>
      <c r="FY171" s="1986">
        <f t="shared" si="905"/>
        <v>2020</v>
      </c>
      <c r="FZ171" s="466"/>
      <c r="GA171"/>
      <c r="GB171"/>
      <c r="GC171"/>
      <c r="GD171"/>
      <c r="GE171"/>
      <c r="GF171"/>
      <c r="GG171"/>
      <c r="GH171"/>
      <c r="GI171"/>
      <c r="GJ171"/>
      <c r="GK171"/>
      <c r="GL171"/>
      <c r="GM171"/>
      <c r="GN171"/>
      <c r="GO171"/>
      <c r="GP171"/>
      <c r="GQ171"/>
      <c r="GR171"/>
      <c r="GS171"/>
      <c r="GT171"/>
      <c r="GU171"/>
      <c r="GV171"/>
      <c r="GW171"/>
      <c r="GX171"/>
      <c r="GY171"/>
      <c r="GZ171"/>
      <c r="HA171"/>
      <c r="HB171"/>
      <c r="HC171"/>
      <c r="HD171"/>
      <c r="HE171"/>
      <c r="HF171"/>
      <c r="HG171"/>
      <c r="HH171"/>
      <c r="HI171"/>
      <c r="HJ171"/>
      <c r="HK171"/>
      <c r="HL171"/>
      <c r="HM171"/>
      <c r="HN171"/>
      <c r="HO171"/>
      <c r="HP171"/>
      <c r="HQ171"/>
      <c r="HR171"/>
      <c r="HS171"/>
      <c r="HT171"/>
      <c r="HU171"/>
      <c r="HV171"/>
      <c r="HW171"/>
      <c r="HX171"/>
      <c r="HY171"/>
      <c r="HZ171"/>
      <c r="IA171"/>
      <c r="IB171"/>
      <c r="IC171"/>
      <c r="ID171"/>
      <c r="IE171"/>
      <c r="IF171"/>
      <c r="IG171"/>
      <c r="IH171"/>
      <c r="II171"/>
      <c r="IJ171"/>
      <c r="IK171"/>
      <c r="IL171"/>
      <c r="IM171"/>
      <c r="IN171"/>
      <c r="IO171"/>
      <c r="IP171"/>
      <c r="IQ171"/>
      <c r="IR171"/>
      <c r="IS171"/>
      <c r="IT171"/>
      <c r="IU171"/>
      <c r="IV171"/>
      <c r="IW171"/>
      <c r="IX171"/>
    </row>
    <row r="172" spans="1:258" s="84" customFormat="1" x14ac:dyDescent="0.2">
      <c r="A172" s="559" t="s">
        <v>465</v>
      </c>
      <c r="B172" s="10"/>
      <c r="C172" s="10"/>
      <c r="D172" s="10"/>
      <c r="E172" s="10"/>
      <c r="F172" s="9"/>
      <c r="G172" s="10"/>
      <c r="H172" s="10"/>
      <c r="I172" s="10"/>
      <c r="J172" s="10"/>
      <c r="K172" s="9"/>
      <c r="L172" s="10"/>
      <c r="M172" s="10"/>
      <c r="N172" s="10"/>
      <c r="O172" s="10"/>
      <c r="P172" s="9"/>
      <c r="Q172" s="10"/>
      <c r="R172" s="10"/>
      <c r="S172" s="10"/>
      <c r="T172" s="10"/>
      <c r="U172" s="9"/>
      <c r="V172" s="10"/>
      <c r="W172" s="10"/>
      <c r="X172" s="10"/>
      <c r="Y172" s="10"/>
      <c r="Z172" s="9"/>
      <c r="AA172" s="10"/>
      <c r="AB172" s="10"/>
      <c r="AC172" s="10"/>
      <c r="AD172" s="10"/>
      <c r="AE172" s="9"/>
      <c r="AF172" s="10"/>
      <c r="AG172" s="10"/>
      <c r="AH172" s="10"/>
      <c r="AI172" s="10"/>
      <c r="AJ172" s="9"/>
      <c r="AK172" s="10"/>
      <c r="AL172" s="10"/>
      <c r="AM172" s="10"/>
      <c r="AN172" s="10"/>
      <c r="AO172" s="9"/>
      <c r="AP172" s="10"/>
      <c r="AQ172" s="10"/>
      <c r="AR172" s="10"/>
      <c r="AS172" s="10"/>
      <c r="AT172" s="9"/>
      <c r="AU172" s="10">
        <f t="shared" ref="AU172:BZ172" si="906">AU171/AP171-1</f>
        <v>-1.3402541474435203E-2</v>
      </c>
      <c r="AV172" s="10">
        <f t="shared" si="906"/>
        <v>-2.6960503937325853E-2</v>
      </c>
      <c r="AW172" s="10">
        <f t="shared" si="906"/>
        <v>-5.2264871862826801E-2</v>
      </c>
      <c r="AX172" s="10">
        <f t="shared" si="906"/>
        <v>-4.5129244162350313E-2</v>
      </c>
      <c r="AY172" s="9">
        <f t="shared" si="906"/>
        <v>-3.472240081573319E-2</v>
      </c>
      <c r="AZ172" s="10">
        <f t="shared" si="906"/>
        <v>4.0861850448528525E-2</v>
      </c>
      <c r="BA172" s="10">
        <f t="shared" si="906"/>
        <v>7.3904737621859562E-2</v>
      </c>
      <c r="BB172" s="10">
        <f t="shared" si="906"/>
        <v>6.4540258801187633E-2</v>
      </c>
      <c r="BC172" s="10">
        <f t="shared" si="906"/>
        <v>2.9792325612989501E-2</v>
      </c>
      <c r="BD172" s="9">
        <f t="shared" si="906"/>
        <v>5.0554856422821315E-2</v>
      </c>
      <c r="BE172" s="10">
        <f t="shared" si="906"/>
        <v>-2.0798738072131284E-2</v>
      </c>
      <c r="BF172" s="10">
        <f t="shared" si="906"/>
        <v>-5.5056988935529017E-2</v>
      </c>
      <c r="BG172" s="10">
        <f t="shared" si="906"/>
        <v>-3.2865850657482376E-2</v>
      </c>
      <c r="BH172" s="10">
        <f t="shared" si="906"/>
        <v>-6.377890447893042E-2</v>
      </c>
      <c r="BI172" s="9">
        <f t="shared" si="906"/>
        <v>-4.1738734609804262E-2</v>
      </c>
      <c r="BJ172" s="10">
        <f>BJ171/BE171-1</f>
        <v>-5.1227896537556661E-2</v>
      </c>
      <c r="BK172" s="10">
        <f>BK171/BF171-1</f>
        <v>-3.0880530643979887E-2</v>
      </c>
      <c r="BL172" s="10">
        <f>BL171/BG171-1</f>
        <v>1.0210058326776128E-3</v>
      </c>
      <c r="BM172" s="10">
        <f>BM171/BH171-1</f>
        <v>4.8979292997927582E-2</v>
      </c>
      <c r="BN172" s="9">
        <f>BN171/BI171-1</f>
        <v>-8.8796466314295941E-3</v>
      </c>
      <c r="BO172" s="10">
        <f t="shared" si="906"/>
        <v>3.1007069933999709E-2</v>
      </c>
      <c r="BP172" s="10">
        <f t="shared" si="906"/>
        <v>5.5603334401331139E-2</v>
      </c>
      <c r="BQ172" s="10">
        <f t="shared" si="906"/>
        <v>4.7922117202766845E-2</v>
      </c>
      <c r="BR172" s="10">
        <f t="shared" si="906"/>
        <v>2.4079929768582087E-2</v>
      </c>
      <c r="BS172" s="9">
        <f t="shared" si="906"/>
        <v>3.9969272560748337E-2</v>
      </c>
      <c r="BT172" s="10">
        <f t="shared" si="906"/>
        <v>4.020395264108001E-2</v>
      </c>
      <c r="BU172" s="10">
        <f t="shared" si="906"/>
        <v>2.9983664732721182E-2</v>
      </c>
      <c r="BV172" s="10">
        <f t="shared" si="906"/>
        <v>2.5580714307619656E-2</v>
      </c>
      <c r="BW172" s="10">
        <f t="shared" si="906"/>
        <v>9.1507837513868484E-2</v>
      </c>
      <c r="BX172" s="9">
        <f t="shared" si="906"/>
        <v>4.639668722379886E-2</v>
      </c>
      <c r="BY172" s="10">
        <f t="shared" si="906"/>
        <v>6.5090855370069312E-2</v>
      </c>
      <c r="BZ172" s="10">
        <f t="shared" si="906"/>
        <v>0.10126514817684695</v>
      </c>
      <c r="CA172" s="10">
        <f t="shared" ref="CA172:DU172" si="907">CA171/BV171-1</f>
        <v>5.7818265250093592E-2</v>
      </c>
      <c r="CB172" s="10">
        <f t="shared" si="907"/>
        <v>7.7720192382619846E-2</v>
      </c>
      <c r="CC172" s="9">
        <f t="shared" si="907"/>
        <v>7.5808871566638958E-2</v>
      </c>
      <c r="CD172" s="10">
        <f t="shared" si="907"/>
        <v>4.1300936003541011E-2</v>
      </c>
      <c r="CE172" s="10">
        <f t="shared" si="907"/>
        <v>-3.132034916615356E-2</v>
      </c>
      <c r="CF172" s="10">
        <f t="shared" si="907"/>
        <v>-2.2136861084679271E-2</v>
      </c>
      <c r="CG172" s="10">
        <f t="shared" si="907"/>
        <v>-9.8293418692151246E-2</v>
      </c>
      <c r="CH172" s="9">
        <f t="shared" si="907"/>
        <v>-2.9513835838162472E-2</v>
      </c>
      <c r="CI172" s="10">
        <f t="shared" si="907"/>
        <v>-4.9423004899230238E-2</v>
      </c>
      <c r="CJ172" s="10">
        <f t="shared" si="907"/>
        <v>-2.9378986931038797E-2</v>
      </c>
      <c r="CK172" s="10">
        <f t="shared" si="907"/>
        <v>-3.4652397667307433E-3</v>
      </c>
      <c r="CL172" s="10">
        <f t="shared" si="907"/>
        <v>-1.9190268513409547E-2</v>
      </c>
      <c r="CM172" s="9">
        <f t="shared" si="907"/>
        <v>-2.5403387631580676E-2</v>
      </c>
      <c r="CN172" s="10">
        <f t="shared" si="907"/>
        <v>-3.8573844325387352E-2</v>
      </c>
      <c r="CO172" s="10">
        <f t="shared" si="907"/>
        <v>-1.4507346007902377E-2</v>
      </c>
      <c r="CP172" s="10">
        <f t="shared" si="907"/>
        <v>-2.8245929025879524E-2</v>
      </c>
      <c r="CQ172" s="10">
        <f t="shared" si="907"/>
        <v>7.78254603212436E-3</v>
      </c>
      <c r="CR172" s="9">
        <f t="shared" si="907"/>
        <v>-1.8530276521865674E-2</v>
      </c>
      <c r="CS172" s="10">
        <f t="shared" si="907"/>
        <v>1.8902388637909162E-2</v>
      </c>
      <c r="CT172" s="10">
        <f t="shared" si="907"/>
        <v>1.080248522132754E-2</v>
      </c>
      <c r="CU172" s="10">
        <f t="shared" si="907"/>
        <v>-1.8438328885383992E-4</v>
      </c>
      <c r="CV172" s="10">
        <f t="shared" si="907"/>
        <v>-8.6829638146751154E-2</v>
      </c>
      <c r="CW172" s="9">
        <f t="shared" si="907"/>
        <v>-1.4663781943818455E-2</v>
      </c>
      <c r="CX172" s="10">
        <f t="shared" si="907"/>
        <v>-0.12782208185789734</v>
      </c>
      <c r="CY172" s="10">
        <f t="shared" si="907"/>
        <v>-0.1198252800826648</v>
      </c>
      <c r="CZ172" s="10">
        <f t="shared" si="907"/>
        <v>-5.3815268306982356E-2</v>
      </c>
      <c r="DA172" s="10">
        <f t="shared" si="907"/>
        <v>5.9851468709312128E-2</v>
      </c>
      <c r="DB172" s="9">
        <f t="shared" si="907"/>
        <v>-6.3875150622735744E-2</v>
      </c>
      <c r="DC172" s="10">
        <f t="shared" si="907"/>
        <v>0.11238600568537982</v>
      </c>
      <c r="DD172" s="10">
        <f t="shared" si="907"/>
        <v>0.12597281178487396</v>
      </c>
      <c r="DE172" s="10">
        <f t="shared" si="907"/>
        <v>8.6081773700450892E-2</v>
      </c>
      <c r="DF172" s="10">
        <f t="shared" si="907"/>
        <v>0.10384737961510759</v>
      </c>
      <c r="DG172" s="9">
        <f>DG171/DB171-1</f>
        <v>0.10798729451267275</v>
      </c>
      <c r="DH172" s="10">
        <f t="shared" si="907"/>
        <v>3.6499544519270621E-2</v>
      </c>
      <c r="DI172" s="10">
        <f t="shared" si="907"/>
        <v>-8.1703161876811592E-4</v>
      </c>
      <c r="DJ172" s="10">
        <f t="shared" si="907"/>
        <v>-3.9704007523370777E-2</v>
      </c>
      <c r="DK172" s="10">
        <f t="shared" si="907"/>
        <v>-0.10382664935496322</v>
      </c>
      <c r="DL172" s="9">
        <f>DL171/DG171-1</f>
        <v>-2.9497743783818642E-2</v>
      </c>
      <c r="DM172" s="10">
        <f t="shared" si="907"/>
        <v>-5.8892500659690317E-2</v>
      </c>
      <c r="DN172" s="10">
        <f t="shared" si="907"/>
        <v>-4.7959049751930993E-2</v>
      </c>
      <c r="DO172" s="10">
        <f t="shared" si="907"/>
        <v>-2.8306958212427125E-2</v>
      </c>
      <c r="DP172" s="10">
        <f t="shared" si="907"/>
        <v>-1.1323123014165382E-2</v>
      </c>
      <c r="DQ172" s="9">
        <f t="shared" ref="DQ172:DV172" si="908">DQ171/DL171-1</f>
        <v>-3.6565772212437508E-2</v>
      </c>
      <c r="DR172" s="10">
        <f t="shared" si="907"/>
        <v>2.7377638440501562E-2</v>
      </c>
      <c r="DS172" s="10">
        <f t="shared" si="907"/>
        <v>4.6353624236830537E-2</v>
      </c>
      <c r="DT172" s="10">
        <f t="shared" si="908"/>
        <v>5.7918759397293407E-2</v>
      </c>
      <c r="DU172" s="10">
        <f t="shared" si="907"/>
        <v>6.0996341220231232E-2</v>
      </c>
      <c r="DV172" s="9">
        <f t="shared" si="908"/>
        <v>4.8243024090032671E-2</v>
      </c>
      <c r="DW172" s="10">
        <f t="shared" ref="DW172:ED172" si="909">DW171/DR171-1</f>
        <v>2.2744382721859635E-2</v>
      </c>
      <c r="DX172" s="10">
        <f t="shared" si="909"/>
        <v>7.2329986483282704E-2</v>
      </c>
      <c r="DY172" s="10">
        <f t="shared" si="909"/>
        <v>5.8782518023743568E-2</v>
      </c>
      <c r="DZ172" s="10">
        <f t="shared" si="909"/>
        <v>4.2390985149522109E-2</v>
      </c>
      <c r="EA172" s="9">
        <f t="shared" si="909"/>
        <v>4.9371100953842895E-2</v>
      </c>
      <c r="EB172" s="10">
        <f t="shared" si="909"/>
        <v>-2.2878344044783061E-2</v>
      </c>
      <c r="EC172" s="10">
        <f t="shared" si="909"/>
        <v>-3.3059557276135965E-2</v>
      </c>
      <c r="ED172" s="10">
        <f t="shared" si="909"/>
        <v>-4.0657525564674613E-3</v>
      </c>
      <c r="EE172" s="10">
        <f t="shared" ref="EE172:EI172" si="910">EE171/DZ171-1</f>
        <v>9.0967993138200143E-3</v>
      </c>
      <c r="EF172" s="9">
        <f t="shared" si="910"/>
        <v>-1.3599433383841952E-2</v>
      </c>
      <c r="EG172" s="10">
        <f t="shared" si="910"/>
        <v>7.9173935362256476E-2</v>
      </c>
      <c r="EH172" s="10">
        <f t="shared" si="910"/>
        <v>4.0365064108199622E-2</v>
      </c>
      <c r="EI172" s="10">
        <f t="shared" si="910"/>
        <v>4.1214139475916012E-2</v>
      </c>
      <c r="EJ172" s="10">
        <f t="shared" ref="EJ172" si="911">EJ171/EE171-1</f>
        <v>0.14586471330663531</v>
      </c>
      <c r="EK172" s="9">
        <f t="shared" ref="EK172:EQ172" si="912">EK171/EF171-1</f>
        <v>7.6739347003915936E-2</v>
      </c>
      <c r="EL172" s="10">
        <f t="shared" si="912"/>
        <v>9.6182846894100393E-2</v>
      </c>
      <c r="EM172" s="10">
        <f t="shared" si="912"/>
        <v>0.10040210737087429</v>
      </c>
      <c r="EN172" s="10">
        <f t="shared" si="912"/>
        <v>0.14260719680515543</v>
      </c>
      <c r="EO172" s="10">
        <f t="shared" si="912"/>
        <v>4.6281055923957481E-2</v>
      </c>
      <c r="EP172" s="9">
        <f t="shared" si="912"/>
        <v>9.4009690917449262E-2</v>
      </c>
      <c r="EQ172" s="10">
        <f t="shared" si="912"/>
        <v>8.6155588435320229E-2</v>
      </c>
      <c r="ER172" s="10">
        <f t="shared" ref="ER172" si="913">ER171/EM171-1</f>
        <v>6.3855340848094633E-2</v>
      </c>
      <c r="ES172" s="10">
        <f t="shared" ref="ES172:EU172" si="914">ES171/EN171-1</f>
        <v>5.4464117815892887E-2</v>
      </c>
      <c r="ET172" s="10">
        <f t="shared" si="914"/>
        <v>8.1925770077911686E-2</v>
      </c>
      <c r="EU172" s="9">
        <f t="shared" si="914"/>
        <v>7.2693223302840115E-2</v>
      </c>
      <c r="EV172" s="840"/>
      <c r="EW172" s="840"/>
      <c r="EX172" s="840"/>
      <c r="EY172" s="840"/>
      <c r="EZ172" s="1173">
        <f>EZ171/EU171-1</f>
        <v>9.4622187738875985E-2</v>
      </c>
      <c r="FA172" s="840"/>
      <c r="FB172" s="840"/>
      <c r="FC172" s="840"/>
      <c r="FD172" s="840"/>
      <c r="FE172" s="1173">
        <f>FE171/EZ171-1</f>
        <v>9.2921957143881517E-2</v>
      </c>
      <c r="FF172" s="83"/>
      <c r="FG172" s="493"/>
      <c r="FH172" s="776"/>
      <c r="FI172" s="780"/>
      <c r="FJ172" s="780"/>
      <c r="FK172" s="186"/>
      <c r="FL172" s="1348"/>
      <c r="FM172" s="1141">
        <f t="shared" si="858"/>
        <v>8.6155588435320229E-2</v>
      </c>
      <c r="FN172" s="1418">
        <f t="shared" si="859"/>
        <v>9.6182846894100393E-2</v>
      </c>
      <c r="FO172" s="1750">
        <v>0.10231873653984214</v>
      </c>
      <c r="FP172" s="1751"/>
      <c r="FQ172" s="1503">
        <f>+(FM172-FO172)*10000</f>
        <v>-161.63148104521906</v>
      </c>
      <c r="FR172" s="1619"/>
      <c r="FS172" s="1619"/>
      <c r="FT172" s="1720" t="s">
        <v>585</v>
      </c>
      <c r="FU172" s="1985">
        <v>133</v>
      </c>
      <c r="FV172" s="1646">
        <v>123</v>
      </c>
      <c r="FW172" s="1646"/>
      <c r="FX172" s="354"/>
      <c r="FY172" s="354"/>
      <c r="FZ172" s="493"/>
      <c r="GA172"/>
      <c r="GB172"/>
      <c r="GC172"/>
      <c r="GD172"/>
      <c r="GE172"/>
      <c r="GF172"/>
      <c r="GG172"/>
      <c r="GH172"/>
      <c r="GI172"/>
      <c r="GJ172"/>
      <c r="GK172"/>
      <c r="GL172"/>
      <c r="GM172"/>
      <c r="GN172"/>
      <c r="GO172"/>
      <c r="GP172"/>
      <c r="GQ172"/>
      <c r="GR172"/>
      <c r="GS172"/>
      <c r="GT172"/>
      <c r="GU172"/>
      <c r="GV172"/>
      <c r="GW172"/>
      <c r="GX172"/>
      <c r="GY172"/>
      <c r="GZ172"/>
      <c r="HA172"/>
      <c r="HB172"/>
      <c r="HC172"/>
      <c r="HD172"/>
      <c r="HE172"/>
      <c r="HF172"/>
      <c r="HG172"/>
      <c r="HH172"/>
      <c r="HI172"/>
      <c r="HJ172"/>
      <c r="HK172"/>
      <c r="HL172"/>
      <c r="HM172"/>
      <c r="HN172"/>
      <c r="HO172"/>
      <c r="HP172"/>
      <c r="HQ172"/>
      <c r="HR172"/>
      <c r="HS172"/>
      <c r="HT172"/>
      <c r="HU172"/>
      <c r="HV172"/>
      <c r="HW172"/>
      <c r="HX172"/>
      <c r="HY172"/>
      <c r="HZ172"/>
      <c r="IA172"/>
      <c r="IB172"/>
      <c r="IC172"/>
      <c r="ID172"/>
      <c r="IE172"/>
      <c r="IF172"/>
      <c r="IG172"/>
      <c r="IH172"/>
      <c r="II172"/>
      <c r="IJ172"/>
      <c r="IK172"/>
      <c r="IL172"/>
      <c r="IM172"/>
      <c r="IN172"/>
      <c r="IO172"/>
      <c r="IP172"/>
      <c r="IQ172"/>
      <c r="IR172"/>
      <c r="IS172"/>
      <c r="IT172"/>
      <c r="IU172"/>
      <c r="IV172"/>
      <c r="IW172"/>
      <c r="IX172"/>
    </row>
    <row r="173" spans="1:258" s="55" customFormat="1" x14ac:dyDescent="0.2">
      <c r="A173" s="383" t="s">
        <v>336</v>
      </c>
      <c r="F173" s="54"/>
      <c r="K173" s="54"/>
      <c r="P173" s="54"/>
      <c r="U173" s="54"/>
      <c r="Z173" s="54"/>
      <c r="AB173" s="55" t="s">
        <v>516</v>
      </c>
      <c r="AC173" s="55" t="s">
        <v>516</v>
      </c>
      <c r="AD173" s="55" t="s">
        <v>516</v>
      </c>
      <c r="AE173" s="54" t="s">
        <v>516</v>
      </c>
      <c r="AF173" s="55" t="s">
        <v>516</v>
      </c>
      <c r="AG173" s="55" t="s">
        <v>516</v>
      </c>
      <c r="AH173" s="55" t="s">
        <v>516</v>
      </c>
      <c r="AI173" s="55" t="s">
        <v>516</v>
      </c>
      <c r="AJ173" s="54" t="s">
        <v>516</v>
      </c>
      <c r="AK173" s="55" t="s">
        <v>631</v>
      </c>
      <c r="AL173" s="55" t="s">
        <v>516</v>
      </c>
      <c r="AM173" s="55" t="s">
        <v>516</v>
      </c>
      <c r="AN173" s="55" t="s">
        <v>516</v>
      </c>
      <c r="AO173" s="54"/>
      <c r="AP173" s="55" t="s">
        <v>516</v>
      </c>
      <c r="AQ173" s="55">
        <f>AQ171/AP171-1</f>
        <v>1.1016705405656246E-2</v>
      </c>
      <c r="AR173" s="55">
        <f>AR171/AQ171-1</f>
        <v>-1.4295141829593794E-2</v>
      </c>
      <c r="AS173" s="55">
        <f>AS171/AR171-1</f>
        <v>2.9654865239953532E-2</v>
      </c>
      <c r="AT173" s="54"/>
      <c r="AU173" s="55">
        <f>AU171/AS171-1</f>
        <v>-3.8513728100406097E-2</v>
      </c>
      <c r="AV173" s="55">
        <f>AV171/AU171-1</f>
        <v>-2.8768298176459206E-3</v>
      </c>
      <c r="AW173" s="55">
        <f>AW171/AV171-1</f>
        <v>-3.9928878690251635E-2</v>
      </c>
      <c r="AX173" s="55">
        <f>AX171/AW171-1</f>
        <v>3.7407277871083888E-2</v>
      </c>
      <c r="AY173" s="54"/>
      <c r="AZ173" s="55">
        <f>AZ171/AX171-1</f>
        <v>4.8073128255299968E-2</v>
      </c>
      <c r="BA173" s="55">
        <f>BA171/AZ171-1</f>
        <v>2.877754237022101E-2</v>
      </c>
      <c r="BB173" s="55">
        <f>BB171/BA171-1</f>
        <v>-4.8300725248777265E-2</v>
      </c>
      <c r="BC173" s="55">
        <f>BC171/BB171-1</f>
        <v>3.5449993124416768E-3</v>
      </c>
      <c r="BD173" s="54"/>
      <c r="BE173" s="55">
        <f>BE171/BC171-1</f>
        <v>-3.4160245179695181E-3</v>
      </c>
      <c r="BF173" s="55">
        <f>BF171/BE171-1</f>
        <v>-7.2151799632443891E-3</v>
      </c>
      <c r="BG173" s="55">
        <f>BG171/BF171-1</f>
        <v>-2.5950922183584635E-2</v>
      </c>
      <c r="BH173" s="55">
        <f>BH171/BG171-1</f>
        <v>-2.8531875025084807E-2</v>
      </c>
      <c r="BI173" s="54"/>
      <c r="BJ173" s="55">
        <f>BJ171/BH171-1</f>
        <v>9.9442099932591788E-3</v>
      </c>
      <c r="BK173" s="55">
        <f>BK171/BJ171-1</f>
        <v>1.4076082620422259E-2</v>
      </c>
      <c r="BL173" s="55">
        <f>BL171/BK171-1</f>
        <v>6.1128874586502402E-3</v>
      </c>
      <c r="BM173" s="55">
        <f>BM171/BL171-1</f>
        <v>1.8010552194690721E-2</v>
      </c>
      <c r="BN173" s="54"/>
      <c r="BO173" s="55">
        <f>BO171/BM171-1</f>
        <v>-7.3592227296567225E-3</v>
      </c>
      <c r="BP173" s="55">
        <f>BP171/BO171-1</f>
        <v>3.8268432261365115E-2</v>
      </c>
      <c r="BQ173" s="55">
        <f>BQ171/BP171-1</f>
        <v>-1.2082068984716754E-3</v>
      </c>
      <c r="BR173" s="55">
        <f>BR171/BQ171-1</f>
        <v>-5.1510912108251317E-3</v>
      </c>
      <c r="BS173" s="54"/>
      <c r="BT173" s="55">
        <f>BT171/BR171-1</f>
        <v>8.2697942363316734E-3</v>
      </c>
      <c r="BU173" s="55">
        <f>BU171/BT171-1</f>
        <v>2.8067161369316418E-2</v>
      </c>
      <c r="BV173" s="55">
        <f>BV171/BU171-1</f>
        <v>-5.4778190298111484E-3</v>
      </c>
      <c r="BW173" s="55">
        <f>BW171/BV171-1</f>
        <v>5.8800507787041045E-2</v>
      </c>
      <c r="BX173" s="54"/>
      <c r="BY173" s="55">
        <f>BY171/BW171-1</f>
        <v>-1.6132637184720688E-2</v>
      </c>
      <c r="BZ173" s="55">
        <f>BZ171/BY171-1</f>
        <v>6.2983997179989704E-2</v>
      </c>
      <c r="CA173" s="55">
        <f>CA171/BZ171-1</f>
        <v>-4.4713500678507545E-2</v>
      </c>
      <c r="CB173" s="55">
        <f>CB171/CA171-1</f>
        <v>7.8720914955353383E-2</v>
      </c>
      <c r="CC173" s="54"/>
      <c r="CD173" s="55">
        <f>CD171/CB171-1</f>
        <v>-4.9380337267393659E-2</v>
      </c>
      <c r="CE173" s="55">
        <f>CE171/CD171-1</f>
        <v>-1.1149484622399952E-2</v>
      </c>
      <c r="CF173" s="55">
        <f>CF171/CE171-1</f>
        <v>-3.5656985272861763E-2</v>
      </c>
      <c r="CG173" s="55">
        <f>CG171/CF171-1</f>
        <v>-5.290505695298986E-3</v>
      </c>
      <c r="CH173" s="54"/>
      <c r="CI173" s="55">
        <f>CI171/CG171-1</f>
        <v>2.1410525510630052E-3</v>
      </c>
      <c r="CJ173" s="55">
        <f>CJ171/CI171-1</f>
        <v>9.7015748922297806E-3</v>
      </c>
      <c r="CK173" s="55">
        <f>CK171/CJ171-1</f>
        <v>-9.9108488026737884E-3</v>
      </c>
      <c r="CL173" s="55">
        <f>CL171/CK171-1</f>
        <v>-2.0986732276371156E-2</v>
      </c>
      <c r="CM173" s="54"/>
      <c r="CN173" s="55">
        <f>CN171/CL171-1</f>
        <v>-1.7664090529008858E-2</v>
      </c>
      <c r="CO173" s="55">
        <f>CO171/CN171-1</f>
        <v>3.4976507459729023E-2</v>
      </c>
      <c r="CP173" s="55">
        <f>CP171/CO171-1</f>
        <v>-2.3713510794948878E-2</v>
      </c>
      <c r="CQ173" s="55">
        <f>CQ171/CP171-1</f>
        <v>1.531088267704761E-2</v>
      </c>
      <c r="CR173" s="54"/>
      <c r="CS173" s="55">
        <f>CS171/CQ171-1</f>
        <v>-6.8250253533556071E-3</v>
      </c>
      <c r="CT173" s="55">
        <f>CT171/CS171-1</f>
        <v>2.6748820644643789E-2</v>
      </c>
      <c r="CU173" s="55">
        <f>CU171/CT171-1</f>
        <v>-3.4325209363155085E-2</v>
      </c>
      <c r="CV173" s="55">
        <f>CV171/CU171-1</f>
        <v>-7.2677211046602741E-2</v>
      </c>
      <c r="CW173" s="54"/>
      <c r="CX173" s="55">
        <f>CX171/CV171-1</f>
        <v>-5.1408895947771871E-2</v>
      </c>
      <c r="CY173" s="55">
        <f>CY171/CX171-1</f>
        <v>3.6162848013210125E-2</v>
      </c>
      <c r="CZ173" s="55">
        <f>CZ171/CY171-1</f>
        <v>3.8097007338779409E-2</v>
      </c>
      <c r="DA173" s="55">
        <f>DA171/CZ171-1</f>
        <v>3.872360958657195E-2</v>
      </c>
      <c r="DB173" s="54"/>
      <c r="DC173" s="55">
        <f>DC171/DA171-1</f>
        <v>-4.3892937655073405E-3</v>
      </c>
      <c r="DD173" s="55">
        <f>DD171/DC171-1</f>
        <v>4.8818656007469485E-2</v>
      </c>
      <c r="DE173" s="55">
        <f>DE171/DD171-1</f>
        <v>1.3192389755867229E-3</v>
      </c>
      <c r="DF173" s="55">
        <f>DF171/DE171-1</f>
        <v>5.5714553315689974E-2</v>
      </c>
      <c r="DG173" s="54"/>
      <c r="DH173" s="55">
        <f>DH171/DF171-1</f>
        <v>-6.5133402870980128E-2</v>
      </c>
      <c r="DI173" s="55">
        <f>DI171/DH171-1</f>
        <v>1.1058561042786463E-2</v>
      </c>
      <c r="DJ173" s="55">
        <f>DJ171/DI171-1</f>
        <v>-3.765087796099631E-2</v>
      </c>
      <c r="DK173" s="55">
        <f>DK171/DJ171-1</f>
        <v>-1.4779551323936602E-2</v>
      </c>
      <c r="DL173" s="54"/>
      <c r="DM173" s="55">
        <f>DM171/DK171-1</f>
        <v>-1.8259174067586814E-2</v>
      </c>
      <c r="DN173" s="55">
        <f>DN171/DM171-1</f>
        <v>2.2804678409590995E-2</v>
      </c>
      <c r="DO173" s="55">
        <f>DO171/DN171-1</f>
        <v>-1.7786004465435212E-2</v>
      </c>
      <c r="DP173" s="55">
        <f>DP171/DO171-1</f>
        <v>2.4407240250452489E-3</v>
      </c>
      <c r="DQ173" s="54"/>
      <c r="DR173" s="55">
        <f>DR171/DP171-1</f>
        <v>2.0170082648267584E-2</v>
      </c>
      <c r="DS173" s="55">
        <f>DS171/DR171-1</f>
        <v>4.1696200206172485E-2</v>
      </c>
      <c r="DT173" s="55">
        <f>DT171/DS171-1</f>
        <v>-6.9297916596156028E-3</v>
      </c>
      <c r="DU173" s="55">
        <f>DU171/DT171-1</f>
        <v>5.3569152008114962E-3</v>
      </c>
      <c r="DV173" s="54"/>
      <c r="DW173" s="55">
        <f>DW171/DU171-1</f>
        <v>-1.6609972236616977E-2</v>
      </c>
      <c r="DX173" s="55">
        <f>DX171/DW171-1</f>
        <v>9.2200642856580695E-2</v>
      </c>
      <c r="DY173" s="55">
        <f>DY171/DX171-1</f>
        <v>-1.947591784761904E-2</v>
      </c>
      <c r="DZ173" s="55">
        <f>DZ171/DY171-1</f>
        <v>-1.0207509641222412E-2</v>
      </c>
      <c r="EA173" s="54"/>
      <c r="EB173" s="55">
        <f>EB171/DZ171-1</f>
        <v>-7.8184955484652541E-2</v>
      </c>
      <c r="EC173" s="55">
        <f>EC171/EB171-1</f>
        <v>8.0820353034354975E-2</v>
      </c>
      <c r="ED173" s="55">
        <f>ED171/EC171-1</f>
        <v>9.9251936425299725E-3</v>
      </c>
      <c r="EE173" s="55">
        <f>EE171/ED171-1</f>
        <v>2.8738710107738541E-3</v>
      </c>
      <c r="EF173" s="54"/>
      <c r="EG173" s="55">
        <f>EG171/EE171-1</f>
        <v>-1.4169136259059911E-2</v>
      </c>
      <c r="EH173" s="55">
        <f>EH171/EG171-1</f>
        <v>4.195227389047318E-2</v>
      </c>
      <c r="EI173" s="55">
        <f>EI171/EH171-1</f>
        <v>1.0749426053576094E-2</v>
      </c>
      <c r="EJ173" s="55">
        <f>EJ171/EI171-1</f>
        <v>0.10367093292345442</v>
      </c>
      <c r="EK173" s="54"/>
      <c r="EL173" s="55">
        <f>EL171/EJ171-1</f>
        <v>-5.6912329856840804E-2</v>
      </c>
      <c r="EM173" s="55">
        <f>EM171/EL171-1</f>
        <v>4.596279828461669E-2</v>
      </c>
      <c r="EN173" s="55">
        <f>EN171/EM171-1</f>
        <v>4.9515954794748351E-2</v>
      </c>
      <c r="EO173" s="55">
        <f>EO171/EN171-1</f>
        <v>1.062726746385656E-2</v>
      </c>
      <c r="EP173" s="54"/>
      <c r="EQ173" s="55">
        <f>EQ171/EO171-1</f>
        <v>-2.0970572380423547E-2</v>
      </c>
      <c r="ER173" s="55">
        <f t="shared" ref="ER173" si="915">ER171/EQ171-1</f>
        <v>2.4487763200208734E-2</v>
      </c>
      <c r="ES173" s="55">
        <f t="shared" ref="ES173:ET173" si="916">ES171/ER171-1</f>
        <v>4.025131323222686E-2</v>
      </c>
      <c r="ET173" s="55">
        <f t="shared" si="916"/>
        <v>3.6947266519957722E-2</v>
      </c>
      <c r="EU173" s="54"/>
      <c r="EV173" s="632"/>
      <c r="EW173" s="632"/>
      <c r="EX173" s="632"/>
      <c r="EY173" s="632"/>
      <c r="EZ173" s="1183"/>
      <c r="FA173" s="632"/>
      <c r="FB173" s="632"/>
      <c r="FC173" s="632"/>
      <c r="FD173" s="632"/>
      <c r="FE173" s="1183"/>
      <c r="FG173" s="493"/>
      <c r="FH173" s="766">
        <f>AVERAGE(CI173,CN173,CS173,CX173,DC173,DH173,DM173,DR173,DW173,EB173,EG173,EL173,EQ173)</f>
        <v>-2.5247362580959522E-2</v>
      </c>
      <c r="FI173" s="766">
        <f>AVERAGE(CJ173,CO173,CT173,CY173,DD173,DI173,DN173,DS173,DX173,EC173,EH173)</f>
        <v>4.0631010587021905E-2</v>
      </c>
      <c r="FJ173" s="766">
        <f>AVERAGE(CK173,CP173,CU173,CZ173,DE173,DJ173,DO173,DT173,DY173,ED173,EI173)</f>
        <v>-8.1546631712701555E-3</v>
      </c>
      <c r="FK173" s="766">
        <f>AVERAGE(CL173,CQ173,CV173,DA173,DF173,DK173,DP173,DU173,DZ173,EE173,EJ173,EO173)</f>
        <v>9.6723126595931828E-3</v>
      </c>
      <c r="FL173" s="1338"/>
      <c r="FM173" s="1523">
        <f t="shared" si="858"/>
        <v>-2.0970572380423547E-2</v>
      </c>
      <c r="FN173" s="1416">
        <f t="shared" si="859"/>
        <v>-5.6912329856840804E-2</v>
      </c>
      <c r="FO173" s="1799">
        <v>-6.4015752627119005E-3</v>
      </c>
      <c r="FP173" s="1754"/>
      <c r="FQ173" s="1503">
        <f>+(FM173-FO173)*10000</f>
        <v>-145.68997117711646</v>
      </c>
      <c r="FR173" s="1619"/>
      <c r="FS173" s="1619"/>
      <c r="FT173" s="1720" t="s">
        <v>586</v>
      </c>
      <c r="FU173" s="1985">
        <v>96</v>
      </c>
      <c r="FV173" s="1646">
        <f>46.25+43.75</f>
        <v>90</v>
      </c>
      <c r="FW173" s="1646"/>
      <c r="FX173" s="432"/>
      <c r="FY173" s="432"/>
      <c r="FZ173" s="493"/>
      <c r="GA173"/>
      <c r="GB173"/>
      <c r="GC173"/>
      <c r="GD173"/>
      <c r="GE173"/>
      <c r="GF173"/>
      <c r="GG173"/>
      <c r="GH173"/>
      <c r="GI173"/>
      <c r="GJ173"/>
      <c r="GK173"/>
      <c r="GL173"/>
      <c r="GM173"/>
      <c r="GN173"/>
      <c r="GO173"/>
      <c r="GP173"/>
      <c r="GQ173"/>
      <c r="GR173"/>
      <c r="GS173"/>
      <c r="GT173"/>
      <c r="GU173"/>
      <c r="GV173"/>
      <c r="GW173"/>
      <c r="GX173"/>
      <c r="GY173"/>
      <c r="GZ173"/>
      <c r="HA173"/>
      <c r="HB173"/>
      <c r="HC173"/>
      <c r="HD173"/>
      <c r="HE173"/>
      <c r="HF173"/>
      <c r="HG173"/>
      <c r="HH173"/>
      <c r="HI173"/>
      <c r="HJ173"/>
      <c r="HK173"/>
      <c r="HL173"/>
      <c r="HM173"/>
      <c r="HN173"/>
      <c r="HO173"/>
      <c r="HP173"/>
      <c r="HQ173"/>
      <c r="HR173"/>
      <c r="HS173"/>
      <c r="HT173"/>
      <c r="HU173"/>
      <c r="HV173"/>
      <c r="HW173"/>
      <c r="HX173"/>
      <c r="HY173"/>
      <c r="HZ173"/>
      <c r="IA173"/>
      <c r="IB173"/>
      <c r="IC173"/>
      <c r="ID173"/>
      <c r="IE173"/>
      <c r="IF173"/>
      <c r="IG173"/>
      <c r="IH173"/>
      <c r="II173"/>
      <c r="IJ173"/>
      <c r="IK173"/>
      <c r="IL173"/>
      <c r="IM173"/>
      <c r="IN173"/>
      <c r="IO173"/>
      <c r="IP173"/>
      <c r="IQ173"/>
      <c r="IR173"/>
      <c r="IS173"/>
      <c r="IT173"/>
      <c r="IU173"/>
      <c r="IV173"/>
      <c r="IW173"/>
      <c r="IX173"/>
    </row>
    <row r="174" spans="1:258" s="87" customFormat="1" x14ac:dyDescent="0.2">
      <c r="A174" s="1146" t="s">
        <v>667</v>
      </c>
      <c r="B174" s="85"/>
      <c r="C174" s="85"/>
      <c r="D174" s="85"/>
      <c r="E174" s="85"/>
      <c r="F174" s="86"/>
      <c r="G174" s="85"/>
      <c r="H174" s="85"/>
      <c r="I174" s="85"/>
      <c r="J174" s="85"/>
      <c r="K174" s="86"/>
      <c r="L174" s="85"/>
      <c r="M174" s="85"/>
      <c r="N174" s="85"/>
      <c r="O174" s="85"/>
      <c r="P174" s="86"/>
      <c r="Q174" s="85"/>
      <c r="R174" s="85"/>
      <c r="S174" s="85"/>
      <c r="T174" s="85"/>
      <c r="U174" s="86"/>
      <c r="V174" s="85"/>
      <c r="W174" s="85"/>
      <c r="X174" s="85"/>
      <c r="Y174" s="85"/>
      <c r="Z174" s="86"/>
      <c r="AA174" s="85"/>
      <c r="AB174" s="85"/>
      <c r="AC174" s="85"/>
      <c r="AD174" s="85"/>
      <c r="AE174" s="86"/>
      <c r="AF174" s="85"/>
      <c r="AG174" s="85"/>
      <c r="AH174" s="85"/>
      <c r="AI174" s="85"/>
      <c r="AJ174" s="86"/>
      <c r="AK174" s="85"/>
      <c r="AL174" s="85"/>
      <c r="AM174" s="85"/>
      <c r="AN174" s="85"/>
      <c r="AO174" s="86"/>
      <c r="AP174" s="85"/>
      <c r="AQ174" s="85"/>
      <c r="AR174" s="85"/>
      <c r="AS174" s="85"/>
      <c r="AT174" s="86"/>
      <c r="AU174" s="85"/>
      <c r="AV174" s="85"/>
      <c r="AW174" s="85"/>
      <c r="AX174" s="85"/>
      <c r="AY174" s="86"/>
      <c r="AZ174" s="85"/>
      <c r="BA174" s="85"/>
      <c r="BB174" s="85"/>
      <c r="BC174" s="85"/>
      <c r="BD174" s="86"/>
      <c r="BE174" s="85"/>
      <c r="BF174" s="85"/>
      <c r="BG174" s="85"/>
      <c r="BH174" s="85"/>
      <c r="BI174" s="86"/>
      <c r="BJ174" s="85"/>
      <c r="BK174" s="85"/>
      <c r="BL174" s="85"/>
      <c r="BM174" s="85"/>
      <c r="BN174" s="86"/>
      <c r="BO174" s="85"/>
      <c r="BP174" s="85"/>
      <c r="BQ174" s="85"/>
      <c r="BR174" s="85"/>
      <c r="BS174" s="86"/>
      <c r="BT174" s="85"/>
      <c r="BU174" s="85"/>
      <c r="BV174" s="85"/>
      <c r="BW174" s="85"/>
      <c r="BX174" s="86"/>
      <c r="BY174" s="85"/>
      <c r="BZ174" s="85"/>
      <c r="CA174" s="85"/>
      <c r="CB174" s="85"/>
      <c r="CC174" s="86"/>
      <c r="CD174" s="85"/>
      <c r="CE174" s="85"/>
      <c r="CF174" s="85"/>
      <c r="CG174" s="85"/>
      <c r="CH174" s="86"/>
      <c r="CI174" s="85"/>
      <c r="CJ174" s="85"/>
      <c r="CK174" s="85"/>
      <c r="CL174" s="85"/>
      <c r="CM174" s="86"/>
      <c r="CN174" s="85"/>
      <c r="CO174" s="85"/>
      <c r="CP174" s="85"/>
      <c r="CQ174" s="85"/>
      <c r="CR174" s="86"/>
      <c r="CS174" s="85"/>
      <c r="CT174" s="85"/>
      <c r="CU174" s="85"/>
      <c r="CV174" s="85"/>
      <c r="CW174" s="86"/>
      <c r="CX174" s="85">
        <f t="shared" ref="CX174:ED174" si="917">CX166*1000000/CX169</f>
        <v>22997.366223421341</v>
      </c>
      <c r="CY174" s="85">
        <f t="shared" si="917"/>
        <v>22725.751388981858</v>
      </c>
      <c r="CZ174" s="85">
        <f t="shared" si="917"/>
        <v>22420.774353311248</v>
      </c>
      <c r="DA174" s="85">
        <f t="shared" si="917"/>
        <v>21688.139511167014</v>
      </c>
      <c r="DB174" s="86">
        <f t="shared" si="917"/>
        <v>89866.347496509072</v>
      </c>
      <c r="DC174" s="85">
        <f t="shared" si="917"/>
        <v>23950.870010235416</v>
      </c>
      <c r="DD174" s="85">
        <f t="shared" si="917"/>
        <v>23259.683215759349</v>
      </c>
      <c r="DE174" s="85">
        <f t="shared" si="917"/>
        <v>23197.326185512426</v>
      </c>
      <c r="DF174" s="85">
        <f t="shared" si="917"/>
        <v>23069.507695376127</v>
      </c>
      <c r="DG174" s="86">
        <f t="shared" si="917"/>
        <v>93461.692739671082</v>
      </c>
      <c r="DH174" s="85">
        <f t="shared" si="917"/>
        <v>25251.691698300048</v>
      </c>
      <c r="DI174" s="85">
        <f t="shared" si="917"/>
        <v>24370.561652679149</v>
      </c>
      <c r="DJ174" s="85">
        <f t="shared" si="917"/>
        <v>24854.724608388075</v>
      </c>
      <c r="DK174" s="85">
        <f t="shared" si="917"/>
        <v>24922.990758891068</v>
      </c>
      <c r="DL174" s="86">
        <f t="shared" si="917"/>
        <v>99393.978157629637</v>
      </c>
      <c r="DM174" s="85">
        <f t="shared" si="917"/>
        <v>24511.468527150926</v>
      </c>
      <c r="DN174" s="85">
        <f t="shared" si="917"/>
        <v>23810.992535932393</v>
      </c>
      <c r="DO174" s="85">
        <f t="shared" si="917"/>
        <v>23754.813066699789</v>
      </c>
      <c r="DP174" s="85">
        <f t="shared" si="917"/>
        <v>23932.873533992308</v>
      </c>
      <c r="DQ174" s="86">
        <f t="shared" si="917"/>
        <v>96013.449354773431</v>
      </c>
      <c r="DR174" s="85">
        <f t="shared" si="917"/>
        <v>24604.966139954853</v>
      </c>
      <c r="DS174" s="85">
        <f t="shared" si="917"/>
        <v>23747.123497826644</v>
      </c>
      <c r="DT174" s="920">
        <f t="shared" si="917"/>
        <v>24153.043923350077</v>
      </c>
      <c r="DU174" s="85">
        <f t="shared" si="917"/>
        <v>24767.900292509221</v>
      </c>
      <c r="DV174" s="86">
        <f t="shared" si="917"/>
        <v>97272.996344263214</v>
      </c>
      <c r="DW174" s="85">
        <f t="shared" si="917"/>
        <v>25052.125100240577</v>
      </c>
      <c r="DX174" s="85">
        <f t="shared" si="917"/>
        <v>26003.824091778202</v>
      </c>
      <c r="DY174" s="920">
        <f t="shared" si="917"/>
        <v>26400.759734093066</v>
      </c>
      <c r="DZ174" s="85">
        <f t="shared" si="917"/>
        <v>26396.351368236912</v>
      </c>
      <c r="EA174" s="86">
        <f t="shared" si="917"/>
        <v>103870.57396735813</v>
      </c>
      <c r="EB174" s="85">
        <f t="shared" si="917"/>
        <v>26803.739478833431</v>
      </c>
      <c r="EC174" s="85">
        <f t="shared" si="917"/>
        <v>25864.220641457632</v>
      </c>
      <c r="ED174" s="920">
        <f t="shared" si="917"/>
        <v>27615.00857910583</v>
      </c>
      <c r="EE174" s="85">
        <f t="shared" ref="EE174:EK174" si="918">EE166*1000000/EE169</f>
        <v>30025.188916876574</v>
      </c>
      <c r="EF174" s="86">
        <f t="shared" si="918"/>
        <v>110124.64675414088</v>
      </c>
      <c r="EG174" s="85">
        <f t="shared" si="918"/>
        <v>30489.312842254018</v>
      </c>
      <c r="EH174" s="85">
        <f t="shared" si="918"/>
        <v>28314.719358533792</v>
      </c>
      <c r="EI174" s="920">
        <f t="shared" si="918"/>
        <v>28597.616865261229</v>
      </c>
      <c r="EJ174" s="85">
        <f t="shared" si="918"/>
        <v>30870.557068216942</v>
      </c>
      <c r="EK174" s="86">
        <f t="shared" si="918"/>
        <v>118271.99306195458</v>
      </c>
      <c r="EL174" s="85">
        <f t="shared" ref="EL174:EP174" si="919">EL166*1000000/EL169</f>
        <v>32183.821309990944</v>
      </c>
      <c r="EM174" s="85">
        <f t="shared" si="919"/>
        <v>30948.225712623618</v>
      </c>
      <c r="EN174" s="920">
        <f t="shared" si="919"/>
        <v>33280.704670101382</v>
      </c>
      <c r="EO174" s="85">
        <f t="shared" si="919"/>
        <v>36378.772112382932</v>
      </c>
      <c r="EP174" s="86">
        <f t="shared" si="919"/>
        <v>132533.72118507302</v>
      </c>
      <c r="EQ174" s="85">
        <f t="shared" ref="EQ174" si="920">EQ166*1000000/EQ169</f>
        <v>34409.334809641427</v>
      </c>
      <c r="ER174" s="85">
        <f t="shared" ref="ER174" si="921">EQ174*(1+ER176)</f>
        <v>33205.008091303978</v>
      </c>
      <c r="ES174" s="85">
        <f t="shared" ref="ES174:ET174" si="922">ER174*(1+ES176)</f>
        <v>33703.083212673533</v>
      </c>
      <c r="ET174" s="85">
        <f t="shared" si="922"/>
        <v>34545.660292990367</v>
      </c>
      <c r="EU174" s="86">
        <f>EU166*1000000/EU169</f>
        <v>135844.4276922899</v>
      </c>
      <c r="EV174" s="920"/>
      <c r="EW174" s="920"/>
      <c r="EX174" s="920"/>
      <c r="EY174" s="920"/>
      <c r="EZ174" s="1302">
        <f>EU174*(1+EZ175)</f>
        <v>139919.76052305859</v>
      </c>
      <c r="FA174" s="920"/>
      <c r="FB174" s="920"/>
      <c r="FC174" s="920"/>
      <c r="FD174" s="920"/>
      <c r="FE174" s="1302">
        <f>EZ174*(1+FE175)</f>
        <v>144117.35333875034</v>
      </c>
      <c r="FG174" s="466"/>
      <c r="FH174" s="777"/>
      <c r="FI174" s="777"/>
      <c r="FJ174" s="777"/>
      <c r="FK174" s="175"/>
      <c r="FL174" s="1347"/>
      <c r="FM174" s="1575">
        <f t="shared" si="858"/>
        <v>34409.334809641427</v>
      </c>
      <c r="FN174" s="1460">
        <f t="shared" si="859"/>
        <v>32183.821309990944</v>
      </c>
      <c r="FO174" s="1861">
        <v>34377.93964620187</v>
      </c>
      <c r="FP174" s="1753">
        <f>+FM174/FN174-1</f>
        <v>6.9150070099339267E-2</v>
      </c>
      <c r="FQ174" s="1532">
        <f>+FM174/FO174-1</f>
        <v>9.1323574835078247E-4</v>
      </c>
      <c r="FR174" s="1619"/>
      <c r="FS174" s="1619"/>
      <c r="FT174" s="1720" t="s">
        <v>587</v>
      </c>
      <c r="FU174" s="1985">
        <v>112</v>
      </c>
      <c r="FV174" s="1694">
        <v>120</v>
      </c>
      <c r="FW174" s="1646"/>
      <c r="FX174" s="432"/>
      <c r="FY174" s="432"/>
      <c r="FZ174" s="466"/>
      <c r="GA174"/>
      <c r="GB174"/>
      <c r="GC174"/>
      <c r="GD174"/>
      <c r="GE174"/>
      <c r="GF174"/>
      <c r="GG174"/>
      <c r="GH174"/>
      <c r="GI174"/>
      <c r="GJ174"/>
      <c r="GK174"/>
      <c r="GL174"/>
      <c r="GM174"/>
      <c r="GN174"/>
      <c r="GO174"/>
      <c r="GP174"/>
      <c r="GQ174"/>
      <c r="GR174"/>
      <c r="GS174"/>
      <c r="GT174"/>
      <c r="GU174"/>
      <c r="GV174"/>
      <c r="GW174"/>
      <c r="GX174"/>
      <c r="GY174"/>
      <c r="GZ174"/>
      <c r="HA174"/>
      <c r="HB174"/>
      <c r="HC174"/>
      <c r="HD174"/>
      <c r="HE174"/>
      <c r="HF174"/>
      <c r="HG174"/>
      <c r="HH174"/>
      <c r="HI174"/>
      <c r="HJ174"/>
      <c r="HK174"/>
      <c r="HL174"/>
      <c r="HM174"/>
      <c r="HN174"/>
      <c r="HO174"/>
      <c r="HP174"/>
      <c r="HQ174"/>
      <c r="HR174"/>
      <c r="HS174"/>
      <c r="HT174"/>
      <c r="HU174"/>
      <c r="HV174"/>
      <c r="HW174"/>
      <c r="HX174"/>
      <c r="HY174"/>
      <c r="HZ174"/>
      <c r="IA174"/>
      <c r="IB174"/>
      <c r="IC174"/>
      <c r="ID174"/>
      <c r="IE174"/>
      <c r="IF174"/>
      <c r="IG174"/>
      <c r="IH174"/>
      <c r="II174"/>
      <c r="IJ174"/>
      <c r="IK174"/>
      <c r="IL174"/>
      <c r="IM174"/>
      <c r="IN174"/>
      <c r="IO174"/>
      <c r="IP174"/>
      <c r="IQ174"/>
      <c r="IR174"/>
      <c r="IS174"/>
      <c r="IT174"/>
      <c r="IU174"/>
      <c r="IV174"/>
      <c r="IW174"/>
      <c r="IX174"/>
    </row>
    <row r="175" spans="1:258" s="84" customFormat="1" x14ac:dyDescent="0.2">
      <c r="A175" s="559" t="s">
        <v>465</v>
      </c>
      <c r="B175" s="10"/>
      <c r="C175" s="10"/>
      <c r="D175" s="10"/>
      <c r="E175" s="10"/>
      <c r="F175" s="9"/>
      <c r="G175" s="10"/>
      <c r="H175" s="10"/>
      <c r="I175" s="10"/>
      <c r="J175" s="10"/>
      <c r="K175" s="9"/>
      <c r="L175" s="10"/>
      <c r="M175" s="10"/>
      <c r="N175" s="10"/>
      <c r="O175" s="10"/>
      <c r="P175" s="9"/>
      <c r="Q175" s="10"/>
      <c r="R175" s="10"/>
      <c r="S175" s="10"/>
      <c r="T175" s="10"/>
      <c r="U175" s="9"/>
      <c r="V175" s="10"/>
      <c r="W175" s="10"/>
      <c r="X175" s="10"/>
      <c r="Y175" s="10"/>
      <c r="Z175" s="9"/>
      <c r="AA175" s="10"/>
      <c r="AB175" s="10"/>
      <c r="AC175" s="10"/>
      <c r="AD175" s="10"/>
      <c r="AE175" s="9"/>
      <c r="AF175" s="10"/>
      <c r="AG175" s="10"/>
      <c r="AH175" s="10"/>
      <c r="AI175" s="10"/>
      <c r="AJ175" s="9"/>
      <c r="AK175" s="10"/>
      <c r="AL175" s="10"/>
      <c r="AM175" s="10"/>
      <c r="AN175" s="10"/>
      <c r="AO175" s="9"/>
      <c r="AP175" s="10"/>
      <c r="AQ175" s="10"/>
      <c r="AR175" s="10"/>
      <c r="AS175" s="10"/>
      <c r="AT175" s="9"/>
      <c r="AU175" s="10"/>
      <c r="AV175" s="10"/>
      <c r="AW175" s="10"/>
      <c r="AX175" s="10"/>
      <c r="AY175" s="9"/>
      <c r="AZ175" s="10"/>
      <c r="BA175" s="10"/>
      <c r="BB175" s="10"/>
      <c r="BC175" s="10"/>
      <c r="BD175" s="9"/>
      <c r="BE175" s="10"/>
      <c r="BF175" s="10"/>
      <c r="BG175" s="10"/>
      <c r="BH175" s="10"/>
      <c r="BI175" s="9"/>
      <c r="BJ175" s="10"/>
      <c r="BK175" s="10"/>
      <c r="BL175" s="10"/>
      <c r="BM175" s="10"/>
      <c r="BN175" s="9"/>
      <c r="BO175" s="10"/>
      <c r="BP175" s="10"/>
      <c r="BQ175" s="10"/>
      <c r="BR175" s="10"/>
      <c r="BS175" s="9"/>
      <c r="BT175" s="10"/>
      <c r="BU175" s="10"/>
      <c r="BV175" s="10"/>
      <c r="BW175" s="10"/>
      <c r="BX175" s="9"/>
      <c r="BY175" s="10"/>
      <c r="BZ175" s="10"/>
      <c r="CA175" s="10"/>
      <c r="CB175" s="10"/>
      <c r="CC175" s="9"/>
      <c r="CD175" s="10"/>
      <c r="CE175" s="10"/>
      <c r="CF175" s="10"/>
      <c r="CG175" s="10"/>
      <c r="CH175" s="9"/>
      <c r="CI175" s="10"/>
      <c r="CJ175" s="10"/>
      <c r="CK175" s="10"/>
      <c r="CL175" s="10"/>
      <c r="CM175" s="9"/>
      <c r="CN175" s="10"/>
      <c r="CO175" s="10"/>
      <c r="CP175" s="10"/>
      <c r="CQ175" s="10"/>
      <c r="CR175" s="9"/>
      <c r="CS175" s="10"/>
      <c r="CT175" s="10"/>
      <c r="CU175" s="10"/>
      <c r="CV175" s="10"/>
      <c r="CW175" s="9"/>
      <c r="CX175" s="10"/>
      <c r="CY175" s="10"/>
      <c r="CZ175" s="10"/>
      <c r="DA175" s="10"/>
      <c r="DB175" s="9"/>
      <c r="DC175" s="10">
        <f>DC174/CX174-1</f>
        <v>4.1461434216018667E-2</v>
      </c>
      <c r="DD175" s="10">
        <f t="shared" ref="DD175:DU175" si="923">DD174/CY174-1</f>
        <v>2.3494573078730374E-2</v>
      </c>
      <c r="DE175" s="10">
        <f t="shared" si="923"/>
        <v>3.4635370748757888E-2</v>
      </c>
      <c r="DF175" s="10">
        <f t="shared" si="923"/>
        <v>6.3692332092287529E-2</v>
      </c>
      <c r="DG175" s="9">
        <f t="shared" si="923"/>
        <v>4.0007693016584245E-2</v>
      </c>
      <c r="DH175" s="10">
        <f t="shared" si="923"/>
        <v>5.431208501021989E-2</v>
      </c>
      <c r="DI175" s="10">
        <f t="shared" si="923"/>
        <v>4.7759826589862442E-2</v>
      </c>
      <c r="DJ175" s="10">
        <f t="shared" si="923"/>
        <v>7.1447821598971784E-2</v>
      </c>
      <c r="DK175" s="10">
        <f t="shared" si="923"/>
        <v>8.0343416426109426E-2</v>
      </c>
      <c r="DL175" s="9">
        <f>DL174/DG174-1</f>
        <v>6.3472907926912736E-2</v>
      </c>
      <c r="DM175" s="10">
        <f t="shared" si="923"/>
        <v>-2.9313805189493669E-2</v>
      </c>
      <c r="DN175" s="10">
        <f t="shared" si="923"/>
        <v>-2.2960862565317264E-2</v>
      </c>
      <c r="DO175" s="10">
        <f t="shared" si="923"/>
        <v>-4.4253620147417849E-2</v>
      </c>
      <c r="DP175" s="10">
        <f t="shared" si="923"/>
        <v>-3.9727063034982857E-2</v>
      </c>
      <c r="DQ175" s="9">
        <f>DQ174/DL174-1</f>
        <v>-3.4011404569148085E-2</v>
      </c>
      <c r="DR175" s="10">
        <f t="shared" si="923"/>
        <v>3.8144435410045752E-3</v>
      </c>
      <c r="DS175" s="10">
        <f t="shared" si="923"/>
        <v>-2.68233413661223E-3</v>
      </c>
      <c r="DT175" s="921">
        <f>DT174/DO174-1</f>
        <v>1.676421765694891E-2</v>
      </c>
      <c r="DU175" s="10">
        <f t="shared" si="923"/>
        <v>3.4890367733356742E-2</v>
      </c>
      <c r="DV175" s="9">
        <f t="shared" ref="DV175:ED175" si="924">DV174/DQ174-1</f>
        <v>1.3118443280125458E-2</v>
      </c>
      <c r="DW175" s="10">
        <f t="shared" si="924"/>
        <v>1.8173524716199596E-2</v>
      </c>
      <c r="DX175" s="10">
        <f t="shared" si="924"/>
        <v>9.5030482077464784E-2</v>
      </c>
      <c r="DY175" s="921">
        <f t="shared" si="924"/>
        <v>9.3061388778827858E-2</v>
      </c>
      <c r="DZ175" s="10">
        <f t="shared" si="924"/>
        <v>6.5748450877775699E-2</v>
      </c>
      <c r="EA175" s="9">
        <f t="shared" si="924"/>
        <v>6.7825376734002685E-2</v>
      </c>
      <c r="EB175" s="10">
        <f t="shared" si="924"/>
        <v>6.9918794177506127E-2</v>
      </c>
      <c r="EC175" s="10">
        <f t="shared" si="924"/>
        <v>-5.3685738615925072E-3</v>
      </c>
      <c r="ED175" s="921">
        <f t="shared" si="924"/>
        <v>4.5992950856059034E-2</v>
      </c>
      <c r="EE175" s="10">
        <f t="shared" ref="EE175:EI175" si="925">EE174/DZ174-1</f>
        <v>0.13747496758231104</v>
      </c>
      <c r="EF175" s="9">
        <f t="shared" si="925"/>
        <v>6.0210245769394932E-2</v>
      </c>
      <c r="EG175" s="10">
        <f t="shared" si="925"/>
        <v>0.13750220809044333</v>
      </c>
      <c r="EH175" s="10">
        <f t="shared" si="925"/>
        <v>9.4744734474939696E-2</v>
      </c>
      <c r="EI175" s="921">
        <f t="shared" si="925"/>
        <v>3.5582400177085693E-2</v>
      </c>
      <c r="EJ175" s="10">
        <f t="shared" ref="EJ175" si="926">EJ174/EE174-1</f>
        <v>2.8155298329037404E-2</v>
      </c>
      <c r="EK175" s="9">
        <f t="shared" ref="EK175:EQ175" si="927">EK174/EF174-1</f>
        <v>7.3982950665014036E-2</v>
      </c>
      <c r="EL175" s="10">
        <f t="shared" si="927"/>
        <v>5.5577128828845579E-2</v>
      </c>
      <c r="EM175" s="10">
        <f t="shared" si="927"/>
        <v>9.3008386229903151E-2</v>
      </c>
      <c r="EN175" s="921">
        <f t="shared" si="927"/>
        <v>0.16375797420130156</v>
      </c>
      <c r="EO175" s="10">
        <f t="shared" si="927"/>
        <v>0.17842940222925296</v>
      </c>
      <c r="EP175" s="9">
        <f t="shared" si="927"/>
        <v>0.12058415313630255</v>
      </c>
      <c r="EQ175" s="10">
        <f t="shared" si="927"/>
        <v>6.9150070099339267E-2</v>
      </c>
      <c r="ER175" s="10">
        <f t="shared" ref="ER175" si="928">ER174/EM174-1</f>
        <v>7.2921220093074002E-2</v>
      </c>
      <c r="ES175" s="10">
        <f t="shared" ref="ES175:EU175" si="929">ES174/EN174-1</f>
        <v>1.2691394210520013E-2</v>
      </c>
      <c r="ET175" s="10">
        <f t="shared" si="929"/>
        <v>-5.038960121385172E-2</v>
      </c>
      <c r="EU175" s="9">
        <f t="shared" si="929"/>
        <v>2.4980106780475353E-2</v>
      </c>
      <c r="EV175" s="840"/>
      <c r="EW175" s="840"/>
      <c r="EX175" s="840"/>
      <c r="EY175" s="840"/>
      <c r="EZ175" s="1012">
        <v>0.03</v>
      </c>
      <c r="FA175" s="840"/>
      <c r="FB175" s="840"/>
      <c r="FC175" s="840"/>
      <c r="FD175" s="840"/>
      <c r="FE175" s="1012">
        <v>0.03</v>
      </c>
      <c r="FF175" s="83"/>
      <c r="FG175" s="490"/>
      <c r="FH175" s="776"/>
      <c r="FI175" s="776"/>
      <c r="FJ175" s="776"/>
      <c r="FK175" s="83"/>
      <c r="FL175" s="1346"/>
      <c r="FM175" s="1141">
        <f t="shared" si="858"/>
        <v>6.9150070099339267E-2</v>
      </c>
      <c r="FN175" s="1418">
        <f t="shared" si="859"/>
        <v>5.5577128828845579E-2</v>
      </c>
      <c r="FO175" s="1750">
        <v>6.8174574892068351E-2</v>
      </c>
      <c r="FP175" s="1762"/>
      <c r="FQ175" s="1503">
        <f>+(FM175-FO175)*10000</f>
        <v>9.7549520727091554</v>
      </c>
      <c r="FR175" s="1619"/>
      <c r="FS175" s="1619"/>
      <c r="FT175" s="1720" t="s">
        <v>588</v>
      </c>
      <c r="FU175" s="1985">
        <v>98</v>
      </c>
      <c r="FV175" s="1694">
        <v>150</v>
      </c>
      <c r="FW175" s="1694"/>
      <c r="FX175" s="354"/>
      <c r="FY175" s="354"/>
      <c r="FZ175" s="490"/>
      <c r="GA175"/>
      <c r="GB175"/>
      <c r="GC175"/>
      <c r="GD175"/>
      <c r="GE175"/>
      <c r="GF175"/>
      <c r="GG175"/>
      <c r="GH175"/>
      <c r="GI175"/>
      <c r="GJ175"/>
      <c r="GK175"/>
      <c r="GL175"/>
      <c r="GM175"/>
      <c r="GN175"/>
      <c r="GO175"/>
      <c r="GP175"/>
      <c r="GQ175"/>
      <c r="GR175"/>
      <c r="GS175"/>
      <c r="GT175"/>
      <c r="GU175"/>
      <c r="GV175"/>
      <c r="GW175"/>
      <c r="GX175"/>
      <c r="GY175"/>
      <c r="GZ175"/>
      <c r="HA175"/>
      <c r="HB175"/>
      <c r="HC175"/>
      <c r="HD175"/>
      <c r="HE175"/>
      <c r="HF175"/>
      <c r="HG175"/>
      <c r="HH175"/>
      <c r="HI175"/>
      <c r="HJ175"/>
      <c r="HK175"/>
      <c r="HL175"/>
      <c r="HM175"/>
      <c r="HN175"/>
      <c r="HO175"/>
      <c r="HP175"/>
      <c r="HQ175"/>
      <c r="HR175"/>
      <c r="HS175"/>
      <c r="HT175"/>
      <c r="HU175"/>
      <c r="HV175"/>
      <c r="HW175"/>
      <c r="HX175"/>
      <c r="HY175"/>
      <c r="HZ175"/>
      <c r="IA175"/>
      <c r="IB175"/>
      <c r="IC175"/>
      <c r="ID175"/>
      <c r="IE175"/>
      <c r="IF175"/>
      <c r="IG175"/>
      <c r="IH175"/>
      <c r="II175"/>
      <c r="IJ175"/>
      <c r="IK175"/>
      <c r="IL175"/>
      <c r="IM175"/>
      <c r="IN175"/>
      <c r="IO175"/>
      <c r="IP175"/>
      <c r="IQ175"/>
      <c r="IR175"/>
      <c r="IS175"/>
      <c r="IT175"/>
      <c r="IU175"/>
      <c r="IV175"/>
      <c r="IW175"/>
      <c r="IX175"/>
    </row>
    <row r="176" spans="1:258" s="55" customFormat="1" x14ac:dyDescent="0.2">
      <c r="A176" s="383" t="s">
        <v>336</v>
      </c>
      <c r="F176" s="54"/>
      <c r="K176" s="54"/>
      <c r="P176" s="54"/>
      <c r="U176" s="54"/>
      <c r="Z176" s="54"/>
      <c r="AE176" s="54"/>
      <c r="AJ176" s="54"/>
      <c r="AO176" s="54"/>
      <c r="AT176" s="54"/>
      <c r="AY176" s="54"/>
      <c r="BD176" s="54"/>
      <c r="BI176" s="54"/>
      <c r="BN176" s="54"/>
      <c r="BS176" s="54"/>
      <c r="BX176" s="54"/>
      <c r="CC176" s="54"/>
      <c r="CH176" s="54"/>
      <c r="CM176" s="54"/>
      <c r="CR176" s="54"/>
      <c r="CW176" s="54"/>
      <c r="CY176" s="55">
        <f>CY174/CX174-1</f>
        <v>-1.1810693094188363E-2</v>
      </c>
      <c r="CZ176" s="55">
        <f>CZ174/CY174-1</f>
        <v>-1.341988788183579E-2</v>
      </c>
      <c r="DA176" s="55">
        <f>DA174/CZ174-1</f>
        <v>-3.2676607444471872E-2</v>
      </c>
      <c r="DB176" s="54"/>
      <c r="DC176" s="55">
        <f>DC174/DA174-1</f>
        <v>0.10433031832460071</v>
      </c>
      <c r="DD176" s="55">
        <f>DD174/DC174-1</f>
        <v>-2.8858525564235737E-2</v>
      </c>
      <c r="DE176" s="55">
        <f>DE174/DD174-1</f>
        <v>-2.6809062560523289E-3</v>
      </c>
      <c r="DF176" s="55">
        <f>DF174/DE174-1</f>
        <v>-5.5100527153050249E-3</v>
      </c>
      <c r="DG176" s="54"/>
      <c r="DH176" s="55">
        <f>DH174/DF174-1</f>
        <v>9.4591702247781351E-2</v>
      </c>
      <c r="DI176" s="55">
        <f>DI174/DH174-1</f>
        <v>-3.4893901610568823E-2</v>
      </c>
      <c r="DJ176" s="55">
        <f>DJ174/DI174-1</f>
        <v>1.9866713070016528E-2</v>
      </c>
      <c r="DK176" s="55">
        <f>DK174/DJ174-1</f>
        <v>2.7466065940620066E-3</v>
      </c>
      <c r="DL176" s="54"/>
      <c r="DM176" s="55">
        <f>DM174/DK174-1</f>
        <v>-1.6511751567910626E-2</v>
      </c>
      <c r="DN176" s="55">
        <f>DN174/DM174-1</f>
        <v>-2.8577479576249232E-2</v>
      </c>
      <c r="DO176" s="55">
        <f>DO174/DN174-1</f>
        <v>-2.359392165102947E-3</v>
      </c>
      <c r="DP176" s="55">
        <f>DP174/DO174-1</f>
        <v>7.4957637760630913E-3</v>
      </c>
      <c r="DQ176" s="54"/>
      <c r="DR176" s="55">
        <f>DR174/DP174-1</f>
        <v>2.8082403268790967E-2</v>
      </c>
      <c r="DS176" s="55">
        <f>DS174/DR174-1</f>
        <v>-3.4864613803926359E-2</v>
      </c>
      <c r="DT176" s="632">
        <f>DT174/DS174-1</f>
        <v>1.7093456626887216E-2</v>
      </c>
      <c r="DU176" s="55">
        <f>DU174/DT174-1</f>
        <v>2.5456682441782341E-2</v>
      </c>
      <c r="DV176" s="54"/>
      <c r="DW176" s="55">
        <f>DW174/DU174-1</f>
        <v>1.1475531004835116E-2</v>
      </c>
      <c r="DX176" s="55">
        <f>DX174/DW174-1</f>
        <v>3.7988752959264405E-2</v>
      </c>
      <c r="DY176" s="632">
        <f>DY174/DX174-1</f>
        <v>1.5264510362549499E-2</v>
      </c>
      <c r="DZ176" s="55">
        <f>DZ174/DY174-1</f>
        <v>-1.6697874987514627E-4</v>
      </c>
      <c r="EA176" s="54"/>
      <c r="EB176" s="55">
        <f>EB174/DZ174-1</f>
        <v>1.5433500824160618E-2</v>
      </c>
      <c r="EC176" s="55">
        <f>EC174/EB174-1</f>
        <v>-3.5051782163370349E-2</v>
      </c>
      <c r="ED176" s="632">
        <f>ED174/EC174-1</f>
        <v>6.7691501782267904E-2</v>
      </c>
      <c r="EE176" s="55">
        <f>EE174/ED174-1</f>
        <v>8.7277913778898597E-2</v>
      </c>
      <c r="EF176" s="54"/>
      <c r="EG176" s="55">
        <f>EG174/EE174-1</f>
        <v>1.5457818655607802E-2</v>
      </c>
      <c r="EH176" s="55">
        <f>EH174/EG174-1</f>
        <v>-7.1323138536154129E-2</v>
      </c>
      <c r="EI176" s="632">
        <f>EI174/EH174-1</f>
        <v>9.9911817293776295E-3</v>
      </c>
      <c r="EJ176" s="55">
        <f>EJ174/EI174-1</f>
        <v>7.9480056455919268E-2</v>
      </c>
      <c r="EK176" s="54"/>
      <c r="EL176" s="55">
        <f>EL174/EJ174-1</f>
        <v>4.2540995903377565E-2</v>
      </c>
      <c r="EM176" s="55">
        <f>EM174/EL174-1</f>
        <v>-3.8391823813157866E-2</v>
      </c>
      <c r="EN176" s="632">
        <f>EN174/EM174-1</f>
        <v>7.5367130223764622E-2</v>
      </c>
      <c r="EO176" s="55">
        <f>EO174/EN174-1</f>
        <v>9.3088997753848046E-2</v>
      </c>
      <c r="EP176" s="54"/>
      <c r="EQ176" s="55">
        <f>EQ174/EO174-1</f>
        <v>-5.4136992217808544E-2</v>
      </c>
      <c r="ER176" s="1164">
        <v>-3.5000000000000003E-2</v>
      </c>
      <c r="ES176" s="1164">
        <v>1.4999999999999999E-2</v>
      </c>
      <c r="ET176" s="1164">
        <v>2.5000000000000001E-2</v>
      </c>
      <c r="EU176" s="54"/>
      <c r="EZ176" s="54"/>
      <c r="FE176" s="54"/>
      <c r="FG176" s="493"/>
      <c r="FH176" s="766">
        <f>AVERAGE(CI176,CN176,CS176,CX176,DC176,DH176,DM176,DR176,DW176,EB176,EG176,EL176,EQ176)</f>
        <v>2.6807058493714994E-2</v>
      </c>
      <c r="FI176" s="766">
        <f>AVERAGE(CJ176,CO176,CT176,CY176,DD176,DI176,DN176,DS176,DX176,EC176,EH176)</f>
        <v>-2.5923922673678573E-2</v>
      </c>
      <c r="FJ176" s="766">
        <f>AVERAGE(CK176,CP176,CU176,CZ176,DE176,DJ176,DO176,DT176,DY176,ED176,EI176)</f>
        <v>1.3930897158513464E-2</v>
      </c>
      <c r="FK176" s="766">
        <f>AVERAGE(CL176,CQ176,CV176,DA176,DF176,DK176,DP176,DU176,DZ176,EE176,EJ176,EO176)</f>
        <v>2.8576931321213479E-2</v>
      </c>
      <c r="FL176" s="1338"/>
      <c r="FM176" s="1524">
        <f t="shared" si="858"/>
        <v>-5.4136992217808544E-2</v>
      </c>
      <c r="FN176" s="1416">
        <f t="shared" si="859"/>
        <v>4.2540995903377565E-2</v>
      </c>
      <c r="FO176" s="1803">
        <v>-5.5E-2</v>
      </c>
      <c r="FP176" s="1983"/>
      <c r="FQ176" s="1982">
        <f>+(FM176-FO176)</f>
        <v>8.6300778219145641E-4</v>
      </c>
      <c r="FR176" s="1619"/>
      <c r="FS176" s="1619"/>
      <c r="FT176" s="1721" t="s">
        <v>763</v>
      </c>
      <c r="FU176" s="1646">
        <f>SUM(FU172:FU175)-12</f>
        <v>427</v>
      </c>
      <c r="FV176" s="1646">
        <f>SUM(FV172:FV175)</f>
        <v>483</v>
      </c>
      <c r="FW176" s="1646">
        <v>500</v>
      </c>
      <c r="FX176" s="1619">
        <v>350</v>
      </c>
      <c r="FY176" s="1619">
        <v>200</v>
      </c>
      <c r="FZ176" s="493"/>
      <c r="GA176"/>
      <c r="GB176"/>
      <c r="GC176"/>
      <c r="GD176"/>
      <c r="GE176"/>
      <c r="GF176"/>
      <c r="GG176"/>
      <c r="GH176"/>
      <c r="GI176"/>
      <c r="GJ176"/>
      <c r="GK176"/>
      <c r="GL176"/>
      <c r="GM176"/>
      <c r="GN176"/>
      <c r="GO176"/>
      <c r="GP176"/>
      <c r="GQ176"/>
      <c r="GR176"/>
      <c r="GS176"/>
      <c r="GT176"/>
      <c r="GU176"/>
      <c r="GV176"/>
      <c r="GW176"/>
      <c r="GX176"/>
      <c r="GY176"/>
      <c r="GZ176"/>
      <c r="HA176"/>
      <c r="HB176"/>
      <c r="HC176"/>
      <c r="HD176"/>
      <c r="HE176"/>
      <c r="HF176"/>
      <c r="HG176"/>
      <c r="HH176"/>
      <c r="HI176"/>
      <c r="HJ176"/>
      <c r="HK176"/>
      <c r="HL176"/>
      <c r="HM176"/>
      <c r="HN176"/>
      <c r="HO176"/>
      <c r="HP176"/>
      <c r="HQ176"/>
      <c r="HR176"/>
      <c r="HS176"/>
      <c r="HT176"/>
      <c r="HU176"/>
      <c r="HV176"/>
      <c r="HW176"/>
      <c r="HX176"/>
      <c r="HY176"/>
      <c r="HZ176"/>
      <c r="IA176"/>
      <c r="IB176"/>
      <c r="IC176"/>
      <c r="ID176"/>
      <c r="IE176"/>
      <c r="IF176"/>
      <c r="IG176"/>
      <c r="IH176"/>
      <c r="II176"/>
      <c r="IJ176"/>
      <c r="IK176"/>
      <c r="IL176"/>
      <c r="IM176"/>
      <c r="IN176"/>
      <c r="IO176"/>
      <c r="IP176"/>
      <c r="IQ176"/>
      <c r="IR176"/>
      <c r="IS176"/>
      <c r="IT176"/>
      <c r="IU176"/>
      <c r="IV176"/>
      <c r="IW176"/>
      <c r="IX176"/>
    </row>
    <row r="177" spans="1:258" s="408" customFormat="1" x14ac:dyDescent="0.2">
      <c r="A177" s="109" t="s">
        <v>421</v>
      </c>
      <c r="B177" s="110"/>
      <c r="C177" s="110"/>
      <c r="D177" s="110"/>
      <c r="E177" s="110"/>
      <c r="F177" s="404"/>
      <c r="G177" s="110"/>
      <c r="H177" s="110"/>
      <c r="I177" s="110"/>
      <c r="J177" s="110"/>
      <c r="K177" s="404"/>
      <c r="L177" s="110"/>
      <c r="M177" s="110"/>
      <c r="N177" s="110"/>
      <c r="O177" s="110"/>
      <c r="P177" s="404"/>
      <c r="Q177" s="110">
        <v>59</v>
      </c>
      <c r="R177" s="110">
        <v>57</v>
      </c>
      <c r="S177" s="110">
        <v>55</v>
      </c>
      <c r="T177" s="110">
        <v>66</v>
      </c>
      <c r="U177" s="404">
        <v>237</v>
      </c>
      <c r="V177" s="110">
        <v>61</v>
      </c>
      <c r="W177" s="110">
        <v>57</v>
      </c>
      <c r="X177" s="110">
        <v>48</v>
      </c>
      <c r="Y177" s="110">
        <v>60</v>
      </c>
      <c r="Z177" s="404">
        <v>226</v>
      </c>
      <c r="AA177" s="110">
        <v>57</v>
      </c>
      <c r="AB177" s="110">
        <v>56</v>
      </c>
      <c r="AC177" s="110">
        <v>54</v>
      </c>
      <c r="AD177" s="110">
        <v>58</v>
      </c>
      <c r="AE177" s="404">
        <v>225</v>
      </c>
      <c r="AF177" s="110">
        <v>58</v>
      </c>
      <c r="AG177" s="110">
        <v>57</v>
      </c>
      <c r="AH177" s="110">
        <v>55</v>
      </c>
      <c r="AI177" s="110">
        <v>58</v>
      </c>
      <c r="AJ177" s="404">
        <v>228</v>
      </c>
      <c r="AK177" s="110">
        <v>73</v>
      </c>
      <c r="AL177" s="110">
        <v>75</v>
      </c>
      <c r="AM177" s="110">
        <v>69</v>
      </c>
      <c r="AN177" s="110">
        <v>93</v>
      </c>
      <c r="AO177" s="404">
        <v>310</v>
      </c>
      <c r="AP177" s="110">
        <v>85</v>
      </c>
      <c r="AQ177" s="110">
        <v>73</v>
      </c>
      <c r="AR177" s="110">
        <v>66</v>
      </c>
      <c r="AS177" s="110">
        <v>76</v>
      </c>
      <c r="AT177" s="404">
        <v>300</v>
      </c>
      <c r="AU177" s="110">
        <v>67</v>
      </c>
      <c r="AV177" s="110">
        <v>62</v>
      </c>
      <c r="AW177" s="110">
        <v>58</v>
      </c>
      <c r="AX177" s="110">
        <v>65</v>
      </c>
      <c r="AY177" s="404">
        <v>252</v>
      </c>
      <c r="AZ177" s="110">
        <v>54</v>
      </c>
      <c r="BA177" s="110">
        <v>64</v>
      </c>
      <c r="BB177" s="110">
        <v>87</v>
      </c>
      <c r="BC177" s="110">
        <v>113.4</v>
      </c>
      <c r="BD177" s="404">
        <v>318.39999999999998</v>
      </c>
      <c r="BE177" s="110">
        <v>139</v>
      </c>
      <c r="BF177" s="110">
        <v>133</v>
      </c>
      <c r="BG177" s="110">
        <v>138</v>
      </c>
      <c r="BH177" s="110">
        <v>168</v>
      </c>
      <c r="BI177" s="404">
        <f>SUM(BE177:BH177)</f>
        <v>578</v>
      </c>
      <c r="BJ177" s="110">
        <v>154</v>
      </c>
      <c r="BK177" s="110">
        <v>131</v>
      </c>
      <c r="BL177" s="110">
        <v>123</v>
      </c>
      <c r="BM177" s="110">
        <v>117</v>
      </c>
      <c r="BN177" s="404">
        <f>SUM(BJ177:BM177)</f>
        <v>525</v>
      </c>
      <c r="BO177" s="110">
        <v>104</v>
      </c>
      <c r="BP177" s="110">
        <v>112</v>
      </c>
      <c r="BQ177" s="110">
        <v>109</v>
      </c>
      <c r="BR177" s="110">
        <v>124</v>
      </c>
      <c r="BS177" s="404">
        <f>SUM(BO177:BR177)</f>
        <v>449</v>
      </c>
      <c r="BT177" s="110">
        <v>158</v>
      </c>
      <c r="BU177" s="110">
        <v>136</v>
      </c>
      <c r="BV177" s="110">
        <v>132</v>
      </c>
      <c r="BW177" s="110">
        <v>140</v>
      </c>
      <c r="BX177" s="404">
        <f>SUM(BT177:BW177)</f>
        <v>566</v>
      </c>
      <c r="BY177" s="110">
        <v>154</v>
      </c>
      <c r="BZ177" s="110">
        <v>151</v>
      </c>
      <c r="CA177" s="110">
        <v>162</v>
      </c>
      <c r="CB177" s="110">
        <v>189</v>
      </c>
      <c r="CC177" s="404">
        <f>SUM(BY177:CB177)</f>
        <v>656</v>
      </c>
      <c r="CD177" s="110">
        <v>179</v>
      </c>
      <c r="CE177" s="110">
        <v>176</v>
      </c>
      <c r="CF177" s="110">
        <v>188</v>
      </c>
      <c r="CG177" s="110">
        <v>240</v>
      </c>
      <c r="CH177" s="404">
        <f>SUM(CD177:CG177)</f>
        <v>783</v>
      </c>
      <c r="CI177" s="110">
        <v>253</v>
      </c>
      <c r="CJ177" s="110">
        <v>288</v>
      </c>
      <c r="CK177" s="110">
        <v>300</v>
      </c>
      <c r="CL177" s="110">
        <v>271</v>
      </c>
      <c r="CM177" s="404">
        <f>SUM(CI177:CL177)</f>
        <v>1112</v>
      </c>
      <c r="CN177" s="110">
        <v>284</v>
      </c>
      <c r="CO177" s="110">
        <v>316</v>
      </c>
      <c r="CP177" s="110">
        <v>330</v>
      </c>
      <c r="CQ177" s="110">
        <v>382</v>
      </c>
      <c r="CR177" s="404">
        <f>SUM(CN177:CQ177)</f>
        <v>1312</v>
      </c>
      <c r="CS177" s="110">
        <v>441</v>
      </c>
      <c r="CT177" s="110">
        <v>537</v>
      </c>
      <c r="CU177" s="110">
        <v>508</v>
      </c>
      <c r="CV177" s="110">
        <v>331</v>
      </c>
      <c r="CW177" s="404">
        <f>SUM(CS177:CV177)</f>
        <v>1817</v>
      </c>
      <c r="CX177" s="110">
        <v>191</v>
      </c>
      <c r="CY177" s="110">
        <v>185</v>
      </c>
      <c r="CZ177" s="110">
        <v>223</v>
      </c>
      <c r="DA177" s="110">
        <v>250</v>
      </c>
      <c r="DB177" s="404">
        <f>SUM(CX177:DA177)</f>
        <v>849</v>
      </c>
      <c r="DC177" s="110">
        <v>283</v>
      </c>
      <c r="DD177" s="110">
        <v>304</v>
      </c>
      <c r="DE177" s="110">
        <v>279</v>
      </c>
      <c r="DF177" s="110">
        <v>346</v>
      </c>
      <c r="DG177" s="406">
        <f>SUM(DC177:DF177)</f>
        <v>1212</v>
      </c>
      <c r="DH177" s="110">
        <v>402</v>
      </c>
      <c r="DI177" s="110">
        <v>431</v>
      </c>
      <c r="DJ177" s="110">
        <v>412</v>
      </c>
      <c r="DK177" s="110">
        <v>423</v>
      </c>
      <c r="DL177" s="406">
        <f>SUM(DH177:DK177)</f>
        <v>1668</v>
      </c>
      <c r="DM177" s="110">
        <v>444</v>
      </c>
      <c r="DN177" s="110">
        <v>410</v>
      </c>
      <c r="DO177" s="110">
        <v>397</v>
      </c>
      <c r="DP177" s="110">
        <v>421</v>
      </c>
      <c r="DQ177" s="406">
        <f>SUM(DM177:DP177)</f>
        <v>1672</v>
      </c>
      <c r="DR177" s="110">
        <v>444</v>
      </c>
      <c r="DS177" s="110">
        <v>397</v>
      </c>
      <c r="DT177" s="407">
        <f>407-16</f>
        <v>391</v>
      </c>
      <c r="DU177" s="110">
        <v>408</v>
      </c>
      <c r="DV177" s="406">
        <f>SUM(DR177:DU177)</f>
        <v>1640</v>
      </c>
      <c r="DW177" s="110">
        <v>446</v>
      </c>
      <c r="DX177" s="110">
        <v>416</v>
      </c>
      <c r="DY177" s="407">
        <v>393</v>
      </c>
      <c r="DZ177" s="110">
        <v>361</v>
      </c>
      <c r="EA177" s="406">
        <f>SUM(DW177:DZ177)</f>
        <v>1616</v>
      </c>
      <c r="EB177" s="110">
        <v>270</v>
      </c>
      <c r="EC177" s="110">
        <v>263</v>
      </c>
      <c r="ED177" s="407">
        <v>223</v>
      </c>
      <c r="EE177" s="110">
        <v>201</v>
      </c>
      <c r="EF177" s="406">
        <f>SUM(EB177:EE177)</f>
        <v>957</v>
      </c>
      <c r="EG177" s="110">
        <v>150</v>
      </c>
      <c r="EH177" s="110">
        <v>172</v>
      </c>
      <c r="EI177" s="407">
        <v>174</v>
      </c>
      <c r="EJ177" s="110">
        <v>217</v>
      </c>
      <c r="EK177" s="406">
        <f>SUM(EG177:EJ177)</f>
        <v>713</v>
      </c>
      <c r="EL177" s="110">
        <v>218</v>
      </c>
      <c r="EM177" s="110">
        <v>198</v>
      </c>
      <c r="EN177" s="407">
        <v>205</v>
      </c>
      <c r="EO177" s="110">
        <v>243</v>
      </c>
      <c r="EP177" s="406">
        <f>SUM(EL177:EO177)</f>
        <v>864</v>
      </c>
      <c r="EQ177" s="110">
        <v>255</v>
      </c>
      <c r="ER177" s="407">
        <f t="shared" ref="ER177" si="930">ER184*ER180+ER189</f>
        <v>244.24502571694734</v>
      </c>
      <c r="ES177" s="407">
        <f t="shared" ref="ES177:ET177" si="931">ES184*ES180+ES189</f>
        <v>242.47715033262665</v>
      </c>
      <c r="ET177" s="407">
        <f t="shared" si="931"/>
        <v>266.73203422167785</v>
      </c>
      <c r="EU177" s="406">
        <f>SUM(EQ177:ET177)</f>
        <v>1008.4542102712519</v>
      </c>
      <c r="EV177" s="407"/>
      <c r="EW177" s="407"/>
      <c r="EX177" s="407"/>
      <c r="EY177" s="407"/>
      <c r="EZ177" s="406">
        <f>EZ184*EZ180+EZ189</f>
        <v>998.81993478187019</v>
      </c>
      <c r="FA177" s="407"/>
      <c r="FB177" s="407"/>
      <c r="FC177" s="407"/>
      <c r="FD177" s="407"/>
      <c r="FE177" s="406">
        <f>FE184*FE180+FE189</f>
        <v>984.39230436176024</v>
      </c>
      <c r="FG177" s="464"/>
      <c r="FH177" s="790"/>
      <c r="FI177" s="790"/>
      <c r="FJ177" s="790"/>
      <c r="FL177" s="1358"/>
      <c r="FM177" s="1569">
        <f t="shared" si="858"/>
        <v>255</v>
      </c>
      <c r="FN177" s="775">
        <f t="shared" si="859"/>
        <v>218</v>
      </c>
      <c r="FO177" s="1862">
        <v>254.25179230443908</v>
      </c>
      <c r="FP177" s="1748">
        <f>+FM177/FN177-1</f>
        <v>0.16972477064220182</v>
      </c>
      <c r="FQ177" s="1520">
        <f>+FM177/FO177-1</f>
        <v>2.942782384263376E-3</v>
      </c>
      <c r="FR177" s="1625"/>
      <c r="FS177" s="1297"/>
      <c r="FT177" s="409"/>
      <c r="FU177" s="409"/>
      <c r="FV177" s="409"/>
      <c r="FW177" s="409"/>
      <c r="FX177" s="409"/>
      <c r="FY177" s="409"/>
      <c r="FZ177" s="464"/>
      <c r="GA177"/>
      <c r="GB177"/>
      <c r="GC177"/>
      <c r="GD177"/>
      <c r="GE177"/>
      <c r="GF177"/>
      <c r="GG177"/>
      <c r="GH177"/>
      <c r="GI177"/>
      <c r="GJ177"/>
      <c r="GK177"/>
      <c r="GL177"/>
      <c r="GM177"/>
      <c r="GN177"/>
      <c r="GO177"/>
      <c r="GP177"/>
      <c r="GQ177"/>
      <c r="GR177"/>
      <c r="GS177"/>
      <c r="GT177"/>
      <c r="GU177"/>
      <c r="GV177"/>
      <c r="GW177"/>
      <c r="GX177"/>
      <c r="GY177"/>
      <c r="GZ177"/>
      <c r="HA177"/>
      <c r="HB177"/>
      <c r="HC177"/>
      <c r="HD177"/>
      <c r="HE177"/>
      <c r="HF177"/>
      <c r="HG177"/>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c r="IS177"/>
      <c r="IT177"/>
      <c r="IU177"/>
      <c r="IV177"/>
      <c r="IW177"/>
      <c r="IX177"/>
    </row>
    <row r="178" spans="1:258" s="186" customFormat="1" x14ac:dyDescent="0.2">
      <c r="A178" s="383" t="s">
        <v>465</v>
      </c>
      <c r="B178" s="10"/>
      <c r="C178" s="10"/>
      <c r="D178" s="10"/>
      <c r="E178" s="10"/>
      <c r="F178" s="9"/>
      <c r="G178" s="10"/>
      <c r="H178" s="10"/>
      <c r="I178" s="10"/>
      <c r="J178" s="10"/>
      <c r="K178" s="9"/>
      <c r="L178" s="10"/>
      <c r="M178" s="10"/>
      <c r="N178" s="10"/>
      <c r="O178" s="10"/>
      <c r="P178" s="9"/>
      <c r="Q178" s="10"/>
      <c r="R178" s="10"/>
      <c r="S178" s="10"/>
      <c r="T178" s="10"/>
      <c r="U178" s="9"/>
      <c r="V178" s="10"/>
      <c r="W178" s="10"/>
      <c r="X178" s="10"/>
      <c r="Y178" s="10"/>
      <c r="Z178" s="9"/>
      <c r="AA178" s="10"/>
      <c r="AB178" s="10"/>
      <c r="AC178" s="10"/>
      <c r="AD178" s="10"/>
      <c r="AE178" s="9"/>
      <c r="AF178" s="10"/>
      <c r="AG178" s="10"/>
      <c r="AH178" s="10"/>
      <c r="AI178" s="10"/>
      <c r="AJ178" s="9"/>
      <c r="AK178" s="10">
        <f t="shared" ref="AK178:BP178" si="932">AK177/AF177-1</f>
        <v>0.25862068965517238</v>
      </c>
      <c r="AL178" s="10">
        <f t="shared" si="932"/>
        <v>0.31578947368421062</v>
      </c>
      <c r="AM178" s="10">
        <f t="shared" si="932"/>
        <v>0.25454545454545463</v>
      </c>
      <c r="AN178" s="10">
        <f t="shared" si="932"/>
        <v>0.60344827586206895</v>
      </c>
      <c r="AO178" s="9">
        <f t="shared" si="932"/>
        <v>0.35964912280701755</v>
      </c>
      <c r="AP178" s="10">
        <f t="shared" si="932"/>
        <v>0.16438356164383561</v>
      </c>
      <c r="AQ178" s="10">
        <f t="shared" si="932"/>
        <v>-2.6666666666666616E-2</v>
      </c>
      <c r="AR178" s="10">
        <f t="shared" si="932"/>
        <v>-4.3478260869565188E-2</v>
      </c>
      <c r="AS178" s="10">
        <f t="shared" si="932"/>
        <v>-0.18279569892473113</v>
      </c>
      <c r="AT178" s="9">
        <f t="shared" si="932"/>
        <v>-3.2258064516129004E-2</v>
      </c>
      <c r="AU178" s="10">
        <f t="shared" si="932"/>
        <v>-0.21176470588235297</v>
      </c>
      <c r="AV178" s="10">
        <f t="shared" si="932"/>
        <v>-0.15068493150684936</v>
      </c>
      <c r="AW178" s="10">
        <f t="shared" si="932"/>
        <v>-0.12121212121212122</v>
      </c>
      <c r="AX178" s="10">
        <f t="shared" si="932"/>
        <v>-0.14473684210526316</v>
      </c>
      <c r="AY178" s="9">
        <f t="shared" si="932"/>
        <v>-0.16000000000000003</v>
      </c>
      <c r="AZ178" s="10">
        <f t="shared" si="932"/>
        <v>-0.19402985074626866</v>
      </c>
      <c r="BA178" s="10">
        <f t="shared" si="932"/>
        <v>3.2258064516129004E-2</v>
      </c>
      <c r="BB178" s="10">
        <f t="shared" si="932"/>
        <v>0.5</v>
      </c>
      <c r="BC178" s="10">
        <f t="shared" si="932"/>
        <v>0.74461538461538468</v>
      </c>
      <c r="BD178" s="9">
        <f t="shared" si="932"/>
        <v>0.26349206349206344</v>
      </c>
      <c r="BE178" s="10">
        <f t="shared" si="932"/>
        <v>1.574074074074074</v>
      </c>
      <c r="BF178" s="10">
        <f t="shared" si="932"/>
        <v>1.078125</v>
      </c>
      <c r="BG178" s="10">
        <f t="shared" si="932"/>
        <v>0.5862068965517242</v>
      </c>
      <c r="BH178" s="10">
        <f t="shared" si="932"/>
        <v>0.4814814814814814</v>
      </c>
      <c r="BI178" s="9">
        <f t="shared" si="932"/>
        <v>0.81532663316582932</v>
      </c>
      <c r="BJ178" s="10">
        <f>BJ177/BE177-1</f>
        <v>0.1079136690647482</v>
      </c>
      <c r="BK178" s="10">
        <f>BK177/BF177-1</f>
        <v>-1.5037593984962405E-2</v>
      </c>
      <c r="BL178" s="10">
        <f>BL177/BG177-1</f>
        <v>-0.10869565217391308</v>
      </c>
      <c r="BM178" s="10">
        <f>BM177/BH177-1</f>
        <v>-0.3035714285714286</v>
      </c>
      <c r="BN178" s="9">
        <f>BN177/BI177-1</f>
        <v>-9.1695501730103768E-2</v>
      </c>
      <c r="BO178" s="10">
        <f t="shared" si="932"/>
        <v>-0.32467532467532467</v>
      </c>
      <c r="BP178" s="10">
        <f t="shared" si="932"/>
        <v>-0.14503816793893132</v>
      </c>
      <c r="BQ178" s="10">
        <f t="shared" ref="BQ178:CV178" si="933">BQ177/BL177-1</f>
        <v>-0.11382113821138207</v>
      </c>
      <c r="BR178" s="10">
        <f t="shared" si="933"/>
        <v>5.9829059829059839E-2</v>
      </c>
      <c r="BS178" s="9">
        <f t="shared" si="933"/>
        <v>-0.14476190476190476</v>
      </c>
      <c r="BT178" s="10">
        <f t="shared" si="933"/>
        <v>0.51923076923076916</v>
      </c>
      <c r="BU178" s="10">
        <f t="shared" si="933"/>
        <v>0.21428571428571419</v>
      </c>
      <c r="BV178" s="10">
        <f t="shared" si="933"/>
        <v>0.21100917431192667</v>
      </c>
      <c r="BW178" s="10">
        <f t="shared" si="933"/>
        <v>0.12903225806451624</v>
      </c>
      <c r="BX178" s="9">
        <f t="shared" si="933"/>
        <v>0.26057906458797331</v>
      </c>
      <c r="BY178" s="10">
        <f t="shared" si="933"/>
        <v>-2.5316455696202556E-2</v>
      </c>
      <c r="BZ178" s="10">
        <f t="shared" si="933"/>
        <v>0.11029411764705888</v>
      </c>
      <c r="CA178" s="10">
        <f t="shared" si="933"/>
        <v>0.22727272727272729</v>
      </c>
      <c r="CB178" s="10">
        <f t="shared" si="933"/>
        <v>0.35000000000000009</v>
      </c>
      <c r="CC178" s="9">
        <f t="shared" si="933"/>
        <v>0.1590106007067138</v>
      </c>
      <c r="CD178" s="10">
        <f t="shared" si="933"/>
        <v>0.16233766233766245</v>
      </c>
      <c r="CE178" s="10">
        <f t="shared" si="933"/>
        <v>0.16556291390728473</v>
      </c>
      <c r="CF178" s="10">
        <f t="shared" si="933"/>
        <v>0.16049382716049387</v>
      </c>
      <c r="CG178" s="10">
        <f t="shared" si="933"/>
        <v>0.26984126984126977</v>
      </c>
      <c r="CH178" s="9">
        <f t="shared" si="933"/>
        <v>0.19359756097560976</v>
      </c>
      <c r="CI178" s="10">
        <f t="shared" si="933"/>
        <v>0.41340782122905018</v>
      </c>
      <c r="CJ178" s="10">
        <f t="shared" si="933"/>
        <v>0.63636363636363646</v>
      </c>
      <c r="CK178" s="10">
        <f t="shared" si="933"/>
        <v>0.5957446808510638</v>
      </c>
      <c r="CL178" s="10">
        <f t="shared" si="933"/>
        <v>0.12916666666666665</v>
      </c>
      <c r="CM178" s="9">
        <f t="shared" si="933"/>
        <v>0.42017879948914438</v>
      </c>
      <c r="CN178" s="10">
        <f t="shared" si="933"/>
        <v>0.12252964426877466</v>
      </c>
      <c r="CO178" s="10">
        <f t="shared" si="933"/>
        <v>9.7222222222222321E-2</v>
      </c>
      <c r="CP178" s="10">
        <f t="shared" si="933"/>
        <v>0.10000000000000009</v>
      </c>
      <c r="CQ178" s="10">
        <f t="shared" si="933"/>
        <v>0.40959409594095941</v>
      </c>
      <c r="CR178" s="9">
        <f t="shared" si="933"/>
        <v>0.17985611510791366</v>
      </c>
      <c r="CS178" s="10">
        <f t="shared" si="933"/>
        <v>0.55281690140845074</v>
      </c>
      <c r="CT178" s="10">
        <f t="shared" si="933"/>
        <v>0.69936708860759489</v>
      </c>
      <c r="CU178" s="10">
        <f t="shared" si="933"/>
        <v>0.53939393939393931</v>
      </c>
      <c r="CV178" s="10">
        <f t="shared" si="933"/>
        <v>-0.13350785340314131</v>
      </c>
      <c r="CW178" s="9">
        <f t="shared" ref="CW178:ED178" si="934">CW177/CR177-1</f>
        <v>0.38490853658536595</v>
      </c>
      <c r="CX178" s="10">
        <f t="shared" si="934"/>
        <v>-0.56689342403628118</v>
      </c>
      <c r="CY178" s="10">
        <f t="shared" si="934"/>
        <v>-0.65549348230912474</v>
      </c>
      <c r="CZ178" s="10">
        <f t="shared" si="934"/>
        <v>-0.5610236220472441</v>
      </c>
      <c r="DA178" s="10">
        <f t="shared" si="934"/>
        <v>-0.24471299093655585</v>
      </c>
      <c r="DB178" s="9">
        <f t="shared" si="934"/>
        <v>-0.53274628508530553</v>
      </c>
      <c r="DC178" s="10">
        <f t="shared" si="934"/>
        <v>0.48167539267015713</v>
      </c>
      <c r="DD178" s="10">
        <f t="shared" si="934"/>
        <v>0.64324324324324333</v>
      </c>
      <c r="DE178" s="10">
        <f t="shared" si="934"/>
        <v>0.25112107623318392</v>
      </c>
      <c r="DF178" s="10">
        <f t="shared" si="934"/>
        <v>0.3839999999999999</v>
      </c>
      <c r="DG178" s="9">
        <f t="shared" si="934"/>
        <v>0.42756183745583032</v>
      </c>
      <c r="DH178" s="10">
        <f t="shared" si="934"/>
        <v>0.42049469964664321</v>
      </c>
      <c r="DI178" s="10">
        <f t="shared" si="934"/>
        <v>0.41776315789473695</v>
      </c>
      <c r="DJ178" s="10">
        <f t="shared" si="934"/>
        <v>0.47670250896057342</v>
      </c>
      <c r="DK178" s="10">
        <f t="shared" si="934"/>
        <v>0.22254335260115599</v>
      </c>
      <c r="DL178" s="9">
        <f>DL177/DG177-1</f>
        <v>0.37623762376237613</v>
      </c>
      <c r="DM178" s="10">
        <f t="shared" si="934"/>
        <v>0.10447761194029859</v>
      </c>
      <c r="DN178" s="10">
        <f t="shared" si="934"/>
        <v>-4.8723897911832958E-2</v>
      </c>
      <c r="DO178" s="10">
        <f t="shared" si="934"/>
        <v>-3.6407766990291246E-2</v>
      </c>
      <c r="DP178" s="10">
        <f t="shared" si="934"/>
        <v>-4.7281323877068626E-3</v>
      </c>
      <c r="DQ178" s="9">
        <f t="shared" ref="DQ178:DV178" si="935">DQ177/DL177-1</f>
        <v>2.3980815347721673E-3</v>
      </c>
      <c r="DR178" s="10">
        <f t="shared" si="934"/>
        <v>0</v>
      </c>
      <c r="DS178" s="10">
        <f t="shared" si="934"/>
        <v>-3.170731707317076E-2</v>
      </c>
      <c r="DT178" s="10">
        <f t="shared" si="935"/>
        <v>-1.5113350125944613E-2</v>
      </c>
      <c r="DU178" s="10">
        <f t="shared" si="934"/>
        <v>-3.0878859857482177E-2</v>
      </c>
      <c r="DV178" s="9">
        <f t="shared" si="935"/>
        <v>-1.9138755980861233E-2</v>
      </c>
      <c r="DW178" s="10">
        <f t="shared" si="934"/>
        <v>4.5045045045044585E-3</v>
      </c>
      <c r="DX178" s="10">
        <f t="shared" si="934"/>
        <v>4.7858942065491128E-2</v>
      </c>
      <c r="DY178" s="10">
        <f t="shared" si="934"/>
        <v>5.1150895140665842E-3</v>
      </c>
      <c r="DZ178" s="10">
        <f t="shared" si="934"/>
        <v>-0.11519607843137258</v>
      </c>
      <c r="EA178" s="9">
        <f>EA177/DV177-1</f>
        <v>-1.4634146341463428E-2</v>
      </c>
      <c r="EB178" s="10">
        <f t="shared" si="934"/>
        <v>-0.39461883408071752</v>
      </c>
      <c r="EC178" s="10">
        <f t="shared" si="934"/>
        <v>-0.36778846153846156</v>
      </c>
      <c r="ED178" s="10">
        <f t="shared" si="934"/>
        <v>-0.43256997455470736</v>
      </c>
      <c r="EE178" s="10">
        <f t="shared" ref="EE178:EI178" si="936">EE177/DZ177-1</f>
        <v>-0.44321329639889195</v>
      </c>
      <c r="EF178" s="9">
        <f t="shared" si="936"/>
        <v>-0.40779702970297027</v>
      </c>
      <c r="EG178" s="10">
        <f t="shared" si="936"/>
        <v>-0.44444444444444442</v>
      </c>
      <c r="EH178" s="10">
        <f t="shared" si="936"/>
        <v>-0.3460076045627376</v>
      </c>
      <c r="EI178" s="10">
        <f t="shared" si="936"/>
        <v>-0.21973094170403584</v>
      </c>
      <c r="EJ178" s="10">
        <f t="shared" ref="EJ178" si="937">EJ177/EE177-1</f>
        <v>7.9601990049751326E-2</v>
      </c>
      <c r="EK178" s="9">
        <f t="shared" ref="EK178:EQ178" si="938">EK177/EF177-1</f>
        <v>-0.25496342737722044</v>
      </c>
      <c r="EL178" s="10">
        <f t="shared" si="938"/>
        <v>0.45333333333333337</v>
      </c>
      <c r="EM178" s="10">
        <f t="shared" si="938"/>
        <v>0.15116279069767447</v>
      </c>
      <c r="EN178" s="10">
        <f t="shared" si="938"/>
        <v>0.17816091954022983</v>
      </c>
      <c r="EO178" s="10">
        <f t="shared" si="938"/>
        <v>0.1198156682027649</v>
      </c>
      <c r="EP178" s="9">
        <f t="shared" si="938"/>
        <v>0.21178120617110796</v>
      </c>
      <c r="EQ178" s="10">
        <f t="shared" si="938"/>
        <v>0.16972477064220182</v>
      </c>
      <c r="ER178" s="10">
        <f t="shared" ref="ER178" si="939">ER177/EM177-1</f>
        <v>0.23356073594417848</v>
      </c>
      <c r="ES178" s="10">
        <f t="shared" ref="ES178:EU178" si="940">ES177/EN177-1</f>
        <v>0.18281536747622762</v>
      </c>
      <c r="ET178" s="10">
        <f t="shared" si="940"/>
        <v>9.7662692270279239E-2</v>
      </c>
      <c r="EU178" s="9">
        <f t="shared" si="940"/>
        <v>0.16719237299913403</v>
      </c>
      <c r="EV178" s="185"/>
      <c r="EW178" s="185"/>
      <c r="EX178" s="185"/>
      <c r="EY178" s="185"/>
      <c r="EZ178" s="9">
        <f>EZ177/EU177-1</f>
        <v>-9.5535081228826924E-3</v>
      </c>
      <c r="FA178" s="185"/>
      <c r="FB178" s="185"/>
      <c r="FC178" s="185"/>
      <c r="FD178" s="185"/>
      <c r="FE178" s="9">
        <f>FE177/EZ177-1</f>
        <v>-1.4444676079939045E-2</v>
      </c>
      <c r="FG178" s="464"/>
      <c r="FH178" s="780"/>
      <c r="FI178" s="780"/>
      <c r="FJ178" s="780"/>
      <c r="FL178" s="1348"/>
      <c r="FM178" s="1141">
        <f t="shared" si="858"/>
        <v>0.16972477064220182</v>
      </c>
      <c r="FN178" s="1418">
        <f t="shared" si="859"/>
        <v>0.45333333333333337</v>
      </c>
      <c r="FO178" s="1750">
        <v>0.16629262524972055</v>
      </c>
      <c r="FP178" s="1751"/>
      <c r="FQ178" s="1503">
        <f>+(FM178-FO178)*10000</f>
        <v>34.321453924812673</v>
      </c>
      <c r="FR178" s="1619"/>
      <c r="FS178" s="1619"/>
      <c r="FT178" s="432"/>
      <c r="FU178" s="432"/>
      <c r="FV178" s="1646">
        <f>+FV176+20</f>
        <v>503</v>
      </c>
      <c r="FW178" s="432"/>
      <c r="FX178" s="432"/>
      <c r="FY178" s="432"/>
      <c r="FZ178" s="464"/>
      <c r="GA178"/>
      <c r="GB178"/>
      <c r="GC178"/>
      <c r="GD178"/>
      <c r="GE178"/>
      <c r="GF178"/>
      <c r="GG178"/>
      <c r="GH178"/>
      <c r="GI178"/>
      <c r="GJ178"/>
      <c r="GK178"/>
      <c r="GL178"/>
      <c r="GM178"/>
      <c r="GN178"/>
      <c r="GO178"/>
      <c r="GP178"/>
      <c r="GQ178"/>
      <c r="GR178"/>
      <c r="GS178"/>
      <c r="GT178"/>
      <c r="GU178"/>
      <c r="GV178"/>
      <c r="GW178"/>
      <c r="GX178"/>
      <c r="GY178"/>
      <c r="GZ178"/>
      <c r="HA178"/>
      <c r="HB178"/>
      <c r="HC178"/>
      <c r="HD178"/>
      <c r="HE178"/>
      <c r="HF178"/>
      <c r="HG178"/>
      <c r="HH178"/>
      <c r="HI178"/>
      <c r="HJ178"/>
      <c r="HK178"/>
      <c r="HL178"/>
      <c r="HM178"/>
      <c r="HN178"/>
      <c r="HO178"/>
      <c r="HP178"/>
      <c r="HQ178"/>
      <c r="HR178"/>
      <c r="HS178"/>
      <c r="HT178"/>
      <c r="HU178"/>
      <c r="HV178"/>
      <c r="HW178"/>
      <c r="HX178"/>
      <c r="HY178"/>
      <c r="HZ178"/>
      <c r="IA178"/>
      <c r="IB178"/>
      <c r="IC178"/>
      <c r="ID178"/>
      <c r="IE178"/>
      <c r="IF178"/>
      <c r="IG178"/>
      <c r="IH178"/>
      <c r="II178"/>
      <c r="IJ178"/>
      <c r="IK178"/>
      <c r="IL178"/>
      <c r="IM178"/>
      <c r="IN178"/>
      <c r="IO178"/>
      <c r="IP178"/>
      <c r="IQ178"/>
      <c r="IR178"/>
      <c r="IS178"/>
      <c r="IT178"/>
      <c r="IU178"/>
      <c r="IV178"/>
      <c r="IW178"/>
      <c r="IX178"/>
    </row>
    <row r="179" spans="1:258" s="42" customFormat="1" x14ac:dyDescent="0.2">
      <c r="A179" s="568" t="s">
        <v>414</v>
      </c>
      <c r="B179" s="340"/>
      <c r="C179" s="340"/>
      <c r="D179" s="340"/>
      <c r="E179" s="77"/>
      <c r="F179" s="75"/>
      <c r="G179" s="340"/>
      <c r="H179" s="340"/>
      <c r="I179" s="340"/>
      <c r="J179" s="77"/>
      <c r="K179" s="75"/>
      <c r="L179" s="340"/>
      <c r="M179" s="340"/>
      <c r="N179" s="340"/>
      <c r="O179" s="77"/>
      <c r="P179" s="75"/>
      <c r="Q179" s="340">
        <f t="shared" ref="Q179:AV179" si="941">Q177/Q$223</f>
        <v>5.2212389380530973E-2</v>
      </c>
      <c r="R179" s="340">
        <f t="shared" si="941"/>
        <v>5.188893946290396E-2</v>
      </c>
      <c r="S179" s="340">
        <f t="shared" si="941"/>
        <v>5.0551470588235295E-2</v>
      </c>
      <c r="T179" s="77">
        <f t="shared" si="941"/>
        <v>6.0384263494967977E-2</v>
      </c>
      <c r="U179" s="75">
        <f t="shared" si="941"/>
        <v>5.3747590429753939E-2</v>
      </c>
      <c r="V179" s="340">
        <f t="shared" si="941"/>
        <v>5.5054151624548735E-2</v>
      </c>
      <c r="W179" s="340">
        <f t="shared" si="941"/>
        <v>5.2631578947368418E-2</v>
      </c>
      <c r="X179" s="340">
        <f t="shared" si="941"/>
        <v>4.3956043956043959E-2</v>
      </c>
      <c r="Y179" s="77">
        <f t="shared" si="941"/>
        <v>5.4995417048579284E-2</v>
      </c>
      <c r="Z179" s="75">
        <f t="shared" si="941"/>
        <v>5.1668952903520804E-2</v>
      </c>
      <c r="AA179" s="340">
        <f t="shared" si="941"/>
        <v>4.9956178790534621E-2</v>
      </c>
      <c r="AB179" s="340">
        <f t="shared" si="941"/>
        <v>4.9955396966993755E-2</v>
      </c>
      <c r="AC179" s="340">
        <f t="shared" si="941"/>
        <v>4.7535211267605633E-2</v>
      </c>
      <c r="AD179" s="77">
        <f t="shared" si="941"/>
        <v>5.0921861281826165E-2</v>
      </c>
      <c r="AE179" s="75">
        <f t="shared" si="941"/>
        <v>4.9592241569318934E-2</v>
      </c>
      <c r="AF179" s="340">
        <f t="shared" si="941"/>
        <v>5.2064631956912029E-2</v>
      </c>
      <c r="AG179" s="340">
        <f t="shared" si="941"/>
        <v>5.1121076233183856E-2</v>
      </c>
      <c r="AH179" s="340">
        <f t="shared" si="941"/>
        <v>5.0458715596330278E-2</v>
      </c>
      <c r="AI179" s="77">
        <f t="shared" si="941"/>
        <v>5.2158273381294966E-2</v>
      </c>
      <c r="AJ179" s="75">
        <f t="shared" si="941"/>
        <v>5.145565335138795E-2</v>
      </c>
      <c r="AK179" s="340">
        <f t="shared" si="941"/>
        <v>6.535362578334826E-2</v>
      </c>
      <c r="AL179" s="340">
        <f t="shared" si="941"/>
        <v>6.7934782608695649E-2</v>
      </c>
      <c r="AM179" s="340">
        <f t="shared" si="941"/>
        <v>6.3535911602209949E-2</v>
      </c>
      <c r="AN179" s="77">
        <f t="shared" si="941"/>
        <v>8.4545454545454549E-2</v>
      </c>
      <c r="AO179" s="75">
        <f t="shared" si="941"/>
        <v>7.0342636714318132E-2</v>
      </c>
      <c r="AP179" s="340">
        <f t="shared" si="941"/>
        <v>7.5960679177837359E-2</v>
      </c>
      <c r="AQ179" s="340">
        <f t="shared" si="941"/>
        <v>6.8416119962511721E-2</v>
      </c>
      <c r="AR179" s="340">
        <f t="shared" si="941"/>
        <v>6.0273972602739728E-2</v>
      </c>
      <c r="AS179" s="77">
        <f t="shared" si="941"/>
        <v>6.8965517241379309E-2</v>
      </c>
      <c r="AT179" s="75">
        <f t="shared" si="941"/>
        <v>6.8446269678302529E-2</v>
      </c>
      <c r="AU179" s="340">
        <f t="shared" si="941"/>
        <v>5.8720420683610865E-2</v>
      </c>
      <c r="AV179" s="340">
        <f t="shared" si="941"/>
        <v>5.5555555555555552E-2</v>
      </c>
      <c r="AW179" s="340">
        <f t="shared" ref="AW179:CB179" si="942">AW177/AW$223</f>
        <v>5.0129645635263613E-2</v>
      </c>
      <c r="AX179" s="77">
        <f t="shared" si="942"/>
        <v>5.5698371893744644E-2</v>
      </c>
      <c r="AY179" s="75">
        <f t="shared" si="942"/>
        <v>5.50098231827112E-2</v>
      </c>
      <c r="AZ179" s="340">
        <f t="shared" si="942"/>
        <v>4.526404023470243E-2</v>
      </c>
      <c r="BA179" s="340">
        <f t="shared" si="942"/>
        <v>4.8595292331055431E-2</v>
      </c>
      <c r="BB179" s="340">
        <f t="shared" si="942"/>
        <v>5.5769230769230772E-2</v>
      </c>
      <c r="BC179" s="77">
        <f t="shared" si="942"/>
        <v>7.0636601470038612E-2</v>
      </c>
      <c r="BD179" s="75">
        <f t="shared" si="942"/>
        <v>5.6101772562286358E-2</v>
      </c>
      <c r="BE179" s="340">
        <f t="shared" si="942"/>
        <v>8.4601339013998786E-2</v>
      </c>
      <c r="BF179" s="340">
        <f t="shared" si="942"/>
        <v>7.9119571683521711E-2</v>
      </c>
      <c r="BG179" s="340">
        <f t="shared" si="942"/>
        <v>8.635794743429287E-2</v>
      </c>
      <c r="BH179" s="77">
        <f t="shared" si="942"/>
        <v>0.1044776119402985</v>
      </c>
      <c r="BI179" s="75">
        <f t="shared" si="942"/>
        <v>8.9849214985232392E-2</v>
      </c>
      <c r="BJ179" s="340">
        <f t="shared" si="942"/>
        <v>9.5061728395061731E-2</v>
      </c>
      <c r="BK179" s="340">
        <f t="shared" si="942"/>
        <v>8.2649842271293378E-2</v>
      </c>
      <c r="BL179" s="340">
        <f t="shared" si="942"/>
        <v>7.9663212435233166E-2</v>
      </c>
      <c r="BM179" s="77">
        <f t="shared" si="942"/>
        <v>7.6072821846553965E-2</v>
      </c>
      <c r="BN179" s="75">
        <f t="shared" si="942"/>
        <v>8.425613866153106E-2</v>
      </c>
      <c r="BO179" s="340">
        <f t="shared" si="942"/>
        <v>6.6924066924066924E-2</v>
      </c>
      <c r="BP179" s="340">
        <f t="shared" si="942"/>
        <v>7.2164948453608241E-2</v>
      </c>
      <c r="BQ179" s="340">
        <f t="shared" si="942"/>
        <v>6.9916613213598461E-2</v>
      </c>
      <c r="BR179" s="77">
        <f t="shared" si="942"/>
        <v>8.0834419817470665E-2</v>
      </c>
      <c r="BS179" s="75">
        <f t="shared" si="942"/>
        <v>7.292512587299009E-2</v>
      </c>
      <c r="BT179" s="340">
        <f t="shared" si="942"/>
        <v>9.4951923076923073E-2</v>
      </c>
      <c r="BU179" s="340">
        <f t="shared" si="942"/>
        <v>8.3538083538083535E-2</v>
      </c>
      <c r="BV179" s="340">
        <f t="shared" si="942"/>
        <v>8.2500000000000004E-2</v>
      </c>
      <c r="BW179" s="77">
        <f t="shared" si="942"/>
        <v>8.5106382978723402E-2</v>
      </c>
      <c r="BX179" s="75">
        <f t="shared" si="942"/>
        <v>8.7413127413127414E-2</v>
      </c>
      <c r="BY179" s="340">
        <f t="shared" si="942"/>
        <v>8.9743589743589744E-2</v>
      </c>
      <c r="BZ179" s="340">
        <f t="shared" si="942"/>
        <v>8.8719153936545239E-2</v>
      </c>
      <c r="CA179" s="340">
        <f t="shared" si="942"/>
        <v>9.5688127584170113E-2</v>
      </c>
      <c r="CB179" s="77">
        <f t="shared" si="942"/>
        <v>0.10134048257372655</v>
      </c>
      <c r="CC179" s="75">
        <f t="shared" ref="CC179:DH179" si="943">CC177/CC$223</f>
        <v>9.3714285714285708E-2</v>
      </c>
      <c r="CD179" s="340">
        <f t="shared" si="943"/>
        <v>0.10187820147979511</v>
      </c>
      <c r="CE179" s="340">
        <f t="shared" si="943"/>
        <v>0.10091743119266056</v>
      </c>
      <c r="CF179" s="340">
        <f t="shared" si="943"/>
        <v>0.10657596371882086</v>
      </c>
      <c r="CG179" s="77">
        <f t="shared" si="943"/>
        <v>0.13303769401330376</v>
      </c>
      <c r="CH179" s="75">
        <f t="shared" si="943"/>
        <v>0.10749588138385502</v>
      </c>
      <c r="CI179" s="340">
        <f t="shared" si="943"/>
        <v>0.13720173535791758</v>
      </c>
      <c r="CJ179" s="340">
        <f t="shared" si="943"/>
        <v>0.15141955835962145</v>
      </c>
      <c r="CK179" s="340">
        <f t="shared" si="943"/>
        <v>0.15432098765432098</v>
      </c>
      <c r="CL179" s="77">
        <f t="shared" si="943"/>
        <v>0.14129301355578727</v>
      </c>
      <c r="CM179" s="75">
        <f t="shared" si="943"/>
        <v>0.14616193480546794</v>
      </c>
      <c r="CN179" s="340">
        <f t="shared" si="943"/>
        <v>0.14526854219948848</v>
      </c>
      <c r="CO179" s="340">
        <f t="shared" si="943"/>
        <v>0.16475495307612095</v>
      </c>
      <c r="CP179" s="340">
        <f t="shared" si="943"/>
        <v>0.16984045290787442</v>
      </c>
      <c r="CQ179" s="77">
        <f t="shared" si="943"/>
        <v>0.19292929292929292</v>
      </c>
      <c r="CR179" s="75">
        <f t="shared" si="943"/>
        <v>0.16829143150333503</v>
      </c>
      <c r="CS179" s="340">
        <f t="shared" si="943"/>
        <v>0.21110579224509335</v>
      </c>
      <c r="CT179" s="340">
        <f t="shared" si="943"/>
        <v>0.24520547945205479</v>
      </c>
      <c r="CU179" s="340">
        <f t="shared" si="943"/>
        <v>0.22800718132854578</v>
      </c>
      <c r="CV179" s="77">
        <f t="shared" si="943"/>
        <v>0.16700302724520685</v>
      </c>
      <c r="CW179" s="75">
        <f t="shared" si="943"/>
        <v>0.2140417010248557</v>
      </c>
      <c r="CX179" s="340">
        <f t="shared" si="943"/>
        <v>0.11072463768115942</v>
      </c>
      <c r="CY179" s="340">
        <f t="shared" si="943"/>
        <v>0.11540860885839052</v>
      </c>
      <c r="CZ179" s="340">
        <f t="shared" si="943"/>
        <v>0.13187463039621525</v>
      </c>
      <c r="DA179" s="77">
        <f t="shared" si="943"/>
        <v>0.14392630972941853</v>
      </c>
      <c r="DB179" s="75">
        <f t="shared" si="943"/>
        <v>0.12566607460035523</v>
      </c>
      <c r="DC179" s="340">
        <f t="shared" si="943"/>
        <v>0.15239633817985998</v>
      </c>
      <c r="DD179" s="340">
        <f t="shared" si="943"/>
        <v>0.16042216358839051</v>
      </c>
      <c r="DE179" s="340">
        <f t="shared" si="943"/>
        <v>0.15154807170016296</v>
      </c>
      <c r="DF179" s="340">
        <f t="shared" si="943"/>
        <v>0.17563451776649747</v>
      </c>
      <c r="DG179" s="346">
        <f t="shared" si="943"/>
        <v>0.16025386751289172</v>
      </c>
      <c r="DH179" s="340">
        <f t="shared" si="943"/>
        <v>0.19734904270986744</v>
      </c>
      <c r="DI179" s="340">
        <f t="shared" ref="DI179:EN179" si="944">DI177/DI$223</f>
        <v>0.20592451027233635</v>
      </c>
      <c r="DJ179" s="340">
        <f t="shared" si="944"/>
        <v>0.19760191846522782</v>
      </c>
      <c r="DK179" s="340">
        <f t="shared" si="944"/>
        <v>0.20047393364928909</v>
      </c>
      <c r="DL179" s="346">
        <f t="shared" si="944"/>
        <v>0.20036036036036037</v>
      </c>
      <c r="DM179" s="340">
        <f t="shared" si="944"/>
        <v>0.2104265402843602</v>
      </c>
      <c r="DN179" s="340">
        <f t="shared" si="944"/>
        <v>0.19816336394393427</v>
      </c>
      <c r="DO179" s="340">
        <f t="shared" si="944"/>
        <v>0.1946078431372549</v>
      </c>
      <c r="DP179" s="340">
        <f t="shared" si="944"/>
        <v>0.20240384615384616</v>
      </c>
      <c r="DQ179" s="346">
        <f t="shared" si="944"/>
        <v>0.20147005663332931</v>
      </c>
      <c r="DR179" s="340">
        <f t="shared" si="944"/>
        <v>0.21112696148359486</v>
      </c>
      <c r="DS179" s="340">
        <f t="shared" si="944"/>
        <v>0.18656015037593984</v>
      </c>
      <c r="DT179" s="77">
        <f t="shared" si="944"/>
        <v>0.18365429779239079</v>
      </c>
      <c r="DU179" s="340">
        <f t="shared" si="944"/>
        <v>0.18386660657954032</v>
      </c>
      <c r="DV179" s="346">
        <f t="shared" si="944"/>
        <v>0.19116447138361115</v>
      </c>
      <c r="DW179" s="340">
        <f t="shared" si="944"/>
        <v>0.19621645402551693</v>
      </c>
      <c r="DX179" s="340">
        <f t="shared" si="944"/>
        <v>0.18513573653760571</v>
      </c>
      <c r="DY179" s="77">
        <f t="shared" si="944"/>
        <v>0.17505567928730512</v>
      </c>
      <c r="DZ179" s="340">
        <f t="shared" si="944"/>
        <v>0.15757311217808817</v>
      </c>
      <c r="EA179" s="346">
        <f t="shared" si="944"/>
        <v>0.17844522968197879</v>
      </c>
      <c r="EB179" s="340">
        <f t="shared" si="944"/>
        <v>0.12362637362637363</v>
      </c>
      <c r="EC179" s="340">
        <f t="shared" si="944"/>
        <v>0.12742248062015504</v>
      </c>
      <c r="ED179" s="77">
        <f t="shared" si="944"/>
        <v>0.11116650049850449</v>
      </c>
      <c r="EE179" s="340">
        <f t="shared" si="944"/>
        <v>0.10100502512562815</v>
      </c>
      <c r="EF179" s="346">
        <f t="shared" si="944"/>
        <v>0.1160844250363901</v>
      </c>
      <c r="EG179" s="340">
        <f t="shared" si="944"/>
        <v>7.8369905956112859E-2</v>
      </c>
      <c r="EH179" s="340">
        <f t="shared" si="944"/>
        <v>9.2274678111587988E-2</v>
      </c>
      <c r="EI179" s="77">
        <f t="shared" si="944"/>
        <v>9.3097913322632425E-2</v>
      </c>
      <c r="EJ179" s="340">
        <f t="shared" si="944"/>
        <v>0.10673880964092475</v>
      </c>
      <c r="EK179" s="346">
        <f t="shared" si="944"/>
        <v>9.2681658650721435E-2</v>
      </c>
      <c r="EL179" s="340">
        <f t="shared" si="944"/>
        <v>0.10954773869346733</v>
      </c>
      <c r="EM179" s="340">
        <f t="shared" si="944"/>
        <v>0.10650887573964497</v>
      </c>
      <c r="EN179" s="77">
        <f t="shared" si="944"/>
        <v>0.10950854700854701</v>
      </c>
      <c r="EO179" s="340">
        <f t="shared" ref="EO179:EU179" si="945">EO177/EO$223</f>
        <v>0.1305749596990865</v>
      </c>
      <c r="EP179" s="346">
        <f t="shared" si="945"/>
        <v>0.11395410182010024</v>
      </c>
      <c r="EQ179" s="340">
        <f t="shared" si="945"/>
        <v>0.13919213973799127</v>
      </c>
      <c r="ER179" s="77">
        <f t="shared" si="945"/>
        <v>0.1347777475599469</v>
      </c>
      <c r="ES179" s="77">
        <f t="shared" si="945"/>
        <v>0.13012090257372733</v>
      </c>
      <c r="ET179" s="77">
        <f t="shared" si="945"/>
        <v>0.13534470301791304</v>
      </c>
      <c r="EU179" s="346">
        <f t="shared" si="945"/>
        <v>0.13484816091431348</v>
      </c>
      <c r="EV179" s="76"/>
      <c r="EW179" s="76"/>
      <c r="EX179" s="76"/>
      <c r="EY179" s="76"/>
      <c r="EZ179" s="75">
        <f>EZ177/EZ$223</f>
        <v>0.13207139084699754</v>
      </c>
      <c r="FA179" s="76"/>
      <c r="FB179" s="76"/>
      <c r="FC179" s="76"/>
      <c r="FD179" s="76"/>
      <c r="FE179" s="75">
        <f>FE177/FE$223</f>
        <v>0.13067131900880388</v>
      </c>
      <c r="FG179" s="490"/>
      <c r="FH179" s="779"/>
      <c r="FI179" s="779"/>
      <c r="FJ179" s="779"/>
      <c r="FK179" s="40"/>
      <c r="FL179" s="1349"/>
      <c r="FM179" s="1534">
        <f t="shared" si="858"/>
        <v>0.13919213973799127</v>
      </c>
      <c r="FN179" s="1461">
        <f t="shared" si="859"/>
        <v>0.10954773869346733</v>
      </c>
      <c r="FO179" s="1863">
        <v>0.13300285004948456</v>
      </c>
      <c r="FP179" s="1511"/>
      <c r="FQ179" s="1503">
        <f>+(FM179-FO179)*10000</f>
        <v>61.892896885067103</v>
      </c>
      <c r="FR179" s="1619"/>
      <c r="FS179" s="1619"/>
      <c r="FT179" s="433"/>
      <c r="FU179" s="433"/>
      <c r="FV179" s="1987"/>
      <c r="FW179" s="433"/>
      <c r="FX179" s="433"/>
      <c r="FY179" s="433"/>
      <c r="FZ179" s="490"/>
      <c r="GA179"/>
      <c r="GB179"/>
      <c r="GC179"/>
      <c r="GD179"/>
      <c r="GE179"/>
      <c r="GF179"/>
      <c r="GG179"/>
      <c r="GH179"/>
      <c r="GI179"/>
      <c r="GJ179"/>
      <c r="GK179"/>
      <c r="GL179"/>
      <c r="GM179"/>
      <c r="GN179"/>
      <c r="GO179"/>
      <c r="GP179"/>
      <c r="GQ179"/>
      <c r="GR179"/>
      <c r="GS179"/>
      <c r="GT179"/>
      <c r="GU179"/>
      <c r="GV179"/>
      <c r="GW179"/>
      <c r="GX179"/>
      <c r="GY179"/>
      <c r="GZ179"/>
      <c r="HA179"/>
      <c r="HB179"/>
      <c r="HC179"/>
      <c r="HD179"/>
      <c r="HE179"/>
      <c r="HF179"/>
      <c r="HG179"/>
      <c r="HH179"/>
      <c r="HI179"/>
      <c r="HJ179"/>
      <c r="HK179"/>
      <c r="HL179"/>
      <c r="HM179"/>
      <c r="HN179"/>
      <c r="HO179"/>
      <c r="HP179"/>
      <c r="HQ179"/>
      <c r="HR179"/>
      <c r="HS179"/>
      <c r="HT179"/>
      <c r="HU179"/>
      <c r="HV179"/>
      <c r="HW179"/>
      <c r="HX179"/>
      <c r="HY179"/>
      <c r="HZ179"/>
      <c r="IA179"/>
      <c r="IB179"/>
      <c r="IC179"/>
      <c r="ID179"/>
      <c r="IE179"/>
      <c r="IF179"/>
      <c r="IG179"/>
      <c r="IH179"/>
      <c r="II179"/>
      <c r="IJ179"/>
      <c r="IK179"/>
      <c r="IL179"/>
      <c r="IM179"/>
      <c r="IN179"/>
      <c r="IO179"/>
      <c r="IP179"/>
      <c r="IQ179"/>
      <c r="IR179"/>
      <c r="IS179"/>
      <c r="IT179"/>
      <c r="IU179"/>
      <c r="IV179"/>
      <c r="IW179"/>
      <c r="IX179"/>
    </row>
    <row r="180" spans="1:258" s="190" customFormat="1" ht="11.25" customHeight="1" x14ac:dyDescent="0.2">
      <c r="A180" s="595" t="s">
        <v>376</v>
      </c>
      <c r="B180" s="189"/>
      <c r="C180" s="189"/>
      <c r="D180" s="189"/>
      <c r="E180" s="189"/>
      <c r="F180" s="188"/>
      <c r="G180" s="189"/>
      <c r="H180" s="189"/>
      <c r="I180" s="189"/>
      <c r="J180" s="189"/>
      <c r="K180" s="188"/>
      <c r="L180" s="189"/>
      <c r="M180" s="189"/>
      <c r="N180" s="189"/>
      <c r="O180" s="189"/>
      <c r="P180" s="188"/>
      <c r="Q180" s="189"/>
      <c r="R180" s="189"/>
      <c r="S180" s="189"/>
      <c r="T180" s="189"/>
      <c r="U180" s="188"/>
      <c r="V180" s="189"/>
      <c r="W180" s="189"/>
      <c r="X180" s="189"/>
      <c r="Y180" s="189"/>
      <c r="Z180" s="188"/>
      <c r="AA180" s="189"/>
      <c r="AB180" s="189"/>
      <c r="AC180" s="189"/>
      <c r="AD180" s="189"/>
      <c r="AE180" s="188"/>
      <c r="AF180" s="189"/>
      <c r="AG180" s="189"/>
      <c r="AH180" s="189"/>
      <c r="AI180" s="189"/>
      <c r="AJ180" s="188"/>
      <c r="AK180" s="189"/>
      <c r="AL180" s="189"/>
      <c r="AM180" s="189"/>
      <c r="AN180" s="189"/>
      <c r="AO180" s="188"/>
      <c r="AP180" s="189"/>
      <c r="AQ180" s="189"/>
      <c r="AR180" s="189"/>
      <c r="AS180" s="189"/>
      <c r="AT180" s="188"/>
      <c r="AU180" s="189"/>
      <c r="AV180" s="189"/>
      <c r="AW180" s="189"/>
      <c r="AX180" s="189"/>
      <c r="AY180" s="188">
        <f t="shared" ref="AY180:CD180" si="946">(AY177-AY189)/AY184</f>
        <v>0.57253209133250027</v>
      </c>
      <c r="AZ180" s="189">
        <f t="shared" si="946"/>
        <v>0.45</v>
      </c>
      <c r="BA180" s="189">
        <f t="shared" si="946"/>
        <v>0.5423728813559322</v>
      </c>
      <c r="BB180" s="189">
        <f t="shared" si="946"/>
        <v>0.64444444444444449</v>
      </c>
      <c r="BC180" s="189">
        <f t="shared" si="946"/>
        <v>0.73636363636363644</v>
      </c>
      <c r="BD180" s="188">
        <f t="shared" si="946"/>
        <v>0.60417457305502842</v>
      </c>
      <c r="BE180" s="189">
        <f t="shared" si="946"/>
        <v>0.86335403726708071</v>
      </c>
      <c r="BF180" s="189">
        <f t="shared" si="946"/>
        <v>0.90476190476190477</v>
      </c>
      <c r="BG180" s="189">
        <f t="shared" si="946"/>
        <v>0.965034965034965</v>
      </c>
      <c r="BH180" s="189">
        <f t="shared" si="946"/>
        <v>1.0923276983094927</v>
      </c>
      <c r="BI180" s="188">
        <f t="shared" si="946"/>
        <v>0.95568783068783081</v>
      </c>
      <c r="BJ180" s="189">
        <f t="shared" si="946"/>
        <v>0.98781270044900571</v>
      </c>
      <c r="BK180" s="189">
        <f t="shared" si="946"/>
        <v>0.91608391608391604</v>
      </c>
      <c r="BL180" s="189">
        <f t="shared" si="946"/>
        <v>0.89912280701754377</v>
      </c>
      <c r="BM180" s="189">
        <f t="shared" si="946"/>
        <v>0.8085694540428473</v>
      </c>
      <c r="BN180" s="188">
        <f t="shared" si="946"/>
        <v>0.9045485871812543</v>
      </c>
      <c r="BO180" s="189">
        <f t="shared" si="946"/>
        <v>0.7142857142857143</v>
      </c>
      <c r="BP180" s="189">
        <f t="shared" si="946"/>
        <v>0.77777777777777779</v>
      </c>
      <c r="BQ180" s="189">
        <f t="shared" si="946"/>
        <v>0.79970652971386635</v>
      </c>
      <c r="BR180" s="189">
        <f t="shared" si="946"/>
        <v>0.84815321477428185</v>
      </c>
      <c r="BS180" s="188">
        <f t="shared" si="946"/>
        <v>0.784827827302919</v>
      </c>
      <c r="BT180" s="189">
        <f t="shared" si="946"/>
        <v>1.0540360240160107</v>
      </c>
      <c r="BU180" s="189">
        <f t="shared" si="946"/>
        <v>0.93470790378006874</v>
      </c>
      <c r="BV180" s="189">
        <f t="shared" si="946"/>
        <v>0.90971743625086154</v>
      </c>
      <c r="BW180" s="189">
        <f t="shared" si="946"/>
        <v>0.91803278688524592</v>
      </c>
      <c r="BX180" s="188">
        <f t="shared" si="946"/>
        <v>0.95446880269814505</v>
      </c>
      <c r="BY180" s="189">
        <f t="shared" si="946"/>
        <v>0.97038437303087599</v>
      </c>
      <c r="BZ180" s="189">
        <f t="shared" si="946"/>
        <v>0.99538562953197107</v>
      </c>
      <c r="CA180" s="189">
        <f t="shared" si="946"/>
        <v>1.1368421052631579</v>
      </c>
      <c r="CB180" s="189">
        <f t="shared" si="946"/>
        <v>1.168831168831169</v>
      </c>
      <c r="CC180" s="188">
        <f t="shared" si="946"/>
        <v>1.067360885128539</v>
      </c>
      <c r="CD180" s="189">
        <f t="shared" si="946"/>
        <v>1.1379529561347743</v>
      </c>
      <c r="CE180" s="189">
        <f t="shared" ref="CE180:DA180" si="947">(CE177-CE189)/CE184</f>
        <v>1.1916046039268788</v>
      </c>
      <c r="CF180" s="189">
        <f t="shared" si="947"/>
        <v>1.3361762615493959</v>
      </c>
      <c r="CG180" s="189">
        <f t="shared" si="947"/>
        <v>1.6032064128256514</v>
      </c>
      <c r="CH180" s="188">
        <f t="shared" si="947"/>
        <v>1.3150822976150487</v>
      </c>
      <c r="CI180" s="189">
        <f t="shared" si="947"/>
        <v>1.6124920331421286</v>
      </c>
      <c r="CJ180" s="189">
        <f t="shared" si="947"/>
        <v>1.9512195121951221</v>
      </c>
      <c r="CK180" s="189">
        <f t="shared" si="947"/>
        <v>2.0891364902506964</v>
      </c>
      <c r="CL180" s="189">
        <f t="shared" si="947"/>
        <v>1.8114973262032086</v>
      </c>
      <c r="CM180" s="188">
        <f t="shared" si="947"/>
        <v>1.8604651162790695</v>
      </c>
      <c r="CN180" s="189">
        <f t="shared" si="947"/>
        <v>1.7266666666666666</v>
      </c>
      <c r="CO180" s="189">
        <f t="shared" si="947"/>
        <v>2.0013850415512464</v>
      </c>
      <c r="CP180" s="189">
        <f t="shared" si="947"/>
        <v>2.2592592592592591</v>
      </c>
      <c r="CQ180" s="189">
        <f t="shared" si="947"/>
        <v>2.5671428571428572</v>
      </c>
      <c r="CR180" s="188">
        <f t="shared" si="947"/>
        <v>2.1292588689848966</v>
      </c>
      <c r="CS180" s="189">
        <f t="shared" si="947"/>
        <v>2.8203342618384402</v>
      </c>
      <c r="CT180" s="189">
        <f t="shared" si="947"/>
        <v>3.6191860465116279</v>
      </c>
      <c r="CU180" s="189">
        <f t="shared" si="947"/>
        <v>3.5670731707317076</v>
      </c>
      <c r="CV180" s="189">
        <f t="shared" si="947"/>
        <v>2.2350375939849623</v>
      </c>
      <c r="CW180" s="188">
        <f t="shared" si="947"/>
        <v>3.0587825449211588</v>
      </c>
      <c r="CX180" s="189">
        <f t="shared" si="947"/>
        <v>1.3983612040133777</v>
      </c>
      <c r="CY180" s="189">
        <f t="shared" si="947"/>
        <v>1.5694073377234243</v>
      </c>
      <c r="CZ180" s="189">
        <f t="shared" si="947"/>
        <v>1.88</v>
      </c>
      <c r="DA180" s="189">
        <f t="shared" si="947"/>
        <v>2.0320855614973263</v>
      </c>
      <c r="DB180" s="188">
        <f>DB183</f>
        <v>1.7099528831052277</v>
      </c>
      <c r="DC180" s="189">
        <f>(DC177-DC189)/DC184</f>
        <v>2.1091811414392057</v>
      </c>
      <c r="DD180" s="189">
        <f>(DD177-DD189)/DD184</f>
        <v>2.3083333333333331</v>
      </c>
      <c r="DE180" s="189">
        <f>(DE177-DE189)/DE184</f>
        <v>2.17206132879046</v>
      </c>
      <c r="DF180" s="189">
        <f>(DF177-DF189)/DF184</f>
        <v>2.4221716021260442</v>
      </c>
      <c r="DG180" s="188">
        <f>DG183</f>
        <v>2.2566755102040816</v>
      </c>
      <c r="DH180" s="189">
        <f>(DH177-DH189)/DH184</f>
        <v>2.8616106333072713</v>
      </c>
      <c r="DI180" s="189">
        <f>(DI177-DI189)/DI184</f>
        <v>3.2067851373182554</v>
      </c>
      <c r="DJ180" s="189">
        <f>(DJ177-DJ189)/DJ184</f>
        <v>3.129644921552436</v>
      </c>
      <c r="DK180" s="189">
        <f>(DK177-DK189)/DK184</f>
        <v>3.046875</v>
      </c>
      <c r="DL180" s="188">
        <f>DL183</f>
        <v>3.0603734025559102</v>
      </c>
      <c r="DM180" s="189">
        <f>(DM177-DM189)/DM184</f>
        <v>3.1461538461538461</v>
      </c>
      <c r="DN180" s="189">
        <f>(DN177-DN189)/DN184</f>
        <v>3.1416666666666666</v>
      </c>
      <c r="DO180" s="189">
        <f>(DO177-DO189)/DO184</f>
        <v>3.161068044788975</v>
      </c>
      <c r="DP180" s="189">
        <f>(DP177-DP189)/DP184</f>
        <v>3.2797971259509722</v>
      </c>
      <c r="DQ180" s="188">
        <f>DQ183</f>
        <v>3.1768744838976044</v>
      </c>
      <c r="DR180" s="189">
        <f>(DR177-DR189)/DR184</f>
        <v>3.2561851556264965</v>
      </c>
      <c r="DS180" s="189">
        <f>(DS177-DS189)/DS184</f>
        <v>3.0808080808080809</v>
      </c>
      <c r="DT180" s="189">
        <f>(DT177-DT189)/DT184</f>
        <v>3.1684027777777777</v>
      </c>
      <c r="DU180" s="189">
        <f>(DU177-DU189)/DU184</f>
        <v>3.0995106035889073</v>
      </c>
      <c r="DV180" s="188">
        <f>DV183</f>
        <v>3.1534052708030713</v>
      </c>
      <c r="DW180" s="189">
        <f>(DW177-DW189)/DW184</f>
        <v>3.1360491929285166</v>
      </c>
      <c r="DX180" s="189">
        <f>(DX177-DX189)/DX184</f>
        <v>3.0623520126282555</v>
      </c>
      <c r="DY180" s="189">
        <f>(DY177-DY189)/DY184</f>
        <v>3.0008176614881439</v>
      </c>
      <c r="DZ180" s="189">
        <f>(DZ177-DZ189)/DZ184</f>
        <v>2.6131045241809674</v>
      </c>
      <c r="EA180" s="188">
        <f>EA183</f>
        <v>2.9599132663118466</v>
      </c>
      <c r="EB180" s="189">
        <f>(EB177-EB189)/EB184</f>
        <v>1.8574677786201668</v>
      </c>
      <c r="EC180" s="189">
        <f>(EC177-EC189)/EC184</f>
        <v>1.9901719901719903</v>
      </c>
      <c r="ED180" s="189">
        <f>(ED177-ED189)/ED184</f>
        <v>1.7566409597257926</v>
      </c>
      <c r="EE180" s="189">
        <f>(EE177-EE189)/EE184</f>
        <v>1.5839041095890412</v>
      </c>
      <c r="EF180" s="188">
        <f t="shared" ref="EF180" si="948">EF183</f>
        <v>1.80153641025641</v>
      </c>
      <c r="EG180" s="189">
        <f>(EG177-EG189)/EG184</f>
        <v>1.193633952254642</v>
      </c>
      <c r="EH180" s="189">
        <f>(EH177-EH189)/EH184</f>
        <v>1.4891611687087654</v>
      </c>
      <c r="EI180" s="189">
        <f>(EI177-EI189)/EI184</f>
        <v>1.5653040877367896</v>
      </c>
      <c r="EJ180" s="189">
        <f>(EJ177-EJ189)/EJ184</f>
        <v>1.6878710771840542</v>
      </c>
      <c r="EK180" s="188">
        <f t="shared" ref="EK180" si="949">EK183</f>
        <v>1.4846822130772748</v>
      </c>
      <c r="EL180" s="189">
        <f>(EL177-EL189)/EL184</f>
        <v>1.7262423714036617</v>
      </c>
      <c r="EM180" s="189">
        <f>(EM177-EM189)/EM184</f>
        <v>1.7142857142857142</v>
      </c>
      <c r="EN180" s="189">
        <f>(EN177-EN189)/EN184</f>
        <v>1.87</v>
      </c>
      <c r="EO180" s="189">
        <f>(EO177-EO189)/EO184</f>
        <v>2.0841121495327104</v>
      </c>
      <c r="EP180" s="188">
        <f t="shared" ref="EP180" si="950">EP183</f>
        <v>1.8456550269510195</v>
      </c>
      <c r="EQ180" s="189">
        <f>(EQ177-EQ189)/EQ184</f>
        <v>2.148217636022514</v>
      </c>
      <c r="ER180" s="189">
        <f t="shared" ref="ER180" si="951">ER183</f>
        <v>2.2445384615384607</v>
      </c>
      <c r="ES180" s="189">
        <f t="shared" ref="ES180:EU180" si="952">ES183</f>
        <v>2.2539999999999996</v>
      </c>
      <c r="ET180" s="189">
        <f t="shared" si="952"/>
        <v>2.2539999999999996</v>
      </c>
      <c r="EU180" s="188">
        <f t="shared" si="952"/>
        <v>2.2246533768910473</v>
      </c>
      <c r="EV180" s="187"/>
      <c r="EW180" s="187"/>
      <c r="EX180" s="187"/>
      <c r="EY180" s="187"/>
      <c r="EZ180" s="188">
        <f>EZ183</f>
        <v>2.2486918384295089</v>
      </c>
      <c r="FA180" s="187"/>
      <c r="FB180" s="187"/>
      <c r="FC180" s="187"/>
      <c r="FD180" s="187"/>
      <c r="FE180" s="188">
        <f>FE183</f>
        <v>2.2486918384295089</v>
      </c>
      <c r="FG180" s="490"/>
      <c r="FH180" s="779"/>
      <c r="FI180" s="779"/>
      <c r="FJ180" s="779"/>
      <c r="FK180" s="40"/>
      <c r="FL180" s="1349"/>
      <c r="FM180" s="1576">
        <f t="shared" si="858"/>
        <v>2.148217636022514</v>
      </c>
      <c r="FN180" s="1462">
        <f t="shared" si="859"/>
        <v>1.7262423714036617</v>
      </c>
      <c r="FO180" s="1864">
        <v>2.2325384615384616</v>
      </c>
      <c r="FP180" s="1753">
        <f>+FM180/FN180-1</f>
        <v>0.24444728713021391</v>
      </c>
      <c r="FQ180" s="1532">
        <f>+FM180/FO180-1</f>
        <v>-3.7769035995841804E-2</v>
      </c>
      <c r="FR180" s="1619"/>
      <c r="FS180" s="1619"/>
      <c r="FT180" s="433"/>
      <c r="FU180" s="433"/>
      <c r="FV180" s="433"/>
      <c r="FW180" s="433"/>
      <c r="FX180" s="433"/>
      <c r="FY180" s="433"/>
      <c r="FZ180" s="490"/>
      <c r="GA180"/>
      <c r="GB180"/>
      <c r="GC180"/>
      <c r="GD180"/>
      <c r="GE180"/>
      <c r="GF180"/>
      <c r="GG180"/>
      <c r="GH180"/>
      <c r="GI180"/>
      <c r="GJ180"/>
      <c r="GK180"/>
      <c r="GL180"/>
      <c r="GM180"/>
      <c r="GN180"/>
      <c r="GO180"/>
      <c r="GP180"/>
      <c r="GQ180"/>
      <c r="GR180"/>
      <c r="GS180"/>
      <c r="GT180"/>
      <c r="GU180"/>
      <c r="GV180"/>
      <c r="GW180"/>
      <c r="GX180"/>
      <c r="GY180"/>
      <c r="GZ180"/>
      <c r="HA180"/>
      <c r="HB180"/>
      <c r="HC180"/>
      <c r="HD180"/>
      <c r="HE180"/>
      <c r="HF180"/>
      <c r="HG180"/>
      <c r="HH180"/>
      <c r="HI180"/>
      <c r="HJ180"/>
      <c r="HK180"/>
      <c r="HL180"/>
      <c r="HM180"/>
      <c r="HN180"/>
      <c r="HO180"/>
      <c r="HP180"/>
      <c r="HQ180"/>
      <c r="HR180"/>
      <c r="HS180"/>
      <c r="HT180"/>
      <c r="HU180"/>
      <c r="HV180"/>
      <c r="HW180"/>
      <c r="HX180"/>
      <c r="HY180"/>
      <c r="HZ180"/>
      <c r="IA180"/>
      <c r="IB180"/>
      <c r="IC180"/>
      <c r="ID180"/>
      <c r="IE180"/>
      <c r="IF180"/>
      <c r="IG180"/>
      <c r="IH180"/>
      <c r="II180"/>
      <c r="IJ180"/>
      <c r="IK180"/>
      <c r="IL180"/>
      <c r="IM180"/>
      <c r="IN180"/>
      <c r="IO180"/>
      <c r="IP180"/>
      <c r="IQ180"/>
      <c r="IR180"/>
      <c r="IS180"/>
      <c r="IT180"/>
      <c r="IU180"/>
      <c r="IV180"/>
      <c r="IW180"/>
      <c r="IX180"/>
    </row>
    <row r="181" spans="1:258" s="195" customFormat="1" ht="12" customHeight="1" x14ac:dyDescent="0.2">
      <c r="A181" s="596" t="s">
        <v>294</v>
      </c>
      <c r="B181" s="92"/>
      <c r="C181" s="92"/>
      <c r="D181" s="92"/>
      <c r="E181" s="92"/>
      <c r="F181" s="191"/>
      <c r="G181" s="92"/>
      <c r="H181" s="92"/>
      <c r="I181" s="92"/>
      <c r="J181" s="92"/>
      <c r="K181" s="191"/>
      <c r="L181" s="92"/>
      <c r="M181" s="92"/>
      <c r="N181" s="92"/>
      <c r="O181" s="92"/>
      <c r="P181" s="191"/>
      <c r="Q181" s="92"/>
      <c r="R181" s="92"/>
      <c r="S181" s="92"/>
      <c r="T181" s="92"/>
      <c r="U181" s="191"/>
      <c r="V181" s="92"/>
      <c r="W181" s="92"/>
      <c r="X181" s="92"/>
      <c r="Y181" s="92"/>
      <c r="Z181" s="191"/>
      <c r="AA181" s="92"/>
      <c r="AB181" s="92"/>
      <c r="AC181" s="92"/>
      <c r="AD181" s="92"/>
      <c r="AE181" s="191"/>
      <c r="AF181" s="92"/>
      <c r="AG181" s="92"/>
      <c r="AH181" s="92"/>
      <c r="AI181" s="92"/>
      <c r="AJ181" s="191"/>
      <c r="AK181" s="92"/>
      <c r="AL181" s="92"/>
      <c r="AM181" s="92"/>
      <c r="AN181" s="92"/>
      <c r="AO181" s="191"/>
      <c r="AP181" s="92"/>
      <c r="AQ181" s="92"/>
      <c r="AR181" s="92"/>
      <c r="AS181" s="92"/>
      <c r="AT181" s="191"/>
      <c r="AU181" s="92"/>
      <c r="AV181" s="92"/>
      <c r="AW181" s="92"/>
      <c r="AX181" s="92"/>
      <c r="AY181" s="191"/>
      <c r="AZ181" s="92"/>
      <c r="BA181" s="92"/>
      <c r="BB181" s="92"/>
      <c r="BC181" s="92"/>
      <c r="BD181" s="191"/>
      <c r="BE181" s="92"/>
      <c r="BF181" s="92"/>
      <c r="BG181" s="92"/>
      <c r="BH181" s="92"/>
      <c r="BI181" s="191"/>
      <c r="BJ181" s="92"/>
      <c r="BK181" s="92"/>
      <c r="BL181" s="92"/>
      <c r="BM181" s="92"/>
      <c r="BN181" s="191"/>
      <c r="BO181" s="92"/>
      <c r="BP181" s="92"/>
      <c r="BQ181" s="92"/>
      <c r="BR181" s="92"/>
      <c r="BS181" s="191">
        <f>Fuel!AD4</f>
        <v>1.3155020604395604</v>
      </c>
      <c r="BT181" s="92">
        <f>Fuel!AE4</f>
        <v>1.6236923076923075</v>
      </c>
      <c r="BU181" s="92">
        <f>Fuel!AF4</f>
        <v>1.4657692307692307</v>
      </c>
      <c r="BV181" s="92">
        <f>Fuel!AG4</f>
        <v>1.4629999999999996</v>
      </c>
      <c r="BW181" s="92">
        <f>Fuel!AH4</f>
        <v>1.4848461538461537</v>
      </c>
      <c r="BX181" s="191">
        <f>Fuel!AI4</f>
        <v>1.5093269230769228</v>
      </c>
      <c r="BY181" s="92">
        <f>Fuel!AJ4</f>
        <v>1.5906923076923076</v>
      </c>
      <c r="BZ181" s="92">
        <f>Fuel!AK4</f>
        <v>1.7189230769230766</v>
      </c>
      <c r="CA181" s="92">
        <f>Fuel!AL4</f>
        <v>1.8296153846153844</v>
      </c>
      <c r="CB181" s="92">
        <f>Fuel!AM4</f>
        <v>2.1005384615384615</v>
      </c>
      <c r="CC181" s="191">
        <f>Fuel!AN4</f>
        <v>1.8099423076923076</v>
      </c>
      <c r="CD181" s="92">
        <f>Fuel!AO4</f>
        <v>2.058153846153846</v>
      </c>
      <c r="CE181" s="92">
        <f>Fuel!AP4</f>
        <v>2.2553846153846155</v>
      </c>
      <c r="CF181" s="92">
        <f>Fuel!AQ4</f>
        <v>2.558846153846154</v>
      </c>
      <c r="CG181" s="92">
        <f>Fuel!AR4</f>
        <v>2.7336923076923081</v>
      </c>
      <c r="CH181" s="191">
        <f>Fuel!AS4</f>
        <v>2.4015192307692312</v>
      </c>
      <c r="CI181" s="92">
        <f>Fuel!AT4</f>
        <v>2.497846153846154</v>
      </c>
      <c r="CJ181" s="92">
        <f>Fuel!AU4</f>
        <v>2.8449999999999998</v>
      </c>
      <c r="CK181" s="92">
        <f>Fuel!AV4</f>
        <v>2.9215384615384616</v>
      </c>
      <c r="CL181" s="92">
        <f>Fuel!AW4</f>
        <v>2.5550000000000002</v>
      </c>
      <c r="CM181" s="191">
        <f>Fuel!AX4</f>
        <v>2.7048461538461535</v>
      </c>
      <c r="CN181" s="92">
        <f>Fuel!AY4</f>
        <v>2.5418461538461536</v>
      </c>
      <c r="CO181" s="92">
        <f>Fuel!AZ4</f>
        <v>2.8142307692307691</v>
      </c>
      <c r="CP181" s="92">
        <f>Fuel!BA4</f>
        <v>2.8946923076923077</v>
      </c>
      <c r="CQ181" s="92">
        <f>Fuel!BB4</f>
        <v>3.2612857142857137</v>
      </c>
      <c r="CR181" s="191">
        <f>Fuel!BC4</f>
        <v>2.8780137362637364</v>
      </c>
      <c r="CS181" s="92">
        <f>Fuel!BD4</f>
        <v>3.549461538461538</v>
      </c>
      <c r="CT181" s="92">
        <f>Fuel!BE4</f>
        <v>4.4167692307692299</v>
      </c>
      <c r="CU181" s="92">
        <f>Fuel!BF4</f>
        <v>4.3183846153846153</v>
      </c>
      <c r="CV181" s="92">
        <f>Fuel!BG4</f>
        <v>2.9272307692307686</v>
      </c>
      <c r="CW181" s="191">
        <f>Fuel!BH4</f>
        <v>3.8029615384615374</v>
      </c>
      <c r="CX181" s="92">
        <f>Fuel!BI4</f>
        <v>2.1853846153846153</v>
      </c>
      <c r="CY181" s="92">
        <f>Fuel!BJ4</f>
        <v>2.340846153846154</v>
      </c>
      <c r="CZ181" s="92">
        <f>Fuel!BK4</f>
        <v>2.6025384615384612</v>
      </c>
      <c r="DA181" s="92">
        <f>Fuel!BL4</f>
        <v>2.7405384615384611</v>
      </c>
      <c r="DB181" s="191">
        <f>Fuel!BM4</f>
        <v>2.4673269230769233</v>
      </c>
      <c r="DC181" s="92">
        <f>Fuel!BN4</f>
        <v>2.8531538461538464</v>
      </c>
      <c r="DD181" s="92">
        <f>Fuel!BO4</f>
        <v>3.0285384615384618</v>
      </c>
      <c r="DE181" s="92">
        <f>Fuel!BP4</f>
        <v>2.940230769230769</v>
      </c>
      <c r="DF181" s="92">
        <f>Fuel!BQ4</f>
        <v>3.1443076923076916</v>
      </c>
      <c r="DG181" s="191">
        <f>Fuel!BR4</f>
        <v>2.9915576923076923</v>
      </c>
      <c r="DH181" s="92">
        <f>Fuel!BS4</f>
        <v>3.6071538461538464</v>
      </c>
      <c r="DI181" s="92">
        <f>Fuel!BT4</f>
        <v>4.0171538461538461</v>
      </c>
      <c r="DJ181" s="92">
        <f>Fuel!BU4</f>
        <v>3.8668461538461538</v>
      </c>
      <c r="DK181" s="92">
        <f>Fuel!BV4</f>
        <v>3.8676923076923071</v>
      </c>
      <c r="DL181" s="191">
        <f>Fuel!BW4</f>
        <v>3.8397115384615383</v>
      </c>
      <c r="DM181" s="92">
        <f>Fuel!BX4</f>
        <v>3.9599230769230767</v>
      </c>
      <c r="DN181" s="92">
        <f>Fuel!BY4</f>
        <v>3.9633076923076915</v>
      </c>
      <c r="DO181" s="92">
        <f>Fuel!BZ4</f>
        <v>3.9242307692307694</v>
      </c>
      <c r="DP181" s="92">
        <f>Fuel!CA4</f>
        <v>4.0194999999999999</v>
      </c>
      <c r="DQ181" s="191">
        <f>Fuel!CB4</f>
        <v>3.9667403846153846</v>
      </c>
      <c r="DR181" s="92">
        <f>Fuel!CC4</f>
        <v>4.0289166666666665</v>
      </c>
      <c r="DS181" s="92">
        <f>Fuel!CD4</f>
        <v>3.8867692307692314</v>
      </c>
      <c r="DT181" s="915">
        <f>Fuel!CE4</f>
        <v>3.9108571428571426</v>
      </c>
      <c r="DU181" s="92">
        <f>Fuel!CF4</f>
        <v>3.8694615384615383</v>
      </c>
      <c r="DV181" s="191">
        <f>Fuel!CG4</f>
        <v>3.9240011446886447</v>
      </c>
      <c r="DW181" s="92">
        <f>Fuel!CH4</f>
        <v>3.9623076923076925</v>
      </c>
      <c r="DX181" s="92">
        <f>Fuel!CI4</f>
        <v>3.9353076923076924</v>
      </c>
      <c r="DY181" s="915">
        <f>Fuel!CJ4</f>
        <v>3.834461538461539</v>
      </c>
      <c r="DZ181" s="92">
        <f>Fuel!CK4</f>
        <v>3.5664615384615379</v>
      </c>
      <c r="EA181" s="191">
        <f>Fuel!CL4</f>
        <v>3.8246346153846158</v>
      </c>
      <c r="EB181" s="92">
        <f>Fuel!CM4</f>
        <v>2.9157692307692296</v>
      </c>
      <c r="EC181" s="92">
        <f>Fuel!CN4</f>
        <v>2.8495384615384611</v>
      </c>
      <c r="ED181" s="915">
        <f>Fuel!CO4</f>
        <v>2.6266153846153846</v>
      </c>
      <c r="EE181" s="92">
        <f>Fuel!CP4</f>
        <v>2.4346153846153844</v>
      </c>
      <c r="EF181" s="191">
        <f>Fuel!CQ4</f>
        <v>2.7066346153846146</v>
      </c>
      <c r="EG181" s="92">
        <f>Fuel!CR4</f>
        <v>2.0709230769230769</v>
      </c>
      <c r="EH181" s="92">
        <f>Fuel!CS4</f>
        <v>2.2976153846153853</v>
      </c>
      <c r="EI181" s="915">
        <f>Fuel!CT4</f>
        <v>2.3806153846153846</v>
      </c>
      <c r="EJ181" s="92">
        <f>Fuel!CU4</f>
        <v>2.4666153846153844</v>
      </c>
      <c r="EK181" s="191">
        <f>Fuel!CV4</f>
        <v>2.3039423076923078</v>
      </c>
      <c r="EL181" s="92">
        <f>Fuel!CW4</f>
        <v>2.5680769230769234</v>
      </c>
      <c r="EM181" s="92">
        <f>Fuel!CX4</f>
        <v>2.5518461538461543</v>
      </c>
      <c r="EN181" s="915">
        <f>Fuel!CY4</f>
        <v>2.6154615384615383</v>
      </c>
      <c r="EO181" s="92">
        <f>Fuel!CZ4</f>
        <v>2.8647692307692307</v>
      </c>
      <c r="EP181" s="191">
        <f>Fuel!DA4</f>
        <v>2.6500384615384616</v>
      </c>
      <c r="EQ181" s="92">
        <f>Fuel!DB4</f>
        <v>3.0173076923076922</v>
      </c>
      <c r="ER181" s="192">
        <f>Fuel!DC4</f>
        <v>3.0945384615384608</v>
      </c>
      <c r="ES181" s="192">
        <f>Fuel!DD4</f>
        <v>3.1039999999999996</v>
      </c>
      <c r="ET181" s="192">
        <f>Fuel!DE4</f>
        <v>3.1039999999999996</v>
      </c>
      <c r="EU181" s="191">
        <f>Fuel!DF4</f>
        <v>3.079961538461538</v>
      </c>
      <c r="EV181" s="194"/>
      <c r="EW181" s="194"/>
      <c r="EX181" s="194"/>
      <c r="EY181" s="194"/>
      <c r="EZ181" s="193">
        <f>Fuel!DK4</f>
        <v>3.1039999999999996</v>
      </c>
      <c r="FA181" s="194"/>
      <c r="FB181" s="194"/>
      <c r="FC181" s="194"/>
      <c r="FD181" s="194"/>
      <c r="FE181" s="193">
        <f>Fuel!DP4</f>
        <v>3.1039999999999996</v>
      </c>
      <c r="FG181" s="490"/>
      <c r="FH181" s="783"/>
      <c r="FI181" s="783"/>
      <c r="FJ181" s="783"/>
      <c r="FK181" s="1312"/>
      <c r="FL181" s="1352"/>
      <c r="FM181" s="1577">
        <f t="shared" si="858"/>
        <v>3.0173076923076922</v>
      </c>
      <c r="FN181" s="1463">
        <f t="shared" si="859"/>
        <v>2.5680769230769234</v>
      </c>
      <c r="FO181" s="1865">
        <v>3.0173076923076922</v>
      </c>
      <c r="FP181" s="1756"/>
      <c r="FQ181" s="756"/>
      <c r="FR181" s="1622"/>
      <c r="FS181" s="1622"/>
      <c r="FT181" s="437"/>
      <c r="FU181" s="437"/>
      <c r="FV181" s="437"/>
      <c r="FW181" s="437"/>
      <c r="FX181" s="437"/>
      <c r="FY181" s="437"/>
      <c r="FZ181" s="490"/>
      <c r="GA181"/>
      <c r="GB181"/>
      <c r="GC181"/>
      <c r="GD181"/>
      <c r="GE181"/>
      <c r="GF181"/>
      <c r="GG181"/>
      <c r="GH181"/>
      <c r="GI181"/>
      <c r="GJ181"/>
      <c r="GK181"/>
      <c r="GL181"/>
      <c r="GM181"/>
      <c r="GN181"/>
      <c r="GO181"/>
      <c r="GP181"/>
      <c r="GQ181"/>
      <c r="GR181"/>
      <c r="GS181"/>
      <c r="GT181"/>
      <c r="GU181"/>
      <c r="GV181"/>
      <c r="GW181"/>
      <c r="GX181"/>
      <c r="GY181"/>
      <c r="GZ181"/>
      <c r="HA181"/>
      <c r="HB181"/>
      <c r="HC181"/>
      <c r="HD181"/>
      <c r="HE181"/>
      <c r="HF181"/>
      <c r="HG181"/>
      <c r="HH181"/>
      <c r="HI181"/>
      <c r="HJ181"/>
      <c r="HK181"/>
      <c r="HL181"/>
      <c r="HM181"/>
      <c r="HN181"/>
      <c r="HO181"/>
      <c r="HP181"/>
      <c r="HQ181"/>
      <c r="HR181"/>
      <c r="HS181"/>
      <c r="HT181"/>
      <c r="HU181"/>
      <c r="HV181"/>
      <c r="HW181"/>
      <c r="HX181"/>
      <c r="HY181"/>
      <c r="HZ181"/>
      <c r="IA181"/>
      <c r="IB181"/>
      <c r="IC181"/>
      <c r="ID181"/>
      <c r="IE181"/>
      <c r="IF181"/>
      <c r="IG181"/>
      <c r="IH181"/>
      <c r="II181"/>
      <c r="IJ181"/>
      <c r="IK181"/>
      <c r="IL181"/>
      <c r="IM181"/>
      <c r="IN181"/>
      <c r="IO181"/>
      <c r="IP181"/>
      <c r="IQ181"/>
      <c r="IR181"/>
      <c r="IS181"/>
      <c r="IT181"/>
      <c r="IU181"/>
      <c r="IV181"/>
      <c r="IW181"/>
      <c r="IX181"/>
    </row>
    <row r="182" spans="1:258" s="195" customFormat="1" ht="12" customHeight="1" x14ac:dyDescent="0.2">
      <c r="A182" s="178" t="s">
        <v>439</v>
      </c>
      <c r="B182" s="92"/>
      <c r="C182" s="92"/>
      <c r="D182" s="92"/>
      <c r="E182" s="92"/>
      <c r="F182" s="191"/>
      <c r="G182" s="92"/>
      <c r="H182" s="92"/>
      <c r="I182" s="92"/>
      <c r="J182" s="92"/>
      <c r="K182" s="191"/>
      <c r="L182" s="92"/>
      <c r="M182" s="92"/>
      <c r="N182" s="92"/>
      <c r="O182" s="92"/>
      <c r="P182" s="191"/>
      <c r="Q182" s="92"/>
      <c r="R182" s="92"/>
      <c r="S182" s="92"/>
      <c r="T182" s="92"/>
      <c r="U182" s="191"/>
      <c r="V182" s="92"/>
      <c r="W182" s="92"/>
      <c r="X182" s="92"/>
      <c r="Y182" s="92"/>
      <c r="Z182" s="191"/>
      <c r="AA182" s="92"/>
      <c r="AB182" s="92"/>
      <c r="AC182" s="92"/>
      <c r="AD182" s="92"/>
      <c r="AE182" s="191"/>
      <c r="AF182" s="92"/>
      <c r="AG182" s="92"/>
      <c r="AH182" s="92"/>
      <c r="AI182" s="92"/>
      <c r="AJ182" s="191"/>
      <c r="AK182" s="92"/>
      <c r="AL182" s="92"/>
      <c r="AM182" s="92"/>
      <c r="AN182" s="92"/>
      <c r="AO182" s="191"/>
      <c r="AP182" s="92"/>
      <c r="AQ182" s="92"/>
      <c r="AR182" s="92"/>
      <c r="AS182" s="92"/>
      <c r="AT182" s="191"/>
      <c r="AU182" s="92"/>
      <c r="AV182" s="92"/>
      <c r="AW182" s="92"/>
      <c r="AX182" s="92"/>
      <c r="AY182" s="191"/>
      <c r="AZ182" s="92"/>
      <c r="BA182" s="92"/>
      <c r="BB182" s="92"/>
      <c r="BC182" s="92"/>
      <c r="BD182" s="191"/>
      <c r="BE182" s="92"/>
      <c r="BF182" s="92"/>
      <c r="BG182" s="92"/>
      <c r="BH182" s="92"/>
      <c r="BI182" s="191"/>
      <c r="BJ182" s="92"/>
      <c r="BK182" s="92"/>
      <c r="BL182" s="92"/>
      <c r="BM182" s="92"/>
      <c r="BN182" s="191"/>
      <c r="BO182" s="92"/>
      <c r="BP182" s="92"/>
      <c r="BQ182" s="92"/>
      <c r="BR182" s="92"/>
      <c r="BS182" s="191">
        <f t="shared" ref="BS182:DC182" si="953">BS181-BS183</f>
        <v>0.53067423313664142</v>
      </c>
      <c r="BT182" s="92">
        <f t="shared" si="953"/>
        <v>0.56965628367629684</v>
      </c>
      <c r="BU182" s="92">
        <f t="shared" si="953"/>
        <v>0.53106132698916197</v>
      </c>
      <c r="BV182" s="92">
        <f t="shared" si="953"/>
        <v>0.55328256374913809</v>
      </c>
      <c r="BW182" s="92">
        <f t="shared" si="953"/>
        <v>0.56681336696090778</v>
      </c>
      <c r="BX182" s="191">
        <f t="shared" si="953"/>
        <v>0.5548581203787778</v>
      </c>
      <c r="BY182" s="92">
        <f t="shared" si="953"/>
        <v>0.62030793466143164</v>
      </c>
      <c r="BZ182" s="92">
        <f t="shared" si="953"/>
        <v>0.72353744739110548</v>
      </c>
      <c r="CA182" s="92">
        <f t="shared" si="953"/>
        <v>0.69277327935222655</v>
      </c>
      <c r="CB182" s="92">
        <f t="shared" si="953"/>
        <v>0.93170729270729247</v>
      </c>
      <c r="CC182" s="191">
        <f t="shared" si="953"/>
        <v>0.74258142256376858</v>
      </c>
      <c r="CD182" s="92">
        <f t="shared" si="953"/>
        <v>0.92020089001907168</v>
      </c>
      <c r="CE182" s="92">
        <f t="shared" si="953"/>
        <v>1.0637800114577367</v>
      </c>
      <c r="CF182" s="92">
        <f t="shared" si="953"/>
        <v>1.222669892296758</v>
      </c>
      <c r="CG182" s="92">
        <f t="shared" si="953"/>
        <v>1.1304858948666567</v>
      </c>
      <c r="CH182" s="191">
        <f t="shared" si="953"/>
        <v>1.0864369331541825</v>
      </c>
      <c r="CI182" s="92">
        <f t="shared" si="953"/>
        <v>0.88535412070402542</v>
      </c>
      <c r="CJ182" s="92">
        <f t="shared" si="953"/>
        <v>0.89378048780487762</v>
      </c>
      <c r="CK182" s="92">
        <f t="shared" si="953"/>
        <v>0.83240197128776527</v>
      </c>
      <c r="CL182" s="92">
        <f t="shared" si="953"/>
        <v>0.74350267379679158</v>
      </c>
      <c r="CM182" s="191">
        <f t="shared" si="953"/>
        <v>0.84438103756708394</v>
      </c>
      <c r="CN182" s="92">
        <f t="shared" si="953"/>
        <v>0.81517948717948707</v>
      </c>
      <c r="CO182" s="92">
        <f t="shared" si="953"/>
        <v>0.81284572767952268</v>
      </c>
      <c r="CP182" s="92">
        <f t="shared" si="953"/>
        <v>0.6354330484330486</v>
      </c>
      <c r="CQ182" s="92">
        <f t="shared" si="953"/>
        <v>0.70128571428571362</v>
      </c>
      <c r="CR182" s="191">
        <f t="shared" si="953"/>
        <v>0.74875486727883978</v>
      </c>
      <c r="CS182" s="92">
        <f t="shared" si="953"/>
        <v>0.72912727662309784</v>
      </c>
      <c r="CT182" s="92">
        <f t="shared" si="953"/>
        <v>0.797583184257602</v>
      </c>
      <c r="CU182" s="92">
        <f t="shared" si="953"/>
        <v>0.75131144465290767</v>
      </c>
      <c r="CV182" s="92">
        <f t="shared" si="953"/>
        <v>0.70723076923076844</v>
      </c>
      <c r="CW182" s="191">
        <f t="shared" si="953"/>
        <v>0.48429633860821841</v>
      </c>
      <c r="CX182" s="92">
        <f t="shared" si="953"/>
        <v>0.79538461538461536</v>
      </c>
      <c r="CY182" s="92">
        <f t="shared" si="953"/>
        <v>0.78084615384615397</v>
      </c>
      <c r="CZ182" s="92">
        <f t="shared" si="953"/>
        <v>0.72253846153846135</v>
      </c>
      <c r="DA182" s="92">
        <f t="shared" si="953"/>
        <v>0.71053846153846134</v>
      </c>
      <c r="DB182" s="191">
        <f t="shared" si="953"/>
        <v>0.7573740399716955</v>
      </c>
      <c r="DC182" s="92">
        <f t="shared" si="953"/>
        <v>0.7431538461538465</v>
      </c>
      <c r="DD182" s="92">
        <f t="shared" ref="DD182:DN182" si="954">DD181-DD183</f>
        <v>0.71853846153846179</v>
      </c>
      <c r="DE182" s="92">
        <f t="shared" si="954"/>
        <v>0.77023076923076905</v>
      </c>
      <c r="DF182" s="92">
        <f t="shared" si="954"/>
        <v>0.72430769230769165</v>
      </c>
      <c r="DG182" s="191">
        <f t="shared" si="954"/>
        <v>0.73488218210361067</v>
      </c>
      <c r="DH182" s="92">
        <f t="shared" si="954"/>
        <v>0.7471538461538465</v>
      </c>
      <c r="DI182" s="92">
        <f t="shared" si="954"/>
        <v>0.80715384615384611</v>
      </c>
      <c r="DJ182" s="92">
        <f t="shared" si="954"/>
        <v>0.73684615384615393</v>
      </c>
      <c r="DK182" s="92">
        <f t="shared" si="954"/>
        <v>0.81769230769230727</v>
      </c>
      <c r="DL182" s="191">
        <f>DL181-DL183</f>
        <v>0.77933813590562817</v>
      </c>
      <c r="DM182" s="92">
        <f t="shared" si="954"/>
        <v>0.80992307692307675</v>
      </c>
      <c r="DN182" s="92">
        <f t="shared" si="954"/>
        <v>0.82330769230769141</v>
      </c>
      <c r="DO182" s="92">
        <f t="shared" ref="DO182:DX182" si="955">DO181-DO183</f>
        <v>0.78423076923076929</v>
      </c>
      <c r="DP182" s="92">
        <f t="shared" si="955"/>
        <v>0.73950000000000005</v>
      </c>
      <c r="DQ182" s="191">
        <f t="shared" si="955"/>
        <v>0.78986590071778018</v>
      </c>
      <c r="DR182" s="92">
        <f t="shared" si="955"/>
        <v>0.76891666666666669</v>
      </c>
      <c r="DS182" s="92">
        <f t="shared" si="955"/>
        <v>0.80676923076923135</v>
      </c>
      <c r="DT182" s="915">
        <f t="shared" si="955"/>
        <v>0.74085714285714266</v>
      </c>
      <c r="DU182" s="92">
        <f t="shared" si="955"/>
        <v>0.7694615384615382</v>
      </c>
      <c r="DV182" s="191">
        <f>DV181-DV183</f>
        <v>0.77059587388557338</v>
      </c>
      <c r="DW182" s="92">
        <f t="shared" si="955"/>
        <v>0.82230769230769241</v>
      </c>
      <c r="DX182" s="92">
        <f t="shared" si="955"/>
        <v>0.87530769230769234</v>
      </c>
      <c r="DY182" s="915">
        <f t="shared" ref="DY182:ED182" si="956">DY181-DY183</f>
        <v>0.83446153846153903</v>
      </c>
      <c r="DZ182" s="92">
        <f t="shared" si="956"/>
        <v>0.92646153846153778</v>
      </c>
      <c r="EA182" s="191">
        <f t="shared" si="956"/>
        <v>0.86472134907276921</v>
      </c>
      <c r="EB182" s="92">
        <f t="shared" si="956"/>
        <v>1.0557692307692295</v>
      </c>
      <c r="EC182" s="92">
        <f t="shared" si="956"/>
        <v>0.85953846153846114</v>
      </c>
      <c r="ED182" s="915">
        <f t="shared" si="956"/>
        <v>0.86661538461538457</v>
      </c>
      <c r="EE182" s="92">
        <f t="shared" ref="EE182:EK182" si="957">EE181-EE183</f>
        <v>0.85461538461538433</v>
      </c>
      <c r="EF182" s="191">
        <f t="shared" si="957"/>
        <v>0.9050982051282046</v>
      </c>
      <c r="EG182" s="92">
        <f t="shared" si="957"/>
        <v>0.88092307692307692</v>
      </c>
      <c r="EH182" s="92">
        <f t="shared" si="957"/>
        <v>0.80761538461538529</v>
      </c>
      <c r="EI182" s="915">
        <f t="shared" si="957"/>
        <v>0.81061538461538452</v>
      </c>
      <c r="EJ182" s="92">
        <f t="shared" si="957"/>
        <v>0.77661538461538449</v>
      </c>
      <c r="EK182" s="191">
        <f t="shared" si="957"/>
        <v>0.81926009461503302</v>
      </c>
      <c r="EL182" s="92">
        <f t="shared" ref="EL182:EP182" si="958">EL181-EL183</f>
        <v>0.83807692307692339</v>
      </c>
      <c r="EM182" s="92">
        <f t="shared" si="958"/>
        <v>0.84184615384615435</v>
      </c>
      <c r="EN182" s="915">
        <f t="shared" si="958"/>
        <v>0.74546153846153818</v>
      </c>
      <c r="EO182" s="92">
        <f t="shared" si="958"/>
        <v>0.78476923076923066</v>
      </c>
      <c r="EP182" s="191">
        <f t="shared" si="958"/>
        <v>0.8043834345874421</v>
      </c>
      <c r="EQ182" s="92">
        <f t="shared" ref="EQ182" si="959">EQ181-EQ183</f>
        <v>0.86730769230769234</v>
      </c>
      <c r="ER182" s="192">
        <v>0.85</v>
      </c>
      <c r="ES182" s="192">
        <f t="shared" ref="ES182:ET182" si="960">ER182</f>
        <v>0.85</v>
      </c>
      <c r="ET182" s="192">
        <f t="shared" si="960"/>
        <v>0.85</v>
      </c>
      <c r="EU182" s="191">
        <f>EU181-EU183</f>
        <v>0.85530816157049072</v>
      </c>
      <c r="EV182" s="194"/>
      <c r="EW182" s="194"/>
      <c r="EX182" s="194"/>
      <c r="EY182" s="194"/>
      <c r="EZ182" s="193">
        <f>EU182</f>
        <v>0.85530816157049072</v>
      </c>
      <c r="FA182" s="194"/>
      <c r="FB182" s="194"/>
      <c r="FC182" s="194"/>
      <c r="FD182" s="194"/>
      <c r="FE182" s="193">
        <f>EZ182</f>
        <v>0.85530816157049072</v>
      </c>
      <c r="FG182" s="490"/>
      <c r="FH182" s="783"/>
      <c r="FI182" s="783"/>
      <c r="FJ182" s="783"/>
      <c r="FK182" s="1312"/>
      <c r="FL182" s="1352"/>
      <c r="FM182" s="1577">
        <f t="shared" si="858"/>
        <v>0.86730769230769234</v>
      </c>
      <c r="FN182" s="1463">
        <f t="shared" si="859"/>
        <v>0.83807692307692339</v>
      </c>
      <c r="FO182" s="1865">
        <v>0.78476923076923066</v>
      </c>
      <c r="FP182" s="1756"/>
      <c r="FQ182" s="756"/>
      <c r="FR182" s="1622"/>
      <c r="FS182" s="1622"/>
      <c r="FT182" s="437"/>
      <c r="FU182" s="437"/>
      <c r="FV182" s="437"/>
      <c r="FW182" s="437"/>
      <c r="FX182" s="437"/>
      <c r="FY182" s="437"/>
      <c r="FZ182" s="490"/>
      <c r="GA182"/>
      <c r="GB182"/>
      <c r="GC182"/>
      <c r="GD182"/>
      <c r="GE182"/>
      <c r="GF182"/>
      <c r="GG182"/>
      <c r="GH182"/>
      <c r="GI182"/>
      <c r="GJ182"/>
      <c r="GK182"/>
      <c r="GL182"/>
      <c r="GM182"/>
      <c r="GN182"/>
      <c r="GO182"/>
      <c r="GP182"/>
      <c r="GQ182"/>
      <c r="GR182"/>
      <c r="GS182"/>
      <c r="GT182"/>
      <c r="GU182"/>
      <c r="GV182"/>
      <c r="GW182"/>
      <c r="GX182"/>
      <c r="GY182"/>
      <c r="GZ182"/>
      <c r="HA182"/>
      <c r="HB182"/>
      <c r="HC182"/>
      <c r="HD182"/>
      <c r="HE182"/>
      <c r="HF182"/>
      <c r="HG182"/>
      <c r="HH182"/>
      <c r="HI182"/>
      <c r="HJ182"/>
      <c r="HK182"/>
      <c r="HL182"/>
      <c r="HM182"/>
      <c r="HN182"/>
      <c r="HO182"/>
      <c r="HP182"/>
      <c r="HQ182"/>
      <c r="HR182"/>
      <c r="HS182"/>
      <c r="HT182"/>
      <c r="HU182"/>
      <c r="HV182"/>
      <c r="HW182"/>
      <c r="HX182"/>
      <c r="HY182"/>
      <c r="HZ182"/>
      <c r="IA182"/>
      <c r="IB182"/>
      <c r="IC182"/>
      <c r="ID182"/>
      <c r="IE182"/>
      <c r="IF182"/>
      <c r="IG182"/>
      <c r="IH182"/>
      <c r="II182"/>
      <c r="IJ182"/>
      <c r="IK182"/>
      <c r="IL182"/>
      <c r="IM182"/>
      <c r="IN182"/>
      <c r="IO182"/>
      <c r="IP182"/>
      <c r="IQ182"/>
      <c r="IR182"/>
      <c r="IS182"/>
      <c r="IT182"/>
      <c r="IU182"/>
      <c r="IV182"/>
      <c r="IW182"/>
      <c r="IX182"/>
    </row>
    <row r="183" spans="1:258" s="62" customFormat="1" ht="11.25" customHeight="1" x14ac:dyDescent="0.2">
      <c r="A183" s="596" t="s">
        <v>135</v>
      </c>
      <c r="B183" s="59"/>
      <c r="C183" s="59"/>
      <c r="D183" s="59"/>
      <c r="E183" s="59"/>
      <c r="F183" s="167"/>
      <c r="G183" s="59"/>
      <c r="H183" s="59"/>
      <c r="I183" s="59"/>
      <c r="J183" s="59"/>
      <c r="K183" s="167"/>
      <c r="L183" s="59"/>
      <c r="M183" s="59"/>
      <c r="N183" s="59"/>
      <c r="O183" s="59"/>
      <c r="P183" s="167"/>
      <c r="Q183" s="59"/>
      <c r="R183" s="59"/>
      <c r="S183" s="59"/>
      <c r="T183" s="59"/>
      <c r="U183" s="167"/>
      <c r="V183" s="59"/>
      <c r="W183" s="59"/>
      <c r="X183" s="59"/>
      <c r="Y183" s="59"/>
      <c r="Z183" s="167"/>
      <c r="AA183" s="59"/>
      <c r="AB183" s="59"/>
      <c r="AC183" s="59"/>
      <c r="AD183" s="59"/>
      <c r="AE183" s="167"/>
      <c r="AF183" s="59"/>
      <c r="AG183" s="59"/>
      <c r="AH183" s="59"/>
      <c r="AI183" s="59"/>
      <c r="AJ183" s="167"/>
      <c r="AK183" s="59"/>
      <c r="AL183" s="59"/>
      <c r="AM183" s="59"/>
      <c r="AN183" s="59"/>
      <c r="AO183" s="167"/>
      <c r="AP183" s="59"/>
      <c r="AQ183" s="59"/>
      <c r="AR183" s="59"/>
      <c r="AS183" s="59"/>
      <c r="AT183" s="167"/>
      <c r="AU183" s="59"/>
      <c r="AV183" s="59"/>
      <c r="AW183" s="59"/>
      <c r="AX183" s="59"/>
      <c r="AY183" s="167">
        <v>0.57026013858911739</v>
      </c>
      <c r="AZ183" s="59">
        <v>0.45</v>
      </c>
      <c r="BA183" s="59">
        <v>0.5423728813559322</v>
      </c>
      <c r="BB183" s="59">
        <v>0.63703703703703707</v>
      </c>
      <c r="BC183" s="59">
        <v>0.73636363636363644</v>
      </c>
      <c r="BD183" s="167">
        <v>0.60227703984819725</v>
      </c>
      <c r="BE183" s="59">
        <v>0.8571428571428571</v>
      </c>
      <c r="BF183" s="59">
        <v>0.90476190476190477</v>
      </c>
      <c r="BG183" s="59">
        <v>0.965034965034965</v>
      </c>
      <c r="BH183" s="59">
        <v>1.0923276983094927</v>
      </c>
      <c r="BI183" s="167">
        <v>0.95403439153439162</v>
      </c>
      <c r="BJ183" s="59">
        <v>0.98781270044900571</v>
      </c>
      <c r="BK183" s="59">
        <v>0.91608391608391604</v>
      </c>
      <c r="BL183" s="59">
        <v>0.89912280701754377</v>
      </c>
      <c r="BM183" s="59">
        <v>0.8085694540428473</v>
      </c>
      <c r="BN183" s="167">
        <v>0.9045485871812543</v>
      </c>
      <c r="BO183" s="59">
        <v>0.7142857142857143</v>
      </c>
      <c r="BP183" s="59">
        <v>0.77777777777777779</v>
      </c>
      <c r="BQ183" s="59">
        <v>0.79970652971386635</v>
      </c>
      <c r="BR183" s="59">
        <v>0.84815321477428185</v>
      </c>
      <c r="BS183" s="167">
        <v>0.784827827302919</v>
      </c>
      <c r="BT183" s="59">
        <v>1.0540360240160107</v>
      </c>
      <c r="BU183" s="59">
        <v>0.93470790378006874</v>
      </c>
      <c r="BV183" s="59">
        <v>0.90971743625086154</v>
      </c>
      <c r="BW183" s="59">
        <v>0.91803278688524592</v>
      </c>
      <c r="BX183" s="167">
        <v>0.95446880269814505</v>
      </c>
      <c r="BY183" s="59">
        <v>0.97038437303087599</v>
      </c>
      <c r="BZ183" s="59">
        <v>0.99538562953197107</v>
      </c>
      <c r="CA183" s="59">
        <v>1.1368421052631579</v>
      </c>
      <c r="CB183" s="59">
        <v>1.168831168831169</v>
      </c>
      <c r="CC183" s="167">
        <v>1.067360885128539</v>
      </c>
      <c r="CD183" s="59">
        <v>1.1379529561347743</v>
      </c>
      <c r="CE183" s="59">
        <v>1.1916046039268788</v>
      </c>
      <c r="CF183" s="59">
        <v>1.3361762615493959</v>
      </c>
      <c r="CG183" s="59">
        <v>1.6032064128256514</v>
      </c>
      <c r="CH183" s="167">
        <v>1.3150822976150487</v>
      </c>
      <c r="CI183" s="59">
        <v>1.6124920331421286</v>
      </c>
      <c r="CJ183" s="59">
        <v>1.9512195121951221</v>
      </c>
      <c r="CK183" s="59">
        <v>2.0891364902506964</v>
      </c>
      <c r="CL183" s="59">
        <v>1.8114973262032086</v>
      </c>
      <c r="CM183" s="167">
        <v>1.8604651162790695</v>
      </c>
      <c r="CN183" s="59">
        <v>1.7266666666666666</v>
      </c>
      <c r="CO183" s="59">
        <v>2.0013850415512464</v>
      </c>
      <c r="CP183" s="59">
        <v>2.2592592592592591</v>
      </c>
      <c r="CQ183" s="59">
        <v>2.56</v>
      </c>
      <c r="CR183" s="167">
        <v>2.1292588689848966</v>
      </c>
      <c r="CS183" s="59">
        <v>2.8203342618384402</v>
      </c>
      <c r="CT183" s="59">
        <v>3.6191860465116279</v>
      </c>
      <c r="CU183" s="59">
        <v>3.5670731707317076</v>
      </c>
      <c r="CV183" s="59">
        <v>2.2200000000000002</v>
      </c>
      <c r="CW183" s="167">
        <v>3.318665199853319</v>
      </c>
      <c r="CX183" s="59">
        <v>1.39</v>
      </c>
      <c r="CY183" s="59">
        <v>1.56</v>
      </c>
      <c r="CZ183" s="59">
        <v>1.88</v>
      </c>
      <c r="DA183" s="59">
        <v>2.0299999999999998</v>
      </c>
      <c r="DB183" s="167">
        <f>SUMPRODUCT(CX183:DA183,CX$184:DA$184)/DB$184</f>
        <v>1.7099528831052277</v>
      </c>
      <c r="DC183" s="232">
        <v>2.11</v>
      </c>
      <c r="DD183" s="59">
        <v>2.31</v>
      </c>
      <c r="DE183" s="59">
        <v>2.17</v>
      </c>
      <c r="DF183" s="59">
        <v>2.42</v>
      </c>
      <c r="DG183" s="167">
        <f>SUMPRODUCT(DC183:DF183,DC$184:DF$184)/DG$184</f>
        <v>2.2566755102040816</v>
      </c>
      <c r="DH183" s="59">
        <v>2.86</v>
      </c>
      <c r="DI183" s="59">
        <v>3.21</v>
      </c>
      <c r="DJ183" s="59">
        <v>3.13</v>
      </c>
      <c r="DK183" s="59">
        <v>3.05</v>
      </c>
      <c r="DL183" s="167">
        <f>SUMPRODUCT(DH183:DK183,DH$184:DK$184)/DL$184</f>
        <v>3.0603734025559102</v>
      </c>
      <c r="DM183" s="59">
        <v>3.15</v>
      </c>
      <c r="DN183" s="59">
        <v>3.14</v>
      </c>
      <c r="DO183" s="59">
        <v>3.14</v>
      </c>
      <c r="DP183" s="232">
        <v>3.28</v>
      </c>
      <c r="DQ183" s="167">
        <f>SUMPRODUCT(DM183:DP183,DM$184:DP$184)/DQ$184</f>
        <v>3.1768744838976044</v>
      </c>
      <c r="DR183" s="59">
        <v>3.26</v>
      </c>
      <c r="DS183" s="59">
        <v>3.08</v>
      </c>
      <c r="DT183" s="59">
        <v>3.17</v>
      </c>
      <c r="DU183" s="232">
        <v>3.1</v>
      </c>
      <c r="DV183" s="167">
        <f>SUMPRODUCT(DR183:DU183,DR$184:DU$184)/DV$184</f>
        <v>3.1534052708030713</v>
      </c>
      <c r="DW183" s="59">
        <v>3.14</v>
      </c>
      <c r="DX183" s="232">
        <v>3.06</v>
      </c>
      <c r="DY183" s="59">
        <v>3</v>
      </c>
      <c r="DZ183" s="232">
        <v>2.64</v>
      </c>
      <c r="EA183" s="167">
        <f>SUMPRODUCT(DW183:DZ183,DW$184:DZ$184)/EA$184</f>
        <v>2.9599132663118466</v>
      </c>
      <c r="EB183" s="232">
        <v>1.86</v>
      </c>
      <c r="EC183" s="1153">
        <v>1.99</v>
      </c>
      <c r="ED183" s="1153">
        <v>1.76</v>
      </c>
      <c r="EE183" s="232">
        <v>1.58</v>
      </c>
      <c r="EF183" s="167">
        <f>SUMPRODUCT(EB183:EE183,EB$184:EE$184)/EF$184</f>
        <v>1.80153641025641</v>
      </c>
      <c r="EG183" s="1153">
        <v>1.19</v>
      </c>
      <c r="EH183" s="1153">
        <v>1.49</v>
      </c>
      <c r="EI183" s="1153">
        <v>1.57</v>
      </c>
      <c r="EJ183" s="232">
        <v>1.69</v>
      </c>
      <c r="EK183" s="167">
        <f>SUMPRODUCT(EG183:EJ183,EG$184:EJ$184)/EK$184</f>
        <v>1.4846822130772748</v>
      </c>
      <c r="EL183" s="1153">
        <v>1.73</v>
      </c>
      <c r="EM183" s="1153">
        <v>1.71</v>
      </c>
      <c r="EN183" s="1153">
        <v>1.87</v>
      </c>
      <c r="EO183" s="232">
        <v>2.08</v>
      </c>
      <c r="EP183" s="167">
        <f>SUMPRODUCT(EL183:EO183,EL$184:EO$184)/EP$184</f>
        <v>1.8456550269510195</v>
      </c>
      <c r="EQ183" s="59">
        <v>2.15</v>
      </c>
      <c r="ER183" s="59">
        <f t="shared" ref="ER183" si="961">ER181-ER182</f>
        <v>2.2445384615384607</v>
      </c>
      <c r="ES183" s="59">
        <f t="shared" ref="ES183:ET183" si="962">ES181-ES182</f>
        <v>2.2539999999999996</v>
      </c>
      <c r="ET183" s="59">
        <f t="shared" si="962"/>
        <v>2.2539999999999996</v>
      </c>
      <c r="EU183" s="167">
        <f>SUMPRODUCT(EQ183:ET183,EQ$184:ET$184)/EU$184</f>
        <v>2.2246533768910473</v>
      </c>
      <c r="EV183" s="59"/>
      <c r="EW183" s="209"/>
      <c r="EX183" s="209"/>
      <c r="EY183" s="59"/>
      <c r="EZ183" s="167">
        <f>EZ181-EZ182</f>
        <v>2.2486918384295089</v>
      </c>
      <c r="FA183" s="59"/>
      <c r="FB183" s="209"/>
      <c r="FC183" s="209"/>
      <c r="FD183" s="59"/>
      <c r="FE183" s="167">
        <f>FE181-FE182</f>
        <v>2.2486918384295089</v>
      </c>
      <c r="FG183" s="490"/>
      <c r="FH183" s="786"/>
      <c r="FI183" s="786"/>
      <c r="FJ183" s="786"/>
      <c r="FK183" s="378"/>
      <c r="FL183" s="1354"/>
      <c r="FM183" s="1538">
        <f t="shared" si="858"/>
        <v>2.15</v>
      </c>
      <c r="FN183" s="1429">
        <f t="shared" si="859"/>
        <v>1.73</v>
      </c>
      <c r="FO183" s="1818">
        <v>2.2325384615384616</v>
      </c>
      <c r="FP183" s="1763"/>
      <c r="FQ183" s="1516"/>
      <c r="FR183" s="1619"/>
      <c r="FS183" s="1619"/>
      <c r="FT183" s="438"/>
      <c r="FU183" s="438"/>
      <c r="FV183" s="438"/>
      <c r="FW183" s="438"/>
      <c r="FX183" s="438"/>
      <c r="FY183" s="438"/>
      <c r="FZ183" s="490"/>
      <c r="GA183"/>
      <c r="GB183"/>
      <c r="GC183"/>
      <c r="GD183"/>
      <c r="GE183"/>
      <c r="GF183"/>
      <c r="GG183"/>
      <c r="GH183"/>
      <c r="GI183"/>
      <c r="GJ183"/>
      <c r="GK183"/>
      <c r="GL183"/>
      <c r="GM183"/>
      <c r="GN183"/>
      <c r="GO183"/>
      <c r="GP183"/>
      <c r="GQ183"/>
      <c r="GR183"/>
      <c r="GS183"/>
      <c r="GT183"/>
      <c r="GU183"/>
      <c r="GV183"/>
      <c r="GW183"/>
      <c r="GX183"/>
      <c r="GY183"/>
      <c r="GZ183"/>
      <c r="HA183"/>
      <c r="HB183"/>
      <c r="HC183"/>
      <c r="HD183"/>
      <c r="HE183"/>
      <c r="HF183"/>
      <c r="HG183"/>
      <c r="HH183"/>
      <c r="HI183"/>
      <c r="HJ183"/>
      <c r="HK183"/>
      <c r="HL183"/>
      <c r="HM183"/>
      <c r="HN183"/>
      <c r="HO183"/>
      <c r="HP183"/>
      <c r="HQ183"/>
      <c r="HR183"/>
      <c r="HS183"/>
      <c r="HT183"/>
      <c r="HU183"/>
      <c r="HV183"/>
      <c r="HW183"/>
      <c r="HX183"/>
      <c r="HY183"/>
      <c r="HZ183"/>
      <c r="IA183"/>
      <c r="IB183"/>
      <c r="IC183"/>
      <c r="ID183"/>
      <c r="IE183"/>
      <c r="IF183"/>
      <c r="IG183"/>
      <c r="IH183"/>
      <c r="II183"/>
      <c r="IJ183"/>
      <c r="IK183"/>
      <c r="IL183"/>
      <c r="IM183"/>
      <c r="IN183"/>
      <c r="IO183"/>
      <c r="IP183"/>
      <c r="IQ183"/>
      <c r="IR183"/>
      <c r="IS183"/>
      <c r="IT183"/>
      <c r="IU183"/>
      <c r="IV183"/>
      <c r="IW183"/>
      <c r="IX183"/>
    </row>
    <row r="184" spans="1:258" s="97" customFormat="1" x14ac:dyDescent="0.2">
      <c r="A184" s="597" t="s">
        <v>413</v>
      </c>
      <c r="B184" s="95"/>
      <c r="C184" s="95"/>
      <c r="D184" s="95"/>
      <c r="E184" s="95"/>
      <c r="F184" s="96"/>
      <c r="G184" s="95"/>
      <c r="H184" s="95"/>
      <c r="I184" s="95"/>
      <c r="J184" s="95"/>
      <c r="K184" s="96"/>
      <c r="L184" s="95"/>
      <c r="M184" s="95"/>
      <c r="N184" s="95"/>
      <c r="O184" s="95"/>
      <c r="P184" s="96"/>
      <c r="Q184" s="95"/>
      <c r="R184" s="95"/>
      <c r="S184" s="95"/>
      <c r="T184" s="95"/>
      <c r="U184" s="96"/>
      <c r="V184" s="95"/>
      <c r="W184" s="95"/>
      <c r="X184" s="95"/>
      <c r="Y184" s="95"/>
      <c r="Z184" s="96"/>
      <c r="AA184" s="95"/>
      <c r="AB184" s="95"/>
      <c r="AC184" s="95"/>
      <c r="AD184" s="95"/>
      <c r="AE184" s="96"/>
      <c r="AF184" s="95"/>
      <c r="AG184" s="95"/>
      <c r="AH184" s="95"/>
      <c r="AI184" s="95"/>
      <c r="AJ184" s="96"/>
      <c r="AK184" s="95"/>
      <c r="AL184" s="95"/>
      <c r="AM184" s="95"/>
      <c r="AN184" s="95"/>
      <c r="AO184" s="96"/>
      <c r="AP184" s="95"/>
      <c r="AQ184" s="95"/>
      <c r="AR184" s="95"/>
      <c r="AS184" s="95"/>
      <c r="AT184" s="96"/>
      <c r="AU184" s="95"/>
      <c r="AV184" s="95"/>
      <c r="AW184" s="95"/>
      <c r="AX184" s="95"/>
      <c r="AY184" s="96">
        <v>440.15</v>
      </c>
      <c r="AZ184" s="95">
        <v>120</v>
      </c>
      <c r="BA184" s="95">
        <v>118</v>
      </c>
      <c r="BB184" s="95">
        <v>135</v>
      </c>
      <c r="BC184" s="95">
        <v>154</v>
      </c>
      <c r="BD184" s="96">
        <f>SUM(AZ184:BC184)</f>
        <v>527</v>
      </c>
      <c r="BE184" s="95">
        <v>161</v>
      </c>
      <c r="BF184" s="95">
        <v>147</v>
      </c>
      <c r="BG184" s="95">
        <v>143</v>
      </c>
      <c r="BH184" s="95">
        <v>153.80000000000001</v>
      </c>
      <c r="BI184" s="96">
        <f>SUM(BE184:BH184)</f>
        <v>604.79999999999995</v>
      </c>
      <c r="BJ184" s="95">
        <v>155.9</v>
      </c>
      <c r="BK184" s="95">
        <v>143</v>
      </c>
      <c r="BL184" s="95">
        <v>136.80000000000001</v>
      </c>
      <c r="BM184" s="95">
        <v>144.69999999999999</v>
      </c>
      <c r="BN184" s="96">
        <f>SUM(BJ184:BM184)</f>
        <v>580.4</v>
      </c>
      <c r="BO184" s="95">
        <v>145.6</v>
      </c>
      <c r="BP184" s="95">
        <v>144</v>
      </c>
      <c r="BQ184" s="95">
        <v>136.30000000000001</v>
      </c>
      <c r="BR184" s="95">
        <v>146.19999999999999</v>
      </c>
      <c r="BS184" s="96">
        <f>SUM(BO184:BR184)</f>
        <v>572.1</v>
      </c>
      <c r="BT184" s="95">
        <v>149.9</v>
      </c>
      <c r="BU184" s="95">
        <v>145.5</v>
      </c>
      <c r="BV184" s="95">
        <v>145.1</v>
      </c>
      <c r="BW184" s="95">
        <v>152.5</v>
      </c>
      <c r="BX184" s="96">
        <f>SUM(BT184:BW184)</f>
        <v>593</v>
      </c>
      <c r="BY184" s="95">
        <v>158.69999999999999</v>
      </c>
      <c r="BZ184" s="95">
        <v>151.69999999999999</v>
      </c>
      <c r="CA184" s="95">
        <v>142.5</v>
      </c>
      <c r="CB184" s="95">
        <v>161.69999999999999</v>
      </c>
      <c r="CC184" s="96">
        <f>SUM(BY184:CB184)</f>
        <v>614.59999999999991</v>
      </c>
      <c r="CD184" s="95">
        <v>157.30000000000001</v>
      </c>
      <c r="CE184" s="95">
        <v>147.69999999999999</v>
      </c>
      <c r="CF184" s="95">
        <v>140.69999999999999</v>
      </c>
      <c r="CG184" s="95">
        <v>149.69999999999999</v>
      </c>
      <c r="CH184" s="96">
        <f>SUM(CD184:CG184)</f>
        <v>595.4</v>
      </c>
      <c r="CI184" s="95">
        <v>156.9</v>
      </c>
      <c r="CJ184" s="95">
        <v>147.6</v>
      </c>
      <c r="CK184" s="95">
        <v>143.6</v>
      </c>
      <c r="CL184" s="95">
        <v>149.6</v>
      </c>
      <c r="CM184" s="96">
        <f>SUM(CI184:CL184)</f>
        <v>597.70000000000005</v>
      </c>
      <c r="CN184" s="95">
        <v>150</v>
      </c>
      <c r="CO184" s="95">
        <v>144.4</v>
      </c>
      <c r="CP184" s="95">
        <v>135</v>
      </c>
      <c r="CQ184" s="95">
        <v>140</v>
      </c>
      <c r="CR184" s="96">
        <f>SUM(CN184:CQ184)</f>
        <v>569.4</v>
      </c>
      <c r="CS184" s="95">
        <v>143.6</v>
      </c>
      <c r="CT184" s="95">
        <v>137.6</v>
      </c>
      <c r="CU184" s="95">
        <v>131.19999999999999</v>
      </c>
      <c r="CV184" s="95">
        <v>133</v>
      </c>
      <c r="CW184" s="96">
        <f>SUM(CS184:CV184)</f>
        <v>545.4</v>
      </c>
      <c r="CX184" s="95">
        <v>119.6</v>
      </c>
      <c r="CY184" s="95">
        <v>106.3</v>
      </c>
      <c r="CZ184" s="95">
        <v>107.6</v>
      </c>
      <c r="DA184" s="95">
        <v>112.2</v>
      </c>
      <c r="DB184" s="96">
        <f>SUM(CX184:DA184)</f>
        <v>445.7</v>
      </c>
      <c r="DC184" s="95">
        <v>120.9</v>
      </c>
      <c r="DD184" s="95">
        <v>120</v>
      </c>
      <c r="DE184" s="95">
        <v>117.4</v>
      </c>
      <c r="DF184" s="95">
        <v>131.69999999999999</v>
      </c>
      <c r="DG184" s="96">
        <f>SUM(DC184:DF184)</f>
        <v>490</v>
      </c>
      <c r="DH184" s="95">
        <v>127.9</v>
      </c>
      <c r="DI184" s="95">
        <v>123.8</v>
      </c>
      <c r="DJ184" s="95">
        <v>121.1</v>
      </c>
      <c r="DK184" s="95">
        <v>128</v>
      </c>
      <c r="DL184" s="96">
        <f>SUM(DH184:DK184)</f>
        <v>500.79999999999995</v>
      </c>
      <c r="DM184" s="95">
        <v>130</v>
      </c>
      <c r="DN184" s="95">
        <v>120</v>
      </c>
      <c r="DO184" s="95">
        <v>116.1</v>
      </c>
      <c r="DP184" s="95">
        <v>118.3</v>
      </c>
      <c r="DQ184" s="96">
        <f>SUM(DM184:DP184)</f>
        <v>484.40000000000003</v>
      </c>
      <c r="DR184" s="95">
        <v>125.3</v>
      </c>
      <c r="DS184" s="95">
        <v>118.8</v>
      </c>
      <c r="DT184" s="95">
        <v>115.2</v>
      </c>
      <c r="DU184" s="95">
        <v>122.6</v>
      </c>
      <c r="DV184" s="96">
        <f>SUM(DR184:DU184)</f>
        <v>481.9</v>
      </c>
      <c r="DW184" s="95">
        <v>130.1</v>
      </c>
      <c r="DX184" s="95">
        <v>126.7</v>
      </c>
      <c r="DY184" s="95">
        <v>122.3</v>
      </c>
      <c r="DZ184" s="95">
        <v>128.19999999999999</v>
      </c>
      <c r="EA184" s="96">
        <f>SUM(DW184:DZ184)</f>
        <v>507.3</v>
      </c>
      <c r="EB184" s="95">
        <v>131.9</v>
      </c>
      <c r="EC184" s="95">
        <v>122.1</v>
      </c>
      <c r="ED184" s="95">
        <v>116.7</v>
      </c>
      <c r="EE184" s="95">
        <v>116.8</v>
      </c>
      <c r="EF184" s="96">
        <f>SUM(EB184:EE184)</f>
        <v>487.5</v>
      </c>
      <c r="EG184" s="95">
        <v>113.1</v>
      </c>
      <c r="EH184" s="95">
        <v>106.1</v>
      </c>
      <c r="EI184" s="95">
        <v>100.3</v>
      </c>
      <c r="EJ184" s="95">
        <v>117.9</v>
      </c>
      <c r="EK184" s="96">
        <f>SUM(EG184:EJ184)</f>
        <v>437.4</v>
      </c>
      <c r="EL184" s="95">
        <v>114.7</v>
      </c>
      <c r="EM184" s="95">
        <v>105</v>
      </c>
      <c r="EN184" s="95">
        <v>100</v>
      </c>
      <c r="EO184" s="95">
        <v>107</v>
      </c>
      <c r="EP184" s="96">
        <f>SUM(EL184:EO184)</f>
        <v>426.7</v>
      </c>
      <c r="EQ184" s="95">
        <v>106.6</v>
      </c>
      <c r="ER184" s="95">
        <f t="shared" ref="ER184" si="963">ER186*ER53/1000</f>
        <v>98.47736011472692</v>
      </c>
      <c r="ES184" s="95">
        <f t="shared" ref="ES184:ET184" si="964">ES186*ES53/1000</f>
        <v>97.354185955034865</v>
      </c>
      <c r="ET184" s="95">
        <f t="shared" si="964"/>
        <v>107.09248283460991</v>
      </c>
      <c r="EU184" s="96">
        <f>SUM(EQ184:ET184)</f>
        <v>409.52402890437168</v>
      </c>
      <c r="EV184" s="95"/>
      <c r="EW184" s="95"/>
      <c r="EX184" s="95"/>
      <c r="EY184" s="95"/>
      <c r="EZ184" s="96">
        <f>EZ186*EZ53/1000</f>
        <v>401.20007017068713</v>
      </c>
      <c r="FA184" s="95"/>
      <c r="FB184" s="95"/>
      <c r="FC184" s="95"/>
      <c r="FD184" s="95"/>
      <c r="FE184" s="96">
        <f>FE186*FE53/1000</f>
        <v>395.40486511382272</v>
      </c>
      <c r="FG184" s="490"/>
      <c r="FH184" s="795"/>
      <c r="FI184" s="795"/>
      <c r="FJ184" s="795"/>
      <c r="FK184" s="1317"/>
      <c r="FL184" s="1363"/>
      <c r="FM184" s="1578">
        <f t="shared" si="858"/>
        <v>106.6</v>
      </c>
      <c r="FN184" s="1464">
        <f t="shared" si="859"/>
        <v>114.7</v>
      </c>
      <c r="FO184" s="1866">
        <v>104.51139941524579</v>
      </c>
      <c r="FP184" s="1753">
        <f>+FM184/FN184-1</f>
        <v>-7.0619006102877191E-2</v>
      </c>
      <c r="FQ184" s="1532">
        <f>+FM184/FO184-1</f>
        <v>1.99844284589068E-2</v>
      </c>
      <c r="FR184" s="1297"/>
      <c r="FS184" s="1297"/>
      <c r="FT184" s="712"/>
      <c r="FU184" s="712"/>
      <c r="FV184" s="712"/>
      <c r="FW184" s="712"/>
      <c r="FX184" s="712"/>
      <c r="FY184" s="712"/>
      <c r="FZ184" s="490"/>
      <c r="GA184"/>
      <c r="GB184"/>
      <c r="GC184"/>
      <c r="GD184"/>
      <c r="GE184"/>
      <c r="GF184"/>
      <c r="GG184"/>
      <c r="GH184"/>
      <c r="GI184"/>
      <c r="GJ184"/>
      <c r="GK184"/>
      <c r="GL184"/>
      <c r="GM184"/>
      <c r="GN184"/>
      <c r="GO184"/>
      <c r="GP184"/>
      <c r="GQ184"/>
      <c r="GR184"/>
      <c r="GS184"/>
      <c r="GT184"/>
      <c r="GU184"/>
      <c r="GV184"/>
      <c r="GW184"/>
      <c r="GX184"/>
      <c r="GY184"/>
      <c r="GZ184"/>
      <c r="HA184"/>
      <c r="HB184"/>
      <c r="HC184"/>
      <c r="HD184"/>
      <c r="HE184"/>
      <c r="HF184"/>
      <c r="HG184"/>
      <c r="HH184"/>
      <c r="HI184"/>
      <c r="HJ184"/>
      <c r="HK184"/>
      <c r="HL184"/>
      <c r="HM184"/>
      <c r="HN184"/>
      <c r="HO184"/>
      <c r="HP184"/>
      <c r="HQ184"/>
      <c r="HR184"/>
      <c r="HS184"/>
      <c r="HT184"/>
      <c r="HU184"/>
      <c r="HV184"/>
      <c r="HW184"/>
      <c r="HX184"/>
      <c r="HY184"/>
      <c r="HZ184"/>
      <c r="IA184"/>
      <c r="IB184"/>
      <c r="IC184"/>
      <c r="ID184"/>
      <c r="IE184"/>
      <c r="IF184"/>
      <c r="IG184"/>
      <c r="IH184"/>
      <c r="II184"/>
      <c r="IJ184"/>
      <c r="IK184"/>
      <c r="IL184"/>
      <c r="IM184"/>
      <c r="IN184"/>
      <c r="IO184"/>
      <c r="IP184"/>
      <c r="IQ184"/>
      <c r="IR184"/>
      <c r="IS184"/>
      <c r="IT184"/>
      <c r="IU184"/>
      <c r="IV184"/>
      <c r="IW184"/>
      <c r="IX184"/>
    </row>
    <row r="185" spans="1:258" s="45" customFormat="1" x14ac:dyDescent="0.2">
      <c r="A185" s="559" t="s">
        <v>465</v>
      </c>
      <c r="B185" s="10"/>
      <c r="C185" s="10"/>
      <c r="D185" s="10"/>
      <c r="E185" s="10"/>
      <c r="F185" s="9"/>
      <c r="G185" s="10"/>
      <c r="H185" s="10"/>
      <c r="I185" s="10"/>
      <c r="J185" s="10"/>
      <c r="K185" s="9"/>
      <c r="L185" s="10"/>
      <c r="M185" s="10"/>
      <c r="N185" s="10"/>
      <c r="O185" s="10"/>
      <c r="P185" s="9"/>
      <c r="Q185" s="10"/>
      <c r="R185" s="10"/>
      <c r="S185" s="10"/>
      <c r="T185" s="10"/>
      <c r="U185" s="9"/>
      <c r="V185" s="10"/>
      <c r="W185" s="10"/>
      <c r="X185" s="10"/>
      <c r="Y185" s="10"/>
      <c r="Z185" s="9"/>
      <c r="AA185" s="10"/>
      <c r="AB185" s="10"/>
      <c r="AC185" s="10"/>
      <c r="AD185" s="10"/>
      <c r="AE185" s="9"/>
      <c r="AF185" s="10"/>
      <c r="AG185" s="10"/>
      <c r="AH185" s="10"/>
      <c r="AI185" s="10"/>
      <c r="AJ185" s="9"/>
      <c r="AK185" s="10"/>
      <c r="AL185" s="10"/>
      <c r="AM185" s="10"/>
      <c r="AN185" s="10"/>
      <c r="AO185" s="9"/>
      <c r="AP185" s="10"/>
      <c r="AQ185" s="10"/>
      <c r="AR185" s="10"/>
      <c r="AS185" s="10"/>
      <c r="AT185" s="9"/>
      <c r="AU185" s="10"/>
      <c r="AV185" s="10"/>
      <c r="AW185" s="10"/>
      <c r="AX185" s="10"/>
      <c r="AY185" s="9"/>
      <c r="AZ185" s="10"/>
      <c r="BA185" s="10"/>
      <c r="BB185" s="10"/>
      <c r="BC185" s="10"/>
      <c r="BD185" s="9">
        <f t="shared" ref="BD185:BP185" si="965">BD184/AY184-1</f>
        <v>0.19731909576280815</v>
      </c>
      <c r="BE185" s="10">
        <f t="shared" si="965"/>
        <v>0.34166666666666656</v>
      </c>
      <c r="BF185" s="10">
        <f t="shared" si="965"/>
        <v>0.24576271186440679</v>
      </c>
      <c r="BG185" s="10">
        <f t="shared" si="965"/>
        <v>5.9259259259259345E-2</v>
      </c>
      <c r="BH185" s="10">
        <f t="shared" si="965"/>
        <v>-1.2987012987012436E-3</v>
      </c>
      <c r="BI185" s="9">
        <f t="shared" si="965"/>
        <v>0.14762808349146095</v>
      </c>
      <c r="BJ185" s="10">
        <f>BJ184/BE184-1</f>
        <v>-3.1677018633540333E-2</v>
      </c>
      <c r="BK185" s="10">
        <f>BK184/BF184-1</f>
        <v>-2.7210884353741527E-2</v>
      </c>
      <c r="BL185" s="10">
        <f>BL184/BG184-1</f>
        <v>-4.3356643356643243E-2</v>
      </c>
      <c r="BM185" s="10">
        <f>BM184/BH184-1</f>
        <v>-5.916775032509769E-2</v>
      </c>
      <c r="BN185" s="9">
        <f>BN184/BI184-1</f>
        <v>-4.0343915343915349E-2</v>
      </c>
      <c r="BO185" s="10">
        <f t="shared" si="965"/>
        <v>-6.6067992302758283E-2</v>
      </c>
      <c r="BP185" s="10">
        <f t="shared" si="965"/>
        <v>6.9930069930070893E-3</v>
      </c>
      <c r="BQ185" s="10">
        <f t="shared" ref="BQ185:CV185" si="966">BQ184/BL184-1</f>
        <v>-3.654970760233911E-3</v>
      </c>
      <c r="BR185" s="10">
        <f t="shared" si="966"/>
        <v>1.0366275051831408E-2</v>
      </c>
      <c r="BS185" s="9">
        <f t="shared" si="966"/>
        <v>-1.4300482425913086E-2</v>
      </c>
      <c r="BT185" s="10">
        <f t="shared" si="966"/>
        <v>2.953296703296715E-2</v>
      </c>
      <c r="BU185" s="10">
        <f t="shared" si="966"/>
        <v>1.0416666666666741E-2</v>
      </c>
      <c r="BV185" s="10">
        <f t="shared" si="966"/>
        <v>6.4563462949376316E-2</v>
      </c>
      <c r="BW185" s="10">
        <f t="shared" si="966"/>
        <v>4.3091655266757956E-2</v>
      </c>
      <c r="BX185" s="9">
        <f t="shared" si="966"/>
        <v>3.6532074812095638E-2</v>
      </c>
      <c r="BY185" s="10">
        <f t="shared" si="966"/>
        <v>5.8705803869246065E-2</v>
      </c>
      <c r="BZ185" s="10">
        <f t="shared" si="966"/>
        <v>4.2611683848797099E-2</v>
      </c>
      <c r="CA185" s="10">
        <f t="shared" si="966"/>
        <v>-1.7918676774638098E-2</v>
      </c>
      <c r="CB185" s="10">
        <f t="shared" si="966"/>
        <v>6.0327868852458888E-2</v>
      </c>
      <c r="CC185" s="9">
        <f t="shared" si="966"/>
        <v>3.6424957841483918E-2</v>
      </c>
      <c r="CD185" s="10">
        <f t="shared" si="966"/>
        <v>-8.8216761184624071E-3</v>
      </c>
      <c r="CE185" s="10">
        <f t="shared" si="966"/>
        <v>-2.6367831245880047E-2</v>
      </c>
      <c r="CF185" s="10">
        <f t="shared" si="966"/>
        <v>-1.2631578947368549E-2</v>
      </c>
      <c r="CG185" s="10">
        <f t="shared" si="966"/>
        <v>-7.4211502782931316E-2</v>
      </c>
      <c r="CH185" s="9">
        <f t="shared" si="966"/>
        <v>-3.1239830784249856E-2</v>
      </c>
      <c r="CI185" s="10">
        <f t="shared" si="966"/>
        <v>-2.5429116338208102E-3</v>
      </c>
      <c r="CJ185" s="10">
        <f t="shared" si="966"/>
        <v>-6.7704807041291115E-4</v>
      </c>
      <c r="CK185" s="10">
        <f t="shared" si="966"/>
        <v>2.0611229566453559E-2</v>
      </c>
      <c r="CL185" s="10">
        <f t="shared" si="966"/>
        <v>-6.680026720106147E-4</v>
      </c>
      <c r="CM185" s="9">
        <f t="shared" si="966"/>
        <v>3.8629492777966234E-3</v>
      </c>
      <c r="CN185" s="10">
        <f t="shared" si="966"/>
        <v>-4.3977055449330837E-2</v>
      </c>
      <c r="CO185" s="10">
        <f t="shared" si="966"/>
        <v>-2.1680216802167918E-2</v>
      </c>
      <c r="CP185" s="10">
        <f t="shared" si="966"/>
        <v>-5.9888579387186613E-2</v>
      </c>
      <c r="CQ185" s="10">
        <f t="shared" si="966"/>
        <v>-6.417112299465233E-2</v>
      </c>
      <c r="CR185" s="9">
        <f t="shared" si="966"/>
        <v>-4.7348167977246169E-2</v>
      </c>
      <c r="CS185" s="10">
        <f t="shared" si="966"/>
        <v>-4.2666666666666742E-2</v>
      </c>
      <c r="CT185" s="10">
        <f t="shared" si="966"/>
        <v>-4.7091412742382377E-2</v>
      </c>
      <c r="CU185" s="10">
        <f t="shared" si="966"/>
        <v>-2.8148148148148255E-2</v>
      </c>
      <c r="CV185" s="10">
        <f t="shared" si="966"/>
        <v>-5.0000000000000044E-2</v>
      </c>
      <c r="CW185" s="9">
        <f t="shared" ref="CW185:DG185" si="967">CW184/CR184-1</f>
        <v>-4.2149631190727121E-2</v>
      </c>
      <c r="CX185" s="10">
        <f t="shared" si="967"/>
        <v>-0.16713091922005574</v>
      </c>
      <c r="CY185" s="10">
        <f t="shared" si="967"/>
        <v>-0.22747093023255816</v>
      </c>
      <c r="CZ185" s="10">
        <f t="shared" si="967"/>
        <v>-0.17987804878048774</v>
      </c>
      <c r="DA185" s="10">
        <f t="shared" si="967"/>
        <v>-0.15639097744360897</v>
      </c>
      <c r="DB185" s="9">
        <f t="shared" si="967"/>
        <v>-0.18280161349468282</v>
      </c>
      <c r="DC185" s="10">
        <f t="shared" si="967"/>
        <v>1.0869565217391353E-2</v>
      </c>
      <c r="DD185" s="10">
        <f>DD184/CY184-1</f>
        <v>0.12888052681091255</v>
      </c>
      <c r="DE185" s="10">
        <f>DE184/CZ184-1</f>
        <v>9.1078066914498157E-2</v>
      </c>
      <c r="DF185" s="10">
        <f>DF184/DA184-1</f>
        <v>0.17379679144385007</v>
      </c>
      <c r="DG185" s="9">
        <f t="shared" si="967"/>
        <v>9.939421135292803E-2</v>
      </c>
      <c r="DH185" s="10">
        <f t="shared" ref="DH185:DO185" si="968">DH184/DC184-1</f>
        <v>5.7899090157154776E-2</v>
      </c>
      <c r="DI185" s="10">
        <f t="shared" si="968"/>
        <v>3.1666666666666732E-2</v>
      </c>
      <c r="DJ185" s="10">
        <f t="shared" si="968"/>
        <v>3.1516183986371349E-2</v>
      </c>
      <c r="DK185" s="10">
        <f>DK184/DF184-1</f>
        <v>-2.8094153378891318E-2</v>
      </c>
      <c r="DL185" s="9">
        <f t="shared" si="968"/>
        <v>2.2040816326530432E-2</v>
      </c>
      <c r="DM185" s="10">
        <f t="shared" si="968"/>
        <v>1.6419077404222104E-2</v>
      </c>
      <c r="DN185" s="10">
        <f t="shared" si="968"/>
        <v>-3.0694668820678506E-2</v>
      </c>
      <c r="DO185" s="10">
        <f t="shared" si="968"/>
        <v>-4.1288191577208866E-2</v>
      </c>
      <c r="DP185" s="10">
        <f>DP184/DK184-1</f>
        <v>-7.5781250000000022E-2</v>
      </c>
      <c r="DQ185" s="9">
        <f t="shared" ref="DQ185:DY185" si="969">DQ184/DL184-1</f>
        <v>-3.2747603833865657E-2</v>
      </c>
      <c r="DR185" s="10">
        <f t="shared" si="969"/>
        <v>-3.6153846153846203E-2</v>
      </c>
      <c r="DS185" s="10">
        <f t="shared" si="969"/>
        <v>-1.0000000000000009E-2</v>
      </c>
      <c r="DT185" s="10">
        <f t="shared" si="969"/>
        <v>-7.7519379844960268E-3</v>
      </c>
      <c r="DU185" s="10">
        <f>DU184/DP184-1</f>
        <v>3.6348267117497945E-2</v>
      </c>
      <c r="DV185" s="9">
        <f t="shared" si="969"/>
        <v>-5.1610239471512331E-3</v>
      </c>
      <c r="DW185" s="10">
        <f>DW184/DR184-1</f>
        <v>3.8308060654429266E-2</v>
      </c>
      <c r="DX185" s="10">
        <f t="shared" si="969"/>
        <v>6.6498316498316612E-2</v>
      </c>
      <c r="DY185" s="10">
        <f t="shared" si="969"/>
        <v>6.163194444444442E-2</v>
      </c>
      <c r="DZ185" s="10">
        <f>DZ184/DU184-1</f>
        <v>4.5676998368678667E-2</v>
      </c>
      <c r="EA185" s="9">
        <f>EA184/DV184-1</f>
        <v>5.2708030711765996E-2</v>
      </c>
      <c r="EB185" s="10">
        <f t="shared" ref="EB185:EI185" si="970">EB184/DW184-1</f>
        <v>1.3835511145273038E-2</v>
      </c>
      <c r="EC185" s="10">
        <f t="shared" si="970"/>
        <v>-3.630623520126286E-2</v>
      </c>
      <c r="ED185" s="10">
        <f t="shared" si="970"/>
        <v>-4.5789043336058821E-2</v>
      </c>
      <c r="EE185" s="10">
        <f t="shared" si="970"/>
        <v>-8.8923556942277604E-2</v>
      </c>
      <c r="EF185" s="9">
        <f t="shared" si="970"/>
        <v>-3.9030159668835052E-2</v>
      </c>
      <c r="EG185" s="10">
        <f t="shared" si="970"/>
        <v>-0.14253222137983323</v>
      </c>
      <c r="EH185" s="10">
        <f t="shared" si="970"/>
        <v>-0.13104013104013101</v>
      </c>
      <c r="EI185" s="10">
        <f t="shared" si="970"/>
        <v>-0.14053127677806343</v>
      </c>
      <c r="EJ185" s="10">
        <f t="shared" ref="EJ185" si="971">EJ184/EE184-1</f>
        <v>9.4178082191782586E-3</v>
      </c>
      <c r="EK185" s="9">
        <f t="shared" ref="EK185:EQ185" si="972">EK184/EF184-1</f>
        <v>-0.10276923076923083</v>
      </c>
      <c r="EL185" s="10">
        <f t="shared" si="972"/>
        <v>1.4146772767462457E-2</v>
      </c>
      <c r="EM185" s="10">
        <f t="shared" si="972"/>
        <v>-1.0367577756833168E-2</v>
      </c>
      <c r="EN185" s="10">
        <f t="shared" si="972"/>
        <v>-2.9910269192422456E-3</v>
      </c>
      <c r="EO185" s="10">
        <f t="shared" si="972"/>
        <v>-9.2451229855810002E-2</v>
      </c>
      <c r="EP185" s="9">
        <f t="shared" si="972"/>
        <v>-2.4462734339277481E-2</v>
      </c>
      <c r="EQ185" s="10">
        <f t="shared" si="972"/>
        <v>-7.0619006102877191E-2</v>
      </c>
      <c r="ER185" s="10">
        <f t="shared" ref="ER185" si="973">ER184/EM184-1</f>
        <v>-6.2120379859743613E-2</v>
      </c>
      <c r="ES185" s="10">
        <f t="shared" ref="ES185:EU185" si="974">ES184/EN184-1</f>
        <v>-2.6458140449651335E-2</v>
      </c>
      <c r="ET185" s="10">
        <f t="shared" si="974"/>
        <v>8.6432555710191927E-4</v>
      </c>
      <c r="EU185" s="9">
        <f t="shared" si="974"/>
        <v>-4.0253037486825183E-2</v>
      </c>
      <c r="EV185" s="31"/>
      <c r="EW185" s="31"/>
      <c r="EX185" s="31"/>
      <c r="EY185" s="31"/>
      <c r="EZ185" s="9">
        <f>EZ184/EU184-1</f>
        <v>-2.0325934856507022E-2</v>
      </c>
      <c r="FA185" s="31"/>
      <c r="FB185" s="31"/>
      <c r="FC185" s="31"/>
      <c r="FD185" s="31"/>
      <c r="FE185" s="9">
        <f>FE184/EZ184-1</f>
        <v>-1.4444676079939045E-2</v>
      </c>
      <c r="FF185" s="44"/>
      <c r="FG185" s="490"/>
      <c r="FH185" s="776"/>
      <c r="FI185" s="776"/>
      <c r="FJ185" s="776"/>
      <c r="FK185" s="83"/>
      <c r="FL185" s="1346"/>
      <c r="FM185" s="1141">
        <f t="shared" si="858"/>
        <v>-7.0619006102877191E-2</v>
      </c>
      <c r="FN185" s="1418">
        <f t="shared" si="859"/>
        <v>1.4146772767462457E-2</v>
      </c>
      <c r="FO185" s="1750">
        <v>-8.8828252700559829E-2</v>
      </c>
      <c r="FP185" s="1764"/>
      <c r="FQ185" s="1503">
        <f>+(FM185-FO185)*10000</f>
        <v>182.09246597682639</v>
      </c>
      <c r="FR185" s="1619"/>
      <c r="FS185" s="1619"/>
      <c r="FT185" s="354"/>
      <c r="FU185" s="354"/>
      <c r="FV185" s="354"/>
      <c r="FW185" s="354"/>
      <c r="FX185" s="354"/>
      <c r="FY185" s="354"/>
      <c r="FZ185" s="490"/>
      <c r="GA185"/>
      <c r="GB185"/>
      <c r="GC185"/>
      <c r="GD185"/>
      <c r="GE185"/>
      <c r="GF185"/>
      <c r="GG185"/>
      <c r="GH185"/>
      <c r="GI185"/>
      <c r="GJ185"/>
      <c r="GK185"/>
      <c r="GL185"/>
      <c r="GM185"/>
      <c r="GN185"/>
      <c r="GO185"/>
      <c r="GP185"/>
      <c r="GQ185"/>
      <c r="GR185"/>
      <c r="GS185"/>
      <c r="GT185"/>
      <c r="GU185"/>
      <c r="GV185"/>
      <c r="GW185"/>
      <c r="GX185"/>
      <c r="GY185"/>
      <c r="GZ185"/>
      <c r="HA185"/>
      <c r="HB185"/>
      <c r="HC185"/>
      <c r="HD185"/>
      <c r="HE185"/>
      <c r="HF185"/>
      <c r="HG185"/>
      <c r="HH185"/>
      <c r="HI185"/>
      <c r="HJ185"/>
      <c r="HK185"/>
      <c r="HL185"/>
      <c r="HM185"/>
      <c r="HN185"/>
      <c r="HO185"/>
      <c r="HP185"/>
      <c r="HQ185"/>
      <c r="HR185"/>
      <c r="HS185"/>
      <c r="HT185"/>
      <c r="HU185"/>
      <c r="HV185"/>
      <c r="HW185"/>
      <c r="HX185"/>
      <c r="HY185"/>
      <c r="HZ185"/>
      <c r="IA185"/>
      <c r="IB185"/>
      <c r="IC185"/>
      <c r="ID185"/>
      <c r="IE185"/>
      <c r="IF185"/>
      <c r="IG185"/>
      <c r="IH185"/>
      <c r="II185"/>
      <c r="IJ185"/>
      <c r="IK185"/>
      <c r="IL185"/>
      <c r="IM185"/>
      <c r="IN185"/>
      <c r="IO185"/>
      <c r="IP185"/>
      <c r="IQ185"/>
      <c r="IR185"/>
      <c r="IS185"/>
      <c r="IT185"/>
      <c r="IU185"/>
      <c r="IV185"/>
      <c r="IW185"/>
      <c r="IX185"/>
    </row>
    <row r="186" spans="1:258" s="100" customFormat="1" x14ac:dyDescent="0.2">
      <c r="A186" s="598" t="s">
        <v>198</v>
      </c>
      <c r="B186" s="99"/>
      <c r="C186" s="99"/>
      <c r="D186" s="99"/>
      <c r="E186" s="99"/>
      <c r="F186" s="98"/>
      <c r="G186" s="99"/>
      <c r="H186" s="99"/>
      <c r="I186" s="99"/>
      <c r="J186" s="99"/>
      <c r="K186" s="98"/>
      <c r="L186" s="99"/>
      <c r="M186" s="99"/>
      <c r="N186" s="99"/>
      <c r="O186" s="99"/>
      <c r="P186" s="98"/>
      <c r="Q186" s="99"/>
      <c r="R186" s="99"/>
      <c r="S186" s="99"/>
      <c r="T186" s="99"/>
      <c r="U186" s="98"/>
      <c r="V186" s="99"/>
      <c r="W186" s="99"/>
      <c r="X186" s="99"/>
      <c r="Y186" s="99"/>
      <c r="Z186" s="98"/>
      <c r="AA186" s="99"/>
      <c r="AB186" s="99"/>
      <c r="AC186" s="99"/>
      <c r="AD186" s="99"/>
      <c r="AE186" s="98"/>
      <c r="AF186" s="99"/>
      <c r="AG186" s="99"/>
      <c r="AH186" s="99"/>
      <c r="AI186" s="99"/>
      <c r="AJ186" s="98"/>
      <c r="AK186" s="99"/>
      <c r="AL186" s="99"/>
      <c r="AM186" s="99"/>
      <c r="AN186" s="99"/>
      <c r="AO186" s="98"/>
      <c r="AP186" s="99"/>
      <c r="AQ186" s="99"/>
      <c r="AR186" s="99"/>
      <c r="AS186" s="99"/>
      <c r="AT186" s="98"/>
      <c r="AU186" s="99"/>
      <c r="AV186" s="99"/>
      <c r="AW186" s="99"/>
      <c r="AX186" s="99"/>
      <c r="AY186" s="98"/>
      <c r="AZ186" s="99"/>
      <c r="BA186" s="99"/>
      <c r="BB186" s="99"/>
      <c r="BC186" s="99"/>
      <c r="BD186" s="98"/>
      <c r="BE186" s="99"/>
      <c r="BF186" s="99"/>
      <c r="BG186" s="99"/>
      <c r="BH186" s="99"/>
      <c r="BI186" s="98"/>
      <c r="BJ186" s="99"/>
      <c r="BK186" s="99"/>
      <c r="BL186" s="99"/>
      <c r="BM186" s="99"/>
      <c r="BN186" s="98"/>
      <c r="BO186" s="99"/>
      <c r="BP186" s="99"/>
      <c r="BQ186" s="99"/>
      <c r="BR186" s="99"/>
      <c r="BS186" s="98"/>
      <c r="BT186" s="99">
        <f t="shared" ref="BT186:CY186" si="975">BT184/(BT53/1000)</f>
        <v>1.3777573529411766</v>
      </c>
      <c r="BU186" s="99">
        <f t="shared" si="975"/>
        <v>1.283068783068783</v>
      </c>
      <c r="BV186" s="99">
        <f t="shared" si="975"/>
        <v>1.2990152193375111</v>
      </c>
      <c r="BW186" s="99">
        <f t="shared" si="975"/>
        <v>1.3377192982456141</v>
      </c>
      <c r="BX186" s="98">
        <f t="shared" si="975"/>
        <v>1.3239562402321947</v>
      </c>
      <c r="BY186" s="99">
        <f t="shared" si="975"/>
        <v>1.38</v>
      </c>
      <c r="BZ186" s="99">
        <f t="shared" si="975"/>
        <v>1.2866836301950804</v>
      </c>
      <c r="CA186" s="99">
        <f t="shared" si="975"/>
        <v>1.2895927601809956</v>
      </c>
      <c r="CB186" s="99">
        <f t="shared" si="975"/>
        <v>1.3157038242473553</v>
      </c>
      <c r="CC186" s="98">
        <f t="shared" si="975"/>
        <v>1.3180355993995281</v>
      </c>
      <c r="CD186" s="99">
        <f t="shared" si="975"/>
        <v>1.3479005998286204</v>
      </c>
      <c r="CE186" s="99">
        <f t="shared" si="975"/>
        <v>1.2623931623931623</v>
      </c>
      <c r="CF186" s="99">
        <f t="shared" si="975"/>
        <v>1.2374670184696568</v>
      </c>
      <c r="CG186" s="99">
        <f t="shared" si="975"/>
        <v>1.287188306104901</v>
      </c>
      <c r="CH186" s="98">
        <f t="shared" si="975"/>
        <v>1.2840198404140608</v>
      </c>
      <c r="CI186" s="99">
        <f t="shared" si="975"/>
        <v>1.3173803526448364</v>
      </c>
      <c r="CJ186" s="99">
        <f t="shared" si="975"/>
        <v>1.2392947103274559</v>
      </c>
      <c r="CK186" s="99">
        <f t="shared" si="975"/>
        <v>1.2315608919382504</v>
      </c>
      <c r="CL186" s="99">
        <f t="shared" si="975"/>
        <v>1.272108843537415</v>
      </c>
      <c r="CM186" s="98">
        <f t="shared" si="975"/>
        <v>1.2652413209144795</v>
      </c>
      <c r="CN186" s="99">
        <f t="shared" si="975"/>
        <v>1.311188811188811</v>
      </c>
      <c r="CO186" s="99">
        <f t="shared" si="975"/>
        <v>1.2175379426644184</v>
      </c>
      <c r="CP186" s="99">
        <f t="shared" si="975"/>
        <v>1.1925795053003534</v>
      </c>
      <c r="CQ186" s="99">
        <f t="shared" si="975"/>
        <v>1.2433392539964476</v>
      </c>
      <c r="CR186" s="98">
        <f t="shared" si="975"/>
        <v>1.2410636442894507</v>
      </c>
      <c r="CS186" s="99">
        <f t="shared" si="975"/>
        <v>1.2640845070422535</v>
      </c>
      <c r="CT186" s="99">
        <f t="shared" si="975"/>
        <v>1.1841652323580034</v>
      </c>
      <c r="CU186" s="99">
        <f t="shared" si="975"/>
        <v>1.1579876434245366</v>
      </c>
      <c r="CV186" s="99">
        <f t="shared" si="975"/>
        <v>1.2464854732895969</v>
      </c>
      <c r="CW186" s="98">
        <f t="shared" si="975"/>
        <v>1.2125389061805245</v>
      </c>
      <c r="CX186" s="99">
        <f t="shared" si="975"/>
        <v>1.2484342379958246</v>
      </c>
      <c r="CY186" s="99">
        <f t="shared" si="975"/>
        <v>1.1272534464475079</v>
      </c>
      <c r="CZ186" s="99">
        <f t="shared" ref="CZ186:ED186" si="976">CZ184/(CZ53/1000)</f>
        <v>1.1208333333333333</v>
      </c>
      <c r="DA186" s="99">
        <f t="shared" si="976"/>
        <v>1.1810526315789474</v>
      </c>
      <c r="DB186" s="98">
        <f t="shared" si="976"/>
        <v>1.169509315140383</v>
      </c>
      <c r="DC186" s="99">
        <f t="shared" si="976"/>
        <v>1.2053838484546362</v>
      </c>
      <c r="DD186" s="99">
        <f t="shared" si="976"/>
        <v>1.1363636363636365</v>
      </c>
      <c r="DE186" s="99">
        <f t="shared" si="976"/>
        <v>1.1364956437560505</v>
      </c>
      <c r="DF186" s="99">
        <f t="shared" si="976"/>
        <v>1.1972727272727273</v>
      </c>
      <c r="DG186" s="98">
        <f t="shared" si="976"/>
        <v>1.1688931297709924</v>
      </c>
      <c r="DH186" s="99">
        <f t="shared" si="976"/>
        <v>1.2321772639691715</v>
      </c>
      <c r="DI186" s="99">
        <f t="shared" si="976"/>
        <v>1.1646284101599247</v>
      </c>
      <c r="DJ186" s="99">
        <f t="shared" si="976"/>
        <v>1.1803118908382066</v>
      </c>
      <c r="DK186" s="99">
        <f t="shared" si="976"/>
        <v>1.2225405921680994</v>
      </c>
      <c r="DL186" s="98">
        <f t="shared" si="976"/>
        <v>1.1998083373263058</v>
      </c>
      <c r="DM186" s="99">
        <f t="shared" si="976"/>
        <v>1.2345679012345678</v>
      </c>
      <c r="DN186" s="99">
        <f t="shared" si="976"/>
        <v>1.1494252873563218</v>
      </c>
      <c r="DO186" s="99">
        <f t="shared" si="976"/>
        <v>1.1449704142011834</v>
      </c>
      <c r="DP186" s="99">
        <f t="shared" si="976"/>
        <v>1.1643700787401574</v>
      </c>
      <c r="DQ186" s="98">
        <f t="shared" si="976"/>
        <v>1.1737339471771264</v>
      </c>
      <c r="DR186" s="99">
        <f t="shared" si="976"/>
        <v>1.2165048543689321</v>
      </c>
      <c r="DS186" s="99">
        <f t="shared" si="976"/>
        <v>1.125</v>
      </c>
      <c r="DT186" s="99">
        <f t="shared" si="976"/>
        <v>1.1130434782608696</v>
      </c>
      <c r="DU186" s="99">
        <f t="shared" si="976"/>
        <v>1.1447245564892623</v>
      </c>
      <c r="DV186" s="98">
        <f t="shared" si="976"/>
        <v>1.1495706106870229</v>
      </c>
      <c r="DW186" s="99">
        <f t="shared" si="976"/>
        <v>1.2509615384615385</v>
      </c>
      <c r="DX186" s="99">
        <f t="shared" si="976"/>
        <v>1.1026979982593559</v>
      </c>
      <c r="DY186" s="99">
        <f t="shared" si="976"/>
        <v>1.0978456014362656</v>
      </c>
      <c r="DZ186" s="99">
        <f t="shared" si="976"/>
        <v>1.1295154185022025</v>
      </c>
      <c r="EA186" s="98">
        <f t="shared" si="976"/>
        <v>1.1430824695808923</v>
      </c>
      <c r="EB186" s="99">
        <f t="shared" si="976"/>
        <v>1.2315592903828199</v>
      </c>
      <c r="EC186" s="99">
        <f t="shared" si="976"/>
        <v>1.0999999999999999</v>
      </c>
      <c r="ED186" s="99">
        <f t="shared" si="976"/>
        <v>1.1072106261859582</v>
      </c>
      <c r="EE186" s="99">
        <f t="shared" ref="EE186:EK186" si="977">EE184/(EE53/1000)</f>
        <v>1.140625</v>
      </c>
      <c r="EF186" s="98">
        <f t="shared" si="977"/>
        <v>1.1446348908194413</v>
      </c>
      <c r="EG186" s="99">
        <f t="shared" si="977"/>
        <v>1.1659793814432988</v>
      </c>
      <c r="EH186" s="99">
        <f t="shared" si="977"/>
        <v>1.0782520325203251</v>
      </c>
      <c r="EI186" s="99">
        <f t="shared" si="977"/>
        <v>1.0350877192982455</v>
      </c>
      <c r="EJ186" s="99">
        <f t="shared" si="977"/>
        <v>1.094707520891365</v>
      </c>
      <c r="EK186" s="98">
        <f t="shared" si="977"/>
        <v>1.0934999999999999</v>
      </c>
      <c r="EL186" s="99">
        <f t="shared" ref="EL186:EP186" si="978">EL184/(EL53/1000)</f>
        <v>1.1435692921236291</v>
      </c>
      <c r="EM186" s="99">
        <f t="shared" si="978"/>
        <v>1.044776119402985</v>
      </c>
      <c r="EN186" s="99">
        <f t="shared" si="978"/>
        <v>1.0373443983402488</v>
      </c>
      <c r="EO186" s="99">
        <f t="shared" si="978"/>
        <v>1.0689310689310689</v>
      </c>
      <c r="EP186" s="98">
        <f t="shared" si="978"/>
        <v>1.0739994966020638</v>
      </c>
      <c r="EQ186" s="99">
        <f t="shared" ref="EQ186" si="979">EQ184/(EQ53/1000)</f>
        <v>1.106957424714434</v>
      </c>
      <c r="ER186" s="99">
        <f t="shared" ref="ER186" si="980">EM186*(1+ER187)</f>
        <v>1.0238805970149252</v>
      </c>
      <c r="ES186" s="99">
        <f t="shared" ref="ES186:ET186" si="981">EN186*(1+ES187)</f>
        <v>1.0165975103734439</v>
      </c>
      <c r="ET186" s="99">
        <f t="shared" si="981"/>
        <v>1.0475524475524476</v>
      </c>
      <c r="EU186" s="2040">
        <f>EU184/(EU53/1000)</f>
        <v>1.0487805305241988</v>
      </c>
      <c r="EV186" s="2041"/>
      <c r="EW186" s="2041"/>
      <c r="EX186" s="2041"/>
      <c r="EY186" s="2041"/>
      <c r="EZ186" s="2040">
        <f>EU186*(1+EZ187)</f>
        <v>1.0278049199137149</v>
      </c>
      <c r="FA186" s="2041"/>
      <c r="FB186" s="2041"/>
      <c r="FC186" s="2041"/>
      <c r="FD186" s="2041"/>
      <c r="FE186" s="2040">
        <f>EZ186*(1+FE187)</f>
        <v>1.0072488215154407</v>
      </c>
      <c r="FG186" s="490"/>
      <c r="FH186" s="796"/>
      <c r="FI186" s="796"/>
      <c r="FJ186" s="796"/>
      <c r="FK186" s="1318"/>
      <c r="FL186" s="1364"/>
      <c r="FM186" s="1579">
        <f t="shared" si="858"/>
        <v>1.106957424714434</v>
      </c>
      <c r="FN186" s="1465">
        <f t="shared" si="859"/>
        <v>1.1435692921236291</v>
      </c>
      <c r="FO186" s="1867">
        <v>1.1092622133599201</v>
      </c>
      <c r="FP186" s="1765"/>
      <c r="FQ186" s="759"/>
      <c r="FR186" s="1614" t="s">
        <v>814</v>
      </c>
      <c r="FS186" s="1641"/>
      <c r="FT186" s="442"/>
      <c r="FU186" s="442"/>
      <c r="FV186" s="442"/>
      <c r="FW186" s="442"/>
      <c r="FX186" s="442"/>
      <c r="FY186" s="442"/>
      <c r="FZ186" s="490"/>
      <c r="GA186"/>
      <c r="GB186"/>
      <c r="GC186"/>
      <c r="GD186"/>
      <c r="GE186"/>
      <c r="GF186"/>
      <c r="GG186"/>
      <c r="GH186"/>
      <c r="GI186"/>
      <c r="GJ186"/>
      <c r="GK186"/>
      <c r="GL186"/>
      <c r="GM186"/>
      <c r="GN186"/>
      <c r="GO186"/>
      <c r="GP186"/>
      <c r="GQ186"/>
      <c r="GR186"/>
      <c r="GS186"/>
      <c r="GT186"/>
      <c r="GU186"/>
      <c r="GV186"/>
      <c r="GW186"/>
      <c r="GX186"/>
      <c r="GY186"/>
      <c r="GZ186"/>
      <c r="HA186"/>
      <c r="HB186"/>
      <c r="HC186"/>
      <c r="HD186"/>
      <c r="HE186"/>
      <c r="HF186"/>
      <c r="HG186"/>
      <c r="HH186"/>
      <c r="HI186"/>
      <c r="HJ186"/>
      <c r="HK186"/>
      <c r="HL186"/>
      <c r="HM186"/>
      <c r="HN186"/>
      <c r="HO186"/>
      <c r="HP186"/>
      <c r="HQ186"/>
      <c r="HR186"/>
      <c r="HS186"/>
      <c r="HT186"/>
      <c r="HU186"/>
      <c r="HV186"/>
      <c r="HW186"/>
      <c r="HX186"/>
      <c r="HY186"/>
      <c r="HZ186"/>
      <c r="IA186"/>
      <c r="IB186"/>
      <c r="IC186"/>
      <c r="ID186"/>
      <c r="IE186"/>
      <c r="IF186"/>
      <c r="IG186"/>
      <c r="IH186"/>
      <c r="II186"/>
      <c r="IJ186"/>
      <c r="IK186"/>
      <c r="IL186"/>
      <c r="IM186"/>
      <c r="IN186"/>
      <c r="IO186"/>
      <c r="IP186"/>
      <c r="IQ186"/>
      <c r="IR186"/>
      <c r="IS186"/>
      <c r="IT186"/>
      <c r="IU186"/>
      <c r="IV186"/>
      <c r="IW186"/>
      <c r="IX186"/>
    </row>
    <row r="187" spans="1:258" s="45" customFormat="1" x14ac:dyDescent="0.2">
      <c r="A187" s="599" t="s">
        <v>465</v>
      </c>
      <c r="B187" s="10"/>
      <c r="C187" s="10"/>
      <c r="D187" s="10"/>
      <c r="E187" s="10"/>
      <c r="F187" s="9"/>
      <c r="G187" s="10"/>
      <c r="H187" s="10"/>
      <c r="I187" s="10"/>
      <c r="J187" s="10"/>
      <c r="K187" s="9"/>
      <c r="L187" s="10"/>
      <c r="M187" s="10"/>
      <c r="N187" s="10"/>
      <c r="O187" s="10"/>
      <c r="P187" s="9"/>
      <c r="Q187" s="10"/>
      <c r="R187" s="10"/>
      <c r="S187" s="10"/>
      <c r="T187" s="10"/>
      <c r="U187" s="9"/>
      <c r="V187" s="10"/>
      <c r="W187" s="10"/>
      <c r="X187" s="10"/>
      <c r="Y187" s="10"/>
      <c r="Z187" s="9"/>
      <c r="AA187" s="10"/>
      <c r="AB187" s="10"/>
      <c r="AC187" s="10"/>
      <c r="AD187" s="10"/>
      <c r="AE187" s="9"/>
      <c r="AF187" s="10"/>
      <c r="AG187" s="10"/>
      <c r="AH187" s="10"/>
      <c r="AI187" s="10"/>
      <c r="AJ187" s="9"/>
      <c r="AK187" s="10"/>
      <c r="AL187" s="10"/>
      <c r="AM187" s="10"/>
      <c r="AN187" s="10"/>
      <c r="AO187" s="9"/>
      <c r="AP187" s="10"/>
      <c r="AQ187" s="10"/>
      <c r="AR187" s="10"/>
      <c r="AS187" s="10"/>
      <c r="AT187" s="9"/>
      <c r="AU187" s="10"/>
      <c r="AV187" s="10"/>
      <c r="AW187" s="10"/>
      <c r="AX187" s="10"/>
      <c r="AY187" s="9"/>
      <c r="AZ187" s="10"/>
      <c r="BA187" s="10"/>
      <c r="BB187" s="10"/>
      <c r="BC187" s="10"/>
      <c r="BD187" s="9"/>
      <c r="BE187" s="10"/>
      <c r="BF187" s="10"/>
      <c r="BG187" s="10"/>
      <c r="BH187" s="10"/>
      <c r="BI187" s="9"/>
      <c r="BJ187" s="10"/>
      <c r="BK187" s="10"/>
      <c r="BL187" s="10"/>
      <c r="BM187" s="10"/>
      <c r="BN187" s="9"/>
      <c r="BO187" s="10"/>
      <c r="BP187" s="10"/>
      <c r="BQ187" s="10"/>
      <c r="BR187" s="10"/>
      <c r="BS187" s="9"/>
      <c r="BT187" s="10"/>
      <c r="BU187" s="10"/>
      <c r="BV187" s="10"/>
      <c r="BW187" s="10"/>
      <c r="BX187" s="9"/>
      <c r="BY187" s="10">
        <f t="shared" ref="BY187:CJ187" si="982">BY186/BT186-1</f>
        <v>1.6277518345562125E-3</v>
      </c>
      <c r="BZ187" s="10">
        <f t="shared" si="982"/>
        <v>2.8173447705988064E-3</v>
      </c>
      <c r="CA187" s="10">
        <f t="shared" si="982"/>
        <v>-7.2535402328240961E-3</v>
      </c>
      <c r="CB187" s="10">
        <f t="shared" si="982"/>
        <v>-1.6457469087222898E-2</v>
      </c>
      <c r="CC187" s="9">
        <f t="shared" si="982"/>
        <v>-4.4719309088556702E-3</v>
      </c>
      <c r="CD187" s="10">
        <f t="shared" si="982"/>
        <v>-2.3260434906796745E-2</v>
      </c>
      <c r="CE187" s="10">
        <f t="shared" si="982"/>
        <v>-1.8878353024694317E-2</v>
      </c>
      <c r="CF187" s="10">
        <f t="shared" si="982"/>
        <v>-4.0420311993704772E-2</v>
      </c>
      <c r="CG187" s="10">
        <f t="shared" si="982"/>
        <v>-2.1673204574568006E-2</v>
      </c>
      <c r="CH187" s="9">
        <f t="shared" si="982"/>
        <v>-2.5807921273874657E-2</v>
      </c>
      <c r="CI187" s="10">
        <f t="shared" si="982"/>
        <v>-2.2642802583265009E-2</v>
      </c>
      <c r="CJ187" s="10">
        <f t="shared" si="982"/>
        <v>-1.8297352008718071E-2</v>
      </c>
      <c r="CK187" s="10">
        <f t="shared" ref="CK187:DG187" si="983">CK186/CF186-1</f>
        <v>-4.7727547023519445E-3</v>
      </c>
      <c r="CL187" s="10">
        <f t="shared" si="983"/>
        <v>-1.1715040057438952E-2</v>
      </c>
      <c r="CM187" s="9">
        <f t="shared" si="983"/>
        <v>-1.4624789203822375E-2</v>
      </c>
      <c r="CN187" s="10">
        <f t="shared" si="983"/>
        <v>-4.6998890211129574E-3</v>
      </c>
      <c r="CO187" s="10">
        <f t="shared" si="983"/>
        <v>-1.7555765776881893E-2</v>
      </c>
      <c r="CP187" s="10">
        <f t="shared" si="983"/>
        <v>-3.165201728397482E-2</v>
      </c>
      <c r="CQ187" s="10">
        <f t="shared" si="983"/>
        <v>-2.2615666644503762E-2</v>
      </c>
      <c r="CR187" s="9">
        <f t="shared" si="983"/>
        <v>-1.910914244213413E-2</v>
      </c>
      <c r="CS187" s="10">
        <f t="shared" si="983"/>
        <v>-3.5924882629107868E-2</v>
      </c>
      <c r="CT187" s="10">
        <f t="shared" si="983"/>
        <v>-2.740999613809425E-2</v>
      </c>
      <c r="CU187" s="10">
        <f t="shared" si="983"/>
        <v>-2.9005916772907092E-2</v>
      </c>
      <c r="CV187" s="10">
        <f t="shared" si="983"/>
        <v>2.5304592314900898E-3</v>
      </c>
      <c r="CW187" s="9">
        <f t="shared" si="983"/>
        <v>-2.2984105803258381E-2</v>
      </c>
      <c r="CX187" s="10">
        <f t="shared" si="983"/>
        <v>-1.2380714231715273E-2</v>
      </c>
      <c r="CY187" s="10">
        <f t="shared" si="983"/>
        <v>-4.8060679671508511E-2</v>
      </c>
      <c r="CZ187" s="10">
        <f t="shared" si="983"/>
        <v>-3.2085238821138229E-2</v>
      </c>
      <c r="DA187" s="10">
        <f t="shared" si="983"/>
        <v>-5.2493866244558762E-2</v>
      </c>
      <c r="DB187" s="9">
        <f t="shared" si="983"/>
        <v>-3.5487183809782996E-2</v>
      </c>
      <c r="DC187" s="10">
        <f t="shared" si="983"/>
        <v>-3.4483506003727848E-2</v>
      </c>
      <c r="DD187" s="10">
        <f>DD186/CY186-1</f>
        <v>8.0817583169419116E-3</v>
      </c>
      <c r="DE187" s="10">
        <f>DE186/CZ186-1</f>
        <v>1.3973808555584055E-2</v>
      </c>
      <c r="DF187" s="10">
        <f>DF186/DA186-1</f>
        <v>1.3733592610597922E-2</v>
      </c>
      <c r="DG187" s="9">
        <f t="shared" si="983"/>
        <v>-5.2687512738336384E-4</v>
      </c>
      <c r="DH187" s="10">
        <f t="shared" ref="DH187:DU187" si="984">DH186/DC186-1</f>
        <v>2.2228118909080941E-2</v>
      </c>
      <c r="DI187" s="10">
        <f t="shared" si="984"/>
        <v>2.4873000940733636E-2</v>
      </c>
      <c r="DJ187" s="10">
        <f t="shared" si="984"/>
        <v>3.8553818769903936E-2</v>
      </c>
      <c r="DK187" s="10">
        <f t="shared" si="984"/>
        <v>2.1104518895147528E-2</v>
      </c>
      <c r="DL187" s="9">
        <f t="shared" si="984"/>
        <v>2.6448275524872278E-2</v>
      </c>
      <c r="DM187" s="10">
        <f t="shared" si="984"/>
        <v>1.940173167694681E-3</v>
      </c>
      <c r="DN187" s="10">
        <f t="shared" si="984"/>
        <v>-1.3054054555920791E-2</v>
      </c>
      <c r="DO187" s="10">
        <f t="shared" si="984"/>
        <v>-2.9942489702383002E-2</v>
      </c>
      <c r="DP187" s="10">
        <f t="shared" si="984"/>
        <v>-4.7581662155511961E-2</v>
      </c>
      <c r="DQ187" s="9">
        <f>DQ186/DL186-1</f>
        <v>-2.1732129489351992E-2</v>
      </c>
      <c r="DR187" s="10">
        <f t="shared" si="984"/>
        <v>-1.4631067961164979E-2</v>
      </c>
      <c r="DS187" s="10">
        <f t="shared" si="984"/>
        <v>-2.1249999999999991E-2</v>
      </c>
      <c r="DT187" s="10">
        <f t="shared" si="984"/>
        <v>-2.788450735872372E-2</v>
      </c>
      <c r="DU187" s="10">
        <f t="shared" si="984"/>
        <v>-1.6872232127565057E-2</v>
      </c>
      <c r="DV187" s="9">
        <f t="shared" ref="DV187:ED187" si="985">DV186/DQ186-1</f>
        <v>-2.0586723718963085E-2</v>
      </c>
      <c r="DW187" s="10">
        <f t="shared" si="985"/>
        <v>2.8324329301982809E-2</v>
      </c>
      <c r="DX187" s="10">
        <f t="shared" si="985"/>
        <v>-1.9824001547239178E-2</v>
      </c>
      <c r="DY187" s="10">
        <f t="shared" si="985"/>
        <v>-1.3654342459605062E-2</v>
      </c>
      <c r="DZ187" s="10">
        <f t="shared" si="985"/>
        <v>-1.3286286120832824E-2</v>
      </c>
      <c r="EA187" s="9">
        <f t="shared" si="985"/>
        <v>-5.6439691879849319E-3</v>
      </c>
      <c r="EB187" s="10">
        <f t="shared" si="985"/>
        <v>-1.5509867795439947E-2</v>
      </c>
      <c r="EC187" s="10">
        <f t="shared" si="985"/>
        <v>-2.4467245461721188E-3</v>
      </c>
      <c r="ED187" s="10">
        <f t="shared" si="985"/>
        <v>8.5303659616986494E-3</v>
      </c>
      <c r="EE187" s="10">
        <f t="shared" ref="EE187:EQ187" si="986">EE186/DZ186-1</f>
        <v>9.8357059282372372E-3</v>
      </c>
      <c r="EF187" s="9">
        <f t="shared" si="986"/>
        <v>1.3581008193732647E-3</v>
      </c>
      <c r="EG187" s="10">
        <f t="shared" si="986"/>
        <v>-5.3249493915259349E-2</v>
      </c>
      <c r="EH187" s="10">
        <f t="shared" si="986"/>
        <v>-1.9770879526977092E-2</v>
      </c>
      <c r="EI187" s="10">
        <f t="shared" si="986"/>
        <v>-6.5139283512981372E-2</v>
      </c>
      <c r="EJ187" s="10">
        <f t="shared" si="986"/>
        <v>-4.025642004044705E-2</v>
      </c>
      <c r="EK187" s="9">
        <f t="shared" si="986"/>
        <v>-4.4673538461538542E-2</v>
      </c>
      <c r="EL187" s="10">
        <f t="shared" si="986"/>
        <v>-1.9219970504049222E-2</v>
      </c>
      <c r="EM187" s="10">
        <f t="shared" si="986"/>
        <v>-3.1046464191765044E-2</v>
      </c>
      <c r="EN187" s="10">
        <f t="shared" si="986"/>
        <v>2.1801814473592085E-3</v>
      </c>
      <c r="EO187" s="10">
        <f t="shared" si="986"/>
        <v>-2.3546428126580921E-2</v>
      </c>
      <c r="EP187" s="9">
        <f t="shared" si="986"/>
        <v>-1.7833107817042615E-2</v>
      </c>
      <c r="EQ187" s="10">
        <f t="shared" si="986"/>
        <v>-3.2015434186070335E-2</v>
      </c>
      <c r="ER187" s="1168">
        <v>-0.02</v>
      </c>
      <c r="ES187" s="1168">
        <v>-0.02</v>
      </c>
      <c r="ET187" s="1168">
        <v>-0.02</v>
      </c>
      <c r="EU187" s="9">
        <f>EU186/EP186-1</f>
        <v>-2.348135744723634E-2</v>
      </c>
      <c r="EV187" s="724"/>
      <c r="EW187" s="724"/>
      <c r="EX187" s="724"/>
      <c r="EY187" s="724"/>
      <c r="EZ187" s="1012">
        <v>-0.02</v>
      </c>
      <c r="FA187" s="724"/>
      <c r="FB187" s="724"/>
      <c r="FC187" s="724"/>
      <c r="FD187" s="724"/>
      <c r="FE187" s="1012">
        <f>+EZ187</f>
        <v>-0.02</v>
      </c>
      <c r="FF187" s="44"/>
      <c r="FG187" s="490"/>
      <c r="FH187" s="776"/>
      <c r="FI187" s="776"/>
      <c r="FJ187" s="776"/>
      <c r="FK187" s="83"/>
      <c r="FL187" s="1346"/>
      <c r="FM187" s="1551">
        <f t="shared" si="858"/>
        <v>-3.2015434186070335E-2</v>
      </c>
      <c r="FN187" s="1418">
        <f t="shared" si="859"/>
        <v>-1.9219970504049222E-2</v>
      </c>
      <c r="FO187" s="1859">
        <v>-0.03</v>
      </c>
      <c r="FP187" s="1762"/>
      <c r="FQ187" s="739"/>
      <c r="FR187" s="1631"/>
      <c r="FS187" s="1619"/>
      <c r="FT187" s="354"/>
      <c r="FU187" s="354"/>
      <c r="FV187" s="354"/>
      <c r="FW187" s="354"/>
      <c r="FX187" s="354"/>
      <c r="FY187" s="354"/>
      <c r="FZ187" s="490"/>
      <c r="GA187"/>
      <c r="GB187"/>
      <c r="GC187"/>
      <c r="GD187"/>
      <c r="GE187"/>
      <c r="GF187"/>
      <c r="GG187"/>
      <c r="GH187"/>
      <c r="GI187"/>
      <c r="GJ187"/>
      <c r="GK187"/>
      <c r="GL187"/>
      <c r="GM187"/>
      <c r="GN187"/>
      <c r="GO187"/>
      <c r="GP187"/>
      <c r="GQ187"/>
      <c r="GR187"/>
      <c r="GS187"/>
      <c r="GT187"/>
      <c r="GU187"/>
      <c r="GV187"/>
      <c r="GW187"/>
      <c r="GX187"/>
      <c r="GY187"/>
      <c r="GZ187"/>
      <c r="HA187"/>
      <c r="HB187"/>
      <c r="HC187"/>
      <c r="HD187"/>
      <c r="HE187"/>
      <c r="HF187"/>
      <c r="HG187"/>
      <c r="HH187"/>
      <c r="HI187"/>
      <c r="HJ187"/>
      <c r="HK187"/>
      <c r="HL187"/>
      <c r="HM187"/>
      <c r="HN187"/>
      <c r="HO187"/>
      <c r="HP187"/>
      <c r="HQ187"/>
      <c r="HR187"/>
      <c r="HS187"/>
      <c r="HT187"/>
      <c r="HU187"/>
      <c r="HV187"/>
      <c r="HW187"/>
      <c r="HX187"/>
      <c r="HY187"/>
      <c r="HZ187"/>
      <c r="IA187"/>
      <c r="IB187"/>
      <c r="IC187"/>
      <c r="ID187"/>
      <c r="IE187"/>
      <c r="IF187"/>
      <c r="IG187"/>
      <c r="IH187"/>
      <c r="II187"/>
      <c r="IJ187"/>
      <c r="IK187"/>
      <c r="IL187"/>
      <c r="IM187"/>
      <c r="IN187"/>
      <c r="IO187"/>
      <c r="IP187"/>
      <c r="IQ187"/>
      <c r="IR187"/>
      <c r="IS187"/>
      <c r="IT187"/>
      <c r="IU187"/>
      <c r="IV187"/>
      <c r="IW187"/>
      <c r="IX187"/>
    </row>
    <row r="188" spans="1:258" s="55" customFormat="1" x14ac:dyDescent="0.2">
      <c r="A188" s="599" t="s">
        <v>336</v>
      </c>
      <c r="F188" s="54"/>
      <c r="K188" s="54"/>
      <c r="P188" s="54"/>
      <c r="U188" s="54"/>
      <c r="Z188" s="54"/>
      <c r="AE188" s="54"/>
      <c r="AJ188" s="54"/>
      <c r="AO188" s="54"/>
      <c r="AT188" s="54"/>
      <c r="AY188" s="54"/>
      <c r="BD188" s="54"/>
      <c r="BI188" s="54"/>
      <c r="BN188" s="54"/>
      <c r="BS188" s="54"/>
      <c r="BU188" s="55">
        <f>BU186/BT186-1</f>
        <v>-6.8726593743271613E-2</v>
      </c>
      <c r="BV188" s="55">
        <f>BV186/BU186-1</f>
        <v>1.2428356514596395E-2</v>
      </c>
      <c r="BW188" s="55">
        <f>BW186/BV186-1</f>
        <v>2.9794938759718281E-2</v>
      </c>
      <c r="BX188" s="54"/>
      <c r="BY188" s="55">
        <f>BY186/BW186-1</f>
        <v>3.1606557377048983E-2</v>
      </c>
      <c r="BZ188" s="55">
        <f>BZ186/BY186-1</f>
        <v>-6.7620557829651817E-2</v>
      </c>
      <c r="CA188" s="55">
        <f>CA186/BZ186-1</f>
        <v>2.260952045744169E-3</v>
      </c>
      <c r="CB188" s="55">
        <f>CB186/CA186-1</f>
        <v>2.0247526872510635E-2</v>
      </c>
      <c r="CC188" s="54"/>
      <c r="CD188" s="55">
        <f>CD186/CB186-1</f>
        <v>2.447114235582859E-2</v>
      </c>
      <c r="CE188" s="55">
        <f>CE186/CD186-1</f>
        <v>-6.3437494906026459E-2</v>
      </c>
      <c r="CF188" s="55">
        <f>CF186/CE186-1</f>
        <v>-1.9745151246107984E-2</v>
      </c>
      <c r="CG188" s="55">
        <f>CG186/CF186-1</f>
        <v>4.0179889155133264E-2</v>
      </c>
      <c r="CH188" s="54"/>
      <c r="CI188" s="55">
        <f>CI186/CG186-1</f>
        <v>2.3455811707377983E-2</v>
      </c>
      <c r="CJ188" s="55">
        <f>CJ186/CI186-1</f>
        <v>-5.9273422562141631E-2</v>
      </c>
      <c r="CK188" s="55">
        <f>CK186/CJ186-1</f>
        <v>-6.2404997977938415E-3</v>
      </c>
      <c r="CL188" s="55">
        <f>CL186/CK186-1</f>
        <v>3.2924033122998519E-2</v>
      </c>
      <c r="CM188" s="54"/>
      <c r="CN188" s="55">
        <f>CN186/CL186-1</f>
        <v>3.0720616282113422E-2</v>
      </c>
      <c r="CO188" s="55">
        <f>CO186/CN186-1</f>
        <v>-7.1424395727936796E-2</v>
      </c>
      <c r="CP188" s="55">
        <f>CP186/CO186-1</f>
        <v>-2.0499104372424526E-2</v>
      </c>
      <c r="CQ188" s="55">
        <f>CQ186/CP186-1</f>
        <v>4.2562989277021179E-2</v>
      </c>
      <c r="CR188" s="54"/>
      <c r="CS188" s="55">
        <f>CS186/CQ186-1</f>
        <v>1.6685110663983815E-2</v>
      </c>
      <c r="CT188" s="55">
        <f>CT186/CS186-1</f>
        <v>-6.3223047382526487E-2</v>
      </c>
      <c r="CU188" s="55">
        <f>CU186/CT186-1</f>
        <v>-2.2106365073174761E-2</v>
      </c>
      <c r="CV188" s="55">
        <f>CV186/CU186-1</f>
        <v>7.6423811918531426E-2</v>
      </c>
      <c r="CW188" s="54"/>
      <c r="CX188" s="55">
        <f>CX186/CV186-1</f>
        <v>1.563407474845846E-3</v>
      </c>
      <c r="CY188" s="55">
        <f>CY186/CX186-1</f>
        <v>-9.7066219317129998E-2</v>
      </c>
      <c r="CZ188" s="55">
        <f>CZ186/CY186-1</f>
        <v>-5.6953590467230253E-3</v>
      </c>
      <c r="DA188" s="55">
        <f>DA186/CZ186-1</f>
        <v>5.3727254940324709E-2</v>
      </c>
      <c r="DB188" s="54"/>
      <c r="DC188" s="55">
        <f>DC186/DA186-1</f>
        <v>2.0601297711144717E-2</v>
      </c>
      <c r="DD188" s="55">
        <f>DD186/DC186-1</f>
        <v>-5.7259944356718551E-2</v>
      </c>
      <c r="DE188" s="55">
        <f>DE186/DD186-1</f>
        <v>1.1616650532442208E-4</v>
      </c>
      <c r="DF188" s="55">
        <f>DF186/DE186-1</f>
        <v>5.3477621186309277E-2</v>
      </c>
      <c r="DG188" s="54"/>
      <c r="DH188" s="55">
        <f>DH186/DF186-1</f>
        <v>2.9153371576377207E-2</v>
      </c>
      <c r="DI188" s="55">
        <f>DI186/DH186-1</f>
        <v>-5.4820727329161989E-2</v>
      </c>
      <c r="DJ188" s="55">
        <f>DJ186/DI186-1</f>
        <v>1.3466510469316351E-2</v>
      </c>
      <c r="DK188" s="55">
        <f>DK186/DJ186-1</f>
        <v>3.5777578500800988E-2</v>
      </c>
      <c r="DL188" s="54"/>
      <c r="DM188" s="55">
        <f>DM186/DK186-1</f>
        <v>9.8379629629627985E-3</v>
      </c>
      <c r="DN188" s="55">
        <f>DN186/DM186-1</f>
        <v>-6.8965517241379337E-2</v>
      </c>
      <c r="DO188" s="55">
        <f>DO186/DN186-1</f>
        <v>-3.8757396449703441E-3</v>
      </c>
      <c r="DP188" s="55">
        <f>DP186/DO186-1</f>
        <v>1.6943376264013432E-2</v>
      </c>
      <c r="DQ188" s="54"/>
      <c r="DR188" s="55">
        <f>DR186/DP186-1</f>
        <v>4.4775090480841051E-2</v>
      </c>
      <c r="DS188" s="55">
        <f>DS186/DR186-1</f>
        <v>-7.5219473264166004E-2</v>
      </c>
      <c r="DT188" s="55">
        <f>DT186/DS186-1</f>
        <v>-1.0628019323671523E-2</v>
      </c>
      <c r="DU188" s="55">
        <f>DU186/DT186-1</f>
        <v>2.8463468720821616E-2</v>
      </c>
      <c r="DV188" s="54"/>
      <c r="DW188" s="55">
        <f>DW186/DU186-1</f>
        <v>9.2805715899109131E-2</v>
      </c>
      <c r="DX188" s="55">
        <f>DX186/DW186-1</f>
        <v>-0.11851966319006135</v>
      </c>
      <c r="DY188" s="55">
        <f>DY186/DX186-1</f>
        <v>-4.4004766769776271E-3</v>
      </c>
      <c r="DZ188" s="55">
        <f>DZ186/DY186-1</f>
        <v>2.8847241383036515E-2</v>
      </c>
      <c r="EA188" s="54"/>
      <c r="EB188" s="55">
        <f>EB186/DZ186-1</f>
        <v>9.0343053498050496E-2</v>
      </c>
      <c r="EC188" s="55">
        <f>EC186/EB186-1</f>
        <v>-0.10682335102350282</v>
      </c>
      <c r="ED188" s="55">
        <f>ED186/EC186-1</f>
        <v>6.5551147145075372E-3</v>
      </c>
      <c r="EE188" s="55">
        <f>EE186/ED186-1</f>
        <v>3.0178877463581832E-2</v>
      </c>
      <c r="EF188" s="54"/>
      <c r="EG188" s="55">
        <f>EG186/EE186-1</f>
        <v>2.2228498799604424E-2</v>
      </c>
      <c r="EH188" s="55">
        <f>EH186/EG186-1</f>
        <v>-7.5239194036502699E-2</v>
      </c>
      <c r="EI188" s="55">
        <f>EI186/EH186-1</f>
        <v>-4.0031747606528056E-2</v>
      </c>
      <c r="EJ188" s="55">
        <f>EJ186/EI186-1</f>
        <v>5.759879136962387E-2</v>
      </c>
      <c r="EK188" s="54"/>
      <c r="EL188" s="55">
        <f>EL186/EJ186-1</f>
        <v>4.4634544204536386E-2</v>
      </c>
      <c r="EM188" s="55">
        <f>EM186/EL186-1</f>
        <v>-8.639019375658763E-2</v>
      </c>
      <c r="EN188" s="55">
        <f>EN186/EM186-1</f>
        <v>-7.1132187314760786E-3</v>
      </c>
      <c r="EO188" s="55">
        <f>EO186/EN186-1</f>
        <v>3.0449550449550555E-2</v>
      </c>
      <c r="EP188" s="54"/>
      <c r="EQ188" s="55">
        <f>EQ186/EO186-1</f>
        <v>3.5574188915092009E-2</v>
      </c>
      <c r="ER188" s="55">
        <f t="shared" ref="ER188" si="987">ER186/EQ186-1</f>
        <v>-7.5049704572820897E-2</v>
      </c>
      <c r="ES188" s="55">
        <f t="shared" ref="ES188:ET188" si="988">ES186/ER186-1</f>
        <v>-7.1132187314758566E-3</v>
      </c>
      <c r="ET188" s="55">
        <f t="shared" si="988"/>
        <v>3.0449550449550555E-2</v>
      </c>
      <c r="EU188" s="54"/>
      <c r="EZ188" s="54"/>
      <c r="FE188" s="54"/>
      <c r="FG188" s="490"/>
      <c r="FH188" s="766">
        <f>AVERAGE(CI188,CN188,CS188,CX188,DC188,DH188,DM188,DR188,DW188,EB188,EG188,EL188,EQ188)</f>
        <v>3.5567590013541484E-2</v>
      </c>
      <c r="FI188" s="766">
        <f>AVERAGE(CJ188,CO188,CT188,CY188,DD188,DI188,DN188,DS188,DX188,EC188,EH188)</f>
        <v>-7.7075905039202516E-2</v>
      </c>
      <c r="FJ188" s="766">
        <f>AVERAGE(CK188,CP188,CU188,CZ188,DE188,DJ188,DO188,DT188,DY188,ED188,EI188)</f>
        <v>-8.4854108957377623E-3</v>
      </c>
      <c r="FK188" s="1408">
        <f>AVERAGE(CL188,CQ188,CV188,DA188,DF188,DK188,DP188,DU188,DZ188,EE188,EJ188,EO188)</f>
        <v>4.0614549549717827E-2</v>
      </c>
      <c r="FL188" s="1338"/>
      <c r="FM188" s="1523">
        <f t="shared" si="858"/>
        <v>3.5574188915092009E-2</v>
      </c>
      <c r="FN188" s="1416">
        <f t="shared" si="859"/>
        <v>4.4634544204536386E-2</v>
      </c>
      <c r="FO188" s="1799">
        <v>3.7730351003065543E-2</v>
      </c>
      <c r="FP188" s="1754"/>
      <c r="FQ188" s="728"/>
      <c r="FR188" s="1619"/>
      <c r="FS188" s="1619"/>
      <c r="FT188" s="432"/>
      <c r="FU188" s="432"/>
      <c r="FV188" s="432"/>
      <c r="FW188" s="432"/>
      <c r="FX188" s="432"/>
      <c r="FY188" s="432"/>
      <c r="FZ188" s="490"/>
      <c r="GA188"/>
      <c r="GB188"/>
      <c r="GC188"/>
      <c r="GD188"/>
      <c r="GE188"/>
      <c r="GF188"/>
      <c r="GG188"/>
      <c r="GH188"/>
      <c r="GI188"/>
      <c r="GJ188"/>
      <c r="GK188"/>
      <c r="GL188"/>
      <c r="GM188"/>
      <c r="GN188"/>
      <c r="GO188"/>
      <c r="GP188"/>
      <c r="GQ188"/>
      <c r="GR188"/>
      <c r="GS188"/>
      <c r="GT188"/>
      <c r="GU188"/>
      <c r="GV188"/>
      <c r="GW188"/>
      <c r="GX188"/>
      <c r="GY188"/>
      <c r="GZ188"/>
      <c r="HA188"/>
      <c r="HB188"/>
      <c r="HC188"/>
      <c r="HD188"/>
      <c r="HE188"/>
      <c r="HF188"/>
      <c r="HG188"/>
      <c r="HH188"/>
      <c r="HI188"/>
      <c r="HJ188"/>
      <c r="HK188"/>
      <c r="HL188"/>
      <c r="HM188"/>
      <c r="HN188"/>
      <c r="HO188"/>
      <c r="HP188"/>
      <c r="HQ188"/>
      <c r="HR188"/>
      <c r="HS188"/>
      <c r="HT188"/>
      <c r="HU188"/>
      <c r="HV188"/>
      <c r="HW188"/>
      <c r="HX188"/>
      <c r="HY188"/>
      <c r="HZ188"/>
      <c r="IA188"/>
      <c r="IB188"/>
      <c r="IC188"/>
      <c r="ID188"/>
      <c r="IE188"/>
      <c r="IF188"/>
      <c r="IG188"/>
      <c r="IH188"/>
      <c r="II188"/>
      <c r="IJ188"/>
      <c r="IK188"/>
      <c r="IL188"/>
      <c r="IM188"/>
      <c r="IN188"/>
      <c r="IO188"/>
      <c r="IP188"/>
      <c r="IQ188"/>
      <c r="IR188"/>
      <c r="IS188"/>
      <c r="IT188"/>
      <c r="IU188"/>
      <c r="IV188"/>
      <c r="IW188"/>
      <c r="IX188"/>
    </row>
    <row r="189" spans="1:258" s="36" customFormat="1" x14ac:dyDescent="0.2">
      <c r="A189" s="594" t="s">
        <v>221</v>
      </c>
      <c r="B189" s="198"/>
      <c r="C189" s="198"/>
      <c r="D189" s="198"/>
      <c r="E189" s="198"/>
      <c r="F189" s="197"/>
      <c r="G189" s="198"/>
      <c r="H189" s="198"/>
      <c r="I189" s="198"/>
      <c r="J189" s="198"/>
      <c r="K189" s="197"/>
      <c r="L189" s="198"/>
      <c r="M189" s="198"/>
      <c r="N189" s="198"/>
      <c r="O189" s="198"/>
      <c r="P189" s="197"/>
      <c r="Q189" s="198"/>
      <c r="R189" s="198"/>
      <c r="S189" s="198"/>
      <c r="T189" s="198"/>
      <c r="U189" s="197"/>
      <c r="V189" s="198"/>
      <c r="W189" s="198"/>
      <c r="X189" s="198"/>
      <c r="Y189" s="198"/>
      <c r="Z189" s="197"/>
      <c r="AA189" s="198"/>
      <c r="AB189" s="198"/>
      <c r="AC189" s="198"/>
      <c r="AD189" s="198"/>
      <c r="AE189" s="197"/>
      <c r="AF189" s="198"/>
      <c r="AG189" s="198"/>
      <c r="AH189" s="198"/>
      <c r="AI189" s="198"/>
      <c r="AJ189" s="197"/>
      <c r="AK189" s="198"/>
      <c r="AL189" s="198"/>
      <c r="AM189" s="198"/>
      <c r="AN189" s="198"/>
      <c r="AO189" s="197"/>
      <c r="AP189" s="198"/>
      <c r="AQ189" s="198"/>
      <c r="AR189" s="198"/>
      <c r="AS189" s="198"/>
      <c r="AT189" s="197"/>
      <c r="AU189" s="198"/>
      <c r="AV189" s="198"/>
      <c r="AW189" s="198"/>
      <c r="AX189" s="198"/>
      <c r="AY189" s="197"/>
      <c r="AZ189" s="198"/>
      <c r="BA189" s="198"/>
      <c r="BB189" s="198"/>
      <c r="BC189" s="198"/>
      <c r="BD189" s="197"/>
      <c r="BE189" s="198"/>
      <c r="BF189" s="198"/>
      <c r="BG189" s="198"/>
      <c r="BH189" s="198"/>
      <c r="BI189" s="197"/>
      <c r="BJ189" s="198"/>
      <c r="BK189" s="198"/>
      <c r="BL189" s="198"/>
      <c r="BM189" s="198"/>
      <c r="BN189" s="197"/>
      <c r="BO189" s="198"/>
      <c r="BP189" s="198"/>
      <c r="BQ189" s="198"/>
      <c r="BR189" s="198"/>
      <c r="BS189" s="197"/>
      <c r="BT189" s="198"/>
      <c r="BU189" s="198"/>
      <c r="BV189" s="198"/>
      <c r="BW189" s="198"/>
      <c r="BX189" s="197"/>
      <c r="BY189" s="198"/>
      <c r="BZ189" s="198"/>
      <c r="CA189" s="198"/>
      <c r="CB189" s="198"/>
      <c r="CC189" s="197"/>
      <c r="CD189" s="198"/>
      <c r="CE189" s="198"/>
      <c r="CF189" s="198"/>
      <c r="CG189" s="198"/>
      <c r="CH189" s="197"/>
      <c r="CI189" s="198"/>
      <c r="CJ189" s="198"/>
      <c r="CK189" s="198"/>
      <c r="CL189" s="198"/>
      <c r="CM189" s="197"/>
      <c r="CN189" s="198">
        <v>25</v>
      </c>
      <c r="CO189" s="198">
        <v>27</v>
      </c>
      <c r="CP189" s="198">
        <v>25</v>
      </c>
      <c r="CQ189" s="198">
        <v>22.6</v>
      </c>
      <c r="CR189" s="197">
        <f>SUM(CN189:CQ189)</f>
        <v>99.6</v>
      </c>
      <c r="CS189" s="198">
        <v>36</v>
      </c>
      <c r="CT189" s="198">
        <v>39</v>
      </c>
      <c r="CU189" s="198">
        <v>40</v>
      </c>
      <c r="CV189" s="198">
        <v>33.74</v>
      </c>
      <c r="CW189" s="197">
        <f>SUM(CS189:CV189)</f>
        <v>148.74</v>
      </c>
      <c r="CX189" s="198">
        <v>23.756000000000029</v>
      </c>
      <c r="CY189" s="198">
        <v>18.171999999999997</v>
      </c>
      <c r="CZ189" s="198">
        <v>20.712000000000018</v>
      </c>
      <c r="DA189" s="198">
        <v>22</v>
      </c>
      <c r="DB189" s="197">
        <f>SUM(CX189:DA189)</f>
        <v>84.640000000000043</v>
      </c>
      <c r="DC189" s="198">
        <v>28</v>
      </c>
      <c r="DD189" s="198">
        <v>27</v>
      </c>
      <c r="DE189" s="198">
        <v>24</v>
      </c>
      <c r="DF189" s="198">
        <v>27</v>
      </c>
      <c r="DG189" s="200">
        <f>SUM(DC189:DF189)</f>
        <v>106</v>
      </c>
      <c r="DH189" s="198">
        <v>36</v>
      </c>
      <c r="DI189" s="198">
        <v>34</v>
      </c>
      <c r="DJ189" s="198">
        <v>33</v>
      </c>
      <c r="DK189" s="198">
        <v>33</v>
      </c>
      <c r="DL189" s="200">
        <f>SUM(DH189:DK189)</f>
        <v>136</v>
      </c>
      <c r="DM189" s="198">
        <v>35</v>
      </c>
      <c r="DN189" s="198">
        <v>33</v>
      </c>
      <c r="DO189" s="198">
        <v>30</v>
      </c>
      <c r="DP189" s="198">
        <v>33</v>
      </c>
      <c r="DQ189" s="200">
        <f>SUM(DM189:DP189)</f>
        <v>131</v>
      </c>
      <c r="DR189" s="198">
        <v>36</v>
      </c>
      <c r="DS189" s="198">
        <v>31</v>
      </c>
      <c r="DT189" s="916">
        <f>42-16</f>
        <v>26</v>
      </c>
      <c r="DU189" s="198">
        <v>28</v>
      </c>
      <c r="DV189" s="200">
        <f>SUM(DR189:DU189)</f>
        <v>121</v>
      </c>
      <c r="DW189" s="198">
        <v>38</v>
      </c>
      <c r="DX189" s="198">
        <v>28</v>
      </c>
      <c r="DY189" s="916">
        <v>26</v>
      </c>
      <c r="DZ189" s="198">
        <v>26</v>
      </c>
      <c r="EA189" s="200">
        <f>SUM(DW189:DZ189)</f>
        <v>118</v>
      </c>
      <c r="EB189" s="198">
        <v>25</v>
      </c>
      <c r="EC189" s="198">
        <v>20</v>
      </c>
      <c r="ED189" s="916">
        <v>18</v>
      </c>
      <c r="EE189" s="198">
        <v>16</v>
      </c>
      <c r="EF189" s="200">
        <f>SUM(EB189:EE189)</f>
        <v>79</v>
      </c>
      <c r="EG189" s="198">
        <v>15</v>
      </c>
      <c r="EH189" s="198">
        <v>14</v>
      </c>
      <c r="EI189" s="916">
        <v>17</v>
      </c>
      <c r="EJ189" s="198">
        <v>18</v>
      </c>
      <c r="EK189" s="200">
        <f>SUM(EG189:EJ189)</f>
        <v>64</v>
      </c>
      <c r="EL189" s="198">
        <v>20</v>
      </c>
      <c r="EM189" s="198">
        <v>18</v>
      </c>
      <c r="EN189" s="916">
        <v>18</v>
      </c>
      <c r="EO189" s="198">
        <v>20</v>
      </c>
      <c r="EP189" s="200">
        <f>SUM(EL189:EO189)</f>
        <v>76</v>
      </c>
      <c r="EQ189" s="198">
        <v>26</v>
      </c>
      <c r="ER189" s="199">
        <f t="shared" ref="ER189" si="989">((ER180*ER184)*ER190)</f>
        <v>23.208803348669203</v>
      </c>
      <c r="ES189" s="199">
        <f t="shared" ref="ES189:ET189" si="990">((ES180*ES184)*ES190)</f>
        <v>23.040815189978098</v>
      </c>
      <c r="ET189" s="199">
        <f t="shared" si="990"/>
        <v>25.345577912467121</v>
      </c>
      <c r="EU189" s="200">
        <f>SUM(EQ189:ET189)</f>
        <v>97.595196451114418</v>
      </c>
      <c r="EV189" s="201"/>
      <c r="EW189" s="201"/>
      <c r="EX189" s="201"/>
      <c r="EY189" s="201"/>
      <c r="EZ189" s="200">
        <f>((EZ180*EZ184)*EZ190)</f>
        <v>96.644611411699771</v>
      </c>
      <c r="FA189" s="201"/>
      <c r="FB189" s="201"/>
      <c r="FC189" s="201"/>
      <c r="FD189" s="201"/>
      <c r="FE189" s="200">
        <f>((FE180*FE184)*FE190)</f>
        <v>95.248611304986198</v>
      </c>
      <c r="FF189" s="35"/>
      <c r="FG189" s="489"/>
      <c r="FH189" s="776"/>
      <c r="FI189" s="776"/>
      <c r="FJ189" s="776"/>
      <c r="FK189" s="83"/>
      <c r="FL189" s="1346"/>
      <c r="FM189" s="1580">
        <f t="shared" si="858"/>
        <v>26</v>
      </c>
      <c r="FN189" s="1466">
        <f t="shared" si="859"/>
        <v>20</v>
      </c>
      <c r="FO189" s="1868">
        <v>20.926073440694573</v>
      </c>
      <c r="FP189" s="1753">
        <f>+FM189/FN189-1</f>
        <v>0.30000000000000004</v>
      </c>
      <c r="FQ189" s="1532">
        <f>+FM189/FO189-1</f>
        <v>0.24246911747132893</v>
      </c>
      <c r="FR189" s="1619"/>
      <c r="FS189" s="1619"/>
      <c r="FT189" s="354"/>
      <c r="FU189" s="354"/>
      <c r="FV189" s="354"/>
      <c r="FW189" s="354"/>
      <c r="FX189" s="354"/>
      <c r="FY189" s="354"/>
      <c r="FZ189" s="489"/>
      <c r="GA189"/>
      <c r="GB189"/>
      <c r="GC189"/>
      <c r="GD189"/>
      <c r="GE189"/>
      <c r="GF189"/>
      <c r="GG189"/>
      <c r="GH189"/>
      <c r="GI189"/>
      <c r="GJ189"/>
      <c r="GK189"/>
      <c r="GL189"/>
      <c r="GM189"/>
      <c r="GN189"/>
      <c r="GO189"/>
      <c r="GP189"/>
      <c r="GQ189"/>
      <c r="GR189"/>
      <c r="GS189"/>
      <c r="GT189"/>
      <c r="GU189"/>
      <c r="GV189"/>
      <c r="GW189"/>
      <c r="GX189"/>
      <c r="GY189"/>
      <c r="GZ189"/>
      <c r="HA189"/>
      <c r="HB189"/>
      <c r="HC189"/>
      <c r="HD189"/>
      <c r="HE189"/>
      <c r="HF189"/>
      <c r="HG189"/>
      <c r="HH189"/>
      <c r="HI189"/>
      <c r="HJ189"/>
      <c r="HK189"/>
      <c r="HL189"/>
      <c r="HM189"/>
      <c r="HN189"/>
      <c r="HO189"/>
      <c r="HP189"/>
      <c r="HQ189"/>
      <c r="HR189"/>
      <c r="HS189"/>
      <c r="HT189"/>
      <c r="HU189"/>
      <c r="HV189"/>
      <c r="HW189"/>
      <c r="HX189"/>
      <c r="HY189"/>
      <c r="HZ189"/>
      <c r="IA189"/>
      <c r="IB189"/>
      <c r="IC189"/>
      <c r="ID189"/>
      <c r="IE189"/>
      <c r="IF189"/>
      <c r="IG189"/>
      <c r="IH189"/>
      <c r="II189"/>
      <c r="IJ189"/>
      <c r="IK189"/>
      <c r="IL189"/>
      <c r="IM189"/>
      <c r="IN189"/>
      <c r="IO189"/>
      <c r="IP189"/>
      <c r="IQ189"/>
      <c r="IR189"/>
      <c r="IS189"/>
      <c r="IT189"/>
      <c r="IU189"/>
      <c r="IV189"/>
      <c r="IW189"/>
      <c r="IX189"/>
    </row>
    <row r="190" spans="1:258" s="45" customFormat="1" x14ac:dyDescent="0.2">
      <c r="A190" s="600" t="s">
        <v>222</v>
      </c>
      <c r="B190" s="14"/>
      <c r="C190" s="14"/>
      <c r="D190" s="14"/>
      <c r="E190" s="14"/>
      <c r="F190" s="15"/>
      <c r="G190" s="14"/>
      <c r="H190" s="14"/>
      <c r="I190" s="14"/>
      <c r="J190" s="14"/>
      <c r="K190" s="15"/>
      <c r="L190" s="14"/>
      <c r="M190" s="14"/>
      <c r="N190" s="14"/>
      <c r="O190" s="14"/>
      <c r="P190" s="15"/>
      <c r="Q190" s="14"/>
      <c r="R190" s="14"/>
      <c r="S190" s="14"/>
      <c r="T190" s="14"/>
      <c r="U190" s="15"/>
      <c r="V190" s="14"/>
      <c r="W190" s="14"/>
      <c r="X190" s="14"/>
      <c r="Y190" s="14"/>
      <c r="Z190" s="15"/>
      <c r="AA190" s="14"/>
      <c r="AB190" s="14"/>
      <c r="AC190" s="14"/>
      <c r="AD190" s="14"/>
      <c r="AE190" s="15"/>
      <c r="AF190" s="14"/>
      <c r="AG190" s="14"/>
      <c r="AH190" s="14"/>
      <c r="AI190" s="14"/>
      <c r="AJ190" s="15"/>
      <c r="AK190" s="14"/>
      <c r="AL190" s="14"/>
      <c r="AM190" s="14"/>
      <c r="AN190" s="14"/>
      <c r="AO190" s="15"/>
      <c r="AP190" s="14"/>
      <c r="AQ190" s="14"/>
      <c r="AR190" s="14"/>
      <c r="AS190" s="14"/>
      <c r="AT190" s="15"/>
      <c r="AU190" s="14"/>
      <c r="AV190" s="14"/>
      <c r="AW190" s="14"/>
      <c r="AX190" s="14"/>
      <c r="AY190" s="15"/>
      <c r="AZ190" s="14"/>
      <c r="BA190" s="14"/>
      <c r="BB190" s="14"/>
      <c r="BC190" s="14"/>
      <c r="BD190" s="15"/>
      <c r="BE190" s="14"/>
      <c r="BF190" s="14"/>
      <c r="BG190" s="14"/>
      <c r="BH190" s="14"/>
      <c r="BI190" s="15"/>
      <c r="BJ190" s="14"/>
      <c r="BK190" s="14"/>
      <c r="BL190" s="14"/>
      <c r="BM190" s="14"/>
      <c r="BN190" s="15"/>
      <c r="BO190" s="14"/>
      <c r="BP190" s="14"/>
      <c r="BQ190" s="14"/>
      <c r="BR190" s="14"/>
      <c r="BS190" s="15"/>
      <c r="BT190" s="14"/>
      <c r="BU190" s="14"/>
      <c r="BV190" s="14"/>
      <c r="BW190" s="14"/>
      <c r="BX190" s="15"/>
      <c r="BY190" s="14"/>
      <c r="BZ190" s="14"/>
      <c r="CA190" s="14"/>
      <c r="CB190" s="14"/>
      <c r="CC190" s="15"/>
      <c r="CD190" s="14"/>
      <c r="CE190" s="14"/>
      <c r="CF190" s="14"/>
      <c r="CG190" s="14"/>
      <c r="CH190" s="15"/>
      <c r="CI190" s="14"/>
      <c r="CJ190" s="14"/>
      <c r="CK190" s="14"/>
      <c r="CL190" s="14"/>
      <c r="CM190" s="15"/>
      <c r="CN190" s="14">
        <f t="shared" ref="CN190:DU190" si="991">CN189/(CN184*CN180)</f>
        <v>9.6525096525096526E-2</v>
      </c>
      <c r="CO190" s="14">
        <f t="shared" si="991"/>
        <v>9.3425605536332182E-2</v>
      </c>
      <c r="CP190" s="14">
        <f t="shared" si="991"/>
        <v>8.1967213114754092E-2</v>
      </c>
      <c r="CQ190" s="14">
        <f t="shared" si="991"/>
        <v>6.288258208124653E-2</v>
      </c>
      <c r="CR190" s="15">
        <f t="shared" si="991"/>
        <v>8.2151105245793457E-2</v>
      </c>
      <c r="CS190" s="14">
        <f t="shared" si="991"/>
        <v>8.8888888888888892E-2</v>
      </c>
      <c r="CT190" s="14">
        <f t="shared" si="991"/>
        <v>7.8313253012048195E-2</v>
      </c>
      <c r="CU190" s="14">
        <f t="shared" si="991"/>
        <v>8.5470085470085472E-2</v>
      </c>
      <c r="CV190" s="14">
        <f t="shared" si="991"/>
        <v>0.11350333041781606</v>
      </c>
      <c r="CW190" s="15">
        <f t="shared" si="991"/>
        <v>8.9158764221404341E-2</v>
      </c>
      <c r="CX190" s="14">
        <f t="shared" si="991"/>
        <v>0.14204395972351794</v>
      </c>
      <c r="CY190" s="14">
        <f t="shared" si="991"/>
        <v>0.10892655909080008</v>
      </c>
      <c r="CZ190" s="14">
        <f t="shared" si="991"/>
        <v>0.10238867357430999</v>
      </c>
      <c r="DA190" s="14">
        <f t="shared" si="991"/>
        <v>9.6491228070175433E-2</v>
      </c>
      <c r="DB190" s="15">
        <f t="shared" si="991"/>
        <v>0.11105775160537765</v>
      </c>
      <c r="DC190" s="14">
        <f t="shared" si="991"/>
        <v>0.10980392156862746</v>
      </c>
      <c r="DD190" s="14">
        <f t="shared" si="991"/>
        <v>9.7472924187725629E-2</v>
      </c>
      <c r="DE190" s="14">
        <f t="shared" si="991"/>
        <v>9.4117647058823514E-2</v>
      </c>
      <c r="DF190" s="14">
        <f t="shared" si="991"/>
        <v>8.4639498432601878E-2</v>
      </c>
      <c r="DG190" s="9">
        <f t="shared" si="991"/>
        <v>9.5860716188071488E-2</v>
      </c>
      <c r="DH190" s="14">
        <f t="shared" si="991"/>
        <v>9.8360655737704916E-2</v>
      </c>
      <c r="DI190" s="14">
        <f t="shared" si="991"/>
        <v>8.5642317380352648E-2</v>
      </c>
      <c r="DJ190" s="14">
        <f t="shared" si="991"/>
        <v>8.7071240105540904E-2</v>
      </c>
      <c r="DK190" s="14">
        <f t="shared" si="991"/>
        <v>8.461538461538462E-2</v>
      </c>
      <c r="DL190" s="9">
        <f>DL189/(DL184*DL180)</f>
        <v>8.8736065664688599E-2</v>
      </c>
      <c r="DM190" s="14">
        <f t="shared" si="991"/>
        <v>8.557457212713937E-2</v>
      </c>
      <c r="DN190" s="14">
        <f t="shared" si="991"/>
        <v>8.7533156498673742E-2</v>
      </c>
      <c r="DO190" s="14">
        <f t="shared" si="991"/>
        <v>8.1743869209809264E-2</v>
      </c>
      <c r="DP190" s="14">
        <f t="shared" si="991"/>
        <v>8.505154639175258E-2</v>
      </c>
      <c r="DQ190" s="9">
        <f>DQ189/(DQ184*DQ180)</f>
        <v>8.5126956132974815E-2</v>
      </c>
      <c r="DR190" s="14">
        <f t="shared" si="991"/>
        <v>8.8235294117647065E-2</v>
      </c>
      <c r="DS190" s="14">
        <f t="shared" si="991"/>
        <v>8.4699453551912565E-2</v>
      </c>
      <c r="DT190" s="921">
        <f t="shared" si="991"/>
        <v>7.1232876712328766E-2</v>
      </c>
      <c r="DU190" s="14">
        <f t="shared" si="991"/>
        <v>7.3684210526315783E-2</v>
      </c>
      <c r="DV190" s="9">
        <f t="shared" ref="DV190:EA190" si="992">DV189/(DV184*DV180)</f>
        <v>7.9624855063022082E-2</v>
      </c>
      <c r="DW190" s="14">
        <f t="shared" si="992"/>
        <v>9.3137254901960786E-2</v>
      </c>
      <c r="DX190" s="14">
        <f t="shared" si="992"/>
        <v>7.2164948453608241E-2</v>
      </c>
      <c r="DY190" s="921">
        <f t="shared" si="992"/>
        <v>7.0844686648501368E-2</v>
      </c>
      <c r="DZ190" s="14">
        <f t="shared" si="992"/>
        <v>7.7611940298507459E-2</v>
      </c>
      <c r="EA190" s="9">
        <f t="shared" si="992"/>
        <v>7.8584728989240557E-2</v>
      </c>
      <c r="EB190" s="14">
        <f t="shared" ref="EB190:EG190" si="993">EB189/(EB184*EB180)</f>
        <v>0.10204081632653061</v>
      </c>
      <c r="EC190" s="14">
        <f t="shared" si="993"/>
        <v>8.2304526748971193E-2</v>
      </c>
      <c r="ED190" s="921">
        <f t="shared" si="993"/>
        <v>8.7804878048780483E-2</v>
      </c>
      <c r="EE190" s="14">
        <f t="shared" si="993"/>
        <v>8.6486486486486491E-2</v>
      </c>
      <c r="EF190" s="9">
        <f t="shared" si="993"/>
        <v>8.9951710733516363E-2</v>
      </c>
      <c r="EG190" s="14">
        <f t="shared" si="993"/>
        <v>0.1111111111111111</v>
      </c>
      <c r="EH190" s="14">
        <f>EH189/(EH184*EH180)</f>
        <v>8.8607594936708861E-2</v>
      </c>
      <c r="EI190" s="921">
        <f>EI189/(EI184*EI180)</f>
        <v>0.10828025477707007</v>
      </c>
      <c r="EJ190" s="14">
        <f t="shared" ref="EJ190:EL190" si="994">EJ189/(EJ184*EJ180)</f>
        <v>9.0452261306532666E-2</v>
      </c>
      <c r="EK190" s="9">
        <f t="shared" si="994"/>
        <v>9.85525100092393E-2</v>
      </c>
      <c r="EL190" s="14">
        <f t="shared" si="994"/>
        <v>0.10101010101010101</v>
      </c>
      <c r="EM190" s="14">
        <f>EM189/(EM184*EM180)</f>
        <v>0.1</v>
      </c>
      <c r="EN190" s="921">
        <f>EN189/(EN184*EN180)</f>
        <v>9.6256684491978606E-2</v>
      </c>
      <c r="EO190" s="14">
        <f t="shared" ref="EO190:EQ190" si="995">EO189/(EO184*EO180)</f>
        <v>8.9686098654708515E-2</v>
      </c>
      <c r="EP190" s="9">
        <f t="shared" si="995"/>
        <v>9.6502912229331564E-2</v>
      </c>
      <c r="EQ190" s="14">
        <f t="shared" si="995"/>
        <v>0.11353711790393015</v>
      </c>
      <c r="ER190" s="633">
        <v>0.105</v>
      </c>
      <c r="ES190" s="633">
        <f t="shared" ref="ES190:ET190" si="996">ER190</f>
        <v>0.105</v>
      </c>
      <c r="ET190" s="633">
        <f t="shared" si="996"/>
        <v>0.105</v>
      </c>
      <c r="EU190" s="9">
        <f>EU189/(EU184*EU180)</f>
        <v>0.10712398012691558</v>
      </c>
      <c r="EV190" s="31"/>
      <c r="EW190" s="31"/>
      <c r="EX190" s="31"/>
      <c r="EY190" s="31"/>
      <c r="EZ190" s="16">
        <f>+EU190</f>
        <v>0.10712398012691558</v>
      </c>
      <c r="FA190" s="31"/>
      <c r="FB190" s="31"/>
      <c r="FC190" s="31"/>
      <c r="FD190" s="31"/>
      <c r="FE190" s="16">
        <f>+EZ190</f>
        <v>0.10712398012691558</v>
      </c>
      <c r="FF190" s="44"/>
      <c r="FG190" s="490"/>
      <c r="FH190" s="776"/>
      <c r="FI190" s="776"/>
      <c r="FJ190" s="776"/>
      <c r="FK190" s="83"/>
      <c r="FL190" s="1346"/>
      <c r="FM190" s="1581">
        <f t="shared" si="858"/>
        <v>0.11353711790393015</v>
      </c>
      <c r="FN190" s="1419">
        <f t="shared" si="859"/>
        <v>0.10101010101010101</v>
      </c>
      <c r="FO190" s="1843">
        <v>8.9686098654708515E-2</v>
      </c>
      <c r="FP190" s="1762"/>
      <c r="FQ190" s="1503">
        <f>+(FM190-FO190)*10000</f>
        <v>238.51019249221631</v>
      </c>
      <c r="FR190" s="1619"/>
      <c r="FS190" s="1619"/>
      <c r="FT190" s="354"/>
      <c r="FU190" s="354"/>
      <c r="FV190" s="354"/>
      <c r="FW190" s="354"/>
      <c r="FX190" s="354"/>
      <c r="FY190" s="354"/>
      <c r="FZ190" s="490"/>
      <c r="GA190"/>
      <c r="GB190"/>
      <c r="GC190"/>
      <c r="GD190"/>
      <c r="GE190"/>
      <c r="GF190"/>
      <c r="GG190"/>
      <c r="GH190"/>
      <c r="GI190"/>
      <c r="GJ190"/>
      <c r="GK190"/>
      <c r="GL190"/>
      <c r="GM190"/>
      <c r="GN190"/>
      <c r="GO190"/>
      <c r="GP190"/>
      <c r="GQ190"/>
      <c r="GR190"/>
      <c r="GS190"/>
      <c r="GT190"/>
      <c r="GU190"/>
      <c r="GV190"/>
      <c r="GW190"/>
      <c r="GX190"/>
      <c r="GY190"/>
      <c r="GZ190"/>
      <c r="HA190"/>
      <c r="HB190"/>
      <c r="HC190"/>
      <c r="HD190"/>
      <c r="HE190"/>
      <c r="HF190"/>
      <c r="HG190"/>
      <c r="HH190"/>
      <c r="HI190"/>
      <c r="HJ190"/>
      <c r="HK190"/>
      <c r="HL190"/>
      <c r="HM190"/>
      <c r="HN190"/>
      <c r="HO190"/>
      <c r="HP190"/>
      <c r="HQ190"/>
      <c r="HR190"/>
      <c r="HS190"/>
      <c r="HT190"/>
      <c r="HU190"/>
      <c r="HV190"/>
      <c r="HW190"/>
      <c r="HX190"/>
      <c r="HY190"/>
      <c r="HZ190"/>
      <c r="IA190"/>
      <c r="IB190"/>
      <c r="IC190"/>
      <c r="ID190"/>
      <c r="IE190"/>
      <c r="IF190"/>
      <c r="IG190"/>
      <c r="IH190"/>
      <c r="II190"/>
      <c r="IJ190"/>
      <c r="IK190"/>
      <c r="IL190"/>
      <c r="IM190"/>
      <c r="IN190"/>
      <c r="IO190"/>
      <c r="IP190"/>
      <c r="IQ190"/>
      <c r="IR190"/>
      <c r="IS190"/>
      <c r="IT190"/>
      <c r="IU190"/>
      <c r="IV190"/>
      <c r="IW190"/>
      <c r="IX190"/>
    </row>
    <row r="191" spans="1:258" s="407" customFormat="1" x14ac:dyDescent="0.2">
      <c r="A191" s="109" t="s">
        <v>133</v>
      </c>
      <c r="B191" s="410"/>
      <c r="C191" s="410"/>
      <c r="D191" s="410"/>
      <c r="E191" s="410"/>
      <c r="F191" s="404"/>
      <c r="G191" s="410"/>
      <c r="H191" s="410"/>
      <c r="I191" s="410"/>
      <c r="J191" s="410"/>
      <c r="K191" s="404"/>
      <c r="L191" s="410"/>
      <c r="M191" s="410"/>
      <c r="N191" s="410"/>
      <c r="O191" s="410"/>
      <c r="P191" s="404"/>
      <c r="Q191" s="410">
        <v>380</v>
      </c>
      <c r="R191" s="410">
        <v>369</v>
      </c>
      <c r="S191" s="410">
        <v>396</v>
      </c>
      <c r="T191" s="410">
        <v>365</v>
      </c>
      <c r="U191" s="404">
        <v>1510</v>
      </c>
      <c r="V191" s="410">
        <v>369</v>
      </c>
      <c r="W191" s="410">
        <v>364</v>
      </c>
      <c r="X191" s="410">
        <v>384</v>
      </c>
      <c r="Y191" s="410">
        <v>357</v>
      </c>
      <c r="Z191" s="404">
        <v>1474</v>
      </c>
      <c r="AA191" s="410">
        <v>400</v>
      </c>
      <c r="AB191" s="410">
        <v>391</v>
      </c>
      <c r="AC191" s="410">
        <v>406</v>
      </c>
      <c r="AD191" s="410">
        <v>394</v>
      </c>
      <c r="AE191" s="404">
        <v>1591</v>
      </c>
      <c r="AF191" s="410">
        <v>353</v>
      </c>
      <c r="AG191" s="410">
        <v>368</v>
      </c>
      <c r="AH191" s="410">
        <v>353</v>
      </c>
      <c r="AI191" s="410">
        <v>371</v>
      </c>
      <c r="AJ191" s="404">
        <v>1445</v>
      </c>
      <c r="AK191" s="410">
        <v>314</v>
      </c>
      <c r="AL191" s="410">
        <v>307</v>
      </c>
      <c r="AM191" s="410">
        <v>303</v>
      </c>
      <c r="AN191" s="410">
        <v>308</v>
      </c>
      <c r="AO191" s="404">
        <v>1232</v>
      </c>
      <c r="AP191" s="410">
        <v>312</v>
      </c>
      <c r="AQ191" s="410">
        <v>283</v>
      </c>
      <c r="AR191" s="410">
        <v>300</v>
      </c>
      <c r="AS191" s="410">
        <v>300</v>
      </c>
      <c r="AT191" s="404">
        <v>1195</v>
      </c>
      <c r="AU191" s="410">
        <v>318</v>
      </c>
      <c r="AV191" s="410">
        <v>342</v>
      </c>
      <c r="AW191" s="410">
        <v>360</v>
      </c>
      <c r="AX191" s="410">
        <v>343</v>
      </c>
      <c r="AY191" s="404">
        <v>1363</v>
      </c>
      <c r="AZ191" s="410">
        <v>354</v>
      </c>
      <c r="BA191" s="410">
        <v>399</v>
      </c>
      <c r="BB191" s="410">
        <v>451</v>
      </c>
      <c r="BC191" s="410">
        <v>453</v>
      </c>
      <c r="BD191" s="404">
        <v>1657</v>
      </c>
      <c r="BE191" s="410">
        <v>451</v>
      </c>
      <c r="BF191" s="410">
        <v>473</v>
      </c>
      <c r="BG191" s="410">
        <v>418</v>
      </c>
      <c r="BH191" s="410">
        <v>408</v>
      </c>
      <c r="BI191" s="404">
        <v>1750</v>
      </c>
      <c r="BJ191" s="410">
        <v>409</v>
      </c>
      <c r="BK191" s="410">
        <v>409</v>
      </c>
      <c r="BL191" s="410">
        <v>413</v>
      </c>
      <c r="BM191" s="410">
        <v>399</v>
      </c>
      <c r="BN191" s="404">
        <v>1630</v>
      </c>
      <c r="BO191" s="410">
        <v>428</v>
      </c>
      <c r="BP191" s="410">
        <v>434</v>
      </c>
      <c r="BQ191" s="410">
        <v>419</v>
      </c>
      <c r="BR191" s="410">
        <v>384</v>
      </c>
      <c r="BS191" s="404">
        <v>1665</v>
      </c>
      <c r="BT191" s="410">
        <v>462</v>
      </c>
      <c r="BU191" s="410">
        <v>455</v>
      </c>
      <c r="BV191" s="410">
        <v>440</v>
      </c>
      <c r="BW191" s="410">
        <v>471</v>
      </c>
      <c r="BX191" s="404">
        <v>1828</v>
      </c>
      <c r="BY191" s="410">
        <v>497</v>
      </c>
      <c r="BZ191" s="410">
        <v>503</v>
      </c>
      <c r="CA191" s="410">
        <v>483</v>
      </c>
      <c r="CB191" s="410">
        <v>556</v>
      </c>
      <c r="CC191" s="404">
        <v>2039</v>
      </c>
      <c r="CD191" s="410">
        <v>526</v>
      </c>
      <c r="CE191" s="410">
        <v>503</v>
      </c>
      <c r="CF191" s="410">
        <v>509</v>
      </c>
      <c r="CG191" s="410">
        <v>476</v>
      </c>
      <c r="CH191" s="404">
        <v>2014</v>
      </c>
      <c r="CI191" s="410">
        <v>538</v>
      </c>
      <c r="CJ191" s="410">
        <v>551</v>
      </c>
      <c r="CK191" s="410">
        <v>560</v>
      </c>
      <c r="CL191" s="410">
        <v>557</v>
      </c>
      <c r="CM191" s="404">
        <v>2206</v>
      </c>
      <c r="CN191" s="410">
        <v>596</v>
      </c>
      <c r="CO191" s="410">
        <v>530</v>
      </c>
      <c r="CP191" s="410">
        <v>531</v>
      </c>
      <c r="CQ191" s="410">
        <v>507</v>
      </c>
      <c r="CR191" s="404">
        <v>2164</v>
      </c>
      <c r="CS191" s="410">
        <v>570</v>
      </c>
      <c r="CT191" s="410">
        <v>581</v>
      </c>
      <c r="CU191" s="410">
        <v>633</v>
      </c>
      <c r="CV191" s="410">
        <v>604</v>
      </c>
      <c r="CW191" s="404">
        <v>2388</v>
      </c>
      <c r="CX191" s="410">
        <v>535</v>
      </c>
      <c r="CY191" s="410">
        <v>437</v>
      </c>
      <c r="CZ191" s="410">
        <v>495</v>
      </c>
      <c r="DA191" s="410">
        <v>512</v>
      </c>
      <c r="DB191" s="404">
        <v>1979</v>
      </c>
      <c r="DC191" s="410">
        <v>516</v>
      </c>
      <c r="DD191" s="410">
        <v>551</v>
      </c>
      <c r="DE191" s="410">
        <v>509</v>
      </c>
      <c r="DF191" s="410">
        <v>496</v>
      </c>
      <c r="DG191" s="406">
        <f>SUM(DC191:DF191)</f>
        <v>2072</v>
      </c>
      <c r="DH191" s="410">
        <v>530</v>
      </c>
      <c r="DI191" s="410">
        <v>557</v>
      </c>
      <c r="DJ191" s="410">
        <v>562</v>
      </c>
      <c r="DK191" s="410">
        <v>580</v>
      </c>
      <c r="DL191" s="406">
        <f>SUM(DH191:DK191)</f>
        <v>2229</v>
      </c>
      <c r="DM191" s="410">
        <v>542</v>
      </c>
      <c r="DN191" s="410">
        <v>550</v>
      </c>
      <c r="DO191" s="410">
        <v>525</v>
      </c>
      <c r="DP191" s="410">
        <v>539</v>
      </c>
      <c r="DQ191" s="406">
        <f>SUM(DM191:DP191)</f>
        <v>2156</v>
      </c>
      <c r="DR191" s="410">
        <f>507+20</f>
        <v>527</v>
      </c>
      <c r="DS191" s="410">
        <f>560+22</f>
        <v>582</v>
      </c>
      <c r="DT191" s="569">
        <v>576</v>
      </c>
      <c r="DU191" s="410">
        <v>632</v>
      </c>
      <c r="DV191" s="406">
        <f>SUM(DR191:DU191)</f>
        <v>2317</v>
      </c>
      <c r="DW191" s="410">
        <v>629</v>
      </c>
      <c r="DX191" s="410">
        <v>621</v>
      </c>
      <c r="DY191" s="569">
        <v>610</v>
      </c>
      <c r="DZ191" s="410">
        <v>624</v>
      </c>
      <c r="EA191" s="406">
        <f>SUM(DW191:DZ191)</f>
        <v>2484</v>
      </c>
      <c r="EB191" s="410">
        <v>627</v>
      </c>
      <c r="EC191" s="410">
        <f>559+17</f>
        <v>576</v>
      </c>
      <c r="ED191" s="569">
        <v>580</v>
      </c>
      <c r="EE191" s="410">
        <v>570</v>
      </c>
      <c r="EF191" s="406">
        <f>SUM(EB191:EE191)</f>
        <v>2353</v>
      </c>
      <c r="EG191" s="410">
        <v>550</v>
      </c>
      <c r="EH191" s="410">
        <v>519</v>
      </c>
      <c r="EI191" s="569">
        <v>507</v>
      </c>
      <c r="EJ191" s="2014">
        <f>493+4</f>
        <v>497</v>
      </c>
      <c r="EK191" s="406">
        <f>SUM(EG191:EJ191)</f>
        <v>2073</v>
      </c>
      <c r="EL191" s="410">
        <v>567</v>
      </c>
      <c r="EM191" s="410">
        <v>490</v>
      </c>
      <c r="EN191" s="569">
        <v>516</v>
      </c>
      <c r="EO191" s="410">
        <v>524</v>
      </c>
      <c r="EP191" s="406">
        <f>SUM(EL191:EO191)</f>
        <v>2097</v>
      </c>
      <c r="EQ191" s="410">
        <v>482</v>
      </c>
      <c r="ER191" s="569">
        <f t="shared" ref="ER191" si="997">EM191+SUM(ER195:ER198)</f>
        <v>464</v>
      </c>
      <c r="ES191" s="569">
        <f t="shared" ref="ES191:ET191" si="998">EN191+SUM(ES195:ES198)</f>
        <v>491</v>
      </c>
      <c r="ET191" s="569">
        <f t="shared" si="998"/>
        <v>501</v>
      </c>
      <c r="EU191" s="406">
        <f>SUM(EQ191:ET191)</f>
        <v>1938</v>
      </c>
      <c r="EZ191" s="406">
        <f>EU191+SUM(EZ195:EZ198)</f>
        <v>1910.5362018425478</v>
      </c>
      <c r="FE191" s="406">
        <f>EZ191+SUM(FE195:FE198)</f>
        <v>1934.5659371303136</v>
      </c>
      <c r="FG191" s="490"/>
      <c r="FH191" s="797"/>
      <c r="FI191" s="797"/>
      <c r="FJ191" s="797"/>
      <c r="FL191" s="1365"/>
      <c r="FM191" s="1582">
        <f t="shared" ref="FM191:FM218" si="999">+EQ191</f>
        <v>482</v>
      </c>
      <c r="FN191" s="1467">
        <f t="shared" ref="FN191:FN218" si="1000">EL191</f>
        <v>567</v>
      </c>
      <c r="FO191" s="1869">
        <v>529</v>
      </c>
      <c r="FP191" s="1748">
        <f>+FM191/FN191-1</f>
        <v>-0.14991181657848329</v>
      </c>
      <c r="FQ191" s="1520">
        <f>+FM191/FO191-1</f>
        <v>-8.8846880907372361E-2</v>
      </c>
      <c r="FR191" s="1625" t="s">
        <v>784</v>
      </c>
      <c r="FS191" s="1297"/>
      <c r="FT191" s="409"/>
      <c r="FU191" s="409"/>
      <c r="FV191" s="409"/>
      <c r="FW191" s="409"/>
      <c r="FX191" s="409"/>
      <c r="FY191" s="409"/>
      <c r="FZ191" s="490"/>
      <c r="GA191"/>
      <c r="GB191"/>
      <c r="GC191"/>
      <c r="GD191"/>
      <c r="GE191"/>
      <c r="GF191"/>
      <c r="GG191"/>
      <c r="GH191"/>
      <c r="GI191"/>
      <c r="GJ191"/>
      <c r="GK191"/>
      <c r="GL191"/>
      <c r="GM191"/>
      <c r="GN191"/>
      <c r="GO191"/>
      <c r="GP191"/>
      <c r="GQ191"/>
      <c r="GR191"/>
      <c r="GS191"/>
      <c r="GT191"/>
      <c r="GU191"/>
      <c r="GV191"/>
      <c r="GW191"/>
      <c r="GX191"/>
      <c r="GY191"/>
      <c r="GZ191"/>
      <c r="HA191"/>
      <c r="HB191"/>
      <c r="HC191"/>
      <c r="HD191"/>
      <c r="HE191"/>
      <c r="HF191"/>
      <c r="HG191"/>
      <c r="HH191"/>
      <c r="HI191"/>
      <c r="HJ191"/>
      <c r="HK191"/>
      <c r="HL191"/>
      <c r="HM191"/>
      <c r="HN191"/>
      <c r="HO191"/>
      <c r="HP191"/>
      <c r="HQ191"/>
      <c r="HR191"/>
      <c r="HS191"/>
      <c r="HT191"/>
      <c r="HU191"/>
      <c r="HV191"/>
      <c r="HW191"/>
      <c r="HX191"/>
      <c r="HY191"/>
      <c r="HZ191"/>
      <c r="IA191"/>
      <c r="IB191"/>
      <c r="IC191"/>
      <c r="ID191"/>
      <c r="IE191"/>
      <c r="IF191"/>
      <c r="IG191"/>
      <c r="IH191"/>
      <c r="II191"/>
      <c r="IJ191"/>
      <c r="IK191"/>
      <c r="IL191"/>
      <c r="IM191"/>
      <c r="IN191"/>
      <c r="IO191"/>
      <c r="IP191"/>
      <c r="IQ191"/>
      <c r="IR191"/>
      <c r="IS191"/>
      <c r="IT191"/>
      <c r="IU191"/>
      <c r="IV191"/>
      <c r="IW191"/>
      <c r="IX191"/>
    </row>
    <row r="192" spans="1:258" s="186" customFormat="1" x14ac:dyDescent="0.2">
      <c r="A192" s="383" t="s">
        <v>465</v>
      </c>
      <c r="B192" s="10"/>
      <c r="C192" s="10"/>
      <c r="D192" s="10"/>
      <c r="E192" s="10"/>
      <c r="F192" s="9"/>
      <c r="G192" s="10"/>
      <c r="H192" s="10"/>
      <c r="I192" s="10"/>
      <c r="J192" s="10"/>
      <c r="K192" s="9"/>
      <c r="L192" s="10"/>
      <c r="M192" s="10"/>
      <c r="N192" s="10"/>
      <c r="O192" s="10"/>
      <c r="P192" s="9"/>
      <c r="Q192" s="10"/>
      <c r="R192" s="10"/>
      <c r="S192" s="10"/>
      <c r="T192" s="10"/>
      <c r="U192" s="9"/>
      <c r="V192" s="10"/>
      <c r="W192" s="10"/>
      <c r="X192" s="10"/>
      <c r="Y192" s="10"/>
      <c r="Z192" s="9"/>
      <c r="AA192" s="10"/>
      <c r="AB192" s="10"/>
      <c r="AC192" s="10"/>
      <c r="AD192" s="10"/>
      <c r="AE192" s="9"/>
      <c r="AF192" s="10"/>
      <c r="AG192" s="10"/>
      <c r="AH192" s="10"/>
      <c r="AI192" s="10"/>
      <c r="AJ192" s="9"/>
      <c r="AK192" s="10">
        <f t="shared" ref="AK192:BP192" si="1001">AK191/AF191-1</f>
        <v>-0.11048158640226624</v>
      </c>
      <c r="AL192" s="10">
        <f t="shared" si="1001"/>
        <v>-0.16576086956521741</v>
      </c>
      <c r="AM192" s="10">
        <f t="shared" si="1001"/>
        <v>-0.14164305949008493</v>
      </c>
      <c r="AN192" s="10">
        <f t="shared" si="1001"/>
        <v>-0.16981132075471694</v>
      </c>
      <c r="AO192" s="9">
        <f t="shared" si="1001"/>
        <v>-0.14740484429065748</v>
      </c>
      <c r="AP192" s="10">
        <f t="shared" si="1001"/>
        <v>-6.3694267515923553E-3</v>
      </c>
      <c r="AQ192" s="10">
        <f t="shared" si="1001"/>
        <v>-7.8175895765472347E-2</v>
      </c>
      <c r="AR192" s="10">
        <f t="shared" si="1001"/>
        <v>-9.9009900990099098E-3</v>
      </c>
      <c r="AS192" s="10">
        <f t="shared" si="1001"/>
        <v>-2.5974025974025983E-2</v>
      </c>
      <c r="AT192" s="9">
        <f t="shared" si="1001"/>
        <v>-3.0032467532467577E-2</v>
      </c>
      <c r="AU192" s="10">
        <f t="shared" si="1001"/>
        <v>1.9230769230769162E-2</v>
      </c>
      <c r="AV192" s="10">
        <f t="shared" si="1001"/>
        <v>0.20848056537102466</v>
      </c>
      <c r="AW192" s="10">
        <f t="shared" si="1001"/>
        <v>0.19999999999999996</v>
      </c>
      <c r="AX192" s="10">
        <f t="shared" si="1001"/>
        <v>0.14333333333333331</v>
      </c>
      <c r="AY192" s="9">
        <f t="shared" si="1001"/>
        <v>0.14058577405857742</v>
      </c>
      <c r="AZ192" s="10">
        <f t="shared" si="1001"/>
        <v>0.1132075471698113</v>
      </c>
      <c r="BA192" s="10">
        <f t="shared" si="1001"/>
        <v>0.16666666666666674</v>
      </c>
      <c r="BB192" s="10">
        <f t="shared" si="1001"/>
        <v>0.25277777777777777</v>
      </c>
      <c r="BC192" s="10">
        <f t="shared" si="1001"/>
        <v>0.32069970845481044</v>
      </c>
      <c r="BD192" s="9">
        <f t="shared" si="1001"/>
        <v>0.21570066030814372</v>
      </c>
      <c r="BE192" s="10">
        <f t="shared" si="1001"/>
        <v>0.27401129943502833</v>
      </c>
      <c r="BF192" s="10">
        <f t="shared" si="1001"/>
        <v>0.18546365914786977</v>
      </c>
      <c r="BG192" s="10">
        <f t="shared" si="1001"/>
        <v>-7.3170731707317027E-2</v>
      </c>
      <c r="BH192" s="10">
        <f t="shared" si="1001"/>
        <v>-9.9337748344370813E-2</v>
      </c>
      <c r="BI192" s="9">
        <f t="shared" si="1001"/>
        <v>5.6125528062763941E-2</v>
      </c>
      <c r="BJ192" s="10">
        <f t="shared" si="1001"/>
        <v>-9.3126385809312651E-2</v>
      </c>
      <c r="BK192" s="10">
        <f t="shared" si="1001"/>
        <v>-0.13530655391120505</v>
      </c>
      <c r="BL192" s="10">
        <f t="shared" si="1001"/>
        <v>-1.1961722488038284E-2</v>
      </c>
      <c r="BM192" s="10">
        <f t="shared" si="1001"/>
        <v>-2.2058823529411797E-2</v>
      </c>
      <c r="BN192" s="9">
        <f t="shared" si="1001"/>
        <v>-6.8571428571428616E-2</v>
      </c>
      <c r="BO192" s="10">
        <f t="shared" si="1001"/>
        <v>4.6454767726161306E-2</v>
      </c>
      <c r="BP192" s="10">
        <f t="shared" si="1001"/>
        <v>6.112469437652801E-2</v>
      </c>
      <c r="BQ192" s="10">
        <f t="shared" ref="BQ192:CV192" si="1002">BQ191/BL191-1</f>
        <v>1.4527845036319542E-2</v>
      </c>
      <c r="BR192" s="10">
        <f t="shared" si="1002"/>
        <v>-3.7593984962406068E-2</v>
      </c>
      <c r="BS192" s="9">
        <f t="shared" si="1002"/>
        <v>2.1472392638036908E-2</v>
      </c>
      <c r="BT192" s="10">
        <f t="shared" si="1002"/>
        <v>7.9439252336448662E-2</v>
      </c>
      <c r="BU192" s="10">
        <f t="shared" si="1002"/>
        <v>4.8387096774193505E-2</v>
      </c>
      <c r="BV192" s="10">
        <f t="shared" si="1002"/>
        <v>5.0119331742243478E-2</v>
      </c>
      <c r="BW192" s="10">
        <f t="shared" si="1002"/>
        <v>0.2265625</v>
      </c>
      <c r="BX192" s="9">
        <f t="shared" si="1002"/>
        <v>9.7897897897897934E-2</v>
      </c>
      <c r="BY192" s="10">
        <f t="shared" si="1002"/>
        <v>7.575757575757569E-2</v>
      </c>
      <c r="BZ192" s="10">
        <f t="shared" si="1002"/>
        <v>0.10549450549450556</v>
      </c>
      <c r="CA192" s="10">
        <f t="shared" si="1002"/>
        <v>9.7727272727272663E-2</v>
      </c>
      <c r="CB192" s="10">
        <f t="shared" si="1002"/>
        <v>0.18046709129511673</v>
      </c>
      <c r="CC192" s="9">
        <f t="shared" si="1002"/>
        <v>0.1154266958424508</v>
      </c>
      <c r="CD192" s="10">
        <f t="shared" si="1002"/>
        <v>5.835010060362178E-2</v>
      </c>
      <c r="CE192" s="10">
        <f t="shared" si="1002"/>
        <v>0</v>
      </c>
      <c r="CF192" s="10">
        <f t="shared" si="1002"/>
        <v>5.3830227743271175E-2</v>
      </c>
      <c r="CG192" s="10">
        <f t="shared" si="1002"/>
        <v>-0.14388489208633093</v>
      </c>
      <c r="CH192" s="9">
        <f t="shared" si="1002"/>
        <v>-1.2260912211868535E-2</v>
      </c>
      <c r="CI192" s="10">
        <f t="shared" si="1002"/>
        <v>2.281368821292773E-2</v>
      </c>
      <c r="CJ192" s="10">
        <f t="shared" si="1002"/>
        <v>9.5427435387674064E-2</v>
      </c>
      <c r="CK192" s="10">
        <f t="shared" si="1002"/>
        <v>0.10019646365422408</v>
      </c>
      <c r="CL192" s="10">
        <f t="shared" si="1002"/>
        <v>0.17016806722689082</v>
      </c>
      <c r="CM192" s="9">
        <f t="shared" si="1002"/>
        <v>9.5332671300893734E-2</v>
      </c>
      <c r="CN192" s="10">
        <f t="shared" si="1002"/>
        <v>0.10780669144981414</v>
      </c>
      <c r="CO192" s="10">
        <f t="shared" si="1002"/>
        <v>-3.8112522686025385E-2</v>
      </c>
      <c r="CP192" s="10">
        <f t="shared" si="1002"/>
        <v>-5.1785714285714324E-2</v>
      </c>
      <c r="CQ192" s="10">
        <f t="shared" si="1002"/>
        <v>-8.9766606822262118E-2</v>
      </c>
      <c r="CR192" s="9">
        <f t="shared" si="1002"/>
        <v>-1.903898458748865E-2</v>
      </c>
      <c r="CS192" s="10">
        <f t="shared" si="1002"/>
        <v>-4.3624161073825496E-2</v>
      </c>
      <c r="CT192" s="10">
        <f t="shared" si="1002"/>
        <v>9.6226415094339712E-2</v>
      </c>
      <c r="CU192" s="10">
        <f t="shared" si="1002"/>
        <v>0.19209039548022599</v>
      </c>
      <c r="CV192" s="10">
        <f t="shared" si="1002"/>
        <v>0.1913214990138068</v>
      </c>
      <c r="CW192" s="9">
        <f t="shared" ref="CW192:DU192" si="1003">CW191/CR191-1</f>
        <v>0.10351201478743066</v>
      </c>
      <c r="CX192" s="10">
        <f t="shared" si="1003"/>
        <v>-6.1403508771929793E-2</v>
      </c>
      <c r="CY192" s="10">
        <f t="shared" si="1003"/>
        <v>-0.24784853700516352</v>
      </c>
      <c r="CZ192" s="10">
        <f t="shared" si="1003"/>
        <v>-0.21800947867298581</v>
      </c>
      <c r="DA192" s="10">
        <f t="shared" si="1003"/>
        <v>-0.15231788079470199</v>
      </c>
      <c r="DB192" s="9">
        <f t="shared" si="1003"/>
        <v>-0.17127303182579567</v>
      </c>
      <c r="DC192" s="10">
        <f t="shared" si="1003"/>
        <v>-3.5514018691588767E-2</v>
      </c>
      <c r="DD192" s="10">
        <f t="shared" si="1003"/>
        <v>0.26086956521739135</v>
      </c>
      <c r="DE192" s="10">
        <f t="shared" si="1003"/>
        <v>2.8282828282828243E-2</v>
      </c>
      <c r="DF192" s="10">
        <f t="shared" si="1003"/>
        <v>-3.125E-2</v>
      </c>
      <c r="DG192" s="9">
        <f t="shared" si="1003"/>
        <v>4.6993431025770693E-2</v>
      </c>
      <c r="DH192" s="10">
        <f t="shared" si="1003"/>
        <v>2.7131782945736482E-2</v>
      </c>
      <c r="DI192" s="10">
        <f t="shared" si="1003"/>
        <v>1.0889292196007316E-2</v>
      </c>
      <c r="DJ192" s="10">
        <f t="shared" si="1003"/>
        <v>0.1041257367387034</v>
      </c>
      <c r="DK192" s="10">
        <f t="shared" si="1003"/>
        <v>0.16935483870967749</v>
      </c>
      <c r="DL192" s="9">
        <f t="shared" si="1003"/>
        <v>7.5772200772200815E-2</v>
      </c>
      <c r="DM192" s="10">
        <f t="shared" si="1003"/>
        <v>2.2641509433962259E-2</v>
      </c>
      <c r="DN192" s="10">
        <f t="shared" si="1003"/>
        <v>-1.2567324955116699E-2</v>
      </c>
      <c r="DO192" s="10">
        <f t="shared" si="1003"/>
        <v>-6.5836298932384296E-2</v>
      </c>
      <c r="DP192" s="10">
        <f t="shared" si="1003"/>
        <v>-7.0689655172413768E-2</v>
      </c>
      <c r="DQ192" s="9">
        <f t="shared" ref="DQ192:DV192" si="1004">DQ191/DL191-1</f>
        <v>-3.2750112157918343E-2</v>
      </c>
      <c r="DR192" s="10">
        <f t="shared" si="1003"/>
        <v>-2.7675276752767486E-2</v>
      </c>
      <c r="DS192" s="10">
        <f t="shared" si="1003"/>
        <v>5.8181818181818112E-2</v>
      </c>
      <c r="DT192" s="10">
        <f t="shared" si="1004"/>
        <v>9.7142857142857197E-2</v>
      </c>
      <c r="DU192" s="10">
        <f t="shared" si="1003"/>
        <v>0.17254174397031541</v>
      </c>
      <c r="DV192" s="9">
        <f t="shared" si="1004"/>
        <v>7.4675324675324672E-2</v>
      </c>
      <c r="DW192" s="10">
        <f t="shared" ref="DW192:ED192" si="1005">DW191/DR191-1</f>
        <v>0.19354838709677424</v>
      </c>
      <c r="DX192" s="10">
        <f t="shared" si="1005"/>
        <v>6.7010309278350499E-2</v>
      </c>
      <c r="DY192" s="10">
        <f t="shared" si="1005"/>
        <v>5.9027777777777679E-2</v>
      </c>
      <c r="DZ192" s="10">
        <f t="shared" si="1005"/>
        <v>-1.2658227848101222E-2</v>
      </c>
      <c r="EA192" s="9">
        <f t="shared" si="1005"/>
        <v>7.2075960293482844E-2</v>
      </c>
      <c r="EB192" s="10">
        <f t="shared" si="1005"/>
        <v>-3.1796502384737746E-3</v>
      </c>
      <c r="EC192" s="10">
        <f t="shared" si="1005"/>
        <v>-7.2463768115942018E-2</v>
      </c>
      <c r="ED192" s="10">
        <f t="shared" si="1005"/>
        <v>-4.9180327868852514E-2</v>
      </c>
      <c r="EE192" s="10">
        <f t="shared" ref="EE192:EI192" si="1006">EE191/DZ191-1</f>
        <v>-8.6538461538461564E-2</v>
      </c>
      <c r="EF192" s="9">
        <f t="shared" si="1006"/>
        <v>-5.2737520128824489E-2</v>
      </c>
      <c r="EG192" s="10">
        <f t="shared" si="1006"/>
        <v>-0.1228070175438597</v>
      </c>
      <c r="EH192" s="10">
        <f t="shared" si="1006"/>
        <v>-9.895833333333337E-2</v>
      </c>
      <c r="EI192" s="10">
        <f t="shared" si="1006"/>
        <v>-0.12586206896551722</v>
      </c>
      <c r="EJ192" s="10">
        <f t="shared" ref="EJ192" si="1007">EJ191/EE191-1</f>
        <v>-0.12807017543859645</v>
      </c>
      <c r="EK192" s="9">
        <f t="shared" ref="EK192:EQ192" si="1008">EK191/EF191-1</f>
        <v>-0.11899702507437315</v>
      </c>
      <c r="EL192" s="10">
        <f t="shared" si="1008"/>
        <v>3.0909090909090997E-2</v>
      </c>
      <c r="EM192" s="10">
        <f t="shared" si="1008"/>
        <v>-5.5876685934489356E-2</v>
      </c>
      <c r="EN192" s="10">
        <f t="shared" si="1008"/>
        <v>1.7751479289940919E-2</v>
      </c>
      <c r="EO192" s="10">
        <f t="shared" si="1008"/>
        <v>5.4325955734406461E-2</v>
      </c>
      <c r="EP192" s="9">
        <f t="shared" si="1008"/>
        <v>1.1577424023154759E-2</v>
      </c>
      <c r="EQ192" s="10">
        <f t="shared" si="1008"/>
        <v>-0.14991181657848329</v>
      </c>
      <c r="ER192" s="10">
        <f t="shared" ref="ER192" si="1009">ER191/EM191-1</f>
        <v>-5.3061224489795888E-2</v>
      </c>
      <c r="ES192" s="10">
        <f t="shared" ref="ES192:EU192" si="1010">ES191/EN191-1</f>
        <v>-4.844961240310075E-2</v>
      </c>
      <c r="ET192" s="10">
        <f t="shared" si="1010"/>
        <v>-4.3893129770992356E-2</v>
      </c>
      <c r="EU192" s="9">
        <f t="shared" si="1010"/>
        <v>-7.582260371959948E-2</v>
      </c>
      <c r="EV192" s="185"/>
      <c r="EW192" s="185"/>
      <c r="EX192" s="185"/>
      <c r="EY192" s="185"/>
      <c r="EZ192" s="9">
        <f>EZ191/EU191-1</f>
        <v>-1.4171206479593468E-2</v>
      </c>
      <c r="FA192" s="185"/>
      <c r="FB192" s="185"/>
      <c r="FC192" s="185"/>
      <c r="FD192" s="185"/>
      <c r="FE192" s="9">
        <f>FE191/EZ191-1</f>
        <v>1.2577482313389954E-2</v>
      </c>
      <c r="FG192" s="464"/>
      <c r="FH192" s="780"/>
      <c r="FI192" s="780"/>
      <c r="FJ192" s="780"/>
      <c r="FL192" s="1348"/>
      <c r="FM192" s="1581">
        <f t="shared" si="999"/>
        <v>-0.14991181657848329</v>
      </c>
      <c r="FN192" s="1418">
        <f t="shared" si="1000"/>
        <v>3.0909090909090997E-2</v>
      </c>
      <c r="FO192" s="1750">
        <v>-6.7019400352733682E-2</v>
      </c>
      <c r="FP192" s="1751"/>
      <c r="FQ192" s="1503">
        <f>+(FM192-FO192)*10000</f>
        <v>-828.92416225749605</v>
      </c>
      <c r="FR192" s="1615"/>
      <c r="FS192" s="1615"/>
      <c r="FT192" s="432"/>
      <c r="FU192" s="432"/>
      <c r="FV192" s="432"/>
      <c r="FW192" s="432"/>
      <c r="FX192" s="432"/>
      <c r="FY192" s="432"/>
      <c r="FZ192" s="464"/>
      <c r="GA192"/>
      <c r="GB192"/>
      <c r="GC192"/>
      <c r="GD192"/>
      <c r="GE192"/>
      <c r="GF192"/>
      <c r="GG192"/>
      <c r="GH192"/>
      <c r="GI192"/>
      <c r="GJ192"/>
      <c r="GK192"/>
      <c r="GL192"/>
      <c r="GM192"/>
      <c r="GN192"/>
      <c r="GO192"/>
      <c r="GP192"/>
      <c r="GQ192"/>
      <c r="GR192"/>
      <c r="GS192"/>
      <c r="GT192"/>
      <c r="GU192"/>
      <c r="GV192"/>
      <c r="GW192"/>
      <c r="GX192"/>
      <c r="GY192"/>
      <c r="GZ192"/>
      <c r="HA192"/>
      <c r="HB192"/>
      <c r="HC192"/>
      <c r="HD192"/>
      <c r="HE192"/>
      <c r="HF192"/>
      <c r="HG192"/>
      <c r="HH192"/>
      <c r="HI192"/>
      <c r="HJ192"/>
      <c r="HK192"/>
      <c r="HL192"/>
      <c r="HM192"/>
      <c r="HN192"/>
      <c r="HO192"/>
      <c r="HP192"/>
      <c r="HQ192"/>
      <c r="HR192"/>
      <c r="HS192"/>
      <c r="HT192"/>
      <c r="HU192"/>
      <c r="HV192"/>
      <c r="HW192"/>
      <c r="HX192"/>
      <c r="HY192"/>
      <c r="HZ192"/>
      <c r="IA192"/>
      <c r="IB192"/>
      <c r="IC192"/>
      <c r="ID192"/>
      <c r="IE192"/>
      <c r="IF192"/>
      <c r="IG192"/>
      <c r="IH192"/>
      <c r="II192"/>
      <c r="IJ192"/>
      <c r="IK192"/>
      <c r="IL192"/>
      <c r="IM192"/>
      <c r="IN192"/>
      <c r="IO192"/>
      <c r="IP192"/>
      <c r="IQ192"/>
      <c r="IR192"/>
      <c r="IS192"/>
      <c r="IT192"/>
      <c r="IU192"/>
      <c r="IV192"/>
      <c r="IW192"/>
      <c r="IX192"/>
    </row>
    <row r="193" spans="1:258" s="227" customFormat="1" x14ac:dyDescent="0.2">
      <c r="A193" s="558" t="s">
        <v>330</v>
      </c>
      <c r="B193" s="341"/>
      <c r="C193" s="341"/>
      <c r="D193" s="341"/>
      <c r="E193" s="14"/>
      <c r="F193" s="15"/>
      <c r="G193" s="341"/>
      <c r="H193" s="341"/>
      <c r="I193" s="341"/>
      <c r="J193" s="14"/>
      <c r="K193" s="15"/>
      <c r="L193" s="341"/>
      <c r="M193" s="341"/>
      <c r="N193" s="341"/>
      <c r="O193" s="14"/>
      <c r="P193" s="15"/>
      <c r="Q193" s="14">
        <f>Q191/U191</f>
        <v>0.25165562913907286</v>
      </c>
      <c r="R193" s="14">
        <f>R191/U191</f>
        <v>0.24437086092715232</v>
      </c>
      <c r="S193" s="14">
        <f>S191/U191</f>
        <v>0.26225165562913905</v>
      </c>
      <c r="T193" s="14">
        <f>T191/U191</f>
        <v>0.24172185430463577</v>
      </c>
      <c r="U193" s="498"/>
      <c r="V193" s="14">
        <f>V191/Z191</f>
        <v>0.25033921302578022</v>
      </c>
      <c r="W193" s="14">
        <f>W191/Z191</f>
        <v>0.24694708276797828</v>
      </c>
      <c r="X193" s="14">
        <f>X191/Z191</f>
        <v>0.26051560379918587</v>
      </c>
      <c r="Y193" s="14">
        <f>Y191/Z191</f>
        <v>0.24219810040705564</v>
      </c>
      <c r="Z193" s="498"/>
      <c r="AA193" s="14">
        <f>AA191/AE191</f>
        <v>0.25141420490257699</v>
      </c>
      <c r="AB193" s="14">
        <f>AB191/AE191</f>
        <v>0.24575738529226901</v>
      </c>
      <c r="AC193" s="14">
        <f>AC191/AE191</f>
        <v>0.25518541797611566</v>
      </c>
      <c r="AD193" s="14">
        <f>AD191/AE191</f>
        <v>0.24764299182903834</v>
      </c>
      <c r="AE193" s="498"/>
      <c r="AF193" s="14">
        <f>AF191/AJ191</f>
        <v>0.24429065743944636</v>
      </c>
      <c r="AG193" s="14">
        <f>AG191/AJ191</f>
        <v>0.25467128027681663</v>
      </c>
      <c r="AH193" s="14">
        <f>AH191/AJ191</f>
        <v>0.24429065743944636</v>
      </c>
      <c r="AI193" s="14">
        <f>AI191/AJ191</f>
        <v>0.25674740484429065</v>
      </c>
      <c r="AJ193" s="498"/>
      <c r="AK193" s="14">
        <f>AK191/AO191</f>
        <v>0.25487012987012986</v>
      </c>
      <c r="AL193" s="14">
        <f>AL191/AO191</f>
        <v>0.24918831168831168</v>
      </c>
      <c r="AM193" s="14">
        <f>AM191/AO191</f>
        <v>0.24594155844155843</v>
      </c>
      <c r="AN193" s="14">
        <f>AN191/AO191</f>
        <v>0.25</v>
      </c>
      <c r="AO193" s="498"/>
      <c r="AP193" s="14">
        <f>AP191/AT191</f>
        <v>0.26108786610878659</v>
      </c>
      <c r="AQ193" s="14">
        <f>AQ191/AT191</f>
        <v>0.23682008368200838</v>
      </c>
      <c r="AR193" s="14">
        <f>AR191/AT191</f>
        <v>0.2510460251046025</v>
      </c>
      <c r="AS193" s="14">
        <f>AS191/AT191</f>
        <v>0.2510460251046025</v>
      </c>
      <c r="AT193" s="498"/>
      <c r="AU193" s="14">
        <f>AU191/AY191</f>
        <v>0.23330887747615553</v>
      </c>
      <c r="AV193" s="14">
        <f>AV191/AY191</f>
        <v>0.25091709464416728</v>
      </c>
      <c r="AW193" s="14">
        <f>AW191/AY191</f>
        <v>0.26412325752017607</v>
      </c>
      <c r="AX193" s="14">
        <f>AX191/AY191</f>
        <v>0.25165077035950112</v>
      </c>
      <c r="AY193" s="498"/>
      <c r="AZ193" s="14">
        <f>AZ191/BD191</f>
        <v>0.21363910681955342</v>
      </c>
      <c r="BA193" s="14">
        <f>BA191/BD191</f>
        <v>0.24079662039831021</v>
      </c>
      <c r="BB193" s="14">
        <f>BB191/BD191</f>
        <v>0.27217863608931803</v>
      </c>
      <c r="BC193" s="14">
        <f>BC191/BD191</f>
        <v>0.27338563669281835</v>
      </c>
      <c r="BD193" s="498"/>
      <c r="BE193" s="14">
        <f>BE191/BI191</f>
        <v>0.25771428571428573</v>
      </c>
      <c r="BF193" s="14">
        <f>BF191/BI191</f>
        <v>0.2702857142857143</v>
      </c>
      <c r="BG193" s="14">
        <f>BG191/BI191</f>
        <v>0.23885714285714285</v>
      </c>
      <c r="BH193" s="14">
        <f>BH191/BI191</f>
        <v>0.23314285714285715</v>
      </c>
      <c r="BI193" s="498"/>
      <c r="BJ193" s="14">
        <f>BJ191/BN191</f>
        <v>0.250920245398773</v>
      </c>
      <c r="BK193" s="14">
        <f>BK191/BN191</f>
        <v>0.250920245398773</v>
      </c>
      <c r="BL193" s="14">
        <f>BL191/BN191</f>
        <v>0.25337423312883434</v>
      </c>
      <c r="BM193" s="14">
        <f>BM191/BN191</f>
        <v>0.24478527607361963</v>
      </c>
      <c r="BN193" s="498"/>
      <c r="BO193" s="14">
        <f>BO191/BS191</f>
        <v>0.25705705705705706</v>
      </c>
      <c r="BP193" s="14">
        <f>BP191/BS191</f>
        <v>0.26066066066066068</v>
      </c>
      <c r="BQ193" s="14">
        <f>BQ191/BS191</f>
        <v>0.25165165165165165</v>
      </c>
      <c r="BR193" s="14">
        <f>BR191/BS191</f>
        <v>0.23063063063063063</v>
      </c>
      <c r="BS193" s="498"/>
      <c r="BT193" s="14">
        <f>BT191/BX191</f>
        <v>0.2527352297592998</v>
      </c>
      <c r="BU193" s="14">
        <f>BU191/BX191</f>
        <v>0.24890590809628008</v>
      </c>
      <c r="BV193" s="14">
        <f>BV191/BX191</f>
        <v>0.24070021881838075</v>
      </c>
      <c r="BW193" s="14">
        <f>BW191/BX191</f>
        <v>0.25765864332603938</v>
      </c>
      <c r="BX193" s="498"/>
      <c r="BY193" s="14">
        <f>BY191/CC191</f>
        <v>0.24374693477194703</v>
      </c>
      <c r="BZ193" s="14">
        <f>BZ191/CC191</f>
        <v>0.24668955370279549</v>
      </c>
      <c r="CA193" s="14">
        <f>CA191/CC191</f>
        <v>0.23688082393330065</v>
      </c>
      <c r="CB193" s="14">
        <f>CB191/CC191</f>
        <v>0.27268268759195685</v>
      </c>
      <c r="CC193" s="498"/>
      <c r="CD193" s="14">
        <f>CD191/CH191</f>
        <v>0.2611717974180735</v>
      </c>
      <c r="CE193" s="14">
        <f>CE191/CH191</f>
        <v>0.24975173783515392</v>
      </c>
      <c r="CF193" s="14">
        <f>CF191/CH191</f>
        <v>0.25273088381330683</v>
      </c>
      <c r="CG193" s="14">
        <f>CG191/CH191</f>
        <v>0.23634558093346575</v>
      </c>
      <c r="CH193" s="498"/>
      <c r="CI193" s="14">
        <f>CI191/CM191</f>
        <v>0.24388032638259294</v>
      </c>
      <c r="CJ193" s="14">
        <f>CJ191/CM191</f>
        <v>0.2497733454215775</v>
      </c>
      <c r="CK193" s="14">
        <f>CK191/CM191</f>
        <v>0.25385312783318226</v>
      </c>
      <c r="CL193" s="14">
        <f>CL191/CM191</f>
        <v>0.25249320036264733</v>
      </c>
      <c r="CM193" s="498"/>
      <c r="CN193" s="14">
        <f>CN191/CR191</f>
        <v>0.2754158964879852</v>
      </c>
      <c r="CO193" s="14">
        <f>CO191/CR191</f>
        <v>0.24491682070240295</v>
      </c>
      <c r="CP193" s="14">
        <f>CP191/CR191</f>
        <v>0.24537892791127541</v>
      </c>
      <c r="CQ193" s="14">
        <f>CQ191/CR191</f>
        <v>0.23428835489833641</v>
      </c>
      <c r="CR193" s="498"/>
      <c r="CS193" s="14">
        <f>CS191/CW191</f>
        <v>0.23869346733668342</v>
      </c>
      <c r="CT193" s="14">
        <f>CT191/CW191</f>
        <v>0.24329983249581238</v>
      </c>
      <c r="CU193" s="14">
        <f>CU191/CW191</f>
        <v>0.26507537688442212</v>
      </c>
      <c r="CV193" s="14">
        <f>CV191/CW191</f>
        <v>0.2529313232830821</v>
      </c>
      <c r="CW193" s="498"/>
      <c r="CX193" s="14">
        <f>CX191/DB191</f>
        <v>0.27033855482566954</v>
      </c>
      <c r="CY193" s="14">
        <f>CY191/DB191</f>
        <v>0.22081859525012631</v>
      </c>
      <c r="CZ193" s="14">
        <f>CZ191/DB191</f>
        <v>0.25012632642748861</v>
      </c>
      <c r="DA193" s="14">
        <f>DA191/DB191</f>
        <v>0.25871652349671553</v>
      </c>
      <c r="DB193" s="498"/>
      <c r="DC193" s="14">
        <f>DC191/DG191</f>
        <v>0.24903474903474904</v>
      </c>
      <c r="DD193" s="14">
        <f>DD191/DG191</f>
        <v>0.26592664092664092</v>
      </c>
      <c r="DE193" s="14">
        <f>DE191/DG191</f>
        <v>0.24565637065637067</v>
      </c>
      <c r="DF193" s="14">
        <f>DF191/DG191</f>
        <v>0.23938223938223938</v>
      </c>
      <c r="DG193" s="498"/>
      <c r="DH193" s="14">
        <f>DH191/DL191</f>
        <v>0.23777478689995513</v>
      </c>
      <c r="DI193" s="14">
        <f>DI191/DL191</f>
        <v>0.24988784208165096</v>
      </c>
      <c r="DJ193" s="14">
        <f>DJ191/DL191</f>
        <v>0.25213100044863168</v>
      </c>
      <c r="DK193" s="14">
        <f>DK191/DL191</f>
        <v>0.2602063705697622</v>
      </c>
      <c r="DL193" s="498"/>
      <c r="DM193" s="14">
        <f>DM191/DQ191</f>
        <v>0.25139146567717996</v>
      </c>
      <c r="DN193" s="14">
        <f>DN191/DQ191</f>
        <v>0.25510204081632654</v>
      </c>
      <c r="DO193" s="14">
        <f>DO191/DQ191</f>
        <v>0.2435064935064935</v>
      </c>
      <c r="DP193" s="14">
        <f>DP191/DQ191</f>
        <v>0.25</v>
      </c>
      <c r="DQ193" s="498"/>
      <c r="DR193" s="14">
        <f>DR191/DV191</f>
        <v>0.22744928787224861</v>
      </c>
      <c r="DS193" s="14">
        <f>DS191/DV191</f>
        <v>0.25118687958567115</v>
      </c>
      <c r="DT193" s="14">
        <f>DT191/DV191</f>
        <v>0.24859732412602503</v>
      </c>
      <c r="DU193" s="14">
        <f>DU191/DV191</f>
        <v>0.27276650841605526</v>
      </c>
      <c r="DV193" s="498"/>
      <c r="DW193" s="14">
        <f>DW191/EA191</f>
        <v>0.2532206119162641</v>
      </c>
      <c r="DX193" s="14">
        <f>DX191/EA191</f>
        <v>0.25</v>
      </c>
      <c r="DY193" s="14">
        <f>DY191/EA191</f>
        <v>0.24557165861513688</v>
      </c>
      <c r="DZ193" s="14">
        <f>DZ191/EA191</f>
        <v>0.25120772946859904</v>
      </c>
      <c r="EA193" s="498"/>
      <c r="EB193" s="14">
        <f>EB191/EF191</f>
        <v>0.26646833829154271</v>
      </c>
      <c r="EC193" s="14">
        <f>EC191/EF191</f>
        <v>0.24479388015299616</v>
      </c>
      <c r="ED193" s="14">
        <f>ED191/EF191</f>
        <v>0.24649383765405866</v>
      </c>
      <c r="EE193" s="14">
        <f>EE191/EF191</f>
        <v>0.24224394390140247</v>
      </c>
      <c r="EF193" s="498"/>
      <c r="EG193" s="14">
        <f>EG191/EK191</f>
        <v>0.26531596719729861</v>
      </c>
      <c r="EH193" s="14">
        <f>EH191/EK191</f>
        <v>0.2503617945007236</v>
      </c>
      <c r="EI193" s="14">
        <f>EI191/EK191</f>
        <v>0.24457308248914617</v>
      </c>
      <c r="EJ193" s="14">
        <f>EJ191/EK191</f>
        <v>0.23974915581283165</v>
      </c>
      <c r="EK193" s="498"/>
      <c r="EL193" s="14">
        <f>EL191/EP191</f>
        <v>0.27038626609442062</v>
      </c>
      <c r="EM193" s="14">
        <f>EM191/EP191</f>
        <v>0.23366714353838816</v>
      </c>
      <c r="EN193" s="14">
        <f>EN191/EP191</f>
        <v>0.24606580829756797</v>
      </c>
      <c r="EO193" s="14">
        <f>EO191/EP191</f>
        <v>0.24988078206962328</v>
      </c>
      <c r="EP193" s="498"/>
      <c r="EQ193" s="14">
        <f>EQ191/EU191</f>
        <v>0.24871001031991744</v>
      </c>
      <c r="ER193" s="14">
        <f>ER191/EU191</f>
        <v>0.23942208462332301</v>
      </c>
      <c r="ES193" s="14">
        <f>ES191/EU191</f>
        <v>0.25335397316821467</v>
      </c>
      <c r="ET193" s="14">
        <f>ET191/EU191</f>
        <v>0.25851393188854488</v>
      </c>
      <c r="EU193" s="498"/>
      <c r="EV193" s="208"/>
      <c r="EW193" s="208"/>
      <c r="EX193" s="208"/>
      <c r="EY193" s="208"/>
      <c r="EZ193" s="15"/>
      <c r="FA193" s="208"/>
      <c r="FB193" s="208"/>
      <c r="FC193" s="208"/>
      <c r="FD193" s="208"/>
      <c r="FE193" s="15"/>
      <c r="FG193" s="464"/>
      <c r="FH193" s="780"/>
      <c r="FJ193" s="780"/>
      <c r="FK193" s="186"/>
      <c r="FL193" s="1348"/>
      <c r="FM193" s="1141">
        <f t="shared" si="999"/>
        <v>0.24871001031991744</v>
      </c>
      <c r="FN193" s="1419">
        <f t="shared" si="1000"/>
        <v>0.27038626609442062</v>
      </c>
      <c r="FO193" s="1806">
        <v>0.26649874055415618</v>
      </c>
      <c r="FP193" s="1751"/>
      <c r="FQ193" s="1503"/>
      <c r="FR193" s="1619"/>
      <c r="FS193" s="1615"/>
      <c r="FT193" s="432"/>
      <c r="FU193" s="432"/>
      <c r="FV193" s="432"/>
      <c r="FW193" s="432"/>
      <c r="FX193" s="432"/>
      <c r="FY193" s="432"/>
      <c r="FZ193" s="464"/>
      <c r="GA193"/>
      <c r="GB193"/>
      <c r="GC193"/>
      <c r="GD193"/>
      <c r="GE193"/>
      <c r="GF193"/>
      <c r="GG193"/>
      <c r="GH193"/>
      <c r="GI193"/>
      <c r="GJ193"/>
      <c r="GK193"/>
      <c r="GL193"/>
      <c r="GM193"/>
      <c r="GN193"/>
      <c r="GO193"/>
      <c r="GP193"/>
      <c r="GQ193"/>
      <c r="GR193"/>
      <c r="GS193"/>
      <c r="GT193"/>
      <c r="GU193"/>
      <c r="GV193"/>
      <c r="GW193"/>
      <c r="GX193"/>
      <c r="GY193"/>
      <c r="GZ193"/>
      <c r="HA193"/>
      <c r="HB193"/>
      <c r="HC193"/>
      <c r="HD193"/>
      <c r="HE193"/>
      <c r="HF193"/>
      <c r="HG193"/>
      <c r="HH193"/>
      <c r="HI193"/>
      <c r="HJ193"/>
      <c r="HK193"/>
      <c r="HL193"/>
      <c r="HM193"/>
      <c r="HN193"/>
      <c r="HO193"/>
      <c r="HP193"/>
      <c r="HQ193"/>
      <c r="HR193"/>
      <c r="HS193"/>
      <c r="HT193"/>
      <c r="HU193"/>
      <c r="HV193"/>
      <c r="HW193"/>
      <c r="HX193"/>
      <c r="HY193"/>
      <c r="HZ193"/>
      <c r="IA193"/>
      <c r="IB193"/>
      <c r="IC193"/>
      <c r="ID193"/>
      <c r="IE193"/>
      <c r="IF193"/>
      <c r="IG193"/>
      <c r="IH193"/>
      <c r="II193"/>
      <c r="IJ193"/>
      <c r="IK193"/>
      <c r="IL193"/>
      <c r="IM193"/>
      <c r="IN193"/>
      <c r="IO193"/>
      <c r="IP193"/>
      <c r="IQ193"/>
      <c r="IR193"/>
      <c r="IS193"/>
      <c r="IT193"/>
      <c r="IU193"/>
      <c r="IV193"/>
      <c r="IW193"/>
      <c r="IX193"/>
    </row>
    <row r="194" spans="1:258" s="227" customFormat="1" x14ac:dyDescent="0.2">
      <c r="A194" s="567" t="s">
        <v>414</v>
      </c>
      <c r="B194" s="90"/>
      <c r="C194" s="90"/>
      <c r="D194" s="90"/>
      <c r="E194" s="14"/>
      <c r="F194" s="15"/>
      <c r="G194" s="90"/>
      <c r="H194" s="90"/>
      <c r="I194" s="90"/>
      <c r="J194" s="14"/>
      <c r="K194" s="15"/>
      <c r="L194" s="90"/>
      <c r="M194" s="90"/>
      <c r="N194" s="90"/>
      <c r="O194" s="14"/>
      <c r="P194" s="15"/>
      <c r="Q194" s="90">
        <f t="shared" ref="Q194:AV194" si="1011">Q191/Q$223</f>
        <v>0.33628318584070799</v>
      </c>
      <c r="R194" s="90">
        <f t="shared" si="1011"/>
        <v>0.33591260810195722</v>
      </c>
      <c r="S194" s="90">
        <f t="shared" si="1011"/>
        <v>0.3639705882352941</v>
      </c>
      <c r="T194" s="14">
        <f t="shared" si="1011"/>
        <v>0.33394327538883806</v>
      </c>
      <c r="U194" s="15">
        <f t="shared" si="1011"/>
        <v>0.34244245379294702</v>
      </c>
      <c r="V194" s="90">
        <f t="shared" si="1011"/>
        <v>0.33303249097472926</v>
      </c>
      <c r="W194" s="90">
        <f t="shared" si="1011"/>
        <v>0.33610341643582642</v>
      </c>
      <c r="X194" s="90">
        <f t="shared" si="1011"/>
        <v>0.35164835164835168</v>
      </c>
      <c r="Y194" s="14">
        <f t="shared" si="1011"/>
        <v>0.32722273143904673</v>
      </c>
      <c r="Z194" s="15">
        <f t="shared" si="1011"/>
        <v>0.33699131229995427</v>
      </c>
      <c r="AA194" s="90">
        <f t="shared" si="1011"/>
        <v>0.35056967572304998</v>
      </c>
      <c r="AB194" s="90">
        <f t="shared" si="1011"/>
        <v>0.34879571810883142</v>
      </c>
      <c r="AC194" s="90">
        <f t="shared" si="1011"/>
        <v>0.35739436619718312</v>
      </c>
      <c r="AD194" s="14">
        <f t="shared" si="1011"/>
        <v>0.34591747146619845</v>
      </c>
      <c r="AE194" s="15">
        <f t="shared" si="1011"/>
        <v>0.35067225038571742</v>
      </c>
      <c r="AF194" s="90">
        <f t="shared" si="1011"/>
        <v>0.31687612208258525</v>
      </c>
      <c r="AG194" s="90">
        <f t="shared" si="1011"/>
        <v>0.33004484304932735</v>
      </c>
      <c r="AH194" s="90">
        <f t="shared" si="1011"/>
        <v>0.3238532110091743</v>
      </c>
      <c r="AI194" s="14">
        <f t="shared" si="1011"/>
        <v>0.33363309352517984</v>
      </c>
      <c r="AJ194" s="15">
        <f t="shared" si="1011"/>
        <v>0.32611148724892802</v>
      </c>
      <c r="AK194" s="90">
        <f t="shared" si="1011"/>
        <v>0.28111011638316918</v>
      </c>
      <c r="AL194" s="90">
        <f t="shared" si="1011"/>
        <v>0.27807971014492755</v>
      </c>
      <c r="AM194" s="90">
        <f t="shared" si="1011"/>
        <v>0.27900552486187846</v>
      </c>
      <c r="AN194" s="14">
        <f t="shared" si="1011"/>
        <v>0.28000000000000003</v>
      </c>
      <c r="AO194" s="15">
        <f t="shared" si="1011"/>
        <v>0.27955525300658046</v>
      </c>
      <c r="AP194" s="90">
        <f t="shared" si="1011"/>
        <v>0.27882037533512066</v>
      </c>
      <c r="AQ194" s="90">
        <f t="shared" si="1011"/>
        <v>0.26522961574507964</v>
      </c>
      <c r="AR194" s="90">
        <f t="shared" si="1011"/>
        <v>0.27397260273972601</v>
      </c>
      <c r="AS194" s="14">
        <f t="shared" si="1011"/>
        <v>0.27223230490018147</v>
      </c>
      <c r="AT194" s="15">
        <f t="shared" si="1011"/>
        <v>0.27264430755190511</v>
      </c>
      <c r="AU194" s="90">
        <f t="shared" si="1011"/>
        <v>0.27870289219982469</v>
      </c>
      <c r="AV194" s="90">
        <f t="shared" si="1011"/>
        <v>0.30645161290322581</v>
      </c>
      <c r="AW194" s="90">
        <f t="shared" ref="AW194:CB194" si="1012">AW191/AW$223</f>
        <v>0.3111495246326707</v>
      </c>
      <c r="AX194" s="14">
        <f t="shared" si="1012"/>
        <v>0.29391602399314481</v>
      </c>
      <c r="AY194" s="15">
        <f t="shared" si="1012"/>
        <v>0.29753328967474352</v>
      </c>
      <c r="AZ194" s="90">
        <f t="shared" si="1012"/>
        <v>0.29673093042749371</v>
      </c>
      <c r="BA194" s="90">
        <f t="shared" si="1012"/>
        <v>0.30296127562642367</v>
      </c>
      <c r="BB194" s="90">
        <f t="shared" si="1012"/>
        <v>0.28910256410256413</v>
      </c>
      <c r="BC194" s="14">
        <f t="shared" si="1012"/>
        <v>0.28217266724803786</v>
      </c>
      <c r="BD194" s="15">
        <f t="shared" si="1012"/>
        <v>0.29196180004933575</v>
      </c>
      <c r="BE194" s="90">
        <f t="shared" si="1012"/>
        <v>0.27449786975045648</v>
      </c>
      <c r="BF194" s="90">
        <f t="shared" si="1012"/>
        <v>0.28138013087447949</v>
      </c>
      <c r="BG194" s="90">
        <f t="shared" si="1012"/>
        <v>0.26157697121401752</v>
      </c>
      <c r="BH194" s="14">
        <f t="shared" si="1012"/>
        <v>0.2537313432835821</v>
      </c>
      <c r="BI194" s="15">
        <f t="shared" si="1012"/>
        <v>0.27203482045701849</v>
      </c>
      <c r="BJ194" s="90">
        <f t="shared" si="1012"/>
        <v>0.25246913580246916</v>
      </c>
      <c r="BK194" s="90">
        <f t="shared" si="1012"/>
        <v>0.25804416403785491</v>
      </c>
      <c r="BL194" s="90">
        <f t="shared" si="1012"/>
        <v>0.26748704663212436</v>
      </c>
      <c r="BM194" s="14">
        <f t="shared" si="1012"/>
        <v>0.25942782834850453</v>
      </c>
      <c r="BN194" s="15">
        <f t="shared" si="1012"/>
        <v>0.26159524955865832</v>
      </c>
      <c r="BO194" s="90">
        <f t="shared" si="1012"/>
        <v>0.2754182754182754</v>
      </c>
      <c r="BP194" s="90">
        <f t="shared" si="1012"/>
        <v>0.27963917525773196</v>
      </c>
      <c r="BQ194" s="90">
        <f t="shared" si="1012"/>
        <v>0.2687620269403464</v>
      </c>
      <c r="BR194" s="14">
        <f t="shared" si="1012"/>
        <v>0.2503259452411995</v>
      </c>
      <c r="BS194" s="15">
        <f t="shared" si="1012"/>
        <v>0.27042390774727953</v>
      </c>
      <c r="BT194" s="90">
        <f t="shared" si="1012"/>
        <v>0.27764423076923078</v>
      </c>
      <c r="BU194" s="90">
        <f t="shared" si="1012"/>
        <v>0.27948402948402951</v>
      </c>
      <c r="BV194" s="90">
        <f t="shared" si="1012"/>
        <v>0.27500000000000002</v>
      </c>
      <c r="BW194" s="14">
        <f t="shared" si="1012"/>
        <v>0.28632218844984803</v>
      </c>
      <c r="BX194" s="15">
        <f t="shared" si="1012"/>
        <v>0.28231660231660233</v>
      </c>
      <c r="BY194" s="90">
        <f t="shared" si="1012"/>
        <v>0.28962703962703962</v>
      </c>
      <c r="BZ194" s="90">
        <f t="shared" si="1012"/>
        <v>0.29553466509988247</v>
      </c>
      <c r="CA194" s="90">
        <f t="shared" si="1012"/>
        <v>0.28529238038984051</v>
      </c>
      <c r="CB194" s="14">
        <f t="shared" si="1012"/>
        <v>0.29812332439678285</v>
      </c>
      <c r="CC194" s="15">
        <f t="shared" ref="CC194:DH194" si="1013">CC191/CC$223</f>
        <v>0.29128571428571426</v>
      </c>
      <c r="CD194" s="90">
        <f t="shared" si="1013"/>
        <v>0.2993739328400683</v>
      </c>
      <c r="CE194" s="90">
        <f t="shared" si="1013"/>
        <v>0.28841743119266056</v>
      </c>
      <c r="CF194" s="90">
        <f t="shared" si="1013"/>
        <v>0.28854875283446713</v>
      </c>
      <c r="CG194" s="14">
        <f t="shared" si="1013"/>
        <v>0.26385809312638581</v>
      </c>
      <c r="CH194" s="15">
        <f t="shared" si="1013"/>
        <v>0.27649643053267436</v>
      </c>
      <c r="CI194" s="90">
        <f t="shared" si="1013"/>
        <v>0.29175704989154011</v>
      </c>
      <c r="CJ194" s="90">
        <f t="shared" si="1013"/>
        <v>0.28969505783385907</v>
      </c>
      <c r="CK194" s="90">
        <f t="shared" si="1013"/>
        <v>0.2880658436213992</v>
      </c>
      <c r="CL194" s="14">
        <f t="shared" si="1013"/>
        <v>0.29040667361835243</v>
      </c>
      <c r="CM194" s="15">
        <f t="shared" si="1013"/>
        <v>0.28995793901156675</v>
      </c>
      <c r="CN194" s="90">
        <f t="shared" si="1013"/>
        <v>0.30485933503836316</v>
      </c>
      <c r="CO194" s="90">
        <f t="shared" si="1013"/>
        <v>0.27632950990615224</v>
      </c>
      <c r="CP194" s="90">
        <f t="shared" si="1013"/>
        <v>0.27328872876994337</v>
      </c>
      <c r="CQ194" s="14">
        <f t="shared" si="1013"/>
        <v>0.25606060606060604</v>
      </c>
      <c r="CR194" s="15">
        <f t="shared" si="1013"/>
        <v>0.2775782452539764</v>
      </c>
      <c r="CS194" s="90">
        <f t="shared" si="1013"/>
        <v>0.27285782671134512</v>
      </c>
      <c r="CT194" s="90">
        <f t="shared" si="1013"/>
        <v>0.26529680365296804</v>
      </c>
      <c r="CU194" s="90">
        <f t="shared" si="1013"/>
        <v>0.28411131059245959</v>
      </c>
      <c r="CV194" s="14">
        <f t="shared" si="1013"/>
        <v>0.30474268415741673</v>
      </c>
      <c r="CW194" s="15">
        <f t="shared" si="1013"/>
        <v>0.28130521851808221</v>
      </c>
      <c r="CX194" s="90">
        <f t="shared" si="1013"/>
        <v>0.31014492753623191</v>
      </c>
      <c r="CY194" s="90">
        <f t="shared" si="1013"/>
        <v>0.27261384903306302</v>
      </c>
      <c r="CZ194" s="90">
        <f t="shared" si="1013"/>
        <v>0.29272619751626255</v>
      </c>
      <c r="DA194" s="14">
        <f t="shared" si="1013"/>
        <v>0.29476108232584919</v>
      </c>
      <c r="DB194" s="15">
        <f t="shared" si="1013"/>
        <v>0.2929248075784488</v>
      </c>
      <c r="DC194" s="341">
        <f t="shared" si="1013"/>
        <v>0.27786752827140548</v>
      </c>
      <c r="DD194" s="341">
        <f t="shared" si="1013"/>
        <v>0.29076517150395781</v>
      </c>
      <c r="DE194" s="341">
        <f t="shared" si="1013"/>
        <v>0.27648017381857687</v>
      </c>
      <c r="DF194" s="341">
        <f t="shared" si="1013"/>
        <v>0.2517766497461929</v>
      </c>
      <c r="DG194" s="91">
        <f t="shared" si="1013"/>
        <v>0.27396535766230334</v>
      </c>
      <c r="DH194" s="341">
        <f t="shared" si="1013"/>
        <v>0.26018654884634268</v>
      </c>
      <c r="DI194" s="341">
        <f t="shared" ref="DI194:EN194" si="1014">DI191/DI$223</f>
        <v>0.26612517916865741</v>
      </c>
      <c r="DJ194" s="341">
        <f t="shared" si="1014"/>
        <v>0.26954436450839331</v>
      </c>
      <c r="DK194" s="341">
        <f t="shared" si="1014"/>
        <v>0.27488151658767773</v>
      </c>
      <c r="DL194" s="91">
        <f t="shared" si="1014"/>
        <v>0.26774774774774773</v>
      </c>
      <c r="DM194" s="341">
        <f t="shared" si="1014"/>
        <v>0.25687203791469193</v>
      </c>
      <c r="DN194" s="341">
        <f t="shared" si="1014"/>
        <v>0.26582890285161914</v>
      </c>
      <c r="DO194" s="341">
        <f t="shared" si="1014"/>
        <v>0.25735294117647056</v>
      </c>
      <c r="DP194" s="341">
        <f t="shared" si="1014"/>
        <v>0.25913461538461541</v>
      </c>
      <c r="DQ194" s="91">
        <f t="shared" si="1014"/>
        <v>0.25979033618508252</v>
      </c>
      <c r="DR194" s="341">
        <f t="shared" si="1014"/>
        <v>0.25059438896814074</v>
      </c>
      <c r="DS194" s="341">
        <f t="shared" si="1014"/>
        <v>0.27349624060150374</v>
      </c>
      <c r="DT194" s="14">
        <f t="shared" si="1014"/>
        <v>0.27054955378111789</v>
      </c>
      <c r="DU194" s="341">
        <f t="shared" si="1014"/>
        <v>0.28481297881928797</v>
      </c>
      <c r="DV194" s="91">
        <f t="shared" si="1014"/>
        <v>0.27007809768038232</v>
      </c>
      <c r="DW194" s="341">
        <f t="shared" si="1014"/>
        <v>0.27672679278486584</v>
      </c>
      <c r="DX194" s="341">
        <f t="shared" si="1014"/>
        <v>0.27636849132176233</v>
      </c>
      <c r="DY194" s="14">
        <f t="shared" si="1014"/>
        <v>0.27171492204899778</v>
      </c>
      <c r="DZ194" s="341">
        <f t="shared" si="1014"/>
        <v>0.27237014404190307</v>
      </c>
      <c r="EA194" s="91">
        <f t="shared" si="1014"/>
        <v>0.27429328621908128</v>
      </c>
      <c r="EB194" s="341">
        <f t="shared" si="1014"/>
        <v>0.28708791208791207</v>
      </c>
      <c r="EC194" s="341">
        <f t="shared" si="1014"/>
        <v>0.27906976744186046</v>
      </c>
      <c r="ED194" s="14">
        <f t="shared" si="1014"/>
        <v>0.28913260219341974</v>
      </c>
      <c r="EE194" s="341">
        <f t="shared" si="1014"/>
        <v>0.28643216080402012</v>
      </c>
      <c r="EF194" s="91">
        <f t="shared" si="1014"/>
        <v>0.28541969917515769</v>
      </c>
      <c r="EG194" s="341">
        <f t="shared" si="1014"/>
        <v>0.28735632183908044</v>
      </c>
      <c r="EH194" s="341">
        <f t="shared" si="1014"/>
        <v>0.27843347639484978</v>
      </c>
      <c r="EI194" s="14">
        <f t="shared" si="1014"/>
        <v>0.2712680577849117</v>
      </c>
      <c r="EJ194" s="341">
        <f t="shared" si="1014"/>
        <v>0.24446630595179539</v>
      </c>
      <c r="EK194" s="91">
        <f t="shared" si="1014"/>
        <v>0.26946574808267254</v>
      </c>
      <c r="EL194" s="341">
        <f t="shared" si="1014"/>
        <v>0.28492462311557787</v>
      </c>
      <c r="EM194" s="341">
        <f t="shared" si="1014"/>
        <v>0.26358257127487894</v>
      </c>
      <c r="EN194" s="14">
        <f t="shared" si="1014"/>
        <v>0.27564102564102566</v>
      </c>
      <c r="EO194" s="341">
        <f t="shared" ref="EO194:EU194" si="1015">EO191/EO$223</f>
        <v>0.2815690488984417</v>
      </c>
      <c r="EP194" s="91">
        <f t="shared" si="1015"/>
        <v>0.27657610129253496</v>
      </c>
      <c r="EQ194" s="341">
        <f t="shared" si="1015"/>
        <v>0.26310043668122268</v>
      </c>
      <c r="ER194" s="14">
        <f t="shared" si="1015"/>
        <v>0.25604154960473424</v>
      </c>
      <c r="ES194" s="14">
        <f t="shared" si="1015"/>
        <v>0.2634861184901654</v>
      </c>
      <c r="ET194" s="14">
        <f t="shared" si="1015"/>
        <v>0.25421654511741271</v>
      </c>
      <c r="EU194" s="91">
        <f t="shared" si="1015"/>
        <v>0.25914487062495972</v>
      </c>
      <c r="EV194" s="208"/>
      <c r="EW194" s="208"/>
      <c r="EX194" s="208"/>
      <c r="EY194" s="208"/>
      <c r="EZ194" s="625">
        <f>EZ191/EZ$223</f>
        <v>0.25262528775618642</v>
      </c>
      <c r="FA194" s="208"/>
      <c r="FB194" s="208"/>
      <c r="FC194" s="208"/>
      <c r="FD194" s="208"/>
      <c r="FE194" s="625">
        <f>FE191/FE$223</f>
        <v>0.2568003443283936</v>
      </c>
      <c r="FG194" s="464"/>
      <c r="FH194" s="780"/>
      <c r="FJ194" s="780"/>
      <c r="FK194" s="186"/>
      <c r="FL194" s="1348"/>
      <c r="FM194" s="1141">
        <f t="shared" si="999"/>
        <v>0.26310043668122268</v>
      </c>
      <c r="FN194" s="1454">
        <f t="shared" si="1000"/>
        <v>0.28492462311557787</v>
      </c>
      <c r="FO194" s="1806">
        <v>0.27672767628686218</v>
      </c>
      <c r="FP194" s="1751"/>
      <c r="FQ194" s="737"/>
      <c r="FR194" s="1619"/>
      <c r="FS194" s="1615"/>
      <c r="FT194" s="432"/>
      <c r="FU194" s="432"/>
      <c r="FV194" s="432"/>
      <c r="FW194" s="432"/>
      <c r="FX194" s="432"/>
      <c r="FY194" s="432"/>
      <c r="FZ194" s="464"/>
      <c r="GA194"/>
      <c r="GB194"/>
      <c r="GC194"/>
      <c r="GD194"/>
      <c r="GE194"/>
      <c r="GF194"/>
      <c r="GG194"/>
      <c r="GH194"/>
      <c r="GI194"/>
      <c r="GJ194"/>
      <c r="GK194"/>
      <c r="GL194"/>
      <c r="GM194"/>
      <c r="GN194"/>
      <c r="GO194"/>
      <c r="GP194"/>
      <c r="GQ194"/>
      <c r="GR194"/>
      <c r="GS194"/>
      <c r="GT194"/>
      <c r="GU194"/>
      <c r="GV194"/>
      <c r="GW194"/>
      <c r="GX194"/>
      <c r="GY194"/>
      <c r="GZ194"/>
      <c r="HA194"/>
      <c r="HB194"/>
      <c r="HC194"/>
      <c r="HD194"/>
      <c r="HE194"/>
      <c r="HF194"/>
      <c r="HG194"/>
      <c r="HH194"/>
      <c r="HI194"/>
      <c r="HJ194"/>
      <c r="HK194"/>
      <c r="HL194"/>
      <c r="HM194"/>
      <c r="HN194"/>
      <c r="HO194"/>
      <c r="HP194"/>
      <c r="HQ194"/>
      <c r="HR194"/>
      <c r="HS194"/>
      <c r="HT194"/>
      <c r="HU194"/>
      <c r="HV194"/>
      <c r="HW194"/>
      <c r="HX194"/>
      <c r="HY194"/>
      <c r="HZ194"/>
      <c r="IA194"/>
      <c r="IB194"/>
      <c r="IC194"/>
      <c r="ID194"/>
      <c r="IE194"/>
      <c r="IF194"/>
      <c r="IG194"/>
      <c r="IH194"/>
      <c r="II194"/>
      <c r="IJ194"/>
      <c r="IK194"/>
      <c r="IL194"/>
      <c r="IM194"/>
      <c r="IN194"/>
      <c r="IO194"/>
      <c r="IP194"/>
      <c r="IQ194"/>
      <c r="IR194"/>
      <c r="IS194"/>
      <c r="IT194"/>
      <c r="IU194"/>
      <c r="IV194"/>
      <c r="IW194"/>
      <c r="IX194"/>
    </row>
    <row r="195" spans="1:258" s="227" customFormat="1" x14ac:dyDescent="0.2">
      <c r="A195" s="561" t="s">
        <v>331</v>
      </c>
      <c r="B195" s="341"/>
      <c r="C195" s="341"/>
      <c r="D195" s="341"/>
      <c r="E195" s="14"/>
      <c r="F195" s="15"/>
      <c r="G195" s="341"/>
      <c r="H195" s="341"/>
      <c r="I195" s="341"/>
      <c r="J195" s="14"/>
      <c r="K195" s="15"/>
      <c r="L195" s="341"/>
      <c r="M195" s="341"/>
      <c r="N195" s="341"/>
      <c r="O195" s="14"/>
      <c r="P195" s="15"/>
      <c r="Q195" s="341"/>
      <c r="R195" s="341"/>
      <c r="S195" s="341"/>
      <c r="T195" s="14"/>
      <c r="U195" s="15"/>
      <c r="V195" s="341"/>
      <c r="W195" s="341"/>
      <c r="X195" s="341"/>
      <c r="Y195" s="14"/>
      <c r="Z195" s="15"/>
      <c r="AA195" s="341"/>
      <c r="AB195" s="341"/>
      <c r="AC195" s="341"/>
      <c r="AD195" s="14"/>
      <c r="AE195" s="15"/>
      <c r="AF195" s="341"/>
      <c r="AG195" s="341"/>
      <c r="AH195" s="341"/>
      <c r="AI195" s="14"/>
      <c r="AJ195" s="15"/>
      <c r="AK195" s="341"/>
      <c r="AL195" s="341"/>
      <c r="AM195" s="341"/>
      <c r="AN195" s="14"/>
      <c r="AO195" s="15"/>
      <c r="AP195" s="341"/>
      <c r="AQ195" s="341"/>
      <c r="AR195" s="341"/>
      <c r="AS195" s="14"/>
      <c r="AT195" s="15"/>
      <c r="AU195" s="341"/>
      <c r="AV195" s="341"/>
      <c r="AW195" s="341"/>
      <c r="AX195" s="14"/>
      <c r="AY195" s="15"/>
      <c r="AZ195" s="341"/>
      <c r="BA195" s="341"/>
      <c r="BB195" s="341"/>
      <c r="BC195" s="14"/>
      <c r="BD195" s="15"/>
      <c r="BE195" s="341"/>
      <c r="BF195" s="341"/>
      <c r="BG195" s="341"/>
      <c r="BH195" s="14"/>
      <c r="BI195" s="15"/>
      <c r="BJ195" s="341"/>
      <c r="BK195" s="341"/>
      <c r="BL195" s="341"/>
      <c r="BM195" s="14"/>
      <c r="BN195" s="15"/>
      <c r="BO195" s="341"/>
      <c r="BP195" s="341"/>
      <c r="BQ195" s="341"/>
      <c r="BR195" s="14"/>
      <c r="BS195" s="15"/>
      <c r="BT195" s="341"/>
      <c r="BU195" s="341"/>
      <c r="BV195" s="341"/>
      <c r="BW195" s="14"/>
      <c r="BX195" s="15"/>
      <c r="BY195" s="341"/>
      <c r="BZ195" s="341"/>
      <c r="CA195" s="341"/>
      <c r="CB195" s="14"/>
      <c r="CC195" s="15"/>
      <c r="CD195" s="341"/>
      <c r="CE195" s="341"/>
      <c r="CF195" s="341"/>
      <c r="CG195" s="14"/>
      <c r="CH195" s="15"/>
      <c r="CI195" s="341"/>
      <c r="CJ195" s="341"/>
      <c r="CK195" s="341"/>
      <c r="CL195" s="14"/>
      <c r="CM195" s="15"/>
      <c r="CN195" s="341"/>
      <c r="CO195" s="341"/>
      <c r="CP195" s="341"/>
      <c r="CQ195" s="14"/>
      <c r="CR195" s="15"/>
      <c r="CS195" s="341"/>
      <c r="CT195" s="341"/>
      <c r="CU195" s="341"/>
      <c r="CV195" s="501"/>
      <c r="CW195" s="15"/>
      <c r="CX195" s="501">
        <v>7</v>
      </c>
      <c r="CY195" s="501">
        <v>0</v>
      </c>
      <c r="CZ195" s="501">
        <v>0</v>
      </c>
      <c r="DA195" s="501">
        <v>0</v>
      </c>
      <c r="DB195" s="183">
        <f>SUM(CX195:DA195)</f>
        <v>7</v>
      </c>
      <c r="DC195" s="501">
        <v>0</v>
      </c>
      <c r="DD195" s="501">
        <v>0</v>
      </c>
      <c r="DE195" s="501">
        <v>0</v>
      </c>
      <c r="DF195" s="501">
        <v>0</v>
      </c>
      <c r="DG195" s="183">
        <f>SUM(DC195:DF195)</f>
        <v>0</v>
      </c>
      <c r="DH195" s="501">
        <v>9</v>
      </c>
      <c r="DI195" s="501">
        <v>16</v>
      </c>
      <c r="DJ195" s="501">
        <v>11</v>
      </c>
      <c r="DK195" s="501">
        <v>11</v>
      </c>
      <c r="DL195" s="183">
        <f>SUM(DH195:DK195)</f>
        <v>47</v>
      </c>
      <c r="DM195" s="501">
        <v>14</v>
      </c>
      <c r="DN195" s="501">
        <v>12</v>
      </c>
      <c r="DO195" s="501">
        <v>3</v>
      </c>
      <c r="DP195" s="501">
        <v>12</v>
      </c>
      <c r="DQ195" s="183">
        <f>SUM(DM195:DP195)</f>
        <v>41</v>
      </c>
      <c r="DR195" s="501">
        <v>11</v>
      </c>
      <c r="DS195" s="501">
        <v>10</v>
      </c>
      <c r="DT195" s="922">
        <v>10</v>
      </c>
      <c r="DU195" s="922">
        <v>11</v>
      </c>
      <c r="DV195" s="183">
        <f>SUM(DR195:DU195)</f>
        <v>42</v>
      </c>
      <c r="DW195" s="1010">
        <v>9</v>
      </c>
      <c r="DX195" s="1010">
        <v>10</v>
      </c>
      <c r="DY195" s="1010">
        <v>10</v>
      </c>
      <c r="DZ195" s="1143">
        <v>11</v>
      </c>
      <c r="EA195" s="183">
        <f>SUM(DW195:DZ195)</f>
        <v>40</v>
      </c>
      <c r="EB195" s="1010">
        <v>11</v>
      </c>
      <c r="EC195" s="1010">
        <v>11</v>
      </c>
      <c r="ED195" s="1010">
        <v>12</v>
      </c>
      <c r="EE195" s="922">
        <v>13</v>
      </c>
      <c r="EF195" s="183">
        <f>SUM(EB195:EE195)</f>
        <v>47</v>
      </c>
      <c r="EG195" s="1610">
        <v>10</v>
      </c>
      <c r="EH195" s="1010">
        <v>9</v>
      </c>
      <c r="EI195" s="1010">
        <v>9</v>
      </c>
      <c r="EJ195" s="922">
        <v>9</v>
      </c>
      <c r="EK195" s="183">
        <f>SUM(EG195:EJ195)</f>
        <v>37</v>
      </c>
      <c r="EL195" s="1571">
        <v>9</v>
      </c>
      <c r="EM195" s="1571">
        <v>9</v>
      </c>
      <c r="EN195" s="1571">
        <v>8</v>
      </c>
      <c r="EO195" s="922">
        <v>9</v>
      </c>
      <c r="EP195" s="183">
        <f>SUM(EL195:EO195)</f>
        <v>35</v>
      </c>
      <c r="EQ195" s="1571">
        <v>9</v>
      </c>
      <c r="ER195" s="1170">
        <v>9</v>
      </c>
      <c r="ES195" s="1170">
        <v>9</v>
      </c>
      <c r="ET195" s="1170">
        <v>9</v>
      </c>
      <c r="EU195" s="183">
        <f>SUM(EQ195:ET195)</f>
        <v>36</v>
      </c>
      <c r="EV195" s="1304"/>
      <c r="EW195" s="1304"/>
      <c r="EX195" s="1304"/>
      <c r="EY195" s="1304"/>
      <c r="EZ195" s="1303">
        <f>+EU195+2</f>
        <v>38</v>
      </c>
      <c r="FA195" s="1304"/>
      <c r="FB195" s="1304"/>
      <c r="FC195" s="1304"/>
      <c r="FD195" s="1304"/>
      <c r="FE195" s="1303">
        <f>+EZ195</f>
        <v>38</v>
      </c>
      <c r="FG195" s="464"/>
      <c r="FH195" s="771" t="s">
        <v>721</v>
      </c>
      <c r="FI195" s="771" t="s">
        <v>722</v>
      </c>
      <c r="FJ195" s="771" t="s">
        <v>746</v>
      </c>
      <c r="FK195" s="186"/>
      <c r="FL195" s="1348"/>
      <c r="FM195" s="1571">
        <f t="shared" si="999"/>
        <v>9</v>
      </c>
      <c r="FN195" s="1455">
        <f t="shared" si="1000"/>
        <v>9</v>
      </c>
      <c r="FO195" s="1870">
        <v>9</v>
      </c>
      <c r="FP195" s="1733"/>
      <c r="FQ195" s="1519"/>
      <c r="FR195" s="1626"/>
      <c r="FS195" s="1615" t="s">
        <v>768</v>
      </c>
      <c r="FT195" s="432"/>
      <c r="FU195" s="432"/>
      <c r="FV195" s="432"/>
      <c r="FW195" s="432"/>
      <c r="FX195" s="432"/>
      <c r="FY195" s="432"/>
      <c r="FZ195" s="464"/>
      <c r="GA195"/>
      <c r="GB195"/>
      <c r="GC195"/>
      <c r="GD195"/>
      <c r="GE195"/>
      <c r="GF195"/>
      <c r="GG195"/>
      <c r="GH195"/>
      <c r="GI195"/>
      <c r="GJ195"/>
      <c r="GK195"/>
      <c r="GL195"/>
      <c r="GM195"/>
      <c r="GN195"/>
      <c r="GO195"/>
      <c r="GP195"/>
      <c r="GQ195"/>
      <c r="GR195"/>
      <c r="GS195"/>
      <c r="GT195"/>
      <c r="GU195"/>
      <c r="GV195"/>
      <c r="GW195"/>
      <c r="GX195"/>
      <c r="GY195"/>
      <c r="GZ195"/>
      <c r="HA195"/>
      <c r="HB195"/>
      <c r="HC195"/>
      <c r="HD195"/>
      <c r="HE195"/>
      <c r="HF195"/>
      <c r="HG195"/>
      <c r="HH195"/>
      <c r="HI195"/>
      <c r="HJ195"/>
      <c r="HK195"/>
      <c r="HL195"/>
      <c r="HM195"/>
      <c r="HN195"/>
      <c r="HO195"/>
      <c r="HP195"/>
      <c r="HQ195"/>
      <c r="HR195"/>
      <c r="HS195"/>
      <c r="HT195"/>
      <c r="HU195"/>
      <c r="HV195"/>
      <c r="HW195"/>
      <c r="HX195"/>
      <c r="HY195"/>
      <c r="HZ195"/>
      <c r="IA195"/>
      <c r="IB195"/>
      <c r="IC195"/>
      <c r="ID195"/>
      <c r="IE195"/>
      <c r="IF195"/>
      <c r="IG195"/>
      <c r="IH195"/>
      <c r="II195"/>
      <c r="IJ195"/>
      <c r="IK195"/>
      <c r="IL195"/>
      <c r="IM195"/>
      <c r="IN195"/>
      <c r="IO195"/>
      <c r="IP195"/>
      <c r="IQ195"/>
      <c r="IR195"/>
      <c r="IS195"/>
      <c r="IT195"/>
      <c r="IU195"/>
      <c r="IV195"/>
      <c r="IW195"/>
      <c r="IX195"/>
    </row>
    <row r="196" spans="1:258" s="227" customFormat="1" x14ac:dyDescent="0.2">
      <c r="A196" s="1142" t="s">
        <v>640</v>
      </c>
      <c r="B196" s="341"/>
      <c r="C196" s="341"/>
      <c r="D196" s="341"/>
      <c r="E196" s="14"/>
      <c r="F196" s="15"/>
      <c r="G196" s="341"/>
      <c r="H196" s="341"/>
      <c r="I196" s="341"/>
      <c r="J196" s="14"/>
      <c r="K196" s="15"/>
      <c r="L196" s="341"/>
      <c r="M196" s="341"/>
      <c r="N196" s="341"/>
      <c r="O196" s="14"/>
      <c r="P196" s="15"/>
      <c r="Q196" s="341"/>
      <c r="R196" s="341"/>
      <c r="S196" s="341"/>
      <c r="T196" s="14"/>
      <c r="U196" s="15"/>
      <c r="V196" s="341"/>
      <c r="W196" s="341"/>
      <c r="X196" s="341"/>
      <c r="Y196" s="14"/>
      <c r="Z196" s="15"/>
      <c r="AA196" s="341"/>
      <c r="AB196" s="341"/>
      <c r="AC196" s="341"/>
      <c r="AD196" s="14"/>
      <c r="AE196" s="15"/>
      <c r="AF196" s="341"/>
      <c r="AG196" s="341"/>
      <c r="AH196" s="341"/>
      <c r="AI196" s="14"/>
      <c r="AJ196" s="15"/>
      <c r="AK196" s="341"/>
      <c r="AL196" s="341"/>
      <c r="AM196" s="341"/>
      <c r="AN196" s="14"/>
      <c r="AO196" s="15"/>
      <c r="AP196" s="341"/>
      <c r="AQ196" s="341"/>
      <c r="AR196" s="341"/>
      <c r="AS196" s="14"/>
      <c r="AT196" s="15"/>
      <c r="AU196" s="341"/>
      <c r="AV196" s="341"/>
      <c r="AW196" s="341"/>
      <c r="AX196" s="14"/>
      <c r="AY196" s="15"/>
      <c r="AZ196" s="341"/>
      <c r="BA196" s="341"/>
      <c r="BB196" s="341"/>
      <c r="BC196" s="14"/>
      <c r="BD196" s="15"/>
      <c r="BE196" s="341"/>
      <c r="BF196" s="341"/>
      <c r="BG196" s="341"/>
      <c r="BH196" s="14"/>
      <c r="BI196" s="15"/>
      <c r="BJ196" s="341"/>
      <c r="BK196" s="341"/>
      <c r="BL196" s="341"/>
      <c r="BM196" s="14"/>
      <c r="BN196" s="15"/>
      <c r="BO196" s="341"/>
      <c r="BP196" s="341"/>
      <c r="BQ196" s="341"/>
      <c r="BR196" s="14"/>
      <c r="BS196" s="15"/>
      <c r="BT196" s="341"/>
      <c r="BU196" s="341"/>
      <c r="BV196" s="341"/>
      <c r="BW196" s="14"/>
      <c r="BX196" s="15"/>
      <c r="BY196" s="341"/>
      <c r="BZ196" s="341"/>
      <c r="CA196" s="341"/>
      <c r="CB196" s="14"/>
      <c r="CC196" s="15"/>
      <c r="CD196" s="341"/>
      <c r="CE196" s="341"/>
      <c r="CF196" s="341"/>
      <c r="CG196" s="14"/>
      <c r="CH196" s="15"/>
      <c r="CI196" s="341"/>
      <c r="CJ196" s="341"/>
      <c r="CK196" s="341"/>
      <c r="CL196" s="14"/>
      <c r="CM196" s="15"/>
      <c r="CN196" s="341"/>
      <c r="CO196" s="341"/>
      <c r="CP196" s="341"/>
      <c r="CQ196" s="14"/>
      <c r="CR196" s="15"/>
      <c r="CS196" s="341"/>
      <c r="CT196" s="341"/>
      <c r="CU196" s="341"/>
      <c r="CV196" s="14"/>
      <c r="CW196" s="15"/>
      <c r="CX196" s="501">
        <v>-17</v>
      </c>
      <c r="CY196" s="501">
        <f>(41)*-1</f>
        <v>-41</v>
      </c>
      <c r="CZ196" s="501">
        <v>-51</v>
      </c>
      <c r="DA196" s="501">
        <v>-47</v>
      </c>
      <c r="DB196" s="183">
        <f>SUM(CX196:DA196)</f>
        <v>-156</v>
      </c>
      <c r="DC196" s="501">
        <v>0</v>
      </c>
      <c r="DD196" s="501">
        <v>44</v>
      </c>
      <c r="DE196" s="501">
        <v>24</v>
      </c>
      <c r="DF196" s="501">
        <v>44</v>
      </c>
      <c r="DG196" s="183">
        <f>SUM(DC196:DF196)</f>
        <v>112</v>
      </c>
      <c r="DH196" s="501">
        <v>22</v>
      </c>
      <c r="DI196" s="501">
        <v>8</v>
      </c>
      <c r="DJ196" s="501">
        <v>16</v>
      </c>
      <c r="DK196" s="501">
        <v>13</v>
      </c>
      <c r="DL196" s="183">
        <f>SUM(DH196:DK196)</f>
        <v>59</v>
      </c>
      <c r="DM196" s="501">
        <v>17</v>
      </c>
      <c r="DN196" s="501">
        <v>-1</v>
      </c>
      <c r="DO196" s="501">
        <v>8</v>
      </c>
      <c r="DP196" s="501">
        <v>-19</v>
      </c>
      <c r="DQ196" s="183">
        <f>SUM(DM196:DP196)</f>
        <v>5</v>
      </c>
      <c r="DR196" s="501">
        <v>-22</v>
      </c>
      <c r="DS196" s="501">
        <v>0</v>
      </c>
      <c r="DT196" s="922">
        <v>0</v>
      </c>
      <c r="DU196" s="922">
        <v>31</v>
      </c>
      <c r="DV196" s="183">
        <f>SUM(DR196:DU196)</f>
        <v>9</v>
      </c>
      <c r="DW196" s="1010">
        <f>35</f>
        <v>35</v>
      </c>
      <c r="DX196" s="1010">
        <f>19</f>
        <v>19</v>
      </c>
      <c r="DY196" s="1010">
        <v>23</v>
      </c>
      <c r="DZ196" s="1143">
        <v>16</v>
      </c>
      <c r="EA196" s="183">
        <f>SUM(DW196:DZ196)</f>
        <v>93</v>
      </c>
      <c r="EB196" s="1010">
        <v>2</v>
      </c>
      <c r="EC196" s="1010">
        <v>-7</v>
      </c>
      <c r="ED196" s="1010">
        <v>-22</v>
      </c>
      <c r="EE196" s="922">
        <v>-29</v>
      </c>
      <c r="EF196" s="183">
        <f>SUM(EB196:EE196)</f>
        <v>-56</v>
      </c>
      <c r="EG196" s="1610">
        <v>-8</v>
      </c>
      <c r="EH196" s="1010">
        <v>-7</v>
      </c>
      <c r="EI196" s="1010">
        <v>-7</v>
      </c>
      <c r="EJ196" s="922">
        <v>11</v>
      </c>
      <c r="EK196" s="183">
        <f>SUM(EG196:EJ196)</f>
        <v>-11</v>
      </c>
      <c r="EL196" s="1571">
        <v>15</v>
      </c>
      <c r="EM196" s="1571">
        <v>6</v>
      </c>
      <c r="EN196" s="1571">
        <v>-4</v>
      </c>
      <c r="EO196" s="922">
        <v>1</v>
      </c>
      <c r="EP196" s="183">
        <f>SUM(EL196:EO196)</f>
        <v>18</v>
      </c>
      <c r="EQ196" s="1583">
        <v>-16</v>
      </c>
      <c r="ER196" s="1170">
        <v>5</v>
      </c>
      <c r="ES196" s="1170">
        <v>6</v>
      </c>
      <c r="ET196" s="1170">
        <v>8</v>
      </c>
      <c r="EU196" s="183">
        <f>SUM(EQ196:ET196)</f>
        <v>3</v>
      </c>
      <c r="EV196" s="208">
        <f t="shared" ref="EV196:EY196" si="1016">+EV40*386.96 + 3.575</f>
        <v>3.5750000000000002</v>
      </c>
      <c r="EW196" s="208">
        <f t="shared" si="1016"/>
        <v>3.5750000000000002</v>
      </c>
      <c r="EX196" s="208">
        <f t="shared" si="1016"/>
        <v>3.5750000000000002</v>
      </c>
      <c r="EY196" s="208">
        <f t="shared" si="1016"/>
        <v>3.5750000000000002</v>
      </c>
      <c r="EZ196" s="183">
        <f>+EZ40*$FI$196+$FJ$196</f>
        <v>9.5362018425477455</v>
      </c>
      <c r="FA196" s="208">
        <f t="shared" ref="FA196:FD196" si="1017">+FA40*386.96 + 3.575</f>
        <v>3.5750000000000002</v>
      </c>
      <c r="FB196" s="208">
        <f t="shared" si="1017"/>
        <v>3.5750000000000002</v>
      </c>
      <c r="FC196" s="208">
        <f t="shared" si="1017"/>
        <v>3.5750000000000002</v>
      </c>
      <c r="FD196" s="208">
        <f t="shared" si="1017"/>
        <v>3.5750000000000002</v>
      </c>
      <c r="FE196" s="183">
        <f>+FE40*$FI$196+$FJ$196</f>
        <v>11.029735287765728</v>
      </c>
      <c r="FG196" s="464"/>
      <c r="FH196" s="1306">
        <f>+RSQ(CX196:EQ196,CX40:EQ40)</f>
        <v>0.5105458007991901</v>
      </c>
      <c r="FI196" s="1645">
        <f>+SLOPE(CX196:EQ196,CX40:EQ40)</f>
        <v>383.75466840914856</v>
      </c>
      <c r="FJ196" s="1307">
        <f>+INTERCEPT(CX196:EQ196,CX40:EQ40)</f>
        <v>4.7294736643442947</v>
      </c>
      <c r="FK196" s="186"/>
      <c r="FL196" s="1348"/>
      <c r="FM196" s="1583">
        <f t="shared" si="999"/>
        <v>-16</v>
      </c>
      <c r="FN196" s="1455">
        <f t="shared" si="1000"/>
        <v>15</v>
      </c>
      <c r="FO196" s="1870">
        <v>-7</v>
      </c>
      <c r="FP196" s="1751"/>
      <c r="FQ196" s="737"/>
      <c r="FR196" s="1615"/>
      <c r="FS196" s="1619"/>
      <c r="FT196" s="1619">
        <f>41+21+20+50</f>
        <v>132</v>
      </c>
      <c r="FU196" s="432"/>
      <c r="FV196" s="432"/>
      <c r="FW196" s="432"/>
      <c r="FX196" s="432"/>
      <c r="FY196" s="432"/>
      <c r="FZ196" s="464"/>
      <c r="GA196"/>
      <c r="GB196"/>
      <c r="GC196"/>
      <c r="GD196"/>
      <c r="GE196"/>
      <c r="GF196"/>
      <c r="GG196"/>
      <c r="GH196"/>
      <c r="GI196"/>
      <c r="GJ196"/>
      <c r="GK196"/>
      <c r="GL196"/>
      <c r="GM196"/>
      <c r="GN196"/>
      <c r="GO196"/>
      <c r="GP196"/>
      <c r="GQ196"/>
      <c r="GR196"/>
      <c r="GS196"/>
      <c r="GT196"/>
      <c r="GU196"/>
      <c r="GV196"/>
      <c r="GW196"/>
      <c r="GX196"/>
      <c r="GY196"/>
      <c r="GZ196"/>
      <c r="HA196"/>
      <c r="HB196"/>
      <c r="HC196"/>
      <c r="HD196"/>
      <c r="HE196"/>
      <c r="HF196"/>
      <c r="HG196"/>
      <c r="HH196"/>
      <c r="HI196"/>
      <c r="HJ196"/>
      <c r="HK196"/>
      <c r="HL196"/>
      <c r="HM196"/>
      <c r="HN196"/>
      <c r="HO196"/>
      <c r="HP196"/>
      <c r="HQ196"/>
      <c r="HR196"/>
      <c r="HS196"/>
      <c r="HT196"/>
      <c r="HU196"/>
      <c r="HV196"/>
      <c r="HW196"/>
      <c r="HX196"/>
      <c r="HY196"/>
      <c r="HZ196"/>
      <c r="IA196"/>
      <c r="IB196"/>
      <c r="IC196"/>
      <c r="ID196"/>
      <c r="IE196"/>
      <c r="IF196"/>
      <c r="IG196"/>
      <c r="IH196"/>
      <c r="II196"/>
      <c r="IJ196"/>
      <c r="IK196"/>
      <c r="IL196"/>
      <c r="IM196"/>
      <c r="IN196"/>
      <c r="IO196"/>
      <c r="IP196"/>
      <c r="IQ196"/>
      <c r="IR196"/>
      <c r="IS196"/>
      <c r="IT196"/>
      <c r="IU196"/>
      <c r="IV196"/>
      <c r="IW196"/>
      <c r="IX196"/>
    </row>
    <row r="197" spans="1:258" s="227" customFormat="1" x14ac:dyDescent="0.2">
      <c r="A197" s="561" t="s">
        <v>164</v>
      </c>
      <c r="B197" s="341"/>
      <c r="C197" s="341"/>
      <c r="D197" s="341"/>
      <c r="E197" s="14"/>
      <c r="F197" s="15"/>
      <c r="G197" s="341"/>
      <c r="H197" s="341"/>
      <c r="I197" s="341"/>
      <c r="J197" s="14"/>
      <c r="K197" s="15"/>
      <c r="L197" s="341"/>
      <c r="M197" s="341"/>
      <c r="N197" s="341"/>
      <c r="O197" s="14"/>
      <c r="P197" s="15"/>
      <c r="Q197" s="341"/>
      <c r="R197" s="341"/>
      <c r="S197" s="341"/>
      <c r="T197" s="14"/>
      <c r="U197" s="15"/>
      <c r="V197" s="341"/>
      <c r="W197" s="341"/>
      <c r="X197" s="341"/>
      <c r="Y197" s="14"/>
      <c r="Z197" s="15"/>
      <c r="AA197" s="341"/>
      <c r="AB197" s="341"/>
      <c r="AC197" s="341"/>
      <c r="AD197" s="14"/>
      <c r="AE197" s="15"/>
      <c r="AF197" s="341"/>
      <c r="AG197" s="341"/>
      <c r="AH197" s="341"/>
      <c r="AI197" s="14"/>
      <c r="AJ197" s="15"/>
      <c r="AK197" s="341"/>
      <c r="AL197" s="341"/>
      <c r="AM197" s="341"/>
      <c r="AN197" s="14"/>
      <c r="AO197" s="15"/>
      <c r="AP197" s="341"/>
      <c r="AQ197" s="341"/>
      <c r="AR197" s="341"/>
      <c r="AS197" s="14"/>
      <c r="AT197" s="15"/>
      <c r="AU197" s="341"/>
      <c r="AV197" s="341"/>
      <c r="AW197" s="341"/>
      <c r="AX197" s="14"/>
      <c r="AY197" s="15"/>
      <c r="AZ197" s="341"/>
      <c r="BA197" s="341"/>
      <c r="BB197" s="341"/>
      <c r="BC197" s="14"/>
      <c r="BD197" s="15"/>
      <c r="BE197" s="341"/>
      <c r="BF197" s="341"/>
      <c r="BG197" s="341"/>
      <c r="BH197" s="14"/>
      <c r="BI197" s="15"/>
      <c r="BJ197" s="341"/>
      <c r="BK197" s="341"/>
      <c r="BL197" s="341"/>
      <c r="BM197" s="14"/>
      <c r="BN197" s="15"/>
      <c r="BO197" s="341"/>
      <c r="BP197" s="341"/>
      <c r="BQ197" s="341"/>
      <c r="BR197" s="14"/>
      <c r="BS197" s="15"/>
      <c r="BT197" s="341"/>
      <c r="BU197" s="341"/>
      <c r="BV197" s="341"/>
      <c r="BW197" s="14"/>
      <c r="BX197" s="15"/>
      <c r="BY197" s="341"/>
      <c r="BZ197" s="341"/>
      <c r="CA197" s="341"/>
      <c r="CB197" s="14"/>
      <c r="CC197" s="15"/>
      <c r="CD197" s="341"/>
      <c r="CE197" s="341"/>
      <c r="CF197" s="341"/>
      <c r="CG197" s="14"/>
      <c r="CH197" s="15"/>
      <c r="CI197" s="341"/>
      <c r="CJ197" s="341"/>
      <c r="CK197" s="341"/>
      <c r="CL197" s="14"/>
      <c r="CM197" s="15"/>
      <c r="CN197" s="341"/>
      <c r="CO197" s="341"/>
      <c r="CP197" s="341"/>
      <c r="CQ197" s="14"/>
      <c r="CR197" s="15"/>
      <c r="CS197" s="341"/>
      <c r="CT197" s="341"/>
      <c r="CU197" s="341"/>
      <c r="CV197" s="14"/>
      <c r="CW197" s="15"/>
      <c r="CX197" s="501">
        <v>-5</v>
      </c>
      <c r="CY197" s="501">
        <v>1</v>
      </c>
      <c r="CZ197" s="501">
        <v>2</v>
      </c>
      <c r="DA197" s="501">
        <v>13</v>
      </c>
      <c r="DB197" s="183">
        <f>SUM(CX197:DA197)</f>
        <v>11</v>
      </c>
      <c r="DC197" s="501">
        <v>5</v>
      </c>
      <c r="DD197" s="501">
        <v>-43</v>
      </c>
      <c r="DE197" s="501">
        <v>-44</v>
      </c>
      <c r="DF197" s="501">
        <v>-45</v>
      </c>
      <c r="DG197" s="183">
        <f>SUM(DC197:DF197)</f>
        <v>-127</v>
      </c>
      <c r="DH197" s="501">
        <v>0</v>
      </c>
      <c r="DI197" s="501">
        <v>0</v>
      </c>
      <c r="DJ197" s="501">
        <v>0</v>
      </c>
      <c r="DK197" s="501">
        <v>0</v>
      </c>
      <c r="DL197" s="183">
        <f>SUM(DH197:DK197)</f>
        <v>0</v>
      </c>
      <c r="DM197" s="501">
        <v>0</v>
      </c>
      <c r="DN197" s="501">
        <v>0</v>
      </c>
      <c r="DO197" s="501">
        <v>0</v>
      </c>
      <c r="DP197" s="501">
        <v>-13</v>
      </c>
      <c r="DQ197" s="183">
        <f>SUM(DM197:DP197)</f>
        <v>-13</v>
      </c>
      <c r="DR197" s="501">
        <v>6</v>
      </c>
      <c r="DS197" s="501">
        <v>6</v>
      </c>
      <c r="DT197" s="922">
        <v>11</v>
      </c>
      <c r="DU197" s="922">
        <v>16</v>
      </c>
      <c r="DV197" s="183">
        <f>SUM(DR197:DU197)</f>
        <v>39</v>
      </c>
      <c r="DW197" s="1010">
        <f>12+17</f>
        <v>29</v>
      </c>
      <c r="DX197" s="1010">
        <f>13+9</f>
        <v>22</v>
      </c>
      <c r="DY197" s="1010">
        <f>16-15</f>
        <v>1</v>
      </c>
      <c r="DZ197" s="1143">
        <f>-20-15</f>
        <v>-35</v>
      </c>
      <c r="EA197" s="183">
        <f>SUM(DW197:DZ197)</f>
        <v>17</v>
      </c>
      <c r="EB197" s="1010">
        <f>23-22-16</f>
        <v>-15</v>
      </c>
      <c r="EC197" s="1010">
        <f>-25-12-12</f>
        <v>-49</v>
      </c>
      <c r="ED197" s="1010">
        <f>-24+4</f>
        <v>-20</v>
      </c>
      <c r="EE197" s="922">
        <f>11-20-15-14</f>
        <v>-38</v>
      </c>
      <c r="EF197" s="183">
        <f>SUM(EB197:EE197)</f>
        <v>-122</v>
      </c>
      <c r="EG197" s="1610">
        <f>-40-35-4</f>
        <v>-79</v>
      </c>
      <c r="EH197" s="1010">
        <f>-32-10</f>
        <v>-42</v>
      </c>
      <c r="EI197" s="1010">
        <f>-38-22-15</f>
        <v>-75</v>
      </c>
      <c r="EJ197" s="922">
        <f>18-8-11+19</f>
        <v>18</v>
      </c>
      <c r="EK197" s="183">
        <f>SUM(EG197:EJ197)</f>
        <v>-178</v>
      </c>
      <c r="EL197" s="1571">
        <f>-41+34</f>
        <v>-7</v>
      </c>
      <c r="EM197" s="1010">
        <f>10-55-21+22</f>
        <v>-44</v>
      </c>
      <c r="EN197" s="1010">
        <f>5-30+17+13</f>
        <v>5</v>
      </c>
      <c r="EO197" s="1170">
        <f>-70-18</f>
        <v>-88</v>
      </c>
      <c r="EP197" s="183">
        <f>SUM(EL197:EO197)</f>
        <v>-134</v>
      </c>
      <c r="EQ197" s="1583">
        <v>-48</v>
      </c>
      <c r="ER197" s="1170">
        <v>-50</v>
      </c>
      <c r="ES197" s="1170">
        <f t="shared" ref="ES197:ET197" si="1018">+ER197</f>
        <v>-50</v>
      </c>
      <c r="ET197" s="1170">
        <f t="shared" si="1018"/>
        <v>-50</v>
      </c>
      <c r="EU197" s="2002">
        <f>SUM(EQ197:ET197)</f>
        <v>-198</v>
      </c>
      <c r="EV197" s="2003"/>
      <c r="EW197" s="2003"/>
      <c r="EX197" s="2003"/>
      <c r="EY197" s="2003"/>
      <c r="EZ197" s="2005">
        <v>-75</v>
      </c>
      <c r="FA197" s="2003"/>
      <c r="FB197" s="2003"/>
      <c r="FC197" s="2003"/>
      <c r="FD197" s="2003"/>
      <c r="FE197" s="2005">
        <v>-25</v>
      </c>
      <c r="FG197" s="464"/>
      <c r="FH197" s="780"/>
      <c r="FI197" s="780"/>
      <c r="FJ197" s="780"/>
      <c r="FK197" s="186"/>
      <c r="FL197" s="1348"/>
      <c r="FM197" s="1571">
        <f t="shared" si="999"/>
        <v>-48</v>
      </c>
      <c r="FN197" s="1455">
        <f t="shared" si="1000"/>
        <v>-7</v>
      </c>
      <c r="FO197" s="1870">
        <v>-50</v>
      </c>
      <c r="FP197" s="1751"/>
      <c r="FQ197" s="737"/>
      <c r="FR197" s="1615"/>
      <c r="FS197" s="1722" t="s">
        <v>791</v>
      </c>
      <c r="FT197" s="432"/>
      <c r="FU197" s="432"/>
      <c r="FV197" s="432"/>
      <c r="FW197" s="432"/>
      <c r="FX197" s="432"/>
      <c r="FY197" s="432"/>
      <c r="FZ197" s="464"/>
      <c r="GA197"/>
      <c r="GB197"/>
      <c r="GC197"/>
      <c r="GD197"/>
      <c r="GE197"/>
      <c r="GF197"/>
      <c r="GG197"/>
      <c r="GH197"/>
      <c r="GI197"/>
      <c r="GJ197"/>
      <c r="GK197"/>
      <c r="GL197"/>
      <c r="GM197"/>
      <c r="GN197"/>
      <c r="GO197"/>
      <c r="GP197"/>
      <c r="GQ197"/>
      <c r="GR197"/>
      <c r="GS197"/>
      <c r="GT197"/>
      <c r="GU197"/>
      <c r="GV197"/>
      <c r="GW197"/>
      <c r="GX197"/>
      <c r="GY197"/>
      <c r="GZ197"/>
      <c r="HA197"/>
      <c r="HB197"/>
      <c r="HC197"/>
      <c r="HD197"/>
      <c r="HE197"/>
      <c r="HF197"/>
      <c r="HG197"/>
      <c r="HH197"/>
      <c r="HI197"/>
      <c r="HJ197"/>
      <c r="HK197"/>
      <c r="HL197"/>
      <c r="HM197"/>
      <c r="HN197"/>
      <c r="HO197"/>
      <c r="HP197"/>
      <c r="HQ197"/>
      <c r="HR197"/>
      <c r="HS197"/>
      <c r="HT197"/>
      <c r="HU197"/>
      <c r="HV197"/>
      <c r="HW197"/>
      <c r="HX197"/>
      <c r="HY197"/>
      <c r="HZ197"/>
      <c r="IA197"/>
      <c r="IB197"/>
      <c r="IC197"/>
      <c r="ID197"/>
      <c r="IE197"/>
      <c r="IF197"/>
      <c r="IG197"/>
      <c r="IH197"/>
      <c r="II197"/>
      <c r="IJ197"/>
      <c r="IK197"/>
      <c r="IL197"/>
      <c r="IM197"/>
      <c r="IN197"/>
      <c r="IO197"/>
      <c r="IP197"/>
      <c r="IQ197"/>
      <c r="IR197"/>
      <c r="IS197"/>
      <c r="IT197"/>
      <c r="IU197"/>
      <c r="IV197"/>
      <c r="IW197"/>
      <c r="IX197"/>
    </row>
    <row r="198" spans="1:258" s="227" customFormat="1" x14ac:dyDescent="0.2">
      <c r="A198" s="561" t="s">
        <v>96</v>
      </c>
      <c r="B198" s="341"/>
      <c r="C198" s="341"/>
      <c r="D198" s="341"/>
      <c r="E198" s="14"/>
      <c r="F198" s="15"/>
      <c r="G198" s="341"/>
      <c r="H198" s="341"/>
      <c r="I198" s="341"/>
      <c r="J198" s="14"/>
      <c r="K198" s="15"/>
      <c r="L198" s="341"/>
      <c r="M198" s="341"/>
      <c r="N198" s="341"/>
      <c r="O198" s="14"/>
      <c r="P198" s="15"/>
      <c r="Q198" s="341"/>
      <c r="R198" s="341"/>
      <c r="S198" s="341"/>
      <c r="T198" s="14"/>
      <c r="U198" s="15"/>
      <c r="V198" s="341"/>
      <c r="W198" s="341"/>
      <c r="X198" s="341"/>
      <c r="Y198" s="14"/>
      <c r="Z198" s="15"/>
      <c r="AA198" s="341"/>
      <c r="AB198" s="341"/>
      <c r="AC198" s="341"/>
      <c r="AD198" s="14"/>
      <c r="AE198" s="15"/>
      <c r="AF198" s="341"/>
      <c r="AG198" s="341"/>
      <c r="AH198" s="341"/>
      <c r="AI198" s="14"/>
      <c r="AJ198" s="15"/>
      <c r="AK198" s="341"/>
      <c r="AL198" s="341"/>
      <c r="AM198" s="341"/>
      <c r="AN198" s="14"/>
      <c r="AO198" s="15"/>
      <c r="AP198" s="341"/>
      <c r="AQ198" s="341"/>
      <c r="AR198" s="341"/>
      <c r="AS198" s="14"/>
      <c r="AT198" s="15"/>
      <c r="AU198" s="341"/>
      <c r="AV198" s="341"/>
      <c r="AW198" s="341"/>
      <c r="AX198" s="14"/>
      <c r="AY198" s="15"/>
      <c r="AZ198" s="341"/>
      <c r="BA198" s="341"/>
      <c r="BB198" s="341"/>
      <c r="BC198" s="14"/>
      <c r="BD198" s="15"/>
      <c r="BE198" s="341"/>
      <c r="BF198" s="341"/>
      <c r="BG198" s="341"/>
      <c r="BH198" s="14"/>
      <c r="BI198" s="15"/>
      <c r="BJ198" s="341"/>
      <c r="BK198" s="341"/>
      <c r="BL198" s="341"/>
      <c r="BM198" s="14"/>
      <c r="BN198" s="15"/>
      <c r="BO198" s="341"/>
      <c r="BP198" s="341"/>
      <c r="BQ198" s="341"/>
      <c r="BR198" s="14"/>
      <c r="BS198" s="15"/>
      <c r="BT198" s="341"/>
      <c r="BU198" s="341"/>
      <c r="BV198" s="341"/>
      <c r="BW198" s="14"/>
      <c r="BX198" s="15"/>
      <c r="BY198" s="341"/>
      <c r="BZ198" s="341"/>
      <c r="CA198" s="341"/>
      <c r="CB198" s="14"/>
      <c r="CC198" s="15"/>
      <c r="CD198" s="341"/>
      <c r="CE198" s="341"/>
      <c r="CF198" s="341"/>
      <c r="CG198" s="14"/>
      <c r="CH198" s="15"/>
      <c r="CI198" s="341"/>
      <c r="CJ198" s="341"/>
      <c r="CK198" s="341"/>
      <c r="CL198" s="14"/>
      <c r="CM198" s="15"/>
      <c r="CN198" s="341"/>
      <c r="CO198" s="341"/>
      <c r="CP198" s="341"/>
      <c r="CQ198" s="14"/>
      <c r="CR198" s="15"/>
      <c r="CS198" s="341"/>
      <c r="CT198" s="341"/>
      <c r="CU198" s="341"/>
      <c r="CV198" s="14"/>
      <c r="CW198" s="15"/>
      <c r="CX198" s="501">
        <f>CX191-(CS191+CX195+CX196+CX197)</f>
        <v>-20</v>
      </c>
      <c r="CY198" s="501">
        <f>CY191-(CT191+CY195+CY196+CY197)</f>
        <v>-104</v>
      </c>
      <c r="CZ198" s="501">
        <f>CZ191-(CU191+CZ195+CZ196+CZ197)</f>
        <v>-89</v>
      </c>
      <c r="DA198" s="501">
        <f>DA191-(CV191+DA195+DA196+DA197)</f>
        <v>-58</v>
      </c>
      <c r="DB198" s="183">
        <f>SUM(CX198:DA198)</f>
        <v>-271</v>
      </c>
      <c r="DC198" s="501">
        <f>DC191-(CX191+DC195+DC196+DC197)</f>
        <v>-24</v>
      </c>
      <c r="DD198" s="501">
        <f>DD191-(CY191+DD195+DD196+DD197)</f>
        <v>113</v>
      </c>
      <c r="DE198" s="501">
        <f>DE191-(CZ191+DE195+DE196+DE197)</f>
        <v>34</v>
      </c>
      <c r="DF198" s="501">
        <f>DF191-(DA191+DF195+DF196+DF197)</f>
        <v>-15</v>
      </c>
      <c r="DG198" s="183">
        <f>SUM(DC198:DF198)</f>
        <v>108</v>
      </c>
      <c r="DH198" s="501">
        <f>DH191-(DC191+DH195+DH196+DH197)</f>
        <v>-17</v>
      </c>
      <c r="DI198" s="501">
        <f>DI191-(DD191+DI195+DI196+DI197)</f>
        <v>-18</v>
      </c>
      <c r="DJ198" s="501">
        <f>DJ191-(DE191+DJ195+DJ196+DJ197)</f>
        <v>26</v>
      </c>
      <c r="DK198" s="501">
        <f>DK191-(DF191+DK195+DK196+DK197)</f>
        <v>60</v>
      </c>
      <c r="DL198" s="183">
        <f>SUM(DH198:DK198)</f>
        <v>51</v>
      </c>
      <c r="DM198" s="501">
        <f>DM191-(DH191+DM195+DM196+DM197)</f>
        <v>-19</v>
      </c>
      <c r="DN198" s="501">
        <f>DN191-(DI191+DN195+DN196+DN197)</f>
        <v>-18</v>
      </c>
      <c r="DO198" s="501">
        <f>DO191-(DJ191+DO195+DO196+DO197)</f>
        <v>-48</v>
      </c>
      <c r="DP198" s="501">
        <f>DP191-(DK191+DP195+DP196+DP197)</f>
        <v>-21</v>
      </c>
      <c r="DQ198" s="183">
        <f>SUM(DM198:DP198)</f>
        <v>-106</v>
      </c>
      <c r="DR198" s="501">
        <f>DR191-(DM191+DR195+DR196+DR197)</f>
        <v>-10</v>
      </c>
      <c r="DS198" s="501">
        <f>DS191-(DN191+DS195+DS196+DS197)</f>
        <v>16</v>
      </c>
      <c r="DT198" s="922">
        <f>DT191-(DO191+DT195+DT196+DT197)</f>
        <v>30</v>
      </c>
      <c r="DU198" s="501">
        <f>DU191-(DP191+DU195+DU196+DU197)</f>
        <v>35</v>
      </c>
      <c r="DV198" s="183">
        <f>SUM(DR198:DU198)</f>
        <v>71</v>
      </c>
      <c r="DW198" s="501">
        <f>DW191-(DR191+DW195+DW196+DW197)</f>
        <v>29</v>
      </c>
      <c r="DX198" s="501">
        <f>DX191-(DS191+DX195+DX196+DX197)</f>
        <v>-12</v>
      </c>
      <c r="DY198" s="922">
        <f>DY191-(DT191+DY195+DY196+DY197)</f>
        <v>0</v>
      </c>
      <c r="DZ198" s="501">
        <f>DZ191-(DU191+DZ195+DZ196+DZ197)</f>
        <v>0</v>
      </c>
      <c r="EA198" s="183">
        <f>SUM(DW198:DZ198)</f>
        <v>17</v>
      </c>
      <c r="EB198" s="501">
        <f>EB191-(DW191+EB195+EB196+EB197)</f>
        <v>0</v>
      </c>
      <c r="EC198" s="501">
        <f>EC191-(DX191+EC195+EC196+EC197)</f>
        <v>0</v>
      </c>
      <c r="ED198" s="922">
        <f>ED191-(DY191+ED195+ED196+ED197)</f>
        <v>0</v>
      </c>
      <c r="EE198" s="501">
        <f>EE191-(DZ191+EE195+EE196+EE197)</f>
        <v>0</v>
      </c>
      <c r="EF198" s="183">
        <f>SUM(EB198:EE198)</f>
        <v>0</v>
      </c>
      <c r="EG198" s="501">
        <f>EG191-(EB191+EG195+EG196+EG197)</f>
        <v>0</v>
      </c>
      <c r="EH198" s="501">
        <f>EH191-(EC191+EH195+EH196+EH197)</f>
        <v>-17</v>
      </c>
      <c r="EI198" s="922">
        <f>EI191-(ED191+EI195+EI196+EI197)</f>
        <v>0</v>
      </c>
      <c r="EJ198" s="501">
        <f>EJ191-(EE191+EJ195+EJ196+EJ197)</f>
        <v>-111</v>
      </c>
      <c r="EK198" s="183">
        <f>SUM(EG198:EJ198)</f>
        <v>-128</v>
      </c>
      <c r="EL198" s="501">
        <f>EL191-(EG191+EL195+EL196+EL197)</f>
        <v>0</v>
      </c>
      <c r="EM198" s="501">
        <f>EM191-(EH191+EM195+EM196+EM197)</f>
        <v>0</v>
      </c>
      <c r="EN198" s="922">
        <f>EN191-(EI191+EN195+EN196+EN197)</f>
        <v>0</v>
      </c>
      <c r="EO198" s="501">
        <f>EO191-(EJ191+EO195+EO196+EO197)</f>
        <v>105</v>
      </c>
      <c r="EP198" s="183">
        <f>SUM(EL198:EO198)</f>
        <v>105</v>
      </c>
      <c r="EQ198" s="1010">
        <f>EQ191-(EL191+EQ195+EQ196+EQ197)</f>
        <v>-30</v>
      </c>
      <c r="ER198" s="671">
        <v>10</v>
      </c>
      <c r="ES198" s="671">
        <f>+ER198</f>
        <v>10</v>
      </c>
      <c r="ET198" s="671">
        <f>+ES198</f>
        <v>10</v>
      </c>
      <c r="EU198" s="2054">
        <f>SUM(EQ198:ET198)</f>
        <v>0</v>
      </c>
      <c r="EV198" s="1304"/>
      <c r="EW198" s="1304"/>
      <c r="EX198" s="1304"/>
      <c r="EY198" s="1304"/>
      <c r="EZ198" s="1303">
        <v>0</v>
      </c>
      <c r="FA198" s="1304"/>
      <c r="FB198" s="1304"/>
      <c r="FC198" s="1304"/>
      <c r="FD198" s="1304"/>
      <c r="FE198" s="1303">
        <v>0</v>
      </c>
      <c r="FG198" s="464"/>
      <c r="FH198" s="2029"/>
      <c r="FI198" s="780"/>
      <c r="FJ198" s="780"/>
      <c r="FK198" s="186"/>
      <c r="FL198" s="1348"/>
      <c r="FM198" s="1583">
        <f t="shared" si="999"/>
        <v>-30</v>
      </c>
      <c r="FN198" s="1456">
        <f t="shared" si="1000"/>
        <v>0</v>
      </c>
      <c r="FO198" s="1871">
        <v>10</v>
      </c>
      <c r="FP198" s="1751"/>
      <c r="FQ198" s="737"/>
      <c r="FR198" s="1614" t="s">
        <v>786</v>
      </c>
      <c r="FS198" s="1722"/>
      <c r="FT198" s="1722"/>
      <c r="FU198" s="432"/>
      <c r="FV198" s="432"/>
      <c r="FW198" s="432"/>
      <c r="FX198" s="432"/>
      <c r="FY198" s="432"/>
      <c r="FZ198" s="464"/>
      <c r="GA198"/>
      <c r="GB198"/>
      <c r="GC198"/>
      <c r="GD198"/>
      <c r="GE198"/>
      <c r="GF198"/>
      <c r="GG198"/>
      <c r="GH198"/>
      <c r="GI198"/>
      <c r="GJ198"/>
      <c r="GK198"/>
      <c r="GL198"/>
      <c r="GM198"/>
      <c r="GN198"/>
      <c r="GO198"/>
      <c r="GP198"/>
      <c r="GQ198"/>
      <c r="GR198"/>
      <c r="GS198"/>
      <c r="GT198"/>
      <c r="GU198"/>
      <c r="GV198"/>
      <c r="GW198"/>
      <c r="GX198"/>
      <c r="GY198"/>
      <c r="GZ198"/>
      <c r="HA198"/>
      <c r="HB198"/>
      <c r="HC198"/>
      <c r="HD198"/>
      <c r="HE198"/>
      <c r="HF198"/>
      <c r="HG198"/>
      <c r="HH198"/>
      <c r="HI198"/>
      <c r="HJ198"/>
      <c r="HK198"/>
      <c r="HL198"/>
      <c r="HM198"/>
      <c r="HN198"/>
      <c r="HO198"/>
      <c r="HP198"/>
      <c r="HQ198"/>
      <c r="HR198"/>
      <c r="HS198"/>
      <c r="HT198"/>
      <c r="HU198"/>
      <c r="HV198"/>
      <c r="HW198"/>
      <c r="HX198"/>
      <c r="HY198"/>
      <c r="HZ198"/>
      <c r="IA198"/>
      <c r="IB198"/>
      <c r="IC198"/>
      <c r="ID198"/>
      <c r="IE198"/>
      <c r="IF198"/>
      <c r="IG198"/>
      <c r="IH198"/>
      <c r="II198"/>
      <c r="IJ198"/>
      <c r="IK198"/>
      <c r="IL198"/>
      <c r="IM198"/>
      <c r="IN198"/>
      <c r="IO198"/>
      <c r="IP198"/>
      <c r="IQ198"/>
      <c r="IR198"/>
      <c r="IS198"/>
      <c r="IT198"/>
      <c r="IU198"/>
      <c r="IV198"/>
      <c r="IW198"/>
      <c r="IX198"/>
    </row>
    <row r="199" spans="1:258" s="74" customFormat="1" hidden="1" x14ac:dyDescent="0.2">
      <c r="A199" s="18" t="s">
        <v>515</v>
      </c>
      <c r="B199" s="19"/>
      <c r="C199" s="19"/>
      <c r="D199" s="19"/>
      <c r="E199" s="19"/>
      <c r="F199" s="20"/>
      <c r="G199" s="19"/>
      <c r="H199" s="19"/>
      <c r="I199" s="19"/>
      <c r="J199" s="19"/>
      <c r="K199" s="20"/>
      <c r="L199" s="19"/>
      <c r="M199" s="19"/>
      <c r="N199" s="19"/>
      <c r="O199" s="19"/>
      <c r="P199" s="20"/>
      <c r="Q199" s="19"/>
      <c r="R199" s="19"/>
      <c r="S199" s="19"/>
      <c r="T199" s="19"/>
      <c r="U199" s="20"/>
      <c r="V199" s="19"/>
      <c r="W199" s="19"/>
      <c r="X199" s="19"/>
      <c r="Y199" s="19"/>
      <c r="Z199" s="20"/>
      <c r="AA199" s="19"/>
      <c r="AB199" s="19"/>
      <c r="AC199" s="19"/>
      <c r="AD199" s="19"/>
      <c r="AE199" s="20"/>
      <c r="AF199" s="19"/>
      <c r="AG199" s="19"/>
      <c r="AH199" s="19"/>
      <c r="AI199" s="19"/>
      <c r="AJ199" s="20"/>
      <c r="AK199" s="19"/>
      <c r="AL199" s="19"/>
      <c r="AM199" s="19"/>
      <c r="AN199" s="19"/>
      <c r="AO199" s="20"/>
      <c r="AP199" s="19"/>
      <c r="AQ199" s="19"/>
      <c r="AR199" s="19"/>
      <c r="AS199" s="19"/>
      <c r="AT199" s="20"/>
      <c r="AU199" s="19"/>
      <c r="AV199" s="19"/>
      <c r="AW199" s="19"/>
      <c r="AX199" s="19"/>
      <c r="AY199" s="20"/>
      <c r="AZ199" s="19"/>
      <c r="BA199" s="19">
        <v>46</v>
      </c>
      <c r="BB199" s="19">
        <v>118</v>
      </c>
      <c r="BC199" s="19">
        <v>116</v>
      </c>
      <c r="BD199" s="20">
        <v>280</v>
      </c>
      <c r="BE199" s="19">
        <v>95</v>
      </c>
      <c r="BF199" s="19">
        <v>101</v>
      </c>
      <c r="BG199" s="19">
        <v>89</v>
      </c>
      <c r="BH199" s="19">
        <v>92</v>
      </c>
      <c r="BI199" s="20">
        <v>280</v>
      </c>
      <c r="BJ199" s="19">
        <v>83</v>
      </c>
      <c r="BK199" s="19">
        <v>85</v>
      </c>
      <c r="BL199" s="19">
        <v>83</v>
      </c>
      <c r="BM199" s="19">
        <v>85</v>
      </c>
      <c r="BN199" s="20">
        <v>280</v>
      </c>
      <c r="BO199" s="19">
        <v>87</v>
      </c>
      <c r="BP199" s="19">
        <v>79</v>
      </c>
      <c r="BQ199" s="19">
        <v>82</v>
      </c>
      <c r="BR199" s="19">
        <v>74</v>
      </c>
      <c r="BS199" s="20">
        <v>280</v>
      </c>
      <c r="BT199" s="19">
        <v>86</v>
      </c>
      <c r="BU199" s="19">
        <v>87</v>
      </c>
      <c r="BV199" s="19">
        <v>86</v>
      </c>
      <c r="BW199" s="19">
        <v>83</v>
      </c>
      <c r="BX199" s="20">
        <v>280</v>
      </c>
      <c r="BY199" s="19">
        <v>87</v>
      </c>
      <c r="BZ199" s="19">
        <v>82</v>
      </c>
      <c r="CA199" s="19">
        <v>63</v>
      </c>
      <c r="CB199" s="19">
        <v>24</v>
      </c>
      <c r="CC199" s="20">
        <v>280</v>
      </c>
      <c r="CD199" s="19">
        <v>20</v>
      </c>
      <c r="CE199" s="19">
        <v>19</v>
      </c>
      <c r="CF199" s="19">
        <v>9</v>
      </c>
      <c r="CG199" s="19">
        <v>17</v>
      </c>
      <c r="CH199" s="20">
        <v>280</v>
      </c>
      <c r="CI199" s="19"/>
      <c r="CJ199" s="19"/>
      <c r="CK199" s="19"/>
      <c r="CL199" s="19"/>
      <c r="CM199" s="20"/>
      <c r="CN199" s="19"/>
      <c r="CO199" s="19"/>
      <c r="CP199" s="19"/>
      <c r="CQ199" s="19"/>
      <c r="CR199" s="20"/>
      <c r="CS199" s="19"/>
      <c r="CT199" s="19"/>
      <c r="CU199" s="19"/>
      <c r="CV199" s="19"/>
      <c r="CW199" s="20"/>
      <c r="CX199" s="19"/>
      <c r="CY199" s="19"/>
      <c r="CZ199" s="19"/>
      <c r="DA199" s="19"/>
      <c r="DB199" s="20"/>
      <c r="DC199" s="19"/>
      <c r="DD199" s="19"/>
      <c r="DE199" s="19"/>
      <c r="DF199" s="19"/>
      <c r="DG199" s="73"/>
      <c r="DH199" s="19"/>
      <c r="DI199" s="19"/>
      <c r="DJ199" s="19"/>
      <c r="DK199" s="19"/>
      <c r="DL199" s="73"/>
      <c r="DM199" s="19"/>
      <c r="DN199" s="19"/>
      <c r="DO199" s="19"/>
      <c r="DP199" s="19"/>
      <c r="DQ199" s="73"/>
      <c r="DR199" s="19"/>
      <c r="DS199" s="19"/>
      <c r="DT199" s="72"/>
      <c r="DU199" s="19"/>
      <c r="DV199" s="73"/>
      <c r="DW199" s="19"/>
      <c r="DX199" s="19"/>
      <c r="DY199" s="72"/>
      <c r="DZ199" s="19"/>
      <c r="EA199" s="73"/>
      <c r="EB199" s="19"/>
      <c r="EC199" s="19"/>
      <c r="ED199" s="72"/>
      <c r="EE199" s="19"/>
      <c r="EF199" s="73"/>
      <c r="EG199" s="19"/>
      <c r="EH199" s="19"/>
      <c r="EI199" s="72"/>
      <c r="EJ199" s="19"/>
      <c r="EK199" s="73"/>
      <c r="EL199" s="19"/>
      <c r="EM199" s="19"/>
      <c r="EN199" s="72"/>
      <c r="EO199" s="19"/>
      <c r="EP199" s="73"/>
      <c r="EQ199" s="19"/>
      <c r="ER199" s="72"/>
      <c r="ES199" s="72"/>
      <c r="ET199" s="72"/>
      <c r="EU199" s="73"/>
      <c r="EV199" s="72"/>
      <c r="EW199" s="72"/>
      <c r="EX199" s="72"/>
      <c r="EY199" s="72"/>
      <c r="EZ199" s="73"/>
      <c r="FA199" s="72"/>
      <c r="FB199" s="72"/>
      <c r="FC199" s="72"/>
      <c r="FD199" s="72"/>
      <c r="FE199" s="73"/>
      <c r="FG199" s="490"/>
      <c r="FH199" s="798"/>
      <c r="FI199" s="798"/>
      <c r="FJ199" s="798"/>
      <c r="FL199" s="1358"/>
      <c r="FM199" s="1584">
        <f t="shared" si="999"/>
        <v>0</v>
      </c>
      <c r="FN199" s="1468">
        <f t="shared" si="1000"/>
        <v>0</v>
      </c>
      <c r="FO199" s="1872"/>
      <c r="FP199" s="1766"/>
      <c r="FQ199" s="740"/>
      <c r="FR199" s="1297"/>
      <c r="FS199" s="1297"/>
      <c r="FT199" s="409"/>
      <c r="FU199" s="409"/>
      <c r="FV199" s="409"/>
      <c r="FW199" s="409"/>
      <c r="FX199" s="409"/>
      <c r="FY199" s="409"/>
      <c r="FZ199" s="490"/>
      <c r="GA199"/>
      <c r="GB199"/>
      <c r="GC199"/>
      <c r="GD199"/>
      <c r="GE199"/>
      <c r="GF199"/>
      <c r="GG199"/>
      <c r="GH199"/>
      <c r="GI199"/>
      <c r="GJ199"/>
      <c r="GK199"/>
      <c r="GL199"/>
      <c r="GM199"/>
      <c r="GN199"/>
      <c r="GO199"/>
      <c r="GP199"/>
      <c r="GQ199"/>
      <c r="GR199"/>
      <c r="GS199"/>
      <c r="GT199"/>
      <c r="GU199"/>
      <c r="GV199"/>
      <c r="GW199"/>
      <c r="GX199"/>
      <c r="GY199"/>
      <c r="GZ199"/>
      <c r="HA199"/>
      <c r="HB199"/>
      <c r="HC199"/>
      <c r="HD199"/>
      <c r="HE199"/>
      <c r="HF199"/>
      <c r="HG199"/>
      <c r="HH199"/>
      <c r="HI199"/>
      <c r="HJ199"/>
      <c r="HK199"/>
      <c r="HL199"/>
      <c r="HM199"/>
      <c r="HN199"/>
      <c r="HO199"/>
      <c r="HP199"/>
      <c r="HQ199"/>
      <c r="HR199"/>
      <c r="HS199"/>
      <c r="HT199"/>
      <c r="HU199"/>
      <c r="HV199"/>
      <c r="HW199"/>
      <c r="HX199"/>
      <c r="HY199"/>
      <c r="HZ199"/>
      <c r="IA199"/>
      <c r="IB199"/>
      <c r="IC199"/>
      <c r="ID199"/>
      <c r="IE199"/>
      <c r="IF199"/>
      <c r="IG199"/>
      <c r="IH199"/>
      <c r="II199"/>
      <c r="IJ199"/>
      <c r="IK199"/>
      <c r="IL199"/>
      <c r="IM199"/>
      <c r="IN199"/>
      <c r="IO199"/>
      <c r="IP199"/>
      <c r="IQ199"/>
      <c r="IR199"/>
      <c r="IS199"/>
      <c r="IT199"/>
      <c r="IU199"/>
      <c r="IV199"/>
      <c r="IW199"/>
      <c r="IX199"/>
    </row>
    <row r="200" spans="1:258" s="84" customFormat="1" hidden="1" x14ac:dyDescent="0.2">
      <c r="A200" s="29" t="s">
        <v>465</v>
      </c>
      <c r="B200" s="10"/>
      <c r="C200" s="10"/>
      <c r="D200" s="10"/>
      <c r="E200" s="10"/>
      <c r="F200" s="9"/>
      <c r="G200" s="10"/>
      <c r="H200" s="10"/>
      <c r="I200" s="10"/>
      <c r="J200" s="10"/>
      <c r="K200" s="9"/>
      <c r="L200" s="10"/>
      <c r="M200" s="10"/>
      <c r="N200" s="10"/>
      <c r="O200" s="10"/>
      <c r="P200" s="9"/>
      <c r="Q200" s="10"/>
      <c r="R200" s="10"/>
      <c r="S200" s="10"/>
      <c r="T200" s="10"/>
      <c r="U200" s="9"/>
      <c r="V200" s="10"/>
      <c r="W200" s="10"/>
      <c r="X200" s="10"/>
      <c r="Y200" s="10"/>
      <c r="Z200" s="9"/>
      <c r="AA200" s="10"/>
      <c r="AB200" s="10"/>
      <c r="AC200" s="10"/>
      <c r="AD200" s="10"/>
      <c r="AE200" s="9"/>
      <c r="AF200" s="10"/>
      <c r="AG200" s="10"/>
      <c r="AH200" s="10"/>
      <c r="AI200" s="10"/>
      <c r="AJ200" s="9"/>
      <c r="AK200" s="10"/>
      <c r="AL200" s="10"/>
      <c r="AM200" s="10"/>
      <c r="AN200" s="10"/>
      <c r="AO200" s="9"/>
      <c r="AP200" s="10"/>
      <c r="AQ200" s="10"/>
      <c r="AR200" s="10"/>
      <c r="AS200" s="10"/>
      <c r="AT200" s="9"/>
      <c r="AU200" s="10"/>
      <c r="AV200" s="10"/>
      <c r="AW200" s="10"/>
      <c r="AX200" s="10"/>
      <c r="AY200" s="9"/>
      <c r="AZ200" s="10"/>
      <c r="BA200" s="10"/>
      <c r="BB200" s="10"/>
      <c r="BC200" s="10"/>
      <c r="BD200" s="9"/>
      <c r="BE200" s="10"/>
      <c r="BF200" s="10">
        <f t="shared" ref="BF200:BP200" si="1019">BF199/BA199-1</f>
        <v>1.1956521739130435</v>
      </c>
      <c r="BG200" s="10">
        <f t="shared" si="1019"/>
        <v>-0.24576271186440679</v>
      </c>
      <c r="BH200" s="10">
        <f t="shared" si="1019"/>
        <v>-0.2068965517241379</v>
      </c>
      <c r="BI200" s="9">
        <f t="shared" si="1019"/>
        <v>0</v>
      </c>
      <c r="BJ200" s="10">
        <f>BJ199/BE199-1</f>
        <v>-0.12631578947368416</v>
      </c>
      <c r="BK200" s="10">
        <f>BK199/BF199-1</f>
        <v>-0.15841584158415845</v>
      </c>
      <c r="BL200" s="10">
        <f>BL199/BG199-1</f>
        <v>-6.7415730337078705E-2</v>
      </c>
      <c r="BM200" s="10">
        <f>BM199/BH199-1</f>
        <v>-7.6086956521739135E-2</v>
      </c>
      <c r="BN200" s="9">
        <f t="shared" si="1019"/>
        <v>0</v>
      </c>
      <c r="BO200" s="10">
        <f t="shared" si="1019"/>
        <v>4.8192771084337283E-2</v>
      </c>
      <c r="BP200" s="10">
        <f t="shared" si="1019"/>
        <v>-7.0588235294117618E-2</v>
      </c>
      <c r="BQ200" s="10">
        <f t="shared" ref="BQ200:CH200" si="1020">BQ199/BL199-1</f>
        <v>-1.2048192771084376E-2</v>
      </c>
      <c r="BR200" s="10">
        <f t="shared" si="1020"/>
        <v>-0.12941176470588234</v>
      </c>
      <c r="BS200" s="9">
        <f t="shared" si="1020"/>
        <v>0</v>
      </c>
      <c r="BT200" s="10">
        <f t="shared" si="1020"/>
        <v>-1.1494252873563204E-2</v>
      </c>
      <c r="BU200" s="10">
        <f t="shared" si="1020"/>
        <v>0.10126582278481022</v>
      </c>
      <c r="BV200" s="10">
        <f t="shared" si="1020"/>
        <v>4.8780487804878092E-2</v>
      </c>
      <c r="BW200" s="10">
        <f t="shared" si="1020"/>
        <v>0.12162162162162171</v>
      </c>
      <c r="BX200" s="9">
        <f t="shared" si="1020"/>
        <v>0</v>
      </c>
      <c r="BY200" s="10">
        <f t="shared" si="1020"/>
        <v>1.1627906976744207E-2</v>
      </c>
      <c r="BZ200" s="10">
        <f t="shared" si="1020"/>
        <v>-5.7471264367816133E-2</v>
      </c>
      <c r="CA200" s="10">
        <f t="shared" si="1020"/>
        <v>-0.26744186046511631</v>
      </c>
      <c r="CB200" s="10">
        <f t="shared" si="1020"/>
        <v>-0.71084337349397586</v>
      </c>
      <c r="CC200" s="9">
        <f t="shared" si="1020"/>
        <v>0</v>
      </c>
      <c r="CD200" s="10">
        <f t="shared" si="1020"/>
        <v>-0.77011494252873569</v>
      </c>
      <c r="CE200" s="10">
        <f t="shared" si="1020"/>
        <v>-0.76829268292682928</v>
      </c>
      <c r="CF200" s="10">
        <f t="shared" si="1020"/>
        <v>-0.85714285714285721</v>
      </c>
      <c r="CG200" s="10">
        <f t="shared" si="1020"/>
        <v>-0.29166666666666663</v>
      </c>
      <c r="CH200" s="9">
        <f t="shared" si="1020"/>
        <v>0</v>
      </c>
      <c r="CI200" s="10"/>
      <c r="CJ200" s="10"/>
      <c r="CK200" s="10"/>
      <c r="CL200" s="10"/>
      <c r="CM200" s="9"/>
      <c r="CN200" s="10"/>
      <c r="CO200" s="10"/>
      <c r="CP200" s="10"/>
      <c r="CQ200" s="10"/>
      <c r="CR200" s="9"/>
      <c r="CS200" s="10"/>
      <c r="CT200" s="10"/>
      <c r="CU200" s="10"/>
      <c r="CV200" s="10"/>
      <c r="CW200" s="9"/>
      <c r="CX200" s="10"/>
      <c r="CY200" s="10"/>
      <c r="CZ200" s="10"/>
      <c r="DA200" s="10"/>
      <c r="DB200" s="9"/>
      <c r="DC200" s="10"/>
      <c r="DD200" s="10"/>
      <c r="DE200" s="10"/>
      <c r="DF200" s="10"/>
      <c r="DG200" s="9"/>
      <c r="DH200" s="10"/>
      <c r="DI200" s="10"/>
      <c r="DJ200" s="10"/>
      <c r="DK200" s="10"/>
      <c r="DL200" s="9"/>
      <c r="DM200" s="10"/>
      <c r="DN200" s="10"/>
      <c r="DO200" s="10"/>
      <c r="DP200" s="10"/>
      <c r="DQ200" s="9"/>
      <c r="DR200" s="10"/>
      <c r="DS200" s="10"/>
      <c r="DT200" s="10"/>
      <c r="DU200" s="10"/>
      <c r="DV200" s="9"/>
      <c r="DW200" s="10"/>
      <c r="DX200" s="10"/>
      <c r="DY200" s="10"/>
      <c r="DZ200" s="10"/>
      <c r="EA200" s="9"/>
      <c r="EB200" s="10"/>
      <c r="EC200" s="10"/>
      <c r="ED200" s="10"/>
      <c r="EE200" s="10"/>
      <c r="EF200" s="9"/>
      <c r="EG200" s="10"/>
      <c r="EH200" s="10"/>
      <c r="EI200" s="10"/>
      <c r="EJ200" s="10"/>
      <c r="EK200" s="9"/>
      <c r="EL200" s="10"/>
      <c r="EM200" s="10"/>
      <c r="EN200" s="10"/>
      <c r="EO200" s="10"/>
      <c r="EP200" s="9"/>
      <c r="EQ200" s="10"/>
      <c r="ER200" s="10"/>
      <c r="ES200" s="10"/>
      <c r="ET200" s="10"/>
      <c r="EU200" s="9"/>
      <c r="EV200" s="80"/>
      <c r="EW200" s="80"/>
      <c r="EX200" s="80"/>
      <c r="EY200" s="80"/>
      <c r="EZ200" s="9"/>
      <c r="FA200" s="80"/>
      <c r="FB200" s="80"/>
      <c r="FC200" s="80"/>
      <c r="FD200" s="80"/>
      <c r="FE200" s="9"/>
      <c r="FF200" s="83"/>
      <c r="FG200" s="489"/>
      <c r="FH200" s="776"/>
      <c r="FI200" s="776"/>
      <c r="FJ200" s="776"/>
      <c r="FK200" s="83"/>
      <c r="FL200" s="1346"/>
      <c r="FM200" s="1141">
        <f t="shared" si="999"/>
        <v>0</v>
      </c>
      <c r="FN200" s="1418">
        <f t="shared" si="1000"/>
        <v>0</v>
      </c>
      <c r="FO200" s="1750"/>
      <c r="FP200" s="1762"/>
      <c r="FQ200" s="739"/>
      <c r="FR200" s="1619"/>
      <c r="FS200" s="1619"/>
      <c r="FT200" s="354"/>
      <c r="FU200" s="354"/>
      <c r="FV200" s="354"/>
      <c r="FW200" s="354"/>
      <c r="FX200" s="354"/>
      <c r="FY200" s="354"/>
      <c r="FZ200" s="489"/>
      <c r="GA200"/>
      <c r="GB200"/>
      <c r="GC200"/>
      <c r="GD200"/>
      <c r="GE200"/>
      <c r="GF200"/>
      <c r="GG200"/>
      <c r="GH200"/>
      <c r="GI200"/>
      <c r="GJ200"/>
      <c r="GK200"/>
      <c r="GL200"/>
      <c r="GM200"/>
      <c r="GN200"/>
      <c r="GO200"/>
      <c r="GP200"/>
      <c r="GQ200"/>
      <c r="GR200"/>
      <c r="GS200"/>
      <c r="GT200"/>
      <c r="GU200"/>
      <c r="GV200"/>
      <c r="GW200"/>
      <c r="GX200"/>
      <c r="GY200"/>
      <c r="GZ200"/>
      <c r="HA200"/>
      <c r="HB200"/>
      <c r="HC200"/>
      <c r="HD200"/>
      <c r="HE200"/>
      <c r="HF200"/>
      <c r="HG200"/>
      <c r="HH200"/>
      <c r="HI200"/>
      <c r="HJ200"/>
      <c r="HK200"/>
      <c r="HL200"/>
      <c r="HM200"/>
      <c r="HN200"/>
      <c r="HO200"/>
      <c r="HP200"/>
      <c r="HQ200"/>
      <c r="HR200"/>
      <c r="HS200"/>
      <c r="HT200"/>
      <c r="HU200"/>
      <c r="HV200"/>
      <c r="HW200"/>
      <c r="HX200"/>
      <c r="HY200"/>
      <c r="HZ200"/>
      <c r="IA200"/>
      <c r="IB200"/>
      <c r="IC200"/>
      <c r="ID200"/>
      <c r="IE200"/>
      <c r="IF200"/>
      <c r="IG200"/>
      <c r="IH200"/>
      <c r="II200"/>
      <c r="IJ200"/>
      <c r="IK200"/>
      <c r="IL200"/>
      <c r="IM200"/>
      <c r="IN200"/>
      <c r="IO200"/>
      <c r="IP200"/>
      <c r="IQ200"/>
      <c r="IR200"/>
      <c r="IS200"/>
      <c r="IT200"/>
      <c r="IU200"/>
      <c r="IV200"/>
      <c r="IW200"/>
      <c r="IX200"/>
    </row>
    <row r="201" spans="1:258" s="45" customFormat="1" hidden="1" x14ac:dyDescent="0.2">
      <c r="A201" s="88" t="s">
        <v>414</v>
      </c>
      <c r="B201" s="90"/>
      <c r="C201" s="90"/>
      <c r="D201" s="90"/>
      <c r="E201" s="14"/>
      <c r="F201" s="15"/>
      <c r="G201" s="90"/>
      <c r="H201" s="90"/>
      <c r="I201" s="90"/>
      <c r="J201" s="14"/>
      <c r="K201" s="15"/>
      <c r="L201" s="90"/>
      <c r="M201" s="90"/>
      <c r="N201" s="90"/>
      <c r="O201" s="14"/>
      <c r="P201" s="15"/>
      <c r="Q201" s="90"/>
      <c r="R201" s="90"/>
      <c r="S201" s="90"/>
      <c r="T201" s="14"/>
      <c r="U201" s="15"/>
      <c r="V201" s="90"/>
      <c r="W201" s="90"/>
      <c r="X201" s="90"/>
      <c r="Y201" s="14"/>
      <c r="Z201" s="15"/>
      <c r="AA201" s="90"/>
      <c r="AB201" s="90"/>
      <c r="AC201" s="90"/>
      <c r="AD201" s="14"/>
      <c r="AE201" s="15"/>
      <c r="AF201" s="90"/>
      <c r="AG201" s="90"/>
      <c r="AH201" s="90"/>
      <c r="AI201" s="14"/>
      <c r="AJ201" s="15"/>
      <c r="AK201" s="90"/>
      <c r="AL201" s="90"/>
      <c r="AM201" s="90"/>
      <c r="AN201" s="14"/>
      <c r="AO201" s="15"/>
      <c r="AP201" s="90"/>
      <c r="AQ201" s="90"/>
      <c r="AR201" s="90"/>
      <c r="AS201" s="14"/>
      <c r="AT201" s="15"/>
      <c r="AU201" s="90"/>
      <c r="AV201" s="90"/>
      <c r="AW201" s="90"/>
      <c r="AX201" s="14"/>
      <c r="AY201" s="15"/>
      <c r="AZ201" s="90"/>
      <c r="BA201" s="90">
        <f t="shared" ref="BA201:CH201" si="1021">BA199/BA$223</f>
        <v>3.4927866362946092E-2</v>
      </c>
      <c r="BB201" s="90">
        <f t="shared" si="1021"/>
        <v>7.5641025641025636E-2</v>
      </c>
      <c r="BC201" s="14">
        <f t="shared" si="1021"/>
        <v>7.2256135542543912E-2</v>
      </c>
      <c r="BD201" s="15">
        <f t="shared" si="1021"/>
        <v>4.9335729640201574E-2</v>
      </c>
      <c r="BE201" s="90">
        <f t="shared" si="1021"/>
        <v>5.7821059038344488E-2</v>
      </c>
      <c r="BF201" s="90">
        <f t="shared" si="1021"/>
        <v>6.0083283759666865E-2</v>
      </c>
      <c r="BG201" s="90">
        <f t="shared" si="1021"/>
        <v>5.569461827284105E-2</v>
      </c>
      <c r="BH201" s="14">
        <f t="shared" si="1021"/>
        <v>5.721393034825871E-2</v>
      </c>
      <c r="BI201" s="15">
        <f t="shared" si="1021"/>
        <v>4.3525571273122961E-2</v>
      </c>
      <c r="BJ201" s="90">
        <f t="shared" si="1021"/>
        <v>5.1234567901234568E-2</v>
      </c>
      <c r="BK201" s="90">
        <f t="shared" si="1021"/>
        <v>5.362776025236593E-2</v>
      </c>
      <c r="BL201" s="90">
        <f t="shared" si="1021"/>
        <v>5.3756476683937821E-2</v>
      </c>
      <c r="BM201" s="14">
        <f t="shared" si="1021"/>
        <v>5.5266579973992196E-2</v>
      </c>
      <c r="BN201" s="15">
        <f t="shared" si="1021"/>
        <v>4.4936607286149899E-2</v>
      </c>
      <c r="BO201" s="90">
        <f t="shared" si="1021"/>
        <v>5.5984555984555984E-2</v>
      </c>
      <c r="BP201" s="90">
        <f t="shared" si="1021"/>
        <v>5.0902061855670103E-2</v>
      </c>
      <c r="BQ201" s="90">
        <f t="shared" si="1021"/>
        <v>5.2597819114817188E-2</v>
      </c>
      <c r="BR201" s="14">
        <f t="shared" si="1021"/>
        <v>4.8239895697522815E-2</v>
      </c>
      <c r="BS201" s="15">
        <f t="shared" si="1021"/>
        <v>4.5476693194737697E-2</v>
      </c>
      <c r="BT201" s="90">
        <f t="shared" si="1021"/>
        <v>5.1682692307692304E-2</v>
      </c>
      <c r="BU201" s="90">
        <f t="shared" si="1021"/>
        <v>5.3439803439803438E-2</v>
      </c>
      <c r="BV201" s="90">
        <f t="shared" si="1021"/>
        <v>5.3749999999999999E-2</v>
      </c>
      <c r="BW201" s="14">
        <f t="shared" si="1021"/>
        <v>5.0455927051671734E-2</v>
      </c>
      <c r="BX201" s="15">
        <f t="shared" si="1021"/>
        <v>4.3243243243243246E-2</v>
      </c>
      <c r="BY201" s="90">
        <f t="shared" si="1021"/>
        <v>5.0699300699300696E-2</v>
      </c>
      <c r="BZ201" s="90">
        <f t="shared" si="1021"/>
        <v>4.8178613396004703E-2</v>
      </c>
      <c r="CA201" s="90">
        <f t="shared" si="1021"/>
        <v>3.7212049616066153E-2</v>
      </c>
      <c r="CB201" s="14">
        <f t="shared" si="1021"/>
        <v>1.2868632707774798E-2</v>
      </c>
      <c r="CC201" s="15">
        <f t="shared" si="1021"/>
        <v>0.04</v>
      </c>
      <c r="CD201" s="90">
        <f t="shared" si="1021"/>
        <v>1.1383039271485486E-2</v>
      </c>
      <c r="CE201" s="90">
        <f t="shared" si="1021"/>
        <v>1.0894495412844037E-2</v>
      </c>
      <c r="CF201" s="90">
        <f t="shared" si="1021"/>
        <v>5.1020408163265302E-3</v>
      </c>
      <c r="CG201" s="14">
        <f t="shared" si="1021"/>
        <v>9.423503325942351E-3</v>
      </c>
      <c r="CH201" s="15">
        <f t="shared" si="1021"/>
        <v>3.844041735310269E-2</v>
      </c>
      <c r="CI201" s="90"/>
      <c r="CJ201" s="90"/>
      <c r="CK201" s="90"/>
      <c r="CL201" s="14"/>
      <c r="CM201" s="15"/>
      <c r="CN201" s="90"/>
      <c r="CO201" s="90"/>
      <c r="CP201" s="90"/>
      <c r="CQ201" s="14"/>
      <c r="CR201" s="15"/>
      <c r="CS201" s="90"/>
      <c r="CT201" s="90"/>
      <c r="CU201" s="90"/>
      <c r="CV201" s="14"/>
      <c r="CW201" s="15"/>
      <c r="CX201" s="90"/>
      <c r="CY201" s="90"/>
      <c r="CZ201" s="90"/>
      <c r="DA201" s="14"/>
      <c r="DB201" s="15"/>
      <c r="DC201" s="90"/>
      <c r="DD201" s="90"/>
      <c r="DE201" s="90"/>
      <c r="DF201" s="90"/>
      <c r="DG201" s="91"/>
      <c r="DH201" s="90"/>
      <c r="DI201" s="90"/>
      <c r="DJ201" s="90"/>
      <c r="DK201" s="90"/>
      <c r="DL201" s="91"/>
      <c r="DM201" s="90"/>
      <c r="DN201" s="90"/>
      <c r="DO201" s="90"/>
      <c r="DP201" s="90"/>
      <c r="DQ201" s="91"/>
      <c r="DR201" s="90"/>
      <c r="DS201" s="90"/>
      <c r="DT201" s="14"/>
      <c r="DU201" s="90"/>
      <c r="DV201" s="91"/>
      <c r="DW201" s="90"/>
      <c r="DX201" s="90"/>
      <c r="DY201" s="14"/>
      <c r="DZ201" s="90"/>
      <c r="EA201" s="91"/>
      <c r="EB201" s="90"/>
      <c r="EC201" s="90"/>
      <c r="ED201" s="14"/>
      <c r="EE201" s="90"/>
      <c r="EF201" s="91"/>
      <c r="EG201" s="90"/>
      <c r="EH201" s="90"/>
      <c r="EI201" s="14"/>
      <c r="EJ201" s="90"/>
      <c r="EK201" s="91"/>
      <c r="EL201" s="90"/>
      <c r="EM201" s="90"/>
      <c r="EN201" s="14"/>
      <c r="EO201" s="90"/>
      <c r="EP201" s="91"/>
      <c r="EQ201" s="90"/>
      <c r="ER201" s="14"/>
      <c r="ES201" s="14"/>
      <c r="ET201" s="14"/>
      <c r="EU201" s="91"/>
      <c r="EV201" s="89"/>
      <c r="EW201" s="89"/>
      <c r="EX201" s="89"/>
      <c r="EY201" s="89"/>
      <c r="EZ201" s="15"/>
      <c r="FA201" s="89"/>
      <c r="FB201" s="89"/>
      <c r="FC201" s="89"/>
      <c r="FD201" s="89"/>
      <c r="FE201" s="15"/>
      <c r="FF201" s="44"/>
      <c r="FG201" s="490"/>
      <c r="FH201" s="776"/>
      <c r="FI201" s="776"/>
      <c r="FJ201" s="776"/>
      <c r="FK201" s="83"/>
      <c r="FL201" s="1346"/>
      <c r="FM201" s="1141">
        <f t="shared" si="999"/>
        <v>0</v>
      </c>
      <c r="FN201" s="1469">
        <f t="shared" si="1000"/>
        <v>0</v>
      </c>
      <c r="FO201" s="1806"/>
      <c r="FP201" s="1762"/>
      <c r="FQ201" s="739"/>
      <c r="FR201" s="1619"/>
      <c r="FS201" s="1619"/>
      <c r="FT201" s="354"/>
      <c r="FU201" s="354"/>
      <c r="FV201" s="354"/>
      <c r="FW201" s="354"/>
      <c r="FX201" s="354"/>
      <c r="FY201" s="354"/>
      <c r="FZ201" s="490"/>
      <c r="GA201"/>
      <c r="GB201"/>
      <c r="GC201"/>
      <c r="GD201"/>
      <c r="GE201"/>
      <c r="GF201"/>
      <c r="GG201"/>
      <c r="GH201"/>
      <c r="GI201"/>
      <c r="GJ201"/>
      <c r="GK201"/>
      <c r="GL201"/>
      <c r="GM201"/>
      <c r="GN201"/>
      <c r="GO201"/>
      <c r="GP201"/>
      <c r="GQ201"/>
      <c r="GR201"/>
      <c r="GS201"/>
      <c r="GT201"/>
      <c r="GU201"/>
      <c r="GV201"/>
      <c r="GW201"/>
      <c r="GX201"/>
      <c r="GY201"/>
      <c r="GZ201"/>
      <c r="HA201"/>
      <c r="HB201"/>
      <c r="HC201"/>
      <c r="HD201"/>
      <c r="HE201"/>
      <c r="HF201"/>
      <c r="HG201"/>
      <c r="HH201"/>
      <c r="HI201"/>
      <c r="HJ201"/>
      <c r="HK201"/>
      <c r="HL201"/>
      <c r="HM201"/>
      <c r="HN201"/>
      <c r="HO201"/>
      <c r="HP201"/>
      <c r="HQ201"/>
      <c r="HR201"/>
      <c r="HS201"/>
      <c r="HT201"/>
      <c r="HU201"/>
      <c r="HV201"/>
      <c r="HW201"/>
      <c r="HX201"/>
      <c r="HY201"/>
      <c r="HZ201"/>
      <c r="IA201"/>
      <c r="IB201"/>
      <c r="IC201"/>
      <c r="ID201"/>
      <c r="IE201"/>
      <c r="IF201"/>
      <c r="IG201"/>
      <c r="IH201"/>
      <c r="II201"/>
      <c r="IJ201"/>
      <c r="IK201"/>
      <c r="IL201"/>
      <c r="IM201"/>
      <c r="IN201"/>
      <c r="IO201"/>
      <c r="IP201"/>
      <c r="IQ201"/>
      <c r="IR201"/>
      <c r="IS201"/>
      <c r="IT201"/>
      <c r="IU201"/>
      <c r="IV201"/>
      <c r="IW201"/>
      <c r="IX201"/>
    </row>
    <row r="202" spans="1:258" s="39" customFormat="1" hidden="1" x14ac:dyDescent="0.2">
      <c r="A202" s="22" t="str">
        <f>A199&amp;" per Carload"</f>
        <v>Conrail Op Fee, Rents &amp; Svcs. per Carload</v>
      </c>
      <c r="B202" s="8"/>
      <c r="C202" s="8"/>
      <c r="D202" s="8"/>
      <c r="E202" s="8"/>
      <c r="F202" s="38"/>
      <c r="G202" s="8"/>
      <c r="H202" s="8"/>
      <c r="I202" s="8"/>
      <c r="J202" s="8"/>
      <c r="K202" s="38"/>
      <c r="L202" s="8"/>
      <c r="M202" s="8"/>
      <c r="N202" s="8"/>
      <c r="O202" s="8"/>
      <c r="P202" s="38"/>
      <c r="Q202" s="8"/>
      <c r="R202" s="8"/>
      <c r="S202" s="8"/>
      <c r="T202" s="8"/>
      <c r="U202" s="38"/>
      <c r="V202" s="8"/>
      <c r="W202" s="8"/>
      <c r="X202" s="8"/>
      <c r="Y202" s="8"/>
      <c r="Z202" s="38"/>
      <c r="AA202" s="8"/>
      <c r="AB202" s="8"/>
      <c r="AC202" s="8"/>
      <c r="AD202" s="8"/>
      <c r="AE202" s="38"/>
      <c r="AF202" s="8"/>
      <c r="AG202" s="8"/>
      <c r="AH202" s="8"/>
      <c r="AI202" s="8"/>
      <c r="AJ202" s="38"/>
      <c r="AK202" s="8"/>
      <c r="AL202" s="8"/>
      <c r="AM202" s="8"/>
      <c r="AN202" s="8"/>
      <c r="AO202" s="38"/>
      <c r="AP202" s="8"/>
      <c r="AQ202" s="8"/>
      <c r="AR202" s="8"/>
      <c r="AS202" s="8"/>
      <c r="AT202" s="38"/>
      <c r="AU202" s="8"/>
      <c r="AV202" s="8"/>
      <c r="AW202" s="8"/>
      <c r="AX202" s="8"/>
      <c r="AY202" s="38"/>
      <c r="AZ202" s="8"/>
      <c r="BA202" s="8">
        <f t="shared" ref="BA202:BU202" si="1022">BA199/BA$23*1000</f>
        <v>29.336734693877553</v>
      </c>
      <c r="BB202" s="8">
        <f t="shared" si="1022"/>
        <v>64.305177111716631</v>
      </c>
      <c r="BC202" s="8">
        <f t="shared" si="1022"/>
        <v>62.906724511930591</v>
      </c>
      <c r="BD202" s="38">
        <f t="shared" si="1022"/>
        <v>41.586217139462349</v>
      </c>
      <c r="BE202" s="8">
        <f t="shared" si="1022"/>
        <v>51.434759068760151</v>
      </c>
      <c r="BF202" s="8">
        <f t="shared" si="1022"/>
        <v>54.330285099515869</v>
      </c>
      <c r="BG202" s="8">
        <f t="shared" si="1022"/>
        <v>48.874244920373421</v>
      </c>
      <c r="BH202" s="8">
        <f t="shared" si="1022"/>
        <v>51.367950865438303</v>
      </c>
      <c r="BI202" s="38">
        <f>BI199/BI$23*1000</f>
        <v>38.261820169445201</v>
      </c>
      <c r="BJ202" s="8">
        <f t="shared" si="1022"/>
        <v>46.813310772701634</v>
      </c>
      <c r="BK202" s="8">
        <f t="shared" si="1022"/>
        <v>47.301057317751813</v>
      </c>
      <c r="BL202" s="8">
        <f t="shared" si="1022"/>
        <v>46.786922209695604</v>
      </c>
      <c r="BM202" s="8">
        <f t="shared" si="1022"/>
        <v>47.914317925591888</v>
      </c>
      <c r="BN202" s="38">
        <f t="shared" si="1022"/>
        <v>39.336892385501542</v>
      </c>
      <c r="BO202" s="8">
        <f t="shared" si="1022"/>
        <v>51.236749116607776</v>
      </c>
      <c r="BP202" s="8">
        <f t="shared" si="1022"/>
        <v>43.646408839779006</v>
      </c>
      <c r="BQ202" s="8">
        <f t="shared" si="1022"/>
        <v>45.253863134657841</v>
      </c>
      <c r="BR202" s="8">
        <f t="shared" si="1022"/>
        <v>41.784302653867869</v>
      </c>
      <c r="BS202" s="38">
        <f t="shared" si="1022"/>
        <v>39.486673247778874</v>
      </c>
      <c r="BT202" s="8">
        <f t="shared" si="1022"/>
        <v>49.199084668192221</v>
      </c>
      <c r="BU202" s="8">
        <f t="shared" si="1022"/>
        <v>47.103410936654029</v>
      </c>
      <c r="BV202" s="8">
        <f t="shared" ref="BV202:CH202" si="1023">BV199/BV$23*1000</f>
        <v>47.226798462383307</v>
      </c>
      <c r="BW202" s="8">
        <f t="shared" si="1023"/>
        <v>44.456347080878416</v>
      </c>
      <c r="BX202" s="38">
        <f t="shared" si="1023"/>
        <v>38.44569545516957</v>
      </c>
      <c r="BY202" s="8">
        <f t="shared" si="1023"/>
        <v>47.697368421052637</v>
      </c>
      <c r="BZ202" s="8">
        <f t="shared" si="1023"/>
        <v>43.02203567681007</v>
      </c>
      <c r="CA202" s="8">
        <f t="shared" si="1023"/>
        <v>34.672537149146947</v>
      </c>
      <c r="CB202" s="8">
        <f t="shared" si="1023"/>
        <v>12.102874432677762</v>
      </c>
      <c r="CC202" s="38">
        <f t="shared" si="1023"/>
        <v>37.184594953519259</v>
      </c>
      <c r="CD202" s="8">
        <f t="shared" si="1023"/>
        <v>10.845986984815617</v>
      </c>
      <c r="CE202" s="8">
        <f t="shared" si="1023"/>
        <v>10.165864098448367</v>
      </c>
      <c r="CF202" s="8">
        <f t="shared" si="1023"/>
        <v>4.947773501924134</v>
      </c>
      <c r="CG202" s="8">
        <f t="shared" si="1023"/>
        <v>9.3509350935093511</v>
      </c>
      <c r="CH202" s="38">
        <f t="shared" si="1023"/>
        <v>38.095238095238102</v>
      </c>
      <c r="CI202" s="8"/>
      <c r="CJ202" s="8"/>
      <c r="CK202" s="8"/>
      <c r="CL202" s="8"/>
      <c r="CM202" s="38"/>
      <c r="CN202" s="8"/>
      <c r="CO202" s="8"/>
      <c r="CP202" s="8"/>
      <c r="CQ202" s="8"/>
      <c r="CR202" s="38"/>
      <c r="CS202" s="8"/>
      <c r="CT202" s="8"/>
      <c r="CU202" s="8"/>
      <c r="CV202" s="8"/>
      <c r="CW202" s="38"/>
      <c r="CX202" s="8"/>
      <c r="CY202" s="8"/>
      <c r="CZ202" s="8"/>
      <c r="DA202" s="8"/>
      <c r="DB202" s="38"/>
      <c r="DC202" s="8"/>
      <c r="DD202" s="8"/>
      <c r="DE202" s="8"/>
      <c r="DF202" s="8"/>
      <c r="DG202" s="38"/>
      <c r="DH202" s="8"/>
      <c r="DI202" s="8"/>
      <c r="DJ202" s="8"/>
      <c r="DK202" s="8"/>
      <c r="DL202" s="38"/>
      <c r="DM202" s="8"/>
      <c r="DN202" s="8"/>
      <c r="DO202" s="8"/>
      <c r="DP202" s="8"/>
      <c r="DQ202" s="38"/>
      <c r="DR202" s="8"/>
      <c r="DS202" s="8"/>
      <c r="DT202" s="8"/>
      <c r="DU202" s="8"/>
      <c r="DV202" s="38"/>
      <c r="DW202" s="8"/>
      <c r="DX202" s="8"/>
      <c r="DY202" s="8"/>
      <c r="DZ202" s="8"/>
      <c r="EA202" s="38"/>
      <c r="EB202" s="8"/>
      <c r="EC202" s="8"/>
      <c r="ED202" s="8"/>
      <c r="EE202" s="8"/>
      <c r="EF202" s="38"/>
      <c r="EG202" s="8"/>
      <c r="EH202" s="8"/>
      <c r="EI202" s="8"/>
      <c r="EJ202" s="8"/>
      <c r="EK202" s="38"/>
      <c r="EL202" s="8"/>
      <c r="EM202" s="8"/>
      <c r="EN202" s="8"/>
      <c r="EO202" s="8"/>
      <c r="EP202" s="38"/>
      <c r="EQ202" s="8"/>
      <c r="ER202" s="8"/>
      <c r="ES202" s="8"/>
      <c r="ET202" s="8"/>
      <c r="EU202" s="38"/>
      <c r="EV202" s="8"/>
      <c r="EW202" s="8"/>
      <c r="EX202" s="8"/>
      <c r="EY202" s="8"/>
      <c r="EZ202" s="38"/>
      <c r="FA202" s="8"/>
      <c r="FB202" s="8"/>
      <c r="FC202" s="8"/>
      <c r="FD202" s="8"/>
      <c r="FE202" s="38"/>
      <c r="FG202" s="489"/>
      <c r="FH202" s="777"/>
      <c r="FI202" s="777"/>
      <c r="FJ202" s="777"/>
      <c r="FK202" s="175"/>
      <c r="FL202" s="1347"/>
      <c r="FM202" s="1155">
        <f t="shared" si="999"/>
        <v>0</v>
      </c>
      <c r="FN202" s="1428">
        <f t="shared" si="1000"/>
        <v>0</v>
      </c>
      <c r="FO202" s="1816"/>
      <c r="FP202" s="1767"/>
      <c r="FQ202" s="732"/>
      <c r="FR202" s="1619"/>
      <c r="FS202" s="1619"/>
      <c r="FT202" s="355"/>
      <c r="FU202" s="355"/>
      <c r="FV202" s="355"/>
      <c r="FW202" s="355"/>
      <c r="FX202" s="355"/>
      <c r="FY202" s="355"/>
      <c r="FZ202" s="489"/>
      <c r="GA202"/>
      <c r="GB202"/>
      <c r="GC202"/>
      <c r="GD202"/>
      <c r="GE202"/>
      <c r="GF202"/>
      <c r="GG202"/>
      <c r="GH202"/>
      <c r="GI202"/>
      <c r="GJ202"/>
      <c r="GK202"/>
      <c r="GL202"/>
      <c r="GM202"/>
      <c r="GN202"/>
      <c r="GO202"/>
      <c r="GP202"/>
      <c r="GQ202"/>
      <c r="GR202"/>
      <c r="GS202"/>
      <c r="GT202"/>
      <c r="GU202"/>
      <c r="GV202"/>
      <c r="GW202"/>
      <c r="GX202"/>
      <c r="GY202"/>
      <c r="GZ202"/>
      <c r="HA202"/>
      <c r="HB202"/>
      <c r="HC202"/>
      <c r="HD202"/>
      <c r="HE202"/>
      <c r="HF202"/>
      <c r="HG202"/>
      <c r="HH202"/>
      <c r="HI202"/>
      <c r="HJ202"/>
      <c r="HK202"/>
      <c r="HL202"/>
      <c r="HM202"/>
      <c r="HN202"/>
      <c r="HO202"/>
      <c r="HP202"/>
      <c r="HQ202"/>
      <c r="HR202"/>
      <c r="HS202"/>
      <c r="HT202"/>
      <c r="HU202"/>
      <c r="HV202"/>
      <c r="HW202"/>
      <c r="HX202"/>
      <c r="HY202"/>
      <c r="HZ202"/>
      <c r="IA202"/>
      <c r="IB202"/>
      <c r="IC202"/>
      <c r="ID202"/>
      <c r="IE202"/>
      <c r="IF202"/>
      <c r="IG202"/>
      <c r="IH202"/>
      <c r="II202"/>
      <c r="IJ202"/>
      <c r="IK202"/>
      <c r="IL202"/>
      <c r="IM202"/>
      <c r="IN202"/>
      <c r="IO202"/>
      <c r="IP202"/>
      <c r="IQ202"/>
      <c r="IR202"/>
      <c r="IS202"/>
      <c r="IT202"/>
      <c r="IU202"/>
      <c r="IV202"/>
      <c r="IW202"/>
      <c r="IX202"/>
    </row>
    <row r="203" spans="1:258" s="45" customFormat="1" hidden="1" x14ac:dyDescent="0.2">
      <c r="A203" s="29" t="s">
        <v>465</v>
      </c>
      <c r="B203" s="10"/>
      <c r="C203" s="10"/>
      <c r="D203" s="10"/>
      <c r="E203" s="10"/>
      <c r="F203" s="9"/>
      <c r="G203" s="10"/>
      <c r="H203" s="10"/>
      <c r="I203" s="10"/>
      <c r="J203" s="10"/>
      <c r="K203" s="9"/>
      <c r="L203" s="10"/>
      <c r="M203" s="10"/>
      <c r="N203" s="10"/>
      <c r="O203" s="10"/>
      <c r="P203" s="9"/>
      <c r="Q203" s="10"/>
      <c r="R203" s="10"/>
      <c r="S203" s="10"/>
      <c r="T203" s="10"/>
      <c r="U203" s="9"/>
      <c r="V203" s="10"/>
      <c r="W203" s="10"/>
      <c r="X203" s="10"/>
      <c r="Y203" s="10"/>
      <c r="Z203" s="9"/>
      <c r="AA203" s="10"/>
      <c r="AB203" s="10"/>
      <c r="AC203" s="10"/>
      <c r="AD203" s="10"/>
      <c r="AE203" s="9"/>
      <c r="AF203" s="10"/>
      <c r="AG203" s="10"/>
      <c r="AH203" s="10"/>
      <c r="AI203" s="10"/>
      <c r="AJ203" s="9"/>
      <c r="AK203" s="10"/>
      <c r="AL203" s="10"/>
      <c r="AM203" s="10"/>
      <c r="AN203" s="10"/>
      <c r="AO203" s="9"/>
      <c r="AP203" s="10"/>
      <c r="AQ203" s="10"/>
      <c r="AR203" s="10"/>
      <c r="AS203" s="10"/>
      <c r="AT203" s="9"/>
      <c r="AU203" s="10"/>
      <c r="AV203" s="10"/>
      <c r="AW203" s="10"/>
      <c r="AX203" s="10"/>
      <c r="AY203" s="9"/>
      <c r="AZ203" s="10"/>
      <c r="BA203" s="10"/>
      <c r="BB203" s="10"/>
      <c r="BC203" s="10"/>
      <c r="BD203" s="9"/>
      <c r="BE203" s="10"/>
      <c r="BF203" s="10">
        <f t="shared" ref="BF203:BZ203" si="1024">BF202/BA202-1</f>
        <v>0.85195406600088863</v>
      </c>
      <c r="BG203" s="10">
        <f t="shared" si="1024"/>
        <v>-0.23996407263656594</v>
      </c>
      <c r="BH203" s="10">
        <f t="shared" si="1024"/>
        <v>-0.18342671210458428</v>
      </c>
      <c r="BI203" s="9">
        <f t="shared" si="1024"/>
        <v>-7.9939874282590861E-2</v>
      </c>
      <c r="BJ203" s="10">
        <f>BJ202/BE202-1</f>
        <v>-8.9850684240211365E-2</v>
      </c>
      <c r="BK203" s="10">
        <f>BK202/BF202-1</f>
        <v>-0.1293795489732612</v>
      </c>
      <c r="BL203" s="10">
        <f>BL202/BG202-1</f>
        <v>-4.2708029844317985E-2</v>
      </c>
      <c r="BM203" s="10">
        <f>BM202/BH202-1</f>
        <v>-6.7233223861575264E-2</v>
      </c>
      <c r="BN203" s="9">
        <f t="shared" si="1024"/>
        <v>2.8097780275358142E-2</v>
      </c>
      <c r="BO203" s="10">
        <f t="shared" si="1024"/>
        <v>9.4491038358380575E-2</v>
      </c>
      <c r="BP203" s="10">
        <f t="shared" si="1024"/>
        <v>-7.726356841078974E-2</v>
      </c>
      <c r="BQ203" s="10">
        <f t="shared" si="1024"/>
        <v>-3.2766828905024026E-2</v>
      </c>
      <c r="BR203" s="10">
        <f t="shared" si="1024"/>
        <v>-0.12793702461221657</v>
      </c>
      <c r="BS203" s="9">
        <f t="shared" si="1024"/>
        <v>3.8076434917502233E-3</v>
      </c>
      <c r="BT203" s="10">
        <f t="shared" si="1024"/>
        <v>-3.9769588889765672E-2</v>
      </c>
      <c r="BU203" s="10">
        <f t="shared" si="1024"/>
        <v>7.9204731586630217E-2</v>
      </c>
      <c r="BV203" s="10">
        <f t="shared" si="1024"/>
        <v>4.3597058705348024E-2</v>
      </c>
      <c r="BW203" s="10">
        <f t="shared" si="1024"/>
        <v>6.3948522705887578E-2</v>
      </c>
      <c r="BX203" s="9">
        <f t="shared" si="1024"/>
        <v>-2.6362762597830658E-2</v>
      </c>
      <c r="BY203" s="10">
        <f t="shared" si="1024"/>
        <v>-3.0523255813953432E-2</v>
      </c>
      <c r="BZ203" s="10">
        <f t="shared" si="1024"/>
        <v>-8.6647127642894173E-2</v>
      </c>
      <c r="CA203" s="10">
        <f t="shared" ref="CA203:CH203" si="1025">CA202/BV202-1</f>
        <v>-0.26582918431864433</v>
      </c>
      <c r="CB203" s="10">
        <f t="shared" si="1025"/>
        <v>-0.7277582341468749</v>
      </c>
      <c r="CC203" s="9">
        <f t="shared" si="1025"/>
        <v>-3.2802124833997248E-2</v>
      </c>
      <c r="CD203" s="10">
        <f t="shared" si="1025"/>
        <v>-0.77260827287007261</v>
      </c>
      <c r="CE203" s="10">
        <f t="shared" si="1025"/>
        <v>-0.76370564668728547</v>
      </c>
      <c r="CF203" s="10">
        <f t="shared" si="1025"/>
        <v>-0.85729992931752141</v>
      </c>
      <c r="CG203" s="10">
        <f t="shared" si="1025"/>
        <v>-0.22737898789878996</v>
      </c>
      <c r="CH203" s="9">
        <f t="shared" si="1025"/>
        <v>2.4489795918367419E-2</v>
      </c>
      <c r="CI203" s="10"/>
      <c r="CJ203" s="10"/>
      <c r="CK203" s="10"/>
      <c r="CL203" s="10"/>
      <c r="CM203" s="9"/>
      <c r="CN203" s="10"/>
      <c r="CO203" s="10"/>
      <c r="CP203" s="10"/>
      <c r="CQ203" s="10"/>
      <c r="CR203" s="9"/>
      <c r="CS203" s="10"/>
      <c r="CT203" s="10"/>
      <c r="CU203" s="10"/>
      <c r="CV203" s="10"/>
      <c r="CW203" s="9"/>
      <c r="CX203" s="10"/>
      <c r="CY203" s="10"/>
      <c r="CZ203" s="10"/>
      <c r="DA203" s="10"/>
      <c r="DB203" s="9"/>
      <c r="DC203" s="10"/>
      <c r="DD203" s="10"/>
      <c r="DE203" s="10"/>
      <c r="DF203" s="10"/>
      <c r="DG203" s="9"/>
      <c r="DH203" s="10"/>
      <c r="DI203" s="10"/>
      <c r="DJ203" s="10"/>
      <c r="DK203" s="10"/>
      <c r="DL203" s="9"/>
      <c r="DM203" s="10"/>
      <c r="DN203" s="10"/>
      <c r="DO203" s="10"/>
      <c r="DP203" s="10"/>
      <c r="DQ203" s="9"/>
      <c r="DR203" s="10"/>
      <c r="DS203" s="10"/>
      <c r="DT203" s="81"/>
      <c r="DU203" s="10"/>
      <c r="DV203" s="9"/>
      <c r="DW203" s="10"/>
      <c r="DX203" s="10"/>
      <c r="DY203" s="81"/>
      <c r="DZ203" s="10"/>
      <c r="EA203" s="9"/>
      <c r="EB203" s="10"/>
      <c r="EC203" s="10"/>
      <c r="ED203" s="81"/>
      <c r="EE203" s="10"/>
      <c r="EF203" s="9"/>
      <c r="EG203" s="10"/>
      <c r="EH203" s="10"/>
      <c r="EI203" s="81"/>
      <c r="EJ203" s="10"/>
      <c r="EK203" s="9"/>
      <c r="EL203" s="10"/>
      <c r="EM203" s="10"/>
      <c r="EN203" s="81"/>
      <c r="EO203" s="10"/>
      <c r="EP203" s="9"/>
      <c r="EQ203" s="10"/>
      <c r="ER203" s="81"/>
      <c r="ES203" s="81"/>
      <c r="ET203" s="81"/>
      <c r="EU203" s="9"/>
      <c r="EV203" s="80"/>
      <c r="EW203" s="80"/>
      <c r="EX203" s="80"/>
      <c r="EY203" s="80"/>
      <c r="EZ203" s="16"/>
      <c r="FA203" s="80"/>
      <c r="FB203" s="80"/>
      <c r="FC203" s="80"/>
      <c r="FD203" s="80"/>
      <c r="FE203" s="16"/>
      <c r="FF203" s="44"/>
      <c r="FG203" s="490"/>
      <c r="FH203" s="776"/>
      <c r="FI203" s="776"/>
      <c r="FJ203" s="776"/>
      <c r="FK203" s="83"/>
      <c r="FL203" s="1346"/>
      <c r="FM203" s="1141">
        <f t="shared" si="999"/>
        <v>0</v>
      </c>
      <c r="FN203" s="1418">
        <f t="shared" si="1000"/>
        <v>0</v>
      </c>
      <c r="FO203" s="1873"/>
      <c r="FP203" s="1762"/>
      <c r="FQ203" s="739"/>
      <c r="FR203" s="1619"/>
      <c r="FS203" s="1619"/>
      <c r="FT203" s="354"/>
      <c r="FU203" s="354"/>
      <c r="FV203" s="354"/>
      <c r="FW203" s="354"/>
      <c r="FX203" s="354"/>
      <c r="FY203" s="354"/>
      <c r="FZ203" s="490"/>
      <c r="GA203"/>
      <c r="GB203"/>
      <c r="GC203"/>
      <c r="GD203"/>
      <c r="GE203"/>
      <c r="GF203"/>
      <c r="GG203"/>
      <c r="GH203"/>
      <c r="GI203"/>
      <c r="GJ203"/>
      <c r="GK203"/>
      <c r="GL203"/>
      <c r="GM203"/>
      <c r="GN203"/>
      <c r="GO203"/>
      <c r="GP203"/>
      <c r="GQ203"/>
      <c r="GR203"/>
      <c r="GS203"/>
      <c r="GT203"/>
      <c r="GU203"/>
      <c r="GV203"/>
      <c r="GW203"/>
      <c r="GX203"/>
      <c r="GY203"/>
      <c r="GZ203"/>
      <c r="HA203"/>
      <c r="HB203"/>
      <c r="HC203"/>
      <c r="HD203"/>
      <c r="HE203"/>
      <c r="HF203"/>
      <c r="HG203"/>
      <c r="HH203"/>
      <c r="HI203"/>
      <c r="HJ203"/>
      <c r="HK203"/>
      <c r="HL203"/>
      <c r="HM203"/>
      <c r="HN203"/>
      <c r="HO203"/>
      <c r="HP203"/>
      <c r="HQ203"/>
      <c r="HR203"/>
      <c r="HS203"/>
      <c r="HT203"/>
      <c r="HU203"/>
      <c r="HV203"/>
      <c r="HW203"/>
      <c r="HX203"/>
      <c r="HY203"/>
      <c r="HZ203"/>
      <c r="IA203"/>
      <c r="IB203"/>
      <c r="IC203"/>
      <c r="ID203"/>
      <c r="IE203"/>
      <c r="IF203"/>
      <c r="IG203"/>
      <c r="IH203"/>
      <c r="II203"/>
      <c r="IJ203"/>
      <c r="IK203"/>
      <c r="IL203"/>
      <c r="IM203"/>
      <c r="IN203"/>
      <c r="IO203"/>
      <c r="IP203"/>
      <c r="IQ203"/>
      <c r="IR203"/>
      <c r="IS203"/>
      <c r="IT203"/>
      <c r="IU203"/>
      <c r="IV203"/>
      <c r="IW203"/>
      <c r="IX203"/>
    </row>
    <row r="204" spans="1:258" s="45" customFormat="1" x14ac:dyDescent="0.2">
      <c r="A204" s="29" t="s">
        <v>282</v>
      </c>
      <c r="B204" s="10"/>
      <c r="C204" s="10"/>
      <c r="D204" s="10"/>
      <c r="E204" s="10"/>
      <c r="F204" s="9"/>
      <c r="G204" s="10"/>
      <c r="H204" s="10"/>
      <c r="I204" s="10"/>
      <c r="J204" s="10"/>
      <c r="K204" s="9"/>
      <c r="L204" s="10"/>
      <c r="M204" s="10"/>
      <c r="N204" s="10"/>
      <c r="O204" s="10"/>
      <c r="P204" s="9"/>
      <c r="Q204" s="8">
        <f t="shared" ref="Q204:AV204" si="1026">Q191/Q$23*1000</f>
        <v>286.07995181811339</v>
      </c>
      <c r="R204" s="8">
        <f t="shared" si="1026"/>
        <v>271.52949662467751</v>
      </c>
      <c r="S204" s="8">
        <f t="shared" si="1026"/>
        <v>297.29729729729729</v>
      </c>
      <c r="T204" s="8">
        <f t="shared" si="1026"/>
        <v>265.45454545454544</v>
      </c>
      <c r="U204" s="38">
        <f t="shared" si="1026"/>
        <v>279.92674701789684</v>
      </c>
      <c r="V204" s="8">
        <f t="shared" si="1026"/>
        <v>282.75862068965517</v>
      </c>
      <c r="W204" s="8">
        <f t="shared" si="1026"/>
        <v>269.62962962962962</v>
      </c>
      <c r="X204" s="8">
        <f t="shared" si="1026"/>
        <v>288.93905191873586</v>
      </c>
      <c r="Y204" s="8">
        <f t="shared" si="1026"/>
        <v>262.5</v>
      </c>
      <c r="Z204" s="38">
        <f t="shared" si="1026"/>
        <v>275.82335329341316</v>
      </c>
      <c r="AA204" s="8">
        <f t="shared" si="1026"/>
        <v>290.69767441860466</v>
      </c>
      <c r="AB204" s="8">
        <f t="shared" si="1026"/>
        <v>267.44186046511624</v>
      </c>
      <c r="AC204" s="8">
        <f t="shared" si="1026"/>
        <v>282.14037526059764</v>
      </c>
      <c r="AD204" s="8">
        <f t="shared" si="1026"/>
        <v>265.14131897711979</v>
      </c>
      <c r="AE204" s="38">
        <f t="shared" si="1026"/>
        <v>276.07149054311992</v>
      </c>
      <c r="AF204" s="8">
        <f t="shared" si="1026"/>
        <v>253.77426312005753</v>
      </c>
      <c r="AG204" s="8">
        <f t="shared" si="1026"/>
        <v>262.4821683309558</v>
      </c>
      <c r="AH204" s="8">
        <f t="shared" si="1026"/>
        <v>256.16835994194486</v>
      </c>
      <c r="AI204" s="8">
        <f t="shared" si="1026"/>
        <v>266.52298850574715</v>
      </c>
      <c r="AJ204" s="38">
        <f t="shared" si="1026"/>
        <v>259.75193241056979</v>
      </c>
      <c r="AK204" s="8">
        <f t="shared" si="1026"/>
        <v>236.26787057938301</v>
      </c>
      <c r="AL204" s="8">
        <f t="shared" si="1026"/>
        <v>217.73049645390071</v>
      </c>
      <c r="AM204" s="8">
        <f t="shared" si="1026"/>
        <v>218.93063583815029</v>
      </c>
      <c r="AN204" s="8">
        <f t="shared" si="1026"/>
        <v>218.13031161473086</v>
      </c>
      <c r="AO204" s="38">
        <f t="shared" si="1026"/>
        <v>222.58355916892504</v>
      </c>
      <c r="AP204" s="8">
        <f t="shared" si="1026"/>
        <v>221.74840085287846</v>
      </c>
      <c r="AQ204" s="8">
        <f t="shared" si="1026"/>
        <v>196.93806541405706</v>
      </c>
      <c r="AR204" s="8">
        <f t="shared" si="1026"/>
        <v>211.71489061397318</v>
      </c>
      <c r="AS204" s="8">
        <f t="shared" si="1026"/>
        <v>205.3388090349076</v>
      </c>
      <c r="AT204" s="38">
        <f t="shared" si="1026"/>
        <v>208.84306186648024</v>
      </c>
      <c r="AU204" s="8">
        <f t="shared" si="1026"/>
        <v>226.17354196301565</v>
      </c>
      <c r="AV204" s="8">
        <f t="shared" si="1026"/>
        <v>236.0248447204969</v>
      </c>
      <c r="AW204" s="8">
        <f t="shared" ref="AW204:CB204" si="1027">AW191/AW$23*1000</f>
        <v>253.8787023977433</v>
      </c>
      <c r="AX204" s="8">
        <f t="shared" si="1027"/>
        <v>234.44976076555025</v>
      </c>
      <c r="AY204" s="38">
        <f t="shared" si="1027"/>
        <v>237.62203626220364</v>
      </c>
      <c r="AZ204" s="8">
        <f t="shared" si="1027"/>
        <v>238.22341857335127</v>
      </c>
      <c r="BA204" s="8">
        <f t="shared" si="1027"/>
        <v>254.46428571428569</v>
      </c>
      <c r="BB204" s="8">
        <f t="shared" si="1027"/>
        <v>245.77656675749319</v>
      </c>
      <c r="BC204" s="8">
        <f t="shared" si="1027"/>
        <v>245.66160520607374</v>
      </c>
      <c r="BD204" s="38">
        <f t="shared" si="1027"/>
        <v>246.10129214317541</v>
      </c>
      <c r="BE204" s="8">
        <f t="shared" si="1027"/>
        <v>244.1797509474824</v>
      </c>
      <c r="BF204" s="8">
        <f t="shared" si="1027"/>
        <v>254.43786982248523</v>
      </c>
      <c r="BG204" s="8">
        <f t="shared" si="1027"/>
        <v>229.54420647995607</v>
      </c>
      <c r="BH204" s="8">
        <f t="shared" si="1027"/>
        <v>227.80569514237857</v>
      </c>
      <c r="BI204" s="38">
        <f t="shared" si="1027"/>
        <v>239.1363760590325</v>
      </c>
      <c r="BJ204" s="8">
        <f t="shared" si="1027"/>
        <v>230.68245910885506</v>
      </c>
      <c r="BK204" s="8">
        <f t="shared" si="1027"/>
        <v>227.60155815247634</v>
      </c>
      <c r="BL204" s="8">
        <f t="shared" si="1027"/>
        <v>232.80721533258173</v>
      </c>
      <c r="BM204" s="8">
        <f t="shared" si="1027"/>
        <v>224.91544532130777</v>
      </c>
      <c r="BN204" s="38">
        <f t="shared" si="1027"/>
        <v>228.9969092441697</v>
      </c>
      <c r="BO204" s="8">
        <f t="shared" si="1027"/>
        <v>252.06124852767965</v>
      </c>
      <c r="BP204" s="8">
        <f t="shared" si="1027"/>
        <v>239.77900552486187</v>
      </c>
      <c r="BQ204" s="8">
        <f t="shared" si="1027"/>
        <v>231.2362030905077</v>
      </c>
      <c r="BR204" s="8">
        <f t="shared" si="1027"/>
        <v>216.82665160926032</v>
      </c>
      <c r="BS204" s="38">
        <f t="shared" si="1027"/>
        <v>234.8046819912565</v>
      </c>
      <c r="BT204" s="8">
        <f t="shared" si="1027"/>
        <v>264.30205949656749</v>
      </c>
      <c r="BU204" s="8">
        <f t="shared" si="1027"/>
        <v>246.34542501353545</v>
      </c>
      <c r="BV204" s="8">
        <f t="shared" si="1027"/>
        <v>241.62548050521693</v>
      </c>
      <c r="BW204" s="8">
        <f t="shared" si="1027"/>
        <v>252.27637921799678</v>
      </c>
      <c r="BX204" s="38">
        <f t="shared" si="1027"/>
        <v>250.99546890017848</v>
      </c>
      <c r="BY204" s="8">
        <f t="shared" si="1027"/>
        <v>272.47807017543857</v>
      </c>
      <c r="BZ204" s="8">
        <f t="shared" si="1027"/>
        <v>263.90346274921302</v>
      </c>
      <c r="CA204" s="8">
        <f t="shared" si="1027"/>
        <v>265.82278481012656</v>
      </c>
      <c r="CB204" s="8">
        <f t="shared" si="1027"/>
        <v>280.38325769036817</v>
      </c>
      <c r="CC204" s="38">
        <f t="shared" ref="CC204:DH204" si="1028">CC191/CC$23*1000</f>
        <v>270.78353253652062</v>
      </c>
      <c r="CD204" s="8">
        <f t="shared" si="1028"/>
        <v>285.24945770065074</v>
      </c>
      <c r="CE204" s="8">
        <f t="shared" si="1028"/>
        <v>269.12787586944893</v>
      </c>
      <c r="CF204" s="8">
        <f t="shared" si="1028"/>
        <v>279.82407916437603</v>
      </c>
      <c r="CG204" s="8">
        <f t="shared" si="1028"/>
        <v>261.82618261826184</v>
      </c>
      <c r="CH204" s="38">
        <f t="shared" si="1028"/>
        <v>274.01360544217687</v>
      </c>
      <c r="CI204" s="8">
        <f t="shared" si="1028"/>
        <v>294.63307776560788</v>
      </c>
      <c r="CJ204" s="8">
        <f t="shared" si="1028"/>
        <v>294.65240641711233</v>
      </c>
      <c r="CK204" s="8">
        <f t="shared" si="1028"/>
        <v>302.37580993520521</v>
      </c>
      <c r="CL204" s="8">
        <f t="shared" si="1028"/>
        <v>307.73480662983428</v>
      </c>
      <c r="CM204" s="38">
        <f t="shared" si="1028"/>
        <v>299.80973090513726</v>
      </c>
      <c r="CN204" s="8">
        <f t="shared" si="1028"/>
        <v>339.60113960113961</v>
      </c>
      <c r="CO204" s="8">
        <f t="shared" si="1028"/>
        <v>290.09304871373837</v>
      </c>
      <c r="CP204" s="8">
        <f t="shared" si="1028"/>
        <v>299.49238578680206</v>
      </c>
      <c r="CQ204" s="8">
        <f t="shared" si="1028"/>
        <v>287.90459965928449</v>
      </c>
      <c r="CR204" s="38">
        <f t="shared" si="1028"/>
        <v>304.10342889263632</v>
      </c>
      <c r="CS204" s="8">
        <f t="shared" si="1028"/>
        <v>331.97437390797904</v>
      </c>
      <c r="CT204" s="8">
        <f t="shared" si="1028"/>
        <v>327.32394366197184</v>
      </c>
      <c r="CU204" s="8">
        <f t="shared" si="1028"/>
        <v>365.47344110854499</v>
      </c>
      <c r="CV204" s="8">
        <f t="shared" si="1028"/>
        <v>376.79351216469121</v>
      </c>
      <c r="CW204" s="38">
        <f t="shared" si="1028"/>
        <v>349.78760802695183</v>
      </c>
      <c r="CX204" s="8">
        <f t="shared" si="1028"/>
        <v>377.02607470049333</v>
      </c>
      <c r="CY204" s="8">
        <f t="shared" si="1028"/>
        <v>309.70942593905033</v>
      </c>
      <c r="CZ204" s="8">
        <f t="shared" si="1028"/>
        <v>337.88395904436857</v>
      </c>
      <c r="DA204" s="8">
        <f t="shared" si="1028"/>
        <v>341.78905206942591</v>
      </c>
      <c r="DB204" s="38">
        <f t="shared" si="1028"/>
        <v>341.61919558087345</v>
      </c>
      <c r="DC204" s="8">
        <f t="shared" si="1028"/>
        <v>347.24091520861373</v>
      </c>
      <c r="DD204" s="8">
        <f t="shared" si="1028"/>
        <v>344.80600750938675</v>
      </c>
      <c r="DE204" s="8">
        <f t="shared" si="1028"/>
        <v>316.34555624611562</v>
      </c>
      <c r="DF204" s="8">
        <f t="shared" si="1028"/>
        <v>293.31756357185094</v>
      </c>
      <c r="DG204" s="38">
        <f t="shared" si="1028"/>
        <v>324.56140350877195</v>
      </c>
      <c r="DH204" s="8">
        <f t="shared" si="1028"/>
        <v>332.91457286432166</v>
      </c>
      <c r="DI204" s="8">
        <f t="shared" ref="DI204:EA204" si="1029">DI191/DI$23*1000</f>
        <v>338.39611178614825</v>
      </c>
      <c r="DJ204" s="8">
        <f t="shared" si="1029"/>
        <v>347.12785670166767</v>
      </c>
      <c r="DK204" s="8">
        <f t="shared" si="1029"/>
        <v>358.24583075972822</v>
      </c>
      <c r="DL204" s="38">
        <f t="shared" si="1029"/>
        <v>344.19394688079063</v>
      </c>
      <c r="DM204" s="8">
        <f t="shared" si="1029"/>
        <v>338.3270911360799</v>
      </c>
      <c r="DN204" s="8">
        <f t="shared" si="1029"/>
        <v>335.36585365853659</v>
      </c>
      <c r="DO204" s="8">
        <f t="shared" si="1029"/>
        <v>328.125</v>
      </c>
      <c r="DP204" s="8">
        <f t="shared" si="1029"/>
        <v>343.96936821952778</v>
      </c>
      <c r="DQ204" s="38">
        <f t="shared" si="1029"/>
        <v>336.40193477921673</v>
      </c>
      <c r="DR204" s="8">
        <f t="shared" si="1029"/>
        <v>334.47787812819325</v>
      </c>
      <c r="DS204" s="8">
        <f t="shared" si="1029"/>
        <v>351.44927536231887</v>
      </c>
      <c r="DT204" s="8">
        <f t="shared" si="1029"/>
        <v>350.57821059038349</v>
      </c>
      <c r="DU204" s="8">
        <f t="shared" si="1029"/>
        <v>380.26474127557157</v>
      </c>
      <c r="DV204" s="38">
        <f t="shared" si="1029"/>
        <v>354.46616660980726</v>
      </c>
      <c r="DW204" s="8">
        <f t="shared" si="1029"/>
        <v>388.27160493827159</v>
      </c>
      <c r="DX204" s="8">
        <f t="shared" si="1029"/>
        <v>348.68051656372825</v>
      </c>
      <c r="DY204" s="8">
        <f t="shared" si="1029"/>
        <v>346.98521046643913</v>
      </c>
      <c r="DZ204" s="8">
        <f t="shared" si="1029"/>
        <v>353.88192593432768</v>
      </c>
      <c r="EA204" s="38">
        <f t="shared" si="1029"/>
        <v>358.84026985250568</v>
      </c>
      <c r="EB204" s="8">
        <f t="shared" ref="EB204:EF204" si="1030">EB191/EB$23*1000</f>
        <v>383.52611586525819</v>
      </c>
      <c r="EC204" s="8">
        <f t="shared" si="1030"/>
        <v>327.4587833996589</v>
      </c>
      <c r="ED204" s="8">
        <f t="shared" si="1030"/>
        <v>338.78504672897196</v>
      </c>
      <c r="EE204" s="8">
        <f t="shared" si="1030"/>
        <v>344.41087613293053</v>
      </c>
      <c r="EF204" s="38">
        <f t="shared" si="1030"/>
        <v>348.0341910682564</v>
      </c>
      <c r="EG204" s="8">
        <f>EG191/EG$23*1000</f>
        <v>354.6099290780142</v>
      </c>
      <c r="EH204" s="8">
        <f>EH191/EH$23*1000</f>
        <v>325.39184952978059</v>
      </c>
      <c r="EI204" s="8">
        <f>EI191/EI$23*1000</f>
        <v>322.10927573062258</v>
      </c>
      <c r="EJ204" s="8">
        <f t="shared" ref="EJ204:EK204" si="1031">EJ191/EJ$23*1000</f>
        <v>287.11727325245522</v>
      </c>
      <c r="EK204" s="38">
        <f t="shared" si="1031"/>
        <v>321.34552782514334</v>
      </c>
      <c r="EL204" s="8">
        <f>EL191/EL$23*1000</f>
        <v>356.15577889447235</v>
      </c>
      <c r="EM204" s="8">
        <f>EM191/EM$23*1000</f>
        <v>302.46913580246917</v>
      </c>
      <c r="EN204" s="8">
        <f>EN191/EN$23*1000</f>
        <v>325.14177693761815</v>
      </c>
      <c r="EO204" s="8">
        <f t="shared" ref="EO204:EP204" si="1032">EO191/EO$23*1000</f>
        <v>327.29544034978136</v>
      </c>
      <c r="EP204" s="38">
        <f t="shared" si="1032"/>
        <v>327.65625</v>
      </c>
      <c r="EQ204" s="8">
        <f>EQ191/EQ$23*1000</f>
        <v>314.62140992167105</v>
      </c>
      <c r="ER204" s="8">
        <f t="shared" ref="ER204" si="1033">ER191/ER$23*1000</f>
        <v>292.63924014707641</v>
      </c>
      <c r="ES204" s="8">
        <f t="shared" ref="ES204:EZ204" si="1034">ES191/ES$23*1000</f>
        <v>307.23407983080227</v>
      </c>
      <c r="ET204" s="8">
        <f t="shared" si="1034"/>
        <v>304.45655113320436</v>
      </c>
      <c r="EU204" s="38">
        <f t="shared" si="1034"/>
        <v>304.6568640936419</v>
      </c>
      <c r="EV204" s="8" t="e">
        <f t="shared" si="1034"/>
        <v>#DIV/0!</v>
      </c>
      <c r="EW204" s="8" t="e">
        <f t="shared" si="1034"/>
        <v>#DIV/0!</v>
      </c>
      <c r="EX204" s="8" t="e">
        <f t="shared" si="1034"/>
        <v>#DIV/0!</v>
      </c>
      <c r="EY204" s="8" t="e">
        <f t="shared" si="1034"/>
        <v>#DIV/0!</v>
      </c>
      <c r="EZ204" s="38">
        <f t="shared" si="1034"/>
        <v>296.62413613234935</v>
      </c>
      <c r="FA204" s="8" t="e">
        <f t="shared" ref="FA204:FE204" si="1035">FA191/FA$23*1000</f>
        <v>#DIV/0!</v>
      </c>
      <c r="FB204" s="8" t="e">
        <f t="shared" si="1035"/>
        <v>#DIV/0!</v>
      </c>
      <c r="FC204" s="8" t="e">
        <f t="shared" si="1035"/>
        <v>#DIV/0!</v>
      </c>
      <c r="FD204" s="8" t="e">
        <f t="shared" si="1035"/>
        <v>#DIV/0!</v>
      </c>
      <c r="FE204" s="38">
        <f t="shared" si="1035"/>
        <v>295.50351558888298</v>
      </c>
      <c r="FF204" s="44"/>
      <c r="FG204" s="490"/>
      <c r="FH204" s="776"/>
      <c r="FI204" s="776"/>
      <c r="FJ204" s="776"/>
      <c r="FK204" s="83"/>
      <c r="FL204" s="1346"/>
      <c r="FM204" s="1155">
        <f t="shared" si="999"/>
        <v>314.62140992167105</v>
      </c>
      <c r="FN204" s="1428">
        <f t="shared" si="1000"/>
        <v>356.15577889447235</v>
      </c>
      <c r="FO204" s="1816">
        <v>344.50645705391622</v>
      </c>
      <c r="FP204" s="1733">
        <f>+FM204/FN204-1</f>
        <v>-0.11661854568730101</v>
      </c>
      <c r="FQ204" s="1519">
        <f>+FM204/FO204-1</f>
        <v>-8.6747422349671921E-2</v>
      </c>
      <c r="FR204" s="1619"/>
      <c r="FS204" s="1631" t="s">
        <v>820</v>
      </c>
      <c r="FT204" s="354"/>
      <c r="FU204" s="354"/>
      <c r="FV204" s="354"/>
      <c r="FW204" s="354"/>
      <c r="FX204" s="354"/>
      <c r="FY204" s="354"/>
      <c r="FZ204" s="490"/>
      <c r="GA204"/>
      <c r="GB204"/>
      <c r="GC204"/>
      <c r="GD204"/>
      <c r="GE204"/>
      <c r="GF204"/>
      <c r="GG204"/>
      <c r="GH204"/>
      <c r="GI204"/>
      <c r="GJ204"/>
      <c r="GK204"/>
      <c r="GL204"/>
      <c r="GM204"/>
      <c r="GN204"/>
      <c r="GO204"/>
      <c r="GP204"/>
      <c r="GQ204"/>
      <c r="GR204"/>
      <c r="GS204"/>
      <c r="GT204"/>
      <c r="GU204"/>
      <c r="GV204"/>
      <c r="GW204"/>
      <c r="GX204"/>
      <c r="GY204"/>
      <c r="GZ204"/>
      <c r="HA204"/>
      <c r="HB204"/>
      <c r="HC204"/>
      <c r="HD204"/>
      <c r="HE204"/>
      <c r="HF204"/>
      <c r="HG204"/>
      <c r="HH204"/>
      <c r="HI204"/>
      <c r="HJ204"/>
      <c r="HK204"/>
      <c r="HL204"/>
      <c r="HM204"/>
      <c r="HN204"/>
      <c r="HO204"/>
      <c r="HP204"/>
      <c r="HQ204"/>
      <c r="HR204"/>
      <c r="HS204"/>
      <c r="HT204"/>
      <c r="HU204"/>
      <c r="HV204"/>
      <c r="HW204"/>
      <c r="HX204"/>
      <c r="HY204"/>
      <c r="HZ204"/>
      <c r="IA204"/>
      <c r="IB204"/>
      <c r="IC204"/>
      <c r="ID204"/>
      <c r="IE204"/>
      <c r="IF204"/>
      <c r="IG204"/>
      <c r="IH204"/>
      <c r="II204"/>
      <c r="IJ204"/>
      <c r="IK204"/>
      <c r="IL204"/>
      <c r="IM204"/>
      <c r="IN204"/>
      <c r="IO204"/>
      <c r="IP204"/>
      <c r="IQ204"/>
      <c r="IR204"/>
      <c r="IS204"/>
      <c r="IT204"/>
      <c r="IU204"/>
      <c r="IV204"/>
      <c r="IW204"/>
      <c r="IX204"/>
    </row>
    <row r="205" spans="1:258" s="45" customFormat="1" x14ac:dyDescent="0.2">
      <c r="A205" s="559" t="s">
        <v>465</v>
      </c>
      <c r="B205" s="10"/>
      <c r="C205" s="10"/>
      <c r="D205" s="10"/>
      <c r="E205" s="10"/>
      <c r="F205" s="9"/>
      <c r="G205" s="10"/>
      <c r="H205" s="10"/>
      <c r="I205" s="10"/>
      <c r="J205" s="10"/>
      <c r="K205" s="9"/>
      <c r="L205" s="10"/>
      <c r="M205" s="10"/>
      <c r="N205" s="10"/>
      <c r="O205" s="10"/>
      <c r="P205" s="9"/>
      <c r="Q205" s="10"/>
      <c r="R205" s="10"/>
      <c r="S205" s="10"/>
      <c r="T205" s="10"/>
      <c r="U205" s="9"/>
      <c r="V205" s="10">
        <f t="shared" ref="V205:BA205" si="1036">V204/Q204-1</f>
        <v>-1.160980036297643E-2</v>
      </c>
      <c r="W205" s="10">
        <f t="shared" si="1036"/>
        <v>-6.9969083236433027E-3</v>
      </c>
      <c r="X205" s="10">
        <f t="shared" si="1036"/>
        <v>-2.8114098091524875E-2</v>
      </c>
      <c r="Y205" s="10">
        <f t="shared" si="1036"/>
        <v>-1.1130136986301276E-2</v>
      </c>
      <c r="Z205" s="9">
        <f t="shared" si="1036"/>
        <v>-1.4658812593643766E-2</v>
      </c>
      <c r="AA205" s="10">
        <f t="shared" si="1036"/>
        <v>2.8077141236528602E-2</v>
      </c>
      <c r="AB205" s="10">
        <f t="shared" si="1036"/>
        <v>-8.1139790442117388E-3</v>
      </c>
      <c r="AC205" s="10">
        <f t="shared" si="1036"/>
        <v>-2.3529794996525299E-2</v>
      </c>
      <c r="AD205" s="10">
        <f t="shared" si="1036"/>
        <v>1.0062167531884825E-2</v>
      </c>
      <c r="AE205" s="9">
        <f t="shared" si="1036"/>
        <v>8.9962378726782255E-4</v>
      </c>
      <c r="AF205" s="10">
        <f t="shared" si="1036"/>
        <v>-0.12701653486700215</v>
      </c>
      <c r="AG205" s="10">
        <f t="shared" si="1036"/>
        <v>-1.8544935805991147E-2</v>
      </c>
      <c r="AH205" s="10">
        <f t="shared" si="1036"/>
        <v>-9.2053522274732402E-2</v>
      </c>
      <c r="AI205" s="10">
        <f t="shared" si="1036"/>
        <v>5.2110683237063249E-3</v>
      </c>
      <c r="AJ205" s="9">
        <f t="shared" si="1036"/>
        <v>-5.9113522009985209E-2</v>
      </c>
      <c r="AK205" s="10">
        <f t="shared" si="1036"/>
        <v>-6.8984113382657863E-2</v>
      </c>
      <c r="AL205" s="10">
        <f t="shared" si="1036"/>
        <v>-0.17049414122725881</v>
      </c>
      <c r="AM205" s="10">
        <f t="shared" si="1036"/>
        <v>-0.14536426009923198</v>
      </c>
      <c r="AN205" s="10">
        <f t="shared" si="1036"/>
        <v>-0.18157036720295061</v>
      </c>
      <c r="AO205" s="9">
        <f t="shared" si="1036"/>
        <v>-0.14309180646593067</v>
      </c>
      <c r="AP205" s="10">
        <f t="shared" si="1036"/>
        <v>-6.1453424415683244E-2</v>
      </c>
      <c r="AQ205" s="10">
        <f t="shared" si="1036"/>
        <v>-9.5496181648793255E-2</v>
      </c>
      <c r="AR205" s="10">
        <f t="shared" si="1036"/>
        <v>-3.2959047492610916E-2</v>
      </c>
      <c r="AS205" s="10">
        <f t="shared" si="1036"/>
        <v>-5.8641563775033934E-2</v>
      </c>
      <c r="AT205" s="9">
        <f t="shared" si="1036"/>
        <v>-6.1731860851486964E-2</v>
      </c>
      <c r="AU205" s="10">
        <f t="shared" si="1036"/>
        <v>1.9955684429368681E-2</v>
      </c>
      <c r="AV205" s="10">
        <f t="shared" si="1036"/>
        <v>0.19847244474683401</v>
      </c>
      <c r="AW205" s="10">
        <f t="shared" si="1036"/>
        <v>0.19915373765867428</v>
      </c>
      <c r="AX205" s="10">
        <f t="shared" si="1036"/>
        <v>0.14177033492822977</v>
      </c>
      <c r="AY205" s="9">
        <f t="shared" si="1036"/>
        <v>0.13780191756680282</v>
      </c>
      <c r="AZ205" s="10">
        <f t="shared" si="1036"/>
        <v>5.3277127402930446E-2</v>
      </c>
      <c r="BA205" s="10">
        <f t="shared" si="1036"/>
        <v>7.8124999999999778E-2</v>
      </c>
      <c r="BB205" s="10">
        <f t="shared" ref="BB205:CG205" si="1037">BB204/AW204-1</f>
        <v>-3.1913412049651813E-2</v>
      </c>
      <c r="BC205" s="10">
        <f t="shared" si="1037"/>
        <v>4.7821948736110453E-2</v>
      </c>
      <c r="BD205" s="9">
        <f t="shared" si="1037"/>
        <v>3.5683794375094724E-2</v>
      </c>
      <c r="BE205" s="10">
        <f t="shared" si="1037"/>
        <v>2.5003135333217186E-2</v>
      </c>
      <c r="BF205" s="10">
        <f t="shared" si="1037"/>
        <v>-1.0380982040880671E-4</v>
      </c>
      <c r="BG205" s="10">
        <f t="shared" si="1037"/>
        <v>-6.6045190929668762E-2</v>
      </c>
      <c r="BH205" s="10">
        <f t="shared" si="1037"/>
        <v>-7.2684984895041715E-2</v>
      </c>
      <c r="BI205" s="9">
        <f t="shared" si="1037"/>
        <v>-2.8301013877208403E-2</v>
      </c>
      <c r="BJ205" s="10">
        <f t="shared" si="1037"/>
        <v>-5.5276048838014846E-2</v>
      </c>
      <c r="BK205" s="10">
        <f t="shared" si="1037"/>
        <v>-0.10547294586584888</v>
      </c>
      <c r="BL205" s="10">
        <f t="shared" si="1037"/>
        <v>1.4215165360361937E-2</v>
      </c>
      <c r="BM205" s="10">
        <f t="shared" si="1037"/>
        <v>-1.2687346641024E-2</v>
      </c>
      <c r="BN205" s="9">
        <f t="shared" si="1037"/>
        <v>-4.2400353229237742E-2</v>
      </c>
      <c r="BO205" s="10">
        <f t="shared" si="1037"/>
        <v>9.2676268067422907E-2</v>
      </c>
      <c r="BP205" s="10">
        <f t="shared" si="1037"/>
        <v>5.3503356792608203E-2</v>
      </c>
      <c r="BQ205" s="10">
        <f t="shared" si="1037"/>
        <v>-6.7481252238240641E-3</v>
      </c>
      <c r="BR205" s="10">
        <f t="shared" si="1037"/>
        <v>-3.596370938639637E-2</v>
      </c>
      <c r="BS205" s="9">
        <f t="shared" si="1037"/>
        <v>2.5361795345867355E-2</v>
      </c>
      <c r="BT205" s="10">
        <f t="shared" si="1037"/>
        <v>4.8562843516755994E-2</v>
      </c>
      <c r="BU205" s="10">
        <f t="shared" si="1037"/>
        <v>2.7385297867509539E-2</v>
      </c>
      <c r="BV205" s="10">
        <f t="shared" si="1037"/>
        <v>4.4929285621606585E-2</v>
      </c>
      <c r="BW205" s="10">
        <f t="shared" si="1037"/>
        <v>0.1634934051955006</v>
      </c>
      <c r="BX205" s="9">
        <f t="shared" si="1037"/>
        <v>6.8954276258958336E-2</v>
      </c>
      <c r="BY205" s="10">
        <f t="shared" si="1037"/>
        <v>3.0934343434343425E-2</v>
      </c>
      <c r="BZ205" s="10">
        <f t="shared" si="1037"/>
        <v>7.1274056478673575E-2</v>
      </c>
      <c r="CA205" s="10">
        <f t="shared" si="1037"/>
        <v>0.10014384349827377</v>
      </c>
      <c r="CB205" s="10">
        <f t="shared" si="1037"/>
        <v>0.11141304056882673</v>
      </c>
      <c r="CC205" s="9">
        <f t="shared" si="1037"/>
        <v>7.8838330122253719E-2</v>
      </c>
      <c r="CD205" s="10">
        <f t="shared" si="1037"/>
        <v>4.687124918709662E-2</v>
      </c>
      <c r="CE205" s="10">
        <f t="shared" si="1037"/>
        <v>1.9796682718031144E-2</v>
      </c>
      <c r="CF205" s="10">
        <f t="shared" si="1037"/>
        <v>5.2671535904081246E-2</v>
      </c>
      <c r="CG205" s="10">
        <f t="shared" si="1037"/>
        <v>-6.6184676021559086E-2</v>
      </c>
      <c r="CH205" s="9">
        <f t="shared" ref="CH205:DM205" si="1038">CH204/CC204-1</f>
        <v>1.192861646865695E-2</v>
      </c>
      <c r="CI205" s="10">
        <f t="shared" si="1038"/>
        <v>3.2896188972967533E-2</v>
      </c>
      <c r="CJ205" s="10">
        <f t="shared" si="1038"/>
        <v>9.4841645315274059E-2</v>
      </c>
      <c r="CK205" s="10">
        <f t="shared" si="1038"/>
        <v>8.0592530986519195E-2</v>
      </c>
      <c r="CL205" s="10">
        <f t="shared" si="1038"/>
        <v>0.17534008078369467</v>
      </c>
      <c r="CM205" s="9">
        <f t="shared" si="1038"/>
        <v>9.414176869551083E-2</v>
      </c>
      <c r="CN205" s="10">
        <f t="shared" si="1038"/>
        <v>0.1526239422150204</v>
      </c>
      <c r="CO205" s="10">
        <f t="shared" si="1038"/>
        <v>-1.5473682223791863E-2</v>
      </c>
      <c r="CP205" s="10">
        <f t="shared" si="1038"/>
        <v>-9.5358955765046938E-3</v>
      </c>
      <c r="CQ205" s="10">
        <f t="shared" si="1038"/>
        <v>-6.4439272202325149E-2</v>
      </c>
      <c r="CR205" s="9">
        <f t="shared" si="1038"/>
        <v>1.4321409697197751E-2</v>
      </c>
      <c r="CS205" s="10">
        <f t="shared" si="1038"/>
        <v>-2.2458009717276517E-2</v>
      </c>
      <c r="CT205" s="10">
        <f t="shared" si="1038"/>
        <v>0.12834121711400481</v>
      </c>
      <c r="CU205" s="10">
        <f t="shared" si="1038"/>
        <v>0.22030962539632815</v>
      </c>
      <c r="CV205" s="10">
        <f t="shared" si="1038"/>
        <v>0.30874432923475581</v>
      </c>
      <c r="CW205" s="9">
        <f t="shared" si="1038"/>
        <v>0.15022579423280469</v>
      </c>
      <c r="CX205" s="10">
        <f t="shared" si="1038"/>
        <v>0.13570836887850346</v>
      </c>
      <c r="CY205" s="10">
        <f t="shared" si="1038"/>
        <v>-5.381371593491513E-2</v>
      </c>
      <c r="CZ205" s="10">
        <f t="shared" si="1038"/>
        <v>-7.5489704478915565E-2</v>
      </c>
      <c r="DA205" s="10">
        <f t="shared" si="1038"/>
        <v>-9.2900909822367983E-2</v>
      </c>
      <c r="DB205" s="9">
        <f t="shared" si="1038"/>
        <v>-2.3352492365735777E-2</v>
      </c>
      <c r="DC205" s="10">
        <f t="shared" si="1038"/>
        <v>-7.9000264147620847E-2</v>
      </c>
      <c r="DD205" s="10">
        <f t="shared" si="1038"/>
        <v>0.11332099907493065</v>
      </c>
      <c r="DE205" s="10">
        <f t="shared" si="1038"/>
        <v>-6.3744969897859716E-2</v>
      </c>
      <c r="DF205" s="10">
        <f t="shared" si="1038"/>
        <v>-0.14181697220579548</v>
      </c>
      <c r="DG205" s="9">
        <f t="shared" si="1038"/>
        <v>-4.993218265471655E-2</v>
      </c>
      <c r="DH205" s="10">
        <f t="shared" si="1038"/>
        <v>-4.1257644813213257E-2</v>
      </c>
      <c r="DI205" s="10">
        <f t="shared" si="1038"/>
        <v>-1.8589860917849532E-2</v>
      </c>
      <c r="DJ205" s="10">
        <f t="shared" si="1038"/>
        <v>9.7305936017648698E-2</v>
      </c>
      <c r="DK205" s="10">
        <f t="shared" si="1038"/>
        <v>0.22135826575544448</v>
      </c>
      <c r="DL205" s="9">
        <f t="shared" si="1038"/>
        <v>6.0489457957030535E-2</v>
      </c>
      <c r="DM205" s="10">
        <f t="shared" si="1038"/>
        <v>1.6257979412526602E-2</v>
      </c>
      <c r="DN205" s="10">
        <f t="shared" ref="DN205:ED205" si="1039">DN204/DI204-1</f>
        <v>-8.9547663878792871E-3</v>
      </c>
      <c r="DO205" s="10">
        <f t="shared" si="1039"/>
        <v>-5.4743104982206359E-2</v>
      </c>
      <c r="DP205" s="10">
        <f t="shared" si="1039"/>
        <v>-3.9851022159628435E-2</v>
      </c>
      <c r="DQ205" s="9">
        <f t="shared" si="1039"/>
        <v>-2.2638434441360489E-2</v>
      </c>
      <c r="DR205" s="10">
        <f t="shared" si="1039"/>
        <v>-1.137719416722216E-2</v>
      </c>
      <c r="DS205" s="10">
        <f t="shared" si="1039"/>
        <v>4.7957839262187107E-2</v>
      </c>
      <c r="DT205" s="10">
        <f t="shared" si="1039"/>
        <v>6.8428832275454488E-2</v>
      </c>
      <c r="DU205" s="10">
        <f t="shared" si="1039"/>
        <v>0.10551920144493621</v>
      </c>
      <c r="DV205" s="9">
        <f t="shared" si="1039"/>
        <v>5.3698358906426158E-2</v>
      </c>
      <c r="DW205" s="10">
        <f>DW204/DR204-1</f>
        <v>0.16082895260852248</v>
      </c>
      <c r="DX205" s="10">
        <f t="shared" si="1039"/>
        <v>-7.878117818670205E-3</v>
      </c>
      <c r="DY205" s="10">
        <f t="shared" si="1039"/>
        <v>-1.0248783339653844E-2</v>
      </c>
      <c r="DZ205" s="10">
        <f t="shared" si="1039"/>
        <v>-6.9380125153714167E-2</v>
      </c>
      <c r="EA205" s="9">
        <f>EA204/DV204-1</f>
        <v>1.2339973895205025E-2</v>
      </c>
      <c r="EB205" s="10">
        <f>EB204/DW204-1</f>
        <v>-1.2222086324772174E-2</v>
      </c>
      <c r="EC205" s="10">
        <f t="shared" si="1039"/>
        <v>-6.0862973857016889E-2</v>
      </c>
      <c r="ED205" s="10">
        <f t="shared" si="1039"/>
        <v>-2.3632603033552857E-2</v>
      </c>
      <c r="EE205" s="10">
        <f t="shared" ref="EE205:EQ205" si="1040">EE204/DZ204-1</f>
        <v>-2.6763304671159616E-2</v>
      </c>
      <c r="EF205" s="9">
        <f t="shared" si="1040"/>
        <v>-3.0113896605559076E-2</v>
      </c>
      <c r="EG205" s="10">
        <f t="shared" si="1040"/>
        <v>-7.5395613469521616E-2</v>
      </c>
      <c r="EH205" s="10">
        <f t="shared" si="1040"/>
        <v>-6.3120428422152042E-3</v>
      </c>
      <c r="EI205" s="10">
        <f t="shared" si="1040"/>
        <v>-4.9222275774438162E-2</v>
      </c>
      <c r="EJ205" s="10">
        <f t="shared" si="1040"/>
        <v>-0.16635247853892388</v>
      </c>
      <c r="EK205" s="9">
        <f t="shared" si="1040"/>
        <v>-7.6684026822752327E-2</v>
      </c>
      <c r="EL205" s="10">
        <f t="shared" si="1040"/>
        <v>4.3592964824119562E-3</v>
      </c>
      <c r="EM205" s="10">
        <f t="shared" si="1040"/>
        <v>-7.044649016389537E-2</v>
      </c>
      <c r="EN205" s="10">
        <f t="shared" si="1040"/>
        <v>9.4145106505147957E-3</v>
      </c>
      <c r="EO205" s="10">
        <f t="shared" si="1040"/>
        <v>0.13993643308947989</v>
      </c>
      <c r="EP205" s="9">
        <f t="shared" si="1040"/>
        <v>1.9638431620839558E-2</v>
      </c>
      <c r="EQ205" s="10">
        <f t="shared" si="1040"/>
        <v>-0.11661854568730101</v>
      </c>
      <c r="ER205" s="10">
        <f t="shared" ref="ER205" si="1041">ER204/EM204-1</f>
        <v>-3.2498838697420984E-2</v>
      </c>
      <c r="ES205" s="10">
        <f t="shared" ref="ES205:EZ205" si="1042">ES204/EN204-1</f>
        <v>-5.5076580055265056E-2</v>
      </c>
      <c r="ET205" s="10">
        <f t="shared" si="1042"/>
        <v>-6.9780651976602659E-2</v>
      </c>
      <c r="EU205" s="9">
        <f t="shared" si="1042"/>
        <v>-7.0193643204907841E-2</v>
      </c>
      <c r="EV205" s="80" t="e">
        <f t="shared" si="1042"/>
        <v>#DIV/0!</v>
      </c>
      <c r="EW205" s="80" t="e">
        <f t="shared" si="1042"/>
        <v>#DIV/0!</v>
      </c>
      <c r="EX205" s="80" t="e">
        <f t="shared" si="1042"/>
        <v>#DIV/0!</v>
      </c>
      <c r="EY205" s="80" t="e">
        <f t="shared" si="1042"/>
        <v>#DIV/0!</v>
      </c>
      <c r="EZ205" s="9">
        <f t="shared" si="1042"/>
        <v>-2.6366476216414858E-2</v>
      </c>
      <c r="FA205" s="80" t="e">
        <f t="shared" ref="FA205" si="1043">FA204/EV204-1</f>
        <v>#DIV/0!</v>
      </c>
      <c r="FB205" s="80" t="e">
        <f t="shared" ref="FB205" si="1044">FB204/EW204-1</f>
        <v>#DIV/0!</v>
      </c>
      <c r="FC205" s="80" t="e">
        <f t="shared" ref="FC205" si="1045">FC204/EX204-1</f>
        <v>#DIV/0!</v>
      </c>
      <c r="FD205" s="80" t="e">
        <f t="shared" ref="FD205" si="1046">FD204/EY204-1</f>
        <v>#DIV/0!</v>
      </c>
      <c r="FE205" s="9">
        <f t="shared" ref="FE205" si="1047">FE204/EZ204-1</f>
        <v>-3.7779142253157039E-3</v>
      </c>
      <c r="FF205" s="44"/>
      <c r="FG205" s="490"/>
      <c r="FH205" s="776"/>
      <c r="FI205" s="776"/>
      <c r="FJ205" s="776"/>
      <c r="FK205" s="83"/>
      <c r="FL205" s="1346"/>
      <c r="FM205" s="1141">
        <f t="shared" si="999"/>
        <v>-0.11661854568730101</v>
      </c>
      <c r="FN205" s="1418">
        <f t="shared" si="1000"/>
        <v>4.3592964824119562E-3</v>
      </c>
      <c r="FO205" s="1750">
        <v>-3.2708501534683188E-2</v>
      </c>
      <c r="FP205" s="1762"/>
      <c r="FQ205" s="739"/>
      <c r="FR205" s="1619"/>
      <c r="FS205" s="1297"/>
      <c r="FT205" s="354"/>
      <c r="FU205" s="354"/>
      <c r="FV205" s="354"/>
      <c r="FW205" s="354"/>
      <c r="FX205" s="354"/>
      <c r="FY205" s="354"/>
      <c r="FZ205" s="490"/>
      <c r="GA205"/>
      <c r="GB205"/>
      <c r="GC205"/>
      <c r="GD205"/>
      <c r="GE205"/>
      <c r="GF205"/>
      <c r="GG205"/>
      <c r="GH205"/>
      <c r="GI205"/>
      <c r="GJ205"/>
      <c r="GK205"/>
      <c r="GL205"/>
      <c r="GM205"/>
      <c r="GN205"/>
      <c r="GO205"/>
      <c r="GP205"/>
      <c r="GQ205"/>
      <c r="GR205"/>
      <c r="GS205"/>
      <c r="GT205"/>
      <c r="GU205"/>
      <c r="GV205"/>
      <c r="GW205"/>
      <c r="GX205"/>
      <c r="GY205"/>
      <c r="GZ205"/>
      <c r="HA205"/>
      <c r="HB205"/>
      <c r="HC205"/>
      <c r="HD205"/>
      <c r="HE205"/>
      <c r="HF205"/>
      <c r="HG205"/>
      <c r="HH205"/>
      <c r="HI205"/>
      <c r="HJ205"/>
      <c r="HK205"/>
      <c r="HL205"/>
      <c r="HM205"/>
      <c r="HN205"/>
      <c r="HO205"/>
      <c r="HP205"/>
      <c r="HQ205"/>
      <c r="HR205"/>
      <c r="HS205"/>
      <c r="HT205"/>
      <c r="HU205"/>
      <c r="HV205"/>
      <c r="HW205"/>
      <c r="HX205"/>
      <c r="HY205"/>
      <c r="HZ205"/>
      <c r="IA205"/>
      <c r="IB205"/>
      <c r="IC205"/>
      <c r="ID205"/>
      <c r="IE205"/>
      <c r="IF205"/>
      <c r="IG205"/>
      <c r="IH205"/>
      <c r="II205"/>
      <c r="IJ205"/>
      <c r="IK205"/>
      <c r="IL205"/>
      <c r="IM205"/>
      <c r="IN205"/>
      <c r="IO205"/>
      <c r="IP205"/>
      <c r="IQ205"/>
      <c r="IR205"/>
      <c r="IS205"/>
      <c r="IT205"/>
      <c r="IU205"/>
      <c r="IV205"/>
      <c r="IW205"/>
      <c r="IX205"/>
    </row>
    <row r="206" spans="1:258" s="45" customFormat="1" x14ac:dyDescent="0.2">
      <c r="A206" s="559" t="s">
        <v>336</v>
      </c>
      <c r="B206" s="10"/>
      <c r="C206" s="10"/>
      <c r="D206" s="10"/>
      <c r="E206" s="10"/>
      <c r="F206" s="9"/>
      <c r="G206" s="10"/>
      <c r="H206" s="10"/>
      <c r="I206" s="10"/>
      <c r="J206" s="10"/>
      <c r="K206" s="9"/>
      <c r="L206" s="10"/>
      <c r="M206" s="10"/>
      <c r="N206" s="10"/>
      <c r="O206" s="10"/>
      <c r="P206" s="9"/>
      <c r="Q206" s="55"/>
      <c r="R206" s="55">
        <f>R204/Q204-1</f>
        <v>-5.0861499035370739E-2</v>
      </c>
      <c r="S206" s="55">
        <f>S204/R204-1</f>
        <v>9.489871631971325E-2</v>
      </c>
      <c r="T206" s="55">
        <f>T204/S204-1</f>
        <v>-0.107107438016529</v>
      </c>
      <c r="U206" s="54"/>
      <c r="V206" s="55">
        <f>V204/T204-1</f>
        <v>6.5186584789796997E-2</v>
      </c>
      <c r="W206" s="55">
        <f>W204/V204-1</f>
        <v>-4.6431797651309892E-2</v>
      </c>
      <c r="X206" s="55">
        <f>X204/W204-1</f>
        <v>7.1614615632674239E-2</v>
      </c>
      <c r="Y206" s="55">
        <f>Y204/X204-1</f>
        <v>-9.1503906249999933E-2</v>
      </c>
      <c r="Z206" s="54"/>
      <c r="AA206" s="55">
        <f>AA204/Y204-1</f>
        <v>0.10741971207087486</v>
      </c>
      <c r="AB206" s="55">
        <f>AB204/AA204-1</f>
        <v>-8.0000000000000182E-2</v>
      </c>
      <c r="AC206" s="55">
        <f>AC204/AB204-1</f>
        <v>5.4959664017886878E-2</v>
      </c>
      <c r="AD206" s="55">
        <f>AD204/AC204-1</f>
        <v>-6.0250349733804498E-2</v>
      </c>
      <c r="AE206" s="54"/>
      <c r="AF206" s="55">
        <f>AF204/AD204-1</f>
        <v>-4.2871687826382066E-2</v>
      </c>
      <c r="AG206" s="55">
        <f>AG204/AF204-1</f>
        <v>3.4313586822548148E-2</v>
      </c>
      <c r="AH206" s="55">
        <f>AH204/AG204-1</f>
        <v>-2.4054237395090605E-2</v>
      </c>
      <c r="AI206" s="55">
        <f>AI204/AH204-1</f>
        <v>4.0421184591840076E-2</v>
      </c>
      <c r="AJ206" s="54"/>
      <c r="AK206" s="55">
        <f>AK204/AI204-1</f>
        <v>-0.11351785486118293</v>
      </c>
      <c r="AL206" s="55">
        <f>AL204/AK204-1</f>
        <v>-7.8459140804987171E-2</v>
      </c>
      <c r="AM206" s="55">
        <f>AM204/AL204-1</f>
        <v>5.5120408201689841E-3</v>
      </c>
      <c r="AN206" s="55">
        <f>AN204/AM204-1</f>
        <v>-3.6556063538366601E-3</v>
      </c>
      <c r="AO206" s="54"/>
      <c r="AP206" s="55">
        <f>AP204/AN204-1</f>
        <v>1.6586824689170276E-2</v>
      </c>
      <c r="AQ206" s="55">
        <f>AQ204/AP204-1</f>
        <v>-0.11188507039237727</v>
      </c>
      <c r="AR206" s="55">
        <f>AR204/AQ204-1</f>
        <v>7.503285446035135E-2</v>
      </c>
      <c r="AS206" s="55">
        <f>AS204/AR204-1</f>
        <v>-3.011635865845308E-2</v>
      </c>
      <c r="AT206" s="54"/>
      <c r="AU206" s="55">
        <f>AU204/AS204-1</f>
        <v>0.10146514935988615</v>
      </c>
      <c r="AV206" s="55">
        <f>AV204/AU204-1</f>
        <v>4.3556388921442313E-2</v>
      </c>
      <c r="AW206" s="55">
        <f>AW204/AV204-1</f>
        <v>7.5643975948333386E-2</v>
      </c>
      <c r="AX206" s="55">
        <f>AX204/AW204-1</f>
        <v>-7.652844231791589E-2</v>
      </c>
      <c r="AY206" s="54"/>
      <c r="AZ206" s="55">
        <f>AZ204/AX204-1</f>
        <v>1.6095805751641157E-2</v>
      </c>
      <c r="BA206" s="55">
        <f>BA204/AZ204-1</f>
        <v>6.8174939467312345E-2</v>
      </c>
      <c r="BB206" s="55">
        <f>BB204/BA204-1</f>
        <v>-3.4141211338974076E-2</v>
      </c>
      <c r="BC206" s="55">
        <f>BC204/BB204-1</f>
        <v>-4.6774821918993403E-4</v>
      </c>
      <c r="BD206" s="54"/>
      <c r="BE206" s="55">
        <f>BE204/BC204-1</f>
        <v>-6.0320954808883442E-3</v>
      </c>
      <c r="BF206" s="55">
        <f>BF204/BE204-1</f>
        <v>4.2010522310709897E-2</v>
      </c>
      <c r="BG206" s="55">
        <f>BG204/BF204-1</f>
        <v>-9.7837886160172749E-2</v>
      </c>
      <c r="BH206" s="55">
        <f>BH204/BG204-1</f>
        <v>-7.5737539371498741E-3</v>
      </c>
      <c r="BI206" s="54"/>
      <c r="BJ206" s="55">
        <f>BJ204/BH204-1</f>
        <v>1.26281477057828E-2</v>
      </c>
      <c r="BK206" s="55">
        <f>BK204/BJ204-1</f>
        <v>-1.3355592654424098E-2</v>
      </c>
      <c r="BL206" s="55">
        <f>BL204/BK204-1</f>
        <v>2.2871799395230763E-2</v>
      </c>
      <c r="BM206" s="55">
        <f>BM204/BL204-1</f>
        <v>-3.3898305084745783E-2</v>
      </c>
      <c r="BN206" s="54"/>
      <c r="BO206" s="55">
        <f>BO204/BM204-1</f>
        <v>0.12069337064687646</v>
      </c>
      <c r="BP206" s="55">
        <f>BP204/BO204-1</f>
        <v>-4.8727216399029438E-2</v>
      </c>
      <c r="BQ206" s="55">
        <f>BQ204/BP204-1</f>
        <v>-3.5627816604103857E-2</v>
      </c>
      <c r="BR206" s="55">
        <f>BR204/BQ204-1</f>
        <v>-6.2315291847303667E-2</v>
      </c>
      <c r="BS206" s="54"/>
      <c r="BT206" s="55">
        <f>BT204/BR204-1</f>
        <v>0.21895559210526305</v>
      </c>
      <c r="BU206" s="55">
        <f>BU204/BT204-1</f>
        <v>-6.7939820511558446E-2</v>
      </c>
      <c r="BV206" s="55">
        <f>BV204/BU204-1</f>
        <v>-1.9159862652449067E-2</v>
      </c>
      <c r="BW206" s="55">
        <f>BW204/BV204-1</f>
        <v>4.4080196718118358E-2</v>
      </c>
      <c r="BX206" s="54"/>
      <c r="BY206" s="55">
        <f>BY204/BW204-1</f>
        <v>8.0077615748500808E-2</v>
      </c>
      <c r="BZ206" s="55">
        <f>BZ204/BY204-1</f>
        <v>-3.1468981781560212E-2</v>
      </c>
      <c r="CA206" s="55">
        <f>CA204/BZ204-1</f>
        <v>7.2728187835013891E-3</v>
      </c>
      <c r="CB206" s="55">
        <f>CB204/CA204-1</f>
        <v>5.4775112263766079E-2</v>
      </c>
      <c r="CC206" s="54"/>
      <c r="CD206" s="55">
        <f>CD204/CB204-1</f>
        <v>1.7355529892788324E-2</v>
      </c>
      <c r="CE206" s="55">
        <f>CE204/CD204-1</f>
        <v>-5.6517484594555412E-2</v>
      </c>
      <c r="CF206" s="55">
        <f>CF204/CE204-1</f>
        <v>3.9743944250931973E-2</v>
      </c>
      <c r="CG206" s="55">
        <f>CG204/CF204-1</f>
        <v>-6.4318612607822567E-2</v>
      </c>
      <c r="CH206" s="54"/>
      <c r="CI206" s="55">
        <f>CI204/CG204-1</f>
        <v>0.12530028440730057</v>
      </c>
      <c r="CJ206" s="55">
        <f>CJ204/CI204-1</f>
        <v>6.5602449158319587E-5</v>
      </c>
      <c r="CK206" s="55">
        <f>CK204/CJ204-1</f>
        <v>2.6211913936177389E-2</v>
      </c>
      <c r="CL206" s="55">
        <f>CL204/CK204-1</f>
        <v>1.7722967640094733E-2</v>
      </c>
      <c r="CM206" s="54"/>
      <c r="CN206" s="55">
        <f>CN204/CL204-1</f>
        <v>0.1035512794938287</v>
      </c>
      <c r="CO206" s="55">
        <f>CO204/CN204-1</f>
        <v>-0.14578305286474691</v>
      </c>
      <c r="CP206" s="55">
        <f>CP204/CO204-1</f>
        <v>3.2401111004693117E-2</v>
      </c>
      <c r="CQ206" s="55">
        <f>CQ204/CP204-1</f>
        <v>-3.869142147662652E-2</v>
      </c>
      <c r="CR206" s="54"/>
      <c r="CS206" s="55">
        <f>CS204/CQ204-1</f>
        <v>0.15307075434309891</v>
      </c>
      <c r="CT206" s="55">
        <f>CT204/CS204-1</f>
        <v>-1.4008401284902439E-2</v>
      </c>
      <c r="CU206" s="55">
        <f>CU204/CT204-1</f>
        <v>0.11654966947963397</v>
      </c>
      <c r="CV206" s="55">
        <f>CV204/CU204-1</f>
        <v>3.0973717328981465E-2</v>
      </c>
      <c r="CW206" s="54"/>
      <c r="CX206" s="55">
        <f>CX204/CV204-1</f>
        <v>6.1721480942189544E-4</v>
      </c>
      <c r="CY206" s="55">
        <f>CY204/CX204-1</f>
        <v>-0.17854640110745346</v>
      </c>
      <c r="CZ206" s="55">
        <f>CZ204/CY204-1</f>
        <v>9.0970860896119055E-2</v>
      </c>
      <c r="DA206" s="55">
        <f>DA204/CZ204-1</f>
        <v>1.1557497538805972E-2</v>
      </c>
      <c r="DB206" s="54"/>
      <c r="DC206" s="55">
        <f>DC204/DA204-1</f>
        <v>1.5950958950201821E-2</v>
      </c>
      <c r="DD206" s="55">
        <f>DD204/DC204-1</f>
        <v>-7.0121566687040282E-3</v>
      </c>
      <c r="DE206" s="55">
        <f>DE204/DD204-1</f>
        <v>-8.2540473899650246E-2</v>
      </c>
      <c r="DF206" s="55">
        <f>DF204/DE204-1</f>
        <v>-7.2793792166781612E-2</v>
      </c>
      <c r="DG206" s="54"/>
      <c r="DH206" s="55">
        <f>DH204/DF204-1</f>
        <v>0.13499706192251604</v>
      </c>
      <c r="DI206" s="55">
        <f>DI204/DH204-1</f>
        <v>1.6465301818014977E-2</v>
      </c>
      <c r="DJ206" s="55">
        <f>DJ204/DI204-1</f>
        <v>2.5803325190206339E-2</v>
      </c>
      <c r="DK206" s="55">
        <f>DK204/DJ204-1</f>
        <v>3.2028469750889688E-2</v>
      </c>
      <c r="DL206" s="54"/>
      <c r="DM206" s="55">
        <f>DM204/DK204-1</f>
        <v>-5.5600757673597623E-2</v>
      </c>
      <c r="DN206" s="55">
        <f>DN204/DM204-1</f>
        <v>-8.7525875258752661E-3</v>
      </c>
      <c r="DO206" s="55">
        <f>DO204/DN204-1</f>
        <v>-2.1590909090909105E-2</v>
      </c>
      <c r="DP206" s="55">
        <f>DP204/DO204-1</f>
        <v>4.8287598383322861E-2</v>
      </c>
      <c r="DQ206" s="54"/>
      <c r="DR206" s="55">
        <f>DR204/DP204-1</f>
        <v>-2.759399809484453E-2</v>
      </c>
      <c r="DS206" s="55">
        <f>DS204/DR204-1</f>
        <v>5.0739969199460999E-2</v>
      </c>
      <c r="DT206" s="55">
        <f>DT204/DS204-1</f>
        <v>-2.4784935778779937E-3</v>
      </c>
      <c r="DU206" s="55">
        <f>DU204/DT204-1</f>
        <v>8.4678767214868111E-2</v>
      </c>
      <c r="DV206" s="54"/>
      <c r="DW206" s="55">
        <f>DW204/DU204-1</f>
        <v>2.1056024378809157E-2</v>
      </c>
      <c r="DX206" s="55">
        <f>DX204/DW204-1</f>
        <v>-0.10196750900915774</v>
      </c>
      <c r="DY206" s="55">
        <f>DY204/DX204-1</f>
        <v>-4.8620614481029722E-3</v>
      </c>
      <c r="DZ206" s="55">
        <f>DZ204/DY204-1</f>
        <v>1.9876107856636294E-2</v>
      </c>
      <c r="EA206" s="54"/>
      <c r="EB206" s="55">
        <f>EB204/DZ204-1</f>
        <v>8.3768589912195157E-2</v>
      </c>
      <c r="EC206" s="55">
        <f>EC204/EB204-1</f>
        <v>-0.1461890863392914</v>
      </c>
      <c r="ED206" s="55">
        <f>ED204/EC204-1</f>
        <v>3.4588363187954219E-2</v>
      </c>
      <c r="EE206" s="55">
        <f>EE204/ED204-1</f>
        <v>1.660589644754662E-2</v>
      </c>
      <c r="EF206" s="54"/>
      <c r="EG206" s="55">
        <f>EG204/EE204-1</f>
        <v>2.9613039691427145E-2</v>
      </c>
      <c r="EH206" s="55">
        <f>EH204/EG204-1</f>
        <v>-8.2394984326018772E-2</v>
      </c>
      <c r="EI206" s="55">
        <f>EI204/EH204-1</f>
        <v>-1.0088063987778395E-2</v>
      </c>
      <c r="EJ206" s="55">
        <f>EJ204/EI204-1</f>
        <v>-0.1086339485219634</v>
      </c>
      <c r="EK206" s="54"/>
      <c r="EL206" s="55">
        <f>EL204/EJ204-1</f>
        <v>0.24045403071696514</v>
      </c>
      <c r="EM206" s="55">
        <f>EM204/EL204-1</f>
        <v>-0.15073921658283784</v>
      </c>
      <c r="EN206" s="55">
        <f>EN204/EM204-1</f>
        <v>7.4958527834574129E-2</v>
      </c>
      <c r="EO206" s="55">
        <f>EO204/EN204-1</f>
        <v>6.6237671222926231E-3</v>
      </c>
      <c r="EP206" s="54"/>
      <c r="EQ206" s="55">
        <f>EQ204/EO204-1</f>
        <v>-3.8723516632451549E-2</v>
      </c>
      <c r="ER206" s="55">
        <f t="shared" ref="ER206" si="1048">ER204/EQ204-1</f>
        <v>-6.9868639200578841E-2</v>
      </c>
      <c r="ES206" s="55">
        <f t="shared" ref="ES206:ET206" si="1049">ES204/ER204-1</f>
        <v>4.9873146459752604E-2</v>
      </c>
      <c r="ET206" s="55">
        <f t="shared" si="1049"/>
        <v>-9.0404316445868993E-3</v>
      </c>
      <c r="EU206" s="54"/>
      <c r="EV206" s="55"/>
      <c r="EW206" s="55"/>
      <c r="EX206" s="55"/>
      <c r="EY206" s="55"/>
      <c r="EZ206" s="54"/>
      <c r="FA206" s="55"/>
      <c r="FB206" s="55"/>
      <c r="FC206" s="55"/>
      <c r="FD206" s="55"/>
      <c r="FE206" s="54"/>
      <c r="FF206" s="44"/>
      <c r="FG206" s="490"/>
      <c r="FH206" s="766">
        <f>AVERAGE(CI206,CN206,CS206,CX206,DC206,DH206,DM206,DR206,DW206,EB206,EG206,EL206,EQ206)</f>
        <v>6.0496997401913138E-2</v>
      </c>
      <c r="FI206" s="766">
        <f>AVERAGE(CJ206,CO206,CT206,CY206,DD206,DI206,DN206,DS206,DX206,EC206,EH206)</f>
        <v>-5.6125755059955977E-2</v>
      </c>
      <c r="FJ206" s="766">
        <f>AVERAGE(CK206,CP206,CU206,CZ206,DE206,DJ206,DO206,DT206,DY206,ED206,EI206)</f>
        <v>1.8633203790042307E-2</v>
      </c>
      <c r="FK206" s="1408">
        <f>AVERAGE(CL206,CQ206,CV206,DA206,DF206,DK206,DP206,DU206,DZ206,EE206,EJ206,EO206)</f>
        <v>4.0196355931722367E-3</v>
      </c>
      <c r="FL206" s="1338"/>
      <c r="FM206" s="1523">
        <f t="shared" si="999"/>
        <v>-3.8723516632451549E-2</v>
      </c>
      <c r="FN206" s="1416">
        <f t="shared" si="1000"/>
        <v>0.24045403071696514</v>
      </c>
      <c r="FO206" s="1799">
        <v>5.2585568212442535E-2</v>
      </c>
      <c r="FP206" s="1741"/>
      <c r="FQ206" s="728"/>
      <c r="FR206" s="1619"/>
      <c r="FS206" s="1619"/>
      <c r="FT206" s="354"/>
      <c r="FU206" s="354"/>
      <c r="FV206" s="354"/>
      <c r="FW206" s="354"/>
      <c r="FX206" s="354"/>
      <c r="FY206" s="354"/>
      <c r="FZ206" s="490"/>
      <c r="GA206"/>
      <c r="GB206"/>
      <c r="GC206"/>
      <c r="GD206"/>
      <c r="GE206"/>
      <c r="GF206"/>
      <c r="GG206"/>
      <c r="GH206"/>
      <c r="GI206"/>
      <c r="GJ206"/>
      <c r="GK206"/>
      <c r="GL206"/>
      <c r="GM206"/>
      <c r="GN206"/>
      <c r="GO206"/>
      <c r="GP206"/>
      <c r="GQ206"/>
      <c r="GR206"/>
      <c r="GS206"/>
      <c r="GT206"/>
      <c r="GU206"/>
      <c r="GV206"/>
      <c r="GW206"/>
      <c r="GX206"/>
      <c r="GY206"/>
      <c r="GZ206"/>
      <c r="HA206"/>
      <c r="HB206"/>
      <c r="HC206"/>
      <c r="HD206"/>
      <c r="HE206"/>
      <c r="HF206"/>
      <c r="HG206"/>
      <c r="HH206"/>
      <c r="HI206"/>
      <c r="HJ206"/>
      <c r="HK206"/>
      <c r="HL206"/>
      <c r="HM206"/>
      <c r="HN206"/>
      <c r="HO206"/>
      <c r="HP206"/>
      <c r="HQ206"/>
      <c r="HR206"/>
      <c r="HS206"/>
      <c r="HT206"/>
      <c r="HU206"/>
      <c r="HV206"/>
      <c r="HW206"/>
      <c r="HX206"/>
      <c r="HY206"/>
      <c r="HZ206"/>
      <c r="IA206"/>
      <c r="IB206"/>
      <c r="IC206"/>
      <c r="ID206"/>
      <c r="IE206"/>
      <c r="IF206"/>
      <c r="IG206"/>
      <c r="IH206"/>
      <c r="II206"/>
      <c r="IJ206"/>
      <c r="IK206"/>
      <c r="IL206"/>
      <c r="IM206"/>
      <c r="IN206"/>
      <c r="IO206"/>
      <c r="IP206"/>
      <c r="IQ206"/>
      <c r="IR206"/>
      <c r="IS206"/>
      <c r="IT206"/>
      <c r="IU206"/>
      <c r="IV206"/>
      <c r="IW206"/>
      <c r="IX206"/>
    </row>
    <row r="207" spans="1:258" s="408" customFormat="1" x14ac:dyDescent="0.2">
      <c r="A207" s="109" t="s">
        <v>431</v>
      </c>
      <c r="B207" s="110"/>
      <c r="C207" s="110"/>
      <c r="D207" s="110"/>
      <c r="E207" s="110"/>
      <c r="F207" s="404"/>
      <c r="G207" s="110"/>
      <c r="H207" s="110"/>
      <c r="I207" s="110"/>
      <c r="J207" s="110"/>
      <c r="K207" s="404"/>
      <c r="L207" s="110"/>
      <c r="M207" s="110"/>
      <c r="N207" s="110"/>
      <c r="O207" s="110"/>
      <c r="P207" s="404"/>
      <c r="Q207" s="110">
        <v>105</v>
      </c>
      <c r="R207" s="110">
        <v>102</v>
      </c>
      <c r="S207" s="110">
        <v>107</v>
      </c>
      <c r="T207" s="110">
        <v>114</v>
      </c>
      <c r="U207" s="404">
        <v>428</v>
      </c>
      <c r="V207" s="110">
        <v>111</v>
      </c>
      <c r="W207" s="110">
        <v>110</v>
      </c>
      <c r="X207" s="110">
        <v>105</v>
      </c>
      <c r="Y207" s="110">
        <v>107</v>
      </c>
      <c r="Z207" s="404">
        <v>433</v>
      </c>
      <c r="AA207" s="110">
        <v>111</v>
      </c>
      <c r="AB207" s="110">
        <v>111</v>
      </c>
      <c r="AC207" s="110">
        <v>109</v>
      </c>
      <c r="AD207" s="110">
        <v>110</v>
      </c>
      <c r="AE207" s="404">
        <v>441</v>
      </c>
      <c r="AF207" s="110">
        <v>118</v>
      </c>
      <c r="AG207" s="110">
        <v>111</v>
      </c>
      <c r="AH207" s="110">
        <v>105</v>
      </c>
      <c r="AI207" s="110">
        <v>111</v>
      </c>
      <c r="AJ207" s="404">
        <v>445</v>
      </c>
      <c r="AK207" s="110">
        <v>113</v>
      </c>
      <c r="AL207" s="110">
        <v>111</v>
      </c>
      <c r="AM207" s="110">
        <v>106</v>
      </c>
      <c r="AN207" s="110">
        <v>108</v>
      </c>
      <c r="AO207" s="404">
        <v>438</v>
      </c>
      <c r="AP207" s="110">
        <v>107</v>
      </c>
      <c r="AQ207" s="110">
        <v>105</v>
      </c>
      <c r="AR207" s="110">
        <v>107</v>
      </c>
      <c r="AS207" s="110">
        <v>107</v>
      </c>
      <c r="AT207" s="404">
        <v>426</v>
      </c>
      <c r="AU207" s="110">
        <v>108</v>
      </c>
      <c r="AV207" s="110">
        <v>114</v>
      </c>
      <c r="AW207" s="110">
        <v>114</v>
      </c>
      <c r="AX207" s="110">
        <v>138</v>
      </c>
      <c r="AY207" s="404">
        <v>474</v>
      </c>
      <c r="AZ207" s="110">
        <v>132</v>
      </c>
      <c r="BA207" s="110">
        <v>133</v>
      </c>
      <c r="BB207" s="110">
        <v>168</v>
      </c>
      <c r="BC207" s="110">
        <v>186</v>
      </c>
      <c r="BD207" s="404">
        <v>619</v>
      </c>
      <c r="BE207" s="110">
        <v>171</v>
      </c>
      <c r="BF207" s="110">
        <v>181</v>
      </c>
      <c r="BG207" s="110">
        <v>161</v>
      </c>
      <c r="BH207" s="110">
        <v>150</v>
      </c>
      <c r="BI207" s="404">
        <f>SUM(BE207:BH207)</f>
        <v>663</v>
      </c>
      <c r="BJ207" s="110">
        <v>147</v>
      </c>
      <c r="BK207" s="110">
        <v>144</v>
      </c>
      <c r="BL207" s="110">
        <v>140</v>
      </c>
      <c r="BM207" s="110">
        <v>134</v>
      </c>
      <c r="BN207" s="404">
        <f>SUM(BJ207:BM207)</f>
        <v>565</v>
      </c>
      <c r="BO207" s="110">
        <v>133</v>
      </c>
      <c r="BP207" s="110">
        <v>140</v>
      </c>
      <c r="BQ207" s="110">
        <v>151</v>
      </c>
      <c r="BR207" s="110">
        <v>132</v>
      </c>
      <c r="BS207" s="404">
        <f>SUM(BO207:BR207)</f>
        <v>556</v>
      </c>
      <c r="BT207" s="110">
        <v>138</v>
      </c>
      <c r="BU207" s="110">
        <v>131</v>
      </c>
      <c r="BV207" s="110">
        <v>147</v>
      </c>
      <c r="BW207" s="110">
        <v>146</v>
      </c>
      <c r="BX207" s="404">
        <f>SUM(BT207:BW207)</f>
        <v>562</v>
      </c>
      <c r="BY207" s="110">
        <v>141</v>
      </c>
      <c r="BZ207" s="110">
        <v>145</v>
      </c>
      <c r="CA207" s="110">
        <v>144</v>
      </c>
      <c r="CB207" s="110">
        <v>152</v>
      </c>
      <c r="CC207" s="404">
        <f>SUM(BY207:CB207)</f>
        <v>582</v>
      </c>
      <c r="CD207" s="110">
        <v>135</v>
      </c>
      <c r="CE207" s="110">
        <v>137</v>
      </c>
      <c r="CF207" s="110">
        <v>129</v>
      </c>
      <c r="CG207" s="110">
        <v>132</v>
      </c>
      <c r="CH207" s="404">
        <f>SUM(CD207:CG207)</f>
        <v>533</v>
      </c>
      <c r="CI207" s="110">
        <v>124</v>
      </c>
      <c r="CJ207" s="110">
        <v>132</v>
      </c>
      <c r="CK207" s="110">
        <v>135</v>
      </c>
      <c r="CL207" s="110">
        <v>121</v>
      </c>
      <c r="CM207" s="404">
        <f>SUM(CI207:CL207)</f>
        <v>512</v>
      </c>
      <c r="CN207" s="110">
        <v>120</v>
      </c>
      <c r="CO207" s="110">
        <v>107</v>
      </c>
      <c r="CP207" s="110">
        <v>114</v>
      </c>
      <c r="CQ207" s="110">
        <v>110</v>
      </c>
      <c r="CR207" s="404">
        <f>SUM(CN207:CQ207)</f>
        <v>451</v>
      </c>
      <c r="CS207" s="110">
        <v>111</v>
      </c>
      <c r="CT207" s="110">
        <v>112</v>
      </c>
      <c r="CU207" s="110">
        <v>106</v>
      </c>
      <c r="CV207" s="110">
        <v>96</v>
      </c>
      <c r="CW207" s="404">
        <f>SUM(CS207:CV207)</f>
        <v>425</v>
      </c>
      <c r="CX207" s="110">
        <v>113</v>
      </c>
      <c r="CY207" s="110">
        <v>98</v>
      </c>
      <c r="CZ207" s="110">
        <v>92</v>
      </c>
      <c r="DA207" s="110">
        <v>88</v>
      </c>
      <c r="DB207" s="404">
        <f>SUM(CX207:DA207)</f>
        <v>391</v>
      </c>
      <c r="DC207" s="110">
        <v>100</v>
      </c>
      <c r="DD207" s="110">
        <v>89</v>
      </c>
      <c r="DE207" s="110">
        <v>90</v>
      </c>
      <c r="DF207" s="110">
        <v>95</v>
      </c>
      <c r="DG207" s="406">
        <f>SUM(DC207:DF207)</f>
        <v>374</v>
      </c>
      <c r="DH207" s="110">
        <v>97</v>
      </c>
      <c r="DI207" s="110">
        <v>95</v>
      </c>
      <c r="DJ207" s="110">
        <v>95</v>
      </c>
      <c r="DK207" s="110">
        <v>92</v>
      </c>
      <c r="DL207" s="406">
        <f>SUM(DH207:DK207)</f>
        <v>379</v>
      </c>
      <c r="DM207" s="110">
        <v>97</v>
      </c>
      <c r="DN207" s="110">
        <v>102</v>
      </c>
      <c r="DO207" s="110">
        <v>96</v>
      </c>
      <c r="DP207" s="110">
        <v>97</v>
      </c>
      <c r="DQ207" s="406">
        <f>SUM(DM207:DP207)</f>
        <v>392</v>
      </c>
      <c r="DR207" s="110">
        <v>95</v>
      </c>
      <c r="DS207" s="110">
        <v>96</v>
      </c>
      <c r="DT207" s="407">
        <v>94</v>
      </c>
      <c r="DU207" s="110">
        <v>95</v>
      </c>
      <c r="DV207" s="406">
        <f>SUM(DR207:DU207)</f>
        <v>380</v>
      </c>
      <c r="DW207" s="110">
        <v>101</v>
      </c>
      <c r="DX207" s="110">
        <v>114</v>
      </c>
      <c r="DY207" s="407">
        <v>106</v>
      </c>
      <c r="DZ207" s="110">
        <v>107</v>
      </c>
      <c r="EA207" s="406">
        <f>SUM(DW207:DZ207)</f>
        <v>428</v>
      </c>
      <c r="EB207" s="110">
        <v>113</v>
      </c>
      <c r="EC207" s="110">
        <v>101</v>
      </c>
      <c r="ED207" s="407">
        <v>114</v>
      </c>
      <c r="EE207" s="110">
        <v>108</v>
      </c>
      <c r="EF207" s="406">
        <f>SUM(EB207:EE207)</f>
        <v>436</v>
      </c>
      <c r="EG207" s="110">
        <v>105</v>
      </c>
      <c r="EH207" s="110">
        <v>105</v>
      </c>
      <c r="EI207" s="407">
        <v>105</v>
      </c>
      <c r="EJ207" s="2015">
        <f>116+7+9</f>
        <v>132</v>
      </c>
      <c r="EK207" s="406">
        <f>SUM(EG207:EJ207)</f>
        <v>447</v>
      </c>
      <c r="EL207" s="110">
        <v>90</v>
      </c>
      <c r="EM207" s="110">
        <v>95</v>
      </c>
      <c r="EN207" s="407">
        <v>97</v>
      </c>
      <c r="EO207" s="110">
        <v>116</v>
      </c>
      <c r="EP207" s="406">
        <f>SUM(EL207:EO207)</f>
        <v>398</v>
      </c>
      <c r="EQ207" s="110">
        <v>101</v>
      </c>
      <c r="ER207" s="407">
        <f t="shared" ref="ER207" si="1050">ER$23*ER211/1000</f>
        <v>97.630004629629653</v>
      </c>
      <c r="ES207" s="407">
        <f t="shared" ref="ES207:ET207" si="1051">ES$23*ES211/1000</f>
        <v>97.680283553875242</v>
      </c>
      <c r="ET207" s="407">
        <f t="shared" si="1051"/>
        <v>110.88224447220483</v>
      </c>
      <c r="EU207" s="406">
        <f>SUM(EQ207:ET207)</f>
        <v>407.19253265570973</v>
      </c>
      <c r="EV207" s="407"/>
      <c r="EW207" s="407"/>
      <c r="EX207" s="407"/>
      <c r="EY207" s="407"/>
      <c r="EZ207" s="406">
        <f>EZ$23*EZ211/1000</f>
        <v>422.60015316596315</v>
      </c>
      <c r="FA207" s="407"/>
      <c r="FB207" s="407"/>
      <c r="FC207" s="407"/>
      <c r="FD207" s="407"/>
      <c r="FE207" s="406">
        <f>FE$23*FE211/1000</f>
        <v>440.27661136916026</v>
      </c>
      <c r="FG207" s="490"/>
      <c r="FH207" s="790"/>
      <c r="FI207" s="790"/>
      <c r="FJ207" s="790"/>
      <c r="FL207" s="1358"/>
      <c r="FM207" s="1569">
        <f t="shared" si="999"/>
        <v>101</v>
      </c>
      <c r="FN207" s="775">
        <f t="shared" si="1000"/>
        <v>90</v>
      </c>
      <c r="FO207" s="1862">
        <v>92.016056532663328</v>
      </c>
      <c r="FP207" s="1748">
        <f>+FM207/FN207-1</f>
        <v>0.12222222222222223</v>
      </c>
      <c r="FQ207" s="1520">
        <f>+FM207/FO207-1</f>
        <v>9.7634519516141216E-2</v>
      </c>
      <c r="FR207" s="1614" t="s">
        <v>785</v>
      </c>
      <c r="FS207" s="1642"/>
      <c r="FT207" s="409"/>
      <c r="FU207" s="409"/>
      <c r="FV207" s="409"/>
      <c r="FW207" s="409"/>
      <c r="FX207" s="409"/>
      <c r="FY207" s="409"/>
      <c r="FZ207" s="490"/>
      <c r="GA207"/>
      <c r="GB207"/>
      <c r="GC207"/>
      <c r="GD207"/>
      <c r="GE207"/>
      <c r="GF207"/>
      <c r="GG207"/>
      <c r="GH207"/>
      <c r="GI207"/>
      <c r="GJ207"/>
      <c r="GK207"/>
      <c r="GL207"/>
      <c r="GM207"/>
      <c r="GN207"/>
      <c r="GO207"/>
      <c r="GP207"/>
      <c r="GQ207"/>
      <c r="GR207"/>
      <c r="GS207"/>
      <c r="GT207"/>
      <c r="GU207"/>
      <c r="GV207"/>
      <c r="GW207"/>
      <c r="GX207"/>
      <c r="GY207"/>
      <c r="GZ207"/>
      <c r="HA207"/>
      <c r="HB207"/>
      <c r="HC207"/>
      <c r="HD207"/>
      <c r="HE207"/>
      <c r="HF207"/>
      <c r="HG207"/>
      <c r="HH207"/>
      <c r="HI207"/>
      <c r="HJ207"/>
      <c r="HK207"/>
      <c r="HL207"/>
      <c r="HM207"/>
      <c r="HN207"/>
      <c r="HO207"/>
      <c r="HP207"/>
      <c r="HQ207"/>
      <c r="HR207"/>
      <c r="HS207"/>
      <c r="HT207"/>
      <c r="HU207"/>
      <c r="HV207"/>
      <c r="HW207"/>
      <c r="HX207"/>
      <c r="HY207"/>
      <c r="HZ207"/>
      <c r="IA207"/>
      <c r="IB207"/>
      <c r="IC207"/>
      <c r="ID207"/>
      <c r="IE207"/>
      <c r="IF207"/>
      <c r="IG207"/>
      <c r="IH207"/>
      <c r="II207"/>
      <c r="IJ207"/>
      <c r="IK207"/>
      <c r="IL207"/>
      <c r="IM207"/>
      <c r="IN207"/>
      <c r="IO207"/>
      <c r="IP207"/>
      <c r="IQ207"/>
      <c r="IR207"/>
      <c r="IS207"/>
      <c r="IT207"/>
      <c r="IU207"/>
      <c r="IV207"/>
      <c r="IW207"/>
      <c r="IX207"/>
    </row>
    <row r="208" spans="1:258" s="84" customFormat="1" x14ac:dyDescent="0.2">
      <c r="A208" s="559" t="s">
        <v>465</v>
      </c>
      <c r="B208" s="10"/>
      <c r="C208" s="10"/>
      <c r="D208" s="10"/>
      <c r="E208" s="10"/>
      <c r="F208" s="9"/>
      <c r="G208" s="10"/>
      <c r="H208" s="10"/>
      <c r="I208" s="10"/>
      <c r="J208" s="10"/>
      <c r="K208" s="9"/>
      <c r="L208" s="10"/>
      <c r="M208" s="10"/>
      <c r="N208" s="10"/>
      <c r="O208" s="10"/>
      <c r="P208" s="9"/>
      <c r="Q208" s="10"/>
      <c r="R208" s="10"/>
      <c r="S208" s="10"/>
      <c r="T208" s="10"/>
      <c r="U208" s="9"/>
      <c r="V208" s="10">
        <f t="shared" ref="V208:AJ208" si="1052">V207/Q207-1</f>
        <v>5.7142857142857162E-2</v>
      </c>
      <c r="W208" s="10">
        <f t="shared" si="1052"/>
        <v>7.8431372549019551E-2</v>
      </c>
      <c r="X208" s="10">
        <f t="shared" si="1052"/>
        <v>-1.8691588785046731E-2</v>
      </c>
      <c r="Y208" s="10">
        <f t="shared" si="1052"/>
        <v>-6.1403508771929793E-2</v>
      </c>
      <c r="Z208" s="9">
        <f t="shared" si="1052"/>
        <v>1.1682242990654235E-2</v>
      </c>
      <c r="AA208" s="10">
        <f t="shared" si="1052"/>
        <v>0</v>
      </c>
      <c r="AB208" s="10">
        <f t="shared" si="1052"/>
        <v>9.0909090909090384E-3</v>
      </c>
      <c r="AC208" s="10">
        <f t="shared" si="1052"/>
        <v>3.8095238095238182E-2</v>
      </c>
      <c r="AD208" s="10">
        <f t="shared" si="1052"/>
        <v>2.8037383177569986E-2</v>
      </c>
      <c r="AE208" s="9">
        <f t="shared" si="1052"/>
        <v>1.8475750577367167E-2</v>
      </c>
      <c r="AF208" s="10">
        <f t="shared" si="1052"/>
        <v>6.3063063063063085E-2</v>
      </c>
      <c r="AG208" s="10">
        <f t="shared" si="1052"/>
        <v>0</v>
      </c>
      <c r="AH208" s="10">
        <f t="shared" si="1052"/>
        <v>-3.669724770642202E-2</v>
      </c>
      <c r="AI208" s="10">
        <f t="shared" si="1052"/>
        <v>9.0909090909090384E-3</v>
      </c>
      <c r="AJ208" s="9">
        <f t="shared" si="1052"/>
        <v>9.0702947845804349E-3</v>
      </c>
      <c r="AK208" s="10">
        <f t="shared" ref="AK208:BP208" si="1053">AK207/AF207-1</f>
        <v>-4.2372881355932202E-2</v>
      </c>
      <c r="AL208" s="10">
        <f t="shared" si="1053"/>
        <v>0</v>
      </c>
      <c r="AM208" s="10">
        <f t="shared" si="1053"/>
        <v>9.52380952380949E-3</v>
      </c>
      <c r="AN208" s="10">
        <f t="shared" si="1053"/>
        <v>-2.7027027027026973E-2</v>
      </c>
      <c r="AO208" s="9">
        <f t="shared" si="1053"/>
        <v>-1.5730337078651679E-2</v>
      </c>
      <c r="AP208" s="10">
        <f t="shared" si="1053"/>
        <v>-5.3097345132743334E-2</v>
      </c>
      <c r="AQ208" s="10">
        <f t="shared" si="1053"/>
        <v>-5.4054054054054057E-2</v>
      </c>
      <c r="AR208" s="10">
        <f t="shared" si="1053"/>
        <v>9.4339622641510523E-3</v>
      </c>
      <c r="AS208" s="10">
        <f t="shared" si="1053"/>
        <v>-9.2592592592593004E-3</v>
      </c>
      <c r="AT208" s="9">
        <f t="shared" si="1053"/>
        <v>-2.7397260273972601E-2</v>
      </c>
      <c r="AU208" s="10">
        <f t="shared" si="1053"/>
        <v>9.3457943925232545E-3</v>
      </c>
      <c r="AV208" s="10">
        <f t="shared" si="1053"/>
        <v>8.5714285714285632E-2</v>
      </c>
      <c r="AW208" s="10">
        <f t="shared" si="1053"/>
        <v>6.5420560747663448E-2</v>
      </c>
      <c r="AX208" s="10">
        <f t="shared" si="1053"/>
        <v>0.28971962616822422</v>
      </c>
      <c r="AY208" s="9">
        <f t="shared" si="1053"/>
        <v>0.11267605633802824</v>
      </c>
      <c r="AZ208" s="10">
        <f t="shared" si="1053"/>
        <v>0.22222222222222232</v>
      </c>
      <c r="BA208" s="10">
        <f t="shared" si="1053"/>
        <v>0.16666666666666674</v>
      </c>
      <c r="BB208" s="10">
        <f t="shared" si="1053"/>
        <v>0.47368421052631571</v>
      </c>
      <c r="BC208" s="10">
        <f t="shared" si="1053"/>
        <v>0.34782608695652173</v>
      </c>
      <c r="BD208" s="9">
        <f t="shared" si="1053"/>
        <v>0.30590717299578052</v>
      </c>
      <c r="BE208" s="10">
        <f t="shared" si="1053"/>
        <v>0.29545454545454541</v>
      </c>
      <c r="BF208" s="10">
        <f t="shared" si="1053"/>
        <v>0.36090225563909772</v>
      </c>
      <c r="BG208" s="10">
        <f t="shared" si="1053"/>
        <v>-4.166666666666663E-2</v>
      </c>
      <c r="BH208" s="10">
        <f t="shared" si="1053"/>
        <v>-0.19354838709677424</v>
      </c>
      <c r="BI208" s="9">
        <f t="shared" si="1053"/>
        <v>7.1082390953150165E-2</v>
      </c>
      <c r="BJ208" s="10">
        <f>BJ207/BE207-1</f>
        <v>-0.14035087719298245</v>
      </c>
      <c r="BK208" s="10">
        <f>BK207/BF207-1</f>
        <v>-0.20441988950276246</v>
      </c>
      <c r="BL208" s="10">
        <f>BL207/BG207-1</f>
        <v>-0.13043478260869568</v>
      </c>
      <c r="BM208" s="10">
        <f>BM207/BH207-1</f>
        <v>-0.10666666666666669</v>
      </c>
      <c r="BN208" s="9">
        <f>BN207/BI207-1</f>
        <v>-0.14781297134238314</v>
      </c>
      <c r="BO208" s="10">
        <f t="shared" si="1053"/>
        <v>-9.5238095238095233E-2</v>
      </c>
      <c r="BP208" s="10">
        <f t="shared" si="1053"/>
        <v>-2.777777777777779E-2</v>
      </c>
      <c r="BQ208" s="10">
        <f t="shared" ref="BQ208:CV208" si="1054">BQ207/BL207-1</f>
        <v>7.8571428571428514E-2</v>
      </c>
      <c r="BR208" s="10">
        <f t="shared" si="1054"/>
        <v>-1.4925373134328401E-2</v>
      </c>
      <c r="BS208" s="9">
        <f t="shared" si="1054"/>
        <v>-1.5929203539822967E-2</v>
      </c>
      <c r="BT208" s="10">
        <f t="shared" si="1054"/>
        <v>3.7593984962406068E-2</v>
      </c>
      <c r="BU208" s="10">
        <f t="shared" si="1054"/>
        <v>-6.4285714285714279E-2</v>
      </c>
      <c r="BV208" s="10">
        <f t="shared" si="1054"/>
        <v>-2.6490066225165587E-2</v>
      </c>
      <c r="BW208" s="10">
        <f t="shared" si="1054"/>
        <v>0.10606060606060597</v>
      </c>
      <c r="BX208" s="9">
        <f t="shared" si="1054"/>
        <v>1.0791366906474753E-2</v>
      </c>
      <c r="BY208" s="10">
        <f t="shared" si="1054"/>
        <v>2.1739130434782705E-2</v>
      </c>
      <c r="BZ208" s="10">
        <f t="shared" si="1054"/>
        <v>0.10687022900763354</v>
      </c>
      <c r="CA208" s="10">
        <f t="shared" si="1054"/>
        <v>-2.0408163265306145E-2</v>
      </c>
      <c r="CB208" s="10">
        <f t="shared" si="1054"/>
        <v>4.1095890410958846E-2</v>
      </c>
      <c r="CC208" s="9">
        <f t="shared" si="1054"/>
        <v>3.5587188612099752E-2</v>
      </c>
      <c r="CD208" s="10">
        <f t="shared" si="1054"/>
        <v>-4.2553191489361653E-2</v>
      </c>
      <c r="CE208" s="10">
        <f t="shared" si="1054"/>
        <v>-5.5172413793103448E-2</v>
      </c>
      <c r="CF208" s="10">
        <f t="shared" si="1054"/>
        <v>-0.10416666666666663</v>
      </c>
      <c r="CG208" s="10">
        <f t="shared" si="1054"/>
        <v>-0.13157894736842102</v>
      </c>
      <c r="CH208" s="9">
        <f t="shared" si="1054"/>
        <v>-8.4192439862542989E-2</v>
      </c>
      <c r="CI208" s="10">
        <f t="shared" si="1054"/>
        <v>-8.1481481481481488E-2</v>
      </c>
      <c r="CJ208" s="10">
        <f t="shared" si="1054"/>
        <v>-3.6496350364963459E-2</v>
      </c>
      <c r="CK208" s="10">
        <f t="shared" si="1054"/>
        <v>4.6511627906976827E-2</v>
      </c>
      <c r="CL208" s="10">
        <f t="shared" si="1054"/>
        <v>-8.333333333333337E-2</v>
      </c>
      <c r="CM208" s="9">
        <f t="shared" si="1054"/>
        <v>-3.9399624765478425E-2</v>
      </c>
      <c r="CN208" s="10">
        <f t="shared" si="1054"/>
        <v>-3.2258064516129004E-2</v>
      </c>
      <c r="CO208" s="10">
        <f t="shared" si="1054"/>
        <v>-0.18939393939393945</v>
      </c>
      <c r="CP208" s="10">
        <f t="shared" si="1054"/>
        <v>-0.15555555555555556</v>
      </c>
      <c r="CQ208" s="10">
        <f t="shared" si="1054"/>
        <v>-9.0909090909090939E-2</v>
      </c>
      <c r="CR208" s="9">
        <f t="shared" si="1054"/>
        <v>-0.119140625</v>
      </c>
      <c r="CS208" s="10">
        <f t="shared" si="1054"/>
        <v>-7.4999999999999956E-2</v>
      </c>
      <c r="CT208" s="10">
        <f t="shared" si="1054"/>
        <v>4.6728971962616717E-2</v>
      </c>
      <c r="CU208" s="10">
        <f t="shared" si="1054"/>
        <v>-7.0175438596491224E-2</v>
      </c>
      <c r="CV208" s="10">
        <f t="shared" si="1054"/>
        <v>-0.12727272727272732</v>
      </c>
      <c r="CW208" s="9">
        <f t="shared" ref="CW208:DM208" si="1055">CW207/CR207-1</f>
        <v>-5.7649667405764937E-2</v>
      </c>
      <c r="CX208" s="10">
        <f t="shared" si="1055"/>
        <v>1.8018018018018056E-2</v>
      </c>
      <c r="CY208" s="10">
        <f t="shared" si="1055"/>
        <v>-0.125</v>
      </c>
      <c r="CZ208" s="10">
        <f t="shared" si="1055"/>
        <v>-0.13207547169811318</v>
      </c>
      <c r="DA208" s="10">
        <f t="shared" si="1055"/>
        <v>-8.333333333333337E-2</v>
      </c>
      <c r="DB208" s="9">
        <f t="shared" si="1055"/>
        <v>-7.999999999999996E-2</v>
      </c>
      <c r="DC208" s="10">
        <f t="shared" si="1055"/>
        <v>-0.11504424778761058</v>
      </c>
      <c r="DD208" s="10">
        <f t="shared" si="1055"/>
        <v>-9.1836734693877542E-2</v>
      </c>
      <c r="DE208" s="10">
        <f t="shared" si="1055"/>
        <v>-2.1739130434782594E-2</v>
      </c>
      <c r="DF208" s="10">
        <f t="shared" si="1055"/>
        <v>7.9545454545454586E-2</v>
      </c>
      <c r="DG208" s="9">
        <f t="shared" si="1055"/>
        <v>-4.3478260869565188E-2</v>
      </c>
      <c r="DH208" s="10">
        <f t="shared" si="1055"/>
        <v>-3.0000000000000027E-2</v>
      </c>
      <c r="DI208" s="10">
        <f t="shared" si="1055"/>
        <v>6.7415730337078594E-2</v>
      </c>
      <c r="DJ208" s="10">
        <f t="shared" si="1055"/>
        <v>5.555555555555558E-2</v>
      </c>
      <c r="DK208" s="10">
        <f t="shared" si="1055"/>
        <v>-3.157894736842104E-2</v>
      </c>
      <c r="DL208" s="9">
        <f>DL207/DG207-1</f>
        <v>1.3368983957219305E-2</v>
      </c>
      <c r="DM208" s="10">
        <f t="shared" si="1055"/>
        <v>0</v>
      </c>
      <c r="DN208" s="10">
        <f>DN207/DI207-1</f>
        <v>7.3684210526315796E-2</v>
      </c>
      <c r="DO208" s="10">
        <f>DO207/DJ207-1</f>
        <v>1.0526315789473717E-2</v>
      </c>
      <c r="DP208" s="10">
        <f>DP207/DK207-1</f>
        <v>5.4347826086956541E-2</v>
      </c>
      <c r="DQ208" s="9">
        <f t="shared" ref="DQ208:DV208" si="1056">DQ207/DL207-1</f>
        <v>3.4300791556728161E-2</v>
      </c>
      <c r="DR208" s="10">
        <f t="shared" si="1056"/>
        <v>-2.0618556701030966E-2</v>
      </c>
      <c r="DS208" s="10">
        <f>DS207/DN207-1</f>
        <v>-5.8823529411764719E-2</v>
      </c>
      <c r="DT208" s="10">
        <f t="shared" si="1056"/>
        <v>-2.083333333333337E-2</v>
      </c>
      <c r="DU208" s="10">
        <f>DU207/DP207-1</f>
        <v>-2.0618556701030966E-2</v>
      </c>
      <c r="DV208" s="9">
        <f t="shared" si="1056"/>
        <v>-3.0612244897959218E-2</v>
      </c>
      <c r="DW208" s="10">
        <f t="shared" ref="DW208:ED208" si="1057">DW207/DR207-1</f>
        <v>6.315789473684208E-2</v>
      </c>
      <c r="DX208" s="10">
        <f t="shared" si="1057"/>
        <v>0.1875</v>
      </c>
      <c r="DY208" s="10">
        <f t="shared" si="1057"/>
        <v>0.12765957446808507</v>
      </c>
      <c r="DZ208" s="10">
        <f>DZ207/DU207-1</f>
        <v>0.12631578947368416</v>
      </c>
      <c r="EA208" s="9">
        <f t="shared" si="1057"/>
        <v>0.12631578947368416</v>
      </c>
      <c r="EB208" s="10">
        <f t="shared" si="1057"/>
        <v>0.11881188118811892</v>
      </c>
      <c r="EC208" s="10">
        <f t="shared" si="1057"/>
        <v>-0.11403508771929827</v>
      </c>
      <c r="ED208" s="10">
        <f t="shared" si="1057"/>
        <v>7.547169811320753E-2</v>
      </c>
      <c r="EE208" s="10">
        <f t="shared" ref="EE208:EI208" si="1058">EE207/DZ207-1</f>
        <v>9.3457943925232545E-3</v>
      </c>
      <c r="EF208" s="9">
        <f t="shared" si="1058"/>
        <v>1.8691588785046731E-2</v>
      </c>
      <c r="EG208" s="10">
        <f t="shared" si="1058"/>
        <v>-7.0796460176991149E-2</v>
      </c>
      <c r="EH208" s="10">
        <f t="shared" si="1058"/>
        <v>3.9603960396039639E-2</v>
      </c>
      <c r="EI208" s="10">
        <f t="shared" si="1058"/>
        <v>-7.8947368421052655E-2</v>
      </c>
      <c r="EJ208" s="10">
        <f t="shared" ref="EJ208" si="1059">EJ207/EE207-1</f>
        <v>0.22222222222222232</v>
      </c>
      <c r="EK208" s="9">
        <f t="shared" ref="EK208:EQ208" si="1060">EK207/EF207-1</f>
        <v>2.5229357798165042E-2</v>
      </c>
      <c r="EL208" s="10">
        <f t="shared" si="1060"/>
        <v>-0.1428571428571429</v>
      </c>
      <c r="EM208" s="10">
        <f t="shared" si="1060"/>
        <v>-9.5238095238095233E-2</v>
      </c>
      <c r="EN208" s="10">
        <f t="shared" si="1060"/>
        <v>-7.6190476190476142E-2</v>
      </c>
      <c r="EO208" s="10">
        <f t="shared" si="1060"/>
        <v>-0.12121212121212122</v>
      </c>
      <c r="EP208" s="9">
        <f t="shared" si="1060"/>
        <v>-0.10961968680089484</v>
      </c>
      <c r="EQ208" s="10">
        <f t="shared" si="1060"/>
        <v>0.12222222222222223</v>
      </c>
      <c r="ER208" s="10">
        <f t="shared" ref="ER208" si="1061">ER207/EM207-1</f>
        <v>2.7684259259259436E-2</v>
      </c>
      <c r="ES208" s="10">
        <f t="shared" ref="ES208:EU208" si="1062">ES207/EN207-1</f>
        <v>7.0132325141778473E-3</v>
      </c>
      <c r="ET208" s="10">
        <f t="shared" si="1062"/>
        <v>-4.4118582136165263E-2</v>
      </c>
      <c r="EU208" s="9">
        <f t="shared" si="1062"/>
        <v>2.3096815717863706E-2</v>
      </c>
      <c r="EV208" s="80"/>
      <c r="EW208" s="80"/>
      <c r="EX208" s="80"/>
      <c r="EY208" s="80"/>
      <c r="EZ208" s="9">
        <f>EZ207/EU207-1</f>
        <v>3.7838661749921787E-2</v>
      </c>
      <c r="FA208" s="80"/>
      <c r="FB208" s="80"/>
      <c r="FC208" s="80"/>
      <c r="FD208" s="80"/>
      <c r="FE208" s="9">
        <f>FE207/EZ207-1</f>
        <v>4.1827855647404988E-2</v>
      </c>
      <c r="FF208" s="83"/>
      <c r="FG208" s="490"/>
      <c r="FH208" s="776"/>
      <c r="FI208" s="776"/>
      <c r="FJ208" s="776"/>
      <c r="FK208" s="83"/>
      <c r="FL208" s="1346"/>
      <c r="FM208" s="1141">
        <f t="shared" si="999"/>
        <v>0.12222222222222223</v>
      </c>
      <c r="FN208" s="1418">
        <f t="shared" si="1000"/>
        <v>-0.1428571428571429</v>
      </c>
      <c r="FO208" s="1750">
        <v>2.2400628140703649E-2</v>
      </c>
      <c r="FP208" s="1762"/>
      <c r="FQ208" s="1503">
        <f>+(FM208-FO208)*10000</f>
        <v>998.21594081518583</v>
      </c>
      <c r="FR208" s="1615"/>
      <c r="FS208" s="1722" t="s">
        <v>787</v>
      </c>
      <c r="FT208" s="354"/>
      <c r="FU208" s="354"/>
      <c r="FV208" s="354"/>
      <c r="FW208" s="354"/>
      <c r="FX208" s="354"/>
      <c r="FY208" s="354"/>
      <c r="FZ208" s="490"/>
      <c r="GA208"/>
      <c r="GB208"/>
      <c r="GC208"/>
      <c r="GD208"/>
      <c r="GE208"/>
      <c r="GF208"/>
      <c r="GG208"/>
      <c r="GH208"/>
      <c r="GI208"/>
      <c r="GJ208"/>
      <c r="GK208"/>
      <c r="GL208"/>
      <c r="GM208"/>
      <c r="GN208"/>
      <c r="GO208"/>
      <c r="GP208"/>
      <c r="GQ208"/>
      <c r="GR208"/>
      <c r="GS208"/>
      <c r="GT208"/>
      <c r="GU208"/>
      <c r="GV208"/>
      <c r="GW208"/>
      <c r="GX208"/>
      <c r="GY208"/>
      <c r="GZ208"/>
      <c r="HA208"/>
      <c r="HB208"/>
      <c r="HC208"/>
      <c r="HD208"/>
      <c r="HE208"/>
      <c r="HF208"/>
      <c r="HG208"/>
      <c r="HH208"/>
      <c r="HI208"/>
      <c r="HJ208"/>
      <c r="HK208"/>
      <c r="HL208"/>
      <c r="HM208"/>
      <c r="HN208"/>
      <c r="HO208"/>
      <c r="HP208"/>
      <c r="HQ208"/>
      <c r="HR208"/>
      <c r="HS208"/>
      <c r="HT208"/>
      <c r="HU208"/>
      <c r="HV208"/>
      <c r="HW208"/>
      <c r="HX208"/>
      <c r="HY208"/>
      <c r="HZ208"/>
      <c r="IA208"/>
      <c r="IB208"/>
      <c r="IC208"/>
      <c r="ID208"/>
      <c r="IE208"/>
      <c r="IF208"/>
      <c r="IG208"/>
      <c r="IH208"/>
      <c r="II208"/>
      <c r="IJ208"/>
      <c r="IK208"/>
      <c r="IL208"/>
      <c r="IM208"/>
      <c r="IN208"/>
      <c r="IO208"/>
      <c r="IP208"/>
      <c r="IQ208"/>
      <c r="IR208"/>
      <c r="IS208"/>
      <c r="IT208"/>
      <c r="IU208"/>
      <c r="IV208"/>
      <c r="IW208"/>
      <c r="IX208"/>
    </row>
    <row r="209" spans="1:16384" s="227" customFormat="1" x14ac:dyDescent="0.2">
      <c r="A209" s="558" t="s">
        <v>330</v>
      </c>
      <c r="B209" s="341"/>
      <c r="C209" s="341"/>
      <c r="D209" s="341"/>
      <c r="E209" s="14"/>
      <c r="F209" s="15"/>
      <c r="G209" s="341"/>
      <c r="H209" s="341"/>
      <c r="I209" s="341"/>
      <c r="J209" s="14"/>
      <c r="K209" s="15"/>
      <c r="L209" s="341"/>
      <c r="M209" s="341"/>
      <c r="N209" s="341"/>
      <c r="O209" s="14"/>
      <c r="P209" s="15"/>
      <c r="Q209" s="14">
        <f>Q207/U207</f>
        <v>0.24532710280373832</v>
      </c>
      <c r="R209" s="14">
        <f>R207/U207</f>
        <v>0.23831775700934579</v>
      </c>
      <c r="S209" s="14">
        <f>S207/U207</f>
        <v>0.25</v>
      </c>
      <c r="T209" s="14">
        <f>T207/U207</f>
        <v>0.26635514018691586</v>
      </c>
      <c r="U209" s="498"/>
      <c r="V209" s="14">
        <f>V207/Z207</f>
        <v>0.25635103926096997</v>
      </c>
      <c r="W209" s="14">
        <f>W207/Z207</f>
        <v>0.2540415704387991</v>
      </c>
      <c r="X209" s="14">
        <f>X207/Z207</f>
        <v>0.24249422632794457</v>
      </c>
      <c r="Y209" s="14">
        <f>Y207/Z207</f>
        <v>0.24711316397228639</v>
      </c>
      <c r="Z209" s="498"/>
      <c r="AA209" s="14">
        <f>AA207/AE207</f>
        <v>0.25170068027210885</v>
      </c>
      <c r="AB209" s="14">
        <f>AB207/AE207</f>
        <v>0.25170068027210885</v>
      </c>
      <c r="AC209" s="14">
        <f>AC207/AE207</f>
        <v>0.2471655328798186</v>
      </c>
      <c r="AD209" s="14">
        <f>AD207/AE207</f>
        <v>0.24943310657596371</v>
      </c>
      <c r="AE209" s="498"/>
      <c r="AF209" s="14">
        <f>AF207/AJ207</f>
        <v>0.26516853932584272</v>
      </c>
      <c r="AG209" s="14">
        <f>AG207/AJ207</f>
        <v>0.24943820224719102</v>
      </c>
      <c r="AH209" s="14">
        <f>AH207/AJ207</f>
        <v>0.23595505617977527</v>
      </c>
      <c r="AI209" s="14">
        <f>AI207/AJ207</f>
        <v>0.24943820224719102</v>
      </c>
      <c r="AJ209" s="498"/>
      <c r="AK209" s="14">
        <f>AK207/AO207</f>
        <v>0.25799086757990869</v>
      </c>
      <c r="AL209" s="14">
        <f>AL207/AO207</f>
        <v>0.25342465753424659</v>
      </c>
      <c r="AM209" s="14">
        <f>AM207/AO207</f>
        <v>0.24200913242009131</v>
      </c>
      <c r="AN209" s="14">
        <f>AN207/AO207</f>
        <v>0.24657534246575341</v>
      </c>
      <c r="AO209" s="498"/>
      <c r="AP209" s="14">
        <f>AP207/AT207</f>
        <v>0.25117370892018781</v>
      </c>
      <c r="AQ209" s="14">
        <f>AQ207/AT207</f>
        <v>0.24647887323943662</v>
      </c>
      <c r="AR209" s="14">
        <f>AR207/AT207</f>
        <v>0.25117370892018781</v>
      </c>
      <c r="AS209" s="14">
        <f>AS207/AT207</f>
        <v>0.25117370892018781</v>
      </c>
      <c r="AT209" s="498"/>
      <c r="AU209" s="14">
        <f>AU207/AY207</f>
        <v>0.22784810126582278</v>
      </c>
      <c r="AV209" s="14">
        <f>AV207/AY207</f>
        <v>0.24050632911392406</v>
      </c>
      <c r="AW209" s="14">
        <f>AW207/AY207</f>
        <v>0.24050632911392406</v>
      </c>
      <c r="AX209" s="14">
        <f>AX207/AY207</f>
        <v>0.29113924050632911</v>
      </c>
      <c r="AY209" s="498"/>
      <c r="AZ209" s="14">
        <f>AZ207/BD207</f>
        <v>0.21324717285945072</v>
      </c>
      <c r="BA209" s="14">
        <f>BA207/BD207</f>
        <v>0.2148626817447496</v>
      </c>
      <c r="BB209" s="14">
        <f>BB207/BD207</f>
        <v>0.27140549273021003</v>
      </c>
      <c r="BC209" s="14">
        <f>BC207/BD207</f>
        <v>0.30048465266558966</v>
      </c>
      <c r="BD209" s="498"/>
      <c r="BE209" s="14">
        <f>BE207/BI207</f>
        <v>0.25791855203619912</v>
      </c>
      <c r="BF209" s="14">
        <f>BF207/BI207</f>
        <v>0.27300150829562592</v>
      </c>
      <c r="BG209" s="14">
        <f>BG207/BI207</f>
        <v>0.24283559577677225</v>
      </c>
      <c r="BH209" s="14">
        <f>BH207/BI207</f>
        <v>0.22624434389140272</v>
      </c>
      <c r="BI209" s="498"/>
      <c r="BJ209" s="14">
        <f>BJ207/BN207</f>
        <v>0.26017699115044246</v>
      </c>
      <c r="BK209" s="14">
        <f>BK207/BN207</f>
        <v>0.25486725663716814</v>
      </c>
      <c r="BL209" s="14">
        <f>BL207/BN207</f>
        <v>0.24778761061946902</v>
      </c>
      <c r="BM209" s="14">
        <f>BM207/BN207</f>
        <v>0.23716814159292035</v>
      </c>
      <c r="BN209" s="498"/>
      <c r="BO209" s="14">
        <f>BO207/BS207</f>
        <v>0.23920863309352519</v>
      </c>
      <c r="BP209" s="14">
        <f>BP207/BS207</f>
        <v>0.25179856115107913</v>
      </c>
      <c r="BQ209" s="14">
        <f>BQ207/BS207</f>
        <v>0.27158273381294962</v>
      </c>
      <c r="BR209" s="14">
        <f>BR207/BS207</f>
        <v>0.23741007194244604</v>
      </c>
      <c r="BS209" s="498"/>
      <c r="BT209" s="14">
        <f>BT207/BX207</f>
        <v>0.24555160142348753</v>
      </c>
      <c r="BU209" s="14">
        <f>BU207/BX207</f>
        <v>0.23309608540925267</v>
      </c>
      <c r="BV209" s="14">
        <f>BV207/BX207</f>
        <v>0.26156583629893237</v>
      </c>
      <c r="BW209" s="14">
        <f>BW207/BX207</f>
        <v>0.2597864768683274</v>
      </c>
      <c r="BX209" s="498"/>
      <c r="BY209" s="14">
        <f>BY207/CC207</f>
        <v>0.2422680412371134</v>
      </c>
      <c r="BZ209" s="14">
        <f>BZ207/CC207</f>
        <v>0.24914089347079038</v>
      </c>
      <c r="CA209" s="14">
        <f>CA207/CC207</f>
        <v>0.24742268041237114</v>
      </c>
      <c r="CB209" s="14">
        <f>CB207/CC207</f>
        <v>0.2611683848797251</v>
      </c>
      <c r="CC209" s="498"/>
      <c r="CD209" s="14">
        <f>CD207/CH207</f>
        <v>0.25328330206378985</v>
      </c>
      <c r="CE209" s="14">
        <f>CE207/CH207</f>
        <v>0.25703564727954969</v>
      </c>
      <c r="CF209" s="14">
        <f>CF207/CH207</f>
        <v>0.24202626641651032</v>
      </c>
      <c r="CG209" s="14">
        <f>CG207/CH207</f>
        <v>0.24765478424015008</v>
      </c>
      <c r="CH209" s="498"/>
      <c r="CI209" s="14">
        <f>CI207/CM207</f>
        <v>0.2421875</v>
      </c>
      <c r="CJ209" s="14">
        <f>CJ207/CM207</f>
        <v>0.2578125</v>
      </c>
      <c r="CK209" s="14">
        <f>CK207/CM207</f>
        <v>0.263671875</v>
      </c>
      <c r="CL209" s="14">
        <f>CL207/CM207</f>
        <v>0.236328125</v>
      </c>
      <c r="CM209" s="498"/>
      <c r="CN209" s="14">
        <f>CN207/CR207</f>
        <v>0.26607538802660752</v>
      </c>
      <c r="CO209" s="14">
        <f>CO207/CR207</f>
        <v>0.23725055432372505</v>
      </c>
      <c r="CP209" s="14">
        <f>CP207/CR207</f>
        <v>0.25277161862527714</v>
      </c>
      <c r="CQ209" s="14">
        <f>CQ207/CR207</f>
        <v>0.24390243902439024</v>
      </c>
      <c r="CR209" s="498"/>
      <c r="CS209" s="14">
        <f>CS207/CW207</f>
        <v>0.26117647058823529</v>
      </c>
      <c r="CT209" s="14">
        <f>CT207/CW207</f>
        <v>0.2635294117647059</v>
      </c>
      <c r="CU209" s="14">
        <f>CU207/CW207</f>
        <v>0.24941176470588236</v>
      </c>
      <c r="CV209" s="14">
        <f>CV207/CW207</f>
        <v>0.22588235294117648</v>
      </c>
      <c r="CW209" s="498"/>
      <c r="CX209" s="14">
        <f>CX207/DB207</f>
        <v>0.28900255754475701</v>
      </c>
      <c r="CY209" s="14">
        <f>CY207/DB207</f>
        <v>0.2506393861892583</v>
      </c>
      <c r="CZ209" s="14">
        <f>CZ207/DB207</f>
        <v>0.23529411764705882</v>
      </c>
      <c r="DA209" s="14">
        <f>DA207/DB207</f>
        <v>0.22506393861892582</v>
      </c>
      <c r="DB209" s="498"/>
      <c r="DC209" s="14">
        <f>DC207/DG207</f>
        <v>0.26737967914438504</v>
      </c>
      <c r="DD209" s="14">
        <f>DD207/DG207</f>
        <v>0.23796791443850268</v>
      </c>
      <c r="DE209" s="14">
        <f>DE207/DG207</f>
        <v>0.24064171122994651</v>
      </c>
      <c r="DF209" s="14">
        <f>DF207/DG207</f>
        <v>0.25401069518716579</v>
      </c>
      <c r="DG209" s="498"/>
      <c r="DH209" s="14">
        <f>DH207/DL207</f>
        <v>0.25593667546174143</v>
      </c>
      <c r="DI209" s="14">
        <f>DI207/DL207</f>
        <v>0.25065963060686014</v>
      </c>
      <c r="DJ209" s="14">
        <f>DJ207/DL207</f>
        <v>0.25065963060686014</v>
      </c>
      <c r="DK209" s="14">
        <f>DK207/DL207</f>
        <v>0.24274406332453827</v>
      </c>
      <c r="DL209" s="498"/>
      <c r="DM209" s="14">
        <f>DM207/DQ207</f>
        <v>0.24744897959183673</v>
      </c>
      <c r="DN209" s="14">
        <f>DN207/DQ207</f>
        <v>0.26020408163265307</v>
      </c>
      <c r="DO209" s="14">
        <f>DO207/DQ207</f>
        <v>0.24489795918367346</v>
      </c>
      <c r="DP209" s="14">
        <f>DP207/DQ207</f>
        <v>0.24744897959183673</v>
      </c>
      <c r="DQ209" s="498"/>
      <c r="DR209" s="14">
        <f>DR207/DV207</f>
        <v>0.25</v>
      </c>
      <c r="DS209" s="14">
        <f>DS207/DV207</f>
        <v>0.25263157894736843</v>
      </c>
      <c r="DT209" s="14">
        <f>DT207/DV207</f>
        <v>0.24736842105263157</v>
      </c>
      <c r="DU209" s="14">
        <f>DU207/DV207</f>
        <v>0.25</v>
      </c>
      <c r="DV209" s="498"/>
      <c r="DW209" s="14">
        <f>DW207/EA207</f>
        <v>0.23598130841121495</v>
      </c>
      <c r="DX209" s="14">
        <f>DX207/EA207</f>
        <v>0.26635514018691586</v>
      </c>
      <c r="DY209" s="14">
        <f>DY207/EA207</f>
        <v>0.24766355140186916</v>
      </c>
      <c r="DZ209" s="14">
        <f>DZ207/EA207</f>
        <v>0.25</v>
      </c>
      <c r="EA209" s="498"/>
      <c r="EB209" s="14">
        <f>EB207/EF207</f>
        <v>0.25917431192660551</v>
      </c>
      <c r="EC209" s="14">
        <f>EC207/EF207</f>
        <v>0.23165137614678899</v>
      </c>
      <c r="ED209" s="14">
        <f>ED207/EF207</f>
        <v>0.26146788990825687</v>
      </c>
      <c r="EE209" s="14">
        <f>EE207/EF207</f>
        <v>0.24770642201834864</v>
      </c>
      <c r="EF209" s="498"/>
      <c r="EG209" s="14">
        <f>EG207/EK207</f>
        <v>0.2348993288590604</v>
      </c>
      <c r="EH209" s="14">
        <f>EH207/EK207</f>
        <v>0.2348993288590604</v>
      </c>
      <c r="EI209" s="14">
        <f>EI207/EK207</f>
        <v>0.2348993288590604</v>
      </c>
      <c r="EJ209" s="14">
        <f>EJ207/EK207</f>
        <v>0.29530201342281881</v>
      </c>
      <c r="EK209" s="498"/>
      <c r="EL209" s="14">
        <f>EL207/EP207</f>
        <v>0.22613065326633167</v>
      </c>
      <c r="EM209" s="14">
        <f>EM207/EP207</f>
        <v>0.23869346733668342</v>
      </c>
      <c r="EN209" s="14">
        <f>EN207/EP207</f>
        <v>0.24371859296482412</v>
      </c>
      <c r="EO209" s="14">
        <f>EO207/EP207</f>
        <v>0.29145728643216079</v>
      </c>
      <c r="EP209" s="498"/>
      <c r="EQ209" s="14">
        <f>EQ207/EU207</f>
        <v>0.24803991208109341</v>
      </c>
      <c r="ER209" s="14">
        <f>ER207/EU207</f>
        <v>0.23976374024564437</v>
      </c>
      <c r="ES209" s="14">
        <f>ES207/EU207</f>
        <v>0.23988721727484644</v>
      </c>
      <c r="ET209" s="14">
        <f>ET207/EU207</f>
        <v>0.27230913039841576</v>
      </c>
      <c r="EU209" s="498"/>
      <c r="EV209" s="208"/>
      <c r="EW209" s="208"/>
      <c r="EX209" s="208"/>
      <c r="EY209" s="208"/>
      <c r="EZ209" s="15"/>
      <c r="FA209" s="208"/>
      <c r="FB209" s="208"/>
      <c r="FC209" s="208"/>
      <c r="FD209" s="208"/>
      <c r="FE209" s="15"/>
      <c r="FG209" s="464"/>
      <c r="FH209" s="767"/>
      <c r="FI209" s="767"/>
      <c r="FJ209" s="767"/>
      <c r="FK209" s="185"/>
      <c r="FL209" s="1338"/>
      <c r="FM209" s="1141">
        <f t="shared" si="999"/>
        <v>0.24803991208109341</v>
      </c>
      <c r="FN209" s="1419">
        <f t="shared" si="1000"/>
        <v>0.22613065326633167</v>
      </c>
      <c r="FO209" s="1806">
        <v>0.23881889537254383</v>
      </c>
      <c r="FP209" s="1741"/>
      <c r="FQ209" s="728"/>
      <c r="FR209" s="1619"/>
      <c r="FS209" s="1619"/>
      <c r="FT209" s="432"/>
      <c r="FU209" s="432"/>
      <c r="FV209" s="432"/>
      <c r="FW209" s="432"/>
      <c r="FX209" s="432"/>
      <c r="FY209" s="432"/>
      <c r="FZ209" s="464"/>
      <c r="GA209"/>
      <c r="GB209"/>
      <c r="GC209"/>
      <c r="GD209"/>
      <c r="GE209"/>
      <c r="GF209"/>
      <c r="GG209"/>
      <c r="GH209"/>
      <c r="GI209"/>
      <c r="GJ209"/>
      <c r="GK209"/>
      <c r="GL209"/>
      <c r="GM209"/>
      <c r="GN209"/>
      <c r="GO209"/>
      <c r="GP209"/>
      <c r="GQ209"/>
      <c r="GR209"/>
      <c r="GS209"/>
      <c r="GT209"/>
      <c r="GU209"/>
      <c r="GV209"/>
      <c r="GW209"/>
      <c r="GX209"/>
      <c r="GY209"/>
      <c r="GZ209"/>
      <c r="HA209"/>
      <c r="HB209"/>
      <c r="HC209"/>
      <c r="HD209"/>
      <c r="HE209"/>
      <c r="HF209"/>
      <c r="HG209"/>
      <c r="HH209"/>
      <c r="HI209"/>
      <c r="HJ209"/>
      <c r="HK209"/>
      <c r="HL209"/>
      <c r="HM209"/>
      <c r="HN209"/>
      <c r="HO209"/>
      <c r="HP209"/>
      <c r="HQ209"/>
      <c r="HR209"/>
      <c r="HS209"/>
      <c r="HT209"/>
      <c r="HU209"/>
      <c r="HV209"/>
      <c r="HW209"/>
      <c r="HX209"/>
      <c r="HY209"/>
      <c r="HZ209"/>
      <c r="IA209"/>
      <c r="IB209"/>
      <c r="IC209"/>
      <c r="ID209"/>
      <c r="IE209"/>
      <c r="IF209"/>
      <c r="IG209"/>
      <c r="IH209"/>
      <c r="II209"/>
      <c r="IJ209"/>
      <c r="IK209"/>
      <c r="IL209"/>
      <c r="IM209"/>
      <c r="IN209"/>
      <c r="IO209"/>
      <c r="IP209"/>
      <c r="IQ209"/>
      <c r="IR209"/>
      <c r="IS209"/>
      <c r="IT209"/>
      <c r="IU209"/>
      <c r="IV209"/>
      <c r="IW209"/>
      <c r="IX209"/>
    </row>
    <row r="210" spans="1:16384" s="42" customFormat="1" x14ac:dyDescent="0.2">
      <c r="A210" s="562" t="s">
        <v>414</v>
      </c>
      <c r="B210" s="90"/>
      <c r="C210" s="90"/>
      <c r="D210" s="90"/>
      <c r="E210" s="14"/>
      <c r="F210" s="15"/>
      <c r="G210" s="90"/>
      <c r="H210" s="90"/>
      <c r="I210" s="90"/>
      <c r="J210" s="14"/>
      <c r="K210" s="15"/>
      <c r="L210" s="90"/>
      <c r="M210" s="90"/>
      <c r="N210" s="90"/>
      <c r="O210" s="14"/>
      <c r="P210" s="15"/>
      <c r="Q210" s="90">
        <f t="shared" ref="Q210:AV210" si="1063">Q207/Q$223</f>
        <v>9.2920353982300891E-2</v>
      </c>
      <c r="R210" s="90">
        <f t="shared" si="1063"/>
        <v>9.2853891670459723E-2</v>
      </c>
      <c r="S210" s="90">
        <f t="shared" si="1063"/>
        <v>9.8345588235294115E-2</v>
      </c>
      <c r="T210" s="14">
        <f t="shared" si="1063"/>
        <v>0.10430009149130832</v>
      </c>
      <c r="U210" s="15">
        <f t="shared" si="1063"/>
        <v>9.7063159088332004E-2</v>
      </c>
      <c r="V210" s="90">
        <f t="shared" si="1063"/>
        <v>0.10018050541516245</v>
      </c>
      <c r="W210" s="90">
        <f t="shared" si="1063"/>
        <v>0.10156971375807941</v>
      </c>
      <c r="X210" s="90">
        <f t="shared" si="1063"/>
        <v>9.6153846153846159E-2</v>
      </c>
      <c r="Y210" s="14">
        <f t="shared" si="1063"/>
        <v>9.8075160403299722E-2</v>
      </c>
      <c r="Z210" s="15">
        <f t="shared" si="1063"/>
        <v>9.8994055784179247E-2</v>
      </c>
      <c r="AA210" s="90">
        <f t="shared" si="1063"/>
        <v>9.7283085013146364E-2</v>
      </c>
      <c r="AB210" s="90">
        <f t="shared" si="1063"/>
        <v>9.9018733273862625E-2</v>
      </c>
      <c r="AC210" s="90">
        <f t="shared" si="1063"/>
        <v>9.595070422535211E-2</v>
      </c>
      <c r="AD210" s="14">
        <f t="shared" si="1063"/>
        <v>9.6575943810359971E-2</v>
      </c>
      <c r="AE210" s="15">
        <f t="shared" si="1063"/>
        <v>9.7200793475865105E-2</v>
      </c>
      <c r="AF210" s="90">
        <f t="shared" si="1063"/>
        <v>0.1059245960502693</v>
      </c>
      <c r="AG210" s="90">
        <f t="shared" si="1063"/>
        <v>9.9551569506726459E-2</v>
      </c>
      <c r="AH210" s="90">
        <f t="shared" si="1063"/>
        <v>9.6330275229357804E-2</v>
      </c>
      <c r="AI210" s="14">
        <f t="shared" si="1063"/>
        <v>9.982014388489209E-2</v>
      </c>
      <c r="AJ210" s="15">
        <f t="shared" si="1063"/>
        <v>0.10042879711126157</v>
      </c>
      <c r="AK210" s="90">
        <f t="shared" si="1063"/>
        <v>0.10116383169203223</v>
      </c>
      <c r="AL210" s="90">
        <f t="shared" si="1063"/>
        <v>0.10054347826086957</v>
      </c>
      <c r="AM210" s="90">
        <f t="shared" si="1063"/>
        <v>9.7605893186003684E-2</v>
      </c>
      <c r="AN210" s="14">
        <f t="shared" si="1063"/>
        <v>9.8181818181818176E-2</v>
      </c>
      <c r="AO210" s="15">
        <f t="shared" si="1063"/>
        <v>9.9387338325391428E-2</v>
      </c>
      <c r="AP210" s="90">
        <f t="shared" si="1063"/>
        <v>9.5621090259159963E-2</v>
      </c>
      <c r="AQ210" s="90">
        <f t="shared" si="1063"/>
        <v>9.840674789128398E-2</v>
      </c>
      <c r="AR210" s="90">
        <f t="shared" si="1063"/>
        <v>9.7716894977168955E-2</v>
      </c>
      <c r="AS210" s="14">
        <f t="shared" si="1063"/>
        <v>9.7096188747731391E-2</v>
      </c>
      <c r="AT210" s="15">
        <f t="shared" si="1063"/>
        <v>9.7193702943189603E-2</v>
      </c>
      <c r="AU210" s="90">
        <f t="shared" si="1063"/>
        <v>9.4653812445223487E-2</v>
      </c>
      <c r="AV210" s="90">
        <f t="shared" si="1063"/>
        <v>0.10215053763440861</v>
      </c>
      <c r="AW210" s="90">
        <f t="shared" ref="AW210:CB210" si="1064">AW207/AW$223</f>
        <v>9.8530682800345729E-2</v>
      </c>
      <c r="AX210" s="14">
        <f t="shared" si="1064"/>
        <v>0.11825192802056556</v>
      </c>
      <c r="AY210" s="15">
        <f t="shared" si="1064"/>
        <v>0.10347085789129011</v>
      </c>
      <c r="AZ210" s="90">
        <f t="shared" si="1064"/>
        <v>0.11064543168482817</v>
      </c>
      <c r="BA210" s="90">
        <f t="shared" si="1064"/>
        <v>0.10098709187547457</v>
      </c>
      <c r="BB210" s="90">
        <f t="shared" si="1064"/>
        <v>0.1076923076923077</v>
      </c>
      <c r="BC210" s="14">
        <f t="shared" si="1064"/>
        <v>0.115858975956148</v>
      </c>
      <c r="BD210" s="15">
        <f t="shared" si="1064"/>
        <v>0.10906720231173134</v>
      </c>
      <c r="BE210" s="90">
        <f t="shared" si="1064"/>
        <v>0.10407790626902008</v>
      </c>
      <c r="BF210" s="90">
        <f t="shared" si="1064"/>
        <v>0.10767400356930398</v>
      </c>
      <c r="BG210" s="90">
        <f t="shared" si="1064"/>
        <v>0.10075093867334167</v>
      </c>
      <c r="BH210" s="14">
        <f t="shared" si="1064"/>
        <v>9.3283582089552244E-2</v>
      </c>
      <c r="BI210" s="15">
        <f t="shared" si="1064"/>
        <v>0.10306233483600187</v>
      </c>
      <c r="BJ210" s="90">
        <f t="shared" si="1064"/>
        <v>9.0740740740740747E-2</v>
      </c>
      <c r="BK210" s="90">
        <f t="shared" si="1064"/>
        <v>9.0851735015772872E-2</v>
      </c>
      <c r="BL210" s="90">
        <f t="shared" si="1064"/>
        <v>9.0673575129533682E-2</v>
      </c>
      <c r="BM210" s="14">
        <f t="shared" si="1064"/>
        <v>8.7126137841352411E-2</v>
      </c>
      <c r="BN210" s="15">
        <f t="shared" si="1064"/>
        <v>9.0675653988123897E-2</v>
      </c>
      <c r="BO210" s="90">
        <f t="shared" si="1064"/>
        <v>8.5585585585585586E-2</v>
      </c>
      <c r="BP210" s="90">
        <f t="shared" si="1064"/>
        <v>9.0206185567010308E-2</v>
      </c>
      <c r="BQ210" s="90">
        <f t="shared" si="1064"/>
        <v>9.6856959589480443E-2</v>
      </c>
      <c r="BR210" s="14">
        <f t="shared" si="1064"/>
        <v>8.6049543676662316E-2</v>
      </c>
      <c r="BS210" s="15">
        <f t="shared" si="1064"/>
        <v>9.0303719343836283E-2</v>
      </c>
      <c r="BT210" s="90">
        <f t="shared" si="1064"/>
        <v>8.2932692307692304E-2</v>
      </c>
      <c r="BU210" s="90">
        <f t="shared" si="1064"/>
        <v>8.0466830466830466E-2</v>
      </c>
      <c r="BV210" s="90">
        <f t="shared" si="1064"/>
        <v>9.1874999999999998E-2</v>
      </c>
      <c r="BW210" s="14">
        <f t="shared" si="1064"/>
        <v>8.8753799392097266E-2</v>
      </c>
      <c r="BX210" s="15">
        <f t="shared" si="1064"/>
        <v>8.6795366795366799E-2</v>
      </c>
      <c r="BY210" s="90">
        <f t="shared" si="1064"/>
        <v>8.2167832167832161E-2</v>
      </c>
      <c r="BZ210" s="90">
        <f t="shared" si="1064"/>
        <v>8.5193889541715626E-2</v>
      </c>
      <c r="CA210" s="90">
        <f t="shared" si="1064"/>
        <v>8.505611340815121E-2</v>
      </c>
      <c r="CB210" s="14">
        <f t="shared" si="1064"/>
        <v>8.1501340482573723E-2</v>
      </c>
      <c r="CC210" s="15">
        <f t="shared" ref="CC210:DH210" si="1065">CC207/CC$223</f>
        <v>8.3142857142857143E-2</v>
      </c>
      <c r="CD210" s="90">
        <f t="shared" si="1065"/>
        <v>7.6835515082527034E-2</v>
      </c>
      <c r="CE210" s="90">
        <f t="shared" si="1065"/>
        <v>7.8555045871559634E-2</v>
      </c>
      <c r="CF210" s="90">
        <f t="shared" si="1065"/>
        <v>7.312925170068027E-2</v>
      </c>
      <c r="CG210" s="14">
        <f t="shared" si="1065"/>
        <v>7.3170731707317069E-2</v>
      </c>
      <c r="CH210" s="15">
        <f t="shared" si="1065"/>
        <v>7.3174080175727615E-2</v>
      </c>
      <c r="CI210" s="90">
        <f t="shared" si="1065"/>
        <v>6.7245119305856832E-2</v>
      </c>
      <c r="CJ210" s="90">
        <f t="shared" si="1065"/>
        <v>6.9400630914826497E-2</v>
      </c>
      <c r="CK210" s="90">
        <f t="shared" si="1065"/>
        <v>6.9444444444444448E-2</v>
      </c>
      <c r="CL210" s="14">
        <f t="shared" si="1065"/>
        <v>6.3086548488008348E-2</v>
      </c>
      <c r="CM210" s="15">
        <f t="shared" si="1065"/>
        <v>6.7297581493165087E-2</v>
      </c>
      <c r="CN210" s="90">
        <f t="shared" si="1065"/>
        <v>6.1381074168797956E-2</v>
      </c>
      <c r="CO210" s="90">
        <f t="shared" si="1065"/>
        <v>5.5787278415015643E-2</v>
      </c>
      <c r="CP210" s="90">
        <f t="shared" si="1065"/>
        <v>5.8672156459083892E-2</v>
      </c>
      <c r="CQ210" s="14">
        <f t="shared" si="1065"/>
        <v>5.5555555555555552E-2</v>
      </c>
      <c r="CR210" s="15">
        <f t="shared" si="1065"/>
        <v>5.7850179579271424E-2</v>
      </c>
      <c r="CS210" s="90">
        <f t="shared" si="1065"/>
        <v>5.3135471517472478E-2</v>
      </c>
      <c r="CT210" s="90">
        <f t="shared" si="1065"/>
        <v>5.1141552511415528E-2</v>
      </c>
      <c r="CU210" s="90">
        <f t="shared" si="1065"/>
        <v>4.757630161579892E-2</v>
      </c>
      <c r="CV210" s="14">
        <f t="shared" si="1065"/>
        <v>4.843592330978809E-2</v>
      </c>
      <c r="CW210" s="15">
        <f t="shared" si="1065"/>
        <v>5.0064789727883141E-2</v>
      </c>
      <c r="CX210" s="90">
        <f t="shared" si="1065"/>
        <v>6.5507246376811601E-2</v>
      </c>
      <c r="CY210" s="90">
        <f t="shared" si="1065"/>
        <v>6.1135371179039298E-2</v>
      </c>
      <c r="CZ210" s="90">
        <f t="shared" si="1065"/>
        <v>5.4405677114133646E-2</v>
      </c>
      <c r="DA210" s="14">
        <f t="shared" si="1065"/>
        <v>5.0662061024755324E-2</v>
      </c>
      <c r="DB210" s="15">
        <f t="shared" si="1065"/>
        <v>5.7874481941977501E-2</v>
      </c>
      <c r="DC210" s="341">
        <f t="shared" si="1065"/>
        <v>5.3850296176628974E-2</v>
      </c>
      <c r="DD210" s="341">
        <f t="shared" si="1065"/>
        <v>4.6965699208443269E-2</v>
      </c>
      <c r="DE210" s="341">
        <f t="shared" si="1065"/>
        <v>4.8886474741988047E-2</v>
      </c>
      <c r="DF210" s="341">
        <f t="shared" si="1065"/>
        <v>4.8223350253807105E-2</v>
      </c>
      <c r="DG210" s="79">
        <f t="shared" si="1065"/>
        <v>4.9451275948697609E-2</v>
      </c>
      <c r="DH210" s="341">
        <f t="shared" si="1065"/>
        <v>4.7619047619047616E-2</v>
      </c>
      <c r="DI210" s="341">
        <f t="shared" ref="DI210:EN210" si="1066">DI207/DI$223</f>
        <v>4.5389393215480175E-2</v>
      </c>
      <c r="DJ210" s="341">
        <f t="shared" si="1066"/>
        <v>4.5563549160671464E-2</v>
      </c>
      <c r="DK210" s="341">
        <f t="shared" si="1066"/>
        <v>4.3601895734597156E-2</v>
      </c>
      <c r="DL210" s="79">
        <f t="shared" si="1066"/>
        <v>4.5525525525525523E-2</v>
      </c>
      <c r="DM210" s="341">
        <f t="shared" si="1066"/>
        <v>4.5971563981042657E-2</v>
      </c>
      <c r="DN210" s="341">
        <f t="shared" si="1066"/>
        <v>4.9299178347027552E-2</v>
      </c>
      <c r="DO210" s="341">
        <f t="shared" si="1066"/>
        <v>4.7058823529411764E-2</v>
      </c>
      <c r="DP210" s="341">
        <f t="shared" si="1066"/>
        <v>4.6634615384615385E-2</v>
      </c>
      <c r="DQ210" s="79">
        <f t="shared" si="1066"/>
        <v>4.7234606579105914E-2</v>
      </c>
      <c r="DR210" s="341">
        <f t="shared" si="1066"/>
        <v>4.5173561578697098E-2</v>
      </c>
      <c r="DS210" s="341">
        <f t="shared" si="1066"/>
        <v>4.5112781954887216E-2</v>
      </c>
      <c r="DT210" s="14">
        <f t="shared" si="1066"/>
        <v>4.4152184124001882E-2</v>
      </c>
      <c r="DU210" s="341">
        <f t="shared" si="1066"/>
        <v>4.2812077512392972E-2</v>
      </c>
      <c r="DV210" s="79">
        <f t="shared" si="1066"/>
        <v>4.4294206784007459E-2</v>
      </c>
      <c r="DW210" s="341">
        <f t="shared" si="1066"/>
        <v>4.4434667839859214E-2</v>
      </c>
      <c r="DX210" s="341">
        <f t="shared" si="1066"/>
        <v>5.0734312416555405E-2</v>
      </c>
      <c r="DY210" s="14">
        <f t="shared" si="1066"/>
        <v>4.7216035634743872E-2</v>
      </c>
      <c r="DZ210" s="341">
        <f t="shared" si="1066"/>
        <v>4.6704495853339155E-2</v>
      </c>
      <c r="EA210" s="79">
        <f t="shared" si="1066"/>
        <v>4.7261484098939932E-2</v>
      </c>
      <c r="EB210" s="341">
        <f t="shared" si="1066"/>
        <v>5.1739926739926737E-2</v>
      </c>
      <c r="EC210" s="341">
        <f t="shared" si="1066"/>
        <v>4.893410852713178E-2</v>
      </c>
      <c r="ED210" s="14">
        <f t="shared" si="1066"/>
        <v>5.6829511465603187E-2</v>
      </c>
      <c r="EE210" s="341">
        <f t="shared" si="1066"/>
        <v>5.4271356783919596E-2</v>
      </c>
      <c r="EF210" s="79">
        <f t="shared" si="1066"/>
        <v>5.2886948083454635E-2</v>
      </c>
      <c r="EG210" s="341">
        <f t="shared" si="1066"/>
        <v>5.4858934169278999E-2</v>
      </c>
      <c r="EH210" s="341">
        <f t="shared" si="1066"/>
        <v>5.6330472103004292E-2</v>
      </c>
      <c r="EI210" s="14">
        <f t="shared" si="1066"/>
        <v>5.6179775280898875E-2</v>
      </c>
      <c r="EJ210" s="341">
        <f t="shared" si="1066"/>
        <v>6.4928676832267579E-2</v>
      </c>
      <c r="EK210" s="79">
        <f t="shared" si="1066"/>
        <v>5.8104770570648639E-2</v>
      </c>
      <c r="EL210" s="341">
        <f t="shared" si="1066"/>
        <v>4.5226130653266333E-2</v>
      </c>
      <c r="EM210" s="341">
        <f t="shared" si="1066"/>
        <v>5.1102743410435719E-2</v>
      </c>
      <c r="EN210" s="14">
        <f t="shared" si="1066"/>
        <v>5.181623931623932E-2</v>
      </c>
      <c r="EO210" s="341">
        <f t="shared" ref="EO210:EU210" si="1067">EO207/EO$223</f>
        <v>6.2332079527135952E-2</v>
      </c>
      <c r="EP210" s="79">
        <f t="shared" si="1067"/>
        <v>5.2492745977314695E-2</v>
      </c>
      <c r="EQ210" s="341">
        <f t="shared" si="1067"/>
        <v>5.5131004366812224E-2</v>
      </c>
      <c r="ER210" s="14">
        <f t="shared" si="1067"/>
        <v>5.3873572571740851E-2</v>
      </c>
      <c r="ES210" s="14">
        <f t="shared" si="1067"/>
        <v>5.2418327426943641E-2</v>
      </c>
      <c r="ET210" s="14">
        <f t="shared" si="1067"/>
        <v>5.6263674859457574E-2</v>
      </c>
      <c r="EU210" s="79">
        <f t="shared" si="1067"/>
        <v>5.444884220563137E-2</v>
      </c>
      <c r="EV210" s="76"/>
      <c r="EW210" s="76"/>
      <c r="EX210" s="76"/>
      <c r="EY210" s="76"/>
      <c r="EZ210" s="75">
        <f>EZ207/EZ$223</f>
        <v>5.5879331256010516E-2</v>
      </c>
      <c r="FA210" s="76"/>
      <c r="FB210" s="76"/>
      <c r="FC210" s="76"/>
      <c r="FD210" s="76"/>
      <c r="FE210" s="75">
        <f>FE207/FE$223</f>
        <v>5.8443696970625757E-2</v>
      </c>
      <c r="FG210" s="490"/>
      <c r="FH210" s="767"/>
      <c r="FI210" s="767"/>
      <c r="FJ210" s="767"/>
      <c r="FK210" s="185"/>
      <c r="FL210" s="1338"/>
      <c r="FM210" s="1141">
        <f t="shared" si="999"/>
        <v>5.5131004366812224E-2</v>
      </c>
      <c r="FN210" s="1454">
        <f t="shared" si="1000"/>
        <v>4.5226130653266333E-2</v>
      </c>
      <c r="FO210" s="1806">
        <v>4.8134951805981978E-2</v>
      </c>
      <c r="FP210" s="1741"/>
      <c r="FQ210" s="728"/>
      <c r="FR210" s="1619"/>
      <c r="FS210" s="1619"/>
      <c r="FT210" s="433"/>
      <c r="FU210" s="433"/>
      <c r="FV210" s="433"/>
      <c r="FW210" s="433"/>
      <c r="FX210" s="433"/>
      <c r="FY210" s="433"/>
      <c r="FZ210" s="490"/>
      <c r="GA210"/>
      <c r="GB210"/>
      <c r="GC210"/>
      <c r="GD210"/>
      <c r="GE210"/>
      <c r="GF210"/>
      <c r="GG210"/>
      <c r="GH210"/>
      <c r="GI210"/>
      <c r="GJ210"/>
      <c r="GK210"/>
      <c r="GL210"/>
      <c r="GM210"/>
      <c r="GN210"/>
      <c r="GO210"/>
      <c r="GP210"/>
      <c r="GQ210"/>
      <c r="GR210"/>
      <c r="GS210"/>
      <c r="GT210"/>
      <c r="GU210"/>
      <c r="GV210"/>
      <c r="GW210"/>
      <c r="GX210"/>
      <c r="GY210"/>
      <c r="GZ210"/>
      <c r="HA210"/>
      <c r="HB210"/>
      <c r="HC210"/>
      <c r="HD210"/>
      <c r="HE210"/>
      <c r="HF210"/>
      <c r="HG210"/>
      <c r="HH210"/>
      <c r="HI210"/>
      <c r="HJ210"/>
      <c r="HK210"/>
      <c r="HL210"/>
      <c r="HM210"/>
      <c r="HN210"/>
      <c r="HO210"/>
      <c r="HP210"/>
      <c r="HQ210"/>
      <c r="HR210"/>
      <c r="HS210"/>
      <c r="HT210"/>
      <c r="HU210"/>
      <c r="HV210"/>
      <c r="HW210"/>
      <c r="HX210"/>
      <c r="HY210"/>
      <c r="HZ210"/>
      <c r="IA210"/>
      <c r="IB210"/>
      <c r="IC210"/>
      <c r="ID210"/>
      <c r="IE210"/>
      <c r="IF210"/>
      <c r="IG210"/>
      <c r="IH210"/>
      <c r="II210"/>
      <c r="IJ210"/>
      <c r="IK210"/>
      <c r="IL210"/>
      <c r="IM210"/>
      <c r="IN210"/>
      <c r="IO210"/>
      <c r="IP210"/>
      <c r="IQ210"/>
      <c r="IR210"/>
      <c r="IS210"/>
      <c r="IT210"/>
      <c r="IU210"/>
      <c r="IV210"/>
      <c r="IW210"/>
      <c r="IX210"/>
    </row>
    <row r="211" spans="1:16384" s="39" customFormat="1" x14ac:dyDescent="0.2">
      <c r="A211" s="601" t="str">
        <f>A207&amp;" per Carload"</f>
        <v>Equipment Rents per Carload</v>
      </c>
      <c r="B211" s="8"/>
      <c r="C211" s="8"/>
      <c r="D211" s="8"/>
      <c r="E211" s="8"/>
      <c r="F211" s="38"/>
      <c r="G211" s="8"/>
      <c r="H211" s="8"/>
      <c r="I211" s="8"/>
      <c r="J211" s="8"/>
      <c r="K211" s="38"/>
      <c r="L211" s="8"/>
      <c r="M211" s="8"/>
      <c r="N211" s="8"/>
      <c r="O211" s="8"/>
      <c r="P211" s="38"/>
      <c r="Q211" s="8">
        <f t="shared" ref="Q211:AE211" si="1068">Q207/Q$23*1000</f>
        <v>79.048407739215534</v>
      </c>
      <c r="R211" s="8">
        <f t="shared" si="1068"/>
        <v>75.056934026333607</v>
      </c>
      <c r="S211" s="8">
        <f t="shared" si="1068"/>
        <v>80.330330330330327</v>
      </c>
      <c r="T211" s="8">
        <f t="shared" si="1068"/>
        <v>82.909090909090907</v>
      </c>
      <c r="U211" s="38">
        <f t="shared" si="1068"/>
        <v>79.343475313682021</v>
      </c>
      <c r="V211" s="8">
        <f t="shared" si="1068"/>
        <v>85.05747126436782</v>
      </c>
      <c r="W211" s="8">
        <f t="shared" si="1068"/>
        <v>81.481481481481495</v>
      </c>
      <c r="X211" s="8">
        <f t="shared" si="1068"/>
        <v>79.006772009029348</v>
      </c>
      <c r="Y211" s="8">
        <f t="shared" si="1068"/>
        <v>78.67647058823529</v>
      </c>
      <c r="Z211" s="38">
        <f t="shared" si="1068"/>
        <v>81.025449101796397</v>
      </c>
      <c r="AA211" s="8">
        <f t="shared" si="1068"/>
        <v>80.668604651162795</v>
      </c>
      <c r="AB211" s="8">
        <f t="shared" si="1068"/>
        <v>75.923392612859104</v>
      </c>
      <c r="AC211" s="8">
        <f t="shared" si="1068"/>
        <v>75.747046560111187</v>
      </c>
      <c r="AD211" s="8">
        <f t="shared" si="1068"/>
        <v>74.024226110363401</v>
      </c>
      <c r="AE211" s="38">
        <f t="shared" si="1068"/>
        <v>76.522644456012486</v>
      </c>
      <c r="AF211" s="8">
        <f t="shared" ref="AF211:AO211" si="1069">AF207/AF$23*1000</f>
        <v>84.831056793673611</v>
      </c>
      <c r="AG211" s="8">
        <f t="shared" si="1069"/>
        <v>79.172610556348076</v>
      </c>
      <c r="AH211" s="8">
        <f t="shared" si="1069"/>
        <v>76.197387518142236</v>
      </c>
      <c r="AI211" s="8">
        <f t="shared" si="1069"/>
        <v>79.74137931034484</v>
      </c>
      <c r="AJ211" s="38">
        <f t="shared" si="1069"/>
        <v>79.992809635088975</v>
      </c>
      <c r="AK211" s="8">
        <f t="shared" si="1069"/>
        <v>85.026335590669675</v>
      </c>
      <c r="AL211" s="8">
        <f t="shared" si="1069"/>
        <v>78.723404255319153</v>
      </c>
      <c r="AM211" s="8">
        <f t="shared" si="1069"/>
        <v>76.589595375722553</v>
      </c>
      <c r="AN211" s="8">
        <f t="shared" si="1069"/>
        <v>76.487252124645892</v>
      </c>
      <c r="AO211" s="38">
        <f t="shared" si="1069"/>
        <v>79.132791327913267</v>
      </c>
      <c r="AP211" s="8">
        <f t="shared" ref="AP211:BU211" si="1070">AP207/AP$23*1000</f>
        <v>76.048329779673054</v>
      </c>
      <c r="AQ211" s="8">
        <f t="shared" si="1070"/>
        <v>73.068893528183722</v>
      </c>
      <c r="AR211" s="8">
        <f t="shared" si="1070"/>
        <v>75.51164431898377</v>
      </c>
      <c r="AS211" s="8">
        <f t="shared" si="1070"/>
        <v>73.237508555783705</v>
      </c>
      <c r="AT211" s="38">
        <f t="shared" si="1070"/>
        <v>74.44949318420133</v>
      </c>
      <c r="AU211" s="8">
        <f t="shared" si="1070"/>
        <v>76.813655761024179</v>
      </c>
      <c r="AV211" s="8">
        <f t="shared" si="1070"/>
        <v>78.674948240165634</v>
      </c>
      <c r="AW211" s="8">
        <f t="shared" si="1070"/>
        <v>80.394922425952046</v>
      </c>
      <c r="AX211" s="8">
        <f t="shared" si="1070"/>
        <v>94.326725905673271</v>
      </c>
      <c r="AY211" s="38">
        <f t="shared" si="1070"/>
        <v>82.63598326359832</v>
      </c>
      <c r="AZ211" s="8">
        <f t="shared" si="1070"/>
        <v>88.829071332436072</v>
      </c>
      <c r="BA211" s="8">
        <f t="shared" si="1070"/>
        <v>84.821428571428569</v>
      </c>
      <c r="BB211" s="8">
        <f t="shared" si="1070"/>
        <v>91.553133514986385</v>
      </c>
      <c r="BC211" s="8">
        <f t="shared" si="1070"/>
        <v>100.86767895878525</v>
      </c>
      <c r="BD211" s="38">
        <f t="shared" si="1070"/>
        <v>91.935244319025699</v>
      </c>
      <c r="BE211" s="8">
        <f t="shared" si="1070"/>
        <v>92.582566323768262</v>
      </c>
      <c r="BF211" s="8">
        <f t="shared" si="1070"/>
        <v>97.364174287251203</v>
      </c>
      <c r="BG211" s="8">
        <f t="shared" si="1070"/>
        <v>88.412959912136188</v>
      </c>
      <c r="BH211" s="8">
        <f t="shared" si="1070"/>
        <v>83.752093802345058</v>
      </c>
      <c r="BI211" s="38">
        <f t="shared" si="1070"/>
        <v>90.598524186936331</v>
      </c>
      <c r="BJ211" s="8">
        <f t="shared" si="1070"/>
        <v>82.910321489001689</v>
      </c>
      <c r="BK211" s="8">
        <f t="shared" si="1070"/>
        <v>80.133555926544233</v>
      </c>
      <c r="BL211" s="8">
        <f t="shared" si="1070"/>
        <v>78.917700112739581</v>
      </c>
      <c r="BM211" s="8">
        <f t="shared" si="1070"/>
        <v>75.535512965050728</v>
      </c>
      <c r="BN211" s="38">
        <f t="shared" si="1070"/>
        <v>79.376229277887049</v>
      </c>
      <c r="BO211" s="8">
        <f t="shared" si="1070"/>
        <v>78.32744405182568</v>
      </c>
      <c r="BP211" s="8">
        <f t="shared" si="1070"/>
        <v>77.348066298342545</v>
      </c>
      <c r="BQ211" s="8">
        <f t="shared" si="1070"/>
        <v>83.333333333333329</v>
      </c>
      <c r="BR211" s="8">
        <f t="shared" si="1070"/>
        <v>74.534161490683232</v>
      </c>
      <c r="BS211" s="38">
        <f t="shared" si="1070"/>
        <v>78.409251163446612</v>
      </c>
      <c r="BT211" s="8">
        <f t="shared" si="1070"/>
        <v>78.94736842105263</v>
      </c>
      <c r="BU211" s="8">
        <f t="shared" si="1070"/>
        <v>70.925825663237688</v>
      </c>
      <c r="BV211" s="8">
        <f t="shared" ref="BV211:DB211" si="1071">BV207/BV$23*1000</f>
        <v>80.724876441515647</v>
      </c>
      <c r="BW211" s="8">
        <f t="shared" si="1071"/>
        <v>78.200321371183719</v>
      </c>
      <c r="BX211" s="38">
        <f>BX207/BX$23*1000</f>
        <v>77.166003020733214</v>
      </c>
      <c r="BY211" s="8">
        <f t="shared" si="1071"/>
        <v>77.30263157894737</v>
      </c>
      <c r="BZ211" s="8">
        <f t="shared" si="1071"/>
        <v>76.075550891920258</v>
      </c>
      <c r="CA211" s="8">
        <f t="shared" si="1071"/>
        <v>79.251513483764441</v>
      </c>
      <c r="CB211" s="8">
        <f t="shared" si="1071"/>
        <v>76.651538073625815</v>
      </c>
      <c r="CC211" s="38">
        <f>CC207/CC$23*1000</f>
        <v>77.290836653386464</v>
      </c>
      <c r="CD211" s="8">
        <f t="shared" si="1071"/>
        <v>73.210412147505423</v>
      </c>
      <c r="CE211" s="8">
        <f t="shared" si="1071"/>
        <v>73.301230604601386</v>
      </c>
      <c r="CF211" s="8">
        <f t="shared" si="1071"/>
        <v>70.918086860912581</v>
      </c>
      <c r="CG211" s="8">
        <f t="shared" si="1071"/>
        <v>72.60726072607261</v>
      </c>
      <c r="CH211" s="38">
        <f>CH207/CH$23*1000</f>
        <v>72.517006802721099</v>
      </c>
      <c r="CI211" s="8">
        <f t="shared" si="1071"/>
        <v>67.907995618838996</v>
      </c>
      <c r="CJ211" s="8">
        <f t="shared" si="1071"/>
        <v>70.588235294117652</v>
      </c>
      <c r="CK211" s="8">
        <f t="shared" si="1071"/>
        <v>72.894168466522672</v>
      </c>
      <c r="CL211" s="8">
        <f t="shared" si="1071"/>
        <v>66.850828729281773</v>
      </c>
      <c r="CM211" s="38">
        <f>CM207/CM$23*1000</f>
        <v>69.584126121228593</v>
      </c>
      <c r="CN211" s="8">
        <f t="shared" si="1071"/>
        <v>68.376068376068389</v>
      </c>
      <c r="CO211" s="8">
        <f t="shared" si="1071"/>
        <v>58.565955117679259</v>
      </c>
      <c r="CP211" s="8">
        <f t="shared" si="1071"/>
        <v>64.297800338409473</v>
      </c>
      <c r="CQ211" s="8">
        <f t="shared" si="1071"/>
        <v>62.464508801817146</v>
      </c>
      <c r="CR211" s="38">
        <f>CR207/CR$23*1000</f>
        <v>63.37830241708825</v>
      </c>
      <c r="CS211" s="8">
        <f t="shared" si="1071"/>
        <v>64.647641234711699</v>
      </c>
      <c r="CT211" s="8">
        <f t="shared" si="1071"/>
        <v>63.098591549295769</v>
      </c>
      <c r="CU211" s="8">
        <f t="shared" si="1071"/>
        <v>61.200923787528865</v>
      </c>
      <c r="CV211" s="8">
        <f t="shared" si="1071"/>
        <v>59.887710542732378</v>
      </c>
      <c r="CW211" s="38">
        <f>CW207/CW$23*1000</f>
        <v>62.252819686538743</v>
      </c>
      <c r="CX211" s="8">
        <f t="shared" si="1071"/>
        <v>79.633544749823812</v>
      </c>
      <c r="CY211" s="8">
        <f t="shared" si="1071"/>
        <v>69.454287739192054</v>
      </c>
      <c r="CZ211" s="8">
        <f t="shared" si="1071"/>
        <v>62.798634812286686</v>
      </c>
      <c r="DA211" s="8">
        <f t="shared" si="1071"/>
        <v>58.744993324432571</v>
      </c>
      <c r="DB211" s="38">
        <f t="shared" si="1071"/>
        <v>67.495252891420677</v>
      </c>
      <c r="DC211" s="8">
        <f t="shared" ref="DC211:DH211" si="1072">DC207/DC$23*1000</f>
        <v>67.294751009421276</v>
      </c>
      <c r="DD211" s="8">
        <f t="shared" si="1072"/>
        <v>55.694618272841048</v>
      </c>
      <c r="DE211" s="8">
        <f t="shared" si="1072"/>
        <v>55.935363579863271</v>
      </c>
      <c r="DF211" s="8">
        <f t="shared" si="1072"/>
        <v>56.179775280898873</v>
      </c>
      <c r="DG211" s="38">
        <f t="shared" si="1072"/>
        <v>58.583959899749367</v>
      </c>
      <c r="DH211" s="8">
        <f t="shared" si="1072"/>
        <v>60.929648241206031</v>
      </c>
      <c r="DI211" s="8">
        <f t="shared" ref="DI211:DN211" si="1073">DI207/DI$23*1000</f>
        <v>57.715674362089914</v>
      </c>
      <c r="DJ211" s="8">
        <f t="shared" si="1073"/>
        <v>58.678196417541692</v>
      </c>
      <c r="DK211" s="8">
        <f t="shared" si="1073"/>
        <v>56.825200741198266</v>
      </c>
      <c r="DL211" s="38">
        <f t="shared" si="1073"/>
        <v>58.523780111179747</v>
      </c>
      <c r="DM211" s="8">
        <f t="shared" si="1073"/>
        <v>60.549313358302122</v>
      </c>
      <c r="DN211" s="8">
        <f t="shared" si="1073"/>
        <v>62.195121951219512</v>
      </c>
      <c r="DO211" s="8">
        <f t="shared" ref="DO211:DT211" si="1074">DO207/DO$23*1000</f>
        <v>60</v>
      </c>
      <c r="DP211" s="8">
        <f t="shared" si="1074"/>
        <v>61.901723037651564</v>
      </c>
      <c r="DQ211" s="38">
        <f t="shared" si="1074"/>
        <v>61.163988141675773</v>
      </c>
      <c r="DR211" s="8">
        <f t="shared" si="1074"/>
        <v>60.294873666372602</v>
      </c>
      <c r="DS211" s="8">
        <f t="shared" si="1074"/>
        <v>57.971014492753625</v>
      </c>
      <c r="DT211" s="8">
        <f t="shared" si="1074"/>
        <v>57.212416311625077</v>
      </c>
      <c r="DU211" s="8">
        <f t="shared" ref="DU211:EA211" si="1075">DU207/DU$23*1000</f>
        <v>57.160048134777377</v>
      </c>
      <c r="DV211" s="38">
        <f t="shared" si="1075"/>
        <v>58.134287143602393</v>
      </c>
      <c r="DW211" s="8">
        <f t="shared" si="1075"/>
        <v>62.345679012345684</v>
      </c>
      <c r="DX211" s="8">
        <f t="shared" si="1075"/>
        <v>64.00898371701291</v>
      </c>
      <c r="DY211" s="8">
        <f t="shared" si="1075"/>
        <v>60.29579067121729</v>
      </c>
      <c r="DZ211" s="8">
        <f t="shared" si="1075"/>
        <v>60.681676402200416</v>
      </c>
      <c r="EA211" s="38">
        <f t="shared" si="1075"/>
        <v>61.829160828048479</v>
      </c>
      <c r="EB211" s="8">
        <f t="shared" ref="EB211:EG211" si="1076">EB207/EB$23*1000</f>
        <v>69.120336671091181</v>
      </c>
      <c r="EC211" s="8">
        <f t="shared" si="1076"/>
        <v>57.418988061398522</v>
      </c>
      <c r="ED211" s="8">
        <f t="shared" si="1076"/>
        <v>66.588785046728972</v>
      </c>
      <c r="EE211" s="8">
        <f t="shared" si="1076"/>
        <v>65.256797583081578</v>
      </c>
      <c r="EF211" s="38">
        <f t="shared" si="1076"/>
        <v>64.489123376863489</v>
      </c>
      <c r="EG211" s="8">
        <f t="shared" si="1076"/>
        <v>67.698259187620891</v>
      </c>
      <c r="EH211" s="8">
        <f>EH207/EH$23*1000</f>
        <v>65.830721003134798</v>
      </c>
      <c r="EI211" s="8">
        <f>EI207/EI$23*1000</f>
        <v>66.709021601016516</v>
      </c>
      <c r="EJ211" s="8">
        <f t="shared" ref="EJ211:EL211" si="1077">EJ207/EJ$23*1000</f>
        <v>76.25649913344887</v>
      </c>
      <c r="EK211" s="38">
        <f t="shared" si="1077"/>
        <v>69.291582700356528</v>
      </c>
      <c r="EL211" s="8">
        <f t="shared" si="1077"/>
        <v>56.532663316582919</v>
      </c>
      <c r="EM211" s="8">
        <f>EM207/EM$23*1000</f>
        <v>58.641975308641975</v>
      </c>
      <c r="EN211" s="8">
        <f>EN207/EN$23*1000</f>
        <v>61.12161310649023</v>
      </c>
      <c r="EO211" s="8">
        <f t="shared" ref="EO211:EQ211" si="1078">EO207/EO$23*1000</f>
        <v>72.454715802623355</v>
      </c>
      <c r="EP211" s="38">
        <f t="shared" si="1078"/>
        <v>62.1875</v>
      </c>
      <c r="EQ211" s="8">
        <f t="shared" si="1078"/>
        <v>65.926892950391647</v>
      </c>
      <c r="ER211" s="8">
        <f t="shared" ref="ER211" si="1079">EM211*(1+ER212)</f>
        <v>61.574074074074076</v>
      </c>
      <c r="ES211" s="8">
        <f t="shared" ref="ES211:ET211" si="1080">EN211*(1+ES212)</f>
        <v>61.12161310649023</v>
      </c>
      <c r="ET211" s="8">
        <f t="shared" si="1080"/>
        <v>67.382885696439715</v>
      </c>
      <c r="EU211" s="38">
        <f>EU207/EU$23*1000</f>
        <v>64.01135195110237</v>
      </c>
      <c r="EV211" s="8"/>
      <c r="EW211" s="8"/>
      <c r="EX211" s="8"/>
      <c r="EY211" s="8"/>
      <c r="EZ211" s="38">
        <f>EU211*(1+EZ212)</f>
        <v>65.611635749879923</v>
      </c>
      <c r="FA211" s="8"/>
      <c r="FB211" s="8"/>
      <c r="FC211" s="8"/>
      <c r="FD211" s="8"/>
      <c r="FE211" s="38">
        <f>EZ211*(1+FE212)</f>
        <v>67.251926643626916</v>
      </c>
      <c r="FG211" s="489"/>
      <c r="FH211" s="777"/>
      <c r="FI211" s="777"/>
      <c r="FJ211" s="777"/>
      <c r="FK211" s="175"/>
      <c r="FL211" s="1347"/>
      <c r="FM211" s="1155">
        <f t="shared" si="999"/>
        <v>65.926892950391647</v>
      </c>
      <c r="FN211" s="1428">
        <f t="shared" si="1000"/>
        <v>56.532663316582919</v>
      </c>
      <c r="FO211" s="1816">
        <v>59.924623115577894</v>
      </c>
      <c r="FP211" s="1733">
        <f>+FM211/FN211-1</f>
        <v>0.16617348418915001</v>
      </c>
      <c r="FQ211" s="1519">
        <f>+FM211/FO211-1</f>
        <v>0.10016366432938661</v>
      </c>
      <c r="FR211" s="1619"/>
      <c r="FS211" s="1619"/>
      <c r="FT211" s="355"/>
      <c r="FU211" s="355"/>
      <c r="FV211" s="355"/>
      <c r="FW211" s="355"/>
      <c r="FX211" s="355"/>
      <c r="FY211" s="355"/>
      <c r="FZ211" s="489"/>
      <c r="GA211"/>
      <c r="GB211"/>
      <c r="GC211"/>
      <c r="GD211"/>
      <c r="GE211"/>
      <c r="GF211"/>
      <c r="GG211"/>
      <c r="GH211"/>
      <c r="GI211"/>
      <c r="GJ211"/>
      <c r="GK211"/>
      <c r="GL211"/>
      <c r="GM211"/>
      <c r="GN211"/>
      <c r="GO211"/>
      <c r="GP211"/>
      <c r="GQ211"/>
      <c r="GR211"/>
      <c r="GS211"/>
      <c r="GT211"/>
      <c r="GU211"/>
      <c r="GV211"/>
      <c r="GW211"/>
      <c r="GX211"/>
      <c r="GY211"/>
      <c r="GZ211"/>
      <c r="HA211"/>
      <c r="HB211"/>
      <c r="HC211"/>
      <c r="HD211"/>
      <c r="HE211"/>
      <c r="HF211"/>
      <c r="HG211"/>
      <c r="HH211"/>
      <c r="HI211"/>
      <c r="HJ211"/>
      <c r="HK211"/>
      <c r="HL211"/>
      <c r="HM211"/>
      <c r="HN211"/>
      <c r="HO211"/>
      <c r="HP211"/>
      <c r="HQ211"/>
      <c r="HR211"/>
      <c r="HS211"/>
      <c r="HT211"/>
      <c r="HU211"/>
      <c r="HV211"/>
      <c r="HW211"/>
      <c r="HX211"/>
      <c r="HY211"/>
      <c r="HZ211"/>
      <c r="IA211"/>
      <c r="IB211"/>
      <c r="IC211"/>
      <c r="ID211"/>
      <c r="IE211"/>
      <c r="IF211"/>
      <c r="IG211"/>
      <c r="IH211"/>
      <c r="II211"/>
      <c r="IJ211"/>
      <c r="IK211"/>
      <c r="IL211"/>
      <c r="IM211"/>
      <c r="IN211"/>
      <c r="IO211"/>
      <c r="IP211"/>
      <c r="IQ211"/>
      <c r="IR211"/>
      <c r="IS211"/>
      <c r="IT211"/>
      <c r="IU211"/>
      <c r="IV211"/>
      <c r="IW211"/>
      <c r="IX211"/>
    </row>
    <row r="212" spans="1:16384" s="45" customFormat="1" x14ac:dyDescent="0.2">
      <c r="A212" s="559" t="s">
        <v>465</v>
      </c>
      <c r="B212" s="10"/>
      <c r="C212" s="10"/>
      <c r="D212" s="10"/>
      <c r="E212" s="10"/>
      <c r="F212" s="9"/>
      <c r="G212" s="10"/>
      <c r="H212" s="10"/>
      <c r="I212" s="10"/>
      <c r="J212" s="10"/>
      <c r="K212" s="9"/>
      <c r="L212" s="10"/>
      <c r="M212" s="10"/>
      <c r="N212" s="10"/>
      <c r="O212" s="10"/>
      <c r="P212" s="9"/>
      <c r="Q212" s="10"/>
      <c r="R212" s="10"/>
      <c r="S212" s="10"/>
      <c r="T212" s="10"/>
      <c r="U212" s="9"/>
      <c r="V212" s="10">
        <f t="shared" ref="V212:AT212" si="1081">V211/Q211-1</f>
        <v>7.6017515051997941E-2</v>
      </c>
      <c r="W212" s="10">
        <f t="shared" si="1081"/>
        <v>8.5595655331376141E-2</v>
      </c>
      <c r="X212" s="10">
        <f t="shared" si="1081"/>
        <v>-1.6476445644606597E-2</v>
      </c>
      <c r="Y212" s="10">
        <f t="shared" si="1081"/>
        <v>-5.1051341589267274E-2</v>
      </c>
      <c r="Z212" s="9">
        <f t="shared" si="1081"/>
        <v>2.1198640234307176E-2</v>
      </c>
      <c r="AA212" s="10">
        <f t="shared" si="1081"/>
        <v>-5.1598837209302362E-2</v>
      </c>
      <c r="AB212" s="10">
        <f t="shared" si="1081"/>
        <v>-6.8212908842183895E-2</v>
      </c>
      <c r="AC212" s="10">
        <f t="shared" si="1081"/>
        <v>-4.1258810682021307E-2</v>
      </c>
      <c r="AD212" s="10">
        <f t="shared" si="1081"/>
        <v>-5.9131331681362309E-2</v>
      </c>
      <c r="AE212" s="9">
        <f t="shared" si="1081"/>
        <v>-5.5572720616788085E-2</v>
      </c>
      <c r="AF212" s="10">
        <f t="shared" si="1081"/>
        <v>5.1599406739593512E-2</v>
      </c>
      <c r="AG212" s="10">
        <f t="shared" si="1081"/>
        <v>4.2796005706134066E-2</v>
      </c>
      <c r="AH212" s="10">
        <f t="shared" si="1081"/>
        <v>5.945326959694297E-3</v>
      </c>
      <c r="AI212" s="10">
        <f t="shared" si="1081"/>
        <v>7.7233542319749215E-2</v>
      </c>
      <c r="AJ212" s="9">
        <f t="shared" si="1081"/>
        <v>4.5348212986434877E-2</v>
      </c>
      <c r="AK212" s="10">
        <f t="shared" si="1081"/>
        <v>2.3019729374704756E-3</v>
      </c>
      <c r="AL212" s="10">
        <f t="shared" si="1081"/>
        <v>-5.6737588652482351E-3</v>
      </c>
      <c r="AM212" s="10">
        <f t="shared" si="1081"/>
        <v>5.1472612166254539E-3</v>
      </c>
      <c r="AN212" s="10">
        <f t="shared" si="1081"/>
        <v>-4.0808513896332776E-2</v>
      </c>
      <c r="AO212" s="9">
        <f t="shared" si="1081"/>
        <v>-1.0751195152401083E-2</v>
      </c>
      <c r="AP212" s="10">
        <f t="shared" si="1081"/>
        <v>-0.10559088250278326</v>
      </c>
      <c r="AQ212" s="10">
        <f t="shared" si="1081"/>
        <v>-7.1827568696044675E-2</v>
      </c>
      <c r="AR212" s="10">
        <f t="shared" si="1081"/>
        <v>-1.4074379835155471E-2</v>
      </c>
      <c r="AS212" s="10">
        <f t="shared" si="1081"/>
        <v>-4.248738814105002E-2</v>
      </c>
      <c r="AT212" s="9">
        <f t="shared" si="1081"/>
        <v>-5.9182774487318679E-2</v>
      </c>
      <c r="AU212" s="10">
        <f t="shared" ref="AU212:BZ212" si="1082">AU211/AP211-1</f>
        <v>1.0063679025803962E-2</v>
      </c>
      <c r="AV212" s="10">
        <f t="shared" si="1082"/>
        <v>7.672286305826681E-2</v>
      </c>
      <c r="AW212" s="10">
        <f t="shared" si="1082"/>
        <v>6.4669206332467644E-2</v>
      </c>
      <c r="AX212" s="10">
        <f t="shared" si="1082"/>
        <v>0.28795650979615561</v>
      </c>
      <c r="AY212" s="9">
        <f t="shared" si="1082"/>
        <v>0.10996031979884879</v>
      </c>
      <c r="AZ212" s="10">
        <f t="shared" si="1082"/>
        <v>0.15642291012412146</v>
      </c>
      <c r="BA212" s="10">
        <f t="shared" si="1082"/>
        <v>7.8125E-2</v>
      </c>
      <c r="BB212" s="10">
        <f t="shared" si="1082"/>
        <v>0.13879248530044475</v>
      </c>
      <c r="BC212" s="10">
        <f t="shared" si="1082"/>
        <v>6.9343582005092941E-2</v>
      </c>
      <c r="BD212" s="9">
        <f t="shared" si="1082"/>
        <v>0.11253282998719727</v>
      </c>
      <c r="BE212" s="10">
        <f t="shared" si="1082"/>
        <v>4.2255254220603389E-2</v>
      </c>
      <c r="BF212" s="10">
        <f t="shared" si="1082"/>
        <v>0.14787237054443536</v>
      </c>
      <c r="BG212" s="10">
        <f t="shared" si="1082"/>
        <v>-3.4298920007322042E-2</v>
      </c>
      <c r="BH212" s="10">
        <f t="shared" si="1082"/>
        <v>-0.16968354316384793</v>
      </c>
      <c r="BI212" s="9">
        <f t="shared" si="1082"/>
        <v>-1.453980072594141E-2</v>
      </c>
      <c r="BJ212" s="10">
        <f>BJ211/BE211-1</f>
        <v>-0.10447155678253717</v>
      </c>
      <c r="BK212" s="10">
        <f>BK211/BF211-1</f>
        <v>-0.17697082614670867</v>
      </c>
      <c r="BL212" s="10">
        <f>BL211/BG211-1</f>
        <v>-0.10739669624038028</v>
      </c>
      <c r="BM212" s="10">
        <f>BM211/BH211-1</f>
        <v>-9.8105975197294359E-2</v>
      </c>
      <c r="BN212" s="9">
        <f>BN211/BI211-1</f>
        <v>-0.12386840745765104</v>
      </c>
      <c r="BO212" s="10">
        <f t="shared" si="1082"/>
        <v>-5.527511357900039E-2</v>
      </c>
      <c r="BP212" s="10">
        <f t="shared" si="1082"/>
        <v>-3.4760589318600266E-2</v>
      </c>
      <c r="BQ212" s="10">
        <f t="shared" si="1082"/>
        <v>5.5952380952380754E-2</v>
      </c>
      <c r="BR212" s="10">
        <f t="shared" si="1082"/>
        <v>-1.3256697877074175E-2</v>
      </c>
      <c r="BS212" s="9">
        <f t="shared" si="1082"/>
        <v>-1.2182212776260193E-2</v>
      </c>
      <c r="BT212" s="10">
        <f t="shared" si="1082"/>
        <v>7.9145231499802016E-3</v>
      </c>
      <c r="BU212" s="10">
        <f t="shared" si="1082"/>
        <v>-8.3030396782427074E-2</v>
      </c>
      <c r="BV212" s="10">
        <f t="shared" si="1082"/>
        <v>-3.1301482701812211E-2</v>
      </c>
      <c r="BW212" s="10">
        <f t="shared" si="1082"/>
        <v>4.9187645063381469E-2</v>
      </c>
      <c r="BX212" s="9">
        <f t="shared" si="1082"/>
        <v>-1.585588593521714E-2</v>
      </c>
      <c r="BY212" s="10">
        <f t="shared" si="1082"/>
        <v>-2.0833333333333259E-2</v>
      </c>
      <c r="BZ212" s="10">
        <f t="shared" si="1082"/>
        <v>7.2607194636463479E-2</v>
      </c>
      <c r="CA212" s="10">
        <f t="shared" ref="CA212:DU212" si="1083">CA211/BV211-1</f>
        <v>-1.825165949704044E-2</v>
      </c>
      <c r="CB212" s="10">
        <f t="shared" si="1083"/>
        <v>-1.9805331620141087E-2</v>
      </c>
      <c r="CC212" s="9">
        <f t="shared" si="1083"/>
        <v>1.6177283747573767E-3</v>
      </c>
      <c r="CD212" s="10">
        <f t="shared" si="1083"/>
        <v>-5.2937647113121322E-2</v>
      </c>
      <c r="CE212" s="10">
        <f t="shared" si="1083"/>
        <v>-3.6467961845722541E-2</v>
      </c>
      <c r="CF212" s="10">
        <f t="shared" si="1083"/>
        <v>-0.10515164009529054</v>
      </c>
      <c r="CG212" s="10">
        <f t="shared" si="1083"/>
        <v>-5.2761855132881563E-2</v>
      </c>
      <c r="CH212" s="9">
        <f t="shared" si="1083"/>
        <v>-6.1764499614278656E-2</v>
      </c>
      <c r="CI212" s="10">
        <f t="shared" si="1083"/>
        <v>-7.2427082065636195E-2</v>
      </c>
      <c r="CJ212" s="10">
        <f t="shared" si="1083"/>
        <v>-3.7011592958351103E-2</v>
      </c>
      <c r="CK212" s="10">
        <f t="shared" si="1083"/>
        <v>2.7864282485308145E-2</v>
      </c>
      <c r="CL212" s="10">
        <f t="shared" si="1083"/>
        <v>-7.9281767955801108E-2</v>
      </c>
      <c r="CM212" s="9">
        <f t="shared" si="1083"/>
        <v>-4.0444039416453914E-2</v>
      </c>
      <c r="CN212" s="10">
        <f t="shared" si="1083"/>
        <v>6.8927488282328753E-3</v>
      </c>
      <c r="CO212" s="10">
        <f t="shared" si="1083"/>
        <v>-0.17031563583287723</v>
      </c>
      <c r="CP212" s="10">
        <f t="shared" si="1083"/>
        <v>-0.11792943535752332</v>
      </c>
      <c r="CQ212" s="10">
        <f t="shared" si="1083"/>
        <v>-6.5613546022404767E-2</v>
      </c>
      <c r="CR212" s="9">
        <f t="shared" si="1083"/>
        <v>-8.9184474248173107E-2</v>
      </c>
      <c r="CS212" s="10">
        <f t="shared" si="1083"/>
        <v>-5.4528246942341596E-2</v>
      </c>
      <c r="CT212" s="10">
        <f t="shared" si="1083"/>
        <v>7.7393708042648335E-2</v>
      </c>
      <c r="CU212" s="10">
        <f t="shared" si="1083"/>
        <v>-4.8164580041327398E-2</v>
      </c>
      <c r="CV212" s="10">
        <f t="shared" si="1083"/>
        <v>-4.1252197584075279E-2</v>
      </c>
      <c r="CW212" s="9">
        <f t="shared" si="1083"/>
        <v>-1.7758170976918564E-2</v>
      </c>
      <c r="CX212" s="10">
        <f t="shared" si="1083"/>
        <v>0.23180897599502259</v>
      </c>
      <c r="CY212" s="10">
        <f t="shared" si="1083"/>
        <v>0.10072643515237423</v>
      </c>
      <c r="CZ212" s="10">
        <f t="shared" si="1083"/>
        <v>2.6105995234722235E-2</v>
      </c>
      <c r="DA212" s="10">
        <f t="shared" si="1083"/>
        <v>-1.9080996884735302E-2</v>
      </c>
      <c r="DB212" s="9">
        <f t="shared" si="1083"/>
        <v>8.4211979975832962E-2</v>
      </c>
      <c r="DC212" s="10">
        <f t="shared" si="1083"/>
        <v>-0.1549446753772673</v>
      </c>
      <c r="DD212" s="10">
        <f t="shared" si="1083"/>
        <v>-0.1981111593573599</v>
      </c>
      <c r="DE212" s="10">
        <f t="shared" si="1083"/>
        <v>-0.10929013429891632</v>
      </c>
      <c r="DF212" s="10">
        <f t="shared" si="1083"/>
        <v>-4.3667007150153148E-2</v>
      </c>
      <c r="DG212" s="9">
        <f>DG211/DB211-1</f>
        <v>-0.13202844066688468</v>
      </c>
      <c r="DH212" s="10">
        <f t="shared" si="1083"/>
        <v>-9.4585427135678524E-2</v>
      </c>
      <c r="DI212" s="10">
        <f t="shared" si="1083"/>
        <v>3.6288175624940244E-2</v>
      </c>
      <c r="DJ212" s="10">
        <f t="shared" si="1083"/>
        <v>4.9035755953606541E-2</v>
      </c>
      <c r="DK212" s="10">
        <f t="shared" si="1083"/>
        <v>1.1488573193329188E-2</v>
      </c>
      <c r="DL212" s="9">
        <f>DL211/DG211-1</f>
        <v>-1.0272400273487747E-3</v>
      </c>
      <c r="DM212" s="10">
        <f t="shared" si="1083"/>
        <v>-6.2421972534332237E-3</v>
      </c>
      <c r="DN212" s="10">
        <f t="shared" si="1083"/>
        <v>7.7612323491655921E-2</v>
      </c>
      <c r="DO212" s="10">
        <f t="shared" si="1083"/>
        <v>2.2526315789473728E-2</v>
      </c>
      <c r="DP212" s="10">
        <f t="shared" si="1083"/>
        <v>8.9335756499542285E-2</v>
      </c>
      <c r="DQ212" s="9">
        <f>DQ211/DL211-1</f>
        <v>4.5113422705784334E-2</v>
      </c>
      <c r="DR212" s="10">
        <f t="shared" si="1083"/>
        <v>-4.2021895512484031E-3</v>
      </c>
      <c r="DS212" s="10">
        <f t="shared" si="1083"/>
        <v>-6.7917021881216177E-2</v>
      </c>
      <c r="DT212" s="10">
        <f t="shared" si="1083"/>
        <v>-4.6459728139582102E-2</v>
      </c>
      <c r="DU212" s="10">
        <f t="shared" si="1083"/>
        <v>-7.6600047142307726E-2</v>
      </c>
      <c r="DV212" s="9">
        <f t="shared" ref="DV212:ED212" si="1084">DV211/DQ211-1</f>
        <v>-4.953406555268447E-2</v>
      </c>
      <c r="DW212" s="10">
        <f t="shared" si="1084"/>
        <v>3.4012930474333958E-2</v>
      </c>
      <c r="DX212" s="10">
        <f t="shared" si="1084"/>
        <v>0.10415496911847266</v>
      </c>
      <c r="DY212" s="10">
        <f t="shared" si="1084"/>
        <v>5.389344758308523E-2</v>
      </c>
      <c r="DZ212" s="10">
        <f t="shared" si="1084"/>
        <v>6.1609959794285185E-2</v>
      </c>
      <c r="EA212" s="9">
        <f t="shared" si="1084"/>
        <v>6.3557564150035439E-2</v>
      </c>
      <c r="EB212" s="10">
        <f t="shared" si="1084"/>
        <v>0.10866282581354159</v>
      </c>
      <c r="EC212" s="10">
        <f t="shared" si="1084"/>
        <v>-0.102954230374116</v>
      </c>
      <c r="ED212" s="10">
        <f t="shared" si="1084"/>
        <v>0.1043687180391466</v>
      </c>
      <c r="EE212" s="10">
        <f t="shared" ref="EE212:EQ212" si="1085">EE211/DZ211-1</f>
        <v>7.53954315724088E-2</v>
      </c>
      <c r="EF212" s="9">
        <f t="shared" si="1085"/>
        <v>4.3021165307621789E-2</v>
      </c>
      <c r="EG212" s="10">
        <f t="shared" si="1085"/>
        <v>-2.0573937453997604E-2</v>
      </c>
      <c r="EH212" s="10">
        <f t="shared" si="1085"/>
        <v>0.1464974083615258</v>
      </c>
      <c r="EI212" s="10">
        <f t="shared" si="1085"/>
        <v>1.8056577275462615E-3</v>
      </c>
      <c r="EJ212" s="10">
        <f t="shared" si="1085"/>
        <v>0.16856024135053582</v>
      </c>
      <c r="EK212" s="9">
        <f t="shared" si="1085"/>
        <v>7.4469291440484975E-2</v>
      </c>
      <c r="EL212" s="10">
        <f t="shared" si="1085"/>
        <v>-0.16493180186647516</v>
      </c>
      <c r="EM212" s="10">
        <f t="shared" si="1085"/>
        <v>-0.10920047031158142</v>
      </c>
      <c r="EN212" s="10">
        <f t="shared" si="1085"/>
        <v>-8.3757914003660727E-2</v>
      </c>
      <c r="EO212" s="10">
        <f t="shared" si="1085"/>
        <v>-4.9855204133780084E-2</v>
      </c>
      <c r="EP212" s="9">
        <f t="shared" si="1085"/>
        <v>-0.10252446868008946</v>
      </c>
      <c r="EQ212" s="10">
        <f t="shared" si="1085"/>
        <v>0.16617348418915001</v>
      </c>
      <c r="ER212" s="1168">
        <v>0.05</v>
      </c>
      <c r="ES212" s="1168">
        <v>0</v>
      </c>
      <c r="ET212" s="1168">
        <v>-7.0000000000000007E-2</v>
      </c>
      <c r="EU212" s="9">
        <f>EU211/EP211-1</f>
        <v>2.9328272580540604E-2</v>
      </c>
      <c r="EV212" s="80"/>
      <c r="EW212" s="80"/>
      <c r="EX212" s="80"/>
      <c r="EY212" s="80"/>
      <c r="EZ212" s="16">
        <v>2.5000000000000001E-2</v>
      </c>
      <c r="FA212" s="80"/>
      <c r="FB212" s="80"/>
      <c r="FC212" s="80"/>
      <c r="FD212" s="80"/>
      <c r="FE212" s="16">
        <v>2.5000000000000001E-2</v>
      </c>
      <c r="FF212" s="44"/>
      <c r="FG212" s="490"/>
      <c r="FH212" s="776"/>
      <c r="FI212" s="776"/>
      <c r="FJ212" s="776"/>
      <c r="FK212" s="83"/>
      <c r="FL212" s="1346"/>
      <c r="FM212" s="1551">
        <f t="shared" si="999"/>
        <v>0.16617348418915001</v>
      </c>
      <c r="FN212" s="1418">
        <f t="shared" si="1000"/>
        <v>-0.16493180186647516</v>
      </c>
      <c r="FO212" s="1859">
        <v>0.06</v>
      </c>
      <c r="FP212" s="1762"/>
      <c r="FQ212" s="739"/>
      <c r="FR212" s="1619"/>
      <c r="FS212" s="1619"/>
      <c r="FT212" s="354"/>
      <c r="FU212" s="354"/>
      <c r="FV212" s="354"/>
      <c r="FW212" s="354"/>
      <c r="FX212" s="354"/>
      <c r="FY212" s="354"/>
      <c r="FZ212" s="490"/>
      <c r="GA212"/>
      <c r="GB212"/>
      <c r="GC212"/>
      <c r="GD212"/>
      <c r="GE212"/>
      <c r="GF212"/>
      <c r="GG212"/>
      <c r="GH212"/>
      <c r="GI212"/>
      <c r="GJ212"/>
      <c r="GK212"/>
      <c r="GL212"/>
      <c r="GM212"/>
      <c r="GN212"/>
      <c r="GO212"/>
      <c r="GP212"/>
      <c r="GQ212"/>
      <c r="GR212"/>
      <c r="GS212"/>
      <c r="GT212"/>
      <c r="GU212"/>
      <c r="GV212"/>
      <c r="GW212"/>
      <c r="GX212"/>
      <c r="GY212"/>
      <c r="GZ212"/>
      <c r="HA212"/>
      <c r="HB212"/>
      <c r="HC212"/>
      <c r="HD212"/>
      <c r="HE212"/>
      <c r="HF212"/>
      <c r="HG212"/>
      <c r="HH212"/>
      <c r="HI212"/>
      <c r="HJ212"/>
      <c r="HK212"/>
      <c r="HL212"/>
      <c r="HM212"/>
      <c r="HN212"/>
      <c r="HO212"/>
      <c r="HP212"/>
      <c r="HQ212"/>
      <c r="HR212"/>
      <c r="HS212"/>
      <c r="HT212"/>
      <c r="HU212"/>
      <c r="HV212"/>
      <c r="HW212"/>
      <c r="HX212"/>
      <c r="HY212"/>
      <c r="HZ212"/>
      <c r="IA212"/>
      <c r="IB212"/>
      <c r="IC212"/>
      <c r="ID212"/>
      <c r="IE212"/>
      <c r="IF212"/>
      <c r="IG212"/>
      <c r="IH212"/>
      <c r="II212"/>
      <c r="IJ212"/>
      <c r="IK212"/>
      <c r="IL212"/>
      <c r="IM212"/>
      <c r="IN212"/>
      <c r="IO212"/>
      <c r="IP212"/>
      <c r="IQ212"/>
      <c r="IR212"/>
      <c r="IS212"/>
      <c r="IT212"/>
      <c r="IU212"/>
      <c r="IV212"/>
      <c r="IW212"/>
      <c r="IX212"/>
    </row>
    <row r="213" spans="1:16384" s="55" customFormat="1" x14ac:dyDescent="0.2">
      <c r="A213" s="383" t="s">
        <v>336</v>
      </c>
      <c r="F213" s="54"/>
      <c r="K213" s="54"/>
      <c r="P213" s="54"/>
      <c r="R213" s="55">
        <f>R211/Q211-1</f>
        <v>-5.049404316972439E-2</v>
      </c>
      <c r="S213" s="55">
        <f>S211/R211-1</f>
        <v>7.0258615974728711E-2</v>
      </c>
      <c r="T213" s="55">
        <f>T211/S211-1</f>
        <v>3.2101954120645759E-2</v>
      </c>
      <c r="U213" s="54"/>
      <c r="V213" s="55">
        <f>V211/T211-1</f>
        <v>2.5912482355313626E-2</v>
      </c>
      <c r="W213" s="55">
        <f>W211/V211-1</f>
        <v>-4.2042042042041872E-2</v>
      </c>
      <c r="X213" s="55">
        <f>X211/W211-1</f>
        <v>-3.0371434434639966E-2</v>
      </c>
      <c r="Y213" s="55">
        <f>Y211/X211-1</f>
        <v>-4.1806722689076148E-3</v>
      </c>
      <c r="Z213" s="54"/>
      <c r="AA213" s="55">
        <f>AA211/Y211-1</f>
        <v>2.5320582482069254E-2</v>
      </c>
      <c r="AB213" s="55">
        <f>AB211/AA211-1</f>
        <v>-5.8823529411764719E-2</v>
      </c>
      <c r="AC213" s="55">
        <f>AC211/AB211-1</f>
        <v>-2.3226840461031406E-3</v>
      </c>
      <c r="AD213" s="55">
        <f>AD211/AC211-1</f>
        <v>-2.2744391075110726E-2</v>
      </c>
      <c r="AE213" s="54"/>
      <c r="AF213" s="55">
        <f>AF211/AD211-1</f>
        <v>0.14599045813999068</v>
      </c>
      <c r="AG213" s="55">
        <f>AG211/AF211-1</f>
        <v>-6.6702531492540795E-2</v>
      </c>
      <c r="AH213" s="55">
        <f>AH211/AG211-1</f>
        <v>-3.757894323932065E-2</v>
      </c>
      <c r="AI213" s="55">
        <f>AI211/AH211-1</f>
        <v>4.6510673234811284E-2</v>
      </c>
      <c r="AJ213" s="54"/>
      <c r="AK213" s="55">
        <f>AK211/AI211-1</f>
        <v>6.6276208488397881E-2</v>
      </c>
      <c r="AL213" s="55">
        <f>AL211/AK211-1</f>
        <v>-7.4129165882131365E-2</v>
      </c>
      <c r="AM213" s="55">
        <f>AM211/AL211-1</f>
        <v>-2.7105139821902768E-2</v>
      </c>
      <c r="AN213" s="55">
        <f>AN211/AM211-1</f>
        <v>-1.3362552782084647E-3</v>
      </c>
      <c r="AO213" s="54"/>
      <c r="AP213" s="55">
        <f>AP211/AN211-1</f>
        <v>-5.7385032509411626E-3</v>
      </c>
      <c r="AQ213" s="55">
        <f>AQ211/AP211-1</f>
        <v>-3.9178194447154091E-2</v>
      </c>
      <c r="AR213" s="55">
        <f>AR211/AQ211-1</f>
        <v>3.3430789394092164E-2</v>
      </c>
      <c r="AS213" s="55">
        <f>AS211/AR211-1</f>
        <v>-3.0116358658453191E-2</v>
      </c>
      <c r="AT213" s="54"/>
      <c r="AU213" s="55">
        <f>AU211/AS211-1</f>
        <v>4.88294492229564E-2</v>
      </c>
      <c r="AV213" s="55">
        <f>AV211/AU211-1</f>
        <v>2.4231270608082278E-2</v>
      </c>
      <c r="AW213" s="55">
        <f>AW211/AV211-1</f>
        <v>2.1861777150916861E-2</v>
      </c>
      <c r="AX213" s="55">
        <f>AX211/AW211-1</f>
        <v>0.17329208187933953</v>
      </c>
      <c r="AY213" s="54"/>
      <c r="AZ213" s="55">
        <f>AZ211/AX211-1</f>
        <v>-5.8283106091637893E-2</v>
      </c>
      <c r="BA213" s="55">
        <f>BA211/AZ211-1</f>
        <v>-4.5116341991342068E-2</v>
      </c>
      <c r="BB213" s="55">
        <f>BB211/BA211-1</f>
        <v>7.9363258281944793E-2</v>
      </c>
      <c r="BC213" s="55">
        <f>BC211/BB211-1</f>
        <v>0.1017392314843506</v>
      </c>
      <c r="BD213" s="54"/>
      <c r="BE213" s="55">
        <f>BE211/BC211-1</f>
        <v>-8.213842848909314E-2</v>
      </c>
      <c r="BF213" s="55">
        <f>BF211/BE211-1</f>
        <v>5.1646958529549591E-2</v>
      </c>
      <c r="BG213" s="55">
        <f>BG211/BF211-1</f>
        <v>-9.1935400681429913E-2</v>
      </c>
      <c r="BH213" s="55">
        <f>BH211/BG211-1</f>
        <v>-5.2717001154842569E-2</v>
      </c>
      <c r="BI213" s="54"/>
      <c r="BJ213" s="55">
        <f>BJ211/BH211-1</f>
        <v>-1.0050761421319887E-2</v>
      </c>
      <c r="BK213" s="55">
        <f>BK211/BJ211-1</f>
        <v>-3.3491192804333769E-2</v>
      </c>
      <c r="BL213" s="55">
        <f>BL211/BK211-1</f>
        <v>-1.5172867343103857E-2</v>
      </c>
      <c r="BM213" s="55">
        <f>BM211/BL211-1</f>
        <v>-4.2857142857143038E-2</v>
      </c>
      <c r="BN213" s="54"/>
      <c r="BO213" s="55">
        <f>BO211/BM211-1</f>
        <v>3.6961833939841426E-2</v>
      </c>
      <c r="BP213" s="55">
        <f>BP211/BO211-1</f>
        <v>-1.2503634777551564E-2</v>
      </c>
      <c r="BQ213" s="55">
        <f>BQ211/BP211-1</f>
        <v>7.7380952380952328E-2</v>
      </c>
      <c r="BR213" s="55">
        <f>BR211/BQ211-1</f>
        <v>-0.10559006211180122</v>
      </c>
      <c r="BS213" s="54"/>
      <c r="BT213" s="55">
        <f>BT211/BR211-1</f>
        <v>5.921052631578938E-2</v>
      </c>
      <c r="BU213" s="55">
        <f>BU211/BT211-1</f>
        <v>-0.10160620826565592</v>
      </c>
      <c r="BV213" s="55">
        <f>BV211/BU211-1</f>
        <v>0.13815913578228534</v>
      </c>
      <c r="BW213" s="55">
        <f>BW211/BV211-1</f>
        <v>-3.1273569952887326E-2</v>
      </c>
      <c r="BX213" s="54"/>
      <c r="BY213" s="55">
        <f>BY211/BW211-1</f>
        <v>-1.1479361932227872E-2</v>
      </c>
      <c r="BZ213" s="55">
        <f>BZ211/BY211-1</f>
        <v>-1.5873724632180508E-2</v>
      </c>
      <c r="CA213" s="55">
        <f>CA211/BZ211-1</f>
        <v>4.1747480690034644E-2</v>
      </c>
      <c r="CB213" s="55">
        <f>CB211/CA211-1</f>
        <v>-3.2806634168207505E-2</v>
      </c>
      <c r="CC213" s="54"/>
      <c r="CD213" s="55">
        <f>CD211/CB211-1</f>
        <v>-4.4893109944057485E-2</v>
      </c>
      <c r="CE213" s="55">
        <f>CE211/CD211-1</f>
        <v>1.2405128509995755E-3</v>
      </c>
      <c r="CF213" s="55">
        <f>CF211/CE211-1</f>
        <v>-3.2511647131053811E-2</v>
      </c>
      <c r="CG213" s="55">
        <f>CG211/CF211-1</f>
        <v>2.3818660935861269E-2</v>
      </c>
      <c r="CH213" s="54"/>
      <c r="CI213" s="55">
        <f>CI211/CG211-1</f>
        <v>-6.4721696704172049E-2</v>
      </c>
      <c r="CJ213" s="55">
        <f>CJ211/CI211-1</f>
        <v>3.9468690702087361E-2</v>
      </c>
      <c r="CK213" s="55">
        <f>CK211/CJ211-1</f>
        <v>3.2667386609071203E-2</v>
      </c>
      <c r="CL213" s="55">
        <f>CL211/CK211-1</f>
        <v>-8.2905668099038099E-2</v>
      </c>
      <c r="CM213" s="54"/>
      <c r="CN213" s="55">
        <f>CN211/CL211-1</f>
        <v>2.2815568270113884E-2</v>
      </c>
      <c r="CO213" s="55">
        <f>CO211/CN211-1</f>
        <v>-0.14347290640394095</v>
      </c>
      <c r="CP213" s="55">
        <f>CP211/CO211-1</f>
        <v>9.7869917927795314E-2</v>
      </c>
      <c r="CQ213" s="55">
        <f>CQ211/CP211-1</f>
        <v>-2.8512507845422808E-2</v>
      </c>
      <c r="CR213" s="54"/>
      <c r="CS213" s="55">
        <f>CS211/CQ211-1</f>
        <v>3.4949965584793796E-2</v>
      </c>
      <c r="CT213" s="55">
        <f>CT211/CS211-1</f>
        <v>-2.3961426214947346E-2</v>
      </c>
      <c r="CU213" s="55">
        <f>CU211/CT211-1</f>
        <v>-3.0074645331573668E-2</v>
      </c>
      <c r="CV213" s="55">
        <f>CV211/CU211-1</f>
        <v>-2.1457408867806782E-2</v>
      </c>
      <c r="CW213" s="54"/>
      <c r="CX213" s="55">
        <f>CX211/CV211-1</f>
        <v>0.32971429410382891</v>
      </c>
      <c r="CY213" s="55">
        <f>CY211/CX211-1</f>
        <v>-0.12782624511580942</v>
      </c>
      <c r="CZ213" s="55">
        <f>CZ211/CY211-1</f>
        <v>-9.5827819182280338E-2</v>
      </c>
      <c r="DA213" s="55">
        <f>DA211/CZ211-1</f>
        <v>-6.4549834562024788E-2</v>
      </c>
      <c r="DB213" s="54"/>
      <c r="DC213" s="55">
        <f>DC211/DA211-1</f>
        <v>0.14554019331946688</v>
      </c>
      <c r="DD213" s="55">
        <f>DD211/DC211-1</f>
        <v>-0.17237797246558217</v>
      </c>
      <c r="DE213" s="55">
        <f>DE211/DD211-1</f>
        <v>4.3225955126011684E-3</v>
      </c>
      <c r="DF213" s="55">
        <f>DF211/DE211-1</f>
        <v>4.3695380774031456E-3</v>
      </c>
      <c r="DG213" s="54"/>
      <c r="DH213" s="55">
        <f>DH211/DF211-1</f>
        <v>8.4547738693467434E-2</v>
      </c>
      <c r="DI213" s="55">
        <f>DI211/DH211-1</f>
        <v>-5.2748932119101699E-2</v>
      </c>
      <c r="DJ213" s="55">
        <f>DJ211/DI211-1</f>
        <v>1.6676961087090714E-2</v>
      </c>
      <c r="DK213" s="55">
        <f>DK211/DJ211-1</f>
        <v>-3.1578947368421151E-2</v>
      </c>
      <c r="DL213" s="54"/>
      <c r="DM213" s="55">
        <f>DM211/DK211-1</f>
        <v>6.5536286164034063E-2</v>
      </c>
      <c r="DN213" s="55">
        <f>DN211/DM211-1</f>
        <v>2.718129243148093E-2</v>
      </c>
      <c r="DO213" s="55">
        <f>DO211/DN211-1</f>
        <v>-3.5294117647058809E-2</v>
      </c>
      <c r="DP213" s="55">
        <f>DP211/DO211-1</f>
        <v>3.1695383960859358E-2</v>
      </c>
      <c r="DQ213" s="54"/>
      <c r="DR213" s="55">
        <f>DR211/DP211-1</f>
        <v>-2.5958071802001381E-2</v>
      </c>
      <c r="DS213" s="55">
        <f>DS211/DR211-1</f>
        <v>-3.8541571319603452E-2</v>
      </c>
      <c r="DT213" s="55">
        <f>DT211/DS211-1</f>
        <v>-1.3085818624467449E-2</v>
      </c>
      <c r="DU213" s="55">
        <f>DU211/DT211-1</f>
        <v>-9.1532887830603205E-4</v>
      </c>
      <c r="DV213" s="54"/>
      <c r="DW213" s="55">
        <f>DW211/DU211-1</f>
        <v>9.072124756335298E-2</v>
      </c>
      <c r="DX213" s="55">
        <f>DX211/DW211-1</f>
        <v>2.6678748728325763E-2</v>
      </c>
      <c r="DY213" s="55">
        <f>DY211/DX211-1</f>
        <v>-5.8010498373350927E-2</v>
      </c>
      <c r="DZ213" s="55">
        <f>DZ211/DY211-1</f>
        <v>6.3998784440408851E-3</v>
      </c>
      <c r="EA213" s="54"/>
      <c r="EB213" s="55">
        <f>EB211/DZ211-1</f>
        <v>0.13906438927229048</v>
      </c>
      <c r="EC213" s="55">
        <f>EC211/EB211-1</f>
        <v>-0.16928951989012253</v>
      </c>
      <c r="ED213" s="55">
        <f>ED211/EC211-1</f>
        <v>0.15969973165540852</v>
      </c>
      <c r="EE213" s="55">
        <f>EE211/ED211-1</f>
        <v>-2.0003180155827582E-2</v>
      </c>
      <c r="EF213" s="54"/>
      <c r="EG213" s="55">
        <f>EG211/EE211-1</f>
        <v>3.7413138476968255E-2</v>
      </c>
      <c r="EH213" s="55">
        <f>EH211/EG211-1</f>
        <v>-2.7586206896551779E-2</v>
      </c>
      <c r="EI213" s="55">
        <f>EI211/EH211-1</f>
        <v>1.3341804320203154E-2</v>
      </c>
      <c r="EJ213" s="55">
        <f>EJ211/EI211-1</f>
        <v>0.14312123462903359</v>
      </c>
      <c r="EK213" s="54"/>
      <c r="EL213" s="55">
        <f>EL211/EJ211-1</f>
        <v>-0.25865121059844665</v>
      </c>
      <c r="EM213" s="55">
        <f>EM211/EL211-1</f>
        <v>3.7311385459533497E-2</v>
      </c>
      <c r="EN213" s="55">
        <f>EN211/EM211-1</f>
        <v>4.2284349815938649E-2</v>
      </c>
      <c r="EO213" s="55">
        <f>EO211/EN211-1</f>
        <v>0.18541890699755958</v>
      </c>
      <c r="EP213" s="54"/>
      <c r="EQ213" s="55">
        <f>EQ211/EO211-1</f>
        <v>-9.0095210227784217E-2</v>
      </c>
      <c r="ER213" s="55">
        <f t="shared" ref="ER213" si="1086">ER211/EQ211-1</f>
        <v>-6.6024935826916042E-2</v>
      </c>
      <c r="ES213" s="55">
        <f t="shared" ref="ES213:ET213" si="1087">ES211/ER211-1</f>
        <v>-7.3482382705346572E-3</v>
      </c>
      <c r="ET213" s="55">
        <f t="shared" si="1087"/>
        <v>0.1024395835077303</v>
      </c>
      <c r="EU213" s="54"/>
      <c r="EZ213" s="54"/>
      <c r="FE213" s="54"/>
      <c r="FG213" s="489"/>
      <c r="FH213" s="766">
        <f>AVERAGE(CI213,CN213,CS213,CX213,DC213,DH213,DM213,DR213,DW213,EB213,EG213,EL213,EQ213)</f>
        <v>3.9298202470454797E-2</v>
      </c>
      <c r="FI213" s="766">
        <f>AVERAGE(CJ213,CO213,CT213,CY213,DD213,DI213,DN213,DS213,DX213,EC213,EH213)</f>
        <v>-6.0225095323978663E-2</v>
      </c>
      <c r="FJ213" s="766">
        <f>AVERAGE(CK213,CP213,CU213,CZ213,DE213,DJ213,DO213,DT213,DY213,ED213,EI213)</f>
        <v>8.3895907230398976E-3</v>
      </c>
      <c r="FK213" s="1408">
        <f>AVERAGE(CL213,CQ213,CV213,DA213,DF213,DK213,DP213,DU213,DZ213,EE213,EJ213,EO213)</f>
        <v>1.0090172194337443E-2</v>
      </c>
      <c r="FL213" s="1338"/>
      <c r="FM213" s="1523">
        <f t="shared" si="999"/>
        <v>-9.0095210227784217E-2</v>
      </c>
      <c r="FN213" s="1416">
        <f t="shared" si="1000"/>
        <v>-0.25865121059844665</v>
      </c>
      <c r="FO213" s="1799">
        <v>-0.17293688268930851</v>
      </c>
      <c r="FP213" s="1741"/>
      <c r="FQ213" s="728"/>
      <c r="FR213" s="1619"/>
      <c r="FS213" s="1619"/>
      <c r="FT213" s="432"/>
      <c r="FU213" s="432"/>
      <c r="FV213" s="432"/>
      <c r="FW213" s="432"/>
      <c r="FX213" s="432"/>
      <c r="FY213" s="432"/>
      <c r="FZ213" s="489"/>
      <c r="GA213"/>
      <c r="GB213"/>
      <c r="GC213"/>
      <c r="GD213"/>
      <c r="GE213"/>
      <c r="GF213"/>
      <c r="GG213"/>
      <c r="GH213"/>
      <c r="GI213"/>
      <c r="GJ213"/>
      <c r="GK213"/>
      <c r="GL213"/>
      <c r="GM213"/>
      <c r="GN213"/>
      <c r="GO213"/>
      <c r="GP213"/>
      <c r="GQ213"/>
      <c r="GR213"/>
      <c r="GS213"/>
      <c r="GT213"/>
      <c r="GU213"/>
      <c r="GV213"/>
      <c r="GW213"/>
      <c r="GX213"/>
      <c r="GY213"/>
      <c r="GZ213"/>
      <c r="HA213"/>
      <c r="HB213"/>
      <c r="HC213"/>
      <c r="HD213"/>
      <c r="HE213"/>
      <c r="HF213"/>
      <c r="HG213"/>
      <c r="HH213"/>
      <c r="HI213"/>
      <c r="HJ213"/>
      <c r="HK213"/>
      <c r="HL213"/>
      <c r="HM213"/>
      <c r="HN213"/>
      <c r="HO213"/>
      <c r="HP213"/>
      <c r="HQ213"/>
      <c r="HR213"/>
      <c r="HS213"/>
      <c r="HT213"/>
      <c r="HU213"/>
      <c r="HV213"/>
      <c r="HW213"/>
      <c r="HX213"/>
      <c r="HY213"/>
      <c r="HZ213"/>
      <c r="IA213"/>
      <c r="IB213"/>
      <c r="IC213"/>
      <c r="ID213"/>
      <c r="IE213"/>
      <c r="IF213"/>
      <c r="IG213"/>
      <c r="IH213"/>
      <c r="II213"/>
      <c r="IJ213"/>
      <c r="IK213"/>
      <c r="IL213"/>
      <c r="IM213"/>
      <c r="IN213"/>
      <c r="IO213"/>
      <c r="IP213"/>
      <c r="IQ213"/>
      <c r="IR213"/>
      <c r="IS213"/>
      <c r="IT213"/>
      <c r="IU213"/>
      <c r="IV213"/>
      <c r="IW213"/>
      <c r="IX213"/>
    </row>
    <row r="214" spans="1:16384" s="407" customFormat="1" x14ac:dyDescent="0.2">
      <c r="A214" s="109" t="s">
        <v>103</v>
      </c>
      <c r="B214" s="411"/>
      <c r="C214" s="411"/>
      <c r="D214" s="411"/>
      <c r="E214" s="411"/>
      <c r="F214" s="404"/>
      <c r="G214" s="411"/>
      <c r="H214" s="411"/>
      <c r="I214" s="411"/>
      <c r="J214" s="411"/>
      <c r="K214" s="404"/>
      <c r="L214" s="411"/>
      <c r="M214" s="411"/>
      <c r="N214" s="411"/>
      <c r="O214" s="411"/>
      <c r="P214" s="404"/>
      <c r="Q214" s="411">
        <v>87</v>
      </c>
      <c r="R214" s="411">
        <v>89</v>
      </c>
      <c r="S214" s="411">
        <v>88</v>
      </c>
      <c r="T214" s="411">
        <v>79</v>
      </c>
      <c r="U214" s="404">
        <v>343</v>
      </c>
      <c r="V214" s="411">
        <v>91</v>
      </c>
      <c r="W214" s="411">
        <v>91</v>
      </c>
      <c r="X214" s="411">
        <v>91</v>
      </c>
      <c r="Y214" s="411">
        <v>90</v>
      </c>
      <c r="Z214" s="404">
        <v>363</v>
      </c>
      <c r="AA214" s="411">
        <v>90</v>
      </c>
      <c r="AB214" s="411">
        <v>91</v>
      </c>
      <c r="AC214" s="411">
        <v>91</v>
      </c>
      <c r="AD214" s="411">
        <v>91</v>
      </c>
      <c r="AE214" s="404">
        <v>363</v>
      </c>
      <c r="AF214" s="411">
        <v>95</v>
      </c>
      <c r="AG214" s="411">
        <v>96</v>
      </c>
      <c r="AH214" s="411">
        <v>95</v>
      </c>
      <c r="AI214" s="411">
        <v>95</v>
      </c>
      <c r="AJ214" s="404">
        <v>381</v>
      </c>
      <c r="AK214" s="411">
        <v>108</v>
      </c>
      <c r="AL214" s="411">
        <v>107</v>
      </c>
      <c r="AM214" s="411">
        <v>107</v>
      </c>
      <c r="AN214" s="411">
        <v>109</v>
      </c>
      <c r="AO214" s="404">
        <v>431</v>
      </c>
      <c r="AP214" s="411">
        <v>111</v>
      </c>
      <c r="AQ214" s="411">
        <v>112</v>
      </c>
      <c r="AR214" s="411">
        <v>112</v>
      </c>
      <c r="AS214" s="411">
        <v>108</v>
      </c>
      <c r="AT214" s="404">
        <v>443</v>
      </c>
      <c r="AU214" s="411">
        <v>117</v>
      </c>
      <c r="AV214" s="411">
        <v>117</v>
      </c>
      <c r="AW214" s="411">
        <v>117</v>
      </c>
      <c r="AX214" s="411">
        <v>117</v>
      </c>
      <c r="AY214" s="404">
        <v>468</v>
      </c>
      <c r="AZ214" s="411">
        <v>129</v>
      </c>
      <c r="BA214" s="411">
        <v>121</v>
      </c>
      <c r="BB214" s="411">
        <v>122</v>
      </c>
      <c r="BC214" s="411">
        <v>121</v>
      </c>
      <c r="BD214" s="404">
        <v>493</v>
      </c>
      <c r="BE214" s="411">
        <v>131</v>
      </c>
      <c r="BF214" s="411">
        <v>134</v>
      </c>
      <c r="BG214" s="411">
        <v>141</v>
      </c>
      <c r="BH214" s="411">
        <v>139</v>
      </c>
      <c r="BI214" s="404">
        <f>SUM(BE214:BH214)</f>
        <v>545</v>
      </c>
      <c r="BJ214" s="411">
        <v>147</v>
      </c>
      <c r="BK214" s="411">
        <v>146</v>
      </c>
      <c r="BL214" s="411">
        <v>146</v>
      </c>
      <c r="BM214" s="411">
        <v>142</v>
      </c>
      <c r="BN214" s="404">
        <f>SUM(BJ214:BM214)</f>
        <v>581</v>
      </c>
      <c r="BO214" s="411">
        <v>145</v>
      </c>
      <c r="BP214" s="411">
        <v>146</v>
      </c>
      <c r="BQ214" s="411">
        <v>153</v>
      </c>
      <c r="BR214" s="411">
        <v>161</v>
      </c>
      <c r="BS214" s="404">
        <f>SUM(BO214:BR214)</f>
        <v>605</v>
      </c>
      <c r="BT214" s="411">
        <v>153</v>
      </c>
      <c r="BU214" s="411">
        <v>156</v>
      </c>
      <c r="BV214" s="411">
        <v>152</v>
      </c>
      <c r="BW214" s="411">
        <v>150</v>
      </c>
      <c r="BX214" s="404">
        <f>SUM(BT214:BW214)</f>
        <v>611</v>
      </c>
      <c r="BY214" s="411">
        <v>160</v>
      </c>
      <c r="BZ214" s="411">
        <v>157</v>
      </c>
      <c r="CA214" s="411">
        <v>170</v>
      </c>
      <c r="CB214" s="411">
        <v>215</v>
      </c>
      <c r="CC214" s="404">
        <f>SUM(BY214:CB214)</f>
        <v>702</v>
      </c>
      <c r="CD214" s="411">
        <v>203</v>
      </c>
      <c r="CE214" s="411">
        <v>203</v>
      </c>
      <c r="CF214" s="411">
        <v>204</v>
      </c>
      <c r="CG214" s="411">
        <v>208</v>
      </c>
      <c r="CH214" s="404">
        <f>SUM(CD214:CG214)</f>
        <v>818</v>
      </c>
      <c r="CI214" s="411">
        <v>211</v>
      </c>
      <c r="CJ214" s="411">
        <v>216</v>
      </c>
      <c r="CK214" s="411">
        <v>213</v>
      </c>
      <c r="CL214" s="411">
        <v>216</v>
      </c>
      <c r="CM214" s="404">
        <f>SUM(CI214:CL214)</f>
        <v>856</v>
      </c>
      <c r="CN214" s="411">
        <v>221</v>
      </c>
      <c r="CO214" s="411">
        <v>222</v>
      </c>
      <c r="CP214" s="411">
        <v>220</v>
      </c>
      <c r="CQ214" s="411">
        <v>220</v>
      </c>
      <c r="CR214" s="404">
        <f>SUM(CN214:CQ214)</f>
        <v>883</v>
      </c>
      <c r="CS214" s="411">
        <v>222</v>
      </c>
      <c r="CT214" s="411">
        <v>227</v>
      </c>
      <c r="CU214" s="411">
        <v>227</v>
      </c>
      <c r="CV214" s="411">
        <v>228</v>
      </c>
      <c r="CW214" s="404">
        <f>SUM(CS214:CV214)</f>
        <v>904</v>
      </c>
      <c r="CX214" s="411">
        <v>224</v>
      </c>
      <c r="CY214" s="411">
        <v>229</v>
      </c>
      <c r="CZ214" s="411">
        <v>228</v>
      </c>
      <c r="DA214" s="411">
        <v>227</v>
      </c>
      <c r="DB214" s="404">
        <f>SUM(CX214:DA214)</f>
        <v>908</v>
      </c>
      <c r="DC214" s="411">
        <v>229</v>
      </c>
      <c r="DD214" s="411">
        <v>230</v>
      </c>
      <c r="DE214" s="411">
        <v>232</v>
      </c>
      <c r="DF214" s="411">
        <v>257</v>
      </c>
      <c r="DG214" s="406">
        <f>SUM(DC214:DF214)</f>
        <v>948</v>
      </c>
      <c r="DH214" s="411">
        <v>243</v>
      </c>
      <c r="DI214" s="411">
        <v>246</v>
      </c>
      <c r="DJ214" s="411">
        <v>251</v>
      </c>
      <c r="DK214" s="411">
        <v>236</v>
      </c>
      <c r="DL214" s="406">
        <f>SUM(DH214:DK214)</f>
        <v>976</v>
      </c>
      <c r="DM214" s="411">
        <v>257</v>
      </c>
      <c r="DN214" s="411">
        <v>263</v>
      </c>
      <c r="DO214" s="411">
        <v>268</v>
      </c>
      <c r="DP214" s="411">
        <v>271</v>
      </c>
      <c r="DQ214" s="406">
        <f>SUM(DM214:DP214)</f>
        <v>1059</v>
      </c>
      <c r="DR214" s="411">
        <v>270</v>
      </c>
      <c r="DS214" s="411">
        <v>276</v>
      </c>
      <c r="DT214" s="407">
        <v>277</v>
      </c>
      <c r="DU214" s="411">
        <v>281</v>
      </c>
      <c r="DV214" s="406">
        <f>SUM(DR214:DU214)</f>
        <v>1104</v>
      </c>
      <c r="DW214" s="411">
        <v>283</v>
      </c>
      <c r="DX214" s="411">
        <v>287</v>
      </c>
      <c r="DY214" s="407">
        <v>291</v>
      </c>
      <c r="DZ214" s="411">
        <v>290</v>
      </c>
      <c r="EA214" s="406">
        <f>SUM(DW214:DZ214)</f>
        <v>1151</v>
      </c>
      <c r="EB214" s="411">
        <v>295</v>
      </c>
      <c r="EC214" s="411">
        <v>299</v>
      </c>
      <c r="ED214" s="407">
        <v>302</v>
      </c>
      <c r="EE214" s="411">
        <v>312</v>
      </c>
      <c r="EF214" s="406">
        <f>SUM(EB214:EE214)</f>
        <v>1208</v>
      </c>
      <c r="EG214" s="411">
        <v>313</v>
      </c>
      <c r="EH214" s="411">
        <v>319</v>
      </c>
      <c r="EI214" s="407">
        <v>321</v>
      </c>
      <c r="EJ214" s="411">
        <v>348</v>
      </c>
      <c r="EK214" s="406">
        <f>SUM(EG214:EJ214)</f>
        <v>1301</v>
      </c>
      <c r="EL214" s="411">
        <v>320</v>
      </c>
      <c r="EM214" s="411">
        <v>327</v>
      </c>
      <c r="EN214" s="407">
        <v>331</v>
      </c>
      <c r="EO214" s="411">
        <v>337</v>
      </c>
      <c r="EP214" s="406">
        <f>SUM(EL214:EO214)</f>
        <v>1315</v>
      </c>
      <c r="EQ214" s="411">
        <v>323</v>
      </c>
      <c r="ER214" s="407">
        <f t="shared" ref="ER214" si="1088">EM214*(1+ER215)</f>
        <v>328.63499999999999</v>
      </c>
      <c r="ES214" s="407">
        <f t="shared" ref="ES214:ET214" si="1089">EN214*(1+ES215)</f>
        <v>332.65499999999997</v>
      </c>
      <c r="ET214" s="407">
        <f t="shared" si="1089"/>
        <v>338.68499999999995</v>
      </c>
      <c r="EU214" s="406">
        <f>SUM(EQ214:ET214)</f>
        <v>1322.9749999999999</v>
      </c>
      <c r="EZ214" s="406">
        <f>EU214*(1+EZ215)</f>
        <v>1336.2047499999999</v>
      </c>
      <c r="FE214" s="406">
        <f>EZ214*(1+FE215)</f>
        <v>1356.2478212499998</v>
      </c>
      <c r="FG214" s="489"/>
      <c r="FH214" s="797"/>
      <c r="FI214" s="797"/>
      <c r="FJ214" s="797"/>
      <c r="FL214" s="1365"/>
      <c r="FM214" s="1569">
        <f t="shared" si="999"/>
        <v>323</v>
      </c>
      <c r="FN214" s="1470">
        <f t="shared" si="1000"/>
        <v>320</v>
      </c>
      <c r="FO214" s="1862">
        <v>321.59999999999997</v>
      </c>
      <c r="FP214" s="1748">
        <f>+FM214/FN214-1</f>
        <v>9.3749999999999112E-3</v>
      </c>
      <c r="FQ214" s="1520">
        <f>+FM214/FO214-1</f>
        <v>4.3532338308458485E-3</v>
      </c>
      <c r="FR214" s="1614" t="s">
        <v>815</v>
      </c>
      <c r="FS214" s="1297"/>
      <c r="FT214" s="409"/>
      <c r="FU214" s="409"/>
      <c r="FV214" s="409"/>
      <c r="FW214" s="409"/>
      <c r="FX214" s="409"/>
      <c r="FY214" s="409"/>
      <c r="FZ214" s="489"/>
      <c r="GA214"/>
      <c r="GB214"/>
      <c r="GC214"/>
      <c r="GD214"/>
      <c r="GE214"/>
      <c r="GF214"/>
      <c r="GG214"/>
      <c r="GH214"/>
      <c r="GI214"/>
      <c r="GJ214"/>
      <c r="GK214"/>
      <c r="GL214"/>
      <c r="GM214"/>
      <c r="GN214"/>
      <c r="GO214"/>
      <c r="GP214"/>
      <c r="GQ214"/>
      <c r="GR214"/>
      <c r="GS214"/>
      <c r="GT214"/>
      <c r="GU214"/>
      <c r="GV214"/>
      <c r="GW214"/>
      <c r="GX214"/>
      <c r="GY214"/>
      <c r="GZ214"/>
      <c r="HA214"/>
      <c r="HB214"/>
      <c r="HC214"/>
      <c r="HD214"/>
      <c r="HE214"/>
      <c r="HF214"/>
      <c r="HG214"/>
      <c r="HH214"/>
      <c r="HI214"/>
      <c r="HJ214"/>
      <c r="HK214"/>
      <c r="HL214"/>
      <c r="HM214"/>
      <c r="HN214"/>
      <c r="HO214"/>
      <c r="HP214"/>
      <c r="HQ214"/>
      <c r="HR214"/>
      <c r="HS214"/>
      <c r="HT214"/>
      <c r="HU214"/>
      <c r="HV214"/>
      <c r="HW214"/>
      <c r="HX214"/>
      <c r="HY214"/>
      <c r="HZ214"/>
      <c r="IA214"/>
      <c r="IB214"/>
      <c r="IC214"/>
      <c r="ID214"/>
      <c r="IE214"/>
      <c r="IF214"/>
      <c r="IG214"/>
      <c r="IH214"/>
      <c r="II214"/>
      <c r="IJ214"/>
      <c r="IK214"/>
      <c r="IL214"/>
      <c r="IM214"/>
      <c r="IN214"/>
      <c r="IO214"/>
      <c r="IP214"/>
      <c r="IQ214"/>
      <c r="IR214"/>
      <c r="IS214"/>
      <c r="IT214"/>
      <c r="IU214"/>
      <c r="IV214"/>
      <c r="IW214"/>
      <c r="IX214"/>
    </row>
    <row r="215" spans="1:16384" s="84" customFormat="1" x14ac:dyDescent="0.2">
      <c r="A215" s="559" t="s">
        <v>465</v>
      </c>
      <c r="B215" s="10"/>
      <c r="C215" s="10"/>
      <c r="D215" s="10"/>
      <c r="E215" s="10"/>
      <c r="F215" s="9"/>
      <c r="G215" s="10"/>
      <c r="H215" s="10"/>
      <c r="I215" s="10"/>
      <c r="J215" s="10"/>
      <c r="K215" s="9"/>
      <c r="L215" s="10"/>
      <c r="M215" s="10"/>
      <c r="N215" s="10"/>
      <c r="O215" s="10"/>
      <c r="P215" s="9"/>
      <c r="Q215" s="10"/>
      <c r="R215" s="10"/>
      <c r="S215" s="10"/>
      <c r="T215" s="10"/>
      <c r="U215" s="9"/>
      <c r="V215" s="10">
        <f t="shared" ref="V215:AJ215" si="1090">V214/Q214-1</f>
        <v>4.5977011494252817E-2</v>
      </c>
      <c r="W215" s="10">
        <f t="shared" si="1090"/>
        <v>2.2471910112359605E-2</v>
      </c>
      <c r="X215" s="10">
        <f t="shared" si="1090"/>
        <v>3.4090909090909172E-2</v>
      </c>
      <c r="Y215" s="10">
        <f t="shared" si="1090"/>
        <v>0.139240506329114</v>
      </c>
      <c r="Z215" s="9">
        <f t="shared" si="1090"/>
        <v>5.8309037900874605E-2</v>
      </c>
      <c r="AA215" s="10">
        <f t="shared" si="1090"/>
        <v>-1.098901098901095E-2</v>
      </c>
      <c r="AB215" s="10">
        <f t="shared" si="1090"/>
        <v>0</v>
      </c>
      <c r="AC215" s="10">
        <f t="shared" si="1090"/>
        <v>0</v>
      </c>
      <c r="AD215" s="10">
        <f t="shared" si="1090"/>
        <v>1.1111111111111072E-2</v>
      </c>
      <c r="AE215" s="9">
        <f t="shared" si="1090"/>
        <v>0</v>
      </c>
      <c r="AF215" s="10">
        <f t="shared" si="1090"/>
        <v>5.555555555555558E-2</v>
      </c>
      <c r="AG215" s="10">
        <f t="shared" si="1090"/>
        <v>5.4945054945054972E-2</v>
      </c>
      <c r="AH215" s="10">
        <f t="shared" si="1090"/>
        <v>4.3956043956044022E-2</v>
      </c>
      <c r="AI215" s="10">
        <f t="shared" si="1090"/>
        <v>4.3956043956044022E-2</v>
      </c>
      <c r="AJ215" s="9">
        <f t="shared" si="1090"/>
        <v>4.9586776859504189E-2</v>
      </c>
      <c r="AK215" s="10">
        <f t="shared" ref="AK215:BP215" si="1091">AK214/AF214-1</f>
        <v>0.13684210526315788</v>
      </c>
      <c r="AL215" s="10">
        <f t="shared" si="1091"/>
        <v>0.11458333333333326</v>
      </c>
      <c r="AM215" s="10">
        <f t="shared" si="1091"/>
        <v>0.12631578947368416</v>
      </c>
      <c r="AN215" s="10">
        <f t="shared" si="1091"/>
        <v>0.14736842105263159</v>
      </c>
      <c r="AO215" s="9">
        <f t="shared" si="1091"/>
        <v>0.13123359580052485</v>
      </c>
      <c r="AP215" s="10">
        <f t="shared" si="1091"/>
        <v>2.7777777777777679E-2</v>
      </c>
      <c r="AQ215" s="10">
        <f t="shared" si="1091"/>
        <v>4.6728971962616717E-2</v>
      </c>
      <c r="AR215" s="10">
        <f t="shared" si="1091"/>
        <v>4.6728971962616717E-2</v>
      </c>
      <c r="AS215" s="10">
        <f t="shared" si="1091"/>
        <v>-9.1743119266054496E-3</v>
      </c>
      <c r="AT215" s="9">
        <f t="shared" si="1091"/>
        <v>2.7842227378190199E-2</v>
      </c>
      <c r="AU215" s="10">
        <f t="shared" si="1091"/>
        <v>5.4054054054053946E-2</v>
      </c>
      <c r="AV215" s="10">
        <f t="shared" si="1091"/>
        <v>4.4642857142857206E-2</v>
      </c>
      <c r="AW215" s="10">
        <f t="shared" si="1091"/>
        <v>4.4642857142857206E-2</v>
      </c>
      <c r="AX215" s="10">
        <f t="shared" si="1091"/>
        <v>8.3333333333333259E-2</v>
      </c>
      <c r="AY215" s="9">
        <f t="shared" si="1091"/>
        <v>5.6433408577878152E-2</v>
      </c>
      <c r="AZ215" s="10">
        <f t="shared" si="1091"/>
        <v>0.10256410256410264</v>
      </c>
      <c r="BA215" s="10">
        <f t="shared" si="1091"/>
        <v>3.4188034188034289E-2</v>
      </c>
      <c r="BB215" s="10">
        <f t="shared" si="1091"/>
        <v>4.2735042735042805E-2</v>
      </c>
      <c r="BC215" s="10">
        <f t="shared" si="1091"/>
        <v>3.4188034188034289E-2</v>
      </c>
      <c r="BD215" s="9">
        <f t="shared" si="1091"/>
        <v>5.3418803418803451E-2</v>
      </c>
      <c r="BE215" s="10">
        <f t="shared" si="1091"/>
        <v>1.5503875968992276E-2</v>
      </c>
      <c r="BF215" s="10">
        <f t="shared" si="1091"/>
        <v>0.10743801652892571</v>
      </c>
      <c r="BG215" s="10">
        <f t="shared" si="1091"/>
        <v>0.15573770491803285</v>
      </c>
      <c r="BH215" s="10">
        <f t="shared" si="1091"/>
        <v>0.14876033057851235</v>
      </c>
      <c r="BI215" s="9">
        <f t="shared" si="1091"/>
        <v>0.10547667342799194</v>
      </c>
      <c r="BJ215" s="10">
        <f>BJ214/BE214-1</f>
        <v>0.12213740458015265</v>
      </c>
      <c r="BK215" s="10">
        <f>BK214/BF214-1</f>
        <v>8.9552238805970186E-2</v>
      </c>
      <c r="BL215" s="10">
        <f>BL214/BG214-1</f>
        <v>3.5460992907801359E-2</v>
      </c>
      <c r="BM215" s="10">
        <f>BM214/BH214-1</f>
        <v>2.1582733812949728E-2</v>
      </c>
      <c r="BN215" s="9">
        <f>BN214/BI214-1</f>
        <v>6.6055045871559637E-2</v>
      </c>
      <c r="BO215" s="10">
        <f t="shared" si="1091"/>
        <v>-1.3605442176870763E-2</v>
      </c>
      <c r="BP215" s="10">
        <f t="shared" si="1091"/>
        <v>0</v>
      </c>
      <c r="BQ215" s="10">
        <f t="shared" ref="BQ215:CV215" si="1092">BQ214/BL214-1</f>
        <v>4.7945205479452024E-2</v>
      </c>
      <c r="BR215" s="10">
        <f t="shared" si="1092"/>
        <v>0.13380281690140849</v>
      </c>
      <c r="BS215" s="9">
        <f t="shared" si="1092"/>
        <v>4.1308089500860623E-2</v>
      </c>
      <c r="BT215" s="10">
        <f t="shared" si="1092"/>
        <v>5.5172413793103559E-2</v>
      </c>
      <c r="BU215" s="10">
        <f t="shared" si="1092"/>
        <v>6.8493150684931559E-2</v>
      </c>
      <c r="BV215" s="10">
        <f t="shared" si="1092"/>
        <v>-6.5359477124182774E-3</v>
      </c>
      <c r="BW215" s="10">
        <f t="shared" si="1092"/>
        <v>-6.8322981366459645E-2</v>
      </c>
      <c r="BX215" s="9">
        <f t="shared" si="1092"/>
        <v>9.917355371900749E-3</v>
      </c>
      <c r="BY215" s="10">
        <f t="shared" si="1092"/>
        <v>4.5751633986928164E-2</v>
      </c>
      <c r="BZ215" s="10">
        <f t="shared" si="1092"/>
        <v>6.4102564102563875E-3</v>
      </c>
      <c r="CA215" s="10">
        <f t="shared" si="1092"/>
        <v>0.11842105263157898</v>
      </c>
      <c r="CB215" s="10">
        <f t="shared" si="1092"/>
        <v>0.43333333333333335</v>
      </c>
      <c r="CC215" s="9">
        <f t="shared" si="1092"/>
        <v>0.14893617021276606</v>
      </c>
      <c r="CD215" s="10">
        <f t="shared" si="1092"/>
        <v>0.26875000000000004</v>
      </c>
      <c r="CE215" s="10">
        <f t="shared" si="1092"/>
        <v>0.29299363057324834</v>
      </c>
      <c r="CF215" s="10">
        <f t="shared" si="1092"/>
        <v>0.19999999999999996</v>
      </c>
      <c r="CG215" s="10">
        <f t="shared" si="1092"/>
        <v>-3.2558139534883734E-2</v>
      </c>
      <c r="CH215" s="9">
        <f t="shared" si="1092"/>
        <v>0.16524216524216517</v>
      </c>
      <c r="CI215" s="10">
        <f t="shared" si="1092"/>
        <v>3.9408866995073843E-2</v>
      </c>
      <c r="CJ215" s="10">
        <f t="shared" si="1092"/>
        <v>6.4039408866995107E-2</v>
      </c>
      <c r="CK215" s="10">
        <f t="shared" si="1092"/>
        <v>4.4117647058823595E-2</v>
      </c>
      <c r="CL215" s="10">
        <f t="shared" si="1092"/>
        <v>3.8461538461538547E-2</v>
      </c>
      <c r="CM215" s="9">
        <f t="shared" si="1092"/>
        <v>4.6454767726161306E-2</v>
      </c>
      <c r="CN215" s="10">
        <f t="shared" si="1092"/>
        <v>4.7393364928909998E-2</v>
      </c>
      <c r="CO215" s="10">
        <f t="shared" si="1092"/>
        <v>2.7777777777777679E-2</v>
      </c>
      <c r="CP215" s="10">
        <f t="shared" si="1092"/>
        <v>3.2863849765258246E-2</v>
      </c>
      <c r="CQ215" s="10">
        <f t="shared" si="1092"/>
        <v>1.8518518518518601E-2</v>
      </c>
      <c r="CR215" s="9">
        <f t="shared" si="1092"/>
        <v>3.1542056074766345E-2</v>
      </c>
      <c r="CS215" s="10">
        <f t="shared" si="1092"/>
        <v>4.5248868778280382E-3</v>
      </c>
      <c r="CT215" s="10">
        <f t="shared" si="1092"/>
        <v>2.2522522522522515E-2</v>
      </c>
      <c r="CU215" s="10">
        <f t="shared" si="1092"/>
        <v>3.1818181818181746E-2</v>
      </c>
      <c r="CV215" s="10">
        <f t="shared" si="1092"/>
        <v>3.6363636363636376E-2</v>
      </c>
      <c r="CW215" s="9">
        <f t="shared" ref="CW215:DU215" si="1093">CW214/CR214-1</f>
        <v>2.3782559456398733E-2</v>
      </c>
      <c r="CX215" s="10">
        <f t="shared" si="1093"/>
        <v>9.009009009008917E-3</v>
      </c>
      <c r="CY215" s="10">
        <f t="shared" si="1093"/>
        <v>8.8105726872247381E-3</v>
      </c>
      <c r="CZ215" s="10">
        <f t="shared" si="1093"/>
        <v>4.405286343612369E-3</v>
      </c>
      <c r="DA215" s="10">
        <f t="shared" si="1093"/>
        <v>-4.3859649122807154E-3</v>
      </c>
      <c r="DB215" s="9">
        <f t="shared" si="1093"/>
        <v>4.4247787610618428E-3</v>
      </c>
      <c r="DC215" s="10">
        <f t="shared" si="1093"/>
        <v>2.2321428571428603E-2</v>
      </c>
      <c r="DD215" s="10">
        <f t="shared" si="1093"/>
        <v>4.366812227074135E-3</v>
      </c>
      <c r="DE215" s="10">
        <f t="shared" si="1093"/>
        <v>1.7543859649122862E-2</v>
      </c>
      <c r="DF215" s="10">
        <f t="shared" si="1093"/>
        <v>0.13215859030836996</v>
      </c>
      <c r="DG215" s="9">
        <f>DG214/DB214-1</f>
        <v>4.4052863436123246E-2</v>
      </c>
      <c r="DH215" s="10">
        <f t="shared" si="1093"/>
        <v>6.1135371179039222E-2</v>
      </c>
      <c r="DI215" s="10">
        <f t="shared" si="1093"/>
        <v>6.956521739130439E-2</v>
      </c>
      <c r="DJ215" s="10">
        <f t="shared" si="1093"/>
        <v>8.18965517241379E-2</v>
      </c>
      <c r="DK215" s="10">
        <f t="shared" si="1093"/>
        <v>-8.1712062256809381E-2</v>
      </c>
      <c r="DL215" s="9">
        <f>DL214/DG214-1</f>
        <v>2.9535864978903037E-2</v>
      </c>
      <c r="DM215" s="10">
        <f t="shared" si="1093"/>
        <v>5.7613168724279795E-2</v>
      </c>
      <c r="DN215" s="10">
        <f t="shared" si="1093"/>
        <v>6.9105691056910556E-2</v>
      </c>
      <c r="DO215" s="10">
        <f t="shared" si="1093"/>
        <v>6.7729083665338585E-2</v>
      </c>
      <c r="DP215" s="10">
        <f t="shared" si="1093"/>
        <v>0.14830508474576276</v>
      </c>
      <c r="DQ215" s="9">
        <f>DQ214/DL214-1</f>
        <v>8.5040983606557319E-2</v>
      </c>
      <c r="DR215" s="10">
        <f t="shared" si="1093"/>
        <v>5.058365758754868E-2</v>
      </c>
      <c r="DS215" s="10">
        <f t="shared" si="1093"/>
        <v>4.9429657794676896E-2</v>
      </c>
      <c r="DT215" s="10">
        <f t="shared" si="1093"/>
        <v>3.3582089552238736E-2</v>
      </c>
      <c r="DU215" s="10">
        <f t="shared" si="1093"/>
        <v>3.6900369003689981E-2</v>
      </c>
      <c r="DV215" s="9">
        <f t="shared" ref="DV215:ED215" si="1094">DV214/DQ214-1</f>
        <v>4.2492917847025469E-2</v>
      </c>
      <c r="DW215" s="10">
        <f t="shared" si="1094"/>
        <v>4.8148148148148051E-2</v>
      </c>
      <c r="DX215" s="10">
        <f t="shared" si="1094"/>
        <v>3.9855072463768071E-2</v>
      </c>
      <c r="DY215" s="10">
        <f t="shared" si="1094"/>
        <v>5.0541516245487417E-2</v>
      </c>
      <c r="DZ215" s="10">
        <f t="shared" si="1094"/>
        <v>3.2028469750889688E-2</v>
      </c>
      <c r="EA215" s="9">
        <f t="shared" si="1094"/>
        <v>4.2572463768115965E-2</v>
      </c>
      <c r="EB215" s="10">
        <f t="shared" si="1094"/>
        <v>4.2402826855123754E-2</v>
      </c>
      <c r="EC215" s="10">
        <f t="shared" si="1094"/>
        <v>4.1811846689895571E-2</v>
      </c>
      <c r="ED215" s="10">
        <f t="shared" si="1094"/>
        <v>3.7800687285223455E-2</v>
      </c>
      <c r="EE215" s="10">
        <f t="shared" ref="EE215:EP215" si="1095">EE214/DZ214-1</f>
        <v>7.5862068965517171E-2</v>
      </c>
      <c r="EF215" s="9">
        <f t="shared" si="1095"/>
        <v>4.9522154648132144E-2</v>
      </c>
      <c r="EG215" s="10">
        <f t="shared" si="1095"/>
        <v>6.1016949152542299E-2</v>
      </c>
      <c r="EH215" s="10">
        <f t="shared" si="1095"/>
        <v>6.6889632107023367E-2</v>
      </c>
      <c r="EI215" s="10">
        <f t="shared" si="1095"/>
        <v>6.29139072847682E-2</v>
      </c>
      <c r="EJ215" s="10">
        <f t="shared" si="1095"/>
        <v>0.11538461538461542</v>
      </c>
      <c r="EK215" s="9">
        <f t="shared" si="1095"/>
        <v>7.698675496688745E-2</v>
      </c>
      <c r="EL215" s="10">
        <f>EL214/EG214-1</f>
        <v>2.2364217252396124E-2</v>
      </c>
      <c r="EM215" s="10">
        <f t="shared" si="1095"/>
        <v>2.5078369905956022E-2</v>
      </c>
      <c r="EN215" s="10">
        <f t="shared" si="1095"/>
        <v>3.1152647975077885E-2</v>
      </c>
      <c r="EO215" s="10">
        <f t="shared" si="1095"/>
        <v>-3.1609195402298895E-2</v>
      </c>
      <c r="EP215" s="9">
        <f t="shared" si="1095"/>
        <v>1.0760953112989968E-2</v>
      </c>
      <c r="EQ215" s="10">
        <f>EQ214/EL214-1</f>
        <v>9.3749999999999112E-3</v>
      </c>
      <c r="ER215" s="633">
        <v>5.0000000000000001E-3</v>
      </c>
      <c r="ES215" s="633">
        <v>5.0000000000000001E-3</v>
      </c>
      <c r="ET215" s="633">
        <v>5.0000000000000001E-3</v>
      </c>
      <c r="EU215" s="1173">
        <f>EU214/EP214-1</f>
        <v>6.0646387832699045E-3</v>
      </c>
      <c r="EV215" s="840"/>
      <c r="EW215" s="840"/>
      <c r="EX215" s="840"/>
      <c r="EY215" s="840"/>
      <c r="EZ215" s="1012">
        <v>0.01</v>
      </c>
      <c r="FA215" s="840"/>
      <c r="FB215" s="840"/>
      <c r="FC215" s="840"/>
      <c r="FD215" s="840"/>
      <c r="FE215" s="1012">
        <v>1.4999999999999999E-2</v>
      </c>
      <c r="FF215" s="83"/>
      <c r="FG215" s="490"/>
      <c r="FH215" s="776"/>
      <c r="FI215" s="776"/>
      <c r="FJ215" s="776"/>
      <c r="FK215" s="83"/>
      <c r="FL215" s="1346"/>
      <c r="FM215" s="1551">
        <f t="shared" si="999"/>
        <v>9.3749999999999112E-3</v>
      </c>
      <c r="FN215" s="1418">
        <f t="shared" si="1000"/>
        <v>2.2364217252396124E-2</v>
      </c>
      <c r="FO215" s="1859">
        <v>5.0000000000000001E-3</v>
      </c>
      <c r="FP215" s="1762"/>
      <c r="FQ215" s="1503"/>
      <c r="FR215" s="1619"/>
      <c r="FS215" s="1615" t="s">
        <v>774</v>
      </c>
      <c r="FT215" s="354"/>
      <c r="FU215" s="354"/>
      <c r="FV215" s="354"/>
      <c r="FW215" s="354"/>
      <c r="FX215" s="354"/>
      <c r="FY215" s="354"/>
      <c r="FZ215" s="490"/>
      <c r="GA215"/>
      <c r="GB215"/>
      <c r="GC215"/>
      <c r="GD215"/>
      <c r="GE215"/>
      <c r="GF215"/>
      <c r="GG215"/>
      <c r="GH215"/>
      <c r="GI215"/>
      <c r="GJ215"/>
      <c r="GK215"/>
      <c r="GL215"/>
      <c r="GM215"/>
      <c r="GN215"/>
      <c r="GO215"/>
      <c r="GP215"/>
      <c r="GQ215"/>
      <c r="GR215"/>
      <c r="GS215"/>
      <c r="GT215"/>
      <c r="GU215"/>
      <c r="GV215"/>
      <c r="GW215"/>
      <c r="GX215"/>
      <c r="GY215"/>
      <c r="GZ215"/>
      <c r="HA215"/>
      <c r="HB215"/>
      <c r="HC215"/>
      <c r="HD215"/>
      <c r="HE215"/>
      <c r="HF215"/>
      <c r="HG215"/>
      <c r="HH215"/>
      <c r="HI215"/>
      <c r="HJ215"/>
      <c r="HK215"/>
      <c r="HL215"/>
      <c r="HM215"/>
      <c r="HN215"/>
      <c r="HO215"/>
      <c r="HP215"/>
      <c r="HQ215"/>
      <c r="HR215"/>
      <c r="HS215"/>
      <c r="HT215"/>
      <c r="HU215"/>
      <c r="HV215"/>
      <c r="HW215"/>
      <c r="HX215"/>
      <c r="HY215"/>
      <c r="HZ215"/>
      <c r="IA215"/>
      <c r="IB215"/>
      <c r="IC215"/>
      <c r="ID215"/>
      <c r="IE215"/>
      <c r="IF215"/>
      <c r="IG215"/>
      <c r="IH215"/>
      <c r="II215"/>
      <c r="IJ215"/>
      <c r="IK215"/>
      <c r="IL215"/>
      <c r="IM215"/>
      <c r="IN215"/>
      <c r="IO215"/>
      <c r="IP215"/>
      <c r="IQ215"/>
      <c r="IR215"/>
      <c r="IS215"/>
      <c r="IT215"/>
      <c r="IU215"/>
      <c r="IV215"/>
      <c r="IW215"/>
      <c r="IX215"/>
    </row>
    <row r="216" spans="1:16384" s="227" customFormat="1" x14ac:dyDescent="0.2">
      <c r="A216" s="558" t="s">
        <v>330</v>
      </c>
      <c r="B216" s="341"/>
      <c r="C216" s="341"/>
      <c r="D216" s="341"/>
      <c r="E216" s="14"/>
      <c r="F216" s="15"/>
      <c r="G216" s="341"/>
      <c r="H216" s="341"/>
      <c r="I216" s="341"/>
      <c r="J216" s="14"/>
      <c r="K216" s="15"/>
      <c r="L216" s="341"/>
      <c r="M216" s="341"/>
      <c r="N216" s="341"/>
      <c r="O216" s="14"/>
      <c r="P216" s="15"/>
      <c r="Q216" s="14">
        <f>Q214/U214</f>
        <v>0.25364431486880468</v>
      </c>
      <c r="R216" s="14">
        <f>R214/U214</f>
        <v>0.25947521865889212</v>
      </c>
      <c r="S216" s="14">
        <f>S214/U214</f>
        <v>0.2565597667638484</v>
      </c>
      <c r="T216" s="14">
        <f>T214/U214</f>
        <v>0.23032069970845481</v>
      </c>
      <c r="U216" s="498"/>
      <c r="V216" s="14">
        <f>V214/Z214</f>
        <v>0.25068870523415976</v>
      </c>
      <c r="W216" s="14">
        <f>W214/Z214</f>
        <v>0.25068870523415976</v>
      </c>
      <c r="X216" s="14">
        <f>X214/Z214</f>
        <v>0.25068870523415976</v>
      </c>
      <c r="Y216" s="14">
        <f>Y214/Z214</f>
        <v>0.24793388429752067</v>
      </c>
      <c r="Z216" s="498"/>
      <c r="AA216" s="14">
        <f>AA214/AE214</f>
        <v>0.24793388429752067</v>
      </c>
      <c r="AB216" s="14">
        <f>AB214/AE214</f>
        <v>0.25068870523415976</v>
      </c>
      <c r="AC216" s="14">
        <f>AC214/AE214</f>
        <v>0.25068870523415976</v>
      </c>
      <c r="AD216" s="14">
        <f>AD214/AE214</f>
        <v>0.25068870523415976</v>
      </c>
      <c r="AE216" s="498"/>
      <c r="AF216" s="14">
        <f>AF214/AJ214</f>
        <v>0.24934383202099739</v>
      </c>
      <c r="AG216" s="14">
        <f>AG214/AJ214</f>
        <v>0.25196850393700787</v>
      </c>
      <c r="AH216" s="14">
        <f>AH214/AJ214</f>
        <v>0.24934383202099739</v>
      </c>
      <c r="AI216" s="14">
        <f>AI214/AJ214</f>
        <v>0.24934383202099739</v>
      </c>
      <c r="AJ216" s="498"/>
      <c r="AK216" s="14">
        <f>AK214/AO214</f>
        <v>0.25058004640371229</v>
      </c>
      <c r="AL216" s="14">
        <f>AL214/AO214</f>
        <v>0.24825986078886311</v>
      </c>
      <c r="AM216" s="14">
        <f>AM214/AO214</f>
        <v>0.24825986078886311</v>
      </c>
      <c r="AN216" s="14">
        <f>AN214/AO214</f>
        <v>0.25290023201856149</v>
      </c>
      <c r="AO216" s="498"/>
      <c r="AP216" s="14">
        <f>AP214/AT214</f>
        <v>0.25056433408577877</v>
      </c>
      <c r="AQ216" s="14">
        <f>AQ214/AT214</f>
        <v>0.25282167042889392</v>
      </c>
      <c r="AR216" s="14">
        <f>AR214/AT214</f>
        <v>0.25282167042889392</v>
      </c>
      <c r="AS216" s="14">
        <f>AS214/AT214</f>
        <v>0.24379232505643342</v>
      </c>
      <c r="AT216" s="498"/>
      <c r="AU216" s="14">
        <f>AU214/AY214</f>
        <v>0.25</v>
      </c>
      <c r="AV216" s="14">
        <f>AV214/AY214</f>
        <v>0.25</v>
      </c>
      <c r="AW216" s="14">
        <f>AW214/AY214</f>
        <v>0.25</v>
      </c>
      <c r="AX216" s="14">
        <f>AX214/AY214</f>
        <v>0.25</v>
      </c>
      <c r="AY216" s="498"/>
      <c r="AZ216" s="14">
        <f>AZ214/BD214</f>
        <v>0.26166328600405681</v>
      </c>
      <c r="BA216" s="14">
        <f>BA214/BD214</f>
        <v>0.24543610547667344</v>
      </c>
      <c r="BB216" s="14">
        <f>BB214/BD214</f>
        <v>0.24746450304259635</v>
      </c>
      <c r="BC216" s="14">
        <f>BC214/BD214</f>
        <v>0.24543610547667344</v>
      </c>
      <c r="BD216" s="498"/>
      <c r="BE216" s="14">
        <f>BE214/BI214</f>
        <v>0.24036697247706423</v>
      </c>
      <c r="BF216" s="14">
        <f>BF214/BI214</f>
        <v>0.24587155963302754</v>
      </c>
      <c r="BG216" s="14">
        <f>BG214/BI214</f>
        <v>0.25871559633027524</v>
      </c>
      <c r="BH216" s="14">
        <f>BH214/BI214</f>
        <v>0.25504587155963304</v>
      </c>
      <c r="BI216" s="498"/>
      <c r="BJ216" s="14">
        <f>BJ214/BN214</f>
        <v>0.25301204819277107</v>
      </c>
      <c r="BK216" s="14">
        <f>BK214/BN214</f>
        <v>0.2512908777969019</v>
      </c>
      <c r="BL216" s="14">
        <f>BL214/BN214</f>
        <v>0.2512908777969019</v>
      </c>
      <c r="BM216" s="14">
        <f>BM214/BN214</f>
        <v>0.24440619621342513</v>
      </c>
      <c r="BN216" s="498"/>
      <c r="BO216" s="14">
        <f>BO214/BS214</f>
        <v>0.23966942148760331</v>
      </c>
      <c r="BP216" s="14">
        <f>BP214/BS214</f>
        <v>0.24132231404958679</v>
      </c>
      <c r="BQ216" s="14">
        <f>BQ214/BS214</f>
        <v>0.2528925619834711</v>
      </c>
      <c r="BR216" s="14">
        <f>BR214/BS214</f>
        <v>0.26611570247933886</v>
      </c>
      <c r="BS216" s="498"/>
      <c r="BT216" s="14">
        <f>BT214/BX214</f>
        <v>0.25040916530278234</v>
      </c>
      <c r="BU216" s="14">
        <f>BU214/BX214</f>
        <v>0.25531914893617019</v>
      </c>
      <c r="BV216" s="14">
        <f>BV214/BX214</f>
        <v>0.24877250409165302</v>
      </c>
      <c r="BW216" s="14">
        <f>BW214/BX214</f>
        <v>0.24549918166939444</v>
      </c>
      <c r="BX216" s="498"/>
      <c r="BY216" s="14">
        <f>BY214/CC214</f>
        <v>0.22792022792022792</v>
      </c>
      <c r="BZ216" s="14">
        <f>BZ214/CC214</f>
        <v>0.22364672364672364</v>
      </c>
      <c r="CA216" s="14">
        <f>CA214/CC214</f>
        <v>0.24216524216524216</v>
      </c>
      <c r="CB216" s="14">
        <f>CB214/CC214</f>
        <v>0.30626780626780625</v>
      </c>
      <c r="CC216" s="498"/>
      <c r="CD216" s="14">
        <f>CD214/CH214</f>
        <v>0.24816625916870416</v>
      </c>
      <c r="CE216" s="14">
        <f>CE214/CH214</f>
        <v>0.24816625916870416</v>
      </c>
      <c r="CF216" s="14">
        <f>CF214/CH214</f>
        <v>0.24938875305623473</v>
      </c>
      <c r="CG216" s="14">
        <f>CG214/CH214</f>
        <v>0.25427872860635697</v>
      </c>
      <c r="CH216" s="498"/>
      <c r="CI216" s="14">
        <f>CI214/CM214</f>
        <v>0.24649532710280375</v>
      </c>
      <c r="CJ216" s="14">
        <f>CJ214/CM214</f>
        <v>0.25233644859813081</v>
      </c>
      <c r="CK216" s="14">
        <f>CK214/CM214</f>
        <v>0.24883177570093459</v>
      </c>
      <c r="CL216" s="14">
        <f>CL214/CM214</f>
        <v>0.25233644859813081</v>
      </c>
      <c r="CM216" s="498"/>
      <c r="CN216" s="14">
        <f>CN214/CR214</f>
        <v>0.25028312570781425</v>
      </c>
      <c r="CO216" s="14">
        <f>CO214/CR214</f>
        <v>0.25141562853907135</v>
      </c>
      <c r="CP216" s="14">
        <f>CP214/CR214</f>
        <v>0.2491506228765572</v>
      </c>
      <c r="CQ216" s="14">
        <f>CQ214/CR214</f>
        <v>0.2491506228765572</v>
      </c>
      <c r="CR216" s="498"/>
      <c r="CS216" s="14">
        <f>CS214/CW214</f>
        <v>0.24557522123893805</v>
      </c>
      <c r="CT216" s="14">
        <f>CT214/CW214</f>
        <v>0.25110619469026546</v>
      </c>
      <c r="CU216" s="14">
        <f>CU214/CW214</f>
        <v>0.25110619469026546</v>
      </c>
      <c r="CV216" s="14">
        <f>CV214/CW214</f>
        <v>0.25221238938053098</v>
      </c>
      <c r="CW216" s="498"/>
      <c r="CX216" s="14">
        <f>CX214/DB214</f>
        <v>0.24669603524229075</v>
      </c>
      <c r="CY216" s="14">
        <f>CY214/DB214</f>
        <v>0.25220264317180618</v>
      </c>
      <c r="CZ216" s="14">
        <f>CZ214/DB214</f>
        <v>0.25110132158590309</v>
      </c>
      <c r="DA216" s="14">
        <f>DA214/DB214</f>
        <v>0.25</v>
      </c>
      <c r="DB216" s="498"/>
      <c r="DC216" s="14">
        <f>DC214/DG214</f>
        <v>0.24156118143459915</v>
      </c>
      <c r="DD216" s="14">
        <f>DD214/DG214</f>
        <v>0.24261603375527427</v>
      </c>
      <c r="DE216" s="14">
        <f>DE214/DG214</f>
        <v>0.24472573839662448</v>
      </c>
      <c r="DF216" s="14">
        <f>DF214/DG214</f>
        <v>0.27109704641350213</v>
      </c>
      <c r="DG216" s="498"/>
      <c r="DH216" s="14">
        <f>DH214/DL214</f>
        <v>0.24897540983606559</v>
      </c>
      <c r="DI216" s="14">
        <f>DI214/DL214</f>
        <v>0.25204918032786883</v>
      </c>
      <c r="DJ216" s="14">
        <f>DJ214/DL214</f>
        <v>0.25717213114754101</v>
      </c>
      <c r="DK216" s="14">
        <f>DK214/DL214</f>
        <v>0.24180327868852458</v>
      </c>
      <c r="DL216" s="498"/>
      <c r="DM216" s="14">
        <f>DM214/DQ214</f>
        <v>0.24268177525967893</v>
      </c>
      <c r="DN216" s="14">
        <f>DN214/DQ214</f>
        <v>0.24834749763928235</v>
      </c>
      <c r="DO216" s="14">
        <f>DO214/DQ214</f>
        <v>0.2530689329556185</v>
      </c>
      <c r="DP216" s="14">
        <f>DP214/DQ214</f>
        <v>0.25590179414542019</v>
      </c>
      <c r="DQ216" s="498"/>
      <c r="DR216" s="14">
        <f>DR214/DV214</f>
        <v>0.24456521739130435</v>
      </c>
      <c r="DS216" s="14">
        <f>DS214/DV214</f>
        <v>0.25</v>
      </c>
      <c r="DT216" s="14">
        <f>DT214/DV214</f>
        <v>0.25090579710144928</v>
      </c>
      <c r="DU216" s="14">
        <f>DU214/DV214</f>
        <v>0.2545289855072464</v>
      </c>
      <c r="DV216" s="498"/>
      <c r="DW216" s="14">
        <f>DW214/EA214</f>
        <v>0.24587315377932234</v>
      </c>
      <c r="DX216" s="14">
        <f>DX214/EA214</f>
        <v>0.24934839270199827</v>
      </c>
      <c r="DY216" s="14">
        <f>DY214/EA214</f>
        <v>0.25282363162467419</v>
      </c>
      <c r="DZ216" s="14">
        <f>DZ214/EA214</f>
        <v>0.2519548218940052</v>
      </c>
      <c r="EA216" s="498"/>
      <c r="EB216" s="14">
        <f>EB214/EF214</f>
        <v>0.24420529801324503</v>
      </c>
      <c r="EC216" s="14">
        <f>EC214/EF214</f>
        <v>0.24751655629139072</v>
      </c>
      <c r="ED216" s="14">
        <f>ED214/EF214</f>
        <v>0.25</v>
      </c>
      <c r="EE216" s="14">
        <f>EE214/EF214</f>
        <v>0.25827814569536423</v>
      </c>
      <c r="EF216" s="498"/>
      <c r="EG216" s="14">
        <f>EG214/EK214</f>
        <v>0.24058416602613375</v>
      </c>
      <c r="EH216" s="14">
        <f>EH214/EK214</f>
        <v>0.24519600307455802</v>
      </c>
      <c r="EI216" s="14">
        <f>EI214/EK214</f>
        <v>0.24673328209069947</v>
      </c>
      <c r="EJ216" s="14">
        <f>EJ214/EK214</f>
        <v>0.26748654880860878</v>
      </c>
      <c r="EK216" s="498"/>
      <c r="EL216" s="14">
        <f>EL214/EP214</f>
        <v>0.24334600760456274</v>
      </c>
      <c r="EM216" s="14">
        <f>EM214/EP214</f>
        <v>0.24866920152091254</v>
      </c>
      <c r="EN216" s="14">
        <f>EN214/EP214</f>
        <v>0.25171102661596956</v>
      </c>
      <c r="EO216" s="14">
        <f>EO214/EP214</f>
        <v>0.25627376425855514</v>
      </c>
      <c r="EP216" s="498"/>
      <c r="EQ216" s="14">
        <f>EQ214/EU214</f>
        <v>0.24414671479052893</v>
      </c>
      <c r="ER216" s="14">
        <f>ER214/EU214</f>
        <v>0.24840605453617795</v>
      </c>
      <c r="ES216" s="14">
        <f>ES214/EU214</f>
        <v>0.2514446607078743</v>
      </c>
      <c r="ET216" s="14">
        <f>ET214/EU214</f>
        <v>0.25600256996541881</v>
      </c>
      <c r="EU216" s="498"/>
      <c r="EV216" s="208"/>
      <c r="EW216" s="208"/>
      <c r="EX216" s="208"/>
      <c r="EY216" s="208"/>
      <c r="EZ216" s="15"/>
      <c r="FA216" s="208"/>
      <c r="FB216" s="208"/>
      <c r="FC216" s="208"/>
      <c r="FD216" s="208"/>
      <c r="FE216" s="15"/>
      <c r="FG216" s="464"/>
      <c r="FH216" s="776"/>
      <c r="FI216" s="776"/>
      <c r="FJ216" s="776"/>
      <c r="FK216" s="83"/>
      <c r="FL216" s="1346"/>
      <c r="FM216" s="1141">
        <f t="shared" si="999"/>
        <v>0.24414671479052893</v>
      </c>
      <c r="FN216" s="1419">
        <f t="shared" si="1000"/>
        <v>0.24334600760456274</v>
      </c>
      <c r="FO216" s="1806">
        <v>0.24334600760456274</v>
      </c>
      <c r="FP216" s="1762"/>
      <c r="FQ216" s="739"/>
      <c r="FR216" s="1619"/>
      <c r="FS216" s="1619"/>
      <c r="FT216" s="432"/>
      <c r="FU216" s="432"/>
      <c r="FV216" s="432"/>
      <c r="FW216" s="432"/>
      <c r="FX216" s="432"/>
      <c r="FY216" s="432"/>
      <c r="FZ216" s="464"/>
      <c r="GA216"/>
      <c r="GB216"/>
      <c r="GC216"/>
      <c r="GD216"/>
      <c r="GE216"/>
      <c r="GF216"/>
      <c r="GG216"/>
      <c r="GH216"/>
      <c r="GI216"/>
      <c r="GJ216"/>
      <c r="GK216"/>
      <c r="GL216"/>
      <c r="GM216"/>
      <c r="GN216"/>
      <c r="GO216"/>
      <c r="GP216"/>
      <c r="GQ216"/>
      <c r="GR216"/>
      <c r="GS216"/>
      <c r="GT216"/>
      <c r="GU216"/>
      <c r="GV216"/>
      <c r="GW216"/>
      <c r="GX216"/>
      <c r="GY216"/>
      <c r="GZ216"/>
      <c r="HA216"/>
      <c r="HB216"/>
      <c r="HC216"/>
      <c r="HD216"/>
      <c r="HE216"/>
      <c r="HF216"/>
      <c r="HG216"/>
      <c r="HH216"/>
      <c r="HI216"/>
      <c r="HJ216"/>
      <c r="HK216"/>
      <c r="HL216"/>
      <c r="HM216"/>
      <c r="HN216"/>
      <c r="HO216"/>
      <c r="HP216"/>
      <c r="HQ216"/>
      <c r="HR216"/>
      <c r="HS216"/>
      <c r="HT216"/>
      <c r="HU216"/>
      <c r="HV216"/>
      <c r="HW216"/>
      <c r="HX216"/>
      <c r="HY216"/>
      <c r="HZ216"/>
      <c r="IA216"/>
      <c r="IB216"/>
      <c r="IC216"/>
      <c r="ID216"/>
      <c r="IE216"/>
      <c r="IF216"/>
      <c r="IG216"/>
      <c r="IH216"/>
      <c r="II216"/>
      <c r="IJ216"/>
      <c r="IK216"/>
      <c r="IL216"/>
      <c r="IM216"/>
      <c r="IN216"/>
      <c r="IO216"/>
      <c r="IP216"/>
      <c r="IQ216"/>
      <c r="IR216"/>
      <c r="IS216"/>
      <c r="IT216"/>
      <c r="IU216"/>
      <c r="IV216"/>
      <c r="IW216"/>
      <c r="IX216"/>
    </row>
    <row r="217" spans="1:16384" s="55" customFormat="1" x14ac:dyDescent="0.2">
      <c r="A217" s="383" t="s">
        <v>336</v>
      </c>
      <c r="F217" s="54"/>
      <c r="K217" s="54"/>
      <c r="P217" s="54"/>
      <c r="R217" s="55">
        <f>R214/Q214-1</f>
        <v>2.2988505747126409E-2</v>
      </c>
      <c r="S217" s="55">
        <f>S214/R214-1</f>
        <v>-1.1235955056179803E-2</v>
      </c>
      <c r="T217" s="55">
        <f>T214/S214-1</f>
        <v>-0.10227272727272729</v>
      </c>
      <c r="U217" s="54"/>
      <c r="V217" s="55">
        <f>V214/T214-1</f>
        <v>0.15189873417721511</v>
      </c>
      <c r="W217" s="55">
        <f>W214/V214-1</f>
        <v>0</v>
      </c>
      <c r="X217" s="55">
        <f>X214/W214-1</f>
        <v>0</v>
      </c>
      <c r="Y217" s="55">
        <f>Y214/X214-1</f>
        <v>-1.098901098901095E-2</v>
      </c>
      <c r="Z217" s="54"/>
      <c r="AA217" s="55">
        <f>AA214/Y214-1</f>
        <v>0</v>
      </c>
      <c r="AB217" s="55">
        <f>AB214/AA214-1</f>
        <v>1.1111111111111072E-2</v>
      </c>
      <c r="AC217" s="55">
        <f>AC214/AB214-1</f>
        <v>0</v>
      </c>
      <c r="AD217" s="55">
        <f>AD214/AC214-1</f>
        <v>0</v>
      </c>
      <c r="AE217" s="54"/>
      <c r="AF217" s="55">
        <f>AF214/AD214-1</f>
        <v>4.3956043956044022E-2</v>
      </c>
      <c r="AG217" s="55">
        <f>AG214/AF214-1</f>
        <v>1.0526315789473717E-2</v>
      </c>
      <c r="AH217" s="55">
        <f>AH214/AG214-1</f>
        <v>-1.041666666666663E-2</v>
      </c>
      <c r="AI217" s="55">
        <f>AI214/AH214-1</f>
        <v>0</v>
      </c>
      <c r="AJ217" s="54"/>
      <c r="AK217" s="55">
        <f>AK214/AI214-1</f>
        <v>0.13684210526315788</v>
      </c>
      <c r="AL217" s="55">
        <f>AL214/AK214-1</f>
        <v>-9.2592592592593004E-3</v>
      </c>
      <c r="AM217" s="55">
        <f>AM214/AL214-1</f>
        <v>0</v>
      </c>
      <c r="AN217" s="55">
        <f>AN214/AM214-1</f>
        <v>1.8691588785046731E-2</v>
      </c>
      <c r="AO217" s="54"/>
      <c r="AP217" s="55">
        <f>AP214/AN214-1</f>
        <v>1.8348623853210899E-2</v>
      </c>
      <c r="AQ217" s="55">
        <f>AQ214/AP214-1</f>
        <v>9.009009009008917E-3</v>
      </c>
      <c r="AR217" s="55">
        <f>AR214/AQ214-1</f>
        <v>0</v>
      </c>
      <c r="AS217" s="55">
        <f>AS214/AR214-1</f>
        <v>-3.5714285714285698E-2</v>
      </c>
      <c r="AT217" s="54"/>
      <c r="AU217" s="55">
        <f>AU214/AS214-1</f>
        <v>8.3333333333333259E-2</v>
      </c>
      <c r="AV217" s="55">
        <f>AV214/AU214-1</f>
        <v>0</v>
      </c>
      <c r="AW217" s="55">
        <f>AW214/AV214-1</f>
        <v>0</v>
      </c>
      <c r="AX217" s="55">
        <f>AX214/AW214-1</f>
        <v>0</v>
      </c>
      <c r="AY217" s="54"/>
      <c r="AZ217" s="55">
        <f>AZ214/AX214-1</f>
        <v>0.10256410256410264</v>
      </c>
      <c r="BA217" s="55">
        <f>BA214/AZ214-1</f>
        <v>-6.2015503875968991E-2</v>
      </c>
      <c r="BB217" s="55">
        <f>BB214/BA214-1</f>
        <v>8.2644628099173278E-3</v>
      </c>
      <c r="BC217" s="55">
        <f>BC214/BB214-1</f>
        <v>-8.1967213114754189E-3</v>
      </c>
      <c r="BD217" s="54"/>
      <c r="BE217" s="55">
        <f>BE214/BC214-1</f>
        <v>8.2644628099173501E-2</v>
      </c>
      <c r="BF217" s="55">
        <f>BF214/BE214-1</f>
        <v>2.2900763358778553E-2</v>
      </c>
      <c r="BG217" s="55">
        <f>BG214/BF214-1</f>
        <v>5.2238805970149294E-2</v>
      </c>
      <c r="BH217" s="55">
        <f>BH214/BG214-1</f>
        <v>-1.4184397163120588E-2</v>
      </c>
      <c r="BI217" s="54"/>
      <c r="BJ217" s="55">
        <f>BJ214/BH214-1</f>
        <v>5.755395683453246E-2</v>
      </c>
      <c r="BK217" s="55">
        <f>BK214/BJ214-1</f>
        <v>-6.8027210884353817E-3</v>
      </c>
      <c r="BL217" s="55">
        <f>BL214/BK214-1</f>
        <v>0</v>
      </c>
      <c r="BM217" s="55">
        <f>BM214/BL214-1</f>
        <v>-2.7397260273972601E-2</v>
      </c>
      <c r="BN217" s="54"/>
      <c r="BO217" s="55">
        <f>BO214/BM214-1</f>
        <v>2.1126760563380254E-2</v>
      </c>
      <c r="BP217" s="55">
        <f>BP214/BO214-1</f>
        <v>6.8965517241379448E-3</v>
      </c>
      <c r="BQ217" s="55">
        <f>BQ214/BP214-1</f>
        <v>4.7945205479452024E-2</v>
      </c>
      <c r="BR217" s="55">
        <f>BR214/BQ214-1</f>
        <v>5.2287581699346442E-2</v>
      </c>
      <c r="BS217" s="54"/>
      <c r="BT217" s="55">
        <f>BT214/BR214-1</f>
        <v>-4.9689440993788803E-2</v>
      </c>
      <c r="BU217" s="55">
        <f>BU214/BT214-1</f>
        <v>1.9607843137254832E-2</v>
      </c>
      <c r="BV217" s="55">
        <f>BV214/BU214-1</f>
        <v>-2.5641025641025661E-2</v>
      </c>
      <c r="BW217" s="55">
        <f>BW214/BV214-1</f>
        <v>-1.3157894736842146E-2</v>
      </c>
      <c r="BX217" s="54"/>
      <c r="BY217" s="55">
        <f>BY214/BW214-1</f>
        <v>6.6666666666666652E-2</v>
      </c>
      <c r="BZ217" s="55">
        <f>BZ214/BY214-1</f>
        <v>-1.8750000000000044E-2</v>
      </c>
      <c r="CA217" s="55">
        <f>CA214/BZ214-1</f>
        <v>8.2802547770700619E-2</v>
      </c>
      <c r="CB217" s="55">
        <f>CB214/CA214-1</f>
        <v>0.26470588235294112</v>
      </c>
      <c r="CC217" s="54"/>
      <c r="CD217" s="55">
        <f>CD214/CB214-1</f>
        <v>-5.5813953488372148E-2</v>
      </c>
      <c r="CE217" s="55">
        <f>CE214/CD214-1</f>
        <v>0</v>
      </c>
      <c r="CF217" s="55">
        <f>CF214/CE214-1</f>
        <v>4.9261083743843415E-3</v>
      </c>
      <c r="CG217" s="55">
        <f>CG214/CF214-1</f>
        <v>1.9607843137254832E-2</v>
      </c>
      <c r="CH217" s="54"/>
      <c r="CI217" s="55">
        <f>CI214/CG214-1</f>
        <v>1.4423076923076872E-2</v>
      </c>
      <c r="CJ217" s="55">
        <f>CJ214/CI214-1</f>
        <v>2.3696682464454888E-2</v>
      </c>
      <c r="CK217" s="55">
        <f>CK214/CJ214-1</f>
        <v>-1.388888888888884E-2</v>
      </c>
      <c r="CL217" s="55">
        <f>CL214/CK214-1</f>
        <v>1.4084507042253502E-2</v>
      </c>
      <c r="CM217" s="54"/>
      <c r="CN217" s="55">
        <f>CN214/CL214-1</f>
        <v>2.314814814814814E-2</v>
      </c>
      <c r="CO217" s="55">
        <f>CO214/CN214-1</f>
        <v>4.5248868778280382E-3</v>
      </c>
      <c r="CP217" s="55">
        <f>CP214/CO214-1</f>
        <v>-9.009009009009028E-3</v>
      </c>
      <c r="CQ217" s="55">
        <f>CQ214/CP214-1</f>
        <v>0</v>
      </c>
      <c r="CR217" s="54"/>
      <c r="CS217" s="55">
        <f>CS214/CQ214-1</f>
        <v>9.0909090909090384E-3</v>
      </c>
      <c r="CT217" s="55">
        <f>CT214/CS214-1</f>
        <v>2.2522522522522515E-2</v>
      </c>
      <c r="CU217" s="55">
        <f>CU214/CT214-1</f>
        <v>0</v>
      </c>
      <c r="CV217" s="55">
        <f>CV214/CU214-1</f>
        <v>4.405286343612369E-3</v>
      </c>
      <c r="CW217" s="54"/>
      <c r="CX217" s="55">
        <f>CX214/CV214-1</f>
        <v>-1.7543859649122862E-2</v>
      </c>
      <c r="CY217" s="55">
        <f>CY214/CX214-1</f>
        <v>2.2321428571428603E-2</v>
      </c>
      <c r="CZ217" s="55">
        <f>CZ214/CY214-1</f>
        <v>-4.366812227074246E-3</v>
      </c>
      <c r="DA217" s="55">
        <f>DA214/CZ214-1</f>
        <v>-4.3859649122807154E-3</v>
      </c>
      <c r="DB217" s="54"/>
      <c r="DC217" s="55">
        <f>DC214/DA214-1</f>
        <v>8.8105726872247381E-3</v>
      </c>
      <c r="DD217" s="55">
        <f>DD214/DC214-1</f>
        <v>4.366812227074135E-3</v>
      </c>
      <c r="DE217" s="55">
        <f>DE214/DD214-1</f>
        <v>8.6956521739129933E-3</v>
      </c>
      <c r="DF217" s="55">
        <f>DF214/DE214-1</f>
        <v>0.10775862068965525</v>
      </c>
      <c r="DG217" s="54"/>
      <c r="DH217" s="55">
        <f>DH214/DF214-1</f>
        <v>-5.4474708171206254E-2</v>
      </c>
      <c r="DI217" s="55">
        <f>DI214/DH214-1</f>
        <v>1.2345679012345734E-2</v>
      </c>
      <c r="DJ217" s="55">
        <f>DJ214/DI214-1</f>
        <v>2.0325203252032464E-2</v>
      </c>
      <c r="DK217" s="55">
        <f>DK214/DJ214-1</f>
        <v>-5.9760956175298752E-2</v>
      </c>
      <c r="DL217" s="54"/>
      <c r="DM217" s="55">
        <f>DM214/DK214-1</f>
        <v>8.8983050847457612E-2</v>
      </c>
      <c r="DN217" s="55">
        <f>DN214/DM214-1</f>
        <v>2.3346303501945442E-2</v>
      </c>
      <c r="DO217" s="55">
        <f>DO214/DN214-1</f>
        <v>1.9011406844106515E-2</v>
      </c>
      <c r="DP217" s="55">
        <f>DP214/DO214-1</f>
        <v>1.1194029850746245E-2</v>
      </c>
      <c r="DQ217" s="54"/>
      <c r="DR217" s="55">
        <f>DR214/DP214-1</f>
        <v>-3.6900369003689537E-3</v>
      </c>
      <c r="DS217" s="55">
        <f>DS214/DR214-1</f>
        <v>2.2222222222222143E-2</v>
      </c>
      <c r="DT217" s="55">
        <f>DT214/DS214-1</f>
        <v>3.6231884057971175E-3</v>
      </c>
      <c r="DU217" s="55">
        <f>DU214/DT214-1</f>
        <v>1.4440433212996373E-2</v>
      </c>
      <c r="DV217" s="54"/>
      <c r="DW217" s="55">
        <f>DW214/DU214-1</f>
        <v>7.1174377224199059E-3</v>
      </c>
      <c r="DX217" s="55">
        <f>DX214/DW214-1</f>
        <v>1.4134275618374659E-2</v>
      </c>
      <c r="DY217" s="55">
        <f>DY214/DX214-1</f>
        <v>1.3937282229965264E-2</v>
      </c>
      <c r="DZ217" s="55">
        <f>DZ214/DY214-1</f>
        <v>-3.4364261168384758E-3</v>
      </c>
      <c r="EA217" s="54"/>
      <c r="EB217" s="55">
        <f>EB214/DZ214-1</f>
        <v>1.7241379310344751E-2</v>
      </c>
      <c r="EC217" s="55">
        <f>EC214/EB214-1</f>
        <v>1.3559322033898313E-2</v>
      </c>
      <c r="ED217" s="55">
        <f>ED214/EC214-1</f>
        <v>1.0033444816053505E-2</v>
      </c>
      <c r="EE217" s="55">
        <f>EE214/ED214-1</f>
        <v>3.3112582781456901E-2</v>
      </c>
      <c r="EF217" s="54"/>
      <c r="EG217" s="55">
        <f>EG214/EE214-1</f>
        <v>3.2051282051281937E-3</v>
      </c>
      <c r="EH217" s="55">
        <f>EH214/EG214-1</f>
        <v>1.9169329073482455E-2</v>
      </c>
      <c r="EI217" s="55">
        <f>EI214/EH214-1</f>
        <v>6.2695924764890609E-3</v>
      </c>
      <c r="EJ217" s="55">
        <f>EJ214/EI214-1</f>
        <v>8.4112149532710179E-2</v>
      </c>
      <c r="EK217" s="54"/>
      <c r="EL217" s="55">
        <f>EL214/EJ214-1</f>
        <v>-8.0459770114942541E-2</v>
      </c>
      <c r="EM217" s="55">
        <f>EM214/EL214-1</f>
        <v>2.1875000000000089E-2</v>
      </c>
      <c r="EN217" s="55">
        <f>EN214/EM214-1</f>
        <v>1.2232415902140747E-2</v>
      </c>
      <c r="EO217" s="55">
        <f>EO214/EN214-1</f>
        <v>1.812688821752273E-2</v>
      </c>
      <c r="EP217" s="54"/>
      <c r="EQ217" s="55">
        <f>EQ214/EO214-1</f>
        <v>-4.1543026706231445E-2</v>
      </c>
      <c r="ER217" s="55">
        <f t="shared" ref="ER217" si="1096">ER214/EQ214-1</f>
        <v>1.7445820433436454E-2</v>
      </c>
      <c r="ES217" s="55">
        <f t="shared" ref="ES217:ET217" si="1097">ES214/ER214-1</f>
        <v>1.2232415902140525E-2</v>
      </c>
      <c r="ET217" s="55">
        <f t="shared" si="1097"/>
        <v>1.8126888217522508E-2</v>
      </c>
      <c r="EU217" s="54"/>
      <c r="EZ217" s="54"/>
      <c r="FE217" s="54"/>
      <c r="FG217" s="489"/>
      <c r="FH217" s="766">
        <f>AVERAGE(CI217,CN217,CS217,CX217,DC217,DH217,DM217,DR217,DW217,EB217,EG217,EL217,EQ217)</f>
        <v>-1.9762845082432925E-3</v>
      </c>
      <c r="FI217" s="766">
        <f>AVERAGE(CJ217,CO217,CT217,CY217,DD217,DI217,DN217,DS217,DX217,EC217,EH217)</f>
        <v>1.6564496738688813E-2</v>
      </c>
      <c r="FJ217" s="766">
        <f>AVERAGE(CK217,CP217,CU217,CZ217,DE217,DJ217,DO217,DT217,DY217,ED217,EI217)</f>
        <v>4.9664600066713464E-3</v>
      </c>
      <c r="FK217" s="1408">
        <f>AVERAGE(CL217,CQ217,CV217,DA217,DF217,DK217,DP217,DU217,DZ217,EE217,EJ217,EO217)</f>
        <v>1.8304262538877968E-2</v>
      </c>
      <c r="FL217" s="1338"/>
      <c r="FM217" s="1523">
        <f t="shared" si="999"/>
        <v>-4.1543026706231445E-2</v>
      </c>
      <c r="FN217" s="1416">
        <f t="shared" si="1000"/>
        <v>-8.0459770114942541E-2</v>
      </c>
      <c r="FO217" s="1799">
        <v>-4.5697329376854667E-2</v>
      </c>
      <c r="FP217" s="1741"/>
      <c r="FQ217" s="728"/>
      <c r="FR217" s="1619"/>
      <c r="FS217" s="1619"/>
      <c r="FT217" s="432"/>
      <c r="FU217" s="432"/>
      <c r="FV217" s="432"/>
      <c r="FW217" s="432"/>
      <c r="FX217" s="432"/>
      <c r="FY217" s="432"/>
      <c r="FZ217" s="489"/>
      <c r="GA217"/>
      <c r="GB217"/>
      <c r="GC217"/>
      <c r="GD217"/>
      <c r="GE217"/>
      <c r="GF217"/>
      <c r="GG217"/>
      <c r="GH217"/>
      <c r="GI217"/>
      <c r="GJ217"/>
      <c r="GK217"/>
      <c r="GL217"/>
      <c r="GM217"/>
      <c r="GN217"/>
      <c r="GO217"/>
      <c r="GP217"/>
      <c r="GQ217"/>
      <c r="GR217"/>
      <c r="GS217"/>
      <c r="GT217"/>
      <c r="GU217"/>
      <c r="GV217"/>
      <c r="GW217"/>
      <c r="GX217"/>
      <c r="GY217"/>
      <c r="GZ217"/>
      <c r="HA217"/>
      <c r="HB217"/>
      <c r="HC217"/>
      <c r="HD217"/>
      <c r="HE217"/>
      <c r="HF217"/>
      <c r="HG217"/>
      <c r="HH217"/>
      <c r="HI217"/>
      <c r="HJ217"/>
      <c r="HK217"/>
      <c r="HL217"/>
      <c r="HM217"/>
      <c r="HN217"/>
      <c r="HO217"/>
      <c r="HP217"/>
      <c r="HQ217"/>
      <c r="HR217"/>
      <c r="HS217"/>
      <c r="HT217"/>
      <c r="HU217"/>
      <c r="HV217"/>
      <c r="HW217"/>
      <c r="HX217"/>
      <c r="HY217"/>
      <c r="HZ217"/>
      <c r="IA217"/>
      <c r="IB217"/>
      <c r="IC217"/>
      <c r="ID217"/>
      <c r="IE217"/>
      <c r="IF217"/>
      <c r="IG217"/>
      <c r="IH217"/>
      <c r="II217"/>
      <c r="IJ217"/>
      <c r="IK217"/>
      <c r="IL217"/>
      <c r="IM217"/>
      <c r="IN217"/>
      <c r="IO217"/>
      <c r="IP217"/>
      <c r="IQ217"/>
      <c r="IR217"/>
      <c r="IS217"/>
      <c r="IT217"/>
      <c r="IU217"/>
      <c r="IV217"/>
      <c r="IW217"/>
      <c r="IX217"/>
    </row>
    <row r="218" spans="1:16384" s="42" customFormat="1" x14ac:dyDescent="0.2">
      <c r="A218" s="562" t="s">
        <v>414</v>
      </c>
      <c r="B218" s="78"/>
      <c r="C218" s="78"/>
      <c r="D218" s="78"/>
      <c r="E218" s="77"/>
      <c r="F218" s="75"/>
      <c r="G218" s="78"/>
      <c r="H218" s="78"/>
      <c r="I218" s="78"/>
      <c r="J218" s="77"/>
      <c r="K218" s="75"/>
      <c r="L218" s="78"/>
      <c r="M218" s="78"/>
      <c r="N218" s="78"/>
      <c r="O218" s="77"/>
      <c r="P218" s="75"/>
      <c r="Q218" s="78">
        <f t="shared" ref="Q218:AV218" si="1098">Q214/Q$223</f>
        <v>7.6991150442477882E-2</v>
      </c>
      <c r="R218" s="78">
        <f t="shared" si="1098"/>
        <v>8.10195721438325E-2</v>
      </c>
      <c r="S218" s="78">
        <f t="shared" si="1098"/>
        <v>8.0882352941176475E-2</v>
      </c>
      <c r="T218" s="77">
        <f t="shared" si="1098"/>
        <v>7.2278133577310152E-2</v>
      </c>
      <c r="U218" s="75">
        <f t="shared" si="1098"/>
        <v>7.7786597119854861E-2</v>
      </c>
      <c r="V218" s="90">
        <f t="shared" si="1098"/>
        <v>8.2129963898916969E-2</v>
      </c>
      <c r="W218" s="90">
        <f t="shared" si="1098"/>
        <v>8.4025854108956605E-2</v>
      </c>
      <c r="X218" s="90">
        <f t="shared" si="1098"/>
        <v>8.3333333333333329E-2</v>
      </c>
      <c r="Y218" s="14">
        <f t="shared" si="1098"/>
        <v>8.2493125572868933E-2</v>
      </c>
      <c r="Z218" s="15">
        <f t="shared" si="1098"/>
        <v>8.2990397805212626E-2</v>
      </c>
      <c r="AA218" s="90">
        <f t="shared" si="1098"/>
        <v>7.8878177037686237E-2</v>
      </c>
      <c r="AB218" s="90">
        <f t="shared" si="1098"/>
        <v>8.1177520071364848E-2</v>
      </c>
      <c r="AC218" s="90">
        <f t="shared" si="1098"/>
        <v>8.0105633802816906E-2</v>
      </c>
      <c r="AD218" s="14">
        <f t="shared" si="1098"/>
        <v>7.9894644424934158E-2</v>
      </c>
      <c r="AE218" s="15">
        <f t="shared" si="1098"/>
        <v>8.0008816398501215E-2</v>
      </c>
      <c r="AF218" s="90">
        <f t="shared" si="1098"/>
        <v>8.527827648114901E-2</v>
      </c>
      <c r="AG218" s="90">
        <f t="shared" si="1098"/>
        <v>8.6098654708520184E-2</v>
      </c>
      <c r="AH218" s="90">
        <f t="shared" si="1098"/>
        <v>8.7155963302752298E-2</v>
      </c>
      <c r="AI218" s="14">
        <f t="shared" si="1098"/>
        <v>8.5431654676258989E-2</v>
      </c>
      <c r="AJ218" s="15">
        <f t="shared" si="1098"/>
        <v>8.5985104942450916E-2</v>
      </c>
      <c r="AK218" s="90">
        <f t="shared" si="1098"/>
        <v>9.6687555953446733E-2</v>
      </c>
      <c r="AL218" s="90">
        <f t="shared" si="1098"/>
        <v>9.6920289855072464E-2</v>
      </c>
      <c r="AM218" s="90">
        <f t="shared" si="1098"/>
        <v>9.8526703499079188E-2</v>
      </c>
      <c r="AN218" s="14">
        <f t="shared" si="1098"/>
        <v>9.9090909090909091E-2</v>
      </c>
      <c r="AO218" s="15">
        <f t="shared" si="1098"/>
        <v>9.7798956206035847E-2</v>
      </c>
      <c r="AP218" s="90">
        <f t="shared" si="1098"/>
        <v>9.9195710455764072E-2</v>
      </c>
      <c r="AQ218" s="90">
        <f t="shared" si="1098"/>
        <v>0.1049671977507029</v>
      </c>
      <c r="AR218" s="90">
        <f t="shared" si="1098"/>
        <v>0.10228310502283106</v>
      </c>
      <c r="AS218" s="14">
        <f t="shared" si="1098"/>
        <v>9.8003629764065334E-2</v>
      </c>
      <c r="AT218" s="15">
        <f t="shared" si="1098"/>
        <v>0.10107232489162674</v>
      </c>
      <c r="AU218" s="90">
        <f t="shared" si="1098"/>
        <v>0.10254163014899212</v>
      </c>
      <c r="AV218" s="90">
        <f t="shared" si="1098"/>
        <v>0.10483870967741936</v>
      </c>
      <c r="AW218" s="90">
        <f t="shared" ref="AW218:CB218" si="1099">AW214/AW$223</f>
        <v>0.10112359550561797</v>
      </c>
      <c r="AX218" s="14">
        <f t="shared" si="1099"/>
        <v>0.10025706940874037</v>
      </c>
      <c r="AY218" s="15">
        <f t="shared" si="1099"/>
        <v>0.10216110019646366</v>
      </c>
      <c r="AZ218" s="90">
        <f t="shared" si="1099"/>
        <v>0.10813076278290025</v>
      </c>
      <c r="BA218" s="90">
        <f t="shared" si="1099"/>
        <v>9.1875474563401671E-2</v>
      </c>
      <c r="BB218" s="90">
        <f t="shared" si="1099"/>
        <v>7.8205128205128205E-2</v>
      </c>
      <c r="BC218" s="14">
        <f t="shared" si="1099"/>
        <v>7.5370624143515627E-2</v>
      </c>
      <c r="BD218" s="15">
        <f t="shared" si="1099"/>
        <v>8.686612397364063E-2</v>
      </c>
      <c r="BE218" s="90">
        <f t="shared" si="1099"/>
        <v>7.9732197200243451E-2</v>
      </c>
      <c r="BF218" s="90">
        <f t="shared" si="1099"/>
        <v>7.9714455681142174E-2</v>
      </c>
      <c r="BG218" s="90">
        <f t="shared" si="1099"/>
        <v>8.8235294117647065E-2</v>
      </c>
      <c r="BH218" s="14">
        <f t="shared" si="1099"/>
        <v>8.6442786069651736E-2</v>
      </c>
      <c r="BI218" s="15">
        <f t="shared" si="1099"/>
        <v>8.4719415513757196E-2</v>
      </c>
      <c r="BJ218" s="90">
        <f t="shared" si="1099"/>
        <v>9.0740740740740747E-2</v>
      </c>
      <c r="BK218" s="90">
        <f t="shared" si="1099"/>
        <v>9.2113564668769715E-2</v>
      </c>
      <c r="BL218" s="90">
        <f t="shared" si="1099"/>
        <v>9.4559585492227982E-2</v>
      </c>
      <c r="BM218" s="14">
        <f t="shared" si="1099"/>
        <v>9.2327698309492848E-2</v>
      </c>
      <c r="BN218" s="15">
        <f t="shared" si="1099"/>
        <v>9.3243460118761029E-2</v>
      </c>
      <c r="BO218" s="90">
        <f t="shared" si="1099"/>
        <v>9.3307593307593306E-2</v>
      </c>
      <c r="BP218" s="90">
        <f t="shared" si="1099"/>
        <v>9.4072164948453607E-2</v>
      </c>
      <c r="BQ218" s="90">
        <f t="shared" si="1099"/>
        <v>9.8139833226427192E-2</v>
      </c>
      <c r="BR218" s="14">
        <f t="shared" si="1099"/>
        <v>0.10495436766623208</v>
      </c>
      <c r="BS218" s="15">
        <f t="shared" si="1099"/>
        <v>9.8262140652915386E-2</v>
      </c>
      <c r="BT218" s="90">
        <f t="shared" si="1099"/>
        <v>9.1947115384615391E-2</v>
      </c>
      <c r="BU218" s="90">
        <f t="shared" si="1099"/>
        <v>9.5823095823095825E-2</v>
      </c>
      <c r="BV218" s="90">
        <f t="shared" si="1099"/>
        <v>9.5000000000000001E-2</v>
      </c>
      <c r="BW218" s="14">
        <f t="shared" si="1099"/>
        <v>9.1185410334346503E-2</v>
      </c>
      <c r="BX218" s="15">
        <f t="shared" si="1099"/>
        <v>9.4362934362934359E-2</v>
      </c>
      <c r="BY218" s="90">
        <f t="shared" si="1099"/>
        <v>9.3240093240093247E-2</v>
      </c>
      <c r="BZ218" s="90">
        <f t="shared" si="1099"/>
        <v>9.2244418331374853E-2</v>
      </c>
      <c r="CA218" s="90">
        <f t="shared" si="1099"/>
        <v>0.10041346721795628</v>
      </c>
      <c r="CB218" s="14">
        <f t="shared" si="1099"/>
        <v>0.11528150134048257</v>
      </c>
      <c r="CC218" s="15">
        <f t="shared" ref="CC218:DH218" si="1100">CC214/CC$223</f>
        <v>0.10028571428571428</v>
      </c>
      <c r="CD218" s="90">
        <f t="shared" si="1100"/>
        <v>0.11553784860557768</v>
      </c>
      <c r="CE218" s="90">
        <f t="shared" si="1100"/>
        <v>0.11639908256880734</v>
      </c>
      <c r="CF218" s="90">
        <f t="shared" si="1100"/>
        <v>0.11564625850340136</v>
      </c>
      <c r="CG218" s="14">
        <f t="shared" si="1100"/>
        <v>0.11529933481152993</v>
      </c>
      <c r="CH218" s="15">
        <f t="shared" si="1100"/>
        <v>0.11230093355299287</v>
      </c>
      <c r="CI218" s="90">
        <f t="shared" si="1100"/>
        <v>0.11442516268980477</v>
      </c>
      <c r="CJ218" s="90">
        <f t="shared" si="1100"/>
        <v>0.11356466876971609</v>
      </c>
      <c r="CK218" s="90">
        <f t="shared" si="1100"/>
        <v>0.1095679012345679</v>
      </c>
      <c r="CL218" s="14">
        <f t="shared" si="1100"/>
        <v>0.11261730969760167</v>
      </c>
      <c r="CM218" s="15">
        <f t="shared" si="1100"/>
        <v>0.11251314405888538</v>
      </c>
      <c r="CN218" s="90">
        <f t="shared" si="1100"/>
        <v>0.11304347826086956</v>
      </c>
      <c r="CO218" s="90">
        <f t="shared" si="1100"/>
        <v>0.11574556830031282</v>
      </c>
      <c r="CP218" s="90">
        <f t="shared" si="1100"/>
        <v>0.11322696860524961</v>
      </c>
      <c r="CQ218" s="14">
        <f t="shared" si="1100"/>
        <v>0.1111111111111111</v>
      </c>
      <c r="CR218" s="15">
        <f t="shared" si="1100"/>
        <v>0.11326321190354027</v>
      </c>
      <c r="CS218" s="90">
        <f t="shared" si="1100"/>
        <v>0.10627094303494496</v>
      </c>
      <c r="CT218" s="90">
        <f t="shared" si="1100"/>
        <v>0.10365296803652968</v>
      </c>
      <c r="CU218" s="90">
        <f t="shared" si="1100"/>
        <v>0.10188509874326751</v>
      </c>
      <c r="CV218" s="14">
        <f t="shared" si="1100"/>
        <v>0.11503531786074672</v>
      </c>
      <c r="CW218" s="15">
        <f t="shared" si="1100"/>
        <v>0.1064907527388385</v>
      </c>
      <c r="CX218" s="90">
        <f t="shared" si="1100"/>
        <v>0.12985507246376812</v>
      </c>
      <c r="CY218" s="90">
        <f t="shared" si="1100"/>
        <v>0.14285714285714285</v>
      </c>
      <c r="CZ218" s="90">
        <f t="shared" si="1100"/>
        <v>0.1348314606741573</v>
      </c>
      <c r="DA218" s="14">
        <f t="shared" si="1100"/>
        <v>0.13068508923431202</v>
      </c>
      <c r="DB218" s="15">
        <f t="shared" si="1100"/>
        <v>0.1343990526939017</v>
      </c>
      <c r="DC218" s="341">
        <f t="shared" si="1100"/>
        <v>0.12331717824448034</v>
      </c>
      <c r="DD218" s="341">
        <f t="shared" si="1100"/>
        <v>0.12137203166226913</v>
      </c>
      <c r="DE218" s="341">
        <f t="shared" si="1100"/>
        <v>0.12601846822379142</v>
      </c>
      <c r="DF218" s="341">
        <f t="shared" si="1100"/>
        <v>0.13045685279187819</v>
      </c>
      <c r="DG218" s="91">
        <f t="shared" si="1100"/>
        <v>0.12534708449028165</v>
      </c>
      <c r="DH218" s="341">
        <f t="shared" si="1100"/>
        <v>0.11929307805596466</v>
      </c>
      <c r="DI218" s="341">
        <f t="shared" ref="DI218:EN218" si="1101">DI214/DI$223</f>
        <v>0.11753463927376971</v>
      </c>
      <c r="DJ218" s="341">
        <f t="shared" si="1101"/>
        <v>0.12038369304556355</v>
      </c>
      <c r="DK218" s="341">
        <f t="shared" si="1101"/>
        <v>0.11184834123222749</v>
      </c>
      <c r="DL218" s="91">
        <f t="shared" si="1101"/>
        <v>0.11723723723723724</v>
      </c>
      <c r="DM218" s="341">
        <f t="shared" si="1101"/>
        <v>0.12180094786729857</v>
      </c>
      <c r="DN218" s="341">
        <f t="shared" si="1101"/>
        <v>0.12711454809086514</v>
      </c>
      <c r="DO218" s="341">
        <f t="shared" si="1101"/>
        <v>0.13137254901960785</v>
      </c>
      <c r="DP218" s="341">
        <f t="shared" si="1101"/>
        <v>0.13028846153846155</v>
      </c>
      <c r="DQ218" s="91">
        <f t="shared" si="1101"/>
        <v>0.12760573563079888</v>
      </c>
      <c r="DR218" s="341">
        <f t="shared" si="1101"/>
        <v>0.12838801711840228</v>
      </c>
      <c r="DS218" s="341">
        <f t="shared" si="1101"/>
        <v>0.12969924812030076</v>
      </c>
      <c r="DT218" s="14">
        <f t="shared" si="1101"/>
        <v>0.13010803193987788</v>
      </c>
      <c r="DU218" s="341">
        <f t="shared" si="1101"/>
        <v>0.12663361874718343</v>
      </c>
      <c r="DV218" s="91">
        <f t="shared" si="1101"/>
        <v>0.12868632707774799</v>
      </c>
      <c r="DW218" s="341">
        <f t="shared" si="1101"/>
        <v>0.12450505939287286</v>
      </c>
      <c r="DX218" s="341">
        <f t="shared" si="1101"/>
        <v>0.1277258566978193</v>
      </c>
      <c r="DY218" s="14">
        <f t="shared" si="1101"/>
        <v>0.12962138084632516</v>
      </c>
      <c r="DZ218" s="341">
        <f t="shared" si="1101"/>
        <v>0.12658227848101267</v>
      </c>
      <c r="EA218" s="91">
        <f t="shared" si="1101"/>
        <v>0.12709805653710246</v>
      </c>
      <c r="EB218" s="341">
        <f t="shared" si="1101"/>
        <v>0.13507326007326007</v>
      </c>
      <c r="EC218" s="341">
        <f t="shared" si="1101"/>
        <v>0.14486434108527133</v>
      </c>
      <c r="ED218" s="14">
        <f t="shared" si="1101"/>
        <v>0.15054835493519442</v>
      </c>
      <c r="EE218" s="341">
        <f t="shared" si="1101"/>
        <v>0.15678391959798996</v>
      </c>
      <c r="EF218" s="91">
        <f t="shared" si="1101"/>
        <v>0.1465308102862688</v>
      </c>
      <c r="EG218" s="341">
        <f t="shared" si="1101"/>
        <v>0.16353187042842215</v>
      </c>
      <c r="EH218" s="341">
        <f t="shared" si="1101"/>
        <v>0.17113733905579398</v>
      </c>
      <c r="EI218" s="14">
        <f t="shared" si="1101"/>
        <v>0.17174959871589085</v>
      </c>
      <c r="EJ218" s="341">
        <f t="shared" si="1101"/>
        <v>0.17117560255779635</v>
      </c>
      <c r="EK218" s="91">
        <f t="shared" si="1101"/>
        <v>0.16911477966982971</v>
      </c>
      <c r="EL218" s="341">
        <f t="shared" si="1101"/>
        <v>0.16080402010050251</v>
      </c>
      <c r="EM218" s="341">
        <f t="shared" si="1101"/>
        <v>0.17590102205486821</v>
      </c>
      <c r="EN218" s="14">
        <f t="shared" si="1101"/>
        <v>0.17681623931623933</v>
      </c>
      <c r="EO218" s="341">
        <f t="shared" ref="EO218:EU218" si="1102">EO214/EO$223</f>
        <v>0.18108543793659324</v>
      </c>
      <c r="EP218" s="91">
        <f t="shared" si="1102"/>
        <v>0.17343708783962014</v>
      </c>
      <c r="EQ218" s="341">
        <f t="shared" si="1102"/>
        <v>0.17631004366812228</v>
      </c>
      <c r="ER218" s="14">
        <f t="shared" si="1102"/>
        <v>0.18134529020334447</v>
      </c>
      <c r="ES218" s="14">
        <f t="shared" si="1102"/>
        <v>0.17851318685610176</v>
      </c>
      <c r="ET218" s="14">
        <f t="shared" si="1102"/>
        <v>0.17185495126365449</v>
      </c>
      <c r="EU218" s="91">
        <f t="shared" si="1102"/>
        <v>0.17690515232975032</v>
      </c>
      <c r="EV218" s="208"/>
      <c r="EW218" s="208"/>
      <c r="EX218" s="208"/>
      <c r="EY218" s="208"/>
      <c r="EZ218" s="15">
        <f>EZ214/EZ$223</f>
        <v>0.17668291715403581</v>
      </c>
      <c r="FA218" s="208"/>
      <c r="FB218" s="208"/>
      <c r="FC218" s="208"/>
      <c r="FD218" s="208"/>
      <c r="FE218" s="15">
        <f>FE214/FE$223</f>
        <v>0.18003258550508267</v>
      </c>
      <c r="FG218" s="490"/>
      <c r="FH218" s="779"/>
      <c r="FI218" s="779"/>
      <c r="FJ218" s="779"/>
      <c r="FK218" s="40"/>
      <c r="FL218" s="1349"/>
      <c r="FM218" s="1141">
        <f t="shared" si="999"/>
        <v>0.17631004366812228</v>
      </c>
      <c r="FN218" s="1454">
        <f t="shared" si="1000"/>
        <v>0.16080402010050251</v>
      </c>
      <c r="FO218" s="1806">
        <v>0.16823368751201298</v>
      </c>
      <c r="FP218" s="1755"/>
      <c r="FQ218" s="731"/>
      <c r="FR218" s="1619"/>
      <c r="FS218" s="1619"/>
      <c r="FT218" s="433"/>
      <c r="FU218" s="433"/>
      <c r="FV218" s="433"/>
      <c r="FW218" s="433"/>
      <c r="FX218" s="433"/>
      <c r="FY218" s="433"/>
      <c r="FZ218" s="490"/>
      <c r="GA218"/>
      <c r="GB218"/>
      <c r="GC218"/>
      <c r="GD218"/>
      <c r="GE218"/>
      <c r="GF218"/>
      <c r="GG218"/>
      <c r="GH218"/>
      <c r="GI218"/>
      <c r="GJ218"/>
      <c r="GK218"/>
      <c r="GL218"/>
      <c r="GM218"/>
      <c r="GN218"/>
      <c r="GO218"/>
      <c r="GP218"/>
      <c r="GQ218"/>
      <c r="GR218"/>
      <c r="GS218"/>
      <c r="GT218"/>
      <c r="GU218"/>
      <c r="GV218"/>
      <c r="GW218"/>
      <c r="GX218"/>
      <c r="GY218"/>
      <c r="GZ218"/>
      <c r="HA218"/>
      <c r="HB218"/>
      <c r="HC218"/>
      <c r="HD218"/>
      <c r="HE218"/>
      <c r="HF218"/>
      <c r="HG218"/>
      <c r="HH218"/>
      <c r="HI218"/>
      <c r="HJ218"/>
      <c r="HK218"/>
      <c r="HL218"/>
      <c r="HM218"/>
      <c r="HN218"/>
      <c r="HO218"/>
      <c r="HP218"/>
      <c r="HQ218"/>
      <c r="HR218"/>
      <c r="HS218"/>
      <c r="HT218"/>
      <c r="HU218"/>
      <c r="HV218"/>
      <c r="HW218"/>
      <c r="HX218"/>
      <c r="HY218"/>
      <c r="HZ218"/>
      <c r="IA218"/>
      <c r="IB218"/>
      <c r="IC218"/>
      <c r="ID218"/>
      <c r="IE218"/>
      <c r="IF218"/>
      <c r="IG218"/>
      <c r="IH218"/>
      <c r="II218"/>
      <c r="IJ218"/>
      <c r="IK218"/>
      <c r="IL218"/>
      <c r="IM218"/>
      <c r="IN218"/>
      <c r="IO218"/>
      <c r="IP218"/>
      <c r="IQ218"/>
      <c r="IR218"/>
      <c r="IS218"/>
      <c r="IT218"/>
      <c r="IU218"/>
      <c r="IV218"/>
      <c r="IW218"/>
      <c r="IX218"/>
    </row>
    <row r="219" spans="1:16384" s="42" customFormat="1" x14ac:dyDescent="0.2">
      <c r="A219" s="1648" t="s">
        <v>728</v>
      </c>
      <c r="B219" s="78"/>
      <c r="C219" s="78"/>
      <c r="D219" s="78"/>
      <c r="E219" s="77"/>
      <c r="F219" s="75"/>
      <c r="G219" s="78"/>
      <c r="H219" s="78"/>
      <c r="I219" s="78"/>
      <c r="J219" s="77"/>
      <c r="K219" s="75"/>
      <c r="L219" s="78"/>
      <c r="M219" s="78"/>
      <c r="N219" s="78"/>
      <c r="O219" s="77"/>
      <c r="P219" s="75"/>
      <c r="Q219" s="78"/>
      <c r="R219" s="78"/>
      <c r="S219" s="78"/>
      <c r="T219" s="77"/>
      <c r="U219" s="75"/>
      <c r="V219" s="90"/>
      <c r="W219" s="90"/>
      <c r="X219" s="90"/>
      <c r="Y219" s="14"/>
      <c r="Z219" s="15"/>
      <c r="AA219" s="90"/>
      <c r="AB219" s="90"/>
      <c r="AC219" s="90"/>
      <c r="AD219" s="14"/>
      <c r="AE219" s="15"/>
      <c r="AF219" s="90"/>
      <c r="AG219" s="90"/>
      <c r="AH219" s="90"/>
      <c r="AI219" s="14"/>
      <c r="AJ219" s="15"/>
      <c r="AK219" s="90"/>
      <c r="AL219" s="90"/>
      <c r="AM219" s="90"/>
      <c r="AN219" s="14"/>
      <c r="AO219" s="15"/>
      <c r="AP219" s="90"/>
      <c r="AQ219" s="90"/>
      <c r="AR219" s="90"/>
      <c r="AS219" s="14"/>
      <c r="AT219" s="15">
        <f>+-AT214/AT313</f>
        <v>0.39377777777777778</v>
      </c>
      <c r="AU219" s="90"/>
      <c r="AV219" s="90"/>
      <c r="AW219" s="90"/>
      <c r="AX219" s="14"/>
      <c r="AY219" s="15">
        <f>+-AY214/AY313</f>
        <v>0.31643002028397565</v>
      </c>
      <c r="AZ219" s="90"/>
      <c r="BA219" s="90"/>
      <c r="BB219" s="90"/>
      <c r="BC219" s="14"/>
      <c r="BD219" s="15">
        <f>+-BD214/BD313</f>
        <v>0.32498352010547132</v>
      </c>
      <c r="BE219" s="90"/>
      <c r="BF219" s="90"/>
      <c r="BG219" s="90"/>
      <c r="BH219" s="14"/>
      <c r="BI219" s="15">
        <f>+-BI214/BI313</f>
        <v>0.59693318729463307</v>
      </c>
      <c r="BJ219" s="90"/>
      <c r="BK219" s="90"/>
      <c r="BL219" s="90"/>
      <c r="BM219" s="14"/>
      <c r="BN219" s="15">
        <f>+-BN214/BN313</f>
        <v>0.62473118279569895</v>
      </c>
      <c r="BO219" s="90"/>
      <c r="BP219" s="90"/>
      <c r="BQ219" s="90"/>
      <c r="BR219" s="14"/>
      <c r="BS219" s="15">
        <f>+-BS214/BS313</f>
        <v>0.56018518518518523</v>
      </c>
      <c r="BT219" s="90"/>
      <c r="BU219" s="90"/>
      <c r="BV219" s="90"/>
      <c r="BW219" s="14"/>
      <c r="BX219" s="15">
        <f>+-BX214/BX313</f>
        <v>0.57695939565627952</v>
      </c>
      <c r="BY219" s="90"/>
      <c r="BZ219" s="90"/>
      <c r="CA219" s="90"/>
      <c r="CB219" s="14"/>
      <c r="CC219" s="15">
        <f>+-CC214/CC313</f>
        <v>0.68155339805825244</v>
      </c>
      <c r="CD219" s="90"/>
      <c r="CE219" s="90"/>
      <c r="CF219" s="90"/>
      <c r="CG219" s="14"/>
      <c r="CH219" s="15">
        <f>+-CH214/CH313</f>
        <v>0.72007042253521125</v>
      </c>
      <c r="CI219" s="90"/>
      <c r="CJ219" s="90"/>
      <c r="CK219" s="90"/>
      <c r="CL219" s="14"/>
      <c r="CM219" s="15">
        <f>+-CM214/CM313</f>
        <v>0.52226967663209278</v>
      </c>
      <c r="CN219" s="90"/>
      <c r="CO219" s="90"/>
      <c r="CP219" s="90"/>
      <c r="CQ219" s="14"/>
      <c r="CR219" s="15">
        <f>+-CR214/CR313</f>
        <v>0.49802594472645234</v>
      </c>
      <c r="CS219" s="90"/>
      <c r="CT219" s="90"/>
      <c r="CU219" s="90"/>
      <c r="CV219" s="14"/>
      <c r="CW219" s="15">
        <f>+-CW214/CW313</f>
        <v>0.51954022988505744</v>
      </c>
      <c r="CX219" s="90"/>
      <c r="CY219" s="90"/>
      <c r="CZ219" s="90"/>
      <c r="DA219" s="14"/>
      <c r="DB219" s="15">
        <f>+-DB214/DB313</f>
        <v>0.63629992992291518</v>
      </c>
      <c r="DC219" s="341"/>
      <c r="DD219" s="341"/>
      <c r="DE219" s="341"/>
      <c r="DF219" s="341"/>
      <c r="DG219" s="91">
        <f>+-DG214/DG313</f>
        <v>0.5194520547945205</v>
      </c>
      <c r="DH219" s="341"/>
      <c r="DI219" s="341"/>
      <c r="DJ219" s="341"/>
      <c r="DK219" s="341"/>
      <c r="DL219" s="91">
        <f>+-DL214/DL313</f>
        <v>0.42490204614714844</v>
      </c>
      <c r="DM219" s="341"/>
      <c r="DN219" s="341"/>
      <c r="DO219" s="341"/>
      <c r="DP219" s="341"/>
      <c r="DQ219" s="91">
        <f>+-DQ214/DQ313</f>
        <v>0.45237078171721484</v>
      </c>
      <c r="DR219" s="341"/>
      <c r="DS219" s="341"/>
      <c r="DT219" s="14"/>
      <c r="DU219" s="341"/>
      <c r="DV219" s="91">
        <f>+-DV214/DV313</f>
        <v>0.4773022049286641</v>
      </c>
      <c r="DW219" s="341"/>
      <c r="DX219" s="341"/>
      <c r="DY219" s="14"/>
      <c r="DZ219" s="341"/>
      <c r="EA219" s="91">
        <f>+-EA214/EA313</f>
        <v>0.46998775010208249</v>
      </c>
      <c r="EB219" s="341"/>
      <c r="EC219" s="341"/>
      <c r="ED219" s="14"/>
      <c r="EE219" s="341"/>
      <c r="EF219" s="91">
        <f>+-EF214/EF313</f>
        <v>0.47150663544106169</v>
      </c>
      <c r="EG219" s="341"/>
      <c r="EH219" s="341"/>
      <c r="EI219" s="14"/>
      <c r="EJ219" s="341"/>
      <c r="EK219" s="91">
        <f>+-EK214/EK313</f>
        <v>0.54253544620517102</v>
      </c>
      <c r="EL219" s="341"/>
      <c r="EM219" s="341"/>
      <c r="EN219" s="14"/>
      <c r="EO219" s="341"/>
      <c r="EP219" s="91">
        <f>+-EP214/EP313</f>
        <v>0.64460784313725494</v>
      </c>
      <c r="EQ219" s="341"/>
      <c r="ER219" s="14"/>
      <c r="ES219" s="14"/>
      <c r="ET219" s="14"/>
      <c r="EU219" s="91">
        <f>+-EU214/EU313</f>
        <v>0.80961806486388899</v>
      </c>
      <c r="EV219" s="208"/>
      <c r="EW219" s="208"/>
      <c r="EX219" s="208"/>
      <c r="EY219" s="208"/>
      <c r="EZ219" s="91">
        <f>+-EZ214/EZ313</f>
        <v>0.81781454934115205</v>
      </c>
      <c r="FA219" s="208"/>
      <c r="FB219" s="208"/>
      <c r="FC219" s="208"/>
      <c r="FD219" s="208"/>
      <c r="FE219" s="91">
        <f>+-FE214/FE313</f>
        <v>0.83347911857835244</v>
      </c>
      <c r="FG219" s="490"/>
      <c r="FH219" s="779"/>
      <c r="FI219" s="779"/>
      <c r="FJ219" s="779"/>
      <c r="FK219" s="40"/>
      <c r="FL219" s="1349"/>
      <c r="FM219" s="1141"/>
      <c r="FN219" s="1454"/>
      <c r="FO219" s="1806"/>
      <c r="FP219" s="1755"/>
      <c r="FQ219" s="731"/>
      <c r="FR219" s="1619"/>
      <c r="FS219" s="1619"/>
      <c r="FT219" s="433"/>
      <c r="FU219" s="433"/>
      <c r="FV219" s="433"/>
      <c r="FW219" s="433"/>
      <c r="FX219" s="433"/>
      <c r="FY219" s="433"/>
      <c r="FZ219" s="490"/>
      <c r="GA219"/>
      <c r="GB219"/>
      <c r="GC219"/>
      <c r="GD219"/>
      <c r="GE219"/>
      <c r="GF219"/>
      <c r="GG219"/>
      <c r="GH219"/>
      <c r="GI219"/>
      <c r="GJ219"/>
      <c r="GK219"/>
      <c r="GL219"/>
      <c r="GM219"/>
      <c r="GN219"/>
      <c r="GO219"/>
      <c r="GP219"/>
      <c r="GQ219"/>
      <c r="GR219"/>
      <c r="GS219"/>
      <c r="GT219"/>
      <c r="GU219"/>
      <c r="GV219"/>
      <c r="GW219"/>
      <c r="GX219"/>
      <c r="GY219"/>
      <c r="GZ219"/>
      <c r="HA219"/>
      <c r="HB219"/>
      <c r="HC219"/>
      <c r="HD219"/>
      <c r="HE219"/>
      <c r="HF219"/>
      <c r="HG219"/>
      <c r="HH219"/>
      <c r="HI219"/>
      <c r="HJ219"/>
      <c r="HK219"/>
      <c r="HL219"/>
      <c r="HM219"/>
      <c r="HN219"/>
      <c r="HO219"/>
      <c r="HP219"/>
      <c r="HQ219"/>
      <c r="HR219"/>
      <c r="HS219"/>
      <c r="HT219"/>
      <c r="HU219"/>
      <c r="HV219"/>
      <c r="HW219"/>
      <c r="HX219"/>
      <c r="HY219"/>
      <c r="HZ219"/>
      <c r="IA219"/>
      <c r="IB219"/>
      <c r="IC219"/>
      <c r="ID219"/>
      <c r="IE219"/>
      <c r="IF219"/>
      <c r="IG219"/>
      <c r="IH219"/>
      <c r="II219"/>
      <c r="IJ219"/>
      <c r="IK219"/>
      <c r="IL219"/>
      <c r="IM219"/>
      <c r="IN219"/>
      <c r="IO219"/>
      <c r="IP219"/>
      <c r="IQ219"/>
      <c r="IR219"/>
      <c r="IS219"/>
      <c r="IT219"/>
      <c r="IU219"/>
      <c r="IV219"/>
      <c r="IW219"/>
      <c r="IX219"/>
    </row>
    <row r="220" spans="1:16384" s="42" customFormat="1" x14ac:dyDescent="0.2">
      <c r="A220" s="1648" t="s">
        <v>729</v>
      </c>
      <c r="B220" s="78"/>
      <c r="C220" s="78"/>
      <c r="D220" s="78"/>
      <c r="E220" s="77"/>
      <c r="F220" s="75"/>
      <c r="G220" s="78"/>
      <c r="H220" s="78"/>
      <c r="I220" s="78"/>
      <c r="J220" s="77"/>
      <c r="K220" s="75"/>
      <c r="L220" s="78"/>
      <c r="M220" s="78"/>
      <c r="N220" s="78"/>
      <c r="O220" s="77"/>
      <c r="P220" s="75"/>
      <c r="Q220" s="78"/>
      <c r="R220" s="78"/>
      <c r="S220" s="78"/>
      <c r="T220" s="77"/>
      <c r="U220" s="75"/>
      <c r="V220" s="90"/>
      <c r="W220" s="90"/>
      <c r="X220" s="90"/>
      <c r="Y220" s="14"/>
      <c r="Z220" s="15"/>
      <c r="AA220" s="90"/>
      <c r="AB220" s="90"/>
      <c r="AC220" s="90"/>
      <c r="AD220" s="14"/>
      <c r="AE220" s="15"/>
      <c r="AF220" s="90"/>
      <c r="AG220" s="90"/>
      <c r="AH220" s="90"/>
      <c r="AI220" s="14"/>
      <c r="AJ220" s="15"/>
      <c r="AK220" s="90"/>
      <c r="AL220" s="90"/>
      <c r="AM220" s="90"/>
      <c r="AN220" s="14"/>
      <c r="AO220" s="15"/>
      <c r="AP220" s="90"/>
      <c r="AQ220" s="90"/>
      <c r="AR220" s="90"/>
      <c r="AS220" s="14"/>
      <c r="AT220" s="15">
        <f>+AT214/AT343</f>
        <v>3.5708528131549247E-2</v>
      </c>
      <c r="AU220" s="90"/>
      <c r="AV220" s="90"/>
      <c r="AW220" s="90"/>
      <c r="AX220" s="14"/>
      <c r="AY220" s="15">
        <f>+AY214/AY343</f>
        <v>3.7010676156583627E-2</v>
      </c>
      <c r="AZ220" s="90"/>
      <c r="BA220" s="90"/>
      <c r="BB220" s="90"/>
      <c r="BC220" s="14"/>
      <c r="BD220" s="15">
        <f>+BD214/BD343</f>
        <v>4.0221914008321778E-2</v>
      </c>
      <c r="BE220" s="90"/>
      <c r="BF220" s="90"/>
      <c r="BG220" s="90"/>
      <c r="BH220" s="14"/>
      <c r="BI220" s="15">
        <f>+BI214/BI343</f>
        <v>4.311026736275906E-2</v>
      </c>
      <c r="BJ220" s="90"/>
      <c r="BK220" s="90"/>
      <c r="BL220" s="90"/>
      <c r="BM220" s="14"/>
      <c r="BN220" s="15">
        <f>+BN214/BN343</f>
        <v>4.5224566046547829E-2</v>
      </c>
      <c r="BO220" s="90"/>
      <c r="BP220" s="90"/>
      <c r="BQ220" s="90"/>
      <c r="BR220" s="14"/>
      <c r="BS220" s="15">
        <f>+BS214/BS343</f>
        <v>4.553665512569622E-2</v>
      </c>
      <c r="BT220" s="90"/>
      <c r="BU220" s="90"/>
      <c r="BV220" s="90"/>
      <c r="BW220" s="14"/>
      <c r="BX220" s="15">
        <f>+BX214/BX343</f>
        <v>4.4501092498179171E-2</v>
      </c>
      <c r="BY220" s="90"/>
      <c r="BZ220" s="90"/>
      <c r="CA220" s="90"/>
      <c r="CB220" s="14"/>
      <c r="CC220" s="15">
        <f>+CC214/CC343</f>
        <v>3.5196791175733266E-2</v>
      </c>
      <c r="CD220" s="90"/>
      <c r="CE220" s="90"/>
      <c r="CF220" s="90"/>
      <c r="CG220" s="14"/>
      <c r="CH220" s="15">
        <f>+CH214/CH343</f>
        <v>4.0569359718295887E-2</v>
      </c>
      <c r="CI220" s="90"/>
      <c r="CJ220" s="90"/>
      <c r="CK220" s="90"/>
      <c r="CL220" s="14"/>
      <c r="CM220" s="15">
        <f>+CM214/CM343</f>
        <v>4.0911915117334989E-2</v>
      </c>
      <c r="CN220" s="90"/>
      <c r="CO220" s="90"/>
      <c r="CP220" s="90"/>
      <c r="CQ220" s="14"/>
      <c r="CR220" s="15">
        <f>+CR214/CR343</f>
        <v>4.0541781450872359E-2</v>
      </c>
      <c r="CS220" s="90"/>
      <c r="CT220" s="90"/>
      <c r="CU220" s="90"/>
      <c r="CV220" s="14"/>
      <c r="CW220" s="15">
        <f>+CW214/CW343</f>
        <v>3.9844851904090269E-2</v>
      </c>
      <c r="CX220" s="90"/>
      <c r="CY220" s="90"/>
      <c r="CZ220" s="90"/>
      <c r="DA220" s="14"/>
      <c r="DB220" s="15">
        <f>+DB214/DB343</f>
        <v>3.9116012579158227E-2</v>
      </c>
      <c r="DC220" s="341"/>
      <c r="DD220" s="341"/>
      <c r="DE220" s="341"/>
      <c r="DF220" s="341"/>
      <c r="DG220" s="91">
        <f>+DG214/DG343</f>
        <v>3.9833606454052692E-2</v>
      </c>
      <c r="DH220" s="341"/>
      <c r="DI220" s="341"/>
      <c r="DJ220" s="341"/>
      <c r="DK220" s="341"/>
      <c r="DL220" s="91">
        <f>+DL214/DL343</f>
        <v>3.9080643869624412E-2</v>
      </c>
      <c r="DM220" s="341"/>
      <c r="DN220" s="341"/>
      <c r="DO220" s="341"/>
      <c r="DP220" s="341"/>
      <c r="DQ220" s="91">
        <f>+DQ214/DQ343</f>
        <v>4.0652591170825335E-2</v>
      </c>
      <c r="DR220" s="341"/>
      <c r="DS220" s="341"/>
      <c r="DT220" s="14"/>
      <c r="DU220" s="341"/>
      <c r="DV220" s="91">
        <f>+DV214/DV343</f>
        <v>4.0452896559305264E-2</v>
      </c>
      <c r="DW220" s="341"/>
      <c r="DX220" s="341"/>
      <c r="DY220" s="14"/>
      <c r="DZ220" s="341"/>
      <c r="EA220" s="91">
        <f>+EA214/EA343</f>
        <v>4.0267282395745875E-2</v>
      </c>
      <c r="EB220" s="341"/>
      <c r="EC220" s="341"/>
      <c r="ED220" s="14"/>
      <c r="EE220" s="341"/>
      <c r="EF220" s="91">
        <f>+EF214/EF343</f>
        <v>4.003446675946179E-2</v>
      </c>
      <c r="EG220" s="341"/>
      <c r="EH220" s="341"/>
      <c r="EI220" s="14"/>
      <c r="EJ220" s="341"/>
      <c r="EK220" s="91">
        <f>+EK214/EK343</f>
        <v>4.1765650080256823E-2</v>
      </c>
      <c r="EL220" s="341"/>
      <c r="EM220" s="341"/>
      <c r="EN220" s="14"/>
      <c r="EO220" s="341"/>
      <c r="EP220" s="91">
        <f>+EP214/EP343</f>
        <v>4.1399068127439868E-2</v>
      </c>
      <c r="EQ220" s="341"/>
      <c r="ER220" s="14"/>
      <c r="ES220" s="14"/>
      <c r="ET220" s="14"/>
      <c r="EU220" s="91">
        <f>+EU214/EU343</f>
        <v>4.1246171750568654E-2</v>
      </c>
      <c r="EV220" s="208"/>
      <c r="EW220" s="208"/>
      <c r="EX220" s="208"/>
      <c r="EY220" s="208"/>
      <c r="EZ220" s="91">
        <f>+EZ214/EZ343</f>
        <v>4.1275582041241245E-2</v>
      </c>
      <c r="FA220" s="208"/>
      <c r="FB220" s="208"/>
      <c r="FC220" s="208"/>
      <c r="FD220" s="208"/>
      <c r="FE220" s="91">
        <f>+FE214/FE343</f>
        <v>4.1546961484509093E-2</v>
      </c>
      <c r="FG220" s="490"/>
      <c r="FH220" s="779"/>
      <c r="FI220" s="779"/>
      <c r="FJ220" s="779"/>
      <c r="FK220" s="40"/>
      <c r="FL220" s="1349"/>
      <c r="FM220" s="1141"/>
      <c r="FN220" s="1454"/>
      <c r="FO220" s="1806"/>
      <c r="FP220" s="1755"/>
      <c r="FQ220" s="731"/>
      <c r="FR220" s="1619"/>
      <c r="FS220" s="1619"/>
      <c r="FT220" s="433"/>
      <c r="FU220" s="433"/>
      <c r="FV220" s="433"/>
      <c r="FW220" s="433"/>
      <c r="FX220" s="433"/>
      <c r="FY220" s="433"/>
      <c r="FZ220" s="490"/>
      <c r="GA220"/>
      <c r="GB220"/>
      <c r="GC220"/>
      <c r="GD220"/>
      <c r="GE220"/>
      <c r="GF220"/>
      <c r="GG220"/>
      <c r="GH220"/>
      <c r="GI220"/>
      <c r="GJ220"/>
      <c r="GK220"/>
      <c r="GL220"/>
      <c r="GM220"/>
      <c r="GN220"/>
      <c r="GO220"/>
      <c r="GP220"/>
      <c r="GQ220"/>
      <c r="GR220"/>
      <c r="GS220"/>
      <c r="GT220"/>
      <c r="GU220"/>
      <c r="GV220"/>
      <c r="GW220"/>
      <c r="GX220"/>
      <c r="GY220"/>
      <c r="GZ220"/>
      <c r="HA220"/>
      <c r="HB220"/>
      <c r="HC220"/>
      <c r="HD220"/>
      <c r="HE220"/>
      <c r="HF220"/>
      <c r="HG220"/>
      <c r="HH220"/>
      <c r="HI220"/>
      <c r="HJ220"/>
      <c r="HK220"/>
      <c r="HL220"/>
      <c r="HM220"/>
      <c r="HN220"/>
      <c r="HO220"/>
      <c r="HP220"/>
      <c r="HQ220"/>
      <c r="HR220"/>
      <c r="HS220"/>
      <c r="HT220"/>
      <c r="HU220"/>
      <c r="HV220"/>
      <c r="HW220"/>
      <c r="HX220"/>
      <c r="HY220"/>
      <c r="HZ220"/>
      <c r="IA220"/>
      <c r="IB220"/>
      <c r="IC220"/>
      <c r="ID220"/>
      <c r="IE220"/>
      <c r="IF220"/>
      <c r="IG220"/>
      <c r="IH220"/>
      <c r="II220"/>
      <c r="IJ220"/>
      <c r="IK220"/>
      <c r="IL220"/>
      <c r="IM220"/>
      <c r="IN220"/>
      <c r="IO220"/>
      <c r="IP220"/>
      <c r="IQ220"/>
      <c r="IR220"/>
      <c r="IS220"/>
      <c r="IT220"/>
      <c r="IU220"/>
      <c r="IV220"/>
      <c r="IW220"/>
      <c r="IX220"/>
    </row>
    <row r="221" spans="1:16384" s="42" customFormat="1" x14ac:dyDescent="0.2">
      <c r="A221" s="2013" t="s">
        <v>800</v>
      </c>
      <c r="B221" s="78"/>
      <c r="C221" s="78"/>
      <c r="D221" s="78"/>
      <c r="E221" s="77"/>
      <c r="F221" s="75"/>
      <c r="G221" s="78"/>
      <c r="H221" s="78"/>
      <c r="I221" s="78"/>
      <c r="J221" s="77"/>
      <c r="K221" s="75"/>
      <c r="L221" s="78"/>
      <c r="M221" s="78"/>
      <c r="N221" s="78"/>
      <c r="O221" s="77"/>
      <c r="P221" s="75"/>
      <c r="Q221" s="78"/>
      <c r="R221" s="78"/>
      <c r="S221" s="78"/>
      <c r="T221" s="77"/>
      <c r="U221" s="75"/>
      <c r="V221" s="90"/>
      <c r="W221" s="90"/>
      <c r="X221" s="90"/>
      <c r="Y221" s="14"/>
      <c r="Z221" s="15"/>
      <c r="AA221" s="90"/>
      <c r="AB221" s="90"/>
      <c r="AC221" s="90"/>
      <c r="AD221" s="14"/>
      <c r="AE221" s="15"/>
      <c r="AF221" s="90"/>
      <c r="AG221" s="90"/>
      <c r="AH221" s="90"/>
      <c r="AI221" s="14"/>
      <c r="AJ221" s="15"/>
      <c r="AK221" s="90"/>
      <c r="AL221" s="90"/>
      <c r="AM221" s="90"/>
      <c r="AN221" s="14"/>
      <c r="AO221" s="15"/>
      <c r="AP221" s="90"/>
      <c r="AQ221" s="90"/>
      <c r="AR221" s="90"/>
      <c r="AS221" s="14"/>
      <c r="AT221" s="15"/>
      <c r="AU221" s="90"/>
      <c r="AV221" s="90"/>
      <c r="AW221" s="90"/>
      <c r="AX221" s="14"/>
      <c r="AY221" s="15"/>
      <c r="AZ221" s="90"/>
      <c r="BA221" s="90"/>
      <c r="BB221" s="90"/>
      <c r="BC221" s="14"/>
      <c r="BD221" s="15"/>
      <c r="BE221" s="90"/>
      <c r="BF221" s="90"/>
      <c r="BG221" s="90"/>
      <c r="BH221" s="14"/>
      <c r="BI221" s="15"/>
      <c r="BJ221" s="90"/>
      <c r="BK221" s="90"/>
      <c r="BL221" s="90"/>
      <c r="BM221" s="14"/>
      <c r="BN221" s="15"/>
      <c r="BO221" s="90"/>
      <c r="BP221" s="90"/>
      <c r="BQ221" s="90"/>
      <c r="BR221" s="14"/>
      <c r="BS221" s="15"/>
      <c r="BT221" s="90"/>
      <c r="BU221" s="90"/>
      <c r="BV221" s="90"/>
      <c r="BW221" s="14"/>
      <c r="BX221" s="15"/>
      <c r="BY221" s="90"/>
      <c r="BZ221" s="90"/>
      <c r="CA221" s="90"/>
      <c r="CB221" s="14"/>
      <c r="CC221" s="15"/>
      <c r="CD221" s="90"/>
      <c r="CE221" s="90"/>
      <c r="CF221" s="90"/>
      <c r="CG221" s="14"/>
      <c r="CH221" s="15"/>
      <c r="CI221" s="90"/>
      <c r="CJ221" s="90"/>
      <c r="CK221" s="90"/>
      <c r="CL221" s="14"/>
      <c r="CM221" s="15"/>
      <c r="CN221" s="90"/>
      <c r="CO221" s="90"/>
      <c r="CP221" s="90"/>
      <c r="CQ221" s="14"/>
      <c r="CR221" s="15"/>
      <c r="CS221" s="90"/>
      <c r="CT221" s="90"/>
      <c r="CU221" s="90"/>
      <c r="CV221" s="14"/>
      <c r="CW221" s="15"/>
      <c r="CX221" s="90"/>
      <c r="CY221" s="90"/>
      <c r="CZ221" s="90"/>
      <c r="DA221" s="14"/>
      <c r="DB221" s="15"/>
      <c r="DC221" s="341"/>
      <c r="DD221" s="341"/>
      <c r="DE221" s="341"/>
      <c r="DF221" s="341"/>
      <c r="DG221" s="91"/>
      <c r="DH221" s="341"/>
      <c r="DI221" s="341"/>
      <c r="DJ221" s="341"/>
      <c r="DK221" s="341"/>
      <c r="DL221" s="91"/>
      <c r="DM221" s="341"/>
      <c r="DN221" s="341"/>
      <c r="DO221" s="341"/>
      <c r="DP221" s="341"/>
      <c r="DQ221" s="91"/>
      <c r="DR221" s="341"/>
      <c r="DS221" s="341"/>
      <c r="DT221" s="14"/>
      <c r="DU221" s="341"/>
      <c r="DV221" s="91"/>
      <c r="DW221" s="341"/>
      <c r="DX221" s="341"/>
      <c r="DY221" s="14"/>
      <c r="DZ221" s="341"/>
      <c r="EA221" s="91"/>
      <c r="EB221" s="341"/>
      <c r="EC221" s="341"/>
      <c r="ED221" s="14"/>
      <c r="EE221" s="341"/>
      <c r="EF221" s="91"/>
      <c r="EG221" s="407"/>
      <c r="EH221" s="407"/>
      <c r="EI221" s="407"/>
      <c r="EJ221" s="407">
        <v>-13</v>
      </c>
      <c r="EK221" s="406">
        <f>SUM(EG221:EJ221)</f>
        <v>-13</v>
      </c>
      <c r="EL221" s="407"/>
      <c r="EM221" s="407"/>
      <c r="EN221" s="407"/>
      <c r="EO221" s="407">
        <f>+EJ221-159+142</f>
        <v>-30</v>
      </c>
      <c r="EP221" s="406">
        <f>SUM(EL221:EO221)</f>
        <v>-30</v>
      </c>
      <c r="EQ221" s="407">
        <v>-25</v>
      </c>
      <c r="ER221" s="2020">
        <v>-15</v>
      </c>
      <c r="ES221" s="2020">
        <f t="shared" ref="ES221:ET221" si="1103">+ER221</f>
        <v>-15</v>
      </c>
      <c r="ET221" s="2020">
        <f t="shared" si="1103"/>
        <v>-15</v>
      </c>
      <c r="EU221" s="406">
        <f>SUM(EQ221:ET221)</f>
        <v>-70</v>
      </c>
      <c r="EV221" s="407"/>
      <c r="EW221" s="407"/>
      <c r="EX221" s="407"/>
      <c r="EY221" s="407"/>
      <c r="EZ221" s="406">
        <v>-40</v>
      </c>
      <c r="FA221" s="2053"/>
      <c r="FB221" s="2053"/>
      <c r="FC221" s="2053"/>
      <c r="FD221" s="2053"/>
      <c r="FE221" s="406">
        <f>+EZ221</f>
        <v>-40</v>
      </c>
      <c r="FG221" s="490"/>
      <c r="FH221" s="779"/>
      <c r="FI221" s="779"/>
      <c r="FJ221" s="779"/>
      <c r="FK221" s="40"/>
      <c r="FL221" s="1349"/>
      <c r="FM221" s="1141"/>
      <c r="FN221" s="1454"/>
      <c r="FO221" s="1806">
        <v>-12.5</v>
      </c>
      <c r="FP221" s="1755"/>
      <c r="FQ221" s="1755"/>
      <c r="FR221" s="1614" t="s">
        <v>825</v>
      </c>
      <c r="FS221" s="1619"/>
      <c r="FT221" s="433"/>
      <c r="FU221" s="433"/>
      <c r="FV221" s="433"/>
      <c r="FW221" s="433"/>
      <c r="FX221" s="433"/>
      <c r="FY221" s="433"/>
      <c r="FZ221" s="490"/>
      <c r="GA221"/>
      <c r="GB221"/>
      <c r="GC221"/>
      <c r="GD221"/>
      <c r="GE221"/>
      <c r="GF221"/>
      <c r="GG221"/>
      <c r="GH221"/>
      <c r="GI221"/>
      <c r="GJ221"/>
      <c r="GK221"/>
      <c r="GL221"/>
      <c r="GM221"/>
      <c r="GN221"/>
      <c r="GO221"/>
      <c r="GP221"/>
      <c r="GQ221"/>
      <c r="GR221"/>
      <c r="GS221"/>
      <c r="GT221"/>
      <c r="GU221"/>
      <c r="GV221"/>
      <c r="GW221"/>
      <c r="GX221"/>
      <c r="GY221"/>
      <c r="GZ221"/>
      <c r="HA221"/>
      <c r="HB221"/>
      <c r="HC221"/>
      <c r="HD221"/>
      <c r="HE221"/>
      <c r="HF221"/>
      <c r="HG221"/>
      <c r="HH221"/>
      <c r="HI221"/>
      <c r="HJ221"/>
      <c r="HK221"/>
      <c r="HL221"/>
      <c r="HM221"/>
      <c r="HN221"/>
      <c r="HO221"/>
      <c r="HP221"/>
      <c r="HQ221"/>
      <c r="HR221"/>
      <c r="HS221"/>
      <c r="HT221"/>
      <c r="HU221"/>
      <c r="HV221"/>
      <c r="HW221"/>
      <c r="HX221"/>
      <c r="HY221"/>
      <c r="HZ221"/>
      <c r="IA221"/>
      <c r="IB221"/>
      <c r="IC221"/>
      <c r="ID221"/>
      <c r="IE221"/>
      <c r="IF221"/>
      <c r="IG221"/>
      <c r="IH221"/>
      <c r="II221"/>
      <c r="IJ221"/>
      <c r="IK221"/>
      <c r="IL221"/>
      <c r="IM221"/>
      <c r="IN221"/>
      <c r="IO221"/>
      <c r="IP221"/>
      <c r="IQ221"/>
      <c r="IR221"/>
      <c r="IS221"/>
      <c r="IT221"/>
      <c r="IU221"/>
      <c r="IV221"/>
      <c r="IW221"/>
      <c r="IX221"/>
      <c r="IY221" s="407"/>
      <c r="IZ221" s="407"/>
      <c r="JA221" s="407"/>
      <c r="JB221" s="407"/>
      <c r="JC221" s="407"/>
      <c r="JD221" s="407"/>
      <c r="JE221" s="407"/>
      <c r="JF221" s="407"/>
      <c r="JG221" s="407"/>
      <c r="JH221" s="407"/>
      <c r="JI221" s="407"/>
      <c r="JJ221" s="407"/>
      <c r="JK221" s="407"/>
      <c r="JL221" s="407"/>
      <c r="JM221" s="407"/>
      <c r="JN221" s="407"/>
      <c r="JO221" s="407"/>
      <c r="JP221" s="407"/>
      <c r="JQ221" s="407"/>
      <c r="JR221" s="407"/>
      <c r="JS221" s="407"/>
      <c r="JT221" s="407"/>
      <c r="JU221" s="407"/>
      <c r="JV221" s="407"/>
      <c r="JW221" s="407"/>
      <c r="JX221" s="407"/>
      <c r="JY221" s="407"/>
      <c r="JZ221" s="407"/>
      <c r="KA221" s="407"/>
      <c r="KB221" s="407"/>
      <c r="KC221" s="407"/>
      <c r="KD221" s="407"/>
      <c r="KE221" s="407"/>
      <c r="KF221" s="407"/>
      <c r="KG221" s="407"/>
      <c r="KH221" s="407"/>
      <c r="KI221" s="407"/>
      <c r="KJ221" s="407"/>
      <c r="KK221" s="407"/>
      <c r="KL221" s="407"/>
      <c r="KM221" s="407"/>
      <c r="KN221" s="407"/>
      <c r="KO221" s="407"/>
      <c r="KP221" s="407"/>
      <c r="KQ221" s="407"/>
      <c r="KR221" s="407"/>
      <c r="KS221" s="407"/>
      <c r="KT221" s="407"/>
      <c r="KU221" s="407"/>
      <c r="KV221" s="407"/>
      <c r="KW221" s="407"/>
      <c r="KX221" s="407"/>
      <c r="KY221" s="407"/>
      <c r="KZ221" s="407"/>
      <c r="LA221" s="407"/>
      <c r="LB221" s="407"/>
      <c r="LC221" s="407"/>
      <c r="LD221" s="407"/>
      <c r="LE221" s="407"/>
      <c r="LF221" s="407"/>
      <c r="LG221" s="407"/>
      <c r="LH221" s="407"/>
      <c r="LI221" s="407"/>
      <c r="LJ221" s="407"/>
      <c r="LK221" s="407"/>
      <c r="LL221" s="407"/>
      <c r="LM221" s="407"/>
      <c r="LN221" s="407"/>
      <c r="LO221" s="407"/>
      <c r="LP221" s="407"/>
      <c r="LQ221" s="407"/>
      <c r="LR221" s="407"/>
      <c r="LS221" s="407"/>
      <c r="LT221" s="407"/>
      <c r="LU221" s="407"/>
      <c r="LV221" s="407"/>
      <c r="LW221" s="407"/>
      <c r="LX221" s="407"/>
      <c r="LY221" s="407"/>
      <c r="LZ221" s="407"/>
      <c r="MA221" s="407"/>
      <c r="MB221" s="407"/>
      <c r="MC221" s="407"/>
      <c r="MD221" s="407"/>
      <c r="ME221" s="407"/>
      <c r="MF221" s="407"/>
      <c r="MG221" s="407"/>
      <c r="MH221" s="407"/>
      <c r="MI221" s="407"/>
      <c r="MJ221" s="407"/>
      <c r="MK221" s="407"/>
      <c r="ML221" s="407"/>
      <c r="MM221" s="407"/>
      <c r="MN221" s="407"/>
      <c r="MO221" s="407"/>
      <c r="MP221" s="407"/>
      <c r="MQ221" s="407"/>
      <c r="MR221" s="407"/>
      <c r="MS221" s="407"/>
      <c r="MT221" s="407"/>
      <c r="MU221" s="407"/>
      <c r="MV221" s="407"/>
      <c r="MW221" s="407"/>
      <c r="MX221" s="407"/>
      <c r="MY221" s="407"/>
      <c r="MZ221" s="407"/>
      <c r="NA221" s="407"/>
      <c r="NB221" s="407"/>
      <c r="NC221" s="407"/>
      <c r="ND221" s="407"/>
      <c r="NE221" s="407"/>
      <c r="NF221" s="407"/>
      <c r="NG221" s="407"/>
      <c r="NH221" s="407"/>
      <c r="NI221" s="407"/>
      <c r="NJ221" s="407"/>
      <c r="NK221" s="407"/>
      <c r="NL221" s="407"/>
      <c r="NM221" s="407"/>
      <c r="NN221" s="407"/>
      <c r="NO221" s="407"/>
      <c r="NP221" s="407"/>
      <c r="NQ221" s="407"/>
      <c r="NR221" s="407"/>
      <c r="NS221" s="407"/>
      <c r="NT221" s="407"/>
      <c r="NU221" s="407"/>
      <c r="NV221" s="407"/>
      <c r="NW221" s="407"/>
      <c r="NX221" s="407"/>
      <c r="NY221" s="407"/>
      <c r="NZ221" s="407"/>
      <c r="OA221" s="407"/>
      <c r="OB221" s="407"/>
      <c r="OC221" s="407"/>
      <c r="OD221" s="407"/>
      <c r="OE221" s="407"/>
      <c r="OF221" s="407"/>
      <c r="OG221" s="407"/>
      <c r="OH221" s="407"/>
      <c r="OI221" s="407"/>
      <c r="OJ221" s="407"/>
      <c r="OK221" s="407"/>
      <c r="OL221" s="407"/>
      <c r="OM221" s="407"/>
      <c r="ON221" s="407"/>
      <c r="OO221" s="407"/>
      <c r="OP221" s="407"/>
      <c r="OQ221" s="407"/>
      <c r="OR221" s="407"/>
      <c r="OS221" s="407"/>
      <c r="OT221" s="407"/>
      <c r="OU221" s="407"/>
      <c r="OV221" s="407"/>
      <c r="OW221" s="407"/>
      <c r="OX221" s="407"/>
      <c r="OY221" s="407"/>
      <c r="OZ221" s="407"/>
      <c r="PA221" s="407"/>
      <c r="PB221" s="407"/>
      <c r="PC221" s="407"/>
      <c r="PD221" s="407"/>
      <c r="PE221" s="407"/>
      <c r="PF221" s="407"/>
      <c r="PG221" s="407"/>
      <c r="PH221" s="407"/>
      <c r="PI221" s="407"/>
      <c r="PJ221" s="407"/>
      <c r="PK221" s="407"/>
      <c r="PL221" s="407"/>
      <c r="PM221" s="407"/>
      <c r="PN221" s="407"/>
      <c r="PO221" s="407"/>
      <c r="PP221" s="407"/>
      <c r="PQ221" s="407"/>
      <c r="PR221" s="407"/>
      <c r="PS221" s="407"/>
      <c r="PT221" s="407"/>
      <c r="PU221" s="407"/>
      <c r="PV221" s="407"/>
      <c r="PW221" s="407"/>
      <c r="PX221" s="407"/>
      <c r="PY221" s="407"/>
      <c r="PZ221" s="407"/>
      <c r="QA221" s="407"/>
      <c r="QB221" s="407"/>
      <c r="QC221" s="407"/>
      <c r="QD221" s="407"/>
      <c r="QE221" s="407"/>
      <c r="QF221" s="407"/>
      <c r="QG221" s="407"/>
      <c r="QH221" s="407"/>
      <c r="QI221" s="407"/>
      <c r="QJ221" s="407"/>
      <c r="QK221" s="407"/>
      <c r="QL221" s="407"/>
      <c r="QM221" s="407"/>
      <c r="QN221" s="407"/>
      <c r="QO221" s="407"/>
      <c r="QP221" s="407"/>
      <c r="QQ221" s="407"/>
      <c r="QR221" s="407"/>
      <c r="QS221" s="407"/>
      <c r="QT221" s="407"/>
      <c r="QU221" s="407"/>
      <c r="QV221" s="407"/>
      <c r="QW221" s="407"/>
      <c r="QX221" s="407"/>
      <c r="QY221" s="407"/>
      <c r="QZ221" s="407"/>
      <c r="RA221" s="407"/>
      <c r="RB221" s="407"/>
      <c r="RC221" s="407"/>
      <c r="RD221" s="407"/>
      <c r="RE221" s="407"/>
      <c r="RF221" s="407"/>
      <c r="RG221" s="407"/>
      <c r="RH221" s="407"/>
      <c r="RI221" s="407"/>
      <c r="RJ221" s="407"/>
      <c r="RK221" s="407"/>
      <c r="RL221" s="407"/>
      <c r="RM221" s="407"/>
      <c r="RN221" s="407"/>
      <c r="RO221" s="407"/>
      <c r="RP221" s="407"/>
      <c r="RQ221" s="407"/>
      <c r="RR221" s="407"/>
      <c r="RS221" s="407"/>
      <c r="RT221" s="407"/>
      <c r="RU221" s="407"/>
      <c r="RV221" s="407"/>
      <c r="RW221" s="407"/>
      <c r="RX221" s="407"/>
      <c r="RY221" s="407"/>
      <c r="RZ221" s="407"/>
      <c r="SA221" s="407"/>
      <c r="SB221" s="407"/>
      <c r="SC221" s="407"/>
      <c r="SD221" s="407"/>
      <c r="SE221" s="407"/>
      <c r="SF221" s="407"/>
      <c r="SG221" s="407"/>
      <c r="SH221" s="407"/>
      <c r="SI221" s="407"/>
      <c r="SJ221" s="407"/>
      <c r="SK221" s="407"/>
      <c r="SL221" s="407"/>
      <c r="SM221" s="407"/>
      <c r="SN221" s="407"/>
      <c r="SO221" s="407"/>
      <c r="SP221" s="407"/>
      <c r="SQ221" s="407"/>
      <c r="SR221" s="407"/>
      <c r="SS221" s="407"/>
      <c r="ST221" s="407"/>
      <c r="SU221" s="407"/>
      <c r="SV221" s="407"/>
      <c r="SW221" s="407"/>
      <c r="SX221" s="407"/>
      <c r="SY221" s="407"/>
      <c r="SZ221" s="407"/>
      <c r="TA221" s="407"/>
      <c r="TB221" s="407"/>
      <c r="TC221" s="407"/>
      <c r="TD221" s="407"/>
      <c r="TE221" s="407"/>
      <c r="TF221" s="407"/>
      <c r="TG221" s="407"/>
      <c r="TH221" s="407"/>
      <c r="TI221" s="407"/>
      <c r="TJ221" s="407"/>
      <c r="TK221" s="407"/>
      <c r="TL221" s="407"/>
      <c r="TM221" s="407"/>
      <c r="TN221" s="407"/>
      <c r="TO221" s="407"/>
      <c r="TP221" s="407"/>
      <c r="TQ221" s="407"/>
      <c r="TR221" s="407"/>
      <c r="TS221" s="407"/>
      <c r="TT221" s="407"/>
      <c r="TU221" s="407"/>
      <c r="TV221" s="407"/>
      <c r="TW221" s="407"/>
      <c r="TX221" s="407"/>
      <c r="TY221" s="407"/>
      <c r="TZ221" s="407"/>
      <c r="UA221" s="407"/>
      <c r="UB221" s="407"/>
      <c r="UC221" s="407"/>
      <c r="UD221" s="407"/>
      <c r="UE221" s="407"/>
      <c r="UF221" s="407"/>
      <c r="UG221" s="407"/>
      <c r="UH221" s="407"/>
      <c r="UI221" s="407"/>
      <c r="UJ221" s="407"/>
      <c r="UK221" s="407"/>
      <c r="UL221" s="407"/>
      <c r="UM221" s="407"/>
      <c r="UN221" s="407"/>
      <c r="UO221" s="407"/>
      <c r="UP221" s="407"/>
      <c r="UQ221" s="407"/>
      <c r="UR221" s="407"/>
      <c r="US221" s="407"/>
      <c r="UT221" s="407"/>
      <c r="UU221" s="407"/>
      <c r="UV221" s="407"/>
      <c r="UW221" s="407"/>
      <c r="UX221" s="407"/>
      <c r="UY221" s="407"/>
      <c r="UZ221" s="407"/>
      <c r="VA221" s="407"/>
      <c r="VB221" s="407"/>
      <c r="VC221" s="407"/>
      <c r="VD221" s="407"/>
      <c r="VE221" s="407"/>
      <c r="VF221" s="407"/>
      <c r="VG221" s="407"/>
      <c r="VH221" s="407"/>
      <c r="VI221" s="407"/>
      <c r="VJ221" s="407"/>
      <c r="VK221" s="407"/>
      <c r="VL221" s="407"/>
      <c r="VM221" s="407"/>
      <c r="VN221" s="407"/>
      <c r="VO221" s="407"/>
      <c r="VP221" s="407"/>
      <c r="VQ221" s="407"/>
      <c r="VR221" s="407"/>
      <c r="VS221" s="407"/>
      <c r="VT221" s="407"/>
      <c r="VU221" s="407"/>
      <c r="VV221" s="407"/>
      <c r="VW221" s="407"/>
      <c r="VX221" s="407"/>
      <c r="VY221" s="407"/>
      <c r="VZ221" s="407"/>
      <c r="WA221" s="407"/>
      <c r="WB221" s="407"/>
      <c r="WC221" s="407"/>
      <c r="WD221" s="407"/>
      <c r="WE221" s="407"/>
      <c r="WF221" s="407"/>
      <c r="WG221" s="407"/>
      <c r="WH221" s="407"/>
      <c r="WI221" s="407"/>
      <c r="WJ221" s="407"/>
      <c r="WK221" s="407"/>
      <c r="WL221" s="407"/>
      <c r="WM221" s="407"/>
      <c r="WN221" s="407"/>
      <c r="WO221" s="407"/>
      <c r="WP221" s="407"/>
      <c r="WQ221" s="407"/>
      <c r="WR221" s="407"/>
      <c r="WS221" s="407"/>
      <c r="WT221" s="407"/>
      <c r="WU221" s="407"/>
      <c r="WV221" s="407"/>
      <c r="WW221" s="407"/>
      <c r="WX221" s="407"/>
      <c r="WY221" s="407"/>
      <c r="WZ221" s="407"/>
      <c r="XA221" s="407"/>
      <c r="XB221" s="407"/>
      <c r="XC221" s="407"/>
      <c r="XD221" s="407"/>
      <c r="XE221" s="407"/>
      <c r="XF221" s="407"/>
      <c r="XG221" s="407"/>
      <c r="XH221" s="407"/>
      <c r="XI221" s="407"/>
      <c r="XJ221" s="407"/>
      <c r="XK221" s="407"/>
      <c r="XL221" s="407"/>
      <c r="XM221" s="407"/>
      <c r="XN221" s="407"/>
      <c r="XO221" s="407"/>
      <c r="XP221" s="407"/>
      <c r="XQ221" s="407"/>
      <c r="XR221" s="407"/>
      <c r="XS221" s="407"/>
      <c r="XT221" s="407"/>
      <c r="XU221" s="407"/>
      <c r="XV221" s="407"/>
      <c r="XW221" s="407"/>
      <c r="XX221" s="407"/>
      <c r="XY221" s="407"/>
      <c r="XZ221" s="407"/>
      <c r="YA221" s="407"/>
      <c r="YB221" s="407"/>
      <c r="YC221" s="407"/>
      <c r="YD221" s="407"/>
      <c r="YE221" s="407"/>
      <c r="YF221" s="407"/>
      <c r="YG221" s="407"/>
      <c r="YH221" s="407"/>
      <c r="YI221" s="407"/>
      <c r="YJ221" s="407"/>
      <c r="YK221" s="407"/>
      <c r="YL221" s="407"/>
      <c r="YM221" s="407"/>
      <c r="YN221" s="407"/>
      <c r="YO221" s="407"/>
      <c r="YP221" s="407"/>
      <c r="YQ221" s="407"/>
      <c r="YR221" s="407"/>
      <c r="YS221" s="407"/>
      <c r="YT221" s="407"/>
      <c r="YU221" s="407"/>
      <c r="YV221" s="407"/>
      <c r="YW221" s="407"/>
      <c r="YX221" s="407"/>
      <c r="YY221" s="407"/>
      <c r="YZ221" s="407"/>
      <c r="ZA221" s="407"/>
      <c r="ZB221" s="407"/>
      <c r="ZC221" s="407"/>
      <c r="ZD221" s="407"/>
      <c r="ZE221" s="407"/>
      <c r="ZF221" s="407"/>
      <c r="ZG221" s="407"/>
      <c r="ZH221" s="407"/>
      <c r="ZI221" s="407"/>
      <c r="ZJ221" s="407"/>
      <c r="ZK221" s="407"/>
      <c r="ZL221" s="407"/>
      <c r="ZM221" s="407"/>
      <c r="ZN221" s="407"/>
      <c r="ZO221" s="407"/>
      <c r="ZP221" s="407"/>
      <c r="ZQ221" s="407"/>
      <c r="ZR221" s="407"/>
      <c r="ZS221" s="407"/>
      <c r="ZT221" s="407"/>
      <c r="ZU221" s="407"/>
      <c r="ZV221" s="407"/>
      <c r="ZW221" s="407"/>
      <c r="ZX221" s="407"/>
      <c r="ZY221" s="407"/>
      <c r="ZZ221" s="407"/>
      <c r="AAA221" s="407"/>
      <c r="AAB221" s="407"/>
      <c r="AAC221" s="407"/>
      <c r="AAD221" s="407"/>
      <c r="AAE221" s="407"/>
      <c r="AAF221" s="407"/>
      <c r="AAG221" s="407"/>
      <c r="AAH221" s="407"/>
      <c r="AAI221" s="407"/>
      <c r="AAJ221" s="407"/>
      <c r="AAK221" s="407"/>
      <c r="AAL221" s="407"/>
      <c r="AAM221" s="407"/>
      <c r="AAN221" s="407"/>
      <c r="AAO221" s="407"/>
      <c r="AAP221" s="407"/>
      <c r="AAQ221" s="407"/>
      <c r="AAR221" s="407"/>
      <c r="AAS221" s="407"/>
      <c r="AAT221" s="407"/>
      <c r="AAU221" s="407"/>
      <c r="AAV221" s="407"/>
      <c r="AAW221" s="407"/>
      <c r="AAX221" s="407"/>
      <c r="AAY221" s="407"/>
      <c r="AAZ221" s="407"/>
      <c r="ABA221" s="407"/>
      <c r="ABB221" s="407"/>
      <c r="ABC221" s="407"/>
      <c r="ABD221" s="407"/>
      <c r="ABE221" s="407"/>
      <c r="ABF221" s="407"/>
      <c r="ABG221" s="407"/>
      <c r="ABH221" s="407"/>
      <c r="ABI221" s="407"/>
      <c r="ABJ221" s="407"/>
      <c r="ABK221" s="407"/>
      <c r="ABL221" s="407"/>
      <c r="ABM221" s="407"/>
      <c r="ABN221" s="407"/>
      <c r="ABO221" s="407"/>
      <c r="ABP221" s="407"/>
      <c r="ABQ221" s="407"/>
      <c r="ABR221" s="407"/>
      <c r="ABS221" s="407"/>
      <c r="ABT221" s="407"/>
      <c r="ABU221" s="407"/>
      <c r="ABV221" s="407"/>
      <c r="ABW221" s="407"/>
      <c r="ABX221" s="407"/>
      <c r="ABY221" s="407"/>
      <c r="ABZ221" s="407"/>
      <c r="ACA221" s="407"/>
      <c r="ACB221" s="407"/>
      <c r="ACC221" s="407"/>
      <c r="ACD221" s="407"/>
      <c r="ACE221" s="407"/>
      <c r="ACF221" s="407"/>
      <c r="ACG221" s="407"/>
      <c r="ACH221" s="407"/>
      <c r="ACI221" s="407"/>
      <c r="ACJ221" s="407"/>
      <c r="ACK221" s="407"/>
      <c r="ACL221" s="407"/>
      <c r="ACM221" s="407"/>
      <c r="ACN221" s="407"/>
      <c r="ACO221" s="407"/>
      <c r="ACP221" s="407"/>
      <c r="ACQ221" s="407"/>
      <c r="ACR221" s="407"/>
      <c r="ACS221" s="407"/>
      <c r="ACT221" s="407"/>
      <c r="ACU221" s="407"/>
      <c r="ACV221" s="407"/>
      <c r="ACW221" s="407"/>
      <c r="ACX221" s="407"/>
      <c r="ACY221" s="407"/>
      <c r="ACZ221" s="407"/>
      <c r="ADA221" s="407"/>
      <c r="ADB221" s="407"/>
      <c r="ADC221" s="407"/>
      <c r="ADD221" s="407"/>
      <c r="ADE221" s="407"/>
      <c r="ADF221" s="407"/>
      <c r="ADG221" s="407"/>
      <c r="ADH221" s="407"/>
      <c r="ADI221" s="407"/>
      <c r="ADJ221" s="407"/>
      <c r="ADK221" s="407"/>
      <c r="ADL221" s="407"/>
      <c r="ADM221" s="407"/>
      <c r="ADN221" s="407"/>
      <c r="ADO221" s="407"/>
      <c r="ADP221" s="407"/>
      <c r="ADQ221" s="407"/>
      <c r="ADR221" s="407"/>
      <c r="ADS221" s="407"/>
      <c r="ADT221" s="407"/>
      <c r="ADU221" s="407"/>
      <c r="ADV221" s="407"/>
      <c r="ADW221" s="407"/>
      <c r="ADX221" s="407"/>
      <c r="ADY221" s="407"/>
      <c r="ADZ221" s="407"/>
      <c r="AEA221" s="407"/>
      <c r="AEB221" s="407"/>
      <c r="AEC221" s="407"/>
      <c r="AED221" s="407"/>
      <c r="AEE221" s="407"/>
      <c r="AEF221" s="407"/>
      <c r="AEG221" s="407"/>
      <c r="AEH221" s="407"/>
      <c r="AEI221" s="407"/>
      <c r="AEJ221" s="407"/>
      <c r="AEK221" s="407"/>
      <c r="AEL221" s="407"/>
      <c r="AEM221" s="407"/>
      <c r="AEN221" s="407"/>
      <c r="AEO221" s="407"/>
      <c r="AEP221" s="407"/>
      <c r="AEQ221" s="407"/>
      <c r="AER221" s="407"/>
      <c r="AES221" s="407"/>
      <c r="AET221" s="407"/>
      <c r="AEU221" s="407"/>
      <c r="AEV221" s="407"/>
      <c r="AEW221" s="407"/>
      <c r="AEX221" s="407"/>
      <c r="AEY221" s="407"/>
      <c r="AEZ221" s="407"/>
      <c r="AFA221" s="407"/>
      <c r="AFB221" s="407"/>
      <c r="AFC221" s="407"/>
      <c r="AFD221" s="407"/>
      <c r="AFE221" s="407"/>
      <c r="AFF221" s="407"/>
      <c r="AFG221" s="407"/>
      <c r="AFH221" s="407"/>
      <c r="AFI221" s="407"/>
      <c r="AFJ221" s="407"/>
      <c r="AFK221" s="407"/>
      <c r="AFL221" s="407"/>
      <c r="AFM221" s="407"/>
      <c r="AFN221" s="407"/>
      <c r="AFO221" s="407"/>
      <c r="AFP221" s="407"/>
      <c r="AFQ221" s="407"/>
      <c r="AFR221" s="407"/>
      <c r="AFS221" s="407"/>
      <c r="AFT221" s="407"/>
      <c r="AFU221" s="407"/>
      <c r="AFV221" s="407"/>
      <c r="AFW221" s="407"/>
      <c r="AFX221" s="407"/>
      <c r="AFY221" s="407"/>
      <c r="AFZ221" s="407"/>
      <c r="AGA221" s="407"/>
      <c r="AGB221" s="407"/>
      <c r="AGC221" s="407"/>
      <c r="AGD221" s="407"/>
      <c r="AGE221" s="407"/>
      <c r="AGF221" s="407"/>
      <c r="AGG221" s="407"/>
      <c r="AGH221" s="407"/>
      <c r="AGI221" s="407"/>
      <c r="AGJ221" s="407"/>
      <c r="AGK221" s="407"/>
      <c r="AGL221" s="407"/>
      <c r="AGM221" s="407"/>
      <c r="AGN221" s="407"/>
      <c r="AGO221" s="407"/>
      <c r="AGP221" s="407"/>
      <c r="AGQ221" s="407"/>
      <c r="AGR221" s="407"/>
      <c r="AGS221" s="407"/>
      <c r="AGT221" s="407"/>
      <c r="AGU221" s="407"/>
      <c r="AGV221" s="407"/>
      <c r="AGW221" s="407"/>
      <c r="AGX221" s="407"/>
      <c r="AGY221" s="407"/>
      <c r="AGZ221" s="407"/>
      <c r="AHA221" s="407"/>
      <c r="AHB221" s="407"/>
      <c r="AHC221" s="407"/>
      <c r="AHD221" s="407"/>
      <c r="AHE221" s="407"/>
      <c r="AHF221" s="407"/>
      <c r="AHG221" s="407"/>
      <c r="AHH221" s="407"/>
      <c r="AHI221" s="407"/>
      <c r="AHJ221" s="407"/>
      <c r="AHK221" s="407"/>
      <c r="AHL221" s="407"/>
      <c r="AHM221" s="407"/>
      <c r="AHN221" s="407"/>
      <c r="AHO221" s="407"/>
      <c r="AHP221" s="407"/>
      <c r="AHQ221" s="407"/>
      <c r="AHR221" s="407"/>
      <c r="AHS221" s="407"/>
      <c r="AHT221" s="407"/>
      <c r="AHU221" s="407"/>
      <c r="AHV221" s="407"/>
      <c r="AHW221" s="407"/>
      <c r="AHX221" s="407"/>
      <c r="AHY221" s="407"/>
      <c r="AHZ221" s="407"/>
      <c r="AIA221" s="407"/>
      <c r="AIB221" s="407"/>
      <c r="AIC221" s="407"/>
      <c r="AID221" s="407"/>
      <c r="AIE221" s="407"/>
      <c r="AIF221" s="407"/>
      <c r="AIG221" s="407"/>
      <c r="AIH221" s="407"/>
      <c r="AII221" s="407"/>
      <c r="AIJ221" s="407"/>
      <c r="AIK221" s="407"/>
      <c r="AIL221" s="407"/>
      <c r="AIM221" s="407"/>
      <c r="AIN221" s="407"/>
      <c r="AIO221" s="407"/>
      <c r="AIP221" s="407"/>
      <c r="AIQ221" s="407"/>
      <c r="AIR221" s="407"/>
      <c r="AIS221" s="407"/>
      <c r="AIT221" s="407"/>
      <c r="AIU221" s="407"/>
      <c r="AIV221" s="407"/>
      <c r="AIW221" s="407"/>
      <c r="AIX221" s="407"/>
      <c r="AIY221" s="407"/>
      <c r="AIZ221" s="407"/>
      <c r="AJA221" s="407"/>
      <c r="AJB221" s="407"/>
      <c r="AJC221" s="407"/>
      <c r="AJD221" s="407"/>
      <c r="AJE221" s="407"/>
      <c r="AJF221" s="407"/>
      <c r="AJG221" s="407"/>
      <c r="AJH221" s="407"/>
      <c r="AJI221" s="407"/>
      <c r="AJJ221" s="407"/>
      <c r="AJK221" s="407"/>
      <c r="AJL221" s="407"/>
      <c r="AJM221" s="407"/>
      <c r="AJN221" s="407"/>
      <c r="AJO221" s="407"/>
      <c r="AJP221" s="407"/>
      <c r="AJQ221" s="407"/>
      <c r="AJR221" s="407"/>
      <c r="AJS221" s="407"/>
      <c r="AJT221" s="407"/>
      <c r="AJU221" s="407"/>
      <c r="AJV221" s="407"/>
      <c r="AJW221" s="407"/>
      <c r="AJX221" s="407"/>
      <c r="AJY221" s="407"/>
      <c r="AJZ221" s="407"/>
      <c r="AKA221" s="407"/>
      <c r="AKB221" s="407"/>
      <c r="AKC221" s="407"/>
      <c r="AKD221" s="407"/>
      <c r="AKE221" s="407"/>
      <c r="AKF221" s="407"/>
      <c r="AKG221" s="407"/>
      <c r="AKH221" s="407"/>
      <c r="AKI221" s="407"/>
      <c r="AKJ221" s="407"/>
      <c r="AKK221" s="407"/>
      <c r="AKL221" s="407"/>
      <c r="AKM221" s="407"/>
      <c r="AKN221" s="407"/>
      <c r="AKO221" s="407"/>
      <c r="AKP221" s="407"/>
      <c r="AKQ221" s="407"/>
      <c r="AKR221" s="407"/>
      <c r="AKS221" s="407"/>
      <c r="AKT221" s="407"/>
      <c r="AKU221" s="407"/>
      <c r="AKV221" s="407"/>
      <c r="AKW221" s="407"/>
      <c r="AKX221" s="407"/>
      <c r="AKY221" s="407"/>
      <c r="AKZ221" s="407"/>
      <c r="ALA221" s="407"/>
      <c r="ALB221" s="407"/>
      <c r="ALC221" s="407"/>
      <c r="ALD221" s="407"/>
      <c r="ALE221" s="407"/>
      <c r="ALF221" s="407"/>
      <c r="ALG221" s="407"/>
      <c r="ALH221" s="407"/>
      <c r="ALI221" s="407"/>
      <c r="ALJ221" s="407"/>
      <c r="ALK221" s="407"/>
      <c r="ALL221" s="407"/>
      <c r="ALM221" s="407"/>
      <c r="ALN221" s="407"/>
      <c r="ALO221" s="407"/>
      <c r="ALP221" s="407"/>
      <c r="ALQ221" s="407"/>
      <c r="ALR221" s="407"/>
      <c r="ALS221" s="407"/>
      <c r="ALT221" s="407"/>
      <c r="ALU221" s="407"/>
      <c r="ALV221" s="407"/>
      <c r="ALW221" s="407"/>
      <c r="ALX221" s="407"/>
      <c r="ALY221" s="407"/>
      <c r="ALZ221" s="407"/>
      <c r="AMA221" s="407"/>
      <c r="AMB221" s="407"/>
      <c r="AMC221" s="407"/>
      <c r="AMD221" s="407"/>
      <c r="AME221" s="407"/>
      <c r="AMF221" s="407"/>
      <c r="AMG221" s="407"/>
      <c r="AMH221" s="407"/>
      <c r="AMI221" s="407"/>
      <c r="AMJ221" s="407"/>
      <c r="AMK221" s="407"/>
      <c r="AML221" s="407"/>
      <c r="AMM221" s="407"/>
      <c r="AMN221" s="407"/>
      <c r="AMO221" s="407"/>
      <c r="AMP221" s="407"/>
      <c r="AMQ221" s="407"/>
      <c r="AMR221" s="407"/>
      <c r="AMS221" s="407"/>
      <c r="AMT221" s="407"/>
      <c r="AMU221" s="407"/>
      <c r="AMV221" s="407"/>
      <c r="AMW221" s="407"/>
      <c r="AMX221" s="407"/>
      <c r="AMY221" s="407"/>
      <c r="AMZ221" s="407"/>
      <c r="ANA221" s="407"/>
      <c r="ANB221" s="407"/>
      <c r="ANC221" s="407"/>
      <c r="AND221" s="407"/>
      <c r="ANE221" s="407"/>
      <c r="ANF221" s="407"/>
      <c r="ANG221" s="407"/>
      <c r="ANH221" s="407"/>
      <c r="ANI221" s="407"/>
      <c r="ANJ221" s="407"/>
      <c r="ANK221" s="407"/>
      <c r="ANL221" s="407"/>
      <c r="ANM221" s="407"/>
      <c r="ANN221" s="407"/>
      <c r="ANO221" s="407"/>
      <c r="ANP221" s="407"/>
      <c r="ANQ221" s="407"/>
      <c r="ANR221" s="407"/>
      <c r="ANS221" s="407"/>
      <c r="ANT221" s="407"/>
      <c r="ANU221" s="407"/>
      <c r="ANV221" s="407"/>
      <c r="ANW221" s="407"/>
      <c r="ANX221" s="407"/>
      <c r="ANY221" s="407"/>
      <c r="ANZ221" s="407"/>
      <c r="AOA221" s="407"/>
      <c r="AOB221" s="407"/>
      <c r="AOC221" s="407"/>
      <c r="AOD221" s="407"/>
      <c r="AOE221" s="407"/>
      <c r="AOF221" s="407"/>
      <c r="AOG221" s="407"/>
      <c r="AOH221" s="407"/>
      <c r="AOI221" s="407"/>
      <c r="AOJ221" s="407"/>
      <c r="AOK221" s="407"/>
      <c r="AOL221" s="407"/>
      <c r="AOM221" s="407"/>
      <c r="AON221" s="407"/>
      <c r="AOO221" s="407"/>
      <c r="AOP221" s="407"/>
      <c r="AOQ221" s="407"/>
      <c r="AOR221" s="407"/>
      <c r="AOS221" s="407"/>
      <c r="AOT221" s="407"/>
      <c r="AOU221" s="407"/>
      <c r="AOV221" s="407"/>
      <c r="AOW221" s="407"/>
      <c r="AOX221" s="407"/>
      <c r="AOY221" s="407"/>
      <c r="AOZ221" s="407"/>
      <c r="APA221" s="407"/>
      <c r="APB221" s="407"/>
      <c r="APC221" s="407"/>
      <c r="APD221" s="407"/>
      <c r="APE221" s="407"/>
      <c r="APF221" s="407"/>
      <c r="APG221" s="407"/>
      <c r="APH221" s="407"/>
      <c r="API221" s="407"/>
      <c r="APJ221" s="407"/>
      <c r="APK221" s="407"/>
      <c r="APL221" s="407"/>
      <c r="APM221" s="407"/>
      <c r="APN221" s="407"/>
      <c r="APO221" s="407"/>
      <c r="APP221" s="407"/>
      <c r="APQ221" s="407"/>
      <c r="APR221" s="407"/>
      <c r="APS221" s="407"/>
      <c r="APT221" s="407"/>
      <c r="APU221" s="407"/>
      <c r="APV221" s="407"/>
      <c r="APW221" s="407"/>
      <c r="APX221" s="407"/>
      <c r="APY221" s="407"/>
      <c r="APZ221" s="407"/>
      <c r="AQA221" s="407"/>
      <c r="AQB221" s="407"/>
      <c r="AQC221" s="407"/>
      <c r="AQD221" s="407"/>
      <c r="AQE221" s="407"/>
      <c r="AQF221" s="407"/>
      <c r="AQG221" s="407"/>
      <c r="AQH221" s="407"/>
      <c r="AQI221" s="407"/>
      <c r="AQJ221" s="407"/>
      <c r="AQK221" s="407"/>
      <c r="AQL221" s="407"/>
      <c r="AQM221" s="407"/>
      <c r="AQN221" s="407"/>
      <c r="AQO221" s="407"/>
      <c r="AQP221" s="407"/>
      <c r="AQQ221" s="407"/>
      <c r="AQR221" s="407"/>
      <c r="AQS221" s="407"/>
      <c r="AQT221" s="407"/>
      <c r="AQU221" s="407"/>
      <c r="AQV221" s="407"/>
      <c r="AQW221" s="407"/>
      <c r="AQX221" s="407"/>
      <c r="AQY221" s="407"/>
      <c r="AQZ221" s="407"/>
      <c r="ARA221" s="407"/>
      <c r="ARB221" s="407"/>
      <c r="ARC221" s="407"/>
      <c r="ARD221" s="407"/>
      <c r="ARE221" s="407"/>
      <c r="ARF221" s="407"/>
      <c r="ARG221" s="407"/>
      <c r="ARH221" s="407"/>
      <c r="ARI221" s="407"/>
      <c r="ARJ221" s="407"/>
      <c r="ARK221" s="407"/>
      <c r="ARL221" s="407"/>
      <c r="ARM221" s="407"/>
      <c r="ARN221" s="407"/>
      <c r="ARO221" s="407"/>
      <c r="ARP221" s="407"/>
      <c r="ARQ221" s="407"/>
      <c r="ARR221" s="407"/>
      <c r="ARS221" s="407"/>
      <c r="ART221" s="407"/>
      <c r="ARU221" s="407"/>
      <c r="ARV221" s="407"/>
      <c r="ARW221" s="407"/>
      <c r="ARX221" s="407"/>
      <c r="ARY221" s="407"/>
      <c r="ARZ221" s="407"/>
      <c r="ASA221" s="407"/>
      <c r="ASB221" s="407"/>
      <c r="ASC221" s="407"/>
      <c r="ASD221" s="407"/>
      <c r="ASE221" s="407"/>
      <c r="ASF221" s="407"/>
      <c r="ASG221" s="407"/>
      <c r="ASH221" s="407"/>
      <c r="ASI221" s="407"/>
      <c r="ASJ221" s="407"/>
      <c r="ASK221" s="407"/>
      <c r="ASL221" s="407"/>
      <c r="ASM221" s="407"/>
      <c r="ASN221" s="407"/>
      <c r="ASO221" s="407"/>
      <c r="ASP221" s="407"/>
      <c r="ASQ221" s="407"/>
      <c r="ASR221" s="407"/>
      <c r="ASS221" s="407"/>
      <c r="AST221" s="407"/>
      <c r="ASU221" s="407"/>
      <c r="ASV221" s="407"/>
      <c r="ASW221" s="407"/>
      <c r="ASX221" s="407"/>
      <c r="ASY221" s="407"/>
      <c r="ASZ221" s="407"/>
      <c r="ATA221" s="407"/>
      <c r="ATB221" s="407"/>
      <c r="ATC221" s="407"/>
      <c r="ATD221" s="407"/>
      <c r="ATE221" s="407"/>
      <c r="ATF221" s="407"/>
      <c r="ATG221" s="407"/>
      <c r="ATH221" s="407"/>
      <c r="ATI221" s="407"/>
      <c r="ATJ221" s="407"/>
      <c r="ATK221" s="407"/>
      <c r="ATL221" s="407"/>
      <c r="ATM221" s="407"/>
      <c r="ATN221" s="407"/>
      <c r="ATO221" s="407"/>
      <c r="ATP221" s="407"/>
      <c r="ATQ221" s="407"/>
      <c r="ATR221" s="407"/>
      <c r="ATS221" s="407"/>
      <c r="ATT221" s="407"/>
      <c r="ATU221" s="407"/>
      <c r="ATV221" s="407"/>
      <c r="ATW221" s="407"/>
      <c r="ATX221" s="407"/>
      <c r="ATY221" s="407"/>
      <c r="ATZ221" s="407"/>
      <c r="AUA221" s="407"/>
      <c r="AUB221" s="407"/>
      <c r="AUC221" s="407"/>
      <c r="AUD221" s="407"/>
      <c r="AUE221" s="407"/>
      <c r="AUF221" s="407"/>
      <c r="AUG221" s="407"/>
      <c r="AUH221" s="407"/>
      <c r="AUI221" s="407"/>
      <c r="AUJ221" s="407"/>
      <c r="AUK221" s="407"/>
      <c r="AUL221" s="407"/>
      <c r="AUM221" s="407"/>
      <c r="AUN221" s="407"/>
      <c r="AUO221" s="407"/>
      <c r="AUP221" s="407"/>
      <c r="AUQ221" s="407"/>
      <c r="AUR221" s="407"/>
      <c r="AUS221" s="407"/>
      <c r="AUT221" s="407"/>
      <c r="AUU221" s="407"/>
      <c r="AUV221" s="407"/>
      <c r="AUW221" s="407"/>
      <c r="AUX221" s="407"/>
      <c r="AUY221" s="407"/>
      <c r="AUZ221" s="407"/>
      <c r="AVA221" s="407"/>
      <c r="AVB221" s="407"/>
      <c r="AVC221" s="407"/>
      <c r="AVD221" s="407"/>
      <c r="AVE221" s="407"/>
      <c r="AVF221" s="407"/>
      <c r="AVG221" s="407"/>
      <c r="AVH221" s="407"/>
      <c r="AVI221" s="407"/>
      <c r="AVJ221" s="407"/>
      <c r="AVK221" s="407"/>
      <c r="AVL221" s="407"/>
      <c r="AVM221" s="407"/>
      <c r="AVN221" s="407"/>
      <c r="AVO221" s="407"/>
      <c r="AVP221" s="407"/>
      <c r="AVQ221" s="407"/>
      <c r="AVR221" s="407"/>
      <c r="AVS221" s="407"/>
      <c r="AVT221" s="407"/>
      <c r="AVU221" s="407"/>
      <c r="AVV221" s="407"/>
      <c r="AVW221" s="407"/>
      <c r="AVX221" s="407"/>
      <c r="AVY221" s="407"/>
      <c r="AVZ221" s="407"/>
      <c r="AWA221" s="407"/>
      <c r="AWB221" s="407"/>
      <c r="AWC221" s="407"/>
      <c r="AWD221" s="407"/>
      <c r="AWE221" s="407"/>
      <c r="AWF221" s="407"/>
      <c r="AWG221" s="407"/>
      <c r="AWH221" s="407"/>
      <c r="AWI221" s="407"/>
      <c r="AWJ221" s="407"/>
      <c r="AWK221" s="407"/>
      <c r="AWL221" s="407"/>
      <c r="AWM221" s="407"/>
      <c r="AWN221" s="407"/>
      <c r="AWO221" s="407"/>
      <c r="AWP221" s="407"/>
      <c r="AWQ221" s="407"/>
      <c r="AWR221" s="407"/>
      <c r="AWS221" s="407"/>
      <c r="AWT221" s="407"/>
      <c r="AWU221" s="407"/>
      <c r="AWV221" s="407"/>
      <c r="AWW221" s="407"/>
      <c r="AWX221" s="407"/>
      <c r="AWY221" s="407"/>
      <c r="AWZ221" s="407"/>
      <c r="AXA221" s="407"/>
      <c r="AXB221" s="407"/>
      <c r="AXC221" s="407"/>
      <c r="AXD221" s="407"/>
      <c r="AXE221" s="407"/>
      <c r="AXF221" s="407"/>
      <c r="AXG221" s="407"/>
      <c r="AXH221" s="407"/>
      <c r="AXI221" s="407"/>
      <c r="AXJ221" s="407"/>
      <c r="AXK221" s="407"/>
      <c r="AXL221" s="407"/>
      <c r="AXM221" s="407"/>
      <c r="AXN221" s="407"/>
      <c r="AXO221" s="407"/>
      <c r="AXP221" s="407"/>
      <c r="AXQ221" s="407"/>
      <c r="AXR221" s="407"/>
      <c r="AXS221" s="407"/>
      <c r="AXT221" s="407"/>
      <c r="AXU221" s="407"/>
      <c r="AXV221" s="407"/>
      <c r="AXW221" s="407"/>
      <c r="AXX221" s="407"/>
      <c r="AXY221" s="407"/>
      <c r="AXZ221" s="407"/>
      <c r="AYA221" s="407"/>
      <c r="AYB221" s="407"/>
      <c r="AYC221" s="407"/>
      <c r="AYD221" s="407"/>
      <c r="AYE221" s="407"/>
      <c r="AYF221" s="407"/>
      <c r="AYG221" s="407"/>
      <c r="AYH221" s="407"/>
      <c r="AYI221" s="407"/>
      <c r="AYJ221" s="407"/>
      <c r="AYK221" s="407"/>
      <c r="AYL221" s="407"/>
      <c r="AYM221" s="407"/>
      <c r="AYN221" s="407"/>
      <c r="AYO221" s="407"/>
      <c r="AYP221" s="407"/>
      <c r="AYQ221" s="407"/>
      <c r="AYR221" s="407"/>
      <c r="AYS221" s="407"/>
      <c r="AYT221" s="407"/>
      <c r="AYU221" s="407"/>
      <c r="AYV221" s="407"/>
      <c r="AYW221" s="407"/>
      <c r="AYX221" s="407"/>
      <c r="AYY221" s="407"/>
      <c r="AYZ221" s="407"/>
      <c r="AZA221" s="407"/>
      <c r="AZB221" s="407"/>
      <c r="AZC221" s="407"/>
      <c r="AZD221" s="407"/>
      <c r="AZE221" s="407"/>
      <c r="AZF221" s="407"/>
      <c r="AZG221" s="407"/>
      <c r="AZH221" s="407"/>
      <c r="AZI221" s="407"/>
      <c r="AZJ221" s="407"/>
      <c r="AZK221" s="407"/>
      <c r="AZL221" s="407"/>
      <c r="AZM221" s="407"/>
      <c r="AZN221" s="407"/>
      <c r="AZO221" s="407"/>
      <c r="AZP221" s="407"/>
      <c r="AZQ221" s="407"/>
      <c r="AZR221" s="407"/>
      <c r="AZS221" s="407"/>
      <c r="AZT221" s="407"/>
      <c r="AZU221" s="407"/>
      <c r="AZV221" s="407"/>
      <c r="AZW221" s="407"/>
      <c r="AZX221" s="407"/>
      <c r="AZY221" s="407"/>
      <c r="AZZ221" s="407"/>
      <c r="BAA221" s="407"/>
      <c r="BAB221" s="407"/>
      <c r="BAC221" s="407"/>
      <c r="BAD221" s="407"/>
      <c r="BAE221" s="407"/>
      <c r="BAF221" s="407"/>
      <c r="BAG221" s="407"/>
      <c r="BAH221" s="407"/>
      <c r="BAI221" s="407"/>
      <c r="BAJ221" s="407"/>
      <c r="BAK221" s="407"/>
      <c r="BAL221" s="407"/>
      <c r="BAM221" s="407"/>
      <c r="BAN221" s="407"/>
      <c r="BAO221" s="407"/>
      <c r="BAP221" s="407"/>
      <c r="BAQ221" s="407"/>
      <c r="BAR221" s="407"/>
      <c r="BAS221" s="407"/>
      <c r="BAT221" s="407"/>
      <c r="BAU221" s="407"/>
      <c r="BAV221" s="407"/>
      <c r="BAW221" s="407"/>
      <c r="BAX221" s="407"/>
      <c r="BAY221" s="407"/>
      <c r="BAZ221" s="407"/>
      <c r="BBA221" s="407"/>
      <c r="BBB221" s="407"/>
      <c r="BBC221" s="407"/>
      <c r="BBD221" s="407"/>
      <c r="BBE221" s="407"/>
      <c r="BBF221" s="407"/>
      <c r="BBG221" s="407"/>
      <c r="BBH221" s="407"/>
      <c r="BBI221" s="407"/>
      <c r="BBJ221" s="407"/>
      <c r="BBK221" s="407"/>
      <c r="BBL221" s="407"/>
      <c r="BBM221" s="407"/>
      <c r="BBN221" s="407"/>
      <c r="BBO221" s="407"/>
      <c r="BBP221" s="407"/>
      <c r="BBQ221" s="407"/>
      <c r="BBR221" s="407"/>
      <c r="BBS221" s="407"/>
      <c r="BBT221" s="407"/>
      <c r="BBU221" s="407"/>
      <c r="BBV221" s="407"/>
      <c r="BBW221" s="407"/>
      <c r="BBX221" s="407"/>
      <c r="BBY221" s="407"/>
      <c r="BBZ221" s="407"/>
      <c r="BCA221" s="407"/>
      <c r="BCB221" s="407"/>
      <c r="BCC221" s="407"/>
      <c r="BCD221" s="407"/>
      <c r="BCE221" s="407"/>
      <c r="BCF221" s="407"/>
      <c r="BCG221" s="407"/>
      <c r="BCH221" s="407"/>
      <c r="BCI221" s="407"/>
      <c r="BCJ221" s="407"/>
      <c r="BCK221" s="407"/>
      <c r="BCL221" s="407"/>
      <c r="BCM221" s="407"/>
      <c r="BCN221" s="407"/>
      <c r="BCO221" s="407"/>
      <c r="BCP221" s="407"/>
      <c r="BCQ221" s="407"/>
      <c r="BCR221" s="407"/>
      <c r="BCS221" s="407"/>
      <c r="BCT221" s="407"/>
      <c r="BCU221" s="407"/>
      <c r="BCV221" s="407"/>
      <c r="BCW221" s="407"/>
      <c r="BCX221" s="407"/>
      <c r="BCY221" s="407"/>
      <c r="BCZ221" s="407"/>
      <c r="BDA221" s="407"/>
      <c r="BDB221" s="407"/>
      <c r="BDC221" s="407"/>
      <c r="BDD221" s="407"/>
      <c r="BDE221" s="407"/>
      <c r="BDF221" s="407"/>
      <c r="BDG221" s="407"/>
      <c r="BDH221" s="407"/>
      <c r="BDI221" s="407"/>
      <c r="BDJ221" s="407"/>
      <c r="BDK221" s="407"/>
      <c r="BDL221" s="407"/>
      <c r="BDM221" s="407"/>
      <c r="BDN221" s="407"/>
      <c r="BDO221" s="407"/>
      <c r="BDP221" s="407"/>
      <c r="BDQ221" s="407"/>
      <c r="BDR221" s="407"/>
      <c r="BDS221" s="407"/>
      <c r="BDT221" s="407"/>
      <c r="BDU221" s="407"/>
      <c r="BDV221" s="407"/>
      <c r="BDW221" s="407"/>
      <c r="BDX221" s="407"/>
      <c r="BDY221" s="407"/>
      <c r="BDZ221" s="407"/>
      <c r="BEA221" s="407"/>
      <c r="BEB221" s="407"/>
      <c r="BEC221" s="407"/>
      <c r="BED221" s="407"/>
      <c r="BEE221" s="407"/>
      <c r="BEF221" s="407"/>
      <c r="BEG221" s="407"/>
      <c r="BEH221" s="407"/>
      <c r="BEI221" s="407"/>
      <c r="BEJ221" s="407"/>
      <c r="BEK221" s="407"/>
      <c r="BEL221" s="407"/>
      <c r="BEM221" s="407"/>
      <c r="BEN221" s="407"/>
      <c r="BEO221" s="407"/>
      <c r="BEP221" s="407"/>
      <c r="BEQ221" s="407"/>
      <c r="BER221" s="407"/>
      <c r="BES221" s="407"/>
      <c r="BET221" s="407"/>
      <c r="BEU221" s="407"/>
      <c r="BEV221" s="407"/>
      <c r="BEW221" s="407"/>
      <c r="BEX221" s="407"/>
      <c r="BEY221" s="407"/>
      <c r="BEZ221" s="407"/>
      <c r="BFA221" s="407"/>
      <c r="BFB221" s="407"/>
      <c r="BFC221" s="407"/>
      <c r="BFD221" s="407"/>
      <c r="BFE221" s="407"/>
      <c r="BFF221" s="407"/>
      <c r="BFG221" s="407"/>
      <c r="BFH221" s="407"/>
      <c r="BFI221" s="407"/>
      <c r="BFJ221" s="407"/>
      <c r="BFK221" s="407"/>
      <c r="BFL221" s="407"/>
      <c r="BFM221" s="407"/>
      <c r="BFN221" s="407"/>
      <c r="BFO221" s="407"/>
      <c r="BFP221" s="407"/>
      <c r="BFQ221" s="407"/>
      <c r="BFR221" s="407"/>
      <c r="BFS221" s="407"/>
      <c r="BFT221" s="407"/>
      <c r="BFU221" s="407"/>
      <c r="BFV221" s="407"/>
      <c r="BFW221" s="407"/>
      <c r="BFX221" s="407"/>
      <c r="BFY221" s="407"/>
      <c r="BFZ221" s="407"/>
      <c r="BGA221" s="407"/>
      <c r="BGB221" s="407"/>
      <c r="BGC221" s="407"/>
      <c r="BGD221" s="407"/>
      <c r="BGE221" s="407"/>
      <c r="BGF221" s="407"/>
      <c r="BGG221" s="407"/>
      <c r="BGH221" s="407"/>
      <c r="BGI221" s="407"/>
      <c r="BGJ221" s="407"/>
      <c r="BGK221" s="407"/>
      <c r="BGL221" s="407"/>
      <c r="BGM221" s="407"/>
      <c r="BGN221" s="407"/>
      <c r="BGO221" s="407"/>
      <c r="BGP221" s="407"/>
      <c r="BGQ221" s="407"/>
      <c r="BGR221" s="407"/>
      <c r="BGS221" s="407"/>
      <c r="BGT221" s="407"/>
      <c r="BGU221" s="407"/>
      <c r="BGV221" s="407"/>
      <c r="BGW221" s="407"/>
      <c r="BGX221" s="407"/>
      <c r="BGY221" s="407"/>
      <c r="BGZ221" s="407"/>
      <c r="BHA221" s="407"/>
      <c r="BHB221" s="407"/>
      <c r="BHC221" s="407"/>
      <c r="BHD221" s="407"/>
      <c r="BHE221" s="407"/>
      <c r="BHF221" s="407"/>
      <c r="BHG221" s="407"/>
      <c r="BHH221" s="407"/>
      <c r="BHI221" s="407"/>
      <c r="BHJ221" s="407"/>
      <c r="BHK221" s="407"/>
      <c r="BHL221" s="407"/>
      <c r="BHM221" s="407"/>
      <c r="BHN221" s="407"/>
      <c r="BHO221" s="407"/>
      <c r="BHP221" s="407"/>
      <c r="BHQ221" s="407"/>
      <c r="BHR221" s="407"/>
      <c r="BHS221" s="407"/>
      <c r="BHT221" s="407"/>
      <c r="BHU221" s="407"/>
      <c r="BHV221" s="407"/>
      <c r="BHW221" s="407"/>
      <c r="BHX221" s="407"/>
      <c r="BHY221" s="407"/>
      <c r="BHZ221" s="407"/>
      <c r="BIA221" s="407"/>
      <c r="BIB221" s="407"/>
      <c r="BIC221" s="407"/>
      <c r="BID221" s="407"/>
      <c r="BIE221" s="407"/>
      <c r="BIF221" s="407"/>
      <c r="BIG221" s="407"/>
      <c r="BIH221" s="407"/>
      <c r="BII221" s="407"/>
      <c r="BIJ221" s="407"/>
      <c r="BIK221" s="407"/>
      <c r="BIL221" s="407"/>
      <c r="BIM221" s="407"/>
      <c r="BIN221" s="407"/>
      <c r="BIO221" s="407"/>
      <c r="BIP221" s="407"/>
      <c r="BIQ221" s="407"/>
      <c r="BIR221" s="407"/>
      <c r="BIS221" s="407"/>
      <c r="BIT221" s="407"/>
      <c r="BIU221" s="407"/>
      <c r="BIV221" s="407"/>
      <c r="BIW221" s="407"/>
      <c r="BIX221" s="407"/>
      <c r="BIY221" s="407"/>
      <c r="BIZ221" s="407"/>
      <c r="BJA221" s="407"/>
      <c r="BJB221" s="407"/>
      <c r="BJC221" s="407"/>
      <c r="BJD221" s="407"/>
      <c r="BJE221" s="407"/>
      <c r="BJF221" s="407"/>
      <c r="BJG221" s="407"/>
      <c r="BJH221" s="407"/>
      <c r="BJI221" s="407"/>
      <c r="BJJ221" s="407"/>
      <c r="BJK221" s="407"/>
      <c r="BJL221" s="407"/>
      <c r="BJM221" s="407"/>
      <c r="BJN221" s="407"/>
      <c r="BJO221" s="407"/>
      <c r="BJP221" s="407"/>
      <c r="BJQ221" s="407"/>
      <c r="BJR221" s="407"/>
      <c r="BJS221" s="407"/>
      <c r="BJT221" s="407"/>
      <c r="BJU221" s="407"/>
      <c r="BJV221" s="407"/>
      <c r="BJW221" s="407"/>
      <c r="BJX221" s="407"/>
      <c r="BJY221" s="407"/>
      <c r="BJZ221" s="407"/>
      <c r="BKA221" s="407"/>
      <c r="BKB221" s="407"/>
      <c r="BKC221" s="407"/>
      <c r="BKD221" s="407"/>
      <c r="BKE221" s="407"/>
      <c r="BKF221" s="407"/>
      <c r="BKG221" s="407"/>
      <c r="BKH221" s="407"/>
      <c r="BKI221" s="407"/>
      <c r="BKJ221" s="407"/>
      <c r="BKK221" s="407"/>
      <c r="BKL221" s="407"/>
      <c r="BKM221" s="407"/>
      <c r="BKN221" s="407"/>
      <c r="BKO221" s="407"/>
      <c r="BKP221" s="407"/>
      <c r="BKQ221" s="407"/>
      <c r="BKR221" s="407"/>
      <c r="BKS221" s="407"/>
      <c r="BKT221" s="407"/>
      <c r="BKU221" s="407"/>
      <c r="BKV221" s="407"/>
      <c r="BKW221" s="407"/>
      <c r="BKX221" s="407"/>
      <c r="BKY221" s="407"/>
      <c r="BKZ221" s="407"/>
      <c r="BLA221" s="407"/>
      <c r="BLB221" s="407"/>
      <c r="BLC221" s="407"/>
      <c r="BLD221" s="407"/>
      <c r="BLE221" s="407"/>
      <c r="BLF221" s="407"/>
      <c r="BLG221" s="407"/>
      <c r="BLH221" s="407"/>
      <c r="BLI221" s="407"/>
      <c r="BLJ221" s="407"/>
      <c r="BLK221" s="407"/>
      <c r="BLL221" s="407"/>
      <c r="BLM221" s="407"/>
      <c r="BLN221" s="407"/>
      <c r="BLO221" s="407"/>
      <c r="BLP221" s="407"/>
      <c r="BLQ221" s="407"/>
      <c r="BLR221" s="407"/>
      <c r="BLS221" s="407"/>
      <c r="BLT221" s="407"/>
      <c r="BLU221" s="407"/>
      <c r="BLV221" s="407"/>
      <c r="BLW221" s="407"/>
      <c r="BLX221" s="407"/>
      <c r="BLY221" s="407"/>
      <c r="BLZ221" s="407"/>
      <c r="BMA221" s="407"/>
      <c r="BMB221" s="407"/>
      <c r="BMC221" s="407"/>
      <c r="BMD221" s="407"/>
      <c r="BME221" s="407"/>
      <c r="BMF221" s="407"/>
      <c r="BMG221" s="407"/>
      <c r="BMH221" s="407"/>
      <c r="BMI221" s="407"/>
      <c r="BMJ221" s="407"/>
      <c r="BMK221" s="407"/>
      <c r="BML221" s="407"/>
      <c r="BMM221" s="407"/>
      <c r="BMN221" s="407"/>
      <c r="BMO221" s="407"/>
      <c r="BMP221" s="407"/>
      <c r="BMQ221" s="407"/>
      <c r="BMR221" s="407"/>
      <c r="BMS221" s="407"/>
      <c r="BMT221" s="407"/>
      <c r="BMU221" s="407"/>
      <c r="BMV221" s="407"/>
      <c r="BMW221" s="407"/>
      <c r="BMX221" s="407"/>
      <c r="BMY221" s="407"/>
      <c r="BMZ221" s="407"/>
      <c r="BNA221" s="407"/>
      <c r="BNB221" s="407"/>
      <c r="BNC221" s="407"/>
      <c r="BND221" s="407"/>
      <c r="BNE221" s="407"/>
      <c r="BNF221" s="407"/>
      <c r="BNG221" s="407"/>
      <c r="BNH221" s="407"/>
      <c r="BNI221" s="407"/>
      <c r="BNJ221" s="407"/>
      <c r="BNK221" s="407"/>
      <c r="BNL221" s="407"/>
      <c r="BNM221" s="407"/>
      <c r="BNN221" s="407"/>
      <c r="BNO221" s="407"/>
      <c r="BNP221" s="407"/>
      <c r="BNQ221" s="407"/>
      <c r="BNR221" s="407"/>
      <c r="BNS221" s="407"/>
      <c r="BNT221" s="407"/>
      <c r="BNU221" s="407"/>
      <c r="BNV221" s="407"/>
      <c r="BNW221" s="407"/>
      <c r="BNX221" s="407"/>
      <c r="BNY221" s="407"/>
      <c r="BNZ221" s="407"/>
      <c r="BOA221" s="407"/>
      <c r="BOB221" s="407"/>
      <c r="BOC221" s="407"/>
      <c r="BOD221" s="407"/>
      <c r="BOE221" s="407"/>
      <c r="BOF221" s="407"/>
      <c r="BOG221" s="407"/>
      <c r="BOH221" s="407"/>
      <c r="BOI221" s="407"/>
      <c r="BOJ221" s="407"/>
      <c r="BOK221" s="407"/>
      <c r="BOL221" s="407"/>
      <c r="BOM221" s="407"/>
      <c r="BON221" s="407"/>
      <c r="BOO221" s="407"/>
      <c r="BOP221" s="407"/>
      <c r="BOQ221" s="407"/>
      <c r="BOR221" s="407"/>
      <c r="BOS221" s="407"/>
      <c r="BOT221" s="407"/>
      <c r="BOU221" s="407"/>
      <c r="BOV221" s="407"/>
      <c r="BOW221" s="407"/>
      <c r="BOX221" s="407"/>
      <c r="BOY221" s="407"/>
      <c r="BOZ221" s="407"/>
      <c r="BPA221" s="407"/>
      <c r="BPB221" s="407"/>
      <c r="BPC221" s="407"/>
      <c r="BPD221" s="407"/>
      <c r="BPE221" s="407"/>
      <c r="BPF221" s="407"/>
      <c r="BPG221" s="407"/>
      <c r="BPH221" s="407"/>
      <c r="BPI221" s="407"/>
      <c r="BPJ221" s="407"/>
      <c r="BPK221" s="407"/>
      <c r="BPL221" s="407"/>
      <c r="BPM221" s="407"/>
      <c r="BPN221" s="407"/>
      <c r="BPO221" s="407"/>
      <c r="BPP221" s="407"/>
      <c r="BPQ221" s="407"/>
      <c r="BPR221" s="407"/>
      <c r="BPS221" s="407"/>
      <c r="BPT221" s="407"/>
      <c r="BPU221" s="407"/>
      <c r="BPV221" s="407"/>
      <c r="BPW221" s="407"/>
      <c r="BPX221" s="407"/>
      <c r="BPY221" s="407"/>
      <c r="BPZ221" s="407"/>
      <c r="BQA221" s="407"/>
      <c r="BQB221" s="407"/>
      <c r="BQC221" s="407"/>
      <c r="BQD221" s="407"/>
      <c r="BQE221" s="407"/>
      <c r="BQF221" s="407"/>
      <c r="BQG221" s="407"/>
      <c r="BQH221" s="407"/>
      <c r="BQI221" s="407"/>
      <c r="BQJ221" s="407"/>
      <c r="BQK221" s="407"/>
      <c r="BQL221" s="407"/>
      <c r="BQM221" s="407"/>
      <c r="BQN221" s="407"/>
      <c r="BQO221" s="407"/>
      <c r="BQP221" s="407"/>
      <c r="BQQ221" s="407"/>
      <c r="BQR221" s="407"/>
      <c r="BQS221" s="407"/>
      <c r="BQT221" s="407"/>
      <c r="BQU221" s="407"/>
      <c r="BQV221" s="407"/>
      <c r="BQW221" s="407"/>
      <c r="BQX221" s="407"/>
      <c r="BQY221" s="407"/>
      <c r="BQZ221" s="407"/>
      <c r="BRA221" s="407"/>
      <c r="BRB221" s="407"/>
      <c r="BRC221" s="407"/>
      <c r="BRD221" s="407"/>
      <c r="BRE221" s="407"/>
      <c r="BRF221" s="407"/>
      <c r="BRG221" s="407"/>
      <c r="BRH221" s="407"/>
      <c r="BRI221" s="407"/>
      <c r="BRJ221" s="407"/>
      <c r="BRK221" s="407"/>
      <c r="BRL221" s="407"/>
      <c r="BRM221" s="407"/>
      <c r="BRN221" s="407"/>
      <c r="BRO221" s="407"/>
      <c r="BRP221" s="407"/>
      <c r="BRQ221" s="407"/>
      <c r="BRR221" s="407"/>
      <c r="BRS221" s="407"/>
      <c r="BRT221" s="407"/>
      <c r="BRU221" s="407"/>
      <c r="BRV221" s="407"/>
      <c r="BRW221" s="407"/>
      <c r="BRX221" s="407"/>
      <c r="BRY221" s="407"/>
      <c r="BRZ221" s="407"/>
      <c r="BSA221" s="407"/>
      <c r="BSB221" s="407"/>
      <c r="BSC221" s="407"/>
      <c r="BSD221" s="407"/>
      <c r="BSE221" s="407"/>
      <c r="BSF221" s="407"/>
      <c r="BSG221" s="407"/>
      <c r="BSH221" s="407"/>
      <c r="BSI221" s="407"/>
      <c r="BSJ221" s="407"/>
      <c r="BSK221" s="407"/>
      <c r="BSL221" s="407"/>
      <c r="BSM221" s="407"/>
      <c r="BSN221" s="407"/>
      <c r="BSO221" s="407"/>
      <c r="BSP221" s="407"/>
      <c r="BSQ221" s="407"/>
      <c r="BSR221" s="407"/>
      <c r="BSS221" s="407"/>
      <c r="BST221" s="407"/>
      <c r="BSU221" s="407"/>
      <c r="BSV221" s="407"/>
      <c r="BSW221" s="407"/>
      <c r="BSX221" s="407"/>
      <c r="BSY221" s="407"/>
      <c r="BSZ221" s="407"/>
      <c r="BTA221" s="407"/>
      <c r="BTB221" s="407"/>
      <c r="BTC221" s="407"/>
      <c r="BTD221" s="407"/>
      <c r="BTE221" s="407"/>
      <c r="BTF221" s="407"/>
      <c r="BTG221" s="407"/>
      <c r="BTH221" s="407"/>
      <c r="BTI221" s="407"/>
      <c r="BTJ221" s="407"/>
      <c r="BTK221" s="407"/>
      <c r="BTL221" s="407"/>
      <c r="BTM221" s="407"/>
      <c r="BTN221" s="407"/>
      <c r="BTO221" s="407"/>
      <c r="BTP221" s="407"/>
      <c r="BTQ221" s="407"/>
      <c r="BTR221" s="407"/>
      <c r="BTS221" s="407"/>
      <c r="BTT221" s="407"/>
      <c r="BTU221" s="407"/>
      <c r="BTV221" s="407"/>
      <c r="BTW221" s="407"/>
      <c r="BTX221" s="407"/>
      <c r="BTY221" s="407"/>
      <c r="BTZ221" s="407"/>
      <c r="BUA221" s="407"/>
      <c r="BUB221" s="407"/>
      <c r="BUC221" s="407"/>
      <c r="BUD221" s="407"/>
      <c r="BUE221" s="407"/>
      <c r="BUF221" s="407"/>
      <c r="BUG221" s="407"/>
      <c r="BUH221" s="407"/>
      <c r="BUI221" s="407"/>
      <c r="BUJ221" s="407"/>
      <c r="BUK221" s="407"/>
      <c r="BUL221" s="407"/>
      <c r="BUM221" s="407"/>
      <c r="BUN221" s="407"/>
      <c r="BUO221" s="407"/>
      <c r="BUP221" s="407"/>
      <c r="BUQ221" s="407"/>
      <c r="BUR221" s="407"/>
      <c r="BUS221" s="407"/>
      <c r="BUT221" s="407"/>
      <c r="BUU221" s="407"/>
      <c r="BUV221" s="407"/>
      <c r="BUW221" s="407"/>
      <c r="BUX221" s="407"/>
      <c r="BUY221" s="407"/>
      <c r="BUZ221" s="407"/>
      <c r="BVA221" s="407"/>
      <c r="BVB221" s="407"/>
      <c r="BVC221" s="407"/>
      <c r="BVD221" s="407"/>
      <c r="BVE221" s="407"/>
      <c r="BVF221" s="407"/>
      <c r="BVG221" s="407"/>
      <c r="BVH221" s="407"/>
      <c r="BVI221" s="407"/>
      <c r="BVJ221" s="407"/>
      <c r="BVK221" s="407"/>
      <c r="BVL221" s="407"/>
      <c r="BVM221" s="407"/>
      <c r="BVN221" s="407"/>
      <c r="BVO221" s="407"/>
      <c r="BVP221" s="407"/>
      <c r="BVQ221" s="407"/>
      <c r="BVR221" s="407"/>
      <c r="BVS221" s="407"/>
      <c r="BVT221" s="407"/>
      <c r="BVU221" s="407"/>
      <c r="BVV221" s="407"/>
      <c r="BVW221" s="407"/>
      <c r="BVX221" s="407"/>
      <c r="BVY221" s="407"/>
      <c r="BVZ221" s="407"/>
      <c r="BWA221" s="407"/>
      <c r="BWB221" s="407"/>
      <c r="BWC221" s="407"/>
      <c r="BWD221" s="407"/>
      <c r="BWE221" s="407"/>
      <c r="BWF221" s="407"/>
      <c r="BWG221" s="407"/>
      <c r="BWH221" s="407"/>
      <c r="BWI221" s="407"/>
      <c r="BWJ221" s="407"/>
      <c r="BWK221" s="407"/>
      <c r="BWL221" s="407"/>
      <c r="BWM221" s="407"/>
      <c r="BWN221" s="407"/>
      <c r="BWO221" s="407"/>
      <c r="BWP221" s="407"/>
      <c r="BWQ221" s="407"/>
      <c r="BWR221" s="407"/>
      <c r="BWS221" s="407"/>
      <c r="BWT221" s="407"/>
      <c r="BWU221" s="407"/>
      <c r="BWV221" s="407"/>
      <c r="BWW221" s="407"/>
      <c r="BWX221" s="407"/>
      <c r="BWY221" s="407"/>
      <c r="BWZ221" s="407"/>
      <c r="BXA221" s="407"/>
      <c r="BXB221" s="407"/>
      <c r="BXC221" s="407"/>
      <c r="BXD221" s="407"/>
      <c r="BXE221" s="407"/>
      <c r="BXF221" s="407"/>
      <c r="BXG221" s="407"/>
      <c r="BXH221" s="407"/>
      <c r="BXI221" s="407"/>
      <c r="BXJ221" s="407"/>
      <c r="BXK221" s="407"/>
      <c r="BXL221" s="407"/>
      <c r="BXM221" s="407"/>
      <c r="BXN221" s="407"/>
      <c r="BXO221" s="407"/>
      <c r="BXP221" s="407"/>
      <c r="BXQ221" s="407"/>
      <c r="BXR221" s="407"/>
      <c r="BXS221" s="407"/>
      <c r="BXT221" s="407"/>
      <c r="BXU221" s="407"/>
      <c r="BXV221" s="407"/>
      <c r="BXW221" s="407"/>
      <c r="BXX221" s="407"/>
      <c r="BXY221" s="407"/>
      <c r="BXZ221" s="407"/>
      <c r="BYA221" s="407"/>
      <c r="BYB221" s="407"/>
      <c r="BYC221" s="407"/>
      <c r="BYD221" s="407"/>
      <c r="BYE221" s="407"/>
      <c r="BYF221" s="407"/>
      <c r="BYG221" s="407"/>
      <c r="BYH221" s="407"/>
      <c r="BYI221" s="407"/>
      <c r="BYJ221" s="407"/>
      <c r="BYK221" s="407"/>
      <c r="BYL221" s="407"/>
      <c r="BYM221" s="407"/>
      <c r="BYN221" s="407"/>
      <c r="BYO221" s="407"/>
      <c r="BYP221" s="407"/>
      <c r="BYQ221" s="407"/>
      <c r="BYR221" s="407"/>
      <c r="BYS221" s="407"/>
      <c r="BYT221" s="407"/>
      <c r="BYU221" s="407"/>
      <c r="BYV221" s="407"/>
      <c r="BYW221" s="407"/>
      <c r="BYX221" s="407"/>
      <c r="BYY221" s="407"/>
      <c r="BYZ221" s="407"/>
      <c r="BZA221" s="407"/>
      <c r="BZB221" s="407"/>
      <c r="BZC221" s="407"/>
      <c r="BZD221" s="407"/>
      <c r="BZE221" s="407"/>
      <c r="BZF221" s="407"/>
      <c r="BZG221" s="407"/>
      <c r="BZH221" s="407"/>
      <c r="BZI221" s="407"/>
      <c r="BZJ221" s="407"/>
      <c r="BZK221" s="407"/>
      <c r="BZL221" s="407"/>
      <c r="BZM221" s="407"/>
      <c r="BZN221" s="407"/>
      <c r="BZO221" s="407"/>
      <c r="BZP221" s="407"/>
      <c r="BZQ221" s="407"/>
      <c r="BZR221" s="407"/>
      <c r="BZS221" s="407"/>
      <c r="BZT221" s="407"/>
      <c r="BZU221" s="407"/>
      <c r="BZV221" s="407"/>
      <c r="BZW221" s="407"/>
      <c r="BZX221" s="407"/>
      <c r="BZY221" s="407"/>
      <c r="BZZ221" s="407"/>
      <c r="CAA221" s="407"/>
      <c r="CAB221" s="407"/>
      <c r="CAC221" s="407"/>
      <c r="CAD221" s="407"/>
      <c r="CAE221" s="407"/>
      <c r="CAF221" s="407"/>
      <c r="CAG221" s="407"/>
      <c r="CAH221" s="407"/>
      <c r="CAI221" s="407"/>
      <c r="CAJ221" s="407"/>
      <c r="CAK221" s="407"/>
      <c r="CAL221" s="407"/>
      <c r="CAM221" s="407"/>
      <c r="CAN221" s="407"/>
      <c r="CAO221" s="407"/>
      <c r="CAP221" s="407"/>
      <c r="CAQ221" s="407"/>
      <c r="CAR221" s="407"/>
      <c r="CAS221" s="407"/>
      <c r="CAT221" s="407"/>
      <c r="CAU221" s="407"/>
      <c r="CAV221" s="407"/>
      <c r="CAW221" s="407"/>
      <c r="CAX221" s="407"/>
      <c r="CAY221" s="407"/>
      <c r="CAZ221" s="407"/>
      <c r="CBA221" s="407"/>
      <c r="CBB221" s="407"/>
      <c r="CBC221" s="407"/>
      <c r="CBD221" s="407"/>
      <c r="CBE221" s="407"/>
      <c r="CBF221" s="407"/>
      <c r="CBG221" s="407"/>
      <c r="CBH221" s="407"/>
      <c r="CBI221" s="407"/>
      <c r="CBJ221" s="407"/>
      <c r="CBK221" s="407"/>
      <c r="CBL221" s="407"/>
      <c r="CBM221" s="407"/>
      <c r="CBN221" s="407"/>
      <c r="CBO221" s="407"/>
      <c r="CBP221" s="407"/>
      <c r="CBQ221" s="407"/>
      <c r="CBR221" s="407"/>
      <c r="CBS221" s="407"/>
      <c r="CBT221" s="407"/>
      <c r="CBU221" s="407"/>
      <c r="CBV221" s="407"/>
      <c r="CBW221" s="407"/>
      <c r="CBX221" s="407"/>
      <c r="CBY221" s="407"/>
      <c r="CBZ221" s="407"/>
      <c r="CCA221" s="407"/>
      <c r="CCB221" s="407"/>
      <c r="CCC221" s="407"/>
      <c r="CCD221" s="407"/>
      <c r="CCE221" s="407"/>
      <c r="CCF221" s="407"/>
      <c r="CCG221" s="407"/>
      <c r="CCH221" s="407"/>
      <c r="CCI221" s="407"/>
      <c r="CCJ221" s="407"/>
      <c r="CCK221" s="407"/>
      <c r="CCL221" s="407"/>
      <c r="CCM221" s="407"/>
      <c r="CCN221" s="407"/>
      <c r="CCO221" s="407"/>
      <c r="CCP221" s="407"/>
      <c r="CCQ221" s="407"/>
      <c r="CCR221" s="407"/>
      <c r="CCS221" s="407"/>
      <c r="CCT221" s="407"/>
      <c r="CCU221" s="407"/>
      <c r="CCV221" s="407"/>
      <c r="CCW221" s="407"/>
      <c r="CCX221" s="407"/>
      <c r="CCY221" s="407"/>
      <c r="CCZ221" s="407"/>
      <c r="CDA221" s="407"/>
      <c r="CDB221" s="407"/>
      <c r="CDC221" s="407"/>
      <c r="CDD221" s="407"/>
      <c r="CDE221" s="407"/>
      <c r="CDF221" s="407"/>
      <c r="CDG221" s="407"/>
      <c r="CDH221" s="407"/>
      <c r="CDI221" s="407"/>
      <c r="CDJ221" s="407"/>
      <c r="CDK221" s="407"/>
      <c r="CDL221" s="407"/>
      <c r="CDM221" s="407"/>
      <c r="CDN221" s="407"/>
      <c r="CDO221" s="407"/>
      <c r="CDP221" s="407"/>
      <c r="CDQ221" s="407"/>
      <c r="CDR221" s="407"/>
      <c r="CDS221" s="407"/>
      <c r="CDT221" s="407"/>
      <c r="CDU221" s="407"/>
      <c r="CDV221" s="407"/>
      <c r="CDW221" s="407"/>
      <c r="CDX221" s="407"/>
      <c r="CDY221" s="407"/>
      <c r="CDZ221" s="407"/>
      <c r="CEA221" s="407"/>
      <c r="CEB221" s="407"/>
      <c r="CEC221" s="407"/>
      <c r="CED221" s="407"/>
      <c r="CEE221" s="407"/>
      <c r="CEF221" s="407"/>
      <c r="CEG221" s="407"/>
      <c r="CEH221" s="407"/>
      <c r="CEI221" s="407"/>
      <c r="CEJ221" s="407"/>
      <c r="CEK221" s="407"/>
      <c r="CEL221" s="407"/>
      <c r="CEM221" s="407"/>
      <c r="CEN221" s="407"/>
      <c r="CEO221" s="407"/>
      <c r="CEP221" s="407"/>
      <c r="CEQ221" s="407"/>
      <c r="CER221" s="407"/>
      <c r="CES221" s="407"/>
      <c r="CET221" s="407"/>
      <c r="CEU221" s="407"/>
      <c r="CEV221" s="407"/>
      <c r="CEW221" s="407"/>
      <c r="CEX221" s="407"/>
      <c r="CEY221" s="407"/>
      <c r="CEZ221" s="407"/>
      <c r="CFA221" s="407"/>
      <c r="CFB221" s="407"/>
      <c r="CFC221" s="407"/>
      <c r="CFD221" s="407"/>
      <c r="CFE221" s="407"/>
      <c r="CFF221" s="407"/>
      <c r="CFG221" s="407"/>
      <c r="CFH221" s="407"/>
      <c r="CFI221" s="407"/>
      <c r="CFJ221" s="407"/>
      <c r="CFK221" s="407"/>
      <c r="CFL221" s="407"/>
      <c r="CFM221" s="407"/>
      <c r="CFN221" s="407"/>
      <c r="CFO221" s="407"/>
      <c r="CFP221" s="407"/>
      <c r="CFQ221" s="407"/>
      <c r="CFR221" s="407"/>
      <c r="CFS221" s="407"/>
      <c r="CFT221" s="407"/>
      <c r="CFU221" s="407"/>
      <c r="CFV221" s="407"/>
      <c r="CFW221" s="407"/>
      <c r="CFX221" s="407"/>
      <c r="CFY221" s="407"/>
      <c r="CFZ221" s="407"/>
      <c r="CGA221" s="407"/>
      <c r="CGB221" s="407"/>
      <c r="CGC221" s="407"/>
      <c r="CGD221" s="407"/>
      <c r="CGE221" s="407"/>
      <c r="CGF221" s="407"/>
      <c r="CGG221" s="407"/>
      <c r="CGH221" s="407"/>
      <c r="CGI221" s="407"/>
      <c r="CGJ221" s="407"/>
      <c r="CGK221" s="407"/>
      <c r="CGL221" s="407"/>
      <c r="CGM221" s="407"/>
      <c r="CGN221" s="407"/>
      <c r="CGO221" s="407"/>
      <c r="CGP221" s="407"/>
      <c r="CGQ221" s="407"/>
      <c r="CGR221" s="407"/>
      <c r="CGS221" s="407"/>
      <c r="CGT221" s="407"/>
      <c r="CGU221" s="407"/>
      <c r="CGV221" s="407"/>
      <c r="CGW221" s="407"/>
      <c r="CGX221" s="407"/>
      <c r="CGY221" s="407"/>
      <c r="CGZ221" s="407"/>
      <c r="CHA221" s="407"/>
      <c r="CHB221" s="407"/>
      <c r="CHC221" s="407"/>
      <c r="CHD221" s="407"/>
      <c r="CHE221" s="407"/>
      <c r="CHF221" s="407"/>
      <c r="CHG221" s="407"/>
      <c r="CHH221" s="407"/>
      <c r="CHI221" s="407"/>
      <c r="CHJ221" s="407"/>
      <c r="CHK221" s="407"/>
      <c r="CHL221" s="407"/>
      <c r="CHM221" s="407"/>
      <c r="CHN221" s="407"/>
      <c r="CHO221" s="407"/>
      <c r="CHP221" s="407"/>
      <c r="CHQ221" s="407"/>
      <c r="CHR221" s="407"/>
      <c r="CHS221" s="407"/>
      <c r="CHT221" s="407"/>
      <c r="CHU221" s="407"/>
      <c r="CHV221" s="407"/>
      <c r="CHW221" s="407"/>
      <c r="CHX221" s="407"/>
      <c r="CHY221" s="407"/>
      <c r="CHZ221" s="407"/>
      <c r="CIA221" s="407"/>
      <c r="CIB221" s="407"/>
      <c r="CIC221" s="407"/>
      <c r="CID221" s="407"/>
      <c r="CIE221" s="407"/>
      <c r="CIF221" s="407"/>
      <c r="CIG221" s="407"/>
      <c r="CIH221" s="407"/>
      <c r="CII221" s="407"/>
      <c r="CIJ221" s="407"/>
      <c r="CIK221" s="407"/>
      <c r="CIL221" s="407"/>
      <c r="CIM221" s="407"/>
      <c r="CIN221" s="407"/>
      <c r="CIO221" s="407"/>
      <c r="CIP221" s="407"/>
      <c r="CIQ221" s="407"/>
      <c r="CIR221" s="407"/>
      <c r="CIS221" s="407"/>
      <c r="CIT221" s="407"/>
      <c r="CIU221" s="407"/>
      <c r="CIV221" s="407"/>
      <c r="CIW221" s="407"/>
      <c r="CIX221" s="407"/>
      <c r="CIY221" s="407"/>
      <c r="CIZ221" s="407"/>
      <c r="CJA221" s="407"/>
      <c r="CJB221" s="407"/>
      <c r="CJC221" s="407"/>
      <c r="CJD221" s="407"/>
      <c r="CJE221" s="407"/>
      <c r="CJF221" s="407"/>
      <c r="CJG221" s="407"/>
      <c r="CJH221" s="407"/>
      <c r="CJI221" s="407"/>
      <c r="CJJ221" s="407"/>
      <c r="CJK221" s="407"/>
      <c r="CJL221" s="407"/>
      <c r="CJM221" s="407"/>
      <c r="CJN221" s="407"/>
      <c r="CJO221" s="407"/>
      <c r="CJP221" s="407"/>
      <c r="CJQ221" s="407"/>
      <c r="CJR221" s="407"/>
      <c r="CJS221" s="407"/>
      <c r="CJT221" s="407"/>
      <c r="CJU221" s="407"/>
      <c r="CJV221" s="407"/>
      <c r="CJW221" s="407"/>
      <c r="CJX221" s="407"/>
      <c r="CJY221" s="407"/>
      <c r="CJZ221" s="407"/>
      <c r="CKA221" s="407"/>
      <c r="CKB221" s="407"/>
      <c r="CKC221" s="407"/>
      <c r="CKD221" s="407"/>
      <c r="CKE221" s="407"/>
      <c r="CKF221" s="407"/>
      <c r="CKG221" s="407"/>
      <c r="CKH221" s="407"/>
      <c r="CKI221" s="407"/>
      <c r="CKJ221" s="407"/>
      <c r="CKK221" s="407"/>
      <c r="CKL221" s="407"/>
      <c r="CKM221" s="407"/>
      <c r="CKN221" s="407"/>
      <c r="CKO221" s="407"/>
      <c r="CKP221" s="407"/>
      <c r="CKQ221" s="407"/>
      <c r="CKR221" s="407"/>
      <c r="CKS221" s="407"/>
      <c r="CKT221" s="407"/>
      <c r="CKU221" s="407"/>
      <c r="CKV221" s="407"/>
      <c r="CKW221" s="407"/>
      <c r="CKX221" s="407"/>
      <c r="CKY221" s="407"/>
      <c r="CKZ221" s="407"/>
      <c r="CLA221" s="407"/>
      <c r="CLB221" s="407"/>
      <c r="CLC221" s="407"/>
      <c r="CLD221" s="407"/>
      <c r="CLE221" s="407"/>
      <c r="CLF221" s="407"/>
      <c r="CLG221" s="407"/>
      <c r="CLH221" s="407"/>
      <c r="CLI221" s="407"/>
      <c r="CLJ221" s="407"/>
      <c r="CLK221" s="407"/>
      <c r="CLL221" s="407"/>
      <c r="CLM221" s="407"/>
      <c r="CLN221" s="407"/>
      <c r="CLO221" s="407"/>
      <c r="CLP221" s="407"/>
      <c r="CLQ221" s="407"/>
      <c r="CLR221" s="407"/>
      <c r="CLS221" s="407"/>
      <c r="CLT221" s="407"/>
      <c r="CLU221" s="407"/>
      <c r="CLV221" s="407"/>
      <c r="CLW221" s="407"/>
      <c r="CLX221" s="407"/>
      <c r="CLY221" s="407"/>
      <c r="CLZ221" s="407"/>
      <c r="CMA221" s="407"/>
      <c r="CMB221" s="407"/>
      <c r="CMC221" s="407"/>
      <c r="CMD221" s="407"/>
      <c r="CME221" s="407"/>
      <c r="CMF221" s="407"/>
      <c r="CMG221" s="407"/>
      <c r="CMH221" s="407"/>
      <c r="CMI221" s="407"/>
      <c r="CMJ221" s="407"/>
      <c r="CMK221" s="407"/>
      <c r="CML221" s="407"/>
      <c r="CMM221" s="407"/>
      <c r="CMN221" s="407"/>
      <c r="CMO221" s="407"/>
      <c r="CMP221" s="407"/>
      <c r="CMQ221" s="407"/>
      <c r="CMR221" s="407"/>
      <c r="CMS221" s="407"/>
      <c r="CMT221" s="407"/>
      <c r="CMU221" s="407"/>
      <c r="CMV221" s="407"/>
      <c r="CMW221" s="407"/>
      <c r="CMX221" s="407"/>
      <c r="CMY221" s="407"/>
      <c r="CMZ221" s="407"/>
      <c r="CNA221" s="407"/>
      <c r="CNB221" s="407"/>
      <c r="CNC221" s="407"/>
      <c r="CND221" s="407"/>
      <c r="CNE221" s="407"/>
      <c r="CNF221" s="407"/>
      <c r="CNG221" s="407"/>
      <c r="CNH221" s="407"/>
      <c r="CNI221" s="407"/>
      <c r="CNJ221" s="407"/>
      <c r="CNK221" s="407"/>
      <c r="CNL221" s="407"/>
      <c r="CNM221" s="407"/>
      <c r="CNN221" s="407"/>
      <c r="CNO221" s="407"/>
      <c r="CNP221" s="407"/>
      <c r="CNQ221" s="407"/>
      <c r="CNR221" s="407"/>
      <c r="CNS221" s="407"/>
      <c r="CNT221" s="407"/>
      <c r="CNU221" s="407"/>
      <c r="CNV221" s="407"/>
      <c r="CNW221" s="407"/>
      <c r="CNX221" s="407"/>
      <c r="CNY221" s="407"/>
      <c r="CNZ221" s="407"/>
      <c r="COA221" s="407"/>
      <c r="COB221" s="407"/>
      <c r="COC221" s="407"/>
      <c r="COD221" s="407"/>
      <c r="COE221" s="407"/>
      <c r="COF221" s="407"/>
      <c r="COG221" s="407"/>
      <c r="COH221" s="407"/>
      <c r="COI221" s="407"/>
      <c r="COJ221" s="407"/>
      <c r="COK221" s="407"/>
      <c r="COL221" s="407"/>
      <c r="COM221" s="407"/>
      <c r="CON221" s="407"/>
      <c r="COO221" s="407"/>
      <c r="COP221" s="407"/>
      <c r="COQ221" s="407"/>
      <c r="COR221" s="407"/>
      <c r="COS221" s="407"/>
      <c r="COT221" s="407"/>
      <c r="COU221" s="407"/>
      <c r="COV221" s="407"/>
      <c r="COW221" s="407"/>
      <c r="COX221" s="407"/>
      <c r="COY221" s="407"/>
      <c r="COZ221" s="407"/>
      <c r="CPA221" s="407"/>
      <c r="CPB221" s="407"/>
      <c r="CPC221" s="407"/>
      <c r="CPD221" s="407"/>
      <c r="CPE221" s="407"/>
      <c r="CPF221" s="407"/>
      <c r="CPG221" s="407"/>
      <c r="CPH221" s="407"/>
      <c r="CPI221" s="407"/>
      <c r="CPJ221" s="407"/>
      <c r="CPK221" s="407"/>
      <c r="CPL221" s="407"/>
      <c r="CPM221" s="407"/>
      <c r="CPN221" s="407"/>
      <c r="CPO221" s="407"/>
      <c r="CPP221" s="407"/>
      <c r="CPQ221" s="407"/>
      <c r="CPR221" s="407"/>
      <c r="CPS221" s="407"/>
      <c r="CPT221" s="407"/>
      <c r="CPU221" s="407"/>
      <c r="CPV221" s="407"/>
      <c r="CPW221" s="407"/>
      <c r="CPX221" s="407"/>
      <c r="CPY221" s="407"/>
      <c r="CPZ221" s="407"/>
      <c r="CQA221" s="407"/>
      <c r="CQB221" s="407"/>
      <c r="CQC221" s="407"/>
      <c r="CQD221" s="407"/>
      <c r="CQE221" s="407"/>
      <c r="CQF221" s="407"/>
      <c r="CQG221" s="407"/>
      <c r="CQH221" s="407"/>
      <c r="CQI221" s="407"/>
      <c r="CQJ221" s="407"/>
      <c r="CQK221" s="407"/>
      <c r="CQL221" s="407"/>
      <c r="CQM221" s="407"/>
      <c r="CQN221" s="407"/>
      <c r="CQO221" s="407"/>
      <c r="CQP221" s="407"/>
      <c r="CQQ221" s="407"/>
      <c r="CQR221" s="407"/>
      <c r="CQS221" s="407"/>
      <c r="CQT221" s="407"/>
      <c r="CQU221" s="407"/>
      <c r="CQV221" s="407"/>
      <c r="CQW221" s="407"/>
      <c r="CQX221" s="407"/>
      <c r="CQY221" s="407"/>
      <c r="CQZ221" s="407"/>
      <c r="CRA221" s="407"/>
      <c r="CRB221" s="407"/>
      <c r="CRC221" s="407"/>
      <c r="CRD221" s="407"/>
      <c r="CRE221" s="407"/>
      <c r="CRF221" s="407"/>
      <c r="CRG221" s="407"/>
      <c r="CRH221" s="407"/>
      <c r="CRI221" s="407"/>
      <c r="CRJ221" s="407"/>
      <c r="CRK221" s="407"/>
      <c r="CRL221" s="407"/>
      <c r="CRM221" s="407"/>
      <c r="CRN221" s="407"/>
      <c r="CRO221" s="407"/>
      <c r="CRP221" s="407"/>
      <c r="CRQ221" s="407"/>
      <c r="CRR221" s="407"/>
      <c r="CRS221" s="407"/>
      <c r="CRT221" s="407"/>
      <c r="CRU221" s="407"/>
      <c r="CRV221" s="407"/>
      <c r="CRW221" s="407"/>
      <c r="CRX221" s="407"/>
      <c r="CRY221" s="407"/>
      <c r="CRZ221" s="407"/>
      <c r="CSA221" s="407"/>
      <c r="CSB221" s="407"/>
      <c r="CSC221" s="407"/>
      <c r="CSD221" s="407"/>
      <c r="CSE221" s="407"/>
      <c r="CSF221" s="407"/>
      <c r="CSG221" s="407"/>
      <c r="CSH221" s="407"/>
      <c r="CSI221" s="407"/>
      <c r="CSJ221" s="407"/>
      <c r="CSK221" s="407"/>
      <c r="CSL221" s="407"/>
      <c r="CSM221" s="407"/>
      <c r="CSN221" s="407"/>
      <c r="CSO221" s="407"/>
      <c r="CSP221" s="407"/>
      <c r="CSQ221" s="407"/>
      <c r="CSR221" s="407"/>
      <c r="CSS221" s="407"/>
      <c r="CST221" s="407"/>
      <c r="CSU221" s="407"/>
      <c r="CSV221" s="407"/>
      <c r="CSW221" s="407"/>
      <c r="CSX221" s="407"/>
      <c r="CSY221" s="407"/>
      <c r="CSZ221" s="407"/>
      <c r="CTA221" s="407"/>
      <c r="CTB221" s="407"/>
      <c r="CTC221" s="407"/>
      <c r="CTD221" s="407"/>
      <c r="CTE221" s="407"/>
      <c r="CTF221" s="407"/>
      <c r="CTG221" s="407"/>
      <c r="CTH221" s="407"/>
      <c r="CTI221" s="407"/>
      <c r="CTJ221" s="407"/>
      <c r="CTK221" s="407"/>
      <c r="CTL221" s="407"/>
      <c r="CTM221" s="407"/>
      <c r="CTN221" s="407"/>
      <c r="CTO221" s="407"/>
      <c r="CTP221" s="407"/>
      <c r="CTQ221" s="407"/>
      <c r="CTR221" s="407"/>
      <c r="CTS221" s="407"/>
      <c r="CTT221" s="407"/>
      <c r="CTU221" s="407"/>
      <c r="CTV221" s="407"/>
      <c r="CTW221" s="407"/>
      <c r="CTX221" s="407"/>
      <c r="CTY221" s="407"/>
      <c r="CTZ221" s="407"/>
      <c r="CUA221" s="407"/>
      <c r="CUB221" s="407"/>
      <c r="CUC221" s="407"/>
      <c r="CUD221" s="407"/>
      <c r="CUE221" s="407"/>
      <c r="CUF221" s="407"/>
      <c r="CUG221" s="407"/>
      <c r="CUH221" s="407"/>
      <c r="CUI221" s="407"/>
      <c r="CUJ221" s="407"/>
      <c r="CUK221" s="407"/>
      <c r="CUL221" s="407"/>
      <c r="CUM221" s="407"/>
      <c r="CUN221" s="407"/>
      <c r="CUO221" s="407"/>
      <c r="CUP221" s="407"/>
      <c r="CUQ221" s="407"/>
      <c r="CUR221" s="407"/>
      <c r="CUS221" s="407"/>
      <c r="CUT221" s="407"/>
      <c r="CUU221" s="407"/>
      <c r="CUV221" s="407"/>
      <c r="CUW221" s="407"/>
      <c r="CUX221" s="407"/>
      <c r="CUY221" s="407"/>
      <c r="CUZ221" s="407"/>
      <c r="CVA221" s="407"/>
      <c r="CVB221" s="407"/>
      <c r="CVC221" s="407"/>
      <c r="CVD221" s="407"/>
      <c r="CVE221" s="407"/>
      <c r="CVF221" s="407"/>
      <c r="CVG221" s="407"/>
      <c r="CVH221" s="407"/>
      <c r="CVI221" s="407"/>
      <c r="CVJ221" s="407"/>
      <c r="CVK221" s="407"/>
      <c r="CVL221" s="407"/>
      <c r="CVM221" s="407"/>
      <c r="CVN221" s="407"/>
      <c r="CVO221" s="407"/>
      <c r="CVP221" s="407"/>
      <c r="CVQ221" s="407"/>
      <c r="CVR221" s="407"/>
      <c r="CVS221" s="407"/>
      <c r="CVT221" s="407"/>
      <c r="CVU221" s="407"/>
      <c r="CVV221" s="407"/>
      <c r="CVW221" s="407"/>
      <c r="CVX221" s="407"/>
      <c r="CVY221" s="407"/>
      <c r="CVZ221" s="407"/>
      <c r="CWA221" s="407"/>
      <c r="CWB221" s="407"/>
      <c r="CWC221" s="407"/>
      <c r="CWD221" s="407"/>
      <c r="CWE221" s="407"/>
      <c r="CWF221" s="407"/>
      <c r="CWG221" s="407"/>
      <c r="CWH221" s="407"/>
      <c r="CWI221" s="407"/>
      <c r="CWJ221" s="407"/>
      <c r="CWK221" s="407"/>
      <c r="CWL221" s="407"/>
      <c r="CWM221" s="407"/>
      <c r="CWN221" s="407"/>
      <c r="CWO221" s="407"/>
      <c r="CWP221" s="407"/>
      <c r="CWQ221" s="407"/>
      <c r="CWR221" s="407"/>
      <c r="CWS221" s="407"/>
      <c r="CWT221" s="407"/>
      <c r="CWU221" s="407"/>
      <c r="CWV221" s="407"/>
      <c r="CWW221" s="407"/>
      <c r="CWX221" s="407"/>
      <c r="CWY221" s="407"/>
      <c r="CWZ221" s="407"/>
      <c r="CXA221" s="407"/>
      <c r="CXB221" s="407"/>
      <c r="CXC221" s="407"/>
      <c r="CXD221" s="407"/>
      <c r="CXE221" s="407"/>
      <c r="CXF221" s="407"/>
      <c r="CXG221" s="407"/>
      <c r="CXH221" s="407"/>
      <c r="CXI221" s="407"/>
      <c r="CXJ221" s="407"/>
      <c r="CXK221" s="407"/>
      <c r="CXL221" s="407"/>
      <c r="CXM221" s="407"/>
      <c r="CXN221" s="407"/>
      <c r="CXO221" s="407"/>
      <c r="CXP221" s="407"/>
      <c r="CXQ221" s="407"/>
      <c r="CXR221" s="407"/>
      <c r="CXS221" s="407"/>
      <c r="CXT221" s="407"/>
      <c r="CXU221" s="407"/>
      <c r="CXV221" s="407"/>
      <c r="CXW221" s="407"/>
      <c r="CXX221" s="407"/>
      <c r="CXY221" s="407"/>
      <c r="CXZ221" s="407"/>
      <c r="CYA221" s="407"/>
      <c r="CYB221" s="407"/>
      <c r="CYC221" s="407"/>
      <c r="CYD221" s="407"/>
      <c r="CYE221" s="407"/>
      <c r="CYF221" s="407"/>
      <c r="CYG221" s="407"/>
      <c r="CYH221" s="407"/>
      <c r="CYI221" s="407"/>
      <c r="CYJ221" s="407"/>
      <c r="CYK221" s="407"/>
      <c r="CYL221" s="407"/>
      <c r="CYM221" s="407"/>
      <c r="CYN221" s="407"/>
      <c r="CYO221" s="407"/>
      <c r="CYP221" s="407"/>
      <c r="CYQ221" s="407"/>
      <c r="CYR221" s="407"/>
      <c r="CYS221" s="407"/>
      <c r="CYT221" s="407"/>
      <c r="CYU221" s="407"/>
      <c r="CYV221" s="407"/>
      <c r="CYW221" s="407"/>
      <c r="CYX221" s="407"/>
      <c r="CYY221" s="407"/>
      <c r="CYZ221" s="407"/>
      <c r="CZA221" s="407"/>
      <c r="CZB221" s="407"/>
      <c r="CZC221" s="407"/>
      <c r="CZD221" s="407"/>
      <c r="CZE221" s="407"/>
      <c r="CZF221" s="407"/>
      <c r="CZG221" s="407"/>
      <c r="CZH221" s="407"/>
      <c r="CZI221" s="407"/>
      <c r="CZJ221" s="407"/>
      <c r="CZK221" s="407"/>
      <c r="CZL221" s="407"/>
      <c r="CZM221" s="407"/>
      <c r="CZN221" s="407"/>
      <c r="CZO221" s="407"/>
      <c r="CZP221" s="407"/>
      <c r="CZQ221" s="407"/>
      <c r="CZR221" s="407"/>
      <c r="CZS221" s="407"/>
      <c r="CZT221" s="407"/>
      <c r="CZU221" s="407"/>
      <c r="CZV221" s="407"/>
      <c r="CZW221" s="407"/>
      <c r="CZX221" s="407"/>
      <c r="CZY221" s="407"/>
      <c r="CZZ221" s="407"/>
      <c r="DAA221" s="407"/>
      <c r="DAB221" s="407"/>
      <c r="DAC221" s="407"/>
      <c r="DAD221" s="407"/>
      <c r="DAE221" s="407"/>
      <c r="DAF221" s="407"/>
      <c r="DAG221" s="407"/>
      <c r="DAH221" s="407"/>
      <c r="DAI221" s="407"/>
      <c r="DAJ221" s="407"/>
      <c r="DAK221" s="407"/>
      <c r="DAL221" s="407"/>
      <c r="DAM221" s="407"/>
      <c r="DAN221" s="407"/>
      <c r="DAO221" s="407"/>
      <c r="DAP221" s="407"/>
      <c r="DAQ221" s="407"/>
      <c r="DAR221" s="407"/>
      <c r="DAS221" s="407"/>
      <c r="DAT221" s="407"/>
      <c r="DAU221" s="407"/>
      <c r="DAV221" s="407"/>
      <c r="DAW221" s="407"/>
      <c r="DAX221" s="407"/>
      <c r="DAY221" s="407"/>
      <c r="DAZ221" s="407"/>
      <c r="DBA221" s="407"/>
      <c r="DBB221" s="407"/>
      <c r="DBC221" s="407"/>
      <c r="DBD221" s="407"/>
      <c r="DBE221" s="407"/>
      <c r="DBF221" s="407"/>
      <c r="DBG221" s="407"/>
      <c r="DBH221" s="407"/>
      <c r="DBI221" s="407"/>
      <c r="DBJ221" s="407"/>
      <c r="DBK221" s="407"/>
      <c r="DBL221" s="407"/>
      <c r="DBM221" s="407"/>
      <c r="DBN221" s="407"/>
      <c r="DBO221" s="407"/>
      <c r="DBP221" s="407"/>
      <c r="DBQ221" s="407"/>
      <c r="DBR221" s="407"/>
      <c r="DBS221" s="407"/>
      <c r="DBT221" s="407"/>
      <c r="DBU221" s="407"/>
      <c r="DBV221" s="407"/>
      <c r="DBW221" s="407"/>
      <c r="DBX221" s="407"/>
      <c r="DBY221" s="407"/>
      <c r="DBZ221" s="407"/>
      <c r="DCA221" s="407"/>
      <c r="DCB221" s="407"/>
      <c r="DCC221" s="407"/>
      <c r="DCD221" s="407"/>
      <c r="DCE221" s="407"/>
      <c r="DCF221" s="407"/>
      <c r="DCG221" s="407"/>
      <c r="DCH221" s="407"/>
      <c r="DCI221" s="407"/>
      <c r="DCJ221" s="407"/>
      <c r="DCK221" s="407"/>
      <c r="DCL221" s="407"/>
      <c r="DCM221" s="407"/>
      <c r="DCN221" s="407"/>
      <c r="DCO221" s="407"/>
      <c r="DCP221" s="407"/>
      <c r="DCQ221" s="407"/>
      <c r="DCR221" s="407"/>
      <c r="DCS221" s="407"/>
      <c r="DCT221" s="407"/>
      <c r="DCU221" s="407"/>
      <c r="DCV221" s="407"/>
      <c r="DCW221" s="407"/>
      <c r="DCX221" s="407"/>
      <c r="DCY221" s="407"/>
      <c r="DCZ221" s="407"/>
      <c r="DDA221" s="407"/>
      <c r="DDB221" s="407"/>
      <c r="DDC221" s="407"/>
      <c r="DDD221" s="407"/>
      <c r="DDE221" s="407"/>
      <c r="DDF221" s="407"/>
      <c r="DDG221" s="407"/>
      <c r="DDH221" s="407"/>
      <c r="DDI221" s="407"/>
      <c r="DDJ221" s="407"/>
      <c r="DDK221" s="407"/>
      <c r="DDL221" s="407"/>
      <c r="DDM221" s="407"/>
      <c r="DDN221" s="407"/>
      <c r="DDO221" s="407"/>
      <c r="DDP221" s="407"/>
      <c r="DDQ221" s="407"/>
      <c r="DDR221" s="407"/>
      <c r="DDS221" s="407"/>
      <c r="DDT221" s="407"/>
      <c r="DDU221" s="407"/>
      <c r="DDV221" s="407"/>
      <c r="DDW221" s="407"/>
      <c r="DDX221" s="407"/>
      <c r="DDY221" s="407"/>
      <c r="DDZ221" s="407"/>
      <c r="DEA221" s="407"/>
      <c r="DEB221" s="407"/>
      <c r="DEC221" s="407"/>
      <c r="DED221" s="407"/>
      <c r="DEE221" s="407"/>
      <c r="DEF221" s="407"/>
      <c r="DEG221" s="407"/>
      <c r="DEH221" s="407"/>
      <c r="DEI221" s="407"/>
      <c r="DEJ221" s="407"/>
      <c r="DEK221" s="407"/>
      <c r="DEL221" s="407"/>
      <c r="DEM221" s="407"/>
      <c r="DEN221" s="407"/>
      <c r="DEO221" s="407"/>
      <c r="DEP221" s="407"/>
      <c r="DEQ221" s="407"/>
      <c r="DER221" s="407"/>
      <c r="DES221" s="407"/>
      <c r="DET221" s="407"/>
      <c r="DEU221" s="407"/>
      <c r="DEV221" s="407"/>
      <c r="DEW221" s="407"/>
      <c r="DEX221" s="407"/>
      <c r="DEY221" s="407"/>
      <c r="DEZ221" s="407"/>
      <c r="DFA221" s="407"/>
      <c r="DFB221" s="407"/>
      <c r="DFC221" s="407"/>
      <c r="DFD221" s="407"/>
      <c r="DFE221" s="407"/>
      <c r="DFF221" s="407"/>
      <c r="DFG221" s="407"/>
      <c r="DFH221" s="407"/>
      <c r="DFI221" s="407"/>
      <c r="DFJ221" s="407"/>
      <c r="DFK221" s="407"/>
      <c r="DFL221" s="407"/>
      <c r="DFM221" s="407"/>
      <c r="DFN221" s="407"/>
      <c r="DFO221" s="407"/>
      <c r="DFP221" s="407"/>
      <c r="DFQ221" s="407"/>
      <c r="DFR221" s="407"/>
      <c r="DFS221" s="407"/>
      <c r="DFT221" s="407"/>
      <c r="DFU221" s="407"/>
      <c r="DFV221" s="407"/>
      <c r="DFW221" s="407"/>
      <c r="DFX221" s="407"/>
      <c r="DFY221" s="407"/>
      <c r="DFZ221" s="407"/>
      <c r="DGA221" s="407"/>
      <c r="DGB221" s="407"/>
      <c r="DGC221" s="407"/>
      <c r="DGD221" s="407"/>
      <c r="DGE221" s="407"/>
      <c r="DGF221" s="407"/>
      <c r="DGG221" s="407"/>
      <c r="DGH221" s="407"/>
      <c r="DGI221" s="407"/>
      <c r="DGJ221" s="407"/>
      <c r="DGK221" s="407"/>
      <c r="DGL221" s="407"/>
      <c r="DGM221" s="407"/>
      <c r="DGN221" s="407"/>
      <c r="DGO221" s="407"/>
      <c r="DGP221" s="407"/>
      <c r="DGQ221" s="407"/>
      <c r="DGR221" s="407"/>
      <c r="DGS221" s="407"/>
      <c r="DGT221" s="407"/>
      <c r="DGU221" s="407"/>
      <c r="DGV221" s="407"/>
      <c r="DGW221" s="407"/>
      <c r="DGX221" s="407"/>
      <c r="DGY221" s="407"/>
      <c r="DGZ221" s="407"/>
      <c r="DHA221" s="407"/>
      <c r="DHB221" s="407"/>
      <c r="DHC221" s="407"/>
      <c r="DHD221" s="407"/>
      <c r="DHE221" s="407"/>
      <c r="DHF221" s="407"/>
      <c r="DHG221" s="407"/>
      <c r="DHH221" s="407"/>
      <c r="DHI221" s="407"/>
      <c r="DHJ221" s="407"/>
      <c r="DHK221" s="407"/>
      <c r="DHL221" s="407"/>
      <c r="DHM221" s="407"/>
      <c r="DHN221" s="407"/>
      <c r="DHO221" s="407"/>
      <c r="DHP221" s="407"/>
      <c r="DHQ221" s="407"/>
      <c r="DHR221" s="407"/>
      <c r="DHS221" s="407"/>
      <c r="DHT221" s="407"/>
      <c r="DHU221" s="407"/>
      <c r="DHV221" s="407"/>
      <c r="DHW221" s="407"/>
      <c r="DHX221" s="407"/>
      <c r="DHY221" s="407"/>
      <c r="DHZ221" s="407"/>
      <c r="DIA221" s="407"/>
      <c r="DIB221" s="407"/>
      <c r="DIC221" s="407"/>
      <c r="DID221" s="407"/>
      <c r="DIE221" s="407"/>
      <c r="DIF221" s="407"/>
      <c r="DIG221" s="407"/>
      <c r="DIH221" s="407"/>
      <c r="DII221" s="407"/>
      <c r="DIJ221" s="407"/>
      <c r="DIK221" s="407"/>
      <c r="DIL221" s="407"/>
      <c r="DIM221" s="407"/>
      <c r="DIN221" s="407"/>
      <c r="DIO221" s="407"/>
      <c r="DIP221" s="407"/>
      <c r="DIQ221" s="407"/>
      <c r="DIR221" s="407"/>
      <c r="DIS221" s="407"/>
      <c r="DIT221" s="407"/>
      <c r="DIU221" s="407"/>
      <c r="DIV221" s="407"/>
      <c r="DIW221" s="407"/>
      <c r="DIX221" s="407"/>
      <c r="DIY221" s="407"/>
      <c r="DIZ221" s="407"/>
      <c r="DJA221" s="407"/>
      <c r="DJB221" s="407"/>
      <c r="DJC221" s="407"/>
      <c r="DJD221" s="407"/>
      <c r="DJE221" s="407"/>
      <c r="DJF221" s="407"/>
      <c r="DJG221" s="407"/>
      <c r="DJH221" s="407"/>
      <c r="DJI221" s="407"/>
      <c r="DJJ221" s="407"/>
      <c r="DJK221" s="407"/>
      <c r="DJL221" s="407"/>
      <c r="DJM221" s="407"/>
      <c r="DJN221" s="407"/>
      <c r="DJO221" s="407"/>
      <c r="DJP221" s="407"/>
      <c r="DJQ221" s="407"/>
      <c r="DJR221" s="407"/>
      <c r="DJS221" s="407"/>
      <c r="DJT221" s="407"/>
      <c r="DJU221" s="407"/>
      <c r="DJV221" s="407"/>
      <c r="DJW221" s="407"/>
      <c r="DJX221" s="407"/>
      <c r="DJY221" s="407"/>
      <c r="DJZ221" s="407"/>
      <c r="DKA221" s="407"/>
      <c r="DKB221" s="407"/>
      <c r="DKC221" s="407"/>
      <c r="DKD221" s="407"/>
      <c r="DKE221" s="407"/>
      <c r="DKF221" s="407"/>
      <c r="DKG221" s="407"/>
      <c r="DKH221" s="407"/>
      <c r="DKI221" s="407"/>
      <c r="DKJ221" s="407"/>
      <c r="DKK221" s="407"/>
      <c r="DKL221" s="407"/>
      <c r="DKM221" s="407"/>
      <c r="DKN221" s="407"/>
      <c r="DKO221" s="407"/>
      <c r="DKP221" s="407"/>
      <c r="DKQ221" s="407"/>
      <c r="DKR221" s="407"/>
      <c r="DKS221" s="407"/>
      <c r="DKT221" s="407"/>
      <c r="DKU221" s="407"/>
      <c r="DKV221" s="407"/>
      <c r="DKW221" s="407"/>
      <c r="DKX221" s="407"/>
      <c r="DKY221" s="407"/>
      <c r="DKZ221" s="407"/>
      <c r="DLA221" s="407"/>
      <c r="DLB221" s="407"/>
      <c r="DLC221" s="407"/>
      <c r="DLD221" s="407"/>
      <c r="DLE221" s="407"/>
      <c r="DLF221" s="407"/>
      <c r="DLG221" s="407"/>
      <c r="DLH221" s="407"/>
      <c r="DLI221" s="407"/>
      <c r="DLJ221" s="407"/>
      <c r="DLK221" s="407"/>
      <c r="DLL221" s="407"/>
      <c r="DLM221" s="407"/>
      <c r="DLN221" s="407"/>
      <c r="DLO221" s="407"/>
      <c r="DLP221" s="407"/>
      <c r="DLQ221" s="407"/>
      <c r="DLR221" s="407"/>
      <c r="DLS221" s="407"/>
      <c r="DLT221" s="407"/>
      <c r="DLU221" s="407"/>
      <c r="DLV221" s="407"/>
      <c r="DLW221" s="407"/>
      <c r="DLX221" s="407"/>
      <c r="DLY221" s="407"/>
      <c r="DLZ221" s="407"/>
      <c r="DMA221" s="407"/>
      <c r="DMB221" s="407"/>
      <c r="DMC221" s="407"/>
      <c r="DMD221" s="407"/>
      <c r="DME221" s="407"/>
      <c r="DMF221" s="407"/>
      <c r="DMG221" s="407"/>
      <c r="DMH221" s="407"/>
      <c r="DMI221" s="407"/>
      <c r="DMJ221" s="407"/>
      <c r="DMK221" s="407"/>
      <c r="DML221" s="407"/>
      <c r="DMM221" s="407"/>
      <c r="DMN221" s="407"/>
      <c r="DMO221" s="407"/>
      <c r="DMP221" s="407"/>
      <c r="DMQ221" s="407"/>
      <c r="DMR221" s="407"/>
      <c r="DMS221" s="407"/>
      <c r="DMT221" s="407"/>
      <c r="DMU221" s="407"/>
      <c r="DMV221" s="407"/>
      <c r="DMW221" s="407"/>
      <c r="DMX221" s="407"/>
      <c r="DMY221" s="407"/>
      <c r="DMZ221" s="407"/>
      <c r="DNA221" s="407"/>
      <c r="DNB221" s="407"/>
      <c r="DNC221" s="407"/>
      <c r="DND221" s="407"/>
      <c r="DNE221" s="407"/>
      <c r="DNF221" s="407"/>
      <c r="DNG221" s="407"/>
      <c r="DNH221" s="407"/>
      <c r="DNI221" s="407"/>
      <c r="DNJ221" s="407"/>
      <c r="DNK221" s="407"/>
      <c r="DNL221" s="407"/>
      <c r="DNM221" s="407"/>
      <c r="DNN221" s="407"/>
      <c r="DNO221" s="407"/>
      <c r="DNP221" s="407"/>
      <c r="DNQ221" s="407"/>
      <c r="DNR221" s="407"/>
      <c r="DNS221" s="407"/>
      <c r="DNT221" s="407"/>
      <c r="DNU221" s="407"/>
      <c r="DNV221" s="407"/>
      <c r="DNW221" s="407"/>
      <c r="DNX221" s="407"/>
      <c r="DNY221" s="407"/>
      <c r="DNZ221" s="407"/>
      <c r="DOA221" s="407"/>
      <c r="DOB221" s="407"/>
      <c r="DOC221" s="407"/>
      <c r="DOD221" s="407"/>
      <c r="DOE221" s="407"/>
      <c r="DOF221" s="407"/>
      <c r="DOG221" s="407"/>
      <c r="DOH221" s="407"/>
      <c r="DOI221" s="407"/>
      <c r="DOJ221" s="407"/>
      <c r="DOK221" s="407"/>
      <c r="DOL221" s="407"/>
      <c r="DOM221" s="407"/>
      <c r="DON221" s="407"/>
      <c r="DOO221" s="407"/>
      <c r="DOP221" s="407"/>
      <c r="DOQ221" s="407"/>
      <c r="DOR221" s="407"/>
      <c r="DOS221" s="407"/>
      <c r="DOT221" s="407"/>
      <c r="DOU221" s="407"/>
      <c r="DOV221" s="407"/>
      <c r="DOW221" s="407"/>
      <c r="DOX221" s="407"/>
      <c r="DOY221" s="407"/>
      <c r="DOZ221" s="407"/>
      <c r="DPA221" s="407"/>
      <c r="DPB221" s="407"/>
      <c r="DPC221" s="407"/>
      <c r="DPD221" s="407"/>
      <c r="DPE221" s="407"/>
      <c r="DPF221" s="407"/>
      <c r="DPG221" s="407"/>
      <c r="DPH221" s="407"/>
      <c r="DPI221" s="407"/>
      <c r="DPJ221" s="407"/>
      <c r="DPK221" s="407"/>
      <c r="DPL221" s="407"/>
      <c r="DPM221" s="407"/>
      <c r="DPN221" s="407"/>
      <c r="DPO221" s="407"/>
      <c r="DPP221" s="407"/>
      <c r="DPQ221" s="407"/>
      <c r="DPR221" s="407"/>
      <c r="DPS221" s="407"/>
      <c r="DPT221" s="407"/>
      <c r="DPU221" s="407"/>
      <c r="DPV221" s="407"/>
      <c r="DPW221" s="407"/>
      <c r="DPX221" s="407"/>
      <c r="DPY221" s="407"/>
      <c r="DPZ221" s="407"/>
      <c r="DQA221" s="407"/>
      <c r="DQB221" s="407"/>
      <c r="DQC221" s="407"/>
      <c r="DQD221" s="407"/>
      <c r="DQE221" s="407"/>
      <c r="DQF221" s="407"/>
      <c r="DQG221" s="407"/>
      <c r="DQH221" s="407"/>
      <c r="DQI221" s="407"/>
      <c r="DQJ221" s="407"/>
      <c r="DQK221" s="407"/>
      <c r="DQL221" s="407"/>
      <c r="DQM221" s="407"/>
      <c r="DQN221" s="407"/>
      <c r="DQO221" s="407"/>
      <c r="DQP221" s="407"/>
      <c r="DQQ221" s="407"/>
      <c r="DQR221" s="407"/>
      <c r="DQS221" s="407"/>
      <c r="DQT221" s="407"/>
      <c r="DQU221" s="407"/>
      <c r="DQV221" s="407"/>
      <c r="DQW221" s="407"/>
      <c r="DQX221" s="407"/>
      <c r="DQY221" s="407"/>
      <c r="DQZ221" s="407"/>
      <c r="DRA221" s="407"/>
      <c r="DRB221" s="407"/>
      <c r="DRC221" s="407"/>
      <c r="DRD221" s="407"/>
      <c r="DRE221" s="407"/>
      <c r="DRF221" s="407"/>
      <c r="DRG221" s="407"/>
      <c r="DRH221" s="407"/>
      <c r="DRI221" s="407"/>
      <c r="DRJ221" s="407"/>
      <c r="DRK221" s="407"/>
      <c r="DRL221" s="407"/>
      <c r="DRM221" s="407"/>
      <c r="DRN221" s="407"/>
      <c r="DRO221" s="407"/>
      <c r="DRP221" s="407"/>
      <c r="DRQ221" s="407"/>
      <c r="DRR221" s="407"/>
      <c r="DRS221" s="407"/>
      <c r="DRT221" s="407"/>
      <c r="DRU221" s="407"/>
      <c r="DRV221" s="407"/>
      <c r="DRW221" s="407"/>
      <c r="DRX221" s="407"/>
      <c r="DRY221" s="407"/>
      <c r="DRZ221" s="407"/>
      <c r="DSA221" s="407"/>
      <c r="DSB221" s="407"/>
      <c r="DSC221" s="407"/>
      <c r="DSD221" s="407"/>
      <c r="DSE221" s="407"/>
      <c r="DSF221" s="407"/>
      <c r="DSG221" s="407"/>
      <c r="DSH221" s="407"/>
      <c r="DSI221" s="407"/>
      <c r="DSJ221" s="407"/>
      <c r="DSK221" s="407"/>
      <c r="DSL221" s="407"/>
      <c r="DSM221" s="407"/>
      <c r="DSN221" s="407"/>
      <c r="DSO221" s="407"/>
      <c r="DSP221" s="407"/>
      <c r="DSQ221" s="407"/>
      <c r="DSR221" s="407"/>
      <c r="DSS221" s="407"/>
      <c r="DST221" s="407"/>
      <c r="DSU221" s="407"/>
      <c r="DSV221" s="407"/>
      <c r="DSW221" s="407"/>
      <c r="DSX221" s="407"/>
      <c r="DSY221" s="407"/>
      <c r="DSZ221" s="407"/>
      <c r="DTA221" s="407"/>
      <c r="DTB221" s="407"/>
      <c r="DTC221" s="407"/>
      <c r="DTD221" s="407"/>
      <c r="DTE221" s="407"/>
      <c r="DTF221" s="407"/>
      <c r="DTG221" s="407"/>
      <c r="DTH221" s="407"/>
      <c r="DTI221" s="407"/>
      <c r="DTJ221" s="407"/>
      <c r="DTK221" s="407"/>
      <c r="DTL221" s="407"/>
      <c r="DTM221" s="407"/>
      <c r="DTN221" s="407"/>
      <c r="DTO221" s="407"/>
      <c r="DTP221" s="407"/>
      <c r="DTQ221" s="407"/>
      <c r="DTR221" s="407"/>
      <c r="DTS221" s="407"/>
      <c r="DTT221" s="407"/>
      <c r="DTU221" s="407"/>
      <c r="DTV221" s="407"/>
      <c r="DTW221" s="407"/>
      <c r="DTX221" s="407"/>
      <c r="DTY221" s="407"/>
      <c r="DTZ221" s="407"/>
      <c r="DUA221" s="407"/>
      <c r="DUB221" s="407"/>
      <c r="DUC221" s="407"/>
      <c r="DUD221" s="407"/>
      <c r="DUE221" s="407"/>
      <c r="DUF221" s="407"/>
      <c r="DUG221" s="407"/>
      <c r="DUH221" s="407"/>
      <c r="DUI221" s="407"/>
      <c r="DUJ221" s="407"/>
      <c r="DUK221" s="407"/>
      <c r="DUL221" s="407"/>
      <c r="DUM221" s="407"/>
      <c r="DUN221" s="407"/>
      <c r="DUO221" s="407"/>
      <c r="DUP221" s="407"/>
      <c r="DUQ221" s="407"/>
      <c r="DUR221" s="407"/>
      <c r="DUS221" s="407"/>
      <c r="DUT221" s="407"/>
      <c r="DUU221" s="407"/>
      <c r="DUV221" s="407"/>
      <c r="DUW221" s="407"/>
      <c r="DUX221" s="407"/>
      <c r="DUY221" s="407"/>
      <c r="DUZ221" s="407"/>
      <c r="DVA221" s="407"/>
      <c r="DVB221" s="407"/>
      <c r="DVC221" s="407"/>
      <c r="DVD221" s="407"/>
      <c r="DVE221" s="407"/>
      <c r="DVF221" s="407"/>
      <c r="DVG221" s="407"/>
      <c r="DVH221" s="407"/>
      <c r="DVI221" s="407"/>
      <c r="DVJ221" s="407"/>
      <c r="DVK221" s="407"/>
      <c r="DVL221" s="407"/>
      <c r="DVM221" s="407"/>
      <c r="DVN221" s="407"/>
      <c r="DVO221" s="407"/>
      <c r="DVP221" s="407"/>
      <c r="DVQ221" s="407"/>
      <c r="DVR221" s="407"/>
      <c r="DVS221" s="407"/>
      <c r="DVT221" s="407"/>
      <c r="DVU221" s="407"/>
      <c r="DVV221" s="407"/>
      <c r="DVW221" s="407"/>
      <c r="DVX221" s="407"/>
      <c r="DVY221" s="407"/>
      <c r="DVZ221" s="407"/>
      <c r="DWA221" s="407"/>
      <c r="DWB221" s="407"/>
      <c r="DWC221" s="407"/>
      <c r="DWD221" s="407"/>
      <c r="DWE221" s="407"/>
      <c r="DWF221" s="407"/>
      <c r="DWG221" s="407"/>
      <c r="DWH221" s="407"/>
      <c r="DWI221" s="407"/>
      <c r="DWJ221" s="407"/>
      <c r="DWK221" s="407"/>
      <c r="DWL221" s="407"/>
      <c r="DWM221" s="407"/>
      <c r="DWN221" s="407"/>
      <c r="DWO221" s="407"/>
      <c r="DWP221" s="407"/>
      <c r="DWQ221" s="407"/>
      <c r="DWR221" s="407"/>
      <c r="DWS221" s="407"/>
      <c r="DWT221" s="407"/>
      <c r="DWU221" s="407"/>
      <c r="DWV221" s="407"/>
      <c r="DWW221" s="407"/>
      <c r="DWX221" s="407"/>
      <c r="DWY221" s="407"/>
      <c r="DWZ221" s="407"/>
      <c r="DXA221" s="407"/>
      <c r="DXB221" s="407"/>
      <c r="DXC221" s="407"/>
      <c r="DXD221" s="407"/>
      <c r="DXE221" s="407"/>
      <c r="DXF221" s="407"/>
      <c r="DXG221" s="407"/>
      <c r="DXH221" s="407"/>
      <c r="DXI221" s="407"/>
      <c r="DXJ221" s="407"/>
      <c r="DXK221" s="407"/>
      <c r="DXL221" s="407"/>
      <c r="DXM221" s="407"/>
      <c r="DXN221" s="407"/>
      <c r="DXO221" s="407"/>
      <c r="DXP221" s="407"/>
      <c r="DXQ221" s="407"/>
      <c r="DXR221" s="407"/>
      <c r="DXS221" s="407"/>
      <c r="DXT221" s="407"/>
      <c r="DXU221" s="407"/>
      <c r="DXV221" s="407"/>
      <c r="DXW221" s="407"/>
      <c r="DXX221" s="407"/>
      <c r="DXY221" s="407"/>
      <c r="DXZ221" s="407"/>
      <c r="DYA221" s="407"/>
      <c r="DYB221" s="407"/>
      <c r="DYC221" s="407"/>
      <c r="DYD221" s="407"/>
      <c r="DYE221" s="407"/>
      <c r="DYF221" s="407"/>
      <c r="DYG221" s="407"/>
      <c r="DYH221" s="407"/>
      <c r="DYI221" s="407"/>
      <c r="DYJ221" s="407"/>
      <c r="DYK221" s="407"/>
      <c r="DYL221" s="407"/>
      <c r="DYM221" s="407"/>
      <c r="DYN221" s="407"/>
      <c r="DYO221" s="407"/>
      <c r="DYP221" s="407"/>
      <c r="DYQ221" s="407"/>
      <c r="DYR221" s="407"/>
      <c r="DYS221" s="407"/>
      <c r="DYT221" s="407"/>
      <c r="DYU221" s="407"/>
      <c r="DYV221" s="407"/>
      <c r="DYW221" s="407"/>
      <c r="DYX221" s="407"/>
      <c r="DYY221" s="407"/>
      <c r="DYZ221" s="407"/>
      <c r="DZA221" s="407"/>
      <c r="DZB221" s="407"/>
      <c r="DZC221" s="407"/>
      <c r="DZD221" s="407"/>
      <c r="DZE221" s="407"/>
      <c r="DZF221" s="407"/>
      <c r="DZG221" s="407"/>
      <c r="DZH221" s="407"/>
      <c r="DZI221" s="407"/>
      <c r="DZJ221" s="407"/>
      <c r="DZK221" s="407"/>
      <c r="DZL221" s="407"/>
      <c r="DZM221" s="407"/>
      <c r="DZN221" s="407"/>
      <c r="DZO221" s="407"/>
      <c r="DZP221" s="407"/>
      <c r="DZQ221" s="407"/>
      <c r="DZR221" s="407"/>
      <c r="DZS221" s="407"/>
      <c r="DZT221" s="407"/>
      <c r="DZU221" s="407"/>
      <c r="DZV221" s="407"/>
      <c r="DZW221" s="407"/>
      <c r="DZX221" s="407"/>
      <c r="DZY221" s="407"/>
      <c r="DZZ221" s="407"/>
      <c r="EAA221" s="407"/>
      <c r="EAB221" s="407"/>
      <c r="EAC221" s="407"/>
      <c r="EAD221" s="407"/>
      <c r="EAE221" s="407"/>
      <c r="EAF221" s="407"/>
      <c r="EAG221" s="407"/>
      <c r="EAH221" s="407"/>
      <c r="EAI221" s="407"/>
      <c r="EAJ221" s="407"/>
      <c r="EAK221" s="407"/>
      <c r="EAL221" s="407"/>
      <c r="EAM221" s="407"/>
      <c r="EAN221" s="407"/>
      <c r="EAO221" s="407"/>
      <c r="EAP221" s="407"/>
      <c r="EAQ221" s="407"/>
      <c r="EAR221" s="407"/>
      <c r="EAS221" s="407"/>
      <c r="EAT221" s="407"/>
      <c r="EAU221" s="407"/>
      <c r="EAV221" s="407"/>
      <c r="EAW221" s="407"/>
      <c r="EAX221" s="407"/>
      <c r="EAY221" s="407"/>
      <c r="EAZ221" s="407"/>
      <c r="EBA221" s="407"/>
      <c r="EBB221" s="407"/>
      <c r="EBC221" s="407"/>
      <c r="EBD221" s="407"/>
      <c r="EBE221" s="407"/>
      <c r="EBF221" s="407"/>
      <c r="EBG221" s="407"/>
      <c r="EBH221" s="407"/>
      <c r="EBI221" s="407"/>
      <c r="EBJ221" s="407"/>
      <c r="EBK221" s="407"/>
      <c r="EBL221" s="407"/>
      <c r="EBM221" s="407"/>
      <c r="EBN221" s="407"/>
      <c r="EBO221" s="407"/>
      <c r="EBP221" s="407"/>
      <c r="EBQ221" s="407"/>
      <c r="EBR221" s="407"/>
      <c r="EBS221" s="407"/>
      <c r="EBT221" s="407"/>
      <c r="EBU221" s="407"/>
      <c r="EBV221" s="407"/>
      <c r="EBW221" s="407"/>
      <c r="EBX221" s="407"/>
      <c r="EBY221" s="407"/>
      <c r="EBZ221" s="407"/>
      <c r="ECA221" s="407"/>
      <c r="ECB221" s="407"/>
      <c r="ECC221" s="407"/>
      <c r="ECD221" s="407"/>
      <c r="ECE221" s="407"/>
      <c r="ECF221" s="407"/>
      <c r="ECG221" s="407"/>
      <c r="ECH221" s="407"/>
      <c r="ECI221" s="407"/>
      <c r="ECJ221" s="407"/>
      <c r="ECK221" s="407"/>
      <c r="ECL221" s="407"/>
      <c r="ECM221" s="407"/>
      <c r="ECN221" s="407"/>
      <c r="ECO221" s="407"/>
      <c r="ECP221" s="407"/>
      <c r="ECQ221" s="407"/>
      <c r="ECR221" s="407"/>
      <c r="ECS221" s="407"/>
      <c r="ECT221" s="407"/>
      <c r="ECU221" s="407"/>
      <c r="ECV221" s="407"/>
      <c r="ECW221" s="407"/>
      <c r="ECX221" s="407"/>
      <c r="ECY221" s="407"/>
      <c r="ECZ221" s="407"/>
      <c r="EDA221" s="407"/>
      <c r="EDB221" s="407"/>
      <c r="EDC221" s="407"/>
      <c r="EDD221" s="407"/>
      <c r="EDE221" s="407"/>
      <c r="EDF221" s="407"/>
      <c r="EDG221" s="407"/>
      <c r="EDH221" s="407"/>
      <c r="EDI221" s="407"/>
      <c r="EDJ221" s="407"/>
      <c r="EDK221" s="407"/>
      <c r="EDL221" s="407"/>
      <c r="EDM221" s="407"/>
      <c r="EDN221" s="407"/>
      <c r="EDO221" s="407"/>
      <c r="EDP221" s="407"/>
      <c r="EDQ221" s="407"/>
      <c r="EDR221" s="407"/>
      <c r="EDS221" s="407"/>
      <c r="EDT221" s="407"/>
      <c r="EDU221" s="407"/>
      <c r="EDV221" s="407"/>
      <c r="EDW221" s="407"/>
      <c r="EDX221" s="407"/>
      <c r="EDY221" s="407"/>
      <c r="EDZ221" s="407"/>
      <c r="EEA221" s="407"/>
      <c r="EEB221" s="407"/>
      <c r="EEC221" s="407"/>
      <c r="EED221" s="407"/>
      <c r="EEE221" s="407"/>
      <c r="EEF221" s="407"/>
      <c r="EEG221" s="407"/>
      <c r="EEH221" s="407"/>
      <c r="EEI221" s="407"/>
      <c r="EEJ221" s="407"/>
      <c r="EEK221" s="407"/>
      <c r="EEL221" s="407"/>
      <c r="EEM221" s="407"/>
      <c r="EEN221" s="407"/>
      <c r="EEO221" s="407"/>
      <c r="EEP221" s="407"/>
      <c r="EEQ221" s="407"/>
      <c r="EER221" s="407"/>
      <c r="EES221" s="407"/>
      <c r="EET221" s="407"/>
      <c r="EEU221" s="407"/>
      <c r="EEV221" s="407"/>
      <c r="EEW221" s="407"/>
      <c r="EEX221" s="407"/>
      <c r="EEY221" s="407"/>
      <c r="EEZ221" s="407"/>
      <c r="EFA221" s="407"/>
      <c r="EFB221" s="407"/>
      <c r="EFC221" s="407"/>
      <c r="EFD221" s="407"/>
      <c r="EFE221" s="407"/>
      <c r="EFF221" s="407"/>
      <c r="EFG221" s="407"/>
      <c r="EFH221" s="407"/>
      <c r="EFI221" s="407"/>
      <c r="EFJ221" s="407"/>
      <c r="EFK221" s="407"/>
      <c r="EFL221" s="407"/>
      <c r="EFM221" s="407"/>
      <c r="EFN221" s="407"/>
      <c r="EFO221" s="407"/>
      <c r="EFP221" s="407"/>
      <c r="EFQ221" s="407"/>
      <c r="EFR221" s="407"/>
      <c r="EFS221" s="407"/>
      <c r="EFT221" s="407"/>
      <c r="EFU221" s="407"/>
      <c r="EFV221" s="407"/>
      <c r="EFW221" s="407"/>
      <c r="EFX221" s="407"/>
      <c r="EFY221" s="407"/>
      <c r="EFZ221" s="407"/>
      <c r="EGA221" s="407"/>
      <c r="EGB221" s="407"/>
      <c r="EGC221" s="407"/>
      <c r="EGD221" s="407"/>
      <c r="EGE221" s="407"/>
      <c r="EGF221" s="407"/>
      <c r="EGG221" s="407"/>
      <c r="EGH221" s="407"/>
      <c r="EGI221" s="407"/>
      <c r="EGJ221" s="407"/>
      <c r="EGK221" s="407"/>
      <c r="EGL221" s="407"/>
      <c r="EGM221" s="407"/>
      <c r="EGN221" s="407"/>
      <c r="EGO221" s="407"/>
      <c r="EGP221" s="407"/>
      <c r="EGQ221" s="407"/>
      <c r="EGR221" s="407"/>
      <c r="EGS221" s="407"/>
      <c r="EGT221" s="407"/>
      <c r="EGU221" s="407"/>
      <c r="EGV221" s="407"/>
      <c r="EGW221" s="407"/>
      <c r="EGX221" s="407"/>
      <c r="EGY221" s="407"/>
      <c r="EGZ221" s="407"/>
      <c r="EHA221" s="407"/>
      <c r="EHB221" s="407"/>
      <c r="EHC221" s="407"/>
      <c r="EHD221" s="407"/>
      <c r="EHE221" s="407"/>
      <c r="EHF221" s="407"/>
      <c r="EHG221" s="407"/>
      <c r="EHH221" s="407"/>
      <c r="EHI221" s="407"/>
      <c r="EHJ221" s="407"/>
      <c r="EHK221" s="407"/>
      <c r="EHL221" s="407"/>
      <c r="EHM221" s="407"/>
      <c r="EHN221" s="407"/>
      <c r="EHO221" s="407"/>
      <c r="EHP221" s="407"/>
      <c r="EHQ221" s="407"/>
      <c r="EHR221" s="407"/>
      <c r="EHS221" s="407"/>
      <c r="EHT221" s="407"/>
      <c r="EHU221" s="407"/>
      <c r="EHV221" s="407"/>
      <c r="EHW221" s="407"/>
      <c r="EHX221" s="407"/>
      <c r="EHY221" s="407"/>
      <c r="EHZ221" s="407"/>
      <c r="EIA221" s="407"/>
      <c r="EIB221" s="407"/>
      <c r="EIC221" s="407"/>
      <c r="EID221" s="407"/>
      <c r="EIE221" s="407"/>
      <c r="EIF221" s="407"/>
      <c r="EIG221" s="407"/>
      <c r="EIH221" s="407"/>
      <c r="EII221" s="407"/>
      <c r="EIJ221" s="407"/>
      <c r="EIK221" s="407"/>
      <c r="EIL221" s="407"/>
      <c r="EIM221" s="407"/>
      <c r="EIN221" s="407"/>
      <c r="EIO221" s="407"/>
      <c r="EIP221" s="407"/>
      <c r="EIQ221" s="407"/>
      <c r="EIR221" s="407"/>
      <c r="EIS221" s="407"/>
      <c r="EIT221" s="407"/>
      <c r="EIU221" s="407"/>
      <c r="EIV221" s="407"/>
      <c r="EIW221" s="407"/>
      <c r="EIX221" s="407"/>
      <c r="EIY221" s="407"/>
      <c r="EIZ221" s="407"/>
      <c r="EJA221" s="407"/>
      <c r="EJB221" s="407"/>
      <c r="EJC221" s="407"/>
      <c r="EJD221" s="407"/>
      <c r="EJE221" s="407"/>
      <c r="EJF221" s="407"/>
      <c r="EJG221" s="407"/>
      <c r="EJH221" s="407"/>
      <c r="EJI221" s="407"/>
      <c r="EJJ221" s="407"/>
      <c r="EJK221" s="407"/>
      <c r="EJL221" s="407"/>
      <c r="EJM221" s="407"/>
      <c r="EJN221" s="407"/>
      <c r="EJO221" s="407"/>
      <c r="EJP221" s="407"/>
      <c r="EJQ221" s="407"/>
      <c r="EJR221" s="407"/>
      <c r="EJS221" s="407"/>
      <c r="EJT221" s="407"/>
      <c r="EJU221" s="407"/>
      <c r="EJV221" s="407"/>
      <c r="EJW221" s="407"/>
      <c r="EJX221" s="407"/>
      <c r="EJY221" s="407"/>
      <c r="EJZ221" s="407"/>
      <c r="EKA221" s="407"/>
      <c r="EKB221" s="407"/>
      <c r="EKC221" s="407"/>
      <c r="EKD221" s="407"/>
      <c r="EKE221" s="407"/>
      <c r="EKF221" s="407"/>
      <c r="EKG221" s="407"/>
      <c r="EKH221" s="407"/>
      <c r="EKI221" s="407"/>
      <c r="EKJ221" s="407"/>
      <c r="EKK221" s="407"/>
      <c r="EKL221" s="407"/>
      <c r="EKM221" s="407"/>
      <c r="EKN221" s="407"/>
      <c r="EKO221" s="407"/>
      <c r="EKP221" s="407"/>
      <c r="EKQ221" s="407"/>
      <c r="EKR221" s="407"/>
      <c r="EKS221" s="407"/>
      <c r="EKT221" s="407"/>
      <c r="EKU221" s="407"/>
      <c r="EKV221" s="407"/>
      <c r="EKW221" s="407"/>
      <c r="EKX221" s="407"/>
      <c r="EKY221" s="407"/>
      <c r="EKZ221" s="407"/>
      <c r="ELA221" s="407"/>
      <c r="ELB221" s="407"/>
      <c r="ELC221" s="407"/>
      <c r="ELD221" s="407"/>
      <c r="ELE221" s="407"/>
      <c r="ELF221" s="407"/>
      <c r="ELG221" s="407"/>
      <c r="ELH221" s="407"/>
      <c r="ELI221" s="407"/>
      <c r="ELJ221" s="407"/>
      <c r="ELK221" s="407"/>
      <c r="ELL221" s="407"/>
      <c r="ELM221" s="407"/>
      <c r="ELN221" s="407"/>
      <c r="ELO221" s="407"/>
      <c r="ELP221" s="407"/>
      <c r="ELQ221" s="407"/>
      <c r="ELR221" s="407"/>
      <c r="ELS221" s="407"/>
      <c r="ELT221" s="407"/>
      <c r="ELU221" s="407"/>
      <c r="ELV221" s="407"/>
      <c r="ELW221" s="407"/>
      <c r="ELX221" s="407"/>
      <c r="ELY221" s="407"/>
      <c r="ELZ221" s="407"/>
      <c r="EMA221" s="407"/>
      <c r="EMB221" s="407"/>
      <c r="EMC221" s="407"/>
      <c r="EMD221" s="407"/>
      <c r="EME221" s="407"/>
      <c r="EMF221" s="407"/>
      <c r="EMG221" s="407"/>
      <c r="EMH221" s="407"/>
      <c r="EMI221" s="407"/>
      <c r="EMJ221" s="407"/>
      <c r="EMK221" s="407"/>
      <c r="EML221" s="407"/>
      <c r="EMM221" s="407"/>
      <c r="EMN221" s="407"/>
      <c r="EMO221" s="407"/>
      <c r="EMP221" s="407"/>
      <c r="EMQ221" s="407"/>
      <c r="EMR221" s="407"/>
      <c r="EMS221" s="407"/>
      <c r="EMT221" s="407"/>
      <c r="EMU221" s="407"/>
      <c r="EMV221" s="407"/>
      <c r="EMW221" s="407"/>
      <c r="EMX221" s="407"/>
      <c r="EMY221" s="407"/>
      <c r="EMZ221" s="407"/>
      <c r="ENA221" s="407"/>
      <c r="ENB221" s="407"/>
      <c r="ENC221" s="407"/>
      <c r="END221" s="407"/>
      <c r="ENE221" s="407"/>
      <c r="ENF221" s="407"/>
      <c r="ENG221" s="407"/>
      <c r="ENH221" s="407"/>
      <c r="ENI221" s="407"/>
      <c r="ENJ221" s="407"/>
      <c r="ENK221" s="407"/>
      <c r="ENL221" s="407"/>
      <c r="ENM221" s="407"/>
      <c r="ENN221" s="407"/>
      <c r="ENO221" s="407"/>
      <c r="ENP221" s="407"/>
      <c r="ENQ221" s="407"/>
      <c r="ENR221" s="407"/>
      <c r="ENS221" s="407"/>
      <c r="ENT221" s="407"/>
      <c r="ENU221" s="407"/>
      <c r="ENV221" s="407"/>
      <c r="ENW221" s="407"/>
      <c r="ENX221" s="407"/>
      <c r="ENY221" s="407"/>
      <c r="ENZ221" s="407"/>
      <c r="EOA221" s="407"/>
      <c r="EOB221" s="407"/>
      <c r="EOC221" s="407"/>
      <c r="EOD221" s="407"/>
      <c r="EOE221" s="407"/>
      <c r="EOF221" s="407"/>
      <c r="EOG221" s="407"/>
      <c r="EOH221" s="407"/>
      <c r="EOI221" s="407"/>
      <c r="EOJ221" s="407"/>
      <c r="EOK221" s="407"/>
      <c r="EOL221" s="407"/>
      <c r="EOM221" s="407"/>
      <c r="EON221" s="407"/>
      <c r="EOO221" s="407"/>
      <c r="EOP221" s="407"/>
      <c r="EOQ221" s="407"/>
      <c r="EOR221" s="407"/>
      <c r="EOS221" s="407"/>
      <c r="EOT221" s="407"/>
      <c r="EOU221" s="407"/>
      <c r="EOV221" s="407"/>
      <c r="EOW221" s="407"/>
      <c r="EOX221" s="407"/>
      <c r="EOY221" s="407"/>
      <c r="EOZ221" s="407"/>
      <c r="EPA221" s="407"/>
      <c r="EPB221" s="407"/>
      <c r="EPC221" s="407"/>
      <c r="EPD221" s="407"/>
      <c r="EPE221" s="407"/>
      <c r="EPF221" s="407"/>
      <c r="EPG221" s="407"/>
      <c r="EPH221" s="407"/>
      <c r="EPI221" s="407"/>
      <c r="EPJ221" s="407"/>
      <c r="EPK221" s="407"/>
      <c r="EPL221" s="407"/>
      <c r="EPM221" s="407"/>
      <c r="EPN221" s="407"/>
      <c r="EPO221" s="407"/>
      <c r="EPP221" s="407"/>
      <c r="EPQ221" s="407"/>
      <c r="EPR221" s="407"/>
      <c r="EPS221" s="407"/>
      <c r="EPT221" s="407"/>
      <c r="EPU221" s="407"/>
      <c r="EPV221" s="407"/>
      <c r="EPW221" s="407"/>
      <c r="EPX221" s="407"/>
      <c r="EPY221" s="407"/>
      <c r="EPZ221" s="407"/>
      <c r="EQA221" s="407"/>
      <c r="EQB221" s="407"/>
      <c r="EQC221" s="407"/>
      <c r="EQD221" s="407"/>
      <c r="EQE221" s="407"/>
      <c r="EQF221" s="407"/>
      <c r="EQG221" s="407"/>
      <c r="EQH221" s="407"/>
      <c r="EQI221" s="407"/>
      <c r="EQJ221" s="407"/>
      <c r="EQK221" s="407"/>
      <c r="EQL221" s="407"/>
      <c r="EQM221" s="407"/>
      <c r="EQN221" s="407"/>
      <c r="EQO221" s="407"/>
      <c r="EQP221" s="407"/>
      <c r="EQQ221" s="407"/>
      <c r="EQR221" s="407"/>
      <c r="EQS221" s="407"/>
      <c r="EQT221" s="407"/>
      <c r="EQU221" s="407"/>
      <c r="EQV221" s="407"/>
      <c r="EQW221" s="407"/>
      <c r="EQX221" s="407"/>
      <c r="EQY221" s="407"/>
      <c r="EQZ221" s="407"/>
      <c r="ERA221" s="407"/>
      <c r="ERB221" s="407"/>
      <c r="ERC221" s="407"/>
      <c r="ERD221" s="407"/>
      <c r="ERE221" s="407"/>
      <c r="ERF221" s="407"/>
      <c r="ERG221" s="407"/>
      <c r="ERH221" s="407"/>
      <c r="ERI221" s="407"/>
      <c r="ERJ221" s="407"/>
      <c r="ERK221" s="407"/>
      <c r="ERL221" s="407"/>
      <c r="ERM221" s="407"/>
      <c r="ERN221" s="407"/>
      <c r="ERO221" s="407"/>
      <c r="ERP221" s="407"/>
      <c r="ERQ221" s="407"/>
      <c r="ERR221" s="407"/>
      <c r="ERS221" s="407"/>
      <c r="ERT221" s="407"/>
      <c r="ERU221" s="407"/>
      <c r="ERV221" s="407"/>
      <c r="ERW221" s="407"/>
      <c r="ERX221" s="407"/>
      <c r="ERY221" s="407"/>
      <c r="ERZ221" s="407"/>
      <c r="ESA221" s="407"/>
      <c r="ESB221" s="407"/>
      <c r="ESC221" s="407"/>
      <c r="ESD221" s="407"/>
      <c r="ESE221" s="407"/>
      <c r="ESF221" s="407"/>
      <c r="ESG221" s="407"/>
      <c r="ESH221" s="407"/>
      <c r="ESI221" s="407"/>
      <c r="ESJ221" s="407"/>
      <c r="ESK221" s="407"/>
      <c r="ESL221" s="407"/>
      <c r="ESM221" s="407"/>
      <c r="ESN221" s="407"/>
      <c r="ESO221" s="407"/>
      <c r="ESP221" s="407"/>
      <c r="ESQ221" s="407"/>
      <c r="ESR221" s="407"/>
      <c r="ESS221" s="407"/>
      <c r="EST221" s="407"/>
      <c r="ESU221" s="407"/>
      <c r="ESV221" s="407"/>
      <c r="ESW221" s="407"/>
      <c r="ESX221" s="407"/>
      <c r="ESY221" s="407"/>
      <c r="ESZ221" s="407"/>
      <c r="ETA221" s="407"/>
      <c r="ETB221" s="407"/>
      <c r="ETC221" s="407"/>
      <c r="ETD221" s="407"/>
      <c r="ETE221" s="407"/>
      <c r="ETF221" s="407"/>
      <c r="ETG221" s="407"/>
      <c r="ETH221" s="407"/>
      <c r="ETI221" s="407"/>
      <c r="ETJ221" s="407"/>
      <c r="ETK221" s="407"/>
      <c r="ETL221" s="407"/>
      <c r="ETM221" s="407"/>
      <c r="ETN221" s="407"/>
      <c r="ETO221" s="407"/>
      <c r="ETP221" s="407"/>
      <c r="ETQ221" s="407"/>
      <c r="ETR221" s="407"/>
      <c r="ETS221" s="407"/>
      <c r="ETT221" s="407"/>
      <c r="ETU221" s="407"/>
      <c r="ETV221" s="407"/>
      <c r="ETW221" s="407"/>
      <c r="ETX221" s="407"/>
      <c r="ETY221" s="407"/>
      <c r="ETZ221" s="407"/>
      <c r="EUA221" s="407"/>
      <c r="EUB221" s="407"/>
      <c r="EUC221" s="407"/>
      <c r="EUD221" s="407"/>
      <c r="EUE221" s="407"/>
      <c r="EUF221" s="407"/>
      <c r="EUG221" s="407"/>
      <c r="EUH221" s="407"/>
      <c r="EUI221" s="407"/>
      <c r="EUJ221" s="407"/>
      <c r="EUK221" s="407"/>
      <c r="EUL221" s="407"/>
      <c r="EUM221" s="407"/>
      <c r="EUN221" s="407"/>
      <c r="EUO221" s="407"/>
      <c r="EUP221" s="407"/>
      <c r="EUQ221" s="407"/>
      <c r="EUR221" s="407"/>
      <c r="EUS221" s="407"/>
      <c r="EUT221" s="407"/>
      <c r="EUU221" s="407"/>
      <c r="EUV221" s="407"/>
      <c r="EUW221" s="407"/>
      <c r="EUX221" s="407"/>
      <c r="EUY221" s="407"/>
      <c r="EUZ221" s="407"/>
      <c r="EVA221" s="407"/>
      <c r="EVB221" s="407"/>
      <c r="EVC221" s="407"/>
      <c r="EVD221" s="407"/>
      <c r="EVE221" s="407"/>
      <c r="EVF221" s="407"/>
      <c r="EVG221" s="407"/>
      <c r="EVH221" s="407"/>
      <c r="EVI221" s="407"/>
      <c r="EVJ221" s="407"/>
      <c r="EVK221" s="407"/>
      <c r="EVL221" s="407"/>
      <c r="EVM221" s="407"/>
      <c r="EVN221" s="407"/>
      <c r="EVO221" s="407"/>
      <c r="EVP221" s="407"/>
      <c r="EVQ221" s="407"/>
      <c r="EVR221" s="407"/>
      <c r="EVS221" s="407"/>
      <c r="EVT221" s="407"/>
      <c r="EVU221" s="407"/>
      <c r="EVV221" s="407"/>
      <c r="EVW221" s="407"/>
      <c r="EVX221" s="407"/>
      <c r="EVY221" s="407"/>
      <c r="EVZ221" s="407"/>
      <c r="EWA221" s="407"/>
      <c r="EWB221" s="407"/>
      <c r="EWC221" s="407"/>
      <c r="EWD221" s="407"/>
      <c r="EWE221" s="407"/>
      <c r="EWF221" s="407"/>
      <c r="EWG221" s="407"/>
      <c r="EWH221" s="407"/>
      <c r="EWI221" s="407"/>
      <c r="EWJ221" s="407"/>
      <c r="EWK221" s="407"/>
      <c r="EWL221" s="407"/>
      <c r="EWM221" s="407"/>
      <c r="EWN221" s="407"/>
      <c r="EWO221" s="407"/>
      <c r="EWP221" s="407"/>
      <c r="EWQ221" s="407"/>
      <c r="EWR221" s="407"/>
      <c r="EWS221" s="407"/>
      <c r="EWT221" s="407"/>
      <c r="EWU221" s="407"/>
      <c r="EWV221" s="407"/>
      <c r="EWW221" s="407"/>
      <c r="EWX221" s="407"/>
      <c r="EWY221" s="407"/>
      <c r="EWZ221" s="407"/>
      <c r="EXA221" s="407"/>
      <c r="EXB221" s="407"/>
      <c r="EXC221" s="407"/>
      <c r="EXD221" s="407"/>
      <c r="EXE221" s="407"/>
      <c r="EXF221" s="407"/>
      <c r="EXG221" s="407"/>
      <c r="EXH221" s="407"/>
      <c r="EXI221" s="407"/>
      <c r="EXJ221" s="407"/>
      <c r="EXK221" s="407"/>
      <c r="EXL221" s="407"/>
      <c r="EXM221" s="407"/>
      <c r="EXN221" s="407"/>
      <c r="EXO221" s="407"/>
      <c r="EXP221" s="407"/>
      <c r="EXQ221" s="407"/>
      <c r="EXR221" s="407"/>
      <c r="EXS221" s="407"/>
      <c r="EXT221" s="407"/>
      <c r="EXU221" s="407"/>
      <c r="EXV221" s="407"/>
      <c r="EXW221" s="407"/>
      <c r="EXX221" s="407"/>
      <c r="EXY221" s="407"/>
      <c r="EXZ221" s="407"/>
      <c r="EYA221" s="407"/>
      <c r="EYB221" s="407"/>
      <c r="EYC221" s="407"/>
      <c r="EYD221" s="407"/>
      <c r="EYE221" s="407"/>
      <c r="EYF221" s="407"/>
      <c r="EYG221" s="407"/>
      <c r="EYH221" s="407"/>
      <c r="EYI221" s="407"/>
      <c r="EYJ221" s="407"/>
      <c r="EYK221" s="407"/>
      <c r="EYL221" s="407"/>
      <c r="EYM221" s="407"/>
      <c r="EYN221" s="407"/>
      <c r="EYO221" s="407"/>
      <c r="EYP221" s="407"/>
      <c r="EYQ221" s="407"/>
      <c r="EYR221" s="407"/>
      <c r="EYS221" s="407"/>
      <c r="EYT221" s="407"/>
      <c r="EYU221" s="407"/>
      <c r="EYV221" s="407"/>
      <c r="EYW221" s="407"/>
      <c r="EYX221" s="407"/>
      <c r="EYY221" s="407"/>
      <c r="EYZ221" s="407"/>
      <c r="EZA221" s="407"/>
      <c r="EZB221" s="407"/>
      <c r="EZC221" s="407"/>
      <c r="EZD221" s="407"/>
      <c r="EZE221" s="407"/>
      <c r="EZF221" s="407"/>
      <c r="EZG221" s="407"/>
      <c r="EZH221" s="407"/>
      <c r="EZI221" s="407"/>
      <c r="EZJ221" s="407"/>
      <c r="EZK221" s="407"/>
      <c r="EZL221" s="407"/>
      <c r="EZM221" s="407"/>
      <c r="EZN221" s="407"/>
      <c r="EZO221" s="407"/>
      <c r="EZP221" s="407"/>
      <c r="EZQ221" s="407"/>
      <c r="EZR221" s="407"/>
      <c r="EZS221" s="407"/>
      <c r="EZT221" s="407"/>
      <c r="EZU221" s="407"/>
      <c r="EZV221" s="407"/>
      <c r="EZW221" s="407"/>
      <c r="EZX221" s="407"/>
      <c r="EZY221" s="407"/>
      <c r="EZZ221" s="407"/>
      <c r="FAA221" s="407"/>
      <c r="FAB221" s="407"/>
      <c r="FAC221" s="407"/>
      <c r="FAD221" s="407"/>
      <c r="FAE221" s="407"/>
      <c r="FAF221" s="407"/>
      <c r="FAG221" s="407"/>
      <c r="FAH221" s="407"/>
      <c r="FAI221" s="407"/>
      <c r="FAJ221" s="407"/>
      <c r="FAK221" s="407"/>
      <c r="FAL221" s="407"/>
      <c r="FAM221" s="407"/>
      <c r="FAN221" s="407"/>
      <c r="FAO221" s="407"/>
      <c r="FAP221" s="407"/>
      <c r="FAQ221" s="407"/>
      <c r="FAR221" s="407"/>
      <c r="FAS221" s="407"/>
      <c r="FAT221" s="407"/>
      <c r="FAU221" s="407"/>
      <c r="FAV221" s="407"/>
      <c r="FAW221" s="407"/>
      <c r="FAX221" s="407"/>
      <c r="FAY221" s="407"/>
      <c r="FAZ221" s="407"/>
      <c r="FBA221" s="407"/>
      <c r="FBB221" s="407"/>
      <c r="FBC221" s="407"/>
      <c r="FBD221" s="407"/>
      <c r="FBE221" s="407"/>
      <c r="FBF221" s="407"/>
      <c r="FBG221" s="407"/>
      <c r="FBH221" s="407"/>
      <c r="FBI221" s="407"/>
      <c r="FBJ221" s="407"/>
      <c r="FBK221" s="407"/>
      <c r="FBL221" s="407"/>
      <c r="FBM221" s="407"/>
      <c r="FBN221" s="407"/>
      <c r="FBO221" s="407"/>
      <c r="FBP221" s="407"/>
      <c r="FBQ221" s="407"/>
      <c r="FBR221" s="407"/>
      <c r="FBS221" s="407"/>
      <c r="FBT221" s="407"/>
      <c r="FBU221" s="407"/>
      <c r="FBV221" s="407"/>
      <c r="FBW221" s="407"/>
      <c r="FBX221" s="407"/>
      <c r="FBY221" s="407"/>
      <c r="FBZ221" s="407"/>
      <c r="FCA221" s="407"/>
      <c r="FCB221" s="407"/>
      <c r="FCC221" s="407"/>
      <c r="FCD221" s="407"/>
      <c r="FCE221" s="407"/>
      <c r="FCF221" s="407"/>
      <c r="FCG221" s="407"/>
      <c r="FCH221" s="407"/>
      <c r="FCI221" s="407"/>
      <c r="FCJ221" s="407"/>
      <c r="FCK221" s="407"/>
      <c r="FCL221" s="407"/>
      <c r="FCM221" s="407"/>
      <c r="FCN221" s="407"/>
      <c r="FCO221" s="407"/>
      <c r="FCP221" s="407"/>
      <c r="FCQ221" s="407"/>
      <c r="FCR221" s="407"/>
      <c r="FCS221" s="407"/>
      <c r="FCT221" s="407"/>
      <c r="FCU221" s="407"/>
      <c r="FCV221" s="407"/>
      <c r="FCW221" s="407"/>
      <c r="FCX221" s="407"/>
      <c r="FCY221" s="407"/>
      <c r="FCZ221" s="407"/>
      <c r="FDA221" s="407"/>
      <c r="FDB221" s="407"/>
      <c r="FDC221" s="407"/>
      <c r="FDD221" s="407"/>
      <c r="FDE221" s="407"/>
      <c r="FDF221" s="407"/>
      <c r="FDG221" s="407"/>
      <c r="FDH221" s="407"/>
      <c r="FDI221" s="407"/>
      <c r="FDJ221" s="407"/>
      <c r="FDK221" s="407"/>
      <c r="FDL221" s="407"/>
      <c r="FDM221" s="407"/>
      <c r="FDN221" s="407"/>
      <c r="FDO221" s="407"/>
      <c r="FDP221" s="407"/>
      <c r="FDQ221" s="407"/>
      <c r="FDR221" s="407"/>
      <c r="FDS221" s="407"/>
      <c r="FDT221" s="407"/>
      <c r="FDU221" s="407"/>
      <c r="FDV221" s="407"/>
      <c r="FDW221" s="407"/>
      <c r="FDX221" s="407"/>
      <c r="FDY221" s="407"/>
      <c r="FDZ221" s="407"/>
      <c r="FEA221" s="407"/>
      <c r="FEB221" s="407"/>
      <c r="FEC221" s="407"/>
      <c r="FED221" s="407"/>
      <c r="FEE221" s="407"/>
      <c r="FEF221" s="407"/>
      <c r="FEG221" s="407"/>
      <c r="FEH221" s="407"/>
      <c r="FEI221" s="407"/>
      <c r="FEJ221" s="407"/>
      <c r="FEK221" s="407"/>
      <c r="FEL221" s="407"/>
      <c r="FEM221" s="407"/>
      <c r="FEN221" s="407"/>
      <c r="FEO221" s="407"/>
      <c r="FEP221" s="407"/>
      <c r="FEQ221" s="407"/>
      <c r="FER221" s="407"/>
      <c r="FES221" s="407"/>
      <c r="FET221" s="407"/>
      <c r="FEU221" s="407"/>
      <c r="FEV221" s="407"/>
      <c r="FEW221" s="407"/>
      <c r="FEX221" s="407"/>
      <c r="FEY221" s="407"/>
      <c r="FEZ221" s="407"/>
      <c r="FFA221" s="407"/>
      <c r="FFB221" s="407"/>
      <c r="FFC221" s="407"/>
      <c r="FFD221" s="407"/>
      <c r="FFE221" s="407"/>
      <c r="FFF221" s="407"/>
      <c r="FFG221" s="407"/>
      <c r="FFH221" s="407"/>
      <c r="FFI221" s="407"/>
      <c r="FFJ221" s="407"/>
      <c r="FFK221" s="407"/>
      <c r="FFL221" s="407"/>
      <c r="FFM221" s="407"/>
      <c r="FFN221" s="407"/>
      <c r="FFO221" s="407"/>
      <c r="FFP221" s="407"/>
      <c r="FFQ221" s="407"/>
      <c r="FFR221" s="407"/>
      <c r="FFS221" s="407"/>
      <c r="FFT221" s="407"/>
      <c r="FFU221" s="407"/>
      <c r="FFV221" s="407"/>
      <c r="FFW221" s="407"/>
      <c r="FFX221" s="407"/>
      <c r="FFY221" s="407"/>
      <c r="FFZ221" s="407"/>
      <c r="FGA221" s="407"/>
      <c r="FGB221" s="407"/>
      <c r="FGC221" s="407"/>
      <c r="FGD221" s="407"/>
      <c r="FGE221" s="407"/>
      <c r="FGF221" s="407"/>
      <c r="FGG221" s="407"/>
      <c r="FGH221" s="407"/>
      <c r="FGI221" s="407"/>
      <c r="FGJ221" s="407"/>
      <c r="FGK221" s="407"/>
      <c r="FGL221" s="407"/>
      <c r="FGM221" s="407"/>
      <c r="FGN221" s="407"/>
      <c r="FGO221" s="407"/>
      <c r="FGP221" s="407"/>
      <c r="FGQ221" s="407"/>
      <c r="FGR221" s="407"/>
      <c r="FGS221" s="407"/>
      <c r="FGT221" s="407"/>
      <c r="FGU221" s="407"/>
      <c r="FGV221" s="407"/>
      <c r="FGW221" s="407"/>
      <c r="FGX221" s="407"/>
      <c r="FGY221" s="407"/>
      <c r="FGZ221" s="407"/>
      <c r="FHA221" s="407"/>
      <c r="FHB221" s="407"/>
      <c r="FHC221" s="407"/>
      <c r="FHD221" s="407"/>
      <c r="FHE221" s="407"/>
      <c r="FHF221" s="407"/>
      <c r="FHG221" s="407"/>
      <c r="FHH221" s="407"/>
      <c r="FHI221" s="407"/>
      <c r="FHJ221" s="407"/>
      <c r="FHK221" s="407"/>
      <c r="FHL221" s="407"/>
      <c r="FHM221" s="407"/>
      <c r="FHN221" s="407"/>
      <c r="FHO221" s="407"/>
      <c r="FHP221" s="407"/>
      <c r="FHQ221" s="407"/>
      <c r="FHR221" s="407"/>
      <c r="FHS221" s="407"/>
      <c r="FHT221" s="407"/>
      <c r="FHU221" s="407"/>
      <c r="FHV221" s="407"/>
      <c r="FHW221" s="407"/>
      <c r="FHX221" s="407"/>
      <c r="FHY221" s="407"/>
      <c r="FHZ221" s="407"/>
      <c r="FIA221" s="407"/>
      <c r="FIB221" s="407"/>
      <c r="FIC221" s="407"/>
      <c r="FID221" s="407"/>
      <c r="FIE221" s="407"/>
      <c r="FIF221" s="407"/>
      <c r="FIG221" s="407"/>
      <c r="FIH221" s="407"/>
      <c r="FII221" s="407"/>
      <c r="FIJ221" s="407"/>
      <c r="FIK221" s="407"/>
      <c r="FIL221" s="407"/>
      <c r="FIM221" s="407"/>
      <c r="FIN221" s="407"/>
      <c r="FIO221" s="407"/>
      <c r="FIP221" s="407"/>
      <c r="FIQ221" s="407"/>
      <c r="FIR221" s="407"/>
      <c r="FIS221" s="407"/>
      <c r="FIT221" s="407"/>
      <c r="FIU221" s="407"/>
      <c r="FIV221" s="407"/>
      <c r="FIW221" s="407"/>
      <c r="FIX221" s="407"/>
      <c r="FIY221" s="407"/>
      <c r="FIZ221" s="407"/>
      <c r="FJA221" s="407"/>
      <c r="FJB221" s="407"/>
      <c r="FJC221" s="407"/>
      <c r="FJD221" s="407"/>
      <c r="FJE221" s="407"/>
      <c r="FJF221" s="407"/>
      <c r="FJG221" s="407"/>
      <c r="FJH221" s="407"/>
      <c r="FJI221" s="407"/>
      <c r="FJJ221" s="407"/>
      <c r="FJK221" s="407"/>
      <c r="FJL221" s="407"/>
      <c r="FJM221" s="407"/>
      <c r="FJN221" s="407"/>
      <c r="FJO221" s="407"/>
      <c r="FJP221" s="407"/>
      <c r="FJQ221" s="407"/>
      <c r="FJR221" s="407"/>
      <c r="FJS221" s="407"/>
      <c r="FJT221" s="407"/>
      <c r="FJU221" s="407"/>
      <c r="FJV221" s="407"/>
      <c r="FJW221" s="407"/>
      <c r="FJX221" s="407"/>
      <c r="FJY221" s="407"/>
      <c r="FJZ221" s="407"/>
      <c r="FKA221" s="407"/>
      <c r="FKB221" s="407"/>
      <c r="FKC221" s="407"/>
      <c r="FKD221" s="407"/>
      <c r="FKE221" s="407"/>
      <c r="FKF221" s="407"/>
      <c r="FKG221" s="407"/>
      <c r="FKH221" s="407"/>
      <c r="FKI221" s="407"/>
      <c r="FKJ221" s="407"/>
      <c r="FKK221" s="407"/>
      <c r="FKL221" s="407"/>
      <c r="FKM221" s="407"/>
      <c r="FKN221" s="407"/>
      <c r="FKO221" s="407"/>
      <c r="FKP221" s="407"/>
      <c r="FKQ221" s="407"/>
      <c r="FKR221" s="407"/>
      <c r="FKS221" s="407"/>
      <c r="FKT221" s="407"/>
      <c r="FKU221" s="407"/>
      <c r="FKV221" s="407"/>
      <c r="FKW221" s="407"/>
      <c r="FKX221" s="407"/>
      <c r="FKY221" s="407"/>
      <c r="FKZ221" s="407"/>
      <c r="FLA221" s="407"/>
      <c r="FLB221" s="407"/>
      <c r="FLC221" s="407"/>
      <c r="FLD221" s="407"/>
      <c r="FLE221" s="407"/>
      <c r="FLF221" s="407"/>
      <c r="FLG221" s="407"/>
      <c r="FLH221" s="407"/>
      <c r="FLI221" s="407"/>
      <c r="FLJ221" s="407"/>
      <c r="FLK221" s="407"/>
      <c r="FLL221" s="407"/>
      <c r="FLM221" s="407"/>
      <c r="FLN221" s="407"/>
      <c r="FLO221" s="407"/>
      <c r="FLP221" s="407"/>
      <c r="FLQ221" s="407"/>
      <c r="FLR221" s="407"/>
      <c r="FLS221" s="407"/>
      <c r="FLT221" s="407"/>
      <c r="FLU221" s="407"/>
      <c r="FLV221" s="407"/>
      <c r="FLW221" s="407"/>
      <c r="FLX221" s="407"/>
      <c r="FLY221" s="407"/>
      <c r="FLZ221" s="407"/>
      <c r="FMA221" s="407"/>
      <c r="FMB221" s="407"/>
      <c r="FMC221" s="407"/>
      <c r="FMD221" s="407"/>
      <c r="FME221" s="407"/>
      <c r="FMF221" s="407"/>
      <c r="FMG221" s="407"/>
      <c r="FMH221" s="407"/>
      <c r="FMI221" s="407"/>
      <c r="FMJ221" s="407"/>
      <c r="FMK221" s="407"/>
      <c r="FML221" s="407"/>
      <c r="FMM221" s="407"/>
      <c r="FMN221" s="407"/>
      <c r="FMO221" s="407"/>
      <c r="FMP221" s="407"/>
      <c r="FMQ221" s="407"/>
      <c r="FMR221" s="407"/>
      <c r="FMS221" s="407"/>
      <c r="FMT221" s="407"/>
      <c r="FMU221" s="407"/>
      <c r="FMV221" s="407"/>
      <c r="FMW221" s="407"/>
      <c r="FMX221" s="407"/>
      <c r="FMY221" s="407"/>
      <c r="FMZ221" s="407"/>
      <c r="FNA221" s="407"/>
      <c r="FNB221" s="407"/>
      <c r="FNC221" s="407"/>
      <c r="FND221" s="407"/>
      <c r="FNE221" s="407"/>
      <c r="FNF221" s="407"/>
      <c r="FNG221" s="407"/>
      <c r="FNH221" s="407"/>
      <c r="FNI221" s="407"/>
      <c r="FNJ221" s="407"/>
      <c r="FNK221" s="407"/>
      <c r="FNL221" s="407"/>
      <c r="FNM221" s="407"/>
      <c r="FNN221" s="407"/>
      <c r="FNO221" s="407"/>
      <c r="FNP221" s="407"/>
      <c r="FNQ221" s="407"/>
      <c r="FNR221" s="407"/>
      <c r="FNS221" s="407"/>
      <c r="FNT221" s="407"/>
      <c r="FNU221" s="407"/>
      <c r="FNV221" s="407"/>
      <c r="FNW221" s="407"/>
      <c r="FNX221" s="407"/>
      <c r="FNY221" s="407"/>
      <c r="FNZ221" s="407"/>
      <c r="FOA221" s="407"/>
      <c r="FOB221" s="407"/>
      <c r="FOC221" s="407"/>
      <c r="FOD221" s="407"/>
      <c r="FOE221" s="407"/>
      <c r="FOF221" s="407"/>
      <c r="FOG221" s="407"/>
      <c r="FOH221" s="407"/>
      <c r="FOI221" s="407"/>
      <c r="FOJ221" s="407"/>
      <c r="FOK221" s="407"/>
      <c r="FOL221" s="407"/>
      <c r="FOM221" s="407"/>
      <c r="FON221" s="407"/>
      <c r="FOO221" s="407"/>
      <c r="FOP221" s="407"/>
      <c r="FOQ221" s="407"/>
      <c r="FOR221" s="407"/>
      <c r="FOS221" s="407"/>
      <c r="FOT221" s="407"/>
      <c r="FOU221" s="407"/>
      <c r="FOV221" s="407"/>
      <c r="FOW221" s="407"/>
      <c r="FOX221" s="407"/>
      <c r="FOY221" s="407"/>
      <c r="FOZ221" s="407"/>
      <c r="FPA221" s="407"/>
      <c r="FPB221" s="407"/>
      <c r="FPC221" s="407"/>
      <c r="FPD221" s="407"/>
      <c r="FPE221" s="407"/>
      <c r="FPF221" s="407"/>
      <c r="FPG221" s="407"/>
      <c r="FPH221" s="407"/>
      <c r="FPI221" s="407"/>
      <c r="FPJ221" s="407"/>
      <c r="FPK221" s="407"/>
      <c r="FPL221" s="407"/>
      <c r="FPM221" s="407"/>
      <c r="FPN221" s="407"/>
      <c r="FPO221" s="407"/>
      <c r="FPP221" s="407"/>
      <c r="FPQ221" s="407"/>
      <c r="FPR221" s="407"/>
      <c r="FPS221" s="407"/>
      <c r="FPT221" s="407"/>
      <c r="FPU221" s="407"/>
      <c r="FPV221" s="407"/>
      <c r="FPW221" s="407"/>
      <c r="FPX221" s="407"/>
      <c r="FPY221" s="407"/>
      <c r="FPZ221" s="407"/>
      <c r="FQA221" s="407"/>
      <c r="FQB221" s="407"/>
      <c r="FQC221" s="407"/>
      <c r="FQD221" s="407"/>
      <c r="FQE221" s="407"/>
      <c r="FQF221" s="407"/>
      <c r="FQG221" s="407"/>
      <c r="FQH221" s="407"/>
      <c r="FQI221" s="407"/>
      <c r="FQJ221" s="407"/>
      <c r="FQK221" s="407"/>
      <c r="FQL221" s="407"/>
      <c r="FQM221" s="407"/>
      <c r="FQN221" s="407"/>
      <c r="FQO221" s="407"/>
      <c r="FQP221" s="407"/>
      <c r="FQQ221" s="407"/>
      <c r="FQR221" s="407"/>
      <c r="FQS221" s="407"/>
      <c r="FQT221" s="407"/>
      <c r="FQU221" s="407"/>
      <c r="FQV221" s="407"/>
      <c r="FQW221" s="407"/>
      <c r="FQX221" s="407"/>
      <c r="FQY221" s="407"/>
      <c r="FQZ221" s="407"/>
      <c r="FRA221" s="407"/>
      <c r="FRB221" s="407"/>
      <c r="FRC221" s="407"/>
      <c r="FRD221" s="407"/>
      <c r="FRE221" s="407"/>
      <c r="FRF221" s="407"/>
      <c r="FRG221" s="407"/>
      <c r="FRH221" s="407"/>
      <c r="FRI221" s="407"/>
      <c r="FRJ221" s="407"/>
      <c r="FRK221" s="407"/>
      <c r="FRL221" s="407"/>
      <c r="FRM221" s="407"/>
      <c r="FRN221" s="407"/>
      <c r="FRO221" s="407"/>
      <c r="FRP221" s="407"/>
      <c r="FRQ221" s="407"/>
      <c r="FRR221" s="407"/>
      <c r="FRS221" s="407"/>
      <c r="FRT221" s="407"/>
      <c r="FRU221" s="407"/>
      <c r="FRV221" s="407"/>
      <c r="FRW221" s="407"/>
      <c r="FRX221" s="407"/>
      <c r="FRY221" s="407"/>
      <c r="FRZ221" s="407"/>
      <c r="FSA221" s="407"/>
      <c r="FSB221" s="407"/>
      <c r="FSC221" s="407"/>
      <c r="FSD221" s="407"/>
      <c r="FSE221" s="407"/>
      <c r="FSF221" s="407"/>
      <c r="FSG221" s="407"/>
      <c r="FSH221" s="407"/>
      <c r="FSI221" s="407"/>
      <c r="FSJ221" s="407"/>
      <c r="FSK221" s="407"/>
      <c r="FSL221" s="407"/>
      <c r="FSM221" s="407"/>
      <c r="FSN221" s="407"/>
      <c r="FSO221" s="407"/>
      <c r="FSP221" s="407"/>
      <c r="FSQ221" s="407"/>
      <c r="FSR221" s="407"/>
      <c r="FSS221" s="407"/>
      <c r="FST221" s="407"/>
      <c r="FSU221" s="407"/>
      <c r="FSV221" s="407"/>
      <c r="FSW221" s="407"/>
      <c r="FSX221" s="407"/>
      <c r="FSY221" s="407"/>
      <c r="FSZ221" s="407"/>
      <c r="FTA221" s="407"/>
      <c r="FTB221" s="407"/>
      <c r="FTC221" s="407"/>
      <c r="FTD221" s="407"/>
      <c r="FTE221" s="407"/>
      <c r="FTF221" s="407"/>
      <c r="FTG221" s="407"/>
      <c r="FTH221" s="407"/>
      <c r="FTI221" s="407"/>
      <c r="FTJ221" s="407"/>
      <c r="FTK221" s="407"/>
      <c r="FTL221" s="407"/>
      <c r="FTM221" s="407"/>
      <c r="FTN221" s="407"/>
      <c r="FTO221" s="407"/>
      <c r="FTP221" s="407"/>
      <c r="FTQ221" s="407"/>
      <c r="FTR221" s="407"/>
      <c r="FTS221" s="407"/>
      <c r="FTT221" s="407"/>
      <c r="FTU221" s="407"/>
      <c r="FTV221" s="407"/>
      <c r="FTW221" s="407"/>
      <c r="FTX221" s="407"/>
      <c r="FTY221" s="407"/>
      <c r="FTZ221" s="407"/>
      <c r="FUA221" s="407"/>
      <c r="FUB221" s="407"/>
      <c r="FUC221" s="407"/>
      <c r="FUD221" s="407"/>
      <c r="FUE221" s="407"/>
      <c r="FUF221" s="407"/>
      <c r="FUG221" s="407"/>
      <c r="FUH221" s="407"/>
      <c r="FUI221" s="407"/>
      <c r="FUJ221" s="407"/>
      <c r="FUK221" s="407"/>
      <c r="FUL221" s="407"/>
      <c r="FUM221" s="407"/>
      <c r="FUN221" s="407"/>
      <c r="FUO221" s="407"/>
      <c r="FUP221" s="407"/>
      <c r="FUQ221" s="407"/>
      <c r="FUR221" s="407"/>
      <c r="FUS221" s="407"/>
      <c r="FUT221" s="407"/>
      <c r="FUU221" s="407"/>
      <c r="FUV221" s="407"/>
      <c r="FUW221" s="407"/>
      <c r="FUX221" s="407"/>
      <c r="FUY221" s="407"/>
      <c r="FUZ221" s="407"/>
      <c r="FVA221" s="407"/>
      <c r="FVB221" s="407"/>
      <c r="FVC221" s="407"/>
      <c r="FVD221" s="407"/>
      <c r="FVE221" s="407"/>
      <c r="FVF221" s="407"/>
      <c r="FVG221" s="407"/>
      <c r="FVH221" s="407"/>
      <c r="FVI221" s="407"/>
      <c r="FVJ221" s="407"/>
      <c r="FVK221" s="407"/>
      <c r="FVL221" s="407"/>
      <c r="FVM221" s="407"/>
      <c r="FVN221" s="407"/>
      <c r="FVO221" s="407"/>
      <c r="FVP221" s="407"/>
      <c r="FVQ221" s="407"/>
      <c r="FVR221" s="407"/>
      <c r="FVS221" s="407"/>
      <c r="FVT221" s="407"/>
      <c r="FVU221" s="407"/>
      <c r="FVV221" s="407"/>
      <c r="FVW221" s="407"/>
      <c r="FVX221" s="407"/>
      <c r="FVY221" s="407"/>
      <c r="FVZ221" s="407"/>
      <c r="FWA221" s="407"/>
      <c r="FWB221" s="407"/>
      <c r="FWC221" s="407"/>
      <c r="FWD221" s="407"/>
      <c r="FWE221" s="407"/>
      <c r="FWF221" s="407"/>
      <c r="FWG221" s="407"/>
      <c r="FWH221" s="407"/>
      <c r="FWI221" s="407"/>
      <c r="FWJ221" s="407"/>
      <c r="FWK221" s="407"/>
      <c r="FWL221" s="407"/>
      <c r="FWM221" s="407"/>
      <c r="FWN221" s="407"/>
      <c r="FWO221" s="407"/>
      <c r="FWP221" s="407"/>
      <c r="FWQ221" s="407"/>
      <c r="FWR221" s="407"/>
      <c r="FWS221" s="407"/>
      <c r="FWT221" s="407"/>
      <c r="FWU221" s="407"/>
      <c r="FWV221" s="407"/>
      <c r="FWW221" s="407"/>
      <c r="FWX221" s="407"/>
      <c r="FWY221" s="407"/>
      <c r="FWZ221" s="407"/>
      <c r="FXA221" s="407"/>
      <c r="FXB221" s="407"/>
      <c r="FXC221" s="407"/>
      <c r="FXD221" s="407"/>
      <c r="FXE221" s="407"/>
      <c r="FXF221" s="407"/>
      <c r="FXG221" s="407"/>
      <c r="FXH221" s="407"/>
      <c r="FXI221" s="407"/>
      <c r="FXJ221" s="407"/>
      <c r="FXK221" s="407"/>
      <c r="FXL221" s="407"/>
      <c r="FXM221" s="407"/>
      <c r="FXN221" s="407"/>
      <c r="FXO221" s="407"/>
      <c r="FXP221" s="407"/>
      <c r="FXQ221" s="407"/>
      <c r="FXR221" s="407"/>
      <c r="FXS221" s="407"/>
      <c r="FXT221" s="407"/>
      <c r="FXU221" s="407"/>
      <c r="FXV221" s="407"/>
      <c r="FXW221" s="407"/>
      <c r="FXX221" s="407"/>
      <c r="FXY221" s="407"/>
      <c r="FXZ221" s="407"/>
      <c r="FYA221" s="407"/>
      <c r="FYB221" s="407"/>
      <c r="FYC221" s="407"/>
      <c r="FYD221" s="407"/>
      <c r="FYE221" s="407"/>
      <c r="FYF221" s="407"/>
      <c r="FYG221" s="407"/>
      <c r="FYH221" s="407"/>
      <c r="FYI221" s="407"/>
      <c r="FYJ221" s="407"/>
      <c r="FYK221" s="407"/>
      <c r="FYL221" s="407"/>
      <c r="FYM221" s="407"/>
      <c r="FYN221" s="407"/>
      <c r="FYO221" s="407"/>
      <c r="FYP221" s="407"/>
      <c r="FYQ221" s="407"/>
      <c r="FYR221" s="407"/>
      <c r="FYS221" s="407"/>
      <c r="FYT221" s="407"/>
      <c r="FYU221" s="407"/>
      <c r="FYV221" s="407"/>
      <c r="FYW221" s="407"/>
      <c r="FYX221" s="407"/>
      <c r="FYY221" s="407"/>
      <c r="FYZ221" s="407"/>
      <c r="FZA221" s="407"/>
      <c r="FZB221" s="407"/>
      <c r="FZC221" s="407"/>
      <c r="FZD221" s="407"/>
      <c r="FZE221" s="407"/>
      <c r="FZF221" s="407"/>
      <c r="FZG221" s="407"/>
      <c r="FZH221" s="407"/>
      <c r="FZI221" s="407"/>
      <c r="FZJ221" s="407"/>
      <c r="FZK221" s="407"/>
      <c r="FZL221" s="407"/>
      <c r="FZM221" s="407"/>
      <c r="FZN221" s="407"/>
      <c r="FZO221" s="407"/>
      <c r="FZP221" s="407"/>
      <c r="FZQ221" s="407"/>
      <c r="FZR221" s="407"/>
      <c r="FZS221" s="407"/>
      <c r="FZT221" s="407"/>
      <c r="FZU221" s="407"/>
      <c r="FZV221" s="407"/>
      <c r="FZW221" s="407"/>
      <c r="FZX221" s="407"/>
      <c r="FZY221" s="407"/>
      <c r="FZZ221" s="407"/>
      <c r="GAA221" s="407"/>
      <c r="GAB221" s="407"/>
      <c r="GAC221" s="407"/>
      <c r="GAD221" s="407"/>
      <c r="GAE221" s="407"/>
      <c r="GAF221" s="407"/>
      <c r="GAG221" s="407"/>
      <c r="GAH221" s="407"/>
      <c r="GAI221" s="407"/>
      <c r="GAJ221" s="407"/>
      <c r="GAK221" s="407"/>
      <c r="GAL221" s="407"/>
      <c r="GAM221" s="407"/>
      <c r="GAN221" s="407"/>
      <c r="GAO221" s="407"/>
      <c r="GAP221" s="407"/>
      <c r="GAQ221" s="407"/>
      <c r="GAR221" s="407"/>
      <c r="GAS221" s="407"/>
      <c r="GAT221" s="407"/>
      <c r="GAU221" s="407"/>
      <c r="GAV221" s="407"/>
      <c r="GAW221" s="407"/>
      <c r="GAX221" s="407"/>
      <c r="GAY221" s="407"/>
      <c r="GAZ221" s="407"/>
      <c r="GBA221" s="407"/>
      <c r="GBB221" s="407"/>
      <c r="GBC221" s="407"/>
      <c r="GBD221" s="407"/>
      <c r="GBE221" s="407"/>
      <c r="GBF221" s="407"/>
      <c r="GBG221" s="407"/>
      <c r="GBH221" s="407"/>
      <c r="GBI221" s="407"/>
      <c r="GBJ221" s="407"/>
      <c r="GBK221" s="407"/>
      <c r="GBL221" s="407"/>
      <c r="GBM221" s="407"/>
      <c r="GBN221" s="407"/>
      <c r="GBO221" s="407"/>
      <c r="GBP221" s="407"/>
      <c r="GBQ221" s="407"/>
      <c r="GBR221" s="407"/>
      <c r="GBS221" s="407"/>
      <c r="GBT221" s="407"/>
      <c r="GBU221" s="407"/>
      <c r="GBV221" s="407"/>
      <c r="GBW221" s="407"/>
      <c r="GBX221" s="407"/>
      <c r="GBY221" s="407"/>
      <c r="GBZ221" s="407"/>
      <c r="GCA221" s="407"/>
      <c r="GCB221" s="407"/>
      <c r="GCC221" s="407"/>
      <c r="GCD221" s="407"/>
      <c r="GCE221" s="407"/>
      <c r="GCF221" s="407"/>
      <c r="GCG221" s="407"/>
      <c r="GCH221" s="407"/>
      <c r="GCI221" s="407"/>
      <c r="GCJ221" s="407"/>
      <c r="GCK221" s="407"/>
      <c r="GCL221" s="407"/>
      <c r="GCM221" s="407"/>
      <c r="GCN221" s="407"/>
      <c r="GCO221" s="407"/>
      <c r="GCP221" s="407"/>
      <c r="GCQ221" s="407"/>
      <c r="GCR221" s="407"/>
      <c r="GCS221" s="407"/>
      <c r="GCT221" s="407"/>
      <c r="GCU221" s="407"/>
      <c r="GCV221" s="407"/>
      <c r="GCW221" s="407"/>
      <c r="GCX221" s="407"/>
      <c r="GCY221" s="407"/>
      <c r="GCZ221" s="407"/>
      <c r="GDA221" s="407"/>
      <c r="GDB221" s="407"/>
      <c r="GDC221" s="407"/>
      <c r="GDD221" s="407"/>
      <c r="GDE221" s="407"/>
      <c r="GDF221" s="407"/>
      <c r="GDG221" s="407"/>
      <c r="GDH221" s="407"/>
      <c r="GDI221" s="407"/>
      <c r="GDJ221" s="407"/>
      <c r="GDK221" s="407"/>
      <c r="GDL221" s="407"/>
      <c r="GDM221" s="407"/>
      <c r="GDN221" s="407"/>
      <c r="GDO221" s="407"/>
      <c r="GDP221" s="407"/>
      <c r="GDQ221" s="407"/>
      <c r="GDR221" s="407"/>
      <c r="GDS221" s="407"/>
      <c r="GDT221" s="407"/>
      <c r="GDU221" s="407"/>
      <c r="GDV221" s="407"/>
      <c r="GDW221" s="407"/>
      <c r="GDX221" s="407"/>
      <c r="GDY221" s="407"/>
      <c r="GDZ221" s="407"/>
      <c r="GEA221" s="407"/>
      <c r="GEB221" s="407"/>
      <c r="GEC221" s="407"/>
      <c r="GED221" s="407"/>
      <c r="GEE221" s="407"/>
      <c r="GEF221" s="407"/>
      <c r="GEG221" s="407"/>
      <c r="GEH221" s="407"/>
      <c r="GEI221" s="407"/>
      <c r="GEJ221" s="407"/>
      <c r="GEK221" s="407"/>
      <c r="GEL221" s="407"/>
      <c r="GEM221" s="407"/>
      <c r="GEN221" s="407"/>
      <c r="GEO221" s="407"/>
      <c r="GEP221" s="407"/>
      <c r="GEQ221" s="407"/>
      <c r="GER221" s="407"/>
      <c r="GES221" s="407"/>
      <c r="GET221" s="407"/>
      <c r="GEU221" s="407"/>
      <c r="GEV221" s="407"/>
      <c r="GEW221" s="407"/>
      <c r="GEX221" s="407"/>
      <c r="GEY221" s="407"/>
      <c r="GEZ221" s="407"/>
      <c r="GFA221" s="407"/>
      <c r="GFB221" s="407"/>
      <c r="GFC221" s="407"/>
      <c r="GFD221" s="407"/>
      <c r="GFE221" s="407"/>
      <c r="GFF221" s="407"/>
      <c r="GFG221" s="407"/>
      <c r="GFH221" s="407"/>
      <c r="GFI221" s="407"/>
      <c r="GFJ221" s="407"/>
      <c r="GFK221" s="407"/>
      <c r="GFL221" s="407"/>
      <c r="GFM221" s="407"/>
      <c r="GFN221" s="407"/>
      <c r="GFO221" s="407"/>
      <c r="GFP221" s="407"/>
      <c r="GFQ221" s="407"/>
      <c r="GFR221" s="407"/>
      <c r="GFS221" s="407"/>
      <c r="GFT221" s="407"/>
      <c r="GFU221" s="407"/>
      <c r="GFV221" s="407"/>
      <c r="GFW221" s="407"/>
      <c r="GFX221" s="407"/>
      <c r="GFY221" s="407"/>
      <c r="GFZ221" s="407"/>
      <c r="GGA221" s="407"/>
      <c r="GGB221" s="407"/>
      <c r="GGC221" s="407"/>
      <c r="GGD221" s="407"/>
      <c r="GGE221" s="407"/>
      <c r="GGF221" s="407"/>
      <c r="GGG221" s="407"/>
      <c r="GGH221" s="407"/>
      <c r="GGI221" s="407"/>
      <c r="GGJ221" s="407"/>
      <c r="GGK221" s="407"/>
      <c r="GGL221" s="407"/>
      <c r="GGM221" s="407"/>
      <c r="GGN221" s="407"/>
      <c r="GGO221" s="407"/>
      <c r="GGP221" s="407"/>
      <c r="GGQ221" s="407"/>
      <c r="GGR221" s="407"/>
      <c r="GGS221" s="407"/>
      <c r="GGT221" s="407"/>
      <c r="GGU221" s="407"/>
      <c r="GGV221" s="407"/>
      <c r="GGW221" s="407"/>
      <c r="GGX221" s="407"/>
      <c r="GGY221" s="407"/>
      <c r="GGZ221" s="407"/>
      <c r="GHA221" s="407"/>
      <c r="GHB221" s="407"/>
      <c r="GHC221" s="407"/>
      <c r="GHD221" s="407"/>
      <c r="GHE221" s="407"/>
      <c r="GHF221" s="407"/>
      <c r="GHG221" s="407"/>
      <c r="GHH221" s="407"/>
      <c r="GHI221" s="407"/>
      <c r="GHJ221" s="407"/>
      <c r="GHK221" s="407"/>
      <c r="GHL221" s="407"/>
      <c r="GHM221" s="407"/>
      <c r="GHN221" s="407"/>
      <c r="GHO221" s="407"/>
      <c r="GHP221" s="407"/>
      <c r="GHQ221" s="407"/>
      <c r="GHR221" s="407"/>
      <c r="GHS221" s="407"/>
      <c r="GHT221" s="407"/>
      <c r="GHU221" s="407"/>
      <c r="GHV221" s="407"/>
      <c r="GHW221" s="407"/>
      <c r="GHX221" s="407"/>
      <c r="GHY221" s="407"/>
      <c r="GHZ221" s="407"/>
      <c r="GIA221" s="407"/>
      <c r="GIB221" s="407"/>
      <c r="GIC221" s="407"/>
      <c r="GID221" s="407"/>
      <c r="GIE221" s="407"/>
      <c r="GIF221" s="407"/>
      <c r="GIG221" s="407"/>
      <c r="GIH221" s="407"/>
      <c r="GII221" s="407"/>
      <c r="GIJ221" s="407"/>
      <c r="GIK221" s="407"/>
      <c r="GIL221" s="407"/>
      <c r="GIM221" s="407"/>
      <c r="GIN221" s="407"/>
      <c r="GIO221" s="407"/>
      <c r="GIP221" s="407"/>
      <c r="GIQ221" s="407"/>
      <c r="GIR221" s="407"/>
      <c r="GIS221" s="407"/>
      <c r="GIT221" s="407"/>
      <c r="GIU221" s="407"/>
      <c r="GIV221" s="407"/>
      <c r="GIW221" s="407"/>
      <c r="GIX221" s="407"/>
      <c r="GIY221" s="407"/>
      <c r="GIZ221" s="407"/>
      <c r="GJA221" s="407"/>
      <c r="GJB221" s="407"/>
      <c r="GJC221" s="407"/>
      <c r="GJD221" s="407"/>
      <c r="GJE221" s="407"/>
      <c r="GJF221" s="407"/>
      <c r="GJG221" s="407"/>
      <c r="GJH221" s="407"/>
      <c r="GJI221" s="407"/>
      <c r="GJJ221" s="407"/>
      <c r="GJK221" s="407"/>
      <c r="GJL221" s="407"/>
      <c r="GJM221" s="407"/>
      <c r="GJN221" s="407"/>
      <c r="GJO221" s="407"/>
      <c r="GJP221" s="407"/>
      <c r="GJQ221" s="407"/>
      <c r="GJR221" s="407"/>
      <c r="GJS221" s="407"/>
      <c r="GJT221" s="407"/>
      <c r="GJU221" s="407"/>
      <c r="GJV221" s="407"/>
      <c r="GJW221" s="407"/>
      <c r="GJX221" s="407"/>
      <c r="GJY221" s="407"/>
      <c r="GJZ221" s="407"/>
      <c r="GKA221" s="407"/>
      <c r="GKB221" s="407"/>
      <c r="GKC221" s="407"/>
      <c r="GKD221" s="407"/>
      <c r="GKE221" s="407"/>
      <c r="GKF221" s="407"/>
      <c r="GKG221" s="407"/>
      <c r="GKH221" s="407"/>
      <c r="GKI221" s="407"/>
      <c r="GKJ221" s="407"/>
      <c r="GKK221" s="407"/>
      <c r="GKL221" s="407"/>
      <c r="GKM221" s="407"/>
      <c r="GKN221" s="407"/>
      <c r="GKO221" s="407"/>
      <c r="GKP221" s="407"/>
      <c r="GKQ221" s="407"/>
      <c r="GKR221" s="407"/>
      <c r="GKS221" s="407"/>
      <c r="GKT221" s="407"/>
      <c r="GKU221" s="407"/>
      <c r="GKV221" s="407"/>
      <c r="GKW221" s="407"/>
      <c r="GKX221" s="407"/>
      <c r="GKY221" s="407"/>
      <c r="GKZ221" s="407"/>
      <c r="GLA221" s="407"/>
      <c r="GLB221" s="407"/>
      <c r="GLC221" s="407"/>
      <c r="GLD221" s="407"/>
      <c r="GLE221" s="407"/>
      <c r="GLF221" s="407"/>
      <c r="GLG221" s="407"/>
      <c r="GLH221" s="407"/>
      <c r="GLI221" s="407"/>
      <c r="GLJ221" s="407"/>
      <c r="GLK221" s="407"/>
      <c r="GLL221" s="407"/>
      <c r="GLM221" s="407"/>
      <c r="GLN221" s="407"/>
      <c r="GLO221" s="407"/>
      <c r="GLP221" s="407"/>
      <c r="GLQ221" s="407"/>
      <c r="GLR221" s="407"/>
      <c r="GLS221" s="407"/>
      <c r="GLT221" s="407"/>
      <c r="GLU221" s="407"/>
      <c r="GLV221" s="407"/>
      <c r="GLW221" s="407"/>
      <c r="GLX221" s="407"/>
      <c r="GLY221" s="407"/>
      <c r="GLZ221" s="407"/>
      <c r="GMA221" s="407"/>
      <c r="GMB221" s="407"/>
      <c r="GMC221" s="407"/>
      <c r="GMD221" s="407"/>
      <c r="GME221" s="407"/>
      <c r="GMF221" s="407"/>
      <c r="GMG221" s="407"/>
      <c r="GMH221" s="407"/>
      <c r="GMI221" s="407"/>
      <c r="GMJ221" s="407"/>
      <c r="GMK221" s="407"/>
      <c r="GML221" s="407"/>
      <c r="GMM221" s="407"/>
      <c r="GMN221" s="407"/>
      <c r="GMO221" s="407"/>
      <c r="GMP221" s="407"/>
      <c r="GMQ221" s="407"/>
      <c r="GMR221" s="407"/>
      <c r="GMS221" s="407"/>
      <c r="GMT221" s="407"/>
      <c r="GMU221" s="407"/>
      <c r="GMV221" s="407"/>
      <c r="GMW221" s="407"/>
      <c r="GMX221" s="407"/>
      <c r="GMY221" s="407"/>
      <c r="GMZ221" s="407"/>
      <c r="GNA221" s="407"/>
      <c r="GNB221" s="407"/>
      <c r="GNC221" s="407"/>
      <c r="GND221" s="407"/>
      <c r="GNE221" s="407"/>
      <c r="GNF221" s="407"/>
      <c r="GNG221" s="407"/>
      <c r="GNH221" s="407"/>
      <c r="GNI221" s="407"/>
      <c r="GNJ221" s="407"/>
      <c r="GNK221" s="407"/>
      <c r="GNL221" s="407"/>
      <c r="GNM221" s="407"/>
      <c r="GNN221" s="407"/>
      <c r="GNO221" s="407"/>
      <c r="GNP221" s="407"/>
      <c r="GNQ221" s="407"/>
      <c r="GNR221" s="407"/>
      <c r="GNS221" s="407"/>
      <c r="GNT221" s="407"/>
      <c r="GNU221" s="407"/>
      <c r="GNV221" s="407"/>
      <c r="GNW221" s="407"/>
      <c r="GNX221" s="407"/>
      <c r="GNY221" s="407"/>
      <c r="GNZ221" s="407"/>
      <c r="GOA221" s="407"/>
      <c r="GOB221" s="407"/>
      <c r="GOC221" s="407"/>
      <c r="GOD221" s="407"/>
      <c r="GOE221" s="407"/>
      <c r="GOF221" s="407"/>
      <c r="GOG221" s="407"/>
      <c r="GOH221" s="407"/>
      <c r="GOI221" s="407"/>
      <c r="GOJ221" s="407"/>
      <c r="GOK221" s="407"/>
      <c r="GOL221" s="407"/>
      <c r="GOM221" s="407"/>
      <c r="GON221" s="407"/>
      <c r="GOO221" s="407"/>
      <c r="GOP221" s="407"/>
      <c r="GOQ221" s="407"/>
      <c r="GOR221" s="407"/>
      <c r="GOS221" s="407"/>
      <c r="GOT221" s="407"/>
      <c r="GOU221" s="407"/>
      <c r="GOV221" s="407"/>
      <c r="GOW221" s="407"/>
      <c r="GOX221" s="407"/>
      <c r="GOY221" s="407"/>
      <c r="GOZ221" s="407"/>
      <c r="GPA221" s="407"/>
      <c r="GPB221" s="407"/>
      <c r="GPC221" s="407"/>
      <c r="GPD221" s="407"/>
      <c r="GPE221" s="407"/>
      <c r="GPF221" s="407"/>
      <c r="GPG221" s="407"/>
      <c r="GPH221" s="407"/>
      <c r="GPI221" s="407"/>
      <c r="GPJ221" s="407"/>
      <c r="GPK221" s="407"/>
      <c r="GPL221" s="407"/>
      <c r="GPM221" s="407"/>
      <c r="GPN221" s="407"/>
      <c r="GPO221" s="407"/>
      <c r="GPP221" s="407"/>
      <c r="GPQ221" s="407"/>
      <c r="GPR221" s="407"/>
      <c r="GPS221" s="407"/>
      <c r="GPT221" s="407"/>
      <c r="GPU221" s="407"/>
      <c r="GPV221" s="407"/>
      <c r="GPW221" s="407"/>
      <c r="GPX221" s="407"/>
      <c r="GPY221" s="407"/>
      <c r="GPZ221" s="407"/>
      <c r="GQA221" s="407"/>
      <c r="GQB221" s="407"/>
      <c r="GQC221" s="407"/>
      <c r="GQD221" s="407"/>
      <c r="GQE221" s="407"/>
      <c r="GQF221" s="407"/>
      <c r="GQG221" s="407"/>
      <c r="GQH221" s="407"/>
      <c r="GQI221" s="407"/>
      <c r="GQJ221" s="407"/>
      <c r="GQK221" s="407"/>
      <c r="GQL221" s="407"/>
      <c r="GQM221" s="407"/>
      <c r="GQN221" s="407"/>
      <c r="GQO221" s="407"/>
      <c r="GQP221" s="407"/>
      <c r="GQQ221" s="407"/>
      <c r="GQR221" s="407"/>
      <c r="GQS221" s="407"/>
      <c r="GQT221" s="407"/>
      <c r="GQU221" s="407"/>
      <c r="GQV221" s="407"/>
      <c r="GQW221" s="407"/>
      <c r="GQX221" s="407"/>
      <c r="GQY221" s="407"/>
      <c r="GQZ221" s="407"/>
      <c r="GRA221" s="407"/>
      <c r="GRB221" s="407"/>
      <c r="GRC221" s="407"/>
      <c r="GRD221" s="407"/>
      <c r="GRE221" s="407"/>
      <c r="GRF221" s="407"/>
      <c r="GRG221" s="407"/>
      <c r="GRH221" s="407"/>
      <c r="GRI221" s="407"/>
      <c r="GRJ221" s="407"/>
      <c r="GRK221" s="407"/>
      <c r="GRL221" s="407"/>
      <c r="GRM221" s="407"/>
      <c r="GRN221" s="407"/>
      <c r="GRO221" s="407"/>
      <c r="GRP221" s="407"/>
      <c r="GRQ221" s="407"/>
      <c r="GRR221" s="407"/>
      <c r="GRS221" s="407"/>
      <c r="GRT221" s="407"/>
      <c r="GRU221" s="407"/>
      <c r="GRV221" s="407"/>
      <c r="GRW221" s="407"/>
      <c r="GRX221" s="407"/>
      <c r="GRY221" s="407"/>
      <c r="GRZ221" s="407"/>
      <c r="GSA221" s="407"/>
      <c r="GSB221" s="407"/>
      <c r="GSC221" s="407"/>
      <c r="GSD221" s="407"/>
      <c r="GSE221" s="407"/>
      <c r="GSF221" s="407"/>
      <c r="GSG221" s="407"/>
      <c r="GSH221" s="407"/>
      <c r="GSI221" s="407"/>
      <c r="GSJ221" s="407"/>
      <c r="GSK221" s="407"/>
      <c r="GSL221" s="407"/>
      <c r="GSM221" s="407"/>
      <c r="GSN221" s="407"/>
      <c r="GSO221" s="407"/>
      <c r="GSP221" s="407"/>
      <c r="GSQ221" s="407"/>
      <c r="GSR221" s="407"/>
      <c r="GSS221" s="407"/>
      <c r="GST221" s="407"/>
      <c r="GSU221" s="407"/>
      <c r="GSV221" s="407"/>
      <c r="GSW221" s="407"/>
      <c r="GSX221" s="407"/>
      <c r="GSY221" s="407"/>
      <c r="GSZ221" s="407"/>
      <c r="GTA221" s="407"/>
      <c r="GTB221" s="407"/>
      <c r="GTC221" s="407"/>
      <c r="GTD221" s="407"/>
      <c r="GTE221" s="407"/>
      <c r="GTF221" s="407"/>
      <c r="GTG221" s="407"/>
      <c r="GTH221" s="407"/>
      <c r="GTI221" s="407"/>
      <c r="GTJ221" s="407"/>
      <c r="GTK221" s="407"/>
      <c r="GTL221" s="407"/>
      <c r="GTM221" s="407"/>
      <c r="GTN221" s="407"/>
      <c r="GTO221" s="407"/>
      <c r="GTP221" s="407"/>
      <c r="GTQ221" s="407"/>
      <c r="GTR221" s="407"/>
      <c r="GTS221" s="407"/>
      <c r="GTT221" s="407"/>
      <c r="GTU221" s="407"/>
      <c r="GTV221" s="407"/>
      <c r="GTW221" s="407"/>
      <c r="GTX221" s="407"/>
      <c r="GTY221" s="407"/>
      <c r="GTZ221" s="407"/>
      <c r="GUA221" s="407"/>
      <c r="GUB221" s="407"/>
      <c r="GUC221" s="407"/>
      <c r="GUD221" s="407"/>
      <c r="GUE221" s="407"/>
      <c r="GUF221" s="407"/>
      <c r="GUG221" s="407"/>
      <c r="GUH221" s="407"/>
      <c r="GUI221" s="407"/>
      <c r="GUJ221" s="407"/>
      <c r="GUK221" s="407"/>
      <c r="GUL221" s="407"/>
      <c r="GUM221" s="407"/>
      <c r="GUN221" s="407"/>
      <c r="GUO221" s="407"/>
      <c r="GUP221" s="407"/>
      <c r="GUQ221" s="407"/>
      <c r="GUR221" s="407"/>
      <c r="GUS221" s="407"/>
      <c r="GUT221" s="407"/>
      <c r="GUU221" s="407"/>
      <c r="GUV221" s="407"/>
      <c r="GUW221" s="407"/>
      <c r="GUX221" s="407"/>
      <c r="GUY221" s="407"/>
      <c r="GUZ221" s="407"/>
      <c r="GVA221" s="407"/>
      <c r="GVB221" s="407"/>
      <c r="GVC221" s="407"/>
      <c r="GVD221" s="407"/>
      <c r="GVE221" s="407"/>
      <c r="GVF221" s="407"/>
      <c r="GVG221" s="407"/>
      <c r="GVH221" s="407"/>
      <c r="GVI221" s="407"/>
      <c r="GVJ221" s="407"/>
      <c r="GVK221" s="407"/>
      <c r="GVL221" s="407"/>
      <c r="GVM221" s="407"/>
      <c r="GVN221" s="407"/>
      <c r="GVO221" s="407"/>
      <c r="GVP221" s="407"/>
      <c r="GVQ221" s="407"/>
      <c r="GVR221" s="407"/>
      <c r="GVS221" s="407"/>
      <c r="GVT221" s="407"/>
      <c r="GVU221" s="407"/>
      <c r="GVV221" s="407"/>
      <c r="GVW221" s="407"/>
      <c r="GVX221" s="407"/>
      <c r="GVY221" s="407"/>
      <c r="GVZ221" s="407"/>
      <c r="GWA221" s="407"/>
      <c r="GWB221" s="407"/>
      <c r="GWC221" s="407"/>
      <c r="GWD221" s="407"/>
      <c r="GWE221" s="407"/>
      <c r="GWF221" s="407"/>
      <c r="GWG221" s="407"/>
      <c r="GWH221" s="407"/>
      <c r="GWI221" s="407"/>
      <c r="GWJ221" s="407"/>
      <c r="GWK221" s="407"/>
      <c r="GWL221" s="407"/>
      <c r="GWM221" s="407"/>
      <c r="GWN221" s="407"/>
      <c r="GWO221" s="407"/>
      <c r="GWP221" s="407"/>
      <c r="GWQ221" s="407"/>
      <c r="GWR221" s="407"/>
      <c r="GWS221" s="407"/>
      <c r="GWT221" s="407"/>
      <c r="GWU221" s="407"/>
      <c r="GWV221" s="407"/>
      <c r="GWW221" s="407"/>
      <c r="GWX221" s="407"/>
      <c r="GWY221" s="407"/>
      <c r="GWZ221" s="407"/>
      <c r="GXA221" s="407"/>
      <c r="GXB221" s="407"/>
      <c r="GXC221" s="407"/>
      <c r="GXD221" s="407"/>
      <c r="GXE221" s="407"/>
      <c r="GXF221" s="407"/>
      <c r="GXG221" s="407"/>
      <c r="GXH221" s="407"/>
      <c r="GXI221" s="407"/>
      <c r="GXJ221" s="407"/>
      <c r="GXK221" s="407"/>
      <c r="GXL221" s="407"/>
      <c r="GXM221" s="407"/>
      <c r="GXN221" s="407"/>
      <c r="GXO221" s="407"/>
      <c r="GXP221" s="407"/>
      <c r="GXQ221" s="407"/>
      <c r="GXR221" s="407"/>
      <c r="GXS221" s="407"/>
      <c r="GXT221" s="407"/>
      <c r="GXU221" s="407"/>
      <c r="GXV221" s="407"/>
      <c r="GXW221" s="407"/>
      <c r="GXX221" s="407"/>
      <c r="GXY221" s="407"/>
      <c r="GXZ221" s="407"/>
      <c r="GYA221" s="407"/>
      <c r="GYB221" s="407"/>
      <c r="GYC221" s="407"/>
      <c r="GYD221" s="407"/>
      <c r="GYE221" s="407"/>
      <c r="GYF221" s="407"/>
      <c r="GYG221" s="407"/>
      <c r="GYH221" s="407"/>
      <c r="GYI221" s="407"/>
      <c r="GYJ221" s="407"/>
      <c r="GYK221" s="407"/>
      <c r="GYL221" s="407"/>
      <c r="GYM221" s="407"/>
      <c r="GYN221" s="407"/>
      <c r="GYO221" s="407"/>
      <c r="GYP221" s="407"/>
      <c r="GYQ221" s="407"/>
      <c r="GYR221" s="407"/>
      <c r="GYS221" s="407"/>
      <c r="GYT221" s="407"/>
      <c r="GYU221" s="407"/>
      <c r="GYV221" s="407"/>
      <c r="GYW221" s="407"/>
      <c r="GYX221" s="407"/>
      <c r="GYY221" s="407"/>
      <c r="GYZ221" s="407"/>
      <c r="GZA221" s="407"/>
      <c r="GZB221" s="407"/>
      <c r="GZC221" s="407"/>
      <c r="GZD221" s="407"/>
      <c r="GZE221" s="407"/>
      <c r="GZF221" s="407"/>
      <c r="GZG221" s="407"/>
      <c r="GZH221" s="407"/>
      <c r="GZI221" s="407"/>
      <c r="GZJ221" s="407"/>
      <c r="GZK221" s="407"/>
      <c r="GZL221" s="407"/>
      <c r="GZM221" s="407"/>
      <c r="GZN221" s="407"/>
      <c r="GZO221" s="407"/>
      <c r="GZP221" s="407"/>
      <c r="GZQ221" s="407"/>
      <c r="GZR221" s="407"/>
      <c r="GZS221" s="407"/>
      <c r="GZT221" s="407"/>
      <c r="GZU221" s="407"/>
      <c r="GZV221" s="407"/>
      <c r="GZW221" s="407"/>
      <c r="GZX221" s="407"/>
      <c r="GZY221" s="407"/>
      <c r="GZZ221" s="407"/>
      <c r="HAA221" s="407"/>
      <c r="HAB221" s="407"/>
      <c r="HAC221" s="407"/>
      <c r="HAD221" s="407"/>
      <c r="HAE221" s="407"/>
      <c r="HAF221" s="407"/>
      <c r="HAG221" s="407"/>
      <c r="HAH221" s="407"/>
      <c r="HAI221" s="407"/>
      <c r="HAJ221" s="407"/>
      <c r="HAK221" s="407"/>
      <c r="HAL221" s="407"/>
      <c r="HAM221" s="407"/>
      <c r="HAN221" s="407"/>
      <c r="HAO221" s="407"/>
      <c r="HAP221" s="407"/>
      <c r="HAQ221" s="407"/>
      <c r="HAR221" s="407"/>
      <c r="HAS221" s="407"/>
      <c r="HAT221" s="407"/>
      <c r="HAU221" s="407"/>
      <c r="HAV221" s="407"/>
      <c r="HAW221" s="407"/>
      <c r="HAX221" s="407"/>
      <c r="HAY221" s="407"/>
      <c r="HAZ221" s="407"/>
      <c r="HBA221" s="407"/>
      <c r="HBB221" s="407"/>
      <c r="HBC221" s="407"/>
      <c r="HBD221" s="407"/>
      <c r="HBE221" s="407"/>
      <c r="HBF221" s="407"/>
      <c r="HBG221" s="407"/>
      <c r="HBH221" s="407"/>
      <c r="HBI221" s="407"/>
      <c r="HBJ221" s="407"/>
      <c r="HBK221" s="407"/>
      <c r="HBL221" s="407"/>
      <c r="HBM221" s="407"/>
      <c r="HBN221" s="407"/>
      <c r="HBO221" s="407"/>
      <c r="HBP221" s="407"/>
      <c r="HBQ221" s="407"/>
      <c r="HBR221" s="407"/>
      <c r="HBS221" s="407"/>
      <c r="HBT221" s="407"/>
      <c r="HBU221" s="407"/>
      <c r="HBV221" s="407"/>
      <c r="HBW221" s="407"/>
      <c r="HBX221" s="407"/>
      <c r="HBY221" s="407"/>
      <c r="HBZ221" s="407"/>
      <c r="HCA221" s="407"/>
      <c r="HCB221" s="407"/>
      <c r="HCC221" s="407"/>
      <c r="HCD221" s="407"/>
      <c r="HCE221" s="407"/>
      <c r="HCF221" s="407"/>
      <c r="HCG221" s="407"/>
      <c r="HCH221" s="407"/>
      <c r="HCI221" s="407"/>
      <c r="HCJ221" s="407"/>
      <c r="HCK221" s="407"/>
      <c r="HCL221" s="407"/>
      <c r="HCM221" s="407"/>
      <c r="HCN221" s="407"/>
      <c r="HCO221" s="407"/>
      <c r="HCP221" s="407"/>
      <c r="HCQ221" s="407"/>
      <c r="HCR221" s="407"/>
      <c r="HCS221" s="407"/>
      <c r="HCT221" s="407"/>
      <c r="HCU221" s="407"/>
      <c r="HCV221" s="407"/>
      <c r="HCW221" s="407"/>
      <c r="HCX221" s="407"/>
      <c r="HCY221" s="407"/>
      <c r="HCZ221" s="407"/>
      <c r="HDA221" s="407"/>
      <c r="HDB221" s="407"/>
      <c r="HDC221" s="407"/>
      <c r="HDD221" s="407"/>
      <c r="HDE221" s="407"/>
      <c r="HDF221" s="407"/>
      <c r="HDG221" s="407"/>
      <c r="HDH221" s="407"/>
      <c r="HDI221" s="407"/>
      <c r="HDJ221" s="407"/>
      <c r="HDK221" s="407"/>
      <c r="HDL221" s="407"/>
      <c r="HDM221" s="407"/>
      <c r="HDN221" s="407"/>
      <c r="HDO221" s="407"/>
      <c r="HDP221" s="407"/>
      <c r="HDQ221" s="407"/>
      <c r="HDR221" s="407"/>
      <c r="HDS221" s="407"/>
      <c r="HDT221" s="407"/>
      <c r="HDU221" s="407"/>
      <c r="HDV221" s="407"/>
      <c r="HDW221" s="407"/>
      <c r="HDX221" s="407"/>
      <c r="HDY221" s="407"/>
      <c r="HDZ221" s="407"/>
      <c r="HEA221" s="407"/>
      <c r="HEB221" s="407"/>
      <c r="HEC221" s="407"/>
      <c r="HED221" s="407"/>
      <c r="HEE221" s="407"/>
      <c r="HEF221" s="407"/>
      <c r="HEG221" s="407"/>
      <c r="HEH221" s="407"/>
      <c r="HEI221" s="407"/>
      <c r="HEJ221" s="407"/>
      <c r="HEK221" s="407"/>
      <c r="HEL221" s="407"/>
      <c r="HEM221" s="407"/>
      <c r="HEN221" s="407"/>
      <c r="HEO221" s="407"/>
      <c r="HEP221" s="407"/>
      <c r="HEQ221" s="407"/>
      <c r="HER221" s="407"/>
      <c r="HES221" s="407"/>
      <c r="HET221" s="407"/>
      <c r="HEU221" s="407"/>
      <c r="HEV221" s="407"/>
      <c r="HEW221" s="407"/>
      <c r="HEX221" s="407"/>
      <c r="HEY221" s="407"/>
      <c r="HEZ221" s="407"/>
      <c r="HFA221" s="407"/>
      <c r="HFB221" s="407"/>
      <c r="HFC221" s="407"/>
      <c r="HFD221" s="407"/>
      <c r="HFE221" s="407"/>
      <c r="HFF221" s="407"/>
      <c r="HFG221" s="407"/>
      <c r="HFH221" s="407"/>
      <c r="HFI221" s="407"/>
      <c r="HFJ221" s="407"/>
      <c r="HFK221" s="407"/>
      <c r="HFL221" s="407"/>
      <c r="HFM221" s="407"/>
      <c r="HFN221" s="407"/>
      <c r="HFO221" s="407"/>
      <c r="HFP221" s="407"/>
      <c r="HFQ221" s="407"/>
      <c r="HFR221" s="407"/>
      <c r="HFS221" s="407"/>
      <c r="HFT221" s="407"/>
      <c r="HFU221" s="407"/>
      <c r="HFV221" s="407"/>
      <c r="HFW221" s="407"/>
      <c r="HFX221" s="407"/>
      <c r="HFY221" s="407"/>
      <c r="HFZ221" s="407"/>
      <c r="HGA221" s="407"/>
      <c r="HGB221" s="407"/>
      <c r="HGC221" s="407"/>
      <c r="HGD221" s="407"/>
      <c r="HGE221" s="407"/>
      <c r="HGF221" s="407"/>
      <c r="HGG221" s="407"/>
      <c r="HGH221" s="407"/>
      <c r="HGI221" s="407"/>
      <c r="HGJ221" s="407"/>
      <c r="HGK221" s="407"/>
      <c r="HGL221" s="407"/>
      <c r="HGM221" s="407"/>
      <c r="HGN221" s="407"/>
      <c r="HGO221" s="407"/>
      <c r="HGP221" s="407"/>
      <c r="HGQ221" s="407"/>
      <c r="HGR221" s="407"/>
      <c r="HGS221" s="407"/>
      <c r="HGT221" s="407"/>
      <c r="HGU221" s="407"/>
      <c r="HGV221" s="407"/>
      <c r="HGW221" s="407"/>
      <c r="HGX221" s="407"/>
      <c r="HGY221" s="407"/>
      <c r="HGZ221" s="407"/>
      <c r="HHA221" s="407"/>
      <c r="HHB221" s="407"/>
      <c r="HHC221" s="407"/>
      <c r="HHD221" s="407"/>
      <c r="HHE221" s="407"/>
      <c r="HHF221" s="407"/>
      <c r="HHG221" s="407"/>
      <c r="HHH221" s="407"/>
      <c r="HHI221" s="407"/>
      <c r="HHJ221" s="407"/>
      <c r="HHK221" s="407"/>
      <c r="HHL221" s="407"/>
      <c r="HHM221" s="407"/>
      <c r="HHN221" s="407"/>
      <c r="HHO221" s="407"/>
      <c r="HHP221" s="407"/>
      <c r="HHQ221" s="407"/>
      <c r="HHR221" s="407"/>
      <c r="HHS221" s="407"/>
      <c r="HHT221" s="407"/>
      <c r="HHU221" s="407"/>
      <c r="HHV221" s="407"/>
      <c r="HHW221" s="407"/>
      <c r="HHX221" s="407"/>
      <c r="HHY221" s="407"/>
      <c r="HHZ221" s="407"/>
      <c r="HIA221" s="407"/>
      <c r="HIB221" s="407"/>
      <c r="HIC221" s="407"/>
      <c r="HID221" s="407"/>
      <c r="HIE221" s="407"/>
      <c r="HIF221" s="407"/>
      <c r="HIG221" s="407"/>
      <c r="HIH221" s="407"/>
      <c r="HII221" s="407"/>
      <c r="HIJ221" s="407"/>
      <c r="HIK221" s="407"/>
      <c r="HIL221" s="407"/>
      <c r="HIM221" s="407"/>
      <c r="HIN221" s="407"/>
      <c r="HIO221" s="407"/>
      <c r="HIP221" s="407"/>
      <c r="HIQ221" s="407"/>
      <c r="HIR221" s="407"/>
      <c r="HIS221" s="407"/>
      <c r="HIT221" s="407"/>
      <c r="HIU221" s="407"/>
      <c r="HIV221" s="407"/>
      <c r="HIW221" s="407"/>
      <c r="HIX221" s="407"/>
      <c r="HIY221" s="407"/>
      <c r="HIZ221" s="407"/>
      <c r="HJA221" s="407"/>
      <c r="HJB221" s="407"/>
      <c r="HJC221" s="407"/>
      <c r="HJD221" s="407"/>
      <c r="HJE221" s="407"/>
      <c r="HJF221" s="407"/>
      <c r="HJG221" s="407"/>
      <c r="HJH221" s="407"/>
      <c r="HJI221" s="407"/>
      <c r="HJJ221" s="407"/>
      <c r="HJK221" s="407"/>
      <c r="HJL221" s="407"/>
      <c r="HJM221" s="407"/>
      <c r="HJN221" s="407"/>
      <c r="HJO221" s="407"/>
      <c r="HJP221" s="407"/>
      <c r="HJQ221" s="407"/>
      <c r="HJR221" s="407"/>
      <c r="HJS221" s="407"/>
      <c r="HJT221" s="407"/>
      <c r="HJU221" s="407"/>
      <c r="HJV221" s="407"/>
      <c r="HJW221" s="407"/>
      <c r="HJX221" s="407"/>
      <c r="HJY221" s="407"/>
      <c r="HJZ221" s="407"/>
      <c r="HKA221" s="407"/>
      <c r="HKB221" s="407"/>
      <c r="HKC221" s="407"/>
      <c r="HKD221" s="407"/>
      <c r="HKE221" s="407"/>
      <c r="HKF221" s="407"/>
      <c r="HKG221" s="407"/>
      <c r="HKH221" s="407"/>
      <c r="HKI221" s="407"/>
      <c r="HKJ221" s="407"/>
      <c r="HKK221" s="407"/>
      <c r="HKL221" s="407"/>
      <c r="HKM221" s="407"/>
      <c r="HKN221" s="407"/>
      <c r="HKO221" s="407"/>
      <c r="HKP221" s="407"/>
      <c r="HKQ221" s="407"/>
      <c r="HKR221" s="407"/>
      <c r="HKS221" s="407"/>
      <c r="HKT221" s="407"/>
      <c r="HKU221" s="407"/>
      <c r="HKV221" s="407"/>
      <c r="HKW221" s="407"/>
      <c r="HKX221" s="407"/>
      <c r="HKY221" s="407"/>
      <c r="HKZ221" s="407"/>
      <c r="HLA221" s="407"/>
      <c r="HLB221" s="407"/>
      <c r="HLC221" s="407"/>
      <c r="HLD221" s="407"/>
      <c r="HLE221" s="407"/>
      <c r="HLF221" s="407"/>
      <c r="HLG221" s="407"/>
      <c r="HLH221" s="407"/>
      <c r="HLI221" s="407"/>
      <c r="HLJ221" s="407"/>
      <c r="HLK221" s="407"/>
      <c r="HLL221" s="407"/>
      <c r="HLM221" s="407"/>
      <c r="HLN221" s="407"/>
      <c r="HLO221" s="407"/>
      <c r="HLP221" s="407"/>
      <c r="HLQ221" s="407"/>
      <c r="HLR221" s="407"/>
      <c r="HLS221" s="407"/>
      <c r="HLT221" s="407"/>
      <c r="HLU221" s="407"/>
      <c r="HLV221" s="407"/>
      <c r="HLW221" s="407"/>
      <c r="HLX221" s="407"/>
      <c r="HLY221" s="407"/>
      <c r="HLZ221" s="407"/>
      <c r="HMA221" s="407"/>
      <c r="HMB221" s="407"/>
      <c r="HMC221" s="407"/>
      <c r="HMD221" s="407"/>
      <c r="HME221" s="407"/>
      <c r="HMF221" s="407"/>
      <c r="HMG221" s="407"/>
      <c r="HMH221" s="407"/>
      <c r="HMI221" s="407"/>
      <c r="HMJ221" s="407"/>
      <c r="HMK221" s="407"/>
      <c r="HML221" s="407"/>
      <c r="HMM221" s="407"/>
      <c r="HMN221" s="407"/>
      <c r="HMO221" s="407"/>
      <c r="HMP221" s="407"/>
      <c r="HMQ221" s="407"/>
      <c r="HMR221" s="407"/>
      <c r="HMS221" s="407"/>
      <c r="HMT221" s="407"/>
      <c r="HMU221" s="407"/>
      <c r="HMV221" s="407"/>
      <c r="HMW221" s="407"/>
      <c r="HMX221" s="407"/>
      <c r="HMY221" s="407"/>
      <c r="HMZ221" s="407"/>
      <c r="HNA221" s="407"/>
      <c r="HNB221" s="407"/>
      <c r="HNC221" s="407"/>
      <c r="HND221" s="407"/>
      <c r="HNE221" s="407"/>
      <c r="HNF221" s="407"/>
      <c r="HNG221" s="407"/>
      <c r="HNH221" s="407"/>
      <c r="HNI221" s="407"/>
      <c r="HNJ221" s="407"/>
      <c r="HNK221" s="407"/>
      <c r="HNL221" s="407"/>
      <c r="HNM221" s="407"/>
      <c r="HNN221" s="407"/>
      <c r="HNO221" s="407"/>
      <c r="HNP221" s="407"/>
      <c r="HNQ221" s="407"/>
      <c r="HNR221" s="407"/>
      <c r="HNS221" s="407"/>
      <c r="HNT221" s="407"/>
      <c r="HNU221" s="407"/>
      <c r="HNV221" s="407"/>
      <c r="HNW221" s="407"/>
      <c r="HNX221" s="407"/>
      <c r="HNY221" s="407"/>
      <c r="HNZ221" s="407"/>
      <c r="HOA221" s="407"/>
      <c r="HOB221" s="407"/>
      <c r="HOC221" s="407"/>
      <c r="HOD221" s="407"/>
      <c r="HOE221" s="407"/>
      <c r="HOF221" s="407"/>
      <c r="HOG221" s="407"/>
      <c r="HOH221" s="407"/>
      <c r="HOI221" s="407"/>
      <c r="HOJ221" s="407"/>
      <c r="HOK221" s="407"/>
      <c r="HOL221" s="407"/>
      <c r="HOM221" s="407"/>
      <c r="HON221" s="407"/>
      <c r="HOO221" s="407"/>
      <c r="HOP221" s="407"/>
      <c r="HOQ221" s="407"/>
      <c r="HOR221" s="407"/>
      <c r="HOS221" s="407"/>
      <c r="HOT221" s="407"/>
      <c r="HOU221" s="407"/>
      <c r="HOV221" s="407"/>
      <c r="HOW221" s="407"/>
      <c r="HOX221" s="407"/>
      <c r="HOY221" s="407"/>
      <c r="HOZ221" s="407"/>
      <c r="HPA221" s="407"/>
      <c r="HPB221" s="407"/>
      <c r="HPC221" s="407"/>
      <c r="HPD221" s="407"/>
      <c r="HPE221" s="407"/>
      <c r="HPF221" s="407"/>
      <c r="HPG221" s="407"/>
      <c r="HPH221" s="407"/>
      <c r="HPI221" s="407"/>
      <c r="HPJ221" s="407"/>
      <c r="HPK221" s="407"/>
      <c r="HPL221" s="407"/>
      <c r="HPM221" s="407"/>
      <c r="HPN221" s="407"/>
      <c r="HPO221" s="407"/>
      <c r="HPP221" s="407"/>
      <c r="HPQ221" s="407"/>
      <c r="HPR221" s="407"/>
      <c r="HPS221" s="407"/>
      <c r="HPT221" s="407"/>
      <c r="HPU221" s="407"/>
      <c r="HPV221" s="407"/>
      <c r="HPW221" s="407"/>
      <c r="HPX221" s="407"/>
      <c r="HPY221" s="407"/>
      <c r="HPZ221" s="407"/>
      <c r="HQA221" s="407"/>
      <c r="HQB221" s="407"/>
      <c r="HQC221" s="407"/>
      <c r="HQD221" s="407"/>
      <c r="HQE221" s="407"/>
      <c r="HQF221" s="407"/>
      <c r="HQG221" s="407"/>
      <c r="HQH221" s="407"/>
      <c r="HQI221" s="407"/>
      <c r="HQJ221" s="407"/>
      <c r="HQK221" s="407"/>
      <c r="HQL221" s="407"/>
      <c r="HQM221" s="407"/>
      <c r="HQN221" s="407"/>
      <c r="HQO221" s="407"/>
      <c r="HQP221" s="407"/>
      <c r="HQQ221" s="407"/>
      <c r="HQR221" s="407"/>
      <c r="HQS221" s="407"/>
      <c r="HQT221" s="407"/>
      <c r="HQU221" s="407"/>
      <c r="HQV221" s="407"/>
      <c r="HQW221" s="407"/>
      <c r="HQX221" s="407"/>
      <c r="HQY221" s="407"/>
      <c r="HQZ221" s="407"/>
      <c r="HRA221" s="407"/>
      <c r="HRB221" s="407"/>
      <c r="HRC221" s="407"/>
      <c r="HRD221" s="407"/>
      <c r="HRE221" s="407"/>
      <c r="HRF221" s="407"/>
      <c r="HRG221" s="407"/>
      <c r="HRH221" s="407"/>
      <c r="HRI221" s="407"/>
      <c r="HRJ221" s="407"/>
      <c r="HRK221" s="407"/>
      <c r="HRL221" s="407"/>
      <c r="HRM221" s="407"/>
      <c r="HRN221" s="407"/>
      <c r="HRO221" s="407"/>
      <c r="HRP221" s="407"/>
      <c r="HRQ221" s="407"/>
      <c r="HRR221" s="407"/>
      <c r="HRS221" s="407"/>
      <c r="HRT221" s="407"/>
      <c r="HRU221" s="407"/>
      <c r="HRV221" s="407"/>
      <c r="HRW221" s="407"/>
      <c r="HRX221" s="407"/>
      <c r="HRY221" s="407"/>
      <c r="HRZ221" s="407"/>
      <c r="HSA221" s="407"/>
      <c r="HSB221" s="407"/>
      <c r="HSC221" s="407"/>
      <c r="HSD221" s="407"/>
      <c r="HSE221" s="407"/>
      <c r="HSF221" s="407"/>
      <c r="HSG221" s="407"/>
      <c r="HSH221" s="407"/>
      <c r="HSI221" s="407"/>
      <c r="HSJ221" s="407"/>
      <c r="HSK221" s="407"/>
      <c r="HSL221" s="407"/>
      <c r="HSM221" s="407"/>
      <c r="HSN221" s="407"/>
      <c r="HSO221" s="407"/>
      <c r="HSP221" s="407"/>
      <c r="HSQ221" s="407"/>
      <c r="HSR221" s="407"/>
      <c r="HSS221" s="407"/>
      <c r="HST221" s="407"/>
      <c r="HSU221" s="407"/>
      <c r="HSV221" s="407"/>
      <c r="HSW221" s="407"/>
      <c r="HSX221" s="407"/>
      <c r="HSY221" s="407"/>
      <c r="HSZ221" s="407"/>
      <c r="HTA221" s="407"/>
      <c r="HTB221" s="407"/>
      <c r="HTC221" s="407"/>
      <c r="HTD221" s="407"/>
      <c r="HTE221" s="407"/>
      <c r="HTF221" s="407"/>
      <c r="HTG221" s="407"/>
      <c r="HTH221" s="407"/>
      <c r="HTI221" s="407"/>
      <c r="HTJ221" s="407"/>
      <c r="HTK221" s="407"/>
      <c r="HTL221" s="407"/>
      <c r="HTM221" s="407"/>
      <c r="HTN221" s="407"/>
      <c r="HTO221" s="407"/>
      <c r="HTP221" s="407"/>
      <c r="HTQ221" s="407"/>
      <c r="HTR221" s="407"/>
      <c r="HTS221" s="407"/>
      <c r="HTT221" s="407"/>
      <c r="HTU221" s="407"/>
      <c r="HTV221" s="407"/>
      <c r="HTW221" s="407"/>
      <c r="HTX221" s="407"/>
      <c r="HTY221" s="407"/>
      <c r="HTZ221" s="407"/>
      <c r="HUA221" s="407"/>
      <c r="HUB221" s="407"/>
      <c r="HUC221" s="407"/>
      <c r="HUD221" s="407"/>
      <c r="HUE221" s="407"/>
      <c r="HUF221" s="407"/>
      <c r="HUG221" s="407"/>
      <c r="HUH221" s="407"/>
      <c r="HUI221" s="407"/>
      <c r="HUJ221" s="407"/>
      <c r="HUK221" s="407"/>
      <c r="HUL221" s="407"/>
      <c r="HUM221" s="407"/>
      <c r="HUN221" s="407"/>
      <c r="HUO221" s="407"/>
      <c r="HUP221" s="407"/>
      <c r="HUQ221" s="407"/>
      <c r="HUR221" s="407"/>
      <c r="HUS221" s="407"/>
      <c r="HUT221" s="407"/>
      <c r="HUU221" s="407"/>
      <c r="HUV221" s="407"/>
      <c r="HUW221" s="407"/>
      <c r="HUX221" s="407"/>
      <c r="HUY221" s="407"/>
      <c r="HUZ221" s="407"/>
      <c r="HVA221" s="407"/>
      <c r="HVB221" s="407"/>
      <c r="HVC221" s="407"/>
      <c r="HVD221" s="407"/>
      <c r="HVE221" s="407"/>
      <c r="HVF221" s="407"/>
      <c r="HVG221" s="407"/>
      <c r="HVH221" s="407"/>
      <c r="HVI221" s="407"/>
      <c r="HVJ221" s="407"/>
      <c r="HVK221" s="407"/>
      <c r="HVL221" s="407"/>
      <c r="HVM221" s="407"/>
      <c r="HVN221" s="407"/>
      <c r="HVO221" s="407"/>
      <c r="HVP221" s="407"/>
      <c r="HVQ221" s="407"/>
      <c r="HVR221" s="407"/>
      <c r="HVS221" s="407"/>
      <c r="HVT221" s="407"/>
      <c r="HVU221" s="407"/>
      <c r="HVV221" s="407"/>
      <c r="HVW221" s="407"/>
      <c r="HVX221" s="407"/>
      <c r="HVY221" s="407"/>
      <c r="HVZ221" s="407"/>
      <c r="HWA221" s="407"/>
      <c r="HWB221" s="407"/>
      <c r="HWC221" s="407"/>
      <c r="HWD221" s="407"/>
      <c r="HWE221" s="407"/>
      <c r="HWF221" s="407"/>
      <c r="HWG221" s="407"/>
      <c r="HWH221" s="407"/>
      <c r="HWI221" s="407"/>
      <c r="HWJ221" s="407"/>
      <c r="HWK221" s="407"/>
      <c r="HWL221" s="407"/>
      <c r="HWM221" s="407"/>
      <c r="HWN221" s="407"/>
      <c r="HWO221" s="407"/>
      <c r="HWP221" s="407"/>
      <c r="HWQ221" s="407"/>
      <c r="HWR221" s="407"/>
      <c r="HWS221" s="407"/>
      <c r="HWT221" s="407"/>
      <c r="HWU221" s="407"/>
      <c r="HWV221" s="407"/>
      <c r="HWW221" s="407"/>
      <c r="HWX221" s="407"/>
      <c r="HWY221" s="407"/>
      <c r="HWZ221" s="407"/>
      <c r="HXA221" s="407"/>
      <c r="HXB221" s="407"/>
      <c r="HXC221" s="407"/>
      <c r="HXD221" s="407"/>
      <c r="HXE221" s="407"/>
      <c r="HXF221" s="407"/>
      <c r="HXG221" s="407"/>
      <c r="HXH221" s="407"/>
      <c r="HXI221" s="407"/>
      <c r="HXJ221" s="407"/>
      <c r="HXK221" s="407"/>
      <c r="HXL221" s="407"/>
      <c r="HXM221" s="407"/>
      <c r="HXN221" s="407"/>
      <c r="HXO221" s="407"/>
      <c r="HXP221" s="407"/>
      <c r="HXQ221" s="407"/>
      <c r="HXR221" s="407"/>
      <c r="HXS221" s="407"/>
      <c r="HXT221" s="407"/>
      <c r="HXU221" s="407"/>
      <c r="HXV221" s="407"/>
      <c r="HXW221" s="407"/>
      <c r="HXX221" s="407"/>
      <c r="HXY221" s="407"/>
      <c r="HXZ221" s="407"/>
      <c r="HYA221" s="407"/>
      <c r="HYB221" s="407"/>
      <c r="HYC221" s="407"/>
      <c r="HYD221" s="407"/>
      <c r="HYE221" s="407"/>
      <c r="HYF221" s="407"/>
      <c r="HYG221" s="407"/>
      <c r="HYH221" s="407"/>
      <c r="HYI221" s="407"/>
      <c r="HYJ221" s="407"/>
      <c r="HYK221" s="407"/>
      <c r="HYL221" s="407"/>
      <c r="HYM221" s="407"/>
      <c r="HYN221" s="407"/>
      <c r="HYO221" s="407"/>
      <c r="HYP221" s="407"/>
      <c r="HYQ221" s="407"/>
      <c r="HYR221" s="407"/>
      <c r="HYS221" s="407"/>
      <c r="HYT221" s="407"/>
      <c r="HYU221" s="407"/>
      <c r="HYV221" s="407"/>
      <c r="HYW221" s="407"/>
      <c r="HYX221" s="407"/>
      <c r="HYY221" s="407"/>
      <c r="HYZ221" s="407"/>
      <c r="HZA221" s="407"/>
      <c r="HZB221" s="407"/>
      <c r="HZC221" s="407"/>
      <c r="HZD221" s="407"/>
      <c r="HZE221" s="407"/>
      <c r="HZF221" s="407"/>
      <c r="HZG221" s="407"/>
      <c r="HZH221" s="407"/>
      <c r="HZI221" s="407"/>
      <c r="HZJ221" s="407"/>
      <c r="HZK221" s="407"/>
      <c r="HZL221" s="407"/>
      <c r="HZM221" s="407"/>
      <c r="HZN221" s="407"/>
      <c r="HZO221" s="407"/>
      <c r="HZP221" s="407"/>
      <c r="HZQ221" s="407"/>
      <c r="HZR221" s="407"/>
      <c r="HZS221" s="407"/>
      <c r="HZT221" s="407"/>
      <c r="HZU221" s="407"/>
      <c r="HZV221" s="407"/>
      <c r="HZW221" s="407"/>
      <c r="HZX221" s="407"/>
      <c r="HZY221" s="407"/>
      <c r="HZZ221" s="407"/>
      <c r="IAA221" s="407"/>
      <c r="IAB221" s="407"/>
      <c r="IAC221" s="407"/>
      <c r="IAD221" s="407"/>
      <c r="IAE221" s="407"/>
      <c r="IAF221" s="407"/>
      <c r="IAG221" s="407"/>
      <c r="IAH221" s="407"/>
      <c r="IAI221" s="407"/>
      <c r="IAJ221" s="407"/>
      <c r="IAK221" s="407"/>
      <c r="IAL221" s="407"/>
      <c r="IAM221" s="407"/>
      <c r="IAN221" s="407"/>
      <c r="IAO221" s="407"/>
      <c r="IAP221" s="407"/>
      <c r="IAQ221" s="407"/>
      <c r="IAR221" s="407"/>
      <c r="IAS221" s="407"/>
      <c r="IAT221" s="407"/>
      <c r="IAU221" s="407"/>
      <c r="IAV221" s="407"/>
      <c r="IAW221" s="407"/>
      <c r="IAX221" s="407"/>
      <c r="IAY221" s="407"/>
      <c r="IAZ221" s="407"/>
      <c r="IBA221" s="407"/>
      <c r="IBB221" s="407"/>
      <c r="IBC221" s="407"/>
      <c r="IBD221" s="407"/>
      <c r="IBE221" s="407"/>
      <c r="IBF221" s="407"/>
      <c r="IBG221" s="407"/>
      <c r="IBH221" s="407"/>
      <c r="IBI221" s="407"/>
      <c r="IBJ221" s="407"/>
      <c r="IBK221" s="407"/>
      <c r="IBL221" s="407"/>
      <c r="IBM221" s="407"/>
      <c r="IBN221" s="407"/>
      <c r="IBO221" s="407"/>
      <c r="IBP221" s="407"/>
      <c r="IBQ221" s="407"/>
      <c r="IBR221" s="407"/>
      <c r="IBS221" s="407"/>
      <c r="IBT221" s="407"/>
      <c r="IBU221" s="407"/>
      <c r="IBV221" s="407"/>
      <c r="IBW221" s="407"/>
      <c r="IBX221" s="407"/>
      <c r="IBY221" s="407"/>
      <c r="IBZ221" s="407"/>
      <c r="ICA221" s="407"/>
      <c r="ICB221" s="407"/>
      <c r="ICC221" s="407"/>
      <c r="ICD221" s="407"/>
      <c r="ICE221" s="407"/>
      <c r="ICF221" s="407"/>
      <c r="ICG221" s="407"/>
      <c r="ICH221" s="407"/>
      <c r="ICI221" s="407"/>
      <c r="ICJ221" s="407"/>
      <c r="ICK221" s="407"/>
      <c r="ICL221" s="407"/>
      <c r="ICM221" s="407"/>
      <c r="ICN221" s="407"/>
      <c r="ICO221" s="407"/>
      <c r="ICP221" s="407"/>
      <c r="ICQ221" s="407"/>
      <c r="ICR221" s="407"/>
      <c r="ICS221" s="407"/>
      <c r="ICT221" s="407"/>
      <c r="ICU221" s="407"/>
      <c r="ICV221" s="407"/>
      <c r="ICW221" s="407"/>
      <c r="ICX221" s="407"/>
      <c r="ICY221" s="407"/>
      <c r="ICZ221" s="407"/>
      <c r="IDA221" s="407"/>
      <c r="IDB221" s="407"/>
      <c r="IDC221" s="407"/>
      <c r="IDD221" s="407"/>
      <c r="IDE221" s="407"/>
      <c r="IDF221" s="407"/>
      <c r="IDG221" s="407"/>
      <c r="IDH221" s="407"/>
      <c r="IDI221" s="407"/>
      <c r="IDJ221" s="407"/>
      <c r="IDK221" s="407"/>
      <c r="IDL221" s="407"/>
      <c r="IDM221" s="407"/>
      <c r="IDN221" s="407"/>
      <c r="IDO221" s="407"/>
      <c r="IDP221" s="407"/>
      <c r="IDQ221" s="407"/>
      <c r="IDR221" s="407"/>
      <c r="IDS221" s="407"/>
      <c r="IDT221" s="407"/>
      <c r="IDU221" s="407"/>
      <c r="IDV221" s="407"/>
      <c r="IDW221" s="407"/>
      <c r="IDX221" s="407"/>
      <c r="IDY221" s="407"/>
      <c r="IDZ221" s="407"/>
      <c r="IEA221" s="407"/>
      <c r="IEB221" s="407"/>
      <c r="IEC221" s="407"/>
      <c r="IED221" s="407"/>
      <c r="IEE221" s="407"/>
      <c r="IEF221" s="407"/>
      <c r="IEG221" s="407"/>
      <c r="IEH221" s="407"/>
      <c r="IEI221" s="407"/>
      <c r="IEJ221" s="407"/>
      <c r="IEK221" s="407"/>
      <c r="IEL221" s="407"/>
      <c r="IEM221" s="407"/>
      <c r="IEN221" s="407"/>
      <c r="IEO221" s="407"/>
      <c r="IEP221" s="407"/>
      <c r="IEQ221" s="407"/>
      <c r="IER221" s="407"/>
      <c r="IES221" s="407"/>
      <c r="IET221" s="407"/>
      <c r="IEU221" s="407"/>
      <c r="IEV221" s="407"/>
      <c r="IEW221" s="407"/>
      <c r="IEX221" s="407"/>
      <c r="IEY221" s="407"/>
      <c r="IEZ221" s="407"/>
      <c r="IFA221" s="407"/>
      <c r="IFB221" s="407"/>
      <c r="IFC221" s="407"/>
      <c r="IFD221" s="407"/>
      <c r="IFE221" s="407"/>
      <c r="IFF221" s="407"/>
      <c r="IFG221" s="407"/>
      <c r="IFH221" s="407"/>
      <c r="IFI221" s="407"/>
      <c r="IFJ221" s="407"/>
      <c r="IFK221" s="407"/>
      <c r="IFL221" s="407"/>
      <c r="IFM221" s="407"/>
      <c r="IFN221" s="407"/>
      <c r="IFO221" s="407"/>
      <c r="IFP221" s="407"/>
      <c r="IFQ221" s="407"/>
      <c r="IFR221" s="407"/>
      <c r="IFS221" s="407"/>
      <c r="IFT221" s="407"/>
      <c r="IFU221" s="407"/>
      <c r="IFV221" s="407"/>
      <c r="IFW221" s="407"/>
      <c r="IFX221" s="407"/>
      <c r="IFY221" s="407"/>
      <c r="IFZ221" s="407"/>
      <c r="IGA221" s="407"/>
      <c r="IGB221" s="407"/>
      <c r="IGC221" s="407"/>
      <c r="IGD221" s="407"/>
      <c r="IGE221" s="407"/>
      <c r="IGF221" s="407"/>
      <c r="IGG221" s="407"/>
      <c r="IGH221" s="407"/>
      <c r="IGI221" s="407"/>
      <c r="IGJ221" s="407"/>
      <c r="IGK221" s="407"/>
      <c r="IGL221" s="407"/>
      <c r="IGM221" s="407"/>
      <c r="IGN221" s="407"/>
      <c r="IGO221" s="407"/>
      <c r="IGP221" s="407"/>
      <c r="IGQ221" s="407"/>
      <c r="IGR221" s="407"/>
      <c r="IGS221" s="407"/>
      <c r="IGT221" s="407"/>
      <c r="IGU221" s="407"/>
      <c r="IGV221" s="407"/>
      <c r="IGW221" s="407"/>
      <c r="IGX221" s="407"/>
      <c r="IGY221" s="407"/>
      <c r="IGZ221" s="407"/>
      <c r="IHA221" s="407"/>
      <c r="IHB221" s="407"/>
      <c r="IHC221" s="407"/>
      <c r="IHD221" s="407"/>
      <c r="IHE221" s="407"/>
      <c r="IHF221" s="407"/>
      <c r="IHG221" s="407"/>
      <c r="IHH221" s="407"/>
      <c r="IHI221" s="407"/>
      <c r="IHJ221" s="407"/>
      <c r="IHK221" s="407"/>
      <c r="IHL221" s="407"/>
      <c r="IHM221" s="407"/>
      <c r="IHN221" s="407"/>
      <c r="IHO221" s="407"/>
      <c r="IHP221" s="407"/>
      <c r="IHQ221" s="407"/>
      <c r="IHR221" s="407"/>
      <c r="IHS221" s="407"/>
      <c r="IHT221" s="407"/>
      <c r="IHU221" s="407"/>
      <c r="IHV221" s="407"/>
      <c r="IHW221" s="407"/>
      <c r="IHX221" s="407"/>
      <c r="IHY221" s="407"/>
      <c r="IHZ221" s="407"/>
      <c r="IIA221" s="407"/>
      <c r="IIB221" s="407"/>
      <c r="IIC221" s="407"/>
      <c r="IID221" s="407"/>
      <c r="IIE221" s="407"/>
      <c r="IIF221" s="407"/>
      <c r="IIG221" s="407"/>
      <c r="IIH221" s="407"/>
      <c r="III221" s="407"/>
      <c r="IIJ221" s="407"/>
      <c r="IIK221" s="407"/>
      <c r="IIL221" s="407"/>
      <c r="IIM221" s="407"/>
      <c r="IIN221" s="407"/>
      <c r="IIO221" s="407"/>
      <c r="IIP221" s="407"/>
      <c r="IIQ221" s="407"/>
      <c r="IIR221" s="407"/>
      <c r="IIS221" s="407"/>
      <c r="IIT221" s="407"/>
      <c r="IIU221" s="407"/>
      <c r="IIV221" s="407"/>
      <c r="IIW221" s="407"/>
      <c r="IIX221" s="407"/>
      <c r="IIY221" s="407"/>
      <c r="IIZ221" s="407"/>
      <c r="IJA221" s="407"/>
      <c r="IJB221" s="407"/>
      <c r="IJC221" s="407"/>
      <c r="IJD221" s="407"/>
      <c r="IJE221" s="407"/>
      <c r="IJF221" s="407"/>
      <c r="IJG221" s="407"/>
      <c r="IJH221" s="407"/>
      <c r="IJI221" s="407"/>
      <c r="IJJ221" s="407"/>
      <c r="IJK221" s="407"/>
      <c r="IJL221" s="407"/>
      <c r="IJM221" s="407"/>
      <c r="IJN221" s="407"/>
      <c r="IJO221" s="407"/>
      <c r="IJP221" s="407"/>
      <c r="IJQ221" s="407"/>
      <c r="IJR221" s="407"/>
      <c r="IJS221" s="407"/>
      <c r="IJT221" s="407"/>
      <c r="IJU221" s="407"/>
      <c r="IJV221" s="407"/>
      <c r="IJW221" s="407"/>
      <c r="IJX221" s="407"/>
      <c r="IJY221" s="407"/>
      <c r="IJZ221" s="407"/>
      <c r="IKA221" s="407"/>
      <c r="IKB221" s="407"/>
      <c r="IKC221" s="407"/>
      <c r="IKD221" s="407"/>
      <c r="IKE221" s="407"/>
      <c r="IKF221" s="407"/>
      <c r="IKG221" s="407"/>
      <c r="IKH221" s="407"/>
      <c r="IKI221" s="407"/>
      <c r="IKJ221" s="407"/>
      <c r="IKK221" s="407"/>
      <c r="IKL221" s="407"/>
      <c r="IKM221" s="407"/>
      <c r="IKN221" s="407"/>
      <c r="IKO221" s="407"/>
      <c r="IKP221" s="407"/>
      <c r="IKQ221" s="407"/>
      <c r="IKR221" s="407"/>
      <c r="IKS221" s="407"/>
      <c r="IKT221" s="407"/>
      <c r="IKU221" s="407"/>
      <c r="IKV221" s="407"/>
      <c r="IKW221" s="407"/>
      <c r="IKX221" s="407"/>
      <c r="IKY221" s="407"/>
      <c r="IKZ221" s="407"/>
      <c r="ILA221" s="407"/>
      <c r="ILB221" s="407"/>
      <c r="ILC221" s="407"/>
      <c r="ILD221" s="407"/>
      <c r="ILE221" s="407"/>
      <c r="ILF221" s="407"/>
      <c r="ILG221" s="407"/>
      <c r="ILH221" s="407"/>
      <c r="ILI221" s="407"/>
      <c r="ILJ221" s="407"/>
      <c r="ILK221" s="407"/>
      <c r="ILL221" s="407"/>
      <c r="ILM221" s="407"/>
      <c r="ILN221" s="407"/>
      <c r="ILO221" s="407"/>
      <c r="ILP221" s="407"/>
      <c r="ILQ221" s="407"/>
      <c r="ILR221" s="407"/>
      <c r="ILS221" s="407"/>
      <c r="ILT221" s="407"/>
      <c r="ILU221" s="407"/>
      <c r="ILV221" s="407"/>
      <c r="ILW221" s="407"/>
      <c r="ILX221" s="407"/>
      <c r="ILY221" s="407"/>
      <c r="ILZ221" s="407"/>
      <c r="IMA221" s="407"/>
      <c r="IMB221" s="407"/>
      <c r="IMC221" s="407"/>
      <c r="IMD221" s="407"/>
      <c r="IME221" s="407"/>
      <c r="IMF221" s="407"/>
      <c r="IMG221" s="407"/>
      <c r="IMH221" s="407"/>
      <c r="IMI221" s="407"/>
      <c r="IMJ221" s="407"/>
      <c r="IMK221" s="407"/>
      <c r="IML221" s="407"/>
      <c r="IMM221" s="407"/>
      <c r="IMN221" s="407"/>
      <c r="IMO221" s="407"/>
      <c r="IMP221" s="407"/>
      <c r="IMQ221" s="407"/>
      <c r="IMR221" s="407"/>
      <c r="IMS221" s="407"/>
      <c r="IMT221" s="407"/>
      <c r="IMU221" s="407"/>
      <c r="IMV221" s="407"/>
      <c r="IMW221" s="407"/>
      <c r="IMX221" s="407"/>
      <c r="IMY221" s="407"/>
      <c r="IMZ221" s="407"/>
      <c r="INA221" s="407"/>
      <c r="INB221" s="407"/>
      <c r="INC221" s="407"/>
      <c r="IND221" s="407"/>
      <c r="INE221" s="407"/>
      <c r="INF221" s="407"/>
      <c r="ING221" s="407"/>
      <c r="INH221" s="407"/>
      <c r="INI221" s="407"/>
      <c r="INJ221" s="407"/>
      <c r="INK221" s="407"/>
      <c r="INL221" s="407"/>
      <c r="INM221" s="407"/>
      <c r="INN221" s="407"/>
      <c r="INO221" s="407"/>
      <c r="INP221" s="407"/>
      <c r="INQ221" s="407"/>
      <c r="INR221" s="407"/>
      <c r="INS221" s="407"/>
      <c r="INT221" s="407"/>
      <c r="INU221" s="407"/>
      <c r="INV221" s="407"/>
      <c r="INW221" s="407"/>
      <c r="INX221" s="407"/>
      <c r="INY221" s="407"/>
      <c r="INZ221" s="407"/>
      <c r="IOA221" s="407"/>
      <c r="IOB221" s="407"/>
      <c r="IOC221" s="407"/>
      <c r="IOD221" s="407"/>
      <c r="IOE221" s="407"/>
      <c r="IOF221" s="407"/>
      <c r="IOG221" s="407"/>
      <c r="IOH221" s="407"/>
      <c r="IOI221" s="407"/>
      <c r="IOJ221" s="407"/>
      <c r="IOK221" s="407"/>
      <c r="IOL221" s="407"/>
      <c r="IOM221" s="407"/>
      <c r="ION221" s="407"/>
      <c r="IOO221" s="407"/>
      <c r="IOP221" s="407"/>
      <c r="IOQ221" s="407"/>
      <c r="IOR221" s="407"/>
      <c r="IOS221" s="407"/>
      <c r="IOT221" s="407"/>
      <c r="IOU221" s="407"/>
      <c r="IOV221" s="407"/>
      <c r="IOW221" s="407"/>
      <c r="IOX221" s="407"/>
      <c r="IOY221" s="407"/>
      <c r="IOZ221" s="407"/>
      <c r="IPA221" s="407"/>
      <c r="IPB221" s="407"/>
      <c r="IPC221" s="407"/>
      <c r="IPD221" s="407"/>
      <c r="IPE221" s="407"/>
      <c r="IPF221" s="407"/>
      <c r="IPG221" s="407"/>
      <c r="IPH221" s="407"/>
      <c r="IPI221" s="407"/>
      <c r="IPJ221" s="407"/>
      <c r="IPK221" s="407"/>
      <c r="IPL221" s="407"/>
      <c r="IPM221" s="407"/>
      <c r="IPN221" s="407"/>
      <c r="IPO221" s="407"/>
      <c r="IPP221" s="407"/>
      <c r="IPQ221" s="407"/>
      <c r="IPR221" s="407"/>
      <c r="IPS221" s="407"/>
      <c r="IPT221" s="407"/>
      <c r="IPU221" s="407"/>
      <c r="IPV221" s="407"/>
      <c r="IPW221" s="407"/>
      <c r="IPX221" s="407"/>
      <c r="IPY221" s="407"/>
      <c r="IPZ221" s="407"/>
      <c r="IQA221" s="407"/>
      <c r="IQB221" s="407"/>
      <c r="IQC221" s="407"/>
      <c r="IQD221" s="407"/>
      <c r="IQE221" s="407"/>
      <c r="IQF221" s="407"/>
      <c r="IQG221" s="407"/>
      <c r="IQH221" s="407"/>
      <c r="IQI221" s="407"/>
      <c r="IQJ221" s="407"/>
      <c r="IQK221" s="407"/>
      <c r="IQL221" s="407"/>
      <c r="IQM221" s="407"/>
      <c r="IQN221" s="407"/>
      <c r="IQO221" s="407"/>
      <c r="IQP221" s="407"/>
      <c r="IQQ221" s="407"/>
      <c r="IQR221" s="407"/>
      <c r="IQS221" s="407"/>
      <c r="IQT221" s="407"/>
      <c r="IQU221" s="407"/>
      <c r="IQV221" s="407"/>
      <c r="IQW221" s="407"/>
      <c r="IQX221" s="407"/>
      <c r="IQY221" s="407"/>
      <c r="IQZ221" s="407"/>
      <c r="IRA221" s="407"/>
      <c r="IRB221" s="407"/>
      <c r="IRC221" s="407"/>
      <c r="IRD221" s="407"/>
      <c r="IRE221" s="407"/>
      <c r="IRF221" s="407"/>
      <c r="IRG221" s="407"/>
      <c r="IRH221" s="407"/>
      <c r="IRI221" s="407"/>
      <c r="IRJ221" s="407"/>
      <c r="IRK221" s="407"/>
      <c r="IRL221" s="407"/>
      <c r="IRM221" s="407"/>
      <c r="IRN221" s="407"/>
      <c r="IRO221" s="407"/>
      <c r="IRP221" s="407"/>
      <c r="IRQ221" s="407"/>
      <c r="IRR221" s="407"/>
      <c r="IRS221" s="407"/>
      <c r="IRT221" s="407"/>
      <c r="IRU221" s="407"/>
      <c r="IRV221" s="407"/>
      <c r="IRW221" s="407"/>
      <c r="IRX221" s="407"/>
      <c r="IRY221" s="407"/>
      <c r="IRZ221" s="407"/>
      <c r="ISA221" s="407"/>
      <c r="ISB221" s="407"/>
      <c r="ISC221" s="407"/>
      <c r="ISD221" s="407"/>
      <c r="ISE221" s="407"/>
      <c r="ISF221" s="407"/>
      <c r="ISG221" s="407"/>
      <c r="ISH221" s="407"/>
      <c r="ISI221" s="407"/>
      <c r="ISJ221" s="407"/>
      <c r="ISK221" s="407"/>
      <c r="ISL221" s="407"/>
      <c r="ISM221" s="407"/>
      <c r="ISN221" s="407"/>
      <c r="ISO221" s="407"/>
      <c r="ISP221" s="407"/>
      <c r="ISQ221" s="407"/>
      <c r="ISR221" s="407"/>
      <c r="ISS221" s="407"/>
      <c r="IST221" s="407"/>
      <c r="ISU221" s="407"/>
      <c r="ISV221" s="407"/>
      <c r="ISW221" s="407"/>
      <c r="ISX221" s="407"/>
      <c r="ISY221" s="407"/>
      <c r="ISZ221" s="407"/>
      <c r="ITA221" s="407"/>
      <c r="ITB221" s="407"/>
      <c r="ITC221" s="407"/>
      <c r="ITD221" s="407"/>
      <c r="ITE221" s="407"/>
      <c r="ITF221" s="407"/>
      <c r="ITG221" s="407"/>
      <c r="ITH221" s="407"/>
      <c r="ITI221" s="407"/>
      <c r="ITJ221" s="407"/>
      <c r="ITK221" s="407"/>
      <c r="ITL221" s="407"/>
      <c r="ITM221" s="407"/>
      <c r="ITN221" s="407"/>
      <c r="ITO221" s="407"/>
      <c r="ITP221" s="407"/>
      <c r="ITQ221" s="407"/>
      <c r="ITR221" s="407"/>
      <c r="ITS221" s="407"/>
      <c r="ITT221" s="407"/>
      <c r="ITU221" s="407"/>
      <c r="ITV221" s="407"/>
      <c r="ITW221" s="407"/>
      <c r="ITX221" s="407"/>
      <c r="ITY221" s="407"/>
      <c r="ITZ221" s="407"/>
      <c r="IUA221" s="407"/>
      <c r="IUB221" s="407"/>
      <c r="IUC221" s="407"/>
      <c r="IUD221" s="407"/>
      <c r="IUE221" s="407"/>
      <c r="IUF221" s="407"/>
      <c r="IUG221" s="407"/>
      <c r="IUH221" s="407"/>
      <c r="IUI221" s="407"/>
      <c r="IUJ221" s="407"/>
      <c r="IUK221" s="407"/>
      <c r="IUL221" s="407"/>
      <c r="IUM221" s="407"/>
      <c r="IUN221" s="407"/>
      <c r="IUO221" s="407"/>
      <c r="IUP221" s="407"/>
      <c r="IUQ221" s="407"/>
      <c r="IUR221" s="407"/>
      <c r="IUS221" s="407"/>
      <c r="IUT221" s="407"/>
      <c r="IUU221" s="407"/>
      <c r="IUV221" s="407"/>
      <c r="IUW221" s="407"/>
      <c r="IUX221" s="407"/>
      <c r="IUY221" s="407"/>
      <c r="IUZ221" s="407"/>
      <c r="IVA221" s="407"/>
      <c r="IVB221" s="407"/>
      <c r="IVC221" s="407"/>
      <c r="IVD221" s="407"/>
      <c r="IVE221" s="407"/>
      <c r="IVF221" s="407"/>
      <c r="IVG221" s="407"/>
      <c r="IVH221" s="407"/>
      <c r="IVI221" s="407"/>
      <c r="IVJ221" s="407"/>
      <c r="IVK221" s="407"/>
      <c r="IVL221" s="407"/>
      <c r="IVM221" s="407"/>
      <c r="IVN221" s="407"/>
      <c r="IVO221" s="407"/>
      <c r="IVP221" s="407"/>
      <c r="IVQ221" s="407"/>
      <c r="IVR221" s="407"/>
      <c r="IVS221" s="407"/>
      <c r="IVT221" s="407"/>
      <c r="IVU221" s="407"/>
      <c r="IVV221" s="407"/>
      <c r="IVW221" s="407"/>
      <c r="IVX221" s="407"/>
      <c r="IVY221" s="407"/>
      <c r="IVZ221" s="407"/>
      <c r="IWA221" s="407"/>
      <c r="IWB221" s="407"/>
      <c r="IWC221" s="407"/>
      <c r="IWD221" s="407"/>
      <c r="IWE221" s="407"/>
      <c r="IWF221" s="407"/>
      <c r="IWG221" s="407"/>
      <c r="IWH221" s="407"/>
      <c r="IWI221" s="407"/>
      <c r="IWJ221" s="407"/>
      <c r="IWK221" s="407"/>
      <c r="IWL221" s="407"/>
      <c r="IWM221" s="407"/>
      <c r="IWN221" s="407"/>
      <c r="IWO221" s="407"/>
      <c r="IWP221" s="407"/>
      <c r="IWQ221" s="407"/>
      <c r="IWR221" s="407"/>
      <c r="IWS221" s="407"/>
      <c r="IWT221" s="407"/>
      <c r="IWU221" s="407"/>
      <c r="IWV221" s="407"/>
      <c r="IWW221" s="407"/>
      <c r="IWX221" s="407"/>
      <c r="IWY221" s="407"/>
      <c r="IWZ221" s="407"/>
      <c r="IXA221" s="407"/>
      <c r="IXB221" s="407"/>
      <c r="IXC221" s="407"/>
      <c r="IXD221" s="407"/>
      <c r="IXE221" s="407"/>
      <c r="IXF221" s="407"/>
      <c r="IXG221" s="407"/>
      <c r="IXH221" s="407"/>
      <c r="IXI221" s="407"/>
      <c r="IXJ221" s="407"/>
      <c r="IXK221" s="407"/>
      <c r="IXL221" s="407"/>
      <c r="IXM221" s="407"/>
      <c r="IXN221" s="407"/>
      <c r="IXO221" s="407"/>
      <c r="IXP221" s="407"/>
      <c r="IXQ221" s="407"/>
      <c r="IXR221" s="407"/>
      <c r="IXS221" s="407"/>
      <c r="IXT221" s="407"/>
      <c r="IXU221" s="407"/>
      <c r="IXV221" s="407"/>
      <c r="IXW221" s="407"/>
      <c r="IXX221" s="407"/>
      <c r="IXY221" s="407"/>
      <c r="IXZ221" s="407"/>
      <c r="IYA221" s="407"/>
      <c r="IYB221" s="407"/>
      <c r="IYC221" s="407"/>
      <c r="IYD221" s="407"/>
      <c r="IYE221" s="407"/>
      <c r="IYF221" s="407"/>
      <c r="IYG221" s="407"/>
      <c r="IYH221" s="407"/>
      <c r="IYI221" s="407"/>
      <c r="IYJ221" s="407"/>
      <c r="IYK221" s="407"/>
      <c r="IYL221" s="407"/>
      <c r="IYM221" s="407"/>
      <c r="IYN221" s="407"/>
      <c r="IYO221" s="407"/>
      <c r="IYP221" s="407"/>
      <c r="IYQ221" s="407"/>
      <c r="IYR221" s="407"/>
      <c r="IYS221" s="407"/>
      <c r="IYT221" s="407"/>
      <c r="IYU221" s="407"/>
      <c r="IYV221" s="407"/>
      <c r="IYW221" s="407"/>
      <c r="IYX221" s="407"/>
      <c r="IYY221" s="407"/>
      <c r="IYZ221" s="407"/>
      <c r="IZA221" s="407"/>
      <c r="IZB221" s="407"/>
      <c r="IZC221" s="407"/>
      <c r="IZD221" s="407"/>
      <c r="IZE221" s="407"/>
      <c r="IZF221" s="407"/>
      <c r="IZG221" s="407"/>
      <c r="IZH221" s="407"/>
      <c r="IZI221" s="407"/>
      <c r="IZJ221" s="407"/>
      <c r="IZK221" s="407"/>
      <c r="IZL221" s="407"/>
      <c r="IZM221" s="407"/>
      <c r="IZN221" s="407"/>
      <c r="IZO221" s="407"/>
      <c r="IZP221" s="407"/>
      <c r="IZQ221" s="407"/>
      <c r="IZR221" s="407"/>
      <c r="IZS221" s="407"/>
      <c r="IZT221" s="407"/>
      <c r="IZU221" s="407"/>
      <c r="IZV221" s="407"/>
      <c r="IZW221" s="407"/>
      <c r="IZX221" s="407"/>
      <c r="IZY221" s="407"/>
      <c r="IZZ221" s="407"/>
      <c r="JAA221" s="407"/>
      <c r="JAB221" s="407"/>
      <c r="JAC221" s="407"/>
      <c r="JAD221" s="407"/>
      <c r="JAE221" s="407"/>
      <c r="JAF221" s="407"/>
      <c r="JAG221" s="407"/>
      <c r="JAH221" s="407"/>
      <c r="JAI221" s="407"/>
      <c r="JAJ221" s="407"/>
      <c r="JAK221" s="407"/>
      <c r="JAL221" s="407"/>
      <c r="JAM221" s="407"/>
      <c r="JAN221" s="407"/>
      <c r="JAO221" s="407"/>
      <c r="JAP221" s="407"/>
      <c r="JAQ221" s="407"/>
      <c r="JAR221" s="407"/>
      <c r="JAS221" s="407"/>
      <c r="JAT221" s="407"/>
      <c r="JAU221" s="407"/>
      <c r="JAV221" s="407"/>
      <c r="JAW221" s="407"/>
      <c r="JAX221" s="407"/>
      <c r="JAY221" s="407"/>
      <c r="JAZ221" s="407"/>
      <c r="JBA221" s="407"/>
      <c r="JBB221" s="407"/>
      <c r="JBC221" s="407"/>
      <c r="JBD221" s="407"/>
      <c r="JBE221" s="407"/>
      <c r="JBF221" s="407"/>
      <c r="JBG221" s="407"/>
      <c r="JBH221" s="407"/>
      <c r="JBI221" s="407"/>
      <c r="JBJ221" s="407"/>
      <c r="JBK221" s="407"/>
      <c r="JBL221" s="407"/>
      <c r="JBM221" s="407"/>
      <c r="JBN221" s="407"/>
      <c r="JBO221" s="407"/>
      <c r="JBP221" s="407"/>
      <c r="JBQ221" s="407"/>
      <c r="JBR221" s="407"/>
      <c r="JBS221" s="407"/>
      <c r="JBT221" s="407"/>
      <c r="JBU221" s="407"/>
      <c r="JBV221" s="407"/>
      <c r="JBW221" s="407"/>
      <c r="JBX221" s="407"/>
      <c r="JBY221" s="407"/>
      <c r="JBZ221" s="407"/>
      <c r="JCA221" s="407"/>
      <c r="JCB221" s="407"/>
      <c r="JCC221" s="407"/>
      <c r="JCD221" s="407"/>
      <c r="JCE221" s="407"/>
      <c r="JCF221" s="407"/>
      <c r="JCG221" s="407"/>
      <c r="JCH221" s="407"/>
      <c r="JCI221" s="407"/>
      <c r="JCJ221" s="407"/>
      <c r="JCK221" s="407"/>
      <c r="JCL221" s="407"/>
      <c r="JCM221" s="407"/>
      <c r="JCN221" s="407"/>
      <c r="JCO221" s="407"/>
      <c r="JCP221" s="407"/>
      <c r="JCQ221" s="407"/>
      <c r="JCR221" s="407"/>
      <c r="JCS221" s="407"/>
      <c r="JCT221" s="407"/>
      <c r="JCU221" s="407"/>
      <c r="JCV221" s="407"/>
      <c r="JCW221" s="407"/>
      <c r="JCX221" s="407"/>
      <c r="JCY221" s="407"/>
      <c r="JCZ221" s="407"/>
      <c r="JDA221" s="407"/>
      <c r="JDB221" s="407"/>
      <c r="JDC221" s="407"/>
      <c r="JDD221" s="407"/>
      <c r="JDE221" s="407"/>
      <c r="JDF221" s="407"/>
      <c r="JDG221" s="407"/>
      <c r="JDH221" s="407"/>
      <c r="JDI221" s="407"/>
      <c r="JDJ221" s="407"/>
      <c r="JDK221" s="407"/>
      <c r="JDL221" s="407"/>
      <c r="JDM221" s="407"/>
      <c r="JDN221" s="407"/>
      <c r="JDO221" s="407"/>
      <c r="JDP221" s="407"/>
      <c r="JDQ221" s="407"/>
      <c r="JDR221" s="407"/>
      <c r="JDS221" s="407"/>
      <c r="JDT221" s="407"/>
      <c r="JDU221" s="407"/>
      <c r="JDV221" s="407"/>
      <c r="JDW221" s="407"/>
      <c r="JDX221" s="407"/>
      <c r="JDY221" s="407"/>
      <c r="JDZ221" s="407"/>
      <c r="JEA221" s="407"/>
      <c r="JEB221" s="407"/>
      <c r="JEC221" s="407"/>
      <c r="JED221" s="407"/>
      <c r="JEE221" s="407"/>
      <c r="JEF221" s="407"/>
      <c r="JEG221" s="407"/>
      <c r="JEH221" s="407"/>
      <c r="JEI221" s="407"/>
      <c r="JEJ221" s="407"/>
      <c r="JEK221" s="407"/>
      <c r="JEL221" s="407"/>
      <c r="JEM221" s="407"/>
      <c r="JEN221" s="407"/>
      <c r="JEO221" s="407"/>
      <c r="JEP221" s="407"/>
      <c r="JEQ221" s="407"/>
      <c r="JER221" s="407"/>
      <c r="JES221" s="407"/>
      <c r="JET221" s="407"/>
      <c r="JEU221" s="407"/>
      <c r="JEV221" s="407"/>
      <c r="JEW221" s="407"/>
      <c r="JEX221" s="407"/>
      <c r="JEY221" s="407"/>
      <c r="JEZ221" s="407"/>
      <c r="JFA221" s="407"/>
      <c r="JFB221" s="407"/>
      <c r="JFC221" s="407"/>
      <c r="JFD221" s="407"/>
      <c r="JFE221" s="407"/>
      <c r="JFF221" s="407"/>
      <c r="JFG221" s="407"/>
      <c r="JFH221" s="407"/>
      <c r="JFI221" s="407"/>
      <c r="JFJ221" s="407"/>
      <c r="JFK221" s="407"/>
      <c r="JFL221" s="407"/>
      <c r="JFM221" s="407"/>
      <c r="JFN221" s="407"/>
      <c r="JFO221" s="407"/>
      <c r="JFP221" s="407"/>
      <c r="JFQ221" s="407"/>
      <c r="JFR221" s="407"/>
      <c r="JFS221" s="407"/>
      <c r="JFT221" s="407"/>
      <c r="JFU221" s="407"/>
      <c r="JFV221" s="407"/>
      <c r="JFW221" s="407"/>
      <c r="JFX221" s="407"/>
      <c r="JFY221" s="407"/>
      <c r="JFZ221" s="407"/>
      <c r="JGA221" s="407"/>
      <c r="JGB221" s="407"/>
      <c r="JGC221" s="407"/>
      <c r="JGD221" s="407"/>
      <c r="JGE221" s="407"/>
      <c r="JGF221" s="407"/>
      <c r="JGG221" s="407"/>
      <c r="JGH221" s="407"/>
      <c r="JGI221" s="407"/>
      <c r="JGJ221" s="407"/>
      <c r="JGK221" s="407"/>
      <c r="JGL221" s="407"/>
      <c r="JGM221" s="407"/>
      <c r="JGN221" s="407"/>
      <c r="JGO221" s="407"/>
      <c r="JGP221" s="407"/>
      <c r="JGQ221" s="407"/>
      <c r="JGR221" s="407"/>
      <c r="JGS221" s="407"/>
      <c r="JGT221" s="407"/>
      <c r="JGU221" s="407"/>
      <c r="JGV221" s="407"/>
      <c r="JGW221" s="407"/>
      <c r="JGX221" s="407"/>
      <c r="JGY221" s="407"/>
      <c r="JGZ221" s="407"/>
      <c r="JHA221" s="407"/>
      <c r="JHB221" s="407"/>
      <c r="JHC221" s="407"/>
      <c r="JHD221" s="407"/>
      <c r="JHE221" s="407"/>
      <c r="JHF221" s="407"/>
      <c r="JHG221" s="407"/>
      <c r="JHH221" s="407"/>
      <c r="JHI221" s="407"/>
      <c r="JHJ221" s="407"/>
      <c r="JHK221" s="407"/>
      <c r="JHL221" s="407"/>
      <c r="JHM221" s="407"/>
      <c r="JHN221" s="407"/>
      <c r="JHO221" s="407"/>
      <c r="JHP221" s="407"/>
      <c r="JHQ221" s="407"/>
      <c r="JHR221" s="407"/>
      <c r="JHS221" s="407"/>
      <c r="JHT221" s="407"/>
      <c r="JHU221" s="407"/>
      <c r="JHV221" s="407"/>
      <c r="JHW221" s="407"/>
      <c r="JHX221" s="407"/>
      <c r="JHY221" s="407"/>
      <c r="JHZ221" s="407"/>
      <c r="JIA221" s="407"/>
      <c r="JIB221" s="407"/>
      <c r="JIC221" s="407"/>
      <c r="JID221" s="407"/>
      <c r="JIE221" s="407"/>
      <c r="JIF221" s="407"/>
      <c r="JIG221" s="407"/>
      <c r="JIH221" s="407"/>
      <c r="JII221" s="407"/>
      <c r="JIJ221" s="407"/>
      <c r="JIK221" s="407"/>
      <c r="JIL221" s="407"/>
      <c r="JIM221" s="407"/>
      <c r="JIN221" s="407"/>
      <c r="JIO221" s="407"/>
      <c r="JIP221" s="407"/>
      <c r="JIQ221" s="407"/>
      <c r="JIR221" s="407"/>
      <c r="JIS221" s="407"/>
      <c r="JIT221" s="407"/>
      <c r="JIU221" s="407"/>
      <c r="JIV221" s="407"/>
      <c r="JIW221" s="407"/>
      <c r="JIX221" s="407"/>
      <c r="JIY221" s="407"/>
      <c r="JIZ221" s="407"/>
      <c r="JJA221" s="407"/>
      <c r="JJB221" s="407"/>
      <c r="JJC221" s="407"/>
      <c r="JJD221" s="407"/>
      <c r="JJE221" s="407"/>
      <c r="JJF221" s="407"/>
      <c r="JJG221" s="407"/>
      <c r="JJH221" s="407"/>
      <c r="JJI221" s="407"/>
      <c r="JJJ221" s="407"/>
      <c r="JJK221" s="407"/>
      <c r="JJL221" s="407"/>
      <c r="JJM221" s="407"/>
      <c r="JJN221" s="407"/>
      <c r="JJO221" s="407"/>
      <c r="JJP221" s="407"/>
      <c r="JJQ221" s="407"/>
      <c r="JJR221" s="407"/>
      <c r="JJS221" s="407"/>
      <c r="JJT221" s="407"/>
      <c r="JJU221" s="407"/>
      <c r="JJV221" s="407"/>
      <c r="JJW221" s="407"/>
      <c r="JJX221" s="407"/>
      <c r="JJY221" s="407"/>
      <c r="JJZ221" s="407"/>
      <c r="JKA221" s="407"/>
      <c r="JKB221" s="407"/>
      <c r="JKC221" s="407"/>
      <c r="JKD221" s="407"/>
      <c r="JKE221" s="407"/>
      <c r="JKF221" s="407"/>
      <c r="JKG221" s="407"/>
      <c r="JKH221" s="407"/>
      <c r="JKI221" s="407"/>
      <c r="JKJ221" s="407"/>
      <c r="JKK221" s="407"/>
      <c r="JKL221" s="407"/>
      <c r="JKM221" s="407"/>
      <c r="JKN221" s="407"/>
      <c r="JKO221" s="407"/>
      <c r="JKP221" s="407"/>
      <c r="JKQ221" s="407"/>
      <c r="JKR221" s="407"/>
      <c r="JKS221" s="407"/>
      <c r="JKT221" s="407"/>
      <c r="JKU221" s="407"/>
      <c r="JKV221" s="407"/>
      <c r="JKW221" s="407"/>
      <c r="JKX221" s="407"/>
      <c r="JKY221" s="407"/>
      <c r="JKZ221" s="407"/>
      <c r="JLA221" s="407"/>
      <c r="JLB221" s="407"/>
      <c r="JLC221" s="407"/>
      <c r="JLD221" s="407"/>
      <c r="JLE221" s="407"/>
      <c r="JLF221" s="407"/>
      <c r="JLG221" s="407"/>
      <c r="JLH221" s="407"/>
      <c r="JLI221" s="407"/>
      <c r="JLJ221" s="407"/>
      <c r="JLK221" s="407"/>
      <c r="JLL221" s="407"/>
      <c r="JLM221" s="407"/>
      <c r="JLN221" s="407"/>
      <c r="JLO221" s="407"/>
      <c r="JLP221" s="407"/>
      <c r="JLQ221" s="407"/>
      <c r="JLR221" s="407"/>
      <c r="JLS221" s="407"/>
      <c r="JLT221" s="407"/>
      <c r="JLU221" s="407"/>
      <c r="JLV221" s="407"/>
      <c r="JLW221" s="407"/>
      <c r="JLX221" s="407"/>
      <c r="JLY221" s="407"/>
      <c r="JLZ221" s="407"/>
      <c r="JMA221" s="407"/>
      <c r="JMB221" s="407"/>
      <c r="JMC221" s="407"/>
      <c r="JMD221" s="407"/>
      <c r="JME221" s="407"/>
      <c r="JMF221" s="407"/>
      <c r="JMG221" s="407"/>
      <c r="JMH221" s="407"/>
      <c r="JMI221" s="407"/>
      <c r="JMJ221" s="407"/>
      <c r="JMK221" s="407"/>
      <c r="JML221" s="407"/>
      <c r="JMM221" s="407"/>
      <c r="JMN221" s="407"/>
      <c r="JMO221" s="407"/>
      <c r="JMP221" s="407"/>
      <c r="JMQ221" s="407"/>
      <c r="JMR221" s="407"/>
      <c r="JMS221" s="407"/>
      <c r="JMT221" s="407"/>
      <c r="JMU221" s="407"/>
      <c r="JMV221" s="407"/>
      <c r="JMW221" s="407"/>
      <c r="JMX221" s="407"/>
      <c r="JMY221" s="407"/>
      <c r="JMZ221" s="407"/>
      <c r="JNA221" s="407"/>
      <c r="JNB221" s="407"/>
      <c r="JNC221" s="407"/>
      <c r="JND221" s="407"/>
      <c r="JNE221" s="407"/>
      <c r="JNF221" s="407"/>
      <c r="JNG221" s="407"/>
      <c r="JNH221" s="407"/>
      <c r="JNI221" s="407"/>
      <c r="JNJ221" s="407"/>
      <c r="JNK221" s="407"/>
      <c r="JNL221" s="407"/>
      <c r="JNM221" s="407"/>
      <c r="JNN221" s="407"/>
      <c r="JNO221" s="407"/>
      <c r="JNP221" s="407"/>
      <c r="JNQ221" s="407"/>
      <c r="JNR221" s="407"/>
      <c r="JNS221" s="407"/>
      <c r="JNT221" s="407"/>
      <c r="JNU221" s="407"/>
      <c r="JNV221" s="407"/>
      <c r="JNW221" s="407"/>
      <c r="JNX221" s="407"/>
      <c r="JNY221" s="407"/>
      <c r="JNZ221" s="407"/>
      <c r="JOA221" s="407"/>
      <c r="JOB221" s="407"/>
      <c r="JOC221" s="407"/>
      <c r="JOD221" s="407"/>
      <c r="JOE221" s="407"/>
      <c r="JOF221" s="407"/>
      <c r="JOG221" s="407"/>
      <c r="JOH221" s="407"/>
      <c r="JOI221" s="407"/>
      <c r="JOJ221" s="407"/>
      <c r="JOK221" s="407"/>
      <c r="JOL221" s="407"/>
      <c r="JOM221" s="407"/>
      <c r="JON221" s="407"/>
      <c r="JOO221" s="407"/>
      <c r="JOP221" s="407"/>
      <c r="JOQ221" s="407"/>
      <c r="JOR221" s="407"/>
      <c r="JOS221" s="407"/>
      <c r="JOT221" s="407"/>
      <c r="JOU221" s="407"/>
      <c r="JOV221" s="407"/>
      <c r="JOW221" s="407"/>
      <c r="JOX221" s="407"/>
      <c r="JOY221" s="407"/>
      <c r="JOZ221" s="407"/>
      <c r="JPA221" s="407"/>
      <c r="JPB221" s="407"/>
      <c r="JPC221" s="407"/>
      <c r="JPD221" s="407"/>
      <c r="JPE221" s="407"/>
      <c r="JPF221" s="407"/>
      <c r="JPG221" s="407"/>
      <c r="JPH221" s="407"/>
      <c r="JPI221" s="407"/>
      <c r="JPJ221" s="407"/>
      <c r="JPK221" s="407"/>
      <c r="JPL221" s="407"/>
      <c r="JPM221" s="407"/>
      <c r="JPN221" s="407"/>
      <c r="JPO221" s="407"/>
      <c r="JPP221" s="407"/>
      <c r="JPQ221" s="407"/>
      <c r="JPR221" s="407"/>
      <c r="JPS221" s="407"/>
      <c r="JPT221" s="407"/>
      <c r="JPU221" s="407"/>
      <c r="JPV221" s="407"/>
      <c r="JPW221" s="407"/>
      <c r="JPX221" s="407"/>
      <c r="JPY221" s="407"/>
      <c r="JPZ221" s="407"/>
      <c r="JQA221" s="407"/>
      <c r="JQB221" s="407"/>
      <c r="JQC221" s="407"/>
      <c r="JQD221" s="407"/>
      <c r="JQE221" s="407"/>
      <c r="JQF221" s="407"/>
      <c r="JQG221" s="407"/>
      <c r="JQH221" s="407"/>
      <c r="JQI221" s="407"/>
      <c r="JQJ221" s="407"/>
      <c r="JQK221" s="407"/>
      <c r="JQL221" s="407"/>
      <c r="JQM221" s="407"/>
      <c r="JQN221" s="407"/>
      <c r="JQO221" s="407"/>
      <c r="JQP221" s="407"/>
      <c r="JQQ221" s="407"/>
      <c r="JQR221" s="407"/>
      <c r="JQS221" s="407"/>
      <c r="JQT221" s="407"/>
      <c r="JQU221" s="407"/>
      <c r="JQV221" s="407"/>
      <c r="JQW221" s="407"/>
      <c r="JQX221" s="407"/>
      <c r="JQY221" s="407"/>
      <c r="JQZ221" s="407"/>
      <c r="JRA221" s="407"/>
      <c r="JRB221" s="407"/>
      <c r="JRC221" s="407"/>
      <c r="JRD221" s="407"/>
      <c r="JRE221" s="407"/>
      <c r="JRF221" s="407"/>
      <c r="JRG221" s="407"/>
      <c r="JRH221" s="407"/>
      <c r="JRI221" s="407"/>
      <c r="JRJ221" s="407"/>
      <c r="JRK221" s="407"/>
      <c r="JRL221" s="407"/>
      <c r="JRM221" s="407"/>
      <c r="JRN221" s="407"/>
      <c r="JRO221" s="407"/>
      <c r="JRP221" s="407"/>
      <c r="JRQ221" s="407"/>
      <c r="JRR221" s="407"/>
      <c r="JRS221" s="407"/>
      <c r="JRT221" s="407"/>
      <c r="JRU221" s="407"/>
      <c r="JRV221" s="407"/>
      <c r="JRW221" s="407"/>
      <c r="JRX221" s="407"/>
      <c r="JRY221" s="407"/>
      <c r="JRZ221" s="407"/>
      <c r="JSA221" s="407"/>
      <c r="JSB221" s="407"/>
      <c r="JSC221" s="407"/>
      <c r="JSD221" s="407"/>
      <c r="JSE221" s="407"/>
      <c r="JSF221" s="407"/>
      <c r="JSG221" s="407"/>
      <c r="JSH221" s="407"/>
      <c r="JSI221" s="407"/>
      <c r="JSJ221" s="407"/>
      <c r="JSK221" s="407"/>
      <c r="JSL221" s="407"/>
      <c r="JSM221" s="407"/>
      <c r="JSN221" s="407"/>
      <c r="JSO221" s="407"/>
      <c r="JSP221" s="407"/>
      <c r="JSQ221" s="407"/>
      <c r="JSR221" s="407"/>
      <c r="JSS221" s="407"/>
      <c r="JST221" s="407"/>
      <c r="JSU221" s="407"/>
      <c r="JSV221" s="407"/>
      <c r="JSW221" s="407"/>
      <c r="JSX221" s="407"/>
      <c r="JSY221" s="407"/>
      <c r="JSZ221" s="407"/>
      <c r="JTA221" s="407"/>
      <c r="JTB221" s="407"/>
      <c r="JTC221" s="407"/>
      <c r="JTD221" s="407"/>
      <c r="JTE221" s="407"/>
      <c r="JTF221" s="407"/>
      <c r="JTG221" s="407"/>
      <c r="JTH221" s="407"/>
      <c r="JTI221" s="407"/>
      <c r="JTJ221" s="407"/>
      <c r="JTK221" s="407"/>
      <c r="JTL221" s="407"/>
      <c r="JTM221" s="407"/>
      <c r="JTN221" s="407"/>
      <c r="JTO221" s="407"/>
      <c r="JTP221" s="407"/>
      <c r="JTQ221" s="407"/>
      <c r="JTR221" s="407"/>
      <c r="JTS221" s="407"/>
      <c r="JTT221" s="407"/>
      <c r="JTU221" s="407"/>
      <c r="JTV221" s="407"/>
      <c r="JTW221" s="407"/>
      <c r="JTX221" s="407"/>
      <c r="JTY221" s="407"/>
      <c r="JTZ221" s="407"/>
      <c r="JUA221" s="407"/>
      <c r="JUB221" s="407"/>
      <c r="JUC221" s="407"/>
      <c r="JUD221" s="407"/>
      <c r="JUE221" s="407"/>
      <c r="JUF221" s="407"/>
      <c r="JUG221" s="407"/>
      <c r="JUH221" s="407"/>
      <c r="JUI221" s="407"/>
      <c r="JUJ221" s="407"/>
      <c r="JUK221" s="407"/>
      <c r="JUL221" s="407"/>
      <c r="JUM221" s="407"/>
      <c r="JUN221" s="407"/>
      <c r="JUO221" s="407"/>
      <c r="JUP221" s="407"/>
      <c r="JUQ221" s="407"/>
      <c r="JUR221" s="407"/>
      <c r="JUS221" s="407"/>
      <c r="JUT221" s="407"/>
      <c r="JUU221" s="407"/>
      <c r="JUV221" s="407"/>
      <c r="JUW221" s="407"/>
      <c r="JUX221" s="407"/>
      <c r="JUY221" s="407"/>
      <c r="JUZ221" s="407"/>
      <c r="JVA221" s="407"/>
      <c r="JVB221" s="407"/>
      <c r="JVC221" s="407"/>
      <c r="JVD221" s="407"/>
      <c r="JVE221" s="407"/>
      <c r="JVF221" s="407"/>
      <c r="JVG221" s="407"/>
      <c r="JVH221" s="407"/>
      <c r="JVI221" s="407"/>
      <c r="JVJ221" s="407"/>
      <c r="JVK221" s="407"/>
      <c r="JVL221" s="407"/>
      <c r="JVM221" s="407"/>
      <c r="JVN221" s="407"/>
      <c r="JVO221" s="407"/>
      <c r="JVP221" s="407"/>
      <c r="JVQ221" s="407"/>
      <c r="JVR221" s="407"/>
      <c r="JVS221" s="407"/>
      <c r="JVT221" s="407"/>
      <c r="JVU221" s="407"/>
      <c r="JVV221" s="407"/>
      <c r="JVW221" s="407"/>
      <c r="JVX221" s="407"/>
      <c r="JVY221" s="407"/>
      <c r="JVZ221" s="407"/>
      <c r="JWA221" s="407"/>
      <c r="JWB221" s="407"/>
      <c r="JWC221" s="407"/>
      <c r="JWD221" s="407"/>
      <c r="JWE221" s="407"/>
      <c r="JWF221" s="407"/>
      <c r="JWG221" s="407"/>
      <c r="JWH221" s="407"/>
      <c r="JWI221" s="407"/>
      <c r="JWJ221" s="407"/>
      <c r="JWK221" s="407"/>
      <c r="JWL221" s="407"/>
      <c r="JWM221" s="407"/>
      <c r="JWN221" s="407"/>
      <c r="JWO221" s="407"/>
      <c r="JWP221" s="407"/>
      <c r="JWQ221" s="407"/>
      <c r="JWR221" s="407"/>
      <c r="JWS221" s="407"/>
      <c r="JWT221" s="407"/>
      <c r="JWU221" s="407"/>
      <c r="JWV221" s="407"/>
      <c r="JWW221" s="407"/>
      <c r="JWX221" s="407"/>
      <c r="JWY221" s="407"/>
      <c r="JWZ221" s="407"/>
      <c r="JXA221" s="407"/>
      <c r="JXB221" s="407"/>
      <c r="JXC221" s="407"/>
      <c r="JXD221" s="407"/>
      <c r="JXE221" s="407"/>
      <c r="JXF221" s="407"/>
      <c r="JXG221" s="407"/>
      <c r="JXH221" s="407"/>
      <c r="JXI221" s="407"/>
      <c r="JXJ221" s="407"/>
      <c r="JXK221" s="407"/>
      <c r="JXL221" s="407"/>
      <c r="JXM221" s="407"/>
      <c r="JXN221" s="407"/>
      <c r="JXO221" s="407"/>
      <c r="JXP221" s="407"/>
      <c r="JXQ221" s="407"/>
      <c r="JXR221" s="407"/>
      <c r="JXS221" s="407"/>
      <c r="JXT221" s="407"/>
      <c r="JXU221" s="407"/>
      <c r="JXV221" s="407"/>
      <c r="JXW221" s="407"/>
      <c r="JXX221" s="407"/>
      <c r="JXY221" s="407"/>
      <c r="JXZ221" s="407"/>
      <c r="JYA221" s="407"/>
      <c r="JYB221" s="407"/>
      <c r="JYC221" s="407"/>
      <c r="JYD221" s="407"/>
      <c r="JYE221" s="407"/>
      <c r="JYF221" s="407"/>
      <c r="JYG221" s="407"/>
      <c r="JYH221" s="407"/>
      <c r="JYI221" s="407"/>
      <c r="JYJ221" s="407"/>
      <c r="JYK221" s="407"/>
      <c r="JYL221" s="407"/>
      <c r="JYM221" s="407"/>
      <c r="JYN221" s="407"/>
      <c r="JYO221" s="407"/>
      <c r="JYP221" s="407"/>
      <c r="JYQ221" s="407"/>
      <c r="JYR221" s="407"/>
      <c r="JYS221" s="407"/>
      <c r="JYT221" s="407"/>
      <c r="JYU221" s="407"/>
      <c r="JYV221" s="407"/>
      <c r="JYW221" s="407"/>
      <c r="JYX221" s="407"/>
      <c r="JYY221" s="407"/>
      <c r="JYZ221" s="407"/>
      <c r="JZA221" s="407"/>
      <c r="JZB221" s="407"/>
      <c r="JZC221" s="407"/>
      <c r="JZD221" s="407"/>
      <c r="JZE221" s="407"/>
      <c r="JZF221" s="407"/>
      <c r="JZG221" s="407"/>
      <c r="JZH221" s="407"/>
      <c r="JZI221" s="407"/>
      <c r="JZJ221" s="407"/>
      <c r="JZK221" s="407"/>
      <c r="JZL221" s="407"/>
      <c r="JZM221" s="407"/>
      <c r="JZN221" s="407"/>
      <c r="JZO221" s="407"/>
      <c r="JZP221" s="407"/>
      <c r="JZQ221" s="407"/>
      <c r="JZR221" s="407"/>
      <c r="JZS221" s="407"/>
      <c r="JZT221" s="407"/>
      <c r="JZU221" s="407"/>
      <c r="JZV221" s="407"/>
      <c r="JZW221" s="407"/>
      <c r="JZX221" s="407"/>
      <c r="JZY221" s="407"/>
      <c r="JZZ221" s="407"/>
      <c r="KAA221" s="407"/>
      <c r="KAB221" s="407"/>
      <c r="KAC221" s="407"/>
      <c r="KAD221" s="407"/>
      <c r="KAE221" s="407"/>
      <c r="KAF221" s="407"/>
      <c r="KAG221" s="407"/>
      <c r="KAH221" s="407"/>
      <c r="KAI221" s="407"/>
      <c r="KAJ221" s="407"/>
      <c r="KAK221" s="407"/>
      <c r="KAL221" s="407"/>
      <c r="KAM221" s="407"/>
      <c r="KAN221" s="407"/>
      <c r="KAO221" s="407"/>
      <c r="KAP221" s="407"/>
      <c r="KAQ221" s="407"/>
      <c r="KAR221" s="407"/>
      <c r="KAS221" s="407"/>
      <c r="KAT221" s="407"/>
      <c r="KAU221" s="407"/>
      <c r="KAV221" s="407"/>
      <c r="KAW221" s="407"/>
      <c r="KAX221" s="407"/>
      <c r="KAY221" s="407"/>
      <c r="KAZ221" s="407"/>
      <c r="KBA221" s="407"/>
      <c r="KBB221" s="407"/>
      <c r="KBC221" s="407"/>
      <c r="KBD221" s="407"/>
      <c r="KBE221" s="407"/>
      <c r="KBF221" s="407"/>
      <c r="KBG221" s="407"/>
      <c r="KBH221" s="407"/>
      <c r="KBI221" s="407"/>
      <c r="KBJ221" s="407"/>
      <c r="KBK221" s="407"/>
      <c r="KBL221" s="407"/>
      <c r="KBM221" s="407"/>
      <c r="KBN221" s="407"/>
      <c r="KBO221" s="407"/>
      <c r="KBP221" s="407"/>
      <c r="KBQ221" s="407"/>
      <c r="KBR221" s="407"/>
      <c r="KBS221" s="407"/>
      <c r="KBT221" s="407"/>
      <c r="KBU221" s="407"/>
      <c r="KBV221" s="407"/>
      <c r="KBW221" s="407"/>
      <c r="KBX221" s="407"/>
      <c r="KBY221" s="407"/>
      <c r="KBZ221" s="407"/>
      <c r="KCA221" s="407"/>
      <c r="KCB221" s="407"/>
      <c r="KCC221" s="407"/>
      <c r="KCD221" s="407"/>
      <c r="KCE221" s="407"/>
      <c r="KCF221" s="407"/>
      <c r="KCG221" s="407"/>
      <c r="KCH221" s="407"/>
      <c r="KCI221" s="407"/>
      <c r="KCJ221" s="407"/>
      <c r="KCK221" s="407"/>
      <c r="KCL221" s="407"/>
      <c r="KCM221" s="407"/>
      <c r="KCN221" s="407"/>
      <c r="KCO221" s="407"/>
      <c r="KCP221" s="407"/>
      <c r="KCQ221" s="407"/>
      <c r="KCR221" s="407"/>
      <c r="KCS221" s="407"/>
      <c r="KCT221" s="407"/>
      <c r="KCU221" s="407"/>
      <c r="KCV221" s="407"/>
      <c r="KCW221" s="407"/>
      <c r="KCX221" s="407"/>
      <c r="KCY221" s="407"/>
      <c r="KCZ221" s="407"/>
      <c r="KDA221" s="407"/>
      <c r="KDB221" s="407"/>
      <c r="KDC221" s="407"/>
      <c r="KDD221" s="407"/>
      <c r="KDE221" s="407"/>
      <c r="KDF221" s="407"/>
      <c r="KDG221" s="407"/>
      <c r="KDH221" s="407"/>
      <c r="KDI221" s="407"/>
      <c r="KDJ221" s="407"/>
      <c r="KDK221" s="407"/>
      <c r="KDL221" s="407"/>
      <c r="KDM221" s="407"/>
      <c r="KDN221" s="407"/>
      <c r="KDO221" s="407"/>
      <c r="KDP221" s="407"/>
      <c r="KDQ221" s="407"/>
      <c r="KDR221" s="407"/>
      <c r="KDS221" s="407"/>
      <c r="KDT221" s="407"/>
      <c r="KDU221" s="407"/>
      <c r="KDV221" s="407"/>
      <c r="KDW221" s="407"/>
      <c r="KDX221" s="407"/>
      <c r="KDY221" s="407"/>
      <c r="KDZ221" s="407"/>
      <c r="KEA221" s="407"/>
      <c r="KEB221" s="407"/>
      <c r="KEC221" s="407"/>
      <c r="KED221" s="407"/>
      <c r="KEE221" s="407"/>
      <c r="KEF221" s="407"/>
      <c r="KEG221" s="407"/>
      <c r="KEH221" s="407"/>
      <c r="KEI221" s="407"/>
      <c r="KEJ221" s="407"/>
      <c r="KEK221" s="407"/>
      <c r="KEL221" s="407"/>
      <c r="KEM221" s="407"/>
      <c r="KEN221" s="407"/>
      <c r="KEO221" s="407"/>
      <c r="KEP221" s="407"/>
      <c r="KEQ221" s="407"/>
      <c r="KER221" s="407"/>
      <c r="KES221" s="407"/>
      <c r="KET221" s="407"/>
      <c r="KEU221" s="407"/>
      <c r="KEV221" s="407"/>
      <c r="KEW221" s="407"/>
      <c r="KEX221" s="407"/>
      <c r="KEY221" s="407"/>
      <c r="KEZ221" s="407"/>
      <c r="KFA221" s="407"/>
      <c r="KFB221" s="407"/>
      <c r="KFC221" s="407"/>
      <c r="KFD221" s="407"/>
      <c r="KFE221" s="407"/>
      <c r="KFF221" s="407"/>
      <c r="KFG221" s="407"/>
      <c r="KFH221" s="407"/>
      <c r="KFI221" s="407"/>
      <c r="KFJ221" s="407"/>
      <c r="KFK221" s="407"/>
      <c r="KFL221" s="407"/>
      <c r="KFM221" s="407"/>
      <c r="KFN221" s="407"/>
      <c r="KFO221" s="407"/>
      <c r="KFP221" s="407"/>
      <c r="KFQ221" s="407"/>
      <c r="KFR221" s="407"/>
      <c r="KFS221" s="407"/>
      <c r="KFT221" s="407"/>
      <c r="KFU221" s="407"/>
      <c r="KFV221" s="407"/>
      <c r="KFW221" s="407"/>
      <c r="KFX221" s="407"/>
      <c r="KFY221" s="407"/>
      <c r="KFZ221" s="407"/>
      <c r="KGA221" s="407"/>
      <c r="KGB221" s="407"/>
      <c r="KGC221" s="407"/>
      <c r="KGD221" s="407"/>
      <c r="KGE221" s="407"/>
      <c r="KGF221" s="407"/>
      <c r="KGG221" s="407"/>
      <c r="KGH221" s="407"/>
      <c r="KGI221" s="407"/>
      <c r="KGJ221" s="407"/>
      <c r="KGK221" s="407"/>
      <c r="KGL221" s="407"/>
      <c r="KGM221" s="407"/>
      <c r="KGN221" s="407"/>
      <c r="KGO221" s="407"/>
      <c r="KGP221" s="407"/>
      <c r="KGQ221" s="407"/>
      <c r="KGR221" s="407"/>
      <c r="KGS221" s="407"/>
      <c r="KGT221" s="407"/>
      <c r="KGU221" s="407"/>
      <c r="KGV221" s="407"/>
      <c r="KGW221" s="407"/>
      <c r="KGX221" s="407"/>
      <c r="KGY221" s="407"/>
      <c r="KGZ221" s="407"/>
      <c r="KHA221" s="407"/>
      <c r="KHB221" s="407"/>
      <c r="KHC221" s="407"/>
      <c r="KHD221" s="407"/>
      <c r="KHE221" s="407"/>
      <c r="KHF221" s="407"/>
      <c r="KHG221" s="407"/>
      <c r="KHH221" s="407"/>
      <c r="KHI221" s="407"/>
      <c r="KHJ221" s="407"/>
      <c r="KHK221" s="407"/>
      <c r="KHL221" s="407"/>
      <c r="KHM221" s="407"/>
      <c r="KHN221" s="407"/>
      <c r="KHO221" s="407"/>
      <c r="KHP221" s="407"/>
      <c r="KHQ221" s="407"/>
      <c r="KHR221" s="407"/>
      <c r="KHS221" s="407"/>
      <c r="KHT221" s="407"/>
      <c r="KHU221" s="407"/>
      <c r="KHV221" s="407"/>
      <c r="KHW221" s="407"/>
      <c r="KHX221" s="407"/>
      <c r="KHY221" s="407"/>
      <c r="KHZ221" s="407"/>
      <c r="KIA221" s="407"/>
      <c r="KIB221" s="407"/>
      <c r="KIC221" s="407"/>
      <c r="KID221" s="407"/>
      <c r="KIE221" s="407"/>
      <c r="KIF221" s="407"/>
      <c r="KIG221" s="407"/>
      <c r="KIH221" s="407"/>
      <c r="KII221" s="407"/>
      <c r="KIJ221" s="407"/>
      <c r="KIK221" s="407"/>
      <c r="KIL221" s="407"/>
      <c r="KIM221" s="407"/>
      <c r="KIN221" s="407"/>
      <c r="KIO221" s="407"/>
      <c r="KIP221" s="407"/>
      <c r="KIQ221" s="407"/>
      <c r="KIR221" s="407"/>
      <c r="KIS221" s="407"/>
      <c r="KIT221" s="407"/>
      <c r="KIU221" s="407"/>
      <c r="KIV221" s="407"/>
      <c r="KIW221" s="407"/>
      <c r="KIX221" s="407"/>
      <c r="KIY221" s="407"/>
      <c r="KIZ221" s="407"/>
      <c r="KJA221" s="407"/>
      <c r="KJB221" s="407"/>
      <c r="KJC221" s="407"/>
      <c r="KJD221" s="407"/>
      <c r="KJE221" s="407"/>
      <c r="KJF221" s="407"/>
      <c r="KJG221" s="407"/>
      <c r="KJH221" s="407"/>
      <c r="KJI221" s="407"/>
      <c r="KJJ221" s="407"/>
      <c r="KJK221" s="407"/>
      <c r="KJL221" s="407"/>
      <c r="KJM221" s="407"/>
      <c r="KJN221" s="407"/>
      <c r="KJO221" s="407"/>
      <c r="KJP221" s="407"/>
      <c r="KJQ221" s="407"/>
      <c r="KJR221" s="407"/>
      <c r="KJS221" s="407"/>
      <c r="KJT221" s="407"/>
      <c r="KJU221" s="407"/>
      <c r="KJV221" s="407"/>
      <c r="KJW221" s="407"/>
      <c r="KJX221" s="407"/>
      <c r="KJY221" s="407"/>
      <c r="KJZ221" s="407"/>
      <c r="KKA221" s="407"/>
      <c r="KKB221" s="407"/>
      <c r="KKC221" s="407"/>
      <c r="KKD221" s="407"/>
      <c r="KKE221" s="407"/>
      <c r="KKF221" s="407"/>
      <c r="KKG221" s="407"/>
      <c r="KKH221" s="407"/>
      <c r="KKI221" s="407"/>
      <c r="KKJ221" s="407"/>
      <c r="KKK221" s="407"/>
      <c r="KKL221" s="407"/>
      <c r="KKM221" s="407"/>
      <c r="KKN221" s="407"/>
      <c r="KKO221" s="407"/>
      <c r="KKP221" s="407"/>
      <c r="KKQ221" s="407"/>
      <c r="KKR221" s="407"/>
      <c r="KKS221" s="407"/>
      <c r="KKT221" s="407"/>
      <c r="KKU221" s="407"/>
      <c r="KKV221" s="407"/>
      <c r="KKW221" s="407"/>
      <c r="KKX221" s="407"/>
      <c r="KKY221" s="407"/>
      <c r="KKZ221" s="407"/>
      <c r="KLA221" s="407"/>
      <c r="KLB221" s="407"/>
      <c r="KLC221" s="407"/>
      <c r="KLD221" s="407"/>
      <c r="KLE221" s="407"/>
      <c r="KLF221" s="407"/>
      <c r="KLG221" s="407"/>
      <c r="KLH221" s="407"/>
      <c r="KLI221" s="407"/>
      <c r="KLJ221" s="407"/>
      <c r="KLK221" s="407"/>
      <c r="KLL221" s="407"/>
      <c r="KLM221" s="407"/>
      <c r="KLN221" s="407"/>
      <c r="KLO221" s="407"/>
      <c r="KLP221" s="407"/>
      <c r="KLQ221" s="407"/>
      <c r="KLR221" s="407"/>
      <c r="KLS221" s="407"/>
      <c r="KLT221" s="407"/>
      <c r="KLU221" s="407"/>
      <c r="KLV221" s="407"/>
      <c r="KLW221" s="407"/>
      <c r="KLX221" s="407"/>
      <c r="KLY221" s="407"/>
      <c r="KLZ221" s="407"/>
      <c r="KMA221" s="407"/>
      <c r="KMB221" s="407"/>
      <c r="KMC221" s="407"/>
      <c r="KMD221" s="407"/>
      <c r="KME221" s="407"/>
      <c r="KMF221" s="407"/>
      <c r="KMG221" s="407"/>
      <c r="KMH221" s="407"/>
      <c r="KMI221" s="407"/>
      <c r="KMJ221" s="407"/>
      <c r="KMK221" s="407"/>
      <c r="KML221" s="407"/>
      <c r="KMM221" s="407"/>
      <c r="KMN221" s="407"/>
      <c r="KMO221" s="407"/>
      <c r="KMP221" s="407"/>
      <c r="KMQ221" s="407"/>
      <c r="KMR221" s="407"/>
      <c r="KMS221" s="407"/>
      <c r="KMT221" s="407"/>
      <c r="KMU221" s="407"/>
      <c r="KMV221" s="407"/>
      <c r="KMW221" s="407"/>
      <c r="KMX221" s="407"/>
      <c r="KMY221" s="407"/>
      <c r="KMZ221" s="407"/>
      <c r="KNA221" s="407"/>
      <c r="KNB221" s="407"/>
      <c r="KNC221" s="407"/>
      <c r="KND221" s="407"/>
      <c r="KNE221" s="407"/>
      <c r="KNF221" s="407"/>
      <c r="KNG221" s="407"/>
      <c r="KNH221" s="407"/>
      <c r="KNI221" s="407"/>
      <c r="KNJ221" s="407"/>
      <c r="KNK221" s="407"/>
      <c r="KNL221" s="407"/>
      <c r="KNM221" s="407"/>
      <c r="KNN221" s="407"/>
      <c r="KNO221" s="407"/>
      <c r="KNP221" s="407"/>
      <c r="KNQ221" s="407"/>
      <c r="KNR221" s="407"/>
      <c r="KNS221" s="407"/>
      <c r="KNT221" s="407"/>
      <c r="KNU221" s="407"/>
      <c r="KNV221" s="407"/>
      <c r="KNW221" s="407"/>
      <c r="KNX221" s="407"/>
      <c r="KNY221" s="407"/>
      <c r="KNZ221" s="407"/>
      <c r="KOA221" s="407"/>
      <c r="KOB221" s="407"/>
      <c r="KOC221" s="407"/>
      <c r="KOD221" s="407"/>
      <c r="KOE221" s="407"/>
      <c r="KOF221" s="407"/>
      <c r="KOG221" s="407"/>
      <c r="KOH221" s="407"/>
      <c r="KOI221" s="407"/>
      <c r="KOJ221" s="407"/>
      <c r="KOK221" s="407"/>
      <c r="KOL221" s="407"/>
      <c r="KOM221" s="407"/>
      <c r="KON221" s="407"/>
      <c r="KOO221" s="407"/>
      <c r="KOP221" s="407"/>
      <c r="KOQ221" s="407"/>
      <c r="KOR221" s="407"/>
      <c r="KOS221" s="407"/>
      <c r="KOT221" s="407"/>
      <c r="KOU221" s="407"/>
      <c r="KOV221" s="407"/>
      <c r="KOW221" s="407"/>
      <c r="KOX221" s="407"/>
      <c r="KOY221" s="407"/>
      <c r="KOZ221" s="407"/>
      <c r="KPA221" s="407"/>
      <c r="KPB221" s="407"/>
      <c r="KPC221" s="407"/>
      <c r="KPD221" s="407"/>
      <c r="KPE221" s="407"/>
      <c r="KPF221" s="407"/>
      <c r="KPG221" s="407"/>
      <c r="KPH221" s="407"/>
      <c r="KPI221" s="407"/>
      <c r="KPJ221" s="407"/>
      <c r="KPK221" s="407"/>
      <c r="KPL221" s="407"/>
      <c r="KPM221" s="407"/>
      <c r="KPN221" s="407"/>
      <c r="KPO221" s="407"/>
      <c r="KPP221" s="407"/>
      <c r="KPQ221" s="407"/>
      <c r="KPR221" s="407"/>
      <c r="KPS221" s="407"/>
      <c r="KPT221" s="407"/>
      <c r="KPU221" s="407"/>
      <c r="KPV221" s="407"/>
      <c r="KPW221" s="407"/>
      <c r="KPX221" s="407"/>
      <c r="KPY221" s="407"/>
      <c r="KPZ221" s="407"/>
      <c r="KQA221" s="407"/>
      <c r="KQB221" s="407"/>
      <c r="KQC221" s="407"/>
      <c r="KQD221" s="407"/>
      <c r="KQE221" s="407"/>
      <c r="KQF221" s="407"/>
      <c r="KQG221" s="407"/>
      <c r="KQH221" s="407"/>
      <c r="KQI221" s="407"/>
      <c r="KQJ221" s="407"/>
      <c r="KQK221" s="407"/>
      <c r="KQL221" s="407"/>
      <c r="KQM221" s="407"/>
      <c r="KQN221" s="407"/>
      <c r="KQO221" s="407"/>
      <c r="KQP221" s="407"/>
      <c r="KQQ221" s="407"/>
      <c r="KQR221" s="407"/>
      <c r="KQS221" s="407"/>
      <c r="KQT221" s="407"/>
      <c r="KQU221" s="407"/>
      <c r="KQV221" s="407"/>
      <c r="KQW221" s="407"/>
      <c r="KQX221" s="407"/>
      <c r="KQY221" s="407"/>
      <c r="KQZ221" s="407"/>
      <c r="KRA221" s="407"/>
      <c r="KRB221" s="407"/>
      <c r="KRC221" s="407"/>
      <c r="KRD221" s="407"/>
      <c r="KRE221" s="407"/>
      <c r="KRF221" s="407"/>
      <c r="KRG221" s="407"/>
      <c r="KRH221" s="407"/>
      <c r="KRI221" s="407"/>
      <c r="KRJ221" s="407"/>
      <c r="KRK221" s="407"/>
      <c r="KRL221" s="407"/>
      <c r="KRM221" s="407"/>
      <c r="KRN221" s="407"/>
      <c r="KRO221" s="407"/>
      <c r="KRP221" s="407"/>
      <c r="KRQ221" s="407"/>
      <c r="KRR221" s="407"/>
      <c r="KRS221" s="407"/>
      <c r="KRT221" s="407"/>
      <c r="KRU221" s="407"/>
      <c r="KRV221" s="407"/>
      <c r="KRW221" s="407"/>
      <c r="KRX221" s="407"/>
      <c r="KRY221" s="407"/>
      <c r="KRZ221" s="407"/>
      <c r="KSA221" s="407"/>
      <c r="KSB221" s="407"/>
      <c r="KSC221" s="407"/>
      <c r="KSD221" s="407"/>
      <c r="KSE221" s="407"/>
      <c r="KSF221" s="407"/>
      <c r="KSG221" s="407"/>
      <c r="KSH221" s="407"/>
      <c r="KSI221" s="407"/>
      <c r="KSJ221" s="407"/>
      <c r="KSK221" s="407"/>
      <c r="KSL221" s="407"/>
      <c r="KSM221" s="407"/>
      <c r="KSN221" s="407"/>
      <c r="KSO221" s="407"/>
      <c r="KSP221" s="407"/>
      <c r="KSQ221" s="407"/>
      <c r="KSR221" s="407"/>
      <c r="KSS221" s="407"/>
      <c r="KST221" s="407"/>
      <c r="KSU221" s="407"/>
      <c r="KSV221" s="407"/>
      <c r="KSW221" s="407"/>
      <c r="KSX221" s="407"/>
      <c r="KSY221" s="407"/>
      <c r="KSZ221" s="407"/>
      <c r="KTA221" s="407"/>
      <c r="KTB221" s="407"/>
      <c r="KTC221" s="407"/>
      <c r="KTD221" s="407"/>
      <c r="KTE221" s="407"/>
      <c r="KTF221" s="407"/>
      <c r="KTG221" s="407"/>
      <c r="KTH221" s="407"/>
      <c r="KTI221" s="407"/>
      <c r="KTJ221" s="407"/>
      <c r="KTK221" s="407"/>
      <c r="KTL221" s="407"/>
      <c r="KTM221" s="407"/>
      <c r="KTN221" s="407"/>
      <c r="KTO221" s="407"/>
      <c r="KTP221" s="407"/>
      <c r="KTQ221" s="407"/>
      <c r="KTR221" s="407"/>
      <c r="KTS221" s="407"/>
      <c r="KTT221" s="407"/>
      <c r="KTU221" s="407"/>
      <c r="KTV221" s="407"/>
      <c r="KTW221" s="407"/>
      <c r="KTX221" s="407"/>
      <c r="KTY221" s="407"/>
      <c r="KTZ221" s="407"/>
      <c r="KUA221" s="407"/>
      <c r="KUB221" s="407"/>
      <c r="KUC221" s="407"/>
      <c r="KUD221" s="407"/>
      <c r="KUE221" s="407"/>
      <c r="KUF221" s="407"/>
      <c r="KUG221" s="407"/>
      <c r="KUH221" s="407"/>
      <c r="KUI221" s="407"/>
      <c r="KUJ221" s="407"/>
      <c r="KUK221" s="407"/>
      <c r="KUL221" s="407"/>
      <c r="KUM221" s="407"/>
      <c r="KUN221" s="407"/>
      <c r="KUO221" s="407"/>
      <c r="KUP221" s="407"/>
      <c r="KUQ221" s="407"/>
      <c r="KUR221" s="407"/>
      <c r="KUS221" s="407"/>
      <c r="KUT221" s="407"/>
      <c r="KUU221" s="407"/>
      <c r="KUV221" s="407"/>
      <c r="KUW221" s="407"/>
      <c r="KUX221" s="407"/>
      <c r="KUY221" s="407"/>
      <c r="KUZ221" s="407"/>
      <c r="KVA221" s="407"/>
      <c r="KVB221" s="407"/>
      <c r="KVC221" s="407"/>
      <c r="KVD221" s="407"/>
      <c r="KVE221" s="407"/>
      <c r="KVF221" s="407"/>
      <c r="KVG221" s="407"/>
      <c r="KVH221" s="407"/>
      <c r="KVI221" s="407"/>
      <c r="KVJ221" s="407"/>
      <c r="KVK221" s="407"/>
      <c r="KVL221" s="407"/>
      <c r="KVM221" s="407"/>
      <c r="KVN221" s="407"/>
      <c r="KVO221" s="407"/>
      <c r="KVP221" s="407"/>
      <c r="KVQ221" s="407"/>
      <c r="KVR221" s="407"/>
      <c r="KVS221" s="407"/>
      <c r="KVT221" s="407"/>
      <c r="KVU221" s="407"/>
      <c r="KVV221" s="407"/>
      <c r="KVW221" s="407"/>
      <c r="KVX221" s="407"/>
      <c r="KVY221" s="407"/>
      <c r="KVZ221" s="407"/>
      <c r="KWA221" s="407"/>
      <c r="KWB221" s="407"/>
      <c r="KWC221" s="407"/>
      <c r="KWD221" s="407"/>
      <c r="KWE221" s="407"/>
      <c r="KWF221" s="407"/>
      <c r="KWG221" s="407"/>
      <c r="KWH221" s="407"/>
      <c r="KWI221" s="407"/>
      <c r="KWJ221" s="407"/>
      <c r="KWK221" s="407"/>
      <c r="KWL221" s="407"/>
      <c r="KWM221" s="407"/>
      <c r="KWN221" s="407"/>
      <c r="KWO221" s="407"/>
      <c r="KWP221" s="407"/>
      <c r="KWQ221" s="407"/>
      <c r="KWR221" s="407"/>
      <c r="KWS221" s="407"/>
      <c r="KWT221" s="407"/>
      <c r="KWU221" s="407"/>
      <c r="KWV221" s="407"/>
      <c r="KWW221" s="407"/>
      <c r="KWX221" s="407"/>
      <c r="KWY221" s="407"/>
      <c r="KWZ221" s="407"/>
      <c r="KXA221" s="407"/>
      <c r="KXB221" s="407"/>
      <c r="KXC221" s="407"/>
      <c r="KXD221" s="407"/>
      <c r="KXE221" s="407"/>
      <c r="KXF221" s="407"/>
      <c r="KXG221" s="407"/>
      <c r="KXH221" s="407"/>
      <c r="KXI221" s="407"/>
      <c r="KXJ221" s="407"/>
      <c r="KXK221" s="407"/>
      <c r="KXL221" s="407"/>
      <c r="KXM221" s="407"/>
      <c r="KXN221" s="407"/>
      <c r="KXO221" s="407"/>
      <c r="KXP221" s="407"/>
      <c r="KXQ221" s="407"/>
      <c r="KXR221" s="407"/>
      <c r="KXS221" s="407"/>
      <c r="KXT221" s="407"/>
      <c r="KXU221" s="407"/>
      <c r="KXV221" s="407"/>
      <c r="KXW221" s="407"/>
      <c r="KXX221" s="407"/>
      <c r="KXY221" s="407"/>
      <c r="KXZ221" s="407"/>
      <c r="KYA221" s="407"/>
      <c r="KYB221" s="407"/>
      <c r="KYC221" s="407"/>
      <c r="KYD221" s="407"/>
      <c r="KYE221" s="407"/>
      <c r="KYF221" s="407"/>
      <c r="KYG221" s="407"/>
      <c r="KYH221" s="407"/>
      <c r="KYI221" s="407"/>
      <c r="KYJ221" s="407"/>
      <c r="KYK221" s="407"/>
      <c r="KYL221" s="407"/>
      <c r="KYM221" s="407"/>
      <c r="KYN221" s="407"/>
      <c r="KYO221" s="407"/>
      <c r="KYP221" s="407"/>
      <c r="KYQ221" s="407"/>
      <c r="KYR221" s="407"/>
      <c r="KYS221" s="407"/>
      <c r="KYT221" s="407"/>
      <c r="KYU221" s="407"/>
      <c r="KYV221" s="407"/>
      <c r="KYW221" s="407"/>
      <c r="KYX221" s="407"/>
      <c r="KYY221" s="407"/>
      <c r="KYZ221" s="407"/>
      <c r="KZA221" s="407"/>
      <c r="KZB221" s="407"/>
      <c r="KZC221" s="407"/>
      <c r="KZD221" s="407"/>
      <c r="KZE221" s="407"/>
      <c r="KZF221" s="407"/>
      <c r="KZG221" s="407"/>
      <c r="KZH221" s="407"/>
      <c r="KZI221" s="407"/>
      <c r="KZJ221" s="407"/>
      <c r="KZK221" s="407"/>
      <c r="KZL221" s="407"/>
      <c r="KZM221" s="407"/>
      <c r="KZN221" s="407"/>
      <c r="KZO221" s="407"/>
      <c r="KZP221" s="407"/>
      <c r="KZQ221" s="407"/>
      <c r="KZR221" s="407"/>
      <c r="KZS221" s="407"/>
      <c r="KZT221" s="407"/>
      <c r="KZU221" s="407"/>
      <c r="KZV221" s="407"/>
      <c r="KZW221" s="407"/>
      <c r="KZX221" s="407"/>
      <c r="KZY221" s="407"/>
      <c r="KZZ221" s="407"/>
      <c r="LAA221" s="407"/>
      <c r="LAB221" s="407"/>
      <c r="LAC221" s="407"/>
      <c r="LAD221" s="407"/>
      <c r="LAE221" s="407"/>
      <c r="LAF221" s="407"/>
      <c r="LAG221" s="407"/>
      <c r="LAH221" s="407"/>
      <c r="LAI221" s="407"/>
      <c r="LAJ221" s="407"/>
      <c r="LAK221" s="407"/>
      <c r="LAL221" s="407"/>
      <c r="LAM221" s="407"/>
      <c r="LAN221" s="407"/>
      <c r="LAO221" s="407"/>
      <c r="LAP221" s="407"/>
      <c r="LAQ221" s="407"/>
      <c r="LAR221" s="407"/>
      <c r="LAS221" s="407"/>
      <c r="LAT221" s="407"/>
      <c r="LAU221" s="407"/>
      <c r="LAV221" s="407"/>
      <c r="LAW221" s="407"/>
      <c r="LAX221" s="407"/>
      <c r="LAY221" s="407"/>
      <c r="LAZ221" s="407"/>
      <c r="LBA221" s="407"/>
      <c r="LBB221" s="407"/>
      <c r="LBC221" s="407"/>
      <c r="LBD221" s="407"/>
      <c r="LBE221" s="407"/>
      <c r="LBF221" s="407"/>
      <c r="LBG221" s="407"/>
      <c r="LBH221" s="407"/>
      <c r="LBI221" s="407"/>
      <c r="LBJ221" s="407"/>
      <c r="LBK221" s="407"/>
      <c r="LBL221" s="407"/>
      <c r="LBM221" s="407"/>
      <c r="LBN221" s="407"/>
      <c r="LBO221" s="407"/>
      <c r="LBP221" s="407"/>
      <c r="LBQ221" s="407"/>
      <c r="LBR221" s="407"/>
      <c r="LBS221" s="407"/>
      <c r="LBT221" s="407"/>
      <c r="LBU221" s="407"/>
      <c r="LBV221" s="407"/>
      <c r="LBW221" s="407"/>
      <c r="LBX221" s="407"/>
      <c r="LBY221" s="407"/>
      <c r="LBZ221" s="407"/>
      <c r="LCA221" s="407"/>
      <c r="LCB221" s="407"/>
      <c r="LCC221" s="407"/>
      <c r="LCD221" s="407"/>
      <c r="LCE221" s="407"/>
      <c r="LCF221" s="407"/>
      <c r="LCG221" s="407"/>
      <c r="LCH221" s="407"/>
      <c r="LCI221" s="407"/>
      <c r="LCJ221" s="407"/>
      <c r="LCK221" s="407"/>
      <c r="LCL221" s="407"/>
      <c r="LCM221" s="407"/>
      <c r="LCN221" s="407"/>
      <c r="LCO221" s="407"/>
      <c r="LCP221" s="407"/>
      <c r="LCQ221" s="407"/>
      <c r="LCR221" s="407"/>
      <c r="LCS221" s="407"/>
      <c r="LCT221" s="407"/>
      <c r="LCU221" s="407"/>
      <c r="LCV221" s="407"/>
      <c r="LCW221" s="407"/>
      <c r="LCX221" s="407"/>
      <c r="LCY221" s="407"/>
      <c r="LCZ221" s="407"/>
      <c r="LDA221" s="407"/>
      <c r="LDB221" s="407"/>
      <c r="LDC221" s="407"/>
      <c r="LDD221" s="407"/>
      <c r="LDE221" s="407"/>
      <c r="LDF221" s="407"/>
      <c r="LDG221" s="407"/>
      <c r="LDH221" s="407"/>
      <c r="LDI221" s="407"/>
      <c r="LDJ221" s="407"/>
      <c r="LDK221" s="407"/>
      <c r="LDL221" s="407"/>
      <c r="LDM221" s="407"/>
      <c r="LDN221" s="407"/>
      <c r="LDO221" s="407"/>
      <c r="LDP221" s="407"/>
      <c r="LDQ221" s="407"/>
      <c r="LDR221" s="407"/>
      <c r="LDS221" s="407"/>
      <c r="LDT221" s="407"/>
      <c r="LDU221" s="407"/>
      <c r="LDV221" s="407"/>
      <c r="LDW221" s="407"/>
      <c r="LDX221" s="407"/>
      <c r="LDY221" s="407"/>
      <c r="LDZ221" s="407"/>
      <c r="LEA221" s="407"/>
      <c r="LEB221" s="407"/>
      <c r="LEC221" s="407"/>
      <c r="LED221" s="407"/>
      <c r="LEE221" s="407"/>
      <c r="LEF221" s="407"/>
      <c r="LEG221" s="407"/>
      <c r="LEH221" s="407"/>
      <c r="LEI221" s="407"/>
      <c r="LEJ221" s="407"/>
      <c r="LEK221" s="407"/>
      <c r="LEL221" s="407"/>
      <c r="LEM221" s="407"/>
      <c r="LEN221" s="407"/>
      <c r="LEO221" s="407"/>
      <c r="LEP221" s="407"/>
      <c r="LEQ221" s="407"/>
      <c r="LER221" s="407"/>
      <c r="LES221" s="407"/>
      <c r="LET221" s="407"/>
      <c r="LEU221" s="407"/>
      <c r="LEV221" s="407"/>
      <c r="LEW221" s="407"/>
      <c r="LEX221" s="407"/>
      <c r="LEY221" s="407"/>
      <c r="LEZ221" s="407"/>
      <c r="LFA221" s="407"/>
      <c r="LFB221" s="407"/>
      <c r="LFC221" s="407"/>
      <c r="LFD221" s="407"/>
      <c r="LFE221" s="407"/>
      <c r="LFF221" s="407"/>
      <c r="LFG221" s="407"/>
      <c r="LFH221" s="407"/>
      <c r="LFI221" s="407"/>
      <c r="LFJ221" s="407"/>
      <c r="LFK221" s="407"/>
      <c r="LFL221" s="407"/>
      <c r="LFM221" s="407"/>
      <c r="LFN221" s="407"/>
      <c r="LFO221" s="407"/>
      <c r="LFP221" s="407"/>
      <c r="LFQ221" s="407"/>
      <c r="LFR221" s="407"/>
      <c r="LFS221" s="407"/>
      <c r="LFT221" s="407"/>
      <c r="LFU221" s="407"/>
      <c r="LFV221" s="407"/>
      <c r="LFW221" s="407"/>
      <c r="LFX221" s="407"/>
      <c r="LFY221" s="407"/>
      <c r="LFZ221" s="407"/>
      <c r="LGA221" s="407"/>
      <c r="LGB221" s="407"/>
      <c r="LGC221" s="407"/>
      <c r="LGD221" s="407"/>
      <c r="LGE221" s="407"/>
      <c r="LGF221" s="407"/>
      <c r="LGG221" s="407"/>
      <c r="LGH221" s="407"/>
      <c r="LGI221" s="407"/>
      <c r="LGJ221" s="407"/>
      <c r="LGK221" s="407"/>
      <c r="LGL221" s="407"/>
      <c r="LGM221" s="407"/>
      <c r="LGN221" s="407"/>
      <c r="LGO221" s="407"/>
      <c r="LGP221" s="407"/>
      <c r="LGQ221" s="407"/>
      <c r="LGR221" s="407"/>
      <c r="LGS221" s="407"/>
      <c r="LGT221" s="407"/>
      <c r="LGU221" s="407"/>
      <c r="LGV221" s="407"/>
      <c r="LGW221" s="407"/>
      <c r="LGX221" s="407"/>
      <c r="LGY221" s="407"/>
      <c r="LGZ221" s="407"/>
      <c r="LHA221" s="407"/>
      <c r="LHB221" s="407"/>
      <c r="LHC221" s="407"/>
      <c r="LHD221" s="407"/>
      <c r="LHE221" s="407"/>
      <c r="LHF221" s="407"/>
      <c r="LHG221" s="407"/>
      <c r="LHH221" s="407"/>
      <c r="LHI221" s="407"/>
      <c r="LHJ221" s="407"/>
      <c r="LHK221" s="407"/>
      <c r="LHL221" s="407"/>
      <c r="LHM221" s="407"/>
      <c r="LHN221" s="407"/>
      <c r="LHO221" s="407"/>
      <c r="LHP221" s="407"/>
      <c r="LHQ221" s="407"/>
      <c r="LHR221" s="407"/>
      <c r="LHS221" s="407"/>
      <c r="LHT221" s="407"/>
      <c r="LHU221" s="407"/>
      <c r="LHV221" s="407"/>
      <c r="LHW221" s="407"/>
      <c r="LHX221" s="407"/>
      <c r="LHY221" s="407"/>
      <c r="LHZ221" s="407"/>
      <c r="LIA221" s="407"/>
      <c r="LIB221" s="407"/>
      <c r="LIC221" s="407"/>
      <c r="LID221" s="407"/>
      <c r="LIE221" s="407"/>
      <c r="LIF221" s="407"/>
      <c r="LIG221" s="407"/>
      <c r="LIH221" s="407"/>
      <c r="LII221" s="407"/>
      <c r="LIJ221" s="407"/>
      <c r="LIK221" s="407"/>
      <c r="LIL221" s="407"/>
      <c r="LIM221" s="407"/>
      <c r="LIN221" s="407"/>
      <c r="LIO221" s="407"/>
      <c r="LIP221" s="407"/>
      <c r="LIQ221" s="407"/>
      <c r="LIR221" s="407"/>
      <c r="LIS221" s="407"/>
      <c r="LIT221" s="407"/>
      <c r="LIU221" s="407"/>
      <c r="LIV221" s="407"/>
      <c r="LIW221" s="407"/>
      <c r="LIX221" s="407"/>
      <c r="LIY221" s="407"/>
      <c r="LIZ221" s="407"/>
      <c r="LJA221" s="407"/>
      <c r="LJB221" s="407"/>
      <c r="LJC221" s="407"/>
      <c r="LJD221" s="407"/>
      <c r="LJE221" s="407"/>
      <c r="LJF221" s="407"/>
      <c r="LJG221" s="407"/>
      <c r="LJH221" s="407"/>
      <c r="LJI221" s="407"/>
      <c r="LJJ221" s="407"/>
      <c r="LJK221" s="407"/>
      <c r="LJL221" s="407"/>
      <c r="LJM221" s="407"/>
      <c r="LJN221" s="407"/>
      <c r="LJO221" s="407"/>
      <c r="LJP221" s="407"/>
      <c r="LJQ221" s="407"/>
      <c r="LJR221" s="407"/>
      <c r="LJS221" s="407"/>
      <c r="LJT221" s="407"/>
      <c r="LJU221" s="407"/>
      <c r="LJV221" s="407"/>
      <c r="LJW221" s="407"/>
      <c r="LJX221" s="407"/>
      <c r="LJY221" s="407"/>
      <c r="LJZ221" s="407"/>
      <c r="LKA221" s="407"/>
      <c r="LKB221" s="407"/>
      <c r="LKC221" s="407"/>
      <c r="LKD221" s="407"/>
      <c r="LKE221" s="407"/>
      <c r="LKF221" s="407"/>
      <c r="LKG221" s="407"/>
      <c r="LKH221" s="407"/>
      <c r="LKI221" s="407"/>
      <c r="LKJ221" s="407"/>
      <c r="LKK221" s="407"/>
      <c r="LKL221" s="407"/>
      <c r="LKM221" s="407"/>
      <c r="LKN221" s="407"/>
      <c r="LKO221" s="407"/>
      <c r="LKP221" s="407"/>
      <c r="LKQ221" s="407"/>
      <c r="LKR221" s="407"/>
      <c r="LKS221" s="407"/>
      <c r="LKT221" s="407"/>
      <c r="LKU221" s="407"/>
      <c r="LKV221" s="407"/>
      <c r="LKW221" s="407"/>
      <c r="LKX221" s="407"/>
      <c r="LKY221" s="407"/>
      <c r="LKZ221" s="407"/>
      <c r="LLA221" s="407"/>
      <c r="LLB221" s="407"/>
      <c r="LLC221" s="407"/>
      <c r="LLD221" s="407"/>
      <c r="LLE221" s="407"/>
      <c r="LLF221" s="407"/>
      <c r="LLG221" s="407"/>
      <c r="LLH221" s="407"/>
      <c r="LLI221" s="407"/>
      <c r="LLJ221" s="407"/>
      <c r="LLK221" s="407"/>
      <c r="LLL221" s="407"/>
      <c r="LLM221" s="407"/>
      <c r="LLN221" s="407"/>
      <c r="LLO221" s="407"/>
      <c r="LLP221" s="407"/>
      <c r="LLQ221" s="407"/>
      <c r="LLR221" s="407"/>
      <c r="LLS221" s="407"/>
      <c r="LLT221" s="407"/>
      <c r="LLU221" s="407"/>
      <c r="LLV221" s="407"/>
      <c r="LLW221" s="407"/>
      <c r="LLX221" s="407"/>
      <c r="LLY221" s="407"/>
      <c r="LLZ221" s="407"/>
      <c r="LMA221" s="407"/>
      <c r="LMB221" s="407"/>
      <c r="LMC221" s="407"/>
      <c r="LMD221" s="407"/>
      <c r="LME221" s="407"/>
      <c r="LMF221" s="407"/>
      <c r="LMG221" s="407"/>
      <c r="LMH221" s="407"/>
      <c r="LMI221" s="407"/>
      <c r="LMJ221" s="407"/>
      <c r="LMK221" s="407"/>
      <c r="LML221" s="407"/>
      <c r="LMM221" s="407"/>
      <c r="LMN221" s="407"/>
      <c r="LMO221" s="407"/>
      <c r="LMP221" s="407"/>
      <c r="LMQ221" s="407"/>
      <c r="LMR221" s="407"/>
      <c r="LMS221" s="407"/>
      <c r="LMT221" s="407"/>
      <c r="LMU221" s="407"/>
      <c r="LMV221" s="407"/>
      <c r="LMW221" s="407"/>
      <c r="LMX221" s="407"/>
      <c r="LMY221" s="407"/>
      <c r="LMZ221" s="407"/>
      <c r="LNA221" s="407"/>
      <c r="LNB221" s="407"/>
      <c r="LNC221" s="407"/>
      <c r="LND221" s="407"/>
      <c r="LNE221" s="407"/>
      <c r="LNF221" s="407"/>
      <c r="LNG221" s="407"/>
      <c r="LNH221" s="407"/>
      <c r="LNI221" s="407"/>
      <c r="LNJ221" s="407"/>
      <c r="LNK221" s="407"/>
      <c r="LNL221" s="407"/>
      <c r="LNM221" s="407"/>
      <c r="LNN221" s="407"/>
      <c r="LNO221" s="407"/>
      <c r="LNP221" s="407"/>
      <c r="LNQ221" s="407"/>
      <c r="LNR221" s="407"/>
      <c r="LNS221" s="407"/>
      <c r="LNT221" s="407"/>
      <c r="LNU221" s="407"/>
      <c r="LNV221" s="407"/>
      <c r="LNW221" s="407"/>
      <c r="LNX221" s="407"/>
      <c r="LNY221" s="407"/>
      <c r="LNZ221" s="407"/>
      <c r="LOA221" s="407"/>
      <c r="LOB221" s="407"/>
      <c r="LOC221" s="407"/>
      <c r="LOD221" s="407"/>
      <c r="LOE221" s="407"/>
      <c r="LOF221" s="407"/>
      <c r="LOG221" s="407"/>
      <c r="LOH221" s="407"/>
      <c r="LOI221" s="407"/>
      <c r="LOJ221" s="407"/>
      <c r="LOK221" s="407"/>
      <c r="LOL221" s="407"/>
      <c r="LOM221" s="407"/>
      <c r="LON221" s="407"/>
      <c r="LOO221" s="407"/>
      <c r="LOP221" s="407"/>
      <c r="LOQ221" s="407"/>
      <c r="LOR221" s="407"/>
      <c r="LOS221" s="407"/>
      <c r="LOT221" s="407"/>
      <c r="LOU221" s="407"/>
      <c r="LOV221" s="407"/>
      <c r="LOW221" s="407"/>
      <c r="LOX221" s="407"/>
      <c r="LOY221" s="407"/>
      <c r="LOZ221" s="407"/>
      <c r="LPA221" s="407"/>
      <c r="LPB221" s="407"/>
      <c r="LPC221" s="407"/>
      <c r="LPD221" s="407"/>
      <c r="LPE221" s="407"/>
      <c r="LPF221" s="407"/>
      <c r="LPG221" s="407"/>
      <c r="LPH221" s="407"/>
      <c r="LPI221" s="407"/>
      <c r="LPJ221" s="407"/>
      <c r="LPK221" s="407"/>
      <c r="LPL221" s="407"/>
      <c r="LPM221" s="407"/>
      <c r="LPN221" s="407"/>
      <c r="LPO221" s="407"/>
      <c r="LPP221" s="407"/>
      <c r="LPQ221" s="407"/>
      <c r="LPR221" s="407"/>
      <c r="LPS221" s="407"/>
      <c r="LPT221" s="407"/>
      <c r="LPU221" s="407"/>
      <c r="LPV221" s="407"/>
      <c r="LPW221" s="407"/>
      <c r="LPX221" s="407"/>
      <c r="LPY221" s="407"/>
      <c r="LPZ221" s="407"/>
      <c r="LQA221" s="407"/>
      <c r="LQB221" s="407"/>
      <c r="LQC221" s="407"/>
      <c r="LQD221" s="407"/>
      <c r="LQE221" s="407"/>
      <c r="LQF221" s="407"/>
      <c r="LQG221" s="407"/>
      <c r="LQH221" s="407"/>
      <c r="LQI221" s="407"/>
      <c r="LQJ221" s="407"/>
      <c r="LQK221" s="407"/>
      <c r="LQL221" s="407"/>
      <c r="LQM221" s="407"/>
      <c r="LQN221" s="407"/>
      <c r="LQO221" s="407"/>
      <c r="LQP221" s="407"/>
      <c r="LQQ221" s="407"/>
      <c r="LQR221" s="407"/>
      <c r="LQS221" s="407"/>
      <c r="LQT221" s="407"/>
      <c r="LQU221" s="407"/>
      <c r="LQV221" s="407"/>
      <c r="LQW221" s="407"/>
      <c r="LQX221" s="407"/>
      <c r="LQY221" s="407"/>
      <c r="LQZ221" s="407"/>
      <c r="LRA221" s="407"/>
      <c r="LRB221" s="407"/>
      <c r="LRC221" s="407"/>
      <c r="LRD221" s="407"/>
      <c r="LRE221" s="407"/>
      <c r="LRF221" s="407"/>
      <c r="LRG221" s="407"/>
      <c r="LRH221" s="407"/>
      <c r="LRI221" s="407"/>
      <c r="LRJ221" s="407"/>
      <c r="LRK221" s="407"/>
      <c r="LRL221" s="407"/>
      <c r="LRM221" s="407"/>
      <c r="LRN221" s="407"/>
      <c r="LRO221" s="407"/>
      <c r="LRP221" s="407"/>
      <c r="LRQ221" s="407"/>
      <c r="LRR221" s="407"/>
      <c r="LRS221" s="407"/>
      <c r="LRT221" s="407"/>
      <c r="LRU221" s="407"/>
      <c r="LRV221" s="407"/>
      <c r="LRW221" s="407"/>
      <c r="LRX221" s="407"/>
      <c r="LRY221" s="407"/>
      <c r="LRZ221" s="407"/>
      <c r="LSA221" s="407"/>
      <c r="LSB221" s="407"/>
      <c r="LSC221" s="407"/>
      <c r="LSD221" s="407"/>
      <c r="LSE221" s="407"/>
      <c r="LSF221" s="407"/>
      <c r="LSG221" s="407"/>
      <c r="LSH221" s="407"/>
      <c r="LSI221" s="407"/>
      <c r="LSJ221" s="407"/>
      <c r="LSK221" s="407"/>
      <c r="LSL221" s="407"/>
      <c r="LSM221" s="407"/>
      <c r="LSN221" s="407"/>
      <c r="LSO221" s="407"/>
      <c r="LSP221" s="407"/>
      <c r="LSQ221" s="407"/>
      <c r="LSR221" s="407"/>
      <c r="LSS221" s="407"/>
      <c r="LST221" s="407"/>
      <c r="LSU221" s="407"/>
      <c r="LSV221" s="407"/>
      <c r="LSW221" s="407"/>
      <c r="LSX221" s="407"/>
      <c r="LSY221" s="407"/>
      <c r="LSZ221" s="407"/>
      <c r="LTA221" s="407"/>
      <c r="LTB221" s="407"/>
      <c r="LTC221" s="407"/>
      <c r="LTD221" s="407"/>
      <c r="LTE221" s="407"/>
      <c r="LTF221" s="407"/>
      <c r="LTG221" s="407"/>
      <c r="LTH221" s="407"/>
      <c r="LTI221" s="407"/>
      <c r="LTJ221" s="407"/>
      <c r="LTK221" s="407"/>
      <c r="LTL221" s="407"/>
      <c r="LTM221" s="407"/>
      <c r="LTN221" s="407"/>
      <c r="LTO221" s="407"/>
      <c r="LTP221" s="407"/>
      <c r="LTQ221" s="407"/>
      <c r="LTR221" s="407"/>
      <c r="LTS221" s="407"/>
      <c r="LTT221" s="407"/>
      <c r="LTU221" s="407"/>
      <c r="LTV221" s="407"/>
      <c r="LTW221" s="407"/>
      <c r="LTX221" s="407"/>
      <c r="LTY221" s="407"/>
      <c r="LTZ221" s="407"/>
      <c r="LUA221" s="407"/>
      <c r="LUB221" s="407"/>
      <c r="LUC221" s="407"/>
      <c r="LUD221" s="407"/>
      <c r="LUE221" s="407"/>
      <c r="LUF221" s="407"/>
      <c r="LUG221" s="407"/>
      <c r="LUH221" s="407"/>
      <c r="LUI221" s="407"/>
      <c r="LUJ221" s="407"/>
      <c r="LUK221" s="407"/>
      <c r="LUL221" s="407"/>
      <c r="LUM221" s="407"/>
      <c r="LUN221" s="407"/>
      <c r="LUO221" s="407"/>
      <c r="LUP221" s="407"/>
      <c r="LUQ221" s="407"/>
      <c r="LUR221" s="407"/>
      <c r="LUS221" s="407"/>
      <c r="LUT221" s="407"/>
      <c r="LUU221" s="407"/>
      <c r="LUV221" s="407"/>
      <c r="LUW221" s="407"/>
      <c r="LUX221" s="407"/>
      <c r="LUY221" s="407"/>
      <c r="LUZ221" s="407"/>
      <c r="LVA221" s="407"/>
      <c r="LVB221" s="407"/>
      <c r="LVC221" s="407"/>
      <c r="LVD221" s="407"/>
      <c r="LVE221" s="407"/>
      <c r="LVF221" s="407"/>
      <c r="LVG221" s="407"/>
      <c r="LVH221" s="407"/>
      <c r="LVI221" s="407"/>
      <c r="LVJ221" s="407"/>
      <c r="LVK221" s="407"/>
      <c r="LVL221" s="407"/>
      <c r="LVM221" s="407"/>
      <c r="LVN221" s="407"/>
      <c r="LVO221" s="407"/>
      <c r="LVP221" s="407"/>
      <c r="LVQ221" s="407"/>
      <c r="LVR221" s="407"/>
      <c r="LVS221" s="407"/>
      <c r="LVT221" s="407"/>
      <c r="LVU221" s="407"/>
      <c r="LVV221" s="407"/>
      <c r="LVW221" s="407"/>
      <c r="LVX221" s="407"/>
      <c r="LVY221" s="407"/>
      <c r="LVZ221" s="407"/>
      <c r="LWA221" s="407"/>
      <c r="LWB221" s="407"/>
      <c r="LWC221" s="407"/>
      <c r="LWD221" s="407"/>
      <c r="LWE221" s="407"/>
      <c r="LWF221" s="407"/>
      <c r="LWG221" s="407"/>
      <c r="LWH221" s="407"/>
      <c r="LWI221" s="407"/>
      <c r="LWJ221" s="407"/>
      <c r="LWK221" s="407"/>
      <c r="LWL221" s="407"/>
      <c r="LWM221" s="407"/>
      <c r="LWN221" s="407"/>
      <c r="LWO221" s="407"/>
      <c r="LWP221" s="407"/>
      <c r="LWQ221" s="407"/>
      <c r="LWR221" s="407"/>
      <c r="LWS221" s="407"/>
      <c r="LWT221" s="407"/>
      <c r="LWU221" s="407"/>
      <c r="LWV221" s="407"/>
      <c r="LWW221" s="407"/>
      <c r="LWX221" s="407"/>
      <c r="LWY221" s="407"/>
      <c r="LWZ221" s="407"/>
      <c r="LXA221" s="407"/>
      <c r="LXB221" s="407"/>
      <c r="LXC221" s="407"/>
      <c r="LXD221" s="407"/>
      <c r="LXE221" s="407"/>
      <c r="LXF221" s="407"/>
      <c r="LXG221" s="407"/>
      <c r="LXH221" s="407"/>
      <c r="LXI221" s="407"/>
      <c r="LXJ221" s="407"/>
      <c r="LXK221" s="407"/>
      <c r="LXL221" s="407"/>
      <c r="LXM221" s="407"/>
      <c r="LXN221" s="407"/>
      <c r="LXO221" s="407"/>
      <c r="LXP221" s="407"/>
      <c r="LXQ221" s="407"/>
      <c r="LXR221" s="407"/>
      <c r="LXS221" s="407"/>
      <c r="LXT221" s="407"/>
      <c r="LXU221" s="407"/>
      <c r="LXV221" s="407"/>
      <c r="LXW221" s="407"/>
      <c r="LXX221" s="407"/>
      <c r="LXY221" s="407"/>
      <c r="LXZ221" s="407"/>
      <c r="LYA221" s="407"/>
      <c r="LYB221" s="407"/>
      <c r="LYC221" s="407"/>
      <c r="LYD221" s="407"/>
      <c r="LYE221" s="407"/>
      <c r="LYF221" s="407"/>
      <c r="LYG221" s="407"/>
      <c r="LYH221" s="407"/>
      <c r="LYI221" s="407"/>
      <c r="LYJ221" s="407"/>
      <c r="LYK221" s="407"/>
      <c r="LYL221" s="407"/>
      <c r="LYM221" s="407"/>
      <c r="LYN221" s="407"/>
      <c r="LYO221" s="407"/>
      <c r="LYP221" s="407"/>
      <c r="LYQ221" s="407"/>
      <c r="LYR221" s="407"/>
      <c r="LYS221" s="407"/>
      <c r="LYT221" s="407"/>
      <c r="LYU221" s="407"/>
      <c r="LYV221" s="407"/>
      <c r="LYW221" s="407"/>
      <c r="LYX221" s="407"/>
      <c r="LYY221" s="407"/>
      <c r="LYZ221" s="407"/>
      <c r="LZA221" s="407"/>
      <c r="LZB221" s="407"/>
      <c r="LZC221" s="407"/>
      <c r="LZD221" s="407"/>
      <c r="LZE221" s="407"/>
      <c r="LZF221" s="407"/>
      <c r="LZG221" s="407"/>
      <c r="LZH221" s="407"/>
      <c r="LZI221" s="407"/>
      <c r="LZJ221" s="407"/>
      <c r="LZK221" s="407"/>
      <c r="LZL221" s="407"/>
      <c r="LZM221" s="407"/>
      <c r="LZN221" s="407"/>
      <c r="LZO221" s="407"/>
      <c r="LZP221" s="407"/>
      <c r="LZQ221" s="407"/>
      <c r="LZR221" s="407"/>
      <c r="LZS221" s="407"/>
      <c r="LZT221" s="407"/>
      <c r="LZU221" s="407"/>
      <c r="LZV221" s="407"/>
      <c r="LZW221" s="407"/>
      <c r="LZX221" s="407"/>
      <c r="LZY221" s="407"/>
      <c r="LZZ221" s="407"/>
      <c r="MAA221" s="407"/>
      <c r="MAB221" s="407"/>
      <c r="MAC221" s="407"/>
      <c r="MAD221" s="407"/>
      <c r="MAE221" s="407"/>
      <c r="MAF221" s="407"/>
      <c r="MAG221" s="407"/>
      <c r="MAH221" s="407"/>
      <c r="MAI221" s="407"/>
      <c r="MAJ221" s="407"/>
      <c r="MAK221" s="407"/>
      <c r="MAL221" s="407"/>
      <c r="MAM221" s="407"/>
      <c r="MAN221" s="407"/>
      <c r="MAO221" s="407"/>
      <c r="MAP221" s="407"/>
      <c r="MAQ221" s="407"/>
      <c r="MAR221" s="407"/>
      <c r="MAS221" s="407"/>
      <c r="MAT221" s="407"/>
      <c r="MAU221" s="407"/>
      <c r="MAV221" s="407"/>
      <c r="MAW221" s="407"/>
      <c r="MAX221" s="407"/>
      <c r="MAY221" s="407"/>
      <c r="MAZ221" s="407"/>
      <c r="MBA221" s="407"/>
      <c r="MBB221" s="407"/>
      <c r="MBC221" s="407"/>
      <c r="MBD221" s="407"/>
      <c r="MBE221" s="407"/>
      <c r="MBF221" s="407"/>
      <c r="MBG221" s="407"/>
      <c r="MBH221" s="407"/>
      <c r="MBI221" s="407"/>
      <c r="MBJ221" s="407"/>
      <c r="MBK221" s="407"/>
      <c r="MBL221" s="407"/>
      <c r="MBM221" s="407"/>
      <c r="MBN221" s="407"/>
      <c r="MBO221" s="407"/>
      <c r="MBP221" s="407"/>
      <c r="MBQ221" s="407"/>
      <c r="MBR221" s="407"/>
      <c r="MBS221" s="407"/>
      <c r="MBT221" s="407"/>
      <c r="MBU221" s="407"/>
      <c r="MBV221" s="407"/>
      <c r="MBW221" s="407"/>
      <c r="MBX221" s="407"/>
      <c r="MBY221" s="407"/>
      <c r="MBZ221" s="407"/>
      <c r="MCA221" s="407"/>
      <c r="MCB221" s="407"/>
      <c r="MCC221" s="407"/>
      <c r="MCD221" s="407"/>
      <c r="MCE221" s="407"/>
      <c r="MCF221" s="407"/>
      <c r="MCG221" s="407"/>
      <c r="MCH221" s="407"/>
      <c r="MCI221" s="407"/>
      <c r="MCJ221" s="407"/>
      <c r="MCK221" s="407"/>
      <c r="MCL221" s="407"/>
      <c r="MCM221" s="407"/>
      <c r="MCN221" s="407"/>
      <c r="MCO221" s="407"/>
      <c r="MCP221" s="407"/>
      <c r="MCQ221" s="407"/>
      <c r="MCR221" s="407"/>
      <c r="MCS221" s="407"/>
      <c r="MCT221" s="407"/>
      <c r="MCU221" s="407"/>
      <c r="MCV221" s="407"/>
      <c r="MCW221" s="407"/>
      <c r="MCX221" s="407"/>
      <c r="MCY221" s="407"/>
      <c r="MCZ221" s="407"/>
      <c r="MDA221" s="407"/>
      <c r="MDB221" s="407"/>
      <c r="MDC221" s="407"/>
      <c r="MDD221" s="407"/>
      <c r="MDE221" s="407"/>
      <c r="MDF221" s="407"/>
      <c r="MDG221" s="407"/>
      <c r="MDH221" s="407"/>
      <c r="MDI221" s="407"/>
      <c r="MDJ221" s="407"/>
      <c r="MDK221" s="407"/>
      <c r="MDL221" s="407"/>
      <c r="MDM221" s="407"/>
      <c r="MDN221" s="407"/>
      <c r="MDO221" s="407"/>
      <c r="MDP221" s="407"/>
      <c r="MDQ221" s="407"/>
      <c r="MDR221" s="407"/>
      <c r="MDS221" s="407"/>
      <c r="MDT221" s="407"/>
      <c r="MDU221" s="407"/>
      <c r="MDV221" s="407"/>
      <c r="MDW221" s="407"/>
      <c r="MDX221" s="407"/>
      <c r="MDY221" s="407"/>
      <c r="MDZ221" s="407"/>
      <c r="MEA221" s="407"/>
      <c r="MEB221" s="407"/>
      <c r="MEC221" s="407"/>
      <c r="MED221" s="407"/>
      <c r="MEE221" s="407"/>
      <c r="MEF221" s="407"/>
      <c r="MEG221" s="407"/>
      <c r="MEH221" s="407"/>
      <c r="MEI221" s="407"/>
      <c r="MEJ221" s="407"/>
      <c r="MEK221" s="407"/>
      <c r="MEL221" s="407"/>
      <c r="MEM221" s="407"/>
      <c r="MEN221" s="407"/>
      <c r="MEO221" s="407"/>
      <c r="MEP221" s="407"/>
      <c r="MEQ221" s="407"/>
      <c r="MER221" s="407"/>
      <c r="MES221" s="407"/>
      <c r="MET221" s="407"/>
      <c r="MEU221" s="407"/>
      <c r="MEV221" s="407"/>
      <c r="MEW221" s="407"/>
      <c r="MEX221" s="407"/>
      <c r="MEY221" s="407"/>
      <c r="MEZ221" s="407"/>
      <c r="MFA221" s="407"/>
      <c r="MFB221" s="407"/>
      <c r="MFC221" s="407"/>
      <c r="MFD221" s="407"/>
      <c r="MFE221" s="407"/>
      <c r="MFF221" s="407"/>
      <c r="MFG221" s="407"/>
      <c r="MFH221" s="407"/>
      <c r="MFI221" s="407"/>
      <c r="MFJ221" s="407"/>
      <c r="MFK221" s="407"/>
      <c r="MFL221" s="407"/>
      <c r="MFM221" s="407"/>
      <c r="MFN221" s="407"/>
      <c r="MFO221" s="407"/>
      <c r="MFP221" s="407"/>
      <c r="MFQ221" s="407"/>
      <c r="MFR221" s="407"/>
      <c r="MFS221" s="407"/>
      <c r="MFT221" s="407"/>
      <c r="MFU221" s="407"/>
      <c r="MFV221" s="407"/>
      <c r="MFW221" s="407"/>
      <c r="MFX221" s="407"/>
      <c r="MFY221" s="407"/>
      <c r="MFZ221" s="407"/>
      <c r="MGA221" s="407"/>
      <c r="MGB221" s="407"/>
      <c r="MGC221" s="407"/>
      <c r="MGD221" s="407"/>
      <c r="MGE221" s="407"/>
      <c r="MGF221" s="407"/>
      <c r="MGG221" s="407"/>
      <c r="MGH221" s="407"/>
      <c r="MGI221" s="407"/>
      <c r="MGJ221" s="407"/>
      <c r="MGK221" s="407"/>
      <c r="MGL221" s="407"/>
      <c r="MGM221" s="407"/>
      <c r="MGN221" s="407"/>
      <c r="MGO221" s="407"/>
      <c r="MGP221" s="407"/>
      <c r="MGQ221" s="407"/>
      <c r="MGR221" s="407"/>
      <c r="MGS221" s="407"/>
      <c r="MGT221" s="407"/>
      <c r="MGU221" s="407"/>
      <c r="MGV221" s="407"/>
      <c r="MGW221" s="407"/>
      <c r="MGX221" s="407"/>
      <c r="MGY221" s="407"/>
      <c r="MGZ221" s="407"/>
      <c r="MHA221" s="407"/>
      <c r="MHB221" s="407"/>
      <c r="MHC221" s="407"/>
      <c r="MHD221" s="407"/>
      <c r="MHE221" s="407"/>
      <c r="MHF221" s="407"/>
      <c r="MHG221" s="407"/>
      <c r="MHH221" s="407"/>
      <c r="MHI221" s="407"/>
      <c r="MHJ221" s="407"/>
      <c r="MHK221" s="407"/>
      <c r="MHL221" s="407"/>
      <c r="MHM221" s="407"/>
      <c r="MHN221" s="407"/>
      <c r="MHO221" s="407"/>
      <c r="MHP221" s="407"/>
      <c r="MHQ221" s="407"/>
      <c r="MHR221" s="407"/>
      <c r="MHS221" s="407"/>
      <c r="MHT221" s="407"/>
      <c r="MHU221" s="407"/>
      <c r="MHV221" s="407"/>
      <c r="MHW221" s="407"/>
      <c r="MHX221" s="407"/>
      <c r="MHY221" s="407"/>
      <c r="MHZ221" s="407"/>
      <c r="MIA221" s="407"/>
      <c r="MIB221" s="407"/>
      <c r="MIC221" s="407"/>
      <c r="MID221" s="407"/>
      <c r="MIE221" s="407"/>
      <c r="MIF221" s="407"/>
      <c r="MIG221" s="407"/>
      <c r="MIH221" s="407"/>
      <c r="MII221" s="407"/>
      <c r="MIJ221" s="407"/>
      <c r="MIK221" s="407"/>
      <c r="MIL221" s="407"/>
      <c r="MIM221" s="407"/>
      <c r="MIN221" s="407"/>
      <c r="MIO221" s="407"/>
      <c r="MIP221" s="407"/>
      <c r="MIQ221" s="407"/>
      <c r="MIR221" s="407"/>
      <c r="MIS221" s="407"/>
      <c r="MIT221" s="407"/>
      <c r="MIU221" s="407"/>
      <c r="MIV221" s="407"/>
      <c r="MIW221" s="407"/>
      <c r="MIX221" s="407"/>
      <c r="MIY221" s="407"/>
      <c r="MIZ221" s="407"/>
      <c r="MJA221" s="407"/>
      <c r="MJB221" s="407"/>
      <c r="MJC221" s="407"/>
      <c r="MJD221" s="407"/>
      <c r="MJE221" s="407"/>
      <c r="MJF221" s="407"/>
      <c r="MJG221" s="407"/>
      <c r="MJH221" s="407"/>
      <c r="MJI221" s="407"/>
      <c r="MJJ221" s="407"/>
      <c r="MJK221" s="407"/>
      <c r="MJL221" s="407"/>
      <c r="MJM221" s="407"/>
      <c r="MJN221" s="407"/>
      <c r="MJO221" s="407"/>
      <c r="MJP221" s="407"/>
      <c r="MJQ221" s="407"/>
      <c r="MJR221" s="407"/>
      <c r="MJS221" s="407"/>
      <c r="MJT221" s="407"/>
      <c r="MJU221" s="407"/>
      <c r="MJV221" s="407"/>
      <c r="MJW221" s="407"/>
      <c r="MJX221" s="407"/>
      <c r="MJY221" s="407"/>
      <c r="MJZ221" s="407"/>
      <c r="MKA221" s="407"/>
      <c r="MKB221" s="407"/>
      <c r="MKC221" s="407"/>
      <c r="MKD221" s="407"/>
      <c r="MKE221" s="407"/>
      <c r="MKF221" s="407"/>
      <c r="MKG221" s="407"/>
      <c r="MKH221" s="407"/>
      <c r="MKI221" s="407"/>
      <c r="MKJ221" s="407"/>
      <c r="MKK221" s="407"/>
      <c r="MKL221" s="407"/>
      <c r="MKM221" s="407"/>
      <c r="MKN221" s="407"/>
      <c r="MKO221" s="407"/>
      <c r="MKP221" s="407"/>
      <c r="MKQ221" s="407"/>
      <c r="MKR221" s="407"/>
      <c r="MKS221" s="407"/>
      <c r="MKT221" s="407"/>
      <c r="MKU221" s="407"/>
      <c r="MKV221" s="407"/>
      <c r="MKW221" s="407"/>
      <c r="MKX221" s="407"/>
      <c r="MKY221" s="407"/>
      <c r="MKZ221" s="407"/>
      <c r="MLA221" s="407"/>
      <c r="MLB221" s="407"/>
      <c r="MLC221" s="407"/>
      <c r="MLD221" s="407"/>
      <c r="MLE221" s="407"/>
      <c r="MLF221" s="407"/>
      <c r="MLG221" s="407"/>
      <c r="MLH221" s="407"/>
      <c r="MLI221" s="407"/>
      <c r="MLJ221" s="407"/>
      <c r="MLK221" s="407"/>
      <c r="MLL221" s="407"/>
      <c r="MLM221" s="407"/>
      <c r="MLN221" s="407"/>
      <c r="MLO221" s="407"/>
      <c r="MLP221" s="407"/>
      <c r="MLQ221" s="407"/>
      <c r="MLR221" s="407"/>
      <c r="MLS221" s="407"/>
      <c r="MLT221" s="407"/>
      <c r="MLU221" s="407"/>
      <c r="MLV221" s="407"/>
      <c r="MLW221" s="407"/>
      <c r="MLX221" s="407"/>
      <c r="MLY221" s="407"/>
      <c r="MLZ221" s="407"/>
      <c r="MMA221" s="407"/>
      <c r="MMB221" s="407"/>
      <c r="MMC221" s="407"/>
      <c r="MMD221" s="407"/>
      <c r="MME221" s="407"/>
      <c r="MMF221" s="407"/>
      <c r="MMG221" s="407"/>
      <c r="MMH221" s="407"/>
      <c r="MMI221" s="407"/>
      <c r="MMJ221" s="407"/>
      <c r="MMK221" s="407"/>
      <c r="MML221" s="407"/>
      <c r="MMM221" s="407"/>
      <c r="MMN221" s="407"/>
      <c r="MMO221" s="407"/>
      <c r="MMP221" s="407"/>
      <c r="MMQ221" s="407"/>
      <c r="MMR221" s="407"/>
      <c r="MMS221" s="407"/>
      <c r="MMT221" s="407"/>
      <c r="MMU221" s="407"/>
      <c r="MMV221" s="407"/>
      <c r="MMW221" s="407"/>
      <c r="MMX221" s="407"/>
      <c r="MMY221" s="407"/>
      <c r="MMZ221" s="407"/>
      <c r="MNA221" s="407"/>
      <c r="MNB221" s="407"/>
      <c r="MNC221" s="407"/>
      <c r="MND221" s="407"/>
      <c r="MNE221" s="407"/>
      <c r="MNF221" s="407"/>
      <c r="MNG221" s="407"/>
      <c r="MNH221" s="407"/>
      <c r="MNI221" s="407"/>
      <c r="MNJ221" s="407"/>
      <c r="MNK221" s="407"/>
      <c r="MNL221" s="407"/>
      <c r="MNM221" s="407"/>
      <c r="MNN221" s="407"/>
      <c r="MNO221" s="407"/>
      <c r="MNP221" s="407"/>
      <c r="MNQ221" s="407"/>
      <c r="MNR221" s="407"/>
      <c r="MNS221" s="407"/>
      <c r="MNT221" s="407"/>
      <c r="MNU221" s="407"/>
      <c r="MNV221" s="407"/>
      <c r="MNW221" s="407"/>
      <c r="MNX221" s="407"/>
      <c r="MNY221" s="407"/>
      <c r="MNZ221" s="407"/>
      <c r="MOA221" s="407"/>
      <c r="MOB221" s="407"/>
      <c r="MOC221" s="407"/>
      <c r="MOD221" s="407"/>
      <c r="MOE221" s="407"/>
      <c r="MOF221" s="407"/>
      <c r="MOG221" s="407"/>
      <c r="MOH221" s="407"/>
      <c r="MOI221" s="407"/>
      <c r="MOJ221" s="407"/>
      <c r="MOK221" s="407"/>
      <c r="MOL221" s="407"/>
      <c r="MOM221" s="407"/>
      <c r="MON221" s="407"/>
      <c r="MOO221" s="407"/>
      <c r="MOP221" s="407"/>
      <c r="MOQ221" s="407"/>
      <c r="MOR221" s="407"/>
      <c r="MOS221" s="407"/>
      <c r="MOT221" s="407"/>
      <c r="MOU221" s="407"/>
      <c r="MOV221" s="407"/>
      <c r="MOW221" s="407"/>
      <c r="MOX221" s="407"/>
      <c r="MOY221" s="407"/>
      <c r="MOZ221" s="407"/>
      <c r="MPA221" s="407"/>
      <c r="MPB221" s="407"/>
      <c r="MPC221" s="407"/>
      <c r="MPD221" s="407"/>
      <c r="MPE221" s="407"/>
      <c r="MPF221" s="407"/>
      <c r="MPG221" s="407"/>
      <c r="MPH221" s="407"/>
      <c r="MPI221" s="407"/>
      <c r="MPJ221" s="407"/>
      <c r="MPK221" s="407"/>
      <c r="MPL221" s="407"/>
      <c r="MPM221" s="407"/>
      <c r="MPN221" s="407"/>
      <c r="MPO221" s="407"/>
      <c r="MPP221" s="407"/>
      <c r="MPQ221" s="407"/>
      <c r="MPR221" s="407"/>
      <c r="MPS221" s="407"/>
      <c r="MPT221" s="407"/>
      <c r="MPU221" s="407"/>
      <c r="MPV221" s="407"/>
      <c r="MPW221" s="407"/>
      <c r="MPX221" s="407"/>
      <c r="MPY221" s="407"/>
      <c r="MPZ221" s="407"/>
      <c r="MQA221" s="407"/>
      <c r="MQB221" s="407"/>
      <c r="MQC221" s="407"/>
      <c r="MQD221" s="407"/>
      <c r="MQE221" s="407"/>
      <c r="MQF221" s="407"/>
      <c r="MQG221" s="407"/>
      <c r="MQH221" s="407"/>
      <c r="MQI221" s="407"/>
      <c r="MQJ221" s="407"/>
      <c r="MQK221" s="407"/>
      <c r="MQL221" s="407"/>
      <c r="MQM221" s="407"/>
      <c r="MQN221" s="407"/>
      <c r="MQO221" s="407"/>
      <c r="MQP221" s="407"/>
      <c r="MQQ221" s="407"/>
      <c r="MQR221" s="407"/>
      <c r="MQS221" s="407"/>
      <c r="MQT221" s="407"/>
      <c r="MQU221" s="407"/>
      <c r="MQV221" s="407"/>
      <c r="MQW221" s="407"/>
      <c r="MQX221" s="407"/>
      <c r="MQY221" s="407"/>
      <c r="MQZ221" s="407"/>
      <c r="MRA221" s="407"/>
      <c r="MRB221" s="407"/>
      <c r="MRC221" s="407"/>
      <c r="MRD221" s="407"/>
      <c r="MRE221" s="407"/>
      <c r="MRF221" s="407"/>
      <c r="MRG221" s="407"/>
      <c r="MRH221" s="407"/>
      <c r="MRI221" s="407"/>
      <c r="MRJ221" s="407"/>
      <c r="MRK221" s="407"/>
      <c r="MRL221" s="407"/>
      <c r="MRM221" s="407"/>
      <c r="MRN221" s="407"/>
      <c r="MRO221" s="407"/>
      <c r="MRP221" s="407"/>
      <c r="MRQ221" s="407"/>
      <c r="MRR221" s="407"/>
      <c r="MRS221" s="407"/>
      <c r="MRT221" s="407"/>
      <c r="MRU221" s="407"/>
      <c r="MRV221" s="407"/>
      <c r="MRW221" s="407"/>
      <c r="MRX221" s="407"/>
      <c r="MRY221" s="407"/>
      <c r="MRZ221" s="407"/>
      <c r="MSA221" s="407"/>
      <c r="MSB221" s="407"/>
      <c r="MSC221" s="407"/>
      <c r="MSD221" s="407"/>
      <c r="MSE221" s="407"/>
      <c r="MSF221" s="407"/>
      <c r="MSG221" s="407"/>
      <c r="MSH221" s="407"/>
      <c r="MSI221" s="407"/>
      <c r="MSJ221" s="407"/>
      <c r="MSK221" s="407"/>
      <c r="MSL221" s="407"/>
      <c r="MSM221" s="407"/>
      <c r="MSN221" s="407"/>
      <c r="MSO221" s="407"/>
      <c r="MSP221" s="407"/>
      <c r="MSQ221" s="407"/>
      <c r="MSR221" s="407"/>
      <c r="MSS221" s="407"/>
      <c r="MST221" s="407"/>
      <c r="MSU221" s="407"/>
      <c r="MSV221" s="407"/>
      <c r="MSW221" s="407"/>
      <c r="MSX221" s="407"/>
      <c r="MSY221" s="407"/>
      <c r="MSZ221" s="407"/>
      <c r="MTA221" s="407"/>
      <c r="MTB221" s="407"/>
      <c r="MTC221" s="407"/>
      <c r="MTD221" s="407"/>
      <c r="MTE221" s="407"/>
      <c r="MTF221" s="407"/>
      <c r="MTG221" s="407"/>
      <c r="MTH221" s="407"/>
      <c r="MTI221" s="407"/>
      <c r="MTJ221" s="407"/>
      <c r="MTK221" s="407"/>
      <c r="MTL221" s="407"/>
      <c r="MTM221" s="407"/>
      <c r="MTN221" s="407"/>
      <c r="MTO221" s="407"/>
      <c r="MTP221" s="407"/>
      <c r="MTQ221" s="407"/>
      <c r="MTR221" s="407"/>
      <c r="MTS221" s="407"/>
      <c r="MTT221" s="407"/>
      <c r="MTU221" s="407"/>
      <c r="MTV221" s="407"/>
      <c r="MTW221" s="407"/>
      <c r="MTX221" s="407"/>
      <c r="MTY221" s="407"/>
      <c r="MTZ221" s="407"/>
      <c r="MUA221" s="407"/>
      <c r="MUB221" s="407"/>
      <c r="MUC221" s="407"/>
      <c r="MUD221" s="407"/>
      <c r="MUE221" s="407"/>
      <c r="MUF221" s="407"/>
      <c r="MUG221" s="407"/>
      <c r="MUH221" s="407"/>
      <c r="MUI221" s="407"/>
      <c r="MUJ221" s="407"/>
      <c r="MUK221" s="407"/>
      <c r="MUL221" s="407"/>
      <c r="MUM221" s="407"/>
      <c r="MUN221" s="407"/>
      <c r="MUO221" s="407"/>
      <c r="MUP221" s="407"/>
      <c r="MUQ221" s="407"/>
      <c r="MUR221" s="407"/>
      <c r="MUS221" s="407"/>
      <c r="MUT221" s="407"/>
      <c r="MUU221" s="407"/>
      <c r="MUV221" s="407"/>
      <c r="MUW221" s="407"/>
      <c r="MUX221" s="407"/>
      <c r="MUY221" s="407"/>
      <c r="MUZ221" s="407"/>
      <c r="MVA221" s="407"/>
      <c r="MVB221" s="407"/>
      <c r="MVC221" s="407"/>
      <c r="MVD221" s="407"/>
      <c r="MVE221" s="407"/>
      <c r="MVF221" s="407"/>
      <c r="MVG221" s="407"/>
      <c r="MVH221" s="407"/>
      <c r="MVI221" s="407"/>
      <c r="MVJ221" s="407"/>
      <c r="MVK221" s="407"/>
      <c r="MVL221" s="407"/>
      <c r="MVM221" s="407"/>
      <c r="MVN221" s="407"/>
      <c r="MVO221" s="407"/>
      <c r="MVP221" s="407"/>
      <c r="MVQ221" s="407"/>
      <c r="MVR221" s="407"/>
      <c r="MVS221" s="407"/>
      <c r="MVT221" s="407"/>
      <c r="MVU221" s="407"/>
      <c r="MVV221" s="407"/>
      <c r="MVW221" s="407"/>
      <c r="MVX221" s="407"/>
      <c r="MVY221" s="407"/>
      <c r="MVZ221" s="407"/>
      <c r="MWA221" s="407"/>
      <c r="MWB221" s="407"/>
      <c r="MWC221" s="407"/>
      <c r="MWD221" s="407"/>
      <c r="MWE221" s="407"/>
      <c r="MWF221" s="407"/>
      <c r="MWG221" s="407"/>
      <c r="MWH221" s="407"/>
      <c r="MWI221" s="407"/>
      <c r="MWJ221" s="407"/>
      <c r="MWK221" s="407"/>
      <c r="MWL221" s="407"/>
      <c r="MWM221" s="407"/>
      <c r="MWN221" s="407"/>
      <c r="MWO221" s="407"/>
      <c r="MWP221" s="407"/>
      <c r="MWQ221" s="407"/>
      <c r="MWR221" s="407"/>
      <c r="MWS221" s="407"/>
      <c r="MWT221" s="407"/>
      <c r="MWU221" s="407"/>
      <c r="MWV221" s="407"/>
      <c r="MWW221" s="407"/>
      <c r="MWX221" s="407"/>
      <c r="MWY221" s="407"/>
      <c r="MWZ221" s="407"/>
      <c r="MXA221" s="407"/>
      <c r="MXB221" s="407"/>
      <c r="MXC221" s="407"/>
      <c r="MXD221" s="407"/>
      <c r="MXE221" s="407"/>
      <c r="MXF221" s="407"/>
      <c r="MXG221" s="407"/>
      <c r="MXH221" s="407"/>
      <c r="MXI221" s="407"/>
      <c r="MXJ221" s="407"/>
      <c r="MXK221" s="407"/>
      <c r="MXL221" s="407"/>
      <c r="MXM221" s="407"/>
      <c r="MXN221" s="407"/>
      <c r="MXO221" s="407"/>
      <c r="MXP221" s="407"/>
      <c r="MXQ221" s="407"/>
      <c r="MXR221" s="407"/>
      <c r="MXS221" s="407"/>
      <c r="MXT221" s="407"/>
      <c r="MXU221" s="407"/>
      <c r="MXV221" s="407"/>
      <c r="MXW221" s="407"/>
      <c r="MXX221" s="407"/>
      <c r="MXY221" s="407"/>
      <c r="MXZ221" s="407"/>
      <c r="MYA221" s="407"/>
      <c r="MYB221" s="407"/>
      <c r="MYC221" s="407"/>
      <c r="MYD221" s="407"/>
      <c r="MYE221" s="407"/>
      <c r="MYF221" s="407"/>
      <c r="MYG221" s="407"/>
      <c r="MYH221" s="407"/>
      <c r="MYI221" s="407"/>
      <c r="MYJ221" s="407"/>
      <c r="MYK221" s="407"/>
      <c r="MYL221" s="407"/>
      <c r="MYM221" s="407"/>
      <c r="MYN221" s="407"/>
      <c r="MYO221" s="407"/>
      <c r="MYP221" s="407"/>
      <c r="MYQ221" s="407"/>
      <c r="MYR221" s="407"/>
      <c r="MYS221" s="407"/>
      <c r="MYT221" s="407"/>
      <c r="MYU221" s="407"/>
      <c r="MYV221" s="407"/>
      <c r="MYW221" s="407"/>
      <c r="MYX221" s="407"/>
      <c r="MYY221" s="407"/>
      <c r="MYZ221" s="407"/>
      <c r="MZA221" s="407"/>
      <c r="MZB221" s="407"/>
      <c r="MZC221" s="407"/>
      <c r="MZD221" s="407"/>
      <c r="MZE221" s="407"/>
      <c r="MZF221" s="407"/>
      <c r="MZG221" s="407"/>
      <c r="MZH221" s="407"/>
      <c r="MZI221" s="407"/>
      <c r="MZJ221" s="407"/>
      <c r="MZK221" s="407"/>
      <c r="MZL221" s="407"/>
      <c r="MZM221" s="407"/>
      <c r="MZN221" s="407"/>
      <c r="MZO221" s="407"/>
      <c r="MZP221" s="407"/>
      <c r="MZQ221" s="407"/>
      <c r="MZR221" s="407"/>
      <c r="MZS221" s="407"/>
      <c r="MZT221" s="407"/>
      <c r="MZU221" s="407"/>
      <c r="MZV221" s="407"/>
      <c r="MZW221" s="407"/>
      <c r="MZX221" s="407"/>
      <c r="MZY221" s="407"/>
      <c r="MZZ221" s="407"/>
      <c r="NAA221" s="407"/>
      <c r="NAB221" s="407"/>
      <c r="NAC221" s="407"/>
      <c r="NAD221" s="407"/>
      <c r="NAE221" s="407"/>
      <c r="NAF221" s="407"/>
      <c r="NAG221" s="407"/>
      <c r="NAH221" s="407"/>
      <c r="NAI221" s="407"/>
      <c r="NAJ221" s="407"/>
      <c r="NAK221" s="407"/>
      <c r="NAL221" s="407"/>
      <c r="NAM221" s="407"/>
      <c r="NAN221" s="407"/>
      <c r="NAO221" s="407"/>
      <c r="NAP221" s="407"/>
      <c r="NAQ221" s="407"/>
      <c r="NAR221" s="407"/>
      <c r="NAS221" s="407"/>
      <c r="NAT221" s="407"/>
      <c r="NAU221" s="407"/>
      <c r="NAV221" s="407"/>
      <c r="NAW221" s="407"/>
      <c r="NAX221" s="407"/>
      <c r="NAY221" s="407"/>
      <c r="NAZ221" s="407"/>
      <c r="NBA221" s="407"/>
      <c r="NBB221" s="407"/>
      <c r="NBC221" s="407"/>
      <c r="NBD221" s="407"/>
      <c r="NBE221" s="407"/>
      <c r="NBF221" s="407"/>
      <c r="NBG221" s="407"/>
      <c r="NBH221" s="407"/>
      <c r="NBI221" s="407"/>
      <c r="NBJ221" s="407"/>
      <c r="NBK221" s="407"/>
      <c r="NBL221" s="407"/>
      <c r="NBM221" s="407"/>
      <c r="NBN221" s="407"/>
      <c r="NBO221" s="407"/>
      <c r="NBP221" s="407"/>
      <c r="NBQ221" s="407"/>
      <c r="NBR221" s="407"/>
      <c r="NBS221" s="407"/>
      <c r="NBT221" s="407"/>
      <c r="NBU221" s="407"/>
      <c r="NBV221" s="407"/>
      <c r="NBW221" s="407"/>
      <c r="NBX221" s="407"/>
      <c r="NBY221" s="407"/>
      <c r="NBZ221" s="407"/>
      <c r="NCA221" s="407"/>
      <c r="NCB221" s="407"/>
      <c r="NCC221" s="407"/>
      <c r="NCD221" s="407"/>
      <c r="NCE221" s="407"/>
      <c r="NCF221" s="407"/>
      <c r="NCG221" s="407"/>
      <c r="NCH221" s="407"/>
      <c r="NCI221" s="407"/>
      <c r="NCJ221" s="407"/>
      <c r="NCK221" s="407"/>
      <c r="NCL221" s="407"/>
      <c r="NCM221" s="407"/>
      <c r="NCN221" s="407"/>
      <c r="NCO221" s="407"/>
      <c r="NCP221" s="407"/>
      <c r="NCQ221" s="407"/>
      <c r="NCR221" s="407"/>
      <c r="NCS221" s="407"/>
      <c r="NCT221" s="407"/>
      <c r="NCU221" s="407"/>
      <c r="NCV221" s="407"/>
      <c r="NCW221" s="407"/>
      <c r="NCX221" s="407"/>
      <c r="NCY221" s="407"/>
      <c r="NCZ221" s="407"/>
      <c r="NDA221" s="407"/>
      <c r="NDB221" s="407"/>
      <c r="NDC221" s="407"/>
      <c r="NDD221" s="407"/>
      <c r="NDE221" s="407"/>
      <c r="NDF221" s="407"/>
      <c r="NDG221" s="407"/>
      <c r="NDH221" s="407"/>
      <c r="NDI221" s="407"/>
      <c r="NDJ221" s="407"/>
      <c r="NDK221" s="407"/>
      <c r="NDL221" s="407"/>
      <c r="NDM221" s="407"/>
      <c r="NDN221" s="407"/>
      <c r="NDO221" s="407"/>
      <c r="NDP221" s="407"/>
      <c r="NDQ221" s="407"/>
      <c r="NDR221" s="407"/>
      <c r="NDS221" s="407"/>
      <c r="NDT221" s="407"/>
      <c r="NDU221" s="407"/>
      <c r="NDV221" s="407"/>
      <c r="NDW221" s="407"/>
      <c r="NDX221" s="407"/>
      <c r="NDY221" s="407"/>
      <c r="NDZ221" s="407"/>
      <c r="NEA221" s="407"/>
      <c r="NEB221" s="407"/>
      <c r="NEC221" s="407"/>
      <c r="NED221" s="407"/>
      <c r="NEE221" s="407"/>
      <c r="NEF221" s="407"/>
      <c r="NEG221" s="407"/>
      <c r="NEH221" s="407"/>
      <c r="NEI221" s="407"/>
      <c r="NEJ221" s="407"/>
      <c r="NEK221" s="407"/>
      <c r="NEL221" s="407"/>
      <c r="NEM221" s="407"/>
      <c r="NEN221" s="407"/>
      <c r="NEO221" s="407"/>
      <c r="NEP221" s="407"/>
      <c r="NEQ221" s="407"/>
      <c r="NER221" s="407"/>
      <c r="NES221" s="407"/>
      <c r="NET221" s="407"/>
      <c r="NEU221" s="407"/>
      <c r="NEV221" s="407"/>
      <c r="NEW221" s="407"/>
      <c r="NEX221" s="407"/>
      <c r="NEY221" s="407"/>
      <c r="NEZ221" s="407"/>
      <c r="NFA221" s="407"/>
      <c r="NFB221" s="407"/>
      <c r="NFC221" s="407"/>
      <c r="NFD221" s="407"/>
      <c r="NFE221" s="407"/>
      <c r="NFF221" s="407"/>
      <c r="NFG221" s="407"/>
      <c r="NFH221" s="407"/>
      <c r="NFI221" s="407"/>
      <c r="NFJ221" s="407"/>
      <c r="NFK221" s="407"/>
      <c r="NFL221" s="407"/>
      <c r="NFM221" s="407"/>
      <c r="NFN221" s="407"/>
      <c r="NFO221" s="407"/>
      <c r="NFP221" s="407"/>
      <c r="NFQ221" s="407"/>
      <c r="NFR221" s="407"/>
      <c r="NFS221" s="407"/>
      <c r="NFT221" s="407"/>
      <c r="NFU221" s="407"/>
      <c r="NFV221" s="407"/>
      <c r="NFW221" s="407"/>
      <c r="NFX221" s="407"/>
      <c r="NFY221" s="407"/>
      <c r="NFZ221" s="407"/>
      <c r="NGA221" s="407"/>
      <c r="NGB221" s="407"/>
      <c r="NGC221" s="407"/>
      <c r="NGD221" s="407"/>
      <c r="NGE221" s="407"/>
      <c r="NGF221" s="407"/>
      <c r="NGG221" s="407"/>
      <c r="NGH221" s="407"/>
      <c r="NGI221" s="407"/>
      <c r="NGJ221" s="407"/>
      <c r="NGK221" s="407"/>
      <c r="NGL221" s="407"/>
      <c r="NGM221" s="407"/>
      <c r="NGN221" s="407"/>
      <c r="NGO221" s="407"/>
      <c r="NGP221" s="407"/>
      <c r="NGQ221" s="407"/>
      <c r="NGR221" s="407"/>
      <c r="NGS221" s="407"/>
      <c r="NGT221" s="407"/>
      <c r="NGU221" s="407"/>
      <c r="NGV221" s="407"/>
      <c r="NGW221" s="407"/>
      <c r="NGX221" s="407"/>
      <c r="NGY221" s="407"/>
      <c r="NGZ221" s="407"/>
      <c r="NHA221" s="407"/>
      <c r="NHB221" s="407"/>
      <c r="NHC221" s="407"/>
      <c r="NHD221" s="407"/>
      <c r="NHE221" s="407"/>
      <c r="NHF221" s="407"/>
      <c r="NHG221" s="407"/>
      <c r="NHH221" s="407"/>
      <c r="NHI221" s="407"/>
      <c r="NHJ221" s="407"/>
      <c r="NHK221" s="407"/>
      <c r="NHL221" s="407"/>
      <c r="NHM221" s="407"/>
      <c r="NHN221" s="407"/>
      <c r="NHO221" s="407"/>
      <c r="NHP221" s="407"/>
      <c r="NHQ221" s="407"/>
      <c r="NHR221" s="407"/>
      <c r="NHS221" s="407"/>
      <c r="NHT221" s="407"/>
      <c r="NHU221" s="407"/>
      <c r="NHV221" s="407"/>
      <c r="NHW221" s="407"/>
      <c r="NHX221" s="407"/>
      <c r="NHY221" s="407"/>
      <c r="NHZ221" s="407"/>
      <c r="NIA221" s="407"/>
      <c r="NIB221" s="407"/>
      <c r="NIC221" s="407"/>
      <c r="NID221" s="407"/>
      <c r="NIE221" s="407"/>
      <c r="NIF221" s="407"/>
      <c r="NIG221" s="407"/>
      <c r="NIH221" s="407"/>
      <c r="NII221" s="407"/>
      <c r="NIJ221" s="407"/>
      <c r="NIK221" s="407"/>
      <c r="NIL221" s="407"/>
      <c r="NIM221" s="407"/>
      <c r="NIN221" s="407"/>
      <c r="NIO221" s="407"/>
      <c r="NIP221" s="407"/>
      <c r="NIQ221" s="407"/>
      <c r="NIR221" s="407"/>
      <c r="NIS221" s="407"/>
      <c r="NIT221" s="407"/>
      <c r="NIU221" s="407"/>
      <c r="NIV221" s="407"/>
      <c r="NIW221" s="407"/>
      <c r="NIX221" s="407"/>
      <c r="NIY221" s="407"/>
      <c r="NIZ221" s="407"/>
      <c r="NJA221" s="407"/>
      <c r="NJB221" s="407"/>
      <c r="NJC221" s="407"/>
      <c r="NJD221" s="407"/>
      <c r="NJE221" s="407"/>
      <c r="NJF221" s="407"/>
      <c r="NJG221" s="407"/>
      <c r="NJH221" s="407"/>
      <c r="NJI221" s="407"/>
      <c r="NJJ221" s="407"/>
      <c r="NJK221" s="407"/>
      <c r="NJL221" s="407"/>
      <c r="NJM221" s="407"/>
      <c r="NJN221" s="407"/>
      <c r="NJO221" s="407"/>
      <c r="NJP221" s="407"/>
      <c r="NJQ221" s="407"/>
      <c r="NJR221" s="407"/>
      <c r="NJS221" s="407"/>
      <c r="NJT221" s="407"/>
      <c r="NJU221" s="407"/>
      <c r="NJV221" s="407"/>
      <c r="NJW221" s="407"/>
      <c r="NJX221" s="407"/>
      <c r="NJY221" s="407"/>
      <c r="NJZ221" s="407"/>
      <c r="NKA221" s="407"/>
      <c r="NKB221" s="407"/>
      <c r="NKC221" s="407"/>
      <c r="NKD221" s="407"/>
      <c r="NKE221" s="407"/>
      <c r="NKF221" s="407"/>
      <c r="NKG221" s="407"/>
      <c r="NKH221" s="407"/>
      <c r="NKI221" s="407"/>
      <c r="NKJ221" s="407"/>
      <c r="NKK221" s="407"/>
      <c r="NKL221" s="407"/>
      <c r="NKM221" s="407"/>
      <c r="NKN221" s="407"/>
      <c r="NKO221" s="407"/>
      <c r="NKP221" s="407"/>
      <c r="NKQ221" s="407"/>
      <c r="NKR221" s="407"/>
      <c r="NKS221" s="407"/>
      <c r="NKT221" s="407"/>
      <c r="NKU221" s="407"/>
      <c r="NKV221" s="407"/>
      <c r="NKW221" s="407"/>
      <c r="NKX221" s="407"/>
      <c r="NKY221" s="407"/>
      <c r="NKZ221" s="407"/>
      <c r="NLA221" s="407"/>
      <c r="NLB221" s="407"/>
      <c r="NLC221" s="407"/>
      <c r="NLD221" s="407"/>
      <c r="NLE221" s="407"/>
      <c r="NLF221" s="407"/>
      <c r="NLG221" s="407"/>
      <c r="NLH221" s="407"/>
      <c r="NLI221" s="407"/>
      <c r="NLJ221" s="407"/>
      <c r="NLK221" s="407"/>
      <c r="NLL221" s="407"/>
      <c r="NLM221" s="407"/>
      <c r="NLN221" s="407"/>
      <c r="NLO221" s="407"/>
      <c r="NLP221" s="407"/>
      <c r="NLQ221" s="407"/>
      <c r="NLR221" s="407"/>
      <c r="NLS221" s="407"/>
      <c r="NLT221" s="407"/>
      <c r="NLU221" s="407"/>
      <c r="NLV221" s="407"/>
      <c r="NLW221" s="407"/>
      <c r="NLX221" s="407"/>
      <c r="NLY221" s="407"/>
      <c r="NLZ221" s="407"/>
      <c r="NMA221" s="407"/>
      <c r="NMB221" s="407"/>
      <c r="NMC221" s="407"/>
      <c r="NMD221" s="407"/>
      <c r="NME221" s="407"/>
      <c r="NMF221" s="407"/>
      <c r="NMG221" s="407"/>
      <c r="NMH221" s="407"/>
      <c r="NMI221" s="407"/>
      <c r="NMJ221" s="407"/>
      <c r="NMK221" s="407"/>
      <c r="NML221" s="407"/>
      <c r="NMM221" s="407"/>
      <c r="NMN221" s="407"/>
      <c r="NMO221" s="407"/>
      <c r="NMP221" s="407"/>
      <c r="NMQ221" s="407"/>
      <c r="NMR221" s="407"/>
      <c r="NMS221" s="407"/>
      <c r="NMT221" s="407"/>
      <c r="NMU221" s="407"/>
      <c r="NMV221" s="407"/>
      <c r="NMW221" s="407"/>
      <c r="NMX221" s="407"/>
      <c r="NMY221" s="407"/>
      <c r="NMZ221" s="407"/>
      <c r="NNA221" s="407"/>
      <c r="NNB221" s="407"/>
      <c r="NNC221" s="407"/>
      <c r="NND221" s="407"/>
      <c r="NNE221" s="407"/>
      <c r="NNF221" s="407"/>
      <c r="NNG221" s="407"/>
      <c r="NNH221" s="407"/>
      <c r="NNI221" s="407"/>
      <c r="NNJ221" s="407"/>
      <c r="NNK221" s="407"/>
      <c r="NNL221" s="407"/>
      <c r="NNM221" s="407"/>
      <c r="NNN221" s="407"/>
      <c r="NNO221" s="407"/>
      <c r="NNP221" s="407"/>
      <c r="NNQ221" s="407"/>
      <c r="NNR221" s="407"/>
      <c r="NNS221" s="407"/>
      <c r="NNT221" s="407"/>
      <c r="NNU221" s="407"/>
      <c r="NNV221" s="407"/>
      <c r="NNW221" s="407"/>
      <c r="NNX221" s="407"/>
      <c r="NNY221" s="407"/>
      <c r="NNZ221" s="407"/>
      <c r="NOA221" s="407"/>
      <c r="NOB221" s="407"/>
      <c r="NOC221" s="407"/>
      <c r="NOD221" s="407"/>
      <c r="NOE221" s="407"/>
      <c r="NOF221" s="407"/>
      <c r="NOG221" s="407"/>
      <c r="NOH221" s="407"/>
      <c r="NOI221" s="407"/>
      <c r="NOJ221" s="407"/>
      <c r="NOK221" s="407"/>
      <c r="NOL221" s="407"/>
      <c r="NOM221" s="407"/>
      <c r="NON221" s="407"/>
      <c r="NOO221" s="407"/>
      <c r="NOP221" s="407"/>
      <c r="NOQ221" s="407"/>
      <c r="NOR221" s="407"/>
      <c r="NOS221" s="407"/>
      <c r="NOT221" s="407"/>
      <c r="NOU221" s="407"/>
      <c r="NOV221" s="407"/>
      <c r="NOW221" s="407"/>
      <c r="NOX221" s="407"/>
      <c r="NOY221" s="407"/>
      <c r="NOZ221" s="407"/>
      <c r="NPA221" s="407"/>
      <c r="NPB221" s="407"/>
      <c r="NPC221" s="407"/>
      <c r="NPD221" s="407"/>
      <c r="NPE221" s="407"/>
      <c r="NPF221" s="407"/>
      <c r="NPG221" s="407"/>
      <c r="NPH221" s="407"/>
      <c r="NPI221" s="407"/>
      <c r="NPJ221" s="407"/>
      <c r="NPK221" s="407"/>
      <c r="NPL221" s="407"/>
      <c r="NPM221" s="407"/>
      <c r="NPN221" s="407"/>
      <c r="NPO221" s="407"/>
      <c r="NPP221" s="407"/>
      <c r="NPQ221" s="407"/>
      <c r="NPR221" s="407"/>
      <c r="NPS221" s="407"/>
      <c r="NPT221" s="407"/>
      <c r="NPU221" s="407"/>
      <c r="NPV221" s="407"/>
      <c r="NPW221" s="407"/>
      <c r="NPX221" s="407"/>
      <c r="NPY221" s="407"/>
      <c r="NPZ221" s="407"/>
      <c r="NQA221" s="407"/>
      <c r="NQB221" s="407"/>
      <c r="NQC221" s="407"/>
      <c r="NQD221" s="407"/>
      <c r="NQE221" s="407"/>
      <c r="NQF221" s="407"/>
      <c r="NQG221" s="407"/>
      <c r="NQH221" s="407"/>
      <c r="NQI221" s="407"/>
      <c r="NQJ221" s="407"/>
      <c r="NQK221" s="407"/>
      <c r="NQL221" s="407"/>
      <c r="NQM221" s="407"/>
      <c r="NQN221" s="407"/>
      <c r="NQO221" s="407"/>
      <c r="NQP221" s="407"/>
      <c r="NQQ221" s="407"/>
      <c r="NQR221" s="407"/>
      <c r="NQS221" s="407"/>
      <c r="NQT221" s="407"/>
      <c r="NQU221" s="407"/>
      <c r="NQV221" s="407"/>
      <c r="NQW221" s="407"/>
      <c r="NQX221" s="407"/>
      <c r="NQY221" s="407"/>
      <c r="NQZ221" s="407"/>
      <c r="NRA221" s="407"/>
      <c r="NRB221" s="407"/>
      <c r="NRC221" s="407"/>
      <c r="NRD221" s="407"/>
      <c r="NRE221" s="407"/>
      <c r="NRF221" s="407"/>
      <c r="NRG221" s="407"/>
      <c r="NRH221" s="407"/>
      <c r="NRI221" s="407"/>
      <c r="NRJ221" s="407"/>
      <c r="NRK221" s="407"/>
      <c r="NRL221" s="407"/>
      <c r="NRM221" s="407"/>
      <c r="NRN221" s="407"/>
      <c r="NRO221" s="407"/>
      <c r="NRP221" s="407"/>
      <c r="NRQ221" s="407"/>
      <c r="NRR221" s="407"/>
      <c r="NRS221" s="407"/>
      <c r="NRT221" s="407"/>
      <c r="NRU221" s="407"/>
      <c r="NRV221" s="407"/>
      <c r="NRW221" s="407"/>
      <c r="NRX221" s="407"/>
      <c r="NRY221" s="407"/>
      <c r="NRZ221" s="407"/>
      <c r="NSA221" s="407"/>
      <c r="NSB221" s="407"/>
      <c r="NSC221" s="407"/>
      <c r="NSD221" s="407"/>
      <c r="NSE221" s="407"/>
      <c r="NSF221" s="407"/>
      <c r="NSG221" s="407"/>
      <c r="NSH221" s="407"/>
      <c r="NSI221" s="407"/>
      <c r="NSJ221" s="407"/>
      <c r="NSK221" s="407"/>
      <c r="NSL221" s="407"/>
      <c r="NSM221" s="407"/>
      <c r="NSN221" s="407"/>
      <c r="NSO221" s="407"/>
      <c r="NSP221" s="407"/>
      <c r="NSQ221" s="407"/>
      <c r="NSR221" s="407"/>
      <c r="NSS221" s="407"/>
      <c r="NST221" s="407"/>
      <c r="NSU221" s="407"/>
      <c r="NSV221" s="407"/>
      <c r="NSW221" s="407"/>
      <c r="NSX221" s="407"/>
      <c r="NSY221" s="407"/>
      <c r="NSZ221" s="407"/>
      <c r="NTA221" s="407"/>
      <c r="NTB221" s="407"/>
      <c r="NTC221" s="407"/>
      <c r="NTD221" s="407"/>
      <c r="NTE221" s="407"/>
      <c r="NTF221" s="407"/>
      <c r="NTG221" s="407"/>
      <c r="NTH221" s="407"/>
      <c r="NTI221" s="407"/>
      <c r="NTJ221" s="407"/>
      <c r="NTK221" s="407"/>
      <c r="NTL221" s="407"/>
      <c r="NTM221" s="407"/>
      <c r="NTN221" s="407"/>
      <c r="NTO221" s="407"/>
      <c r="NTP221" s="407"/>
      <c r="NTQ221" s="407"/>
      <c r="NTR221" s="407"/>
      <c r="NTS221" s="407"/>
      <c r="NTT221" s="407"/>
      <c r="NTU221" s="407"/>
      <c r="NTV221" s="407"/>
      <c r="NTW221" s="407"/>
      <c r="NTX221" s="407"/>
      <c r="NTY221" s="407"/>
      <c r="NTZ221" s="407"/>
      <c r="NUA221" s="407"/>
      <c r="NUB221" s="407"/>
      <c r="NUC221" s="407"/>
      <c r="NUD221" s="407"/>
      <c r="NUE221" s="407"/>
      <c r="NUF221" s="407"/>
      <c r="NUG221" s="407"/>
      <c r="NUH221" s="407"/>
      <c r="NUI221" s="407"/>
      <c r="NUJ221" s="407"/>
      <c r="NUK221" s="407"/>
      <c r="NUL221" s="407"/>
      <c r="NUM221" s="407"/>
      <c r="NUN221" s="407"/>
      <c r="NUO221" s="407"/>
      <c r="NUP221" s="407"/>
      <c r="NUQ221" s="407"/>
      <c r="NUR221" s="407"/>
      <c r="NUS221" s="407"/>
      <c r="NUT221" s="407"/>
      <c r="NUU221" s="407"/>
      <c r="NUV221" s="407"/>
      <c r="NUW221" s="407"/>
      <c r="NUX221" s="407"/>
      <c r="NUY221" s="407"/>
      <c r="NUZ221" s="407"/>
      <c r="NVA221" s="407"/>
      <c r="NVB221" s="407"/>
      <c r="NVC221" s="407"/>
      <c r="NVD221" s="407"/>
      <c r="NVE221" s="407"/>
      <c r="NVF221" s="407"/>
      <c r="NVG221" s="407"/>
      <c r="NVH221" s="407"/>
      <c r="NVI221" s="407"/>
      <c r="NVJ221" s="407"/>
      <c r="NVK221" s="407"/>
      <c r="NVL221" s="407"/>
      <c r="NVM221" s="407"/>
      <c r="NVN221" s="407"/>
      <c r="NVO221" s="407"/>
      <c r="NVP221" s="407"/>
      <c r="NVQ221" s="407"/>
      <c r="NVR221" s="407"/>
      <c r="NVS221" s="407"/>
      <c r="NVT221" s="407"/>
      <c r="NVU221" s="407"/>
      <c r="NVV221" s="407"/>
      <c r="NVW221" s="407"/>
      <c r="NVX221" s="407"/>
      <c r="NVY221" s="407"/>
      <c r="NVZ221" s="407"/>
      <c r="NWA221" s="407"/>
      <c r="NWB221" s="407"/>
      <c r="NWC221" s="407"/>
      <c r="NWD221" s="407"/>
      <c r="NWE221" s="407"/>
      <c r="NWF221" s="407"/>
      <c r="NWG221" s="407"/>
      <c r="NWH221" s="407"/>
      <c r="NWI221" s="407"/>
      <c r="NWJ221" s="407"/>
      <c r="NWK221" s="407"/>
      <c r="NWL221" s="407"/>
      <c r="NWM221" s="407"/>
      <c r="NWN221" s="407"/>
      <c r="NWO221" s="407"/>
      <c r="NWP221" s="407"/>
      <c r="NWQ221" s="407"/>
      <c r="NWR221" s="407"/>
      <c r="NWS221" s="407"/>
      <c r="NWT221" s="407"/>
      <c r="NWU221" s="407"/>
      <c r="NWV221" s="407"/>
      <c r="NWW221" s="407"/>
      <c r="NWX221" s="407"/>
      <c r="NWY221" s="407"/>
      <c r="NWZ221" s="407"/>
      <c r="NXA221" s="407"/>
      <c r="NXB221" s="407"/>
      <c r="NXC221" s="407"/>
      <c r="NXD221" s="407"/>
      <c r="NXE221" s="407"/>
      <c r="NXF221" s="407"/>
      <c r="NXG221" s="407"/>
      <c r="NXH221" s="407"/>
      <c r="NXI221" s="407"/>
      <c r="NXJ221" s="407"/>
      <c r="NXK221" s="407"/>
      <c r="NXL221" s="407"/>
      <c r="NXM221" s="407"/>
      <c r="NXN221" s="407"/>
      <c r="NXO221" s="407"/>
      <c r="NXP221" s="407"/>
      <c r="NXQ221" s="407"/>
      <c r="NXR221" s="407"/>
      <c r="NXS221" s="407"/>
      <c r="NXT221" s="407"/>
      <c r="NXU221" s="407"/>
      <c r="NXV221" s="407"/>
      <c r="NXW221" s="407"/>
      <c r="NXX221" s="407"/>
      <c r="NXY221" s="407"/>
      <c r="NXZ221" s="407"/>
      <c r="NYA221" s="407"/>
      <c r="NYB221" s="407"/>
      <c r="NYC221" s="407"/>
      <c r="NYD221" s="407"/>
      <c r="NYE221" s="407"/>
      <c r="NYF221" s="407"/>
      <c r="NYG221" s="407"/>
      <c r="NYH221" s="407"/>
      <c r="NYI221" s="407"/>
      <c r="NYJ221" s="407"/>
      <c r="NYK221" s="407"/>
      <c r="NYL221" s="407"/>
      <c r="NYM221" s="407"/>
      <c r="NYN221" s="407"/>
      <c r="NYO221" s="407"/>
      <c r="NYP221" s="407"/>
      <c r="NYQ221" s="407"/>
      <c r="NYR221" s="407"/>
      <c r="NYS221" s="407"/>
      <c r="NYT221" s="407"/>
      <c r="NYU221" s="407"/>
      <c r="NYV221" s="407"/>
      <c r="NYW221" s="407"/>
      <c r="NYX221" s="407"/>
      <c r="NYY221" s="407"/>
      <c r="NYZ221" s="407"/>
      <c r="NZA221" s="407"/>
      <c r="NZB221" s="407"/>
      <c r="NZC221" s="407"/>
      <c r="NZD221" s="407"/>
      <c r="NZE221" s="407"/>
      <c r="NZF221" s="407"/>
      <c r="NZG221" s="407"/>
      <c r="NZH221" s="407"/>
      <c r="NZI221" s="407"/>
      <c r="NZJ221" s="407"/>
      <c r="NZK221" s="407"/>
      <c r="NZL221" s="407"/>
      <c r="NZM221" s="407"/>
      <c r="NZN221" s="407"/>
      <c r="NZO221" s="407"/>
      <c r="NZP221" s="407"/>
      <c r="NZQ221" s="407"/>
      <c r="NZR221" s="407"/>
      <c r="NZS221" s="407"/>
      <c r="NZT221" s="407"/>
      <c r="NZU221" s="407"/>
      <c r="NZV221" s="407"/>
      <c r="NZW221" s="407"/>
      <c r="NZX221" s="407"/>
      <c r="NZY221" s="407"/>
      <c r="NZZ221" s="407"/>
      <c r="OAA221" s="407"/>
      <c r="OAB221" s="407"/>
      <c r="OAC221" s="407"/>
      <c r="OAD221" s="407"/>
      <c r="OAE221" s="407"/>
      <c r="OAF221" s="407"/>
      <c r="OAG221" s="407"/>
      <c r="OAH221" s="407"/>
      <c r="OAI221" s="407"/>
      <c r="OAJ221" s="407"/>
      <c r="OAK221" s="407"/>
      <c r="OAL221" s="407"/>
      <c r="OAM221" s="407"/>
      <c r="OAN221" s="407"/>
      <c r="OAO221" s="407"/>
      <c r="OAP221" s="407"/>
      <c r="OAQ221" s="407"/>
      <c r="OAR221" s="407"/>
      <c r="OAS221" s="407"/>
      <c r="OAT221" s="407"/>
      <c r="OAU221" s="407"/>
      <c r="OAV221" s="407"/>
      <c r="OAW221" s="407"/>
      <c r="OAX221" s="407"/>
      <c r="OAY221" s="407"/>
      <c r="OAZ221" s="407"/>
      <c r="OBA221" s="407"/>
      <c r="OBB221" s="407"/>
      <c r="OBC221" s="407"/>
      <c r="OBD221" s="407"/>
      <c r="OBE221" s="407"/>
      <c r="OBF221" s="407"/>
      <c r="OBG221" s="407"/>
      <c r="OBH221" s="407"/>
      <c r="OBI221" s="407"/>
      <c r="OBJ221" s="407"/>
      <c r="OBK221" s="407"/>
      <c r="OBL221" s="407"/>
      <c r="OBM221" s="407"/>
      <c r="OBN221" s="407"/>
      <c r="OBO221" s="407"/>
      <c r="OBP221" s="407"/>
      <c r="OBQ221" s="407"/>
      <c r="OBR221" s="407"/>
      <c r="OBS221" s="407"/>
      <c r="OBT221" s="407"/>
      <c r="OBU221" s="407"/>
      <c r="OBV221" s="407"/>
      <c r="OBW221" s="407"/>
      <c r="OBX221" s="407"/>
      <c r="OBY221" s="407"/>
      <c r="OBZ221" s="407"/>
      <c r="OCA221" s="407"/>
      <c r="OCB221" s="407"/>
      <c r="OCC221" s="407"/>
      <c r="OCD221" s="407"/>
      <c r="OCE221" s="407"/>
      <c r="OCF221" s="407"/>
      <c r="OCG221" s="407"/>
      <c r="OCH221" s="407"/>
      <c r="OCI221" s="407"/>
      <c r="OCJ221" s="407"/>
      <c r="OCK221" s="407"/>
      <c r="OCL221" s="407"/>
      <c r="OCM221" s="407"/>
      <c r="OCN221" s="407"/>
      <c r="OCO221" s="407"/>
      <c r="OCP221" s="407"/>
      <c r="OCQ221" s="407"/>
      <c r="OCR221" s="407"/>
      <c r="OCS221" s="407"/>
      <c r="OCT221" s="407"/>
      <c r="OCU221" s="407"/>
      <c r="OCV221" s="407"/>
      <c r="OCW221" s="407"/>
      <c r="OCX221" s="407"/>
      <c r="OCY221" s="407"/>
      <c r="OCZ221" s="407"/>
      <c r="ODA221" s="407"/>
      <c r="ODB221" s="407"/>
      <c r="ODC221" s="407"/>
      <c r="ODD221" s="407"/>
      <c r="ODE221" s="407"/>
      <c r="ODF221" s="407"/>
      <c r="ODG221" s="407"/>
      <c r="ODH221" s="407"/>
      <c r="ODI221" s="407"/>
      <c r="ODJ221" s="407"/>
      <c r="ODK221" s="407"/>
      <c r="ODL221" s="407"/>
      <c r="ODM221" s="407"/>
      <c r="ODN221" s="407"/>
      <c r="ODO221" s="407"/>
      <c r="ODP221" s="407"/>
      <c r="ODQ221" s="407"/>
      <c r="ODR221" s="407"/>
      <c r="ODS221" s="407"/>
      <c r="ODT221" s="407"/>
      <c r="ODU221" s="407"/>
      <c r="ODV221" s="407"/>
      <c r="ODW221" s="407"/>
      <c r="ODX221" s="407"/>
      <c r="ODY221" s="407"/>
      <c r="ODZ221" s="407"/>
      <c r="OEA221" s="407"/>
      <c r="OEB221" s="407"/>
      <c r="OEC221" s="407"/>
      <c r="OED221" s="407"/>
      <c r="OEE221" s="407"/>
      <c r="OEF221" s="407"/>
      <c r="OEG221" s="407"/>
      <c r="OEH221" s="407"/>
      <c r="OEI221" s="407"/>
      <c r="OEJ221" s="407"/>
      <c r="OEK221" s="407"/>
      <c r="OEL221" s="407"/>
      <c r="OEM221" s="407"/>
      <c r="OEN221" s="407"/>
      <c r="OEO221" s="407"/>
      <c r="OEP221" s="407"/>
      <c r="OEQ221" s="407"/>
      <c r="OER221" s="407"/>
      <c r="OES221" s="407"/>
      <c r="OET221" s="407"/>
      <c r="OEU221" s="407"/>
      <c r="OEV221" s="407"/>
      <c r="OEW221" s="407"/>
      <c r="OEX221" s="407"/>
      <c r="OEY221" s="407"/>
      <c r="OEZ221" s="407"/>
      <c r="OFA221" s="407"/>
      <c r="OFB221" s="407"/>
      <c r="OFC221" s="407"/>
      <c r="OFD221" s="407"/>
      <c r="OFE221" s="407"/>
      <c r="OFF221" s="407"/>
      <c r="OFG221" s="407"/>
      <c r="OFH221" s="407"/>
      <c r="OFI221" s="407"/>
      <c r="OFJ221" s="407"/>
      <c r="OFK221" s="407"/>
      <c r="OFL221" s="407"/>
      <c r="OFM221" s="407"/>
      <c r="OFN221" s="407"/>
      <c r="OFO221" s="407"/>
      <c r="OFP221" s="407"/>
      <c r="OFQ221" s="407"/>
      <c r="OFR221" s="407"/>
      <c r="OFS221" s="407"/>
      <c r="OFT221" s="407"/>
      <c r="OFU221" s="407"/>
      <c r="OFV221" s="407"/>
      <c r="OFW221" s="407"/>
      <c r="OFX221" s="407"/>
      <c r="OFY221" s="407"/>
      <c r="OFZ221" s="407"/>
      <c r="OGA221" s="407"/>
      <c r="OGB221" s="407"/>
      <c r="OGC221" s="407"/>
      <c r="OGD221" s="407"/>
      <c r="OGE221" s="407"/>
      <c r="OGF221" s="407"/>
      <c r="OGG221" s="407"/>
      <c r="OGH221" s="407"/>
      <c r="OGI221" s="407"/>
      <c r="OGJ221" s="407"/>
      <c r="OGK221" s="407"/>
      <c r="OGL221" s="407"/>
      <c r="OGM221" s="407"/>
      <c r="OGN221" s="407"/>
      <c r="OGO221" s="407"/>
      <c r="OGP221" s="407"/>
      <c r="OGQ221" s="407"/>
      <c r="OGR221" s="407"/>
      <c r="OGS221" s="407"/>
      <c r="OGT221" s="407"/>
      <c r="OGU221" s="407"/>
      <c r="OGV221" s="407"/>
      <c r="OGW221" s="407"/>
      <c r="OGX221" s="407"/>
      <c r="OGY221" s="407"/>
      <c r="OGZ221" s="407"/>
      <c r="OHA221" s="407"/>
      <c r="OHB221" s="407"/>
      <c r="OHC221" s="407"/>
      <c r="OHD221" s="407"/>
      <c r="OHE221" s="407"/>
      <c r="OHF221" s="407"/>
      <c r="OHG221" s="407"/>
      <c r="OHH221" s="407"/>
      <c r="OHI221" s="407"/>
      <c r="OHJ221" s="407"/>
      <c r="OHK221" s="407"/>
      <c r="OHL221" s="407"/>
      <c r="OHM221" s="407"/>
      <c r="OHN221" s="407"/>
      <c r="OHO221" s="407"/>
      <c r="OHP221" s="407"/>
      <c r="OHQ221" s="407"/>
      <c r="OHR221" s="407"/>
      <c r="OHS221" s="407"/>
      <c r="OHT221" s="407"/>
      <c r="OHU221" s="407"/>
      <c r="OHV221" s="407"/>
      <c r="OHW221" s="407"/>
      <c r="OHX221" s="407"/>
      <c r="OHY221" s="407"/>
      <c r="OHZ221" s="407"/>
      <c r="OIA221" s="407"/>
      <c r="OIB221" s="407"/>
      <c r="OIC221" s="407"/>
      <c r="OID221" s="407"/>
      <c r="OIE221" s="407"/>
      <c r="OIF221" s="407"/>
      <c r="OIG221" s="407"/>
      <c r="OIH221" s="407"/>
      <c r="OII221" s="407"/>
      <c r="OIJ221" s="407"/>
      <c r="OIK221" s="407"/>
      <c r="OIL221" s="407"/>
      <c r="OIM221" s="407"/>
      <c r="OIN221" s="407"/>
      <c r="OIO221" s="407"/>
      <c r="OIP221" s="407"/>
      <c r="OIQ221" s="407"/>
      <c r="OIR221" s="407"/>
      <c r="OIS221" s="407"/>
      <c r="OIT221" s="407"/>
      <c r="OIU221" s="407"/>
      <c r="OIV221" s="407"/>
      <c r="OIW221" s="407"/>
      <c r="OIX221" s="407"/>
      <c r="OIY221" s="407"/>
      <c r="OIZ221" s="407"/>
      <c r="OJA221" s="407"/>
      <c r="OJB221" s="407"/>
      <c r="OJC221" s="407"/>
      <c r="OJD221" s="407"/>
      <c r="OJE221" s="407"/>
      <c r="OJF221" s="407"/>
      <c r="OJG221" s="407"/>
      <c r="OJH221" s="407"/>
      <c r="OJI221" s="407"/>
      <c r="OJJ221" s="407"/>
      <c r="OJK221" s="407"/>
      <c r="OJL221" s="407"/>
      <c r="OJM221" s="407"/>
      <c r="OJN221" s="407"/>
      <c r="OJO221" s="407"/>
      <c r="OJP221" s="407"/>
      <c r="OJQ221" s="407"/>
      <c r="OJR221" s="407"/>
      <c r="OJS221" s="407"/>
      <c r="OJT221" s="407"/>
      <c r="OJU221" s="407"/>
      <c r="OJV221" s="407"/>
      <c r="OJW221" s="407"/>
      <c r="OJX221" s="407"/>
      <c r="OJY221" s="407"/>
      <c r="OJZ221" s="407"/>
      <c r="OKA221" s="407"/>
      <c r="OKB221" s="407"/>
      <c r="OKC221" s="407"/>
      <c r="OKD221" s="407"/>
      <c r="OKE221" s="407"/>
      <c r="OKF221" s="407"/>
      <c r="OKG221" s="407"/>
      <c r="OKH221" s="407"/>
      <c r="OKI221" s="407"/>
      <c r="OKJ221" s="407"/>
      <c r="OKK221" s="407"/>
      <c r="OKL221" s="407"/>
      <c r="OKM221" s="407"/>
      <c r="OKN221" s="407"/>
      <c r="OKO221" s="407"/>
      <c r="OKP221" s="407"/>
      <c r="OKQ221" s="407"/>
      <c r="OKR221" s="407"/>
      <c r="OKS221" s="407"/>
      <c r="OKT221" s="407"/>
      <c r="OKU221" s="407"/>
      <c r="OKV221" s="407"/>
      <c r="OKW221" s="407"/>
      <c r="OKX221" s="407"/>
      <c r="OKY221" s="407"/>
      <c r="OKZ221" s="407"/>
      <c r="OLA221" s="407"/>
      <c r="OLB221" s="407"/>
      <c r="OLC221" s="407"/>
      <c r="OLD221" s="407"/>
      <c r="OLE221" s="407"/>
      <c r="OLF221" s="407"/>
      <c r="OLG221" s="407"/>
      <c r="OLH221" s="407"/>
      <c r="OLI221" s="407"/>
      <c r="OLJ221" s="407"/>
      <c r="OLK221" s="407"/>
      <c r="OLL221" s="407"/>
      <c r="OLM221" s="407"/>
      <c r="OLN221" s="407"/>
      <c r="OLO221" s="407"/>
      <c r="OLP221" s="407"/>
      <c r="OLQ221" s="407"/>
      <c r="OLR221" s="407"/>
      <c r="OLS221" s="407"/>
      <c r="OLT221" s="407"/>
      <c r="OLU221" s="407"/>
      <c r="OLV221" s="407"/>
      <c r="OLW221" s="407"/>
      <c r="OLX221" s="407"/>
      <c r="OLY221" s="407"/>
      <c r="OLZ221" s="407"/>
      <c r="OMA221" s="407"/>
      <c r="OMB221" s="407"/>
      <c r="OMC221" s="407"/>
      <c r="OMD221" s="407"/>
      <c r="OME221" s="407"/>
      <c r="OMF221" s="407"/>
      <c r="OMG221" s="407"/>
      <c r="OMH221" s="407"/>
      <c r="OMI221" s="407"/>
      <c r="OMJ221" s="407"/>
      <c r="OMK221" s="407"/>
      <c r="OML221" s="407"/>
      <c r="OMM221" s="407"/>
      <c r="OMN221" s="407"/>
      <c r="OMO221" s="407"/>
      <c r="OMP221" s="407"/>
      <c r="OMQ221" s="407"/>
      <c r="OMR221" s="407"/>
      <c r="OMS221" s="407"/>
      <c r="OMT221" s="407"/>
      <c r="OMU221" s="407"/>
      <c r="OMV221" s="407"/>
      <c r="OMW221" s="407"/>
      <c r="OMX221" s="407"/>
      <c r="OMY221" s="407"/>
      <c r="OMZ221" s="407"/>
      <c r="ONA221" s="407"/>
      <c r="ONB221" s="407"/>
      <c r="ONC221" s="407"/>
      <c r="OND221" s="407"/>
      <c r="ONE221" s="407"/>
      <c r="ONF221" s="407"/>
      <c r="ONG221" s="407"/>
      <c r="ONH221" s="407"/>
      <c r="ONI221" s="407"/>
      <c r="ONJ221" s="407"/>
      <c r="ONK221" s="407"/>
      <c r="ONL221" s="407"/>
      <c r="ONM221" s="407"/>
      <c r="ONN221" s="407"/>
      <c r="ONO221" s="407"/>
      <c r="ONP221" s="407"/>
      <c r="ONQ221" s="407"/>
      <c r="ONR221" s="407"/>
      <c r="ONS221" s="407"/>
      <c r="ONT221" s="407"/>
      <c r="ONU221" s="407"/>
      <c r="ONV221" s="407"/>
      <c r="ONW221" s="407"/>
      <c r="ONX221" s="407"/>
      <c r="ONY221" s="407"/>
      <c r="ONZ221" s="407"/>
      <c r="OOA221" s="407"/>
      <c r="OOB221" s="407"/>
      <c r="OOC221" s="407"/>
      <c r="OOD221" s="407"/>
      <c r="OOE221" s="407"/>
      <c r="OOF221" s="407"/>
      <c r="OOG221" s="407"/>
      <c r="OOH221" s="407"/>
      <c r="OOI221" s="407"/>
      <c r="OOJ221" s="407"/>
      <c r="OOK221" s="407"/>
      <c r="OOL221" s="407"/>
      <c r="OOM221" s="407"/>
      <c r="OON221" s="407"/>
      <c r="OOO221" s="407"/>
      <c r="OOP221" s="407"/>
      <c r="OOQ221" s="407"/>
      <c r="OOR221" s="407"/>
      <c r="OOS221" s="407"/>
      <c r="OOT221" s="407"/>
      <c r="OOU221" s="407"/>
      <c r="OOV221" s="407"/>
      <c r="OOW221" s="407"/>
      <c r="OOX221" s="407"/>
      <c r="OOY221" s="407"/>
      <c r="OOZ221" s="407"/>
      <c r="OPA221" s="407"/>
      <c r="OPB221" s="407"/>
      <c r="OPC221" s="407"/>
      <c r="OPD221" s="407"/>
      <c r="OPE221" s="407"/>
      <c r="OPF221" s="407"/>
      <c r="OPG221" s="407"/>
      <c r="OPH221" s="407"/>
      <c r="OPI221" s="407"/>
      <c r="OPJ221" s="407"/>
      <c r="OPK221" s="407"/>
      <c r="OPL221" s="407"/>
      <c r="OPM221" s="407"/>
      <c r="OPN221" s="407"/>
      <c r="OPO221" s="407"/>
      <c r="OPP221" s="407"/>
      <c r="OPQ221" s="407"/>
      <c r="OPR221" s="407"/>
      <c r="OPS221" s="407"/>
      <c r="OPT221" s="407"/>
      <c r="OPU221" s="407"/>
      <c r="OPV221" s="407"/>
      <c r="OPW221" s="407"/>
      <c r="OPX221" s="407"/>
      <c r="OPY221" s="407"/>
      <c r="OPZ221" s="407"/>
      <c r="OQA221" s="407"/>
      <c r="OQB221" s="407"/>
      <c r="OQC221" s="407"/>
      <c r="OQD221" s="407"/>
      <c r="OQE221" s="407"/>
      <c r="OQF221" s="407"/>
      <c r="OQG221" s="407"/>
      <c r="OQH221" s="407"/>
      <c r="OQI221" s="407"/>
      <c r="OQJ221" s="407"/>
      <c r="OQK221" s="407"/>
      <c r="OQL221" s="407"/>
      <c r="OQM221" s="407"/>
      <c r="OQN221" s="407"/>
      <c r="OQO221" s="407"/>
      <c r="OQP221" s="407"/>
      <c r="OQQ221" s="407"/>
      <c r="OQR221" s="407"/>
      <c r="OQS221" s="407"/>
      <c r="OQT221" s="407"/>
      <c r="OQU221" s="407"/>
      <c r="OQV221" s="407"/>
      <c r="OQW221" s="407"/>
      <c r="OQX221" s="407"/>
      <c r="OQY221" s="407"/>
      <c r="OQZ221" s="407"/>
      <c r="ORA221" s="407"/>
      <c r="ORB221" s="407"/>
      <c r="ORC221" s="407"/>
      <c r="ORD221" s="407"/>
      <c r="ORE221" s="407"/>
      <c r="ORF221" s="407"/>
      <c r="ORG221" s="407"/>
      <c r="ORH221" s="407"/>
      <c r="ORI221" s="407"/>
      <c r="ORJ221" s="407"/>
      <c r="ORK221" s="407"/>
      <c r="ORL221" s="407"/>
      <c r="ORM221" s="407"/>
      <c r="ORN221" s="407"/>
      <c r="ORO221" s="407"/>
      <c r="ORP221" s="407"/>
      <c r="ORQ221" s="407"/>
      <c r="ORR221" s="407"/>
      <c r="ORS221" s="407"/>
      <c r="ORT221" s="407"/>
      <c r="ORU221" s="407"/>
      <c r="ORV221" s="407"/>
      <c r="ORW221" s="407"/>
      <c r="ORX221" s="407"/>
      <c r="ORY221" s="407"/>
      <c r="ORZ221" s="407"/>
      <c r="OSA221" s="407"/>
      <c r="OSB221" s="407"/>
      <c r="OSC221" s="407"/>
      <c r="OSD221" s="407"/>
      <c r="OSE221" s="407"/>
      <c r="OSF221" s="407"/>
      <c r="OSG221" s="407"/>
      <c r="OSH221" s="407"/>
      <c r="OSI221" s="407"/>
      <c r="OSJ221" s="407"/>
      <c r="OSK221" s="407"/>
      <c r="OSL221" s="407"/>
      <c r="OSM221" s="407"/>
      <c r="OSN221" s="407"/>
      <c r="OSO221" s="407"/>
      <c r="OSP221" s="407"/>
      <c r="OSQ221" s="407"/>
      <c r="OSR221" s="407"/>
      <c r="OSS221" s="407"/>
      <c r="OST221" s="407"/>
      <c r="OSU221" s="407"/>
      <c r="OSV221" s="407"/>
      <c r="OSW221" s="407"/>
      <c r="OSX221" s="407"/>
      <c r="OSY221" s="407"/>
      <c r="OSZ221" s="407"/>
      <c r="OTA221" s="407"/>
      <c r="OTB221" s="407"/>
      <c r="OTC221" s="407"/>
      <c r="OTD221" s="407"/>
      <c r="OTE221" s="407"/>
      <c r="OTF221" s="407"/>
      <c r="OTG221" s="407"/>
      <c r="OTH221" s="407"/>
      <c r="OTI221" s="407"/>
      <c r="OTJ221" s="407"/>
      <c r="OTK221" s="407"/>
      <c r="OTL221" s="407"/>
      <c r="OTM221" s="407"/>
      <c r="OTN221" s="407"/>
      <c r="OTO221" s="407"/>
      <c r="OTP221" s="407"/>
      <c r="OTQ221" s="407"/>
      <c r="OTR221" s="407"/>
      <c r="OTS221" s="407"/>
      <c r="OTT221" s="407"/>
      <c r="OTU221" s="407"/>
      <c r="OTV221" s="407"/>
      <c r="OTW221" s="407"/>
      <c r="OTX221" s="407"/>
      <c r="OTY221" s="407"/>
      <c r="OTZ221" s="407"/>
      <c r="OUA221" s="407"/>
      <c r="OUB221" s="407"/>
      <c r="OUC221" s="407"/>
      <c r="OUD221" s="407"/>
      <c r="OUE221" s="407"/>
      <c r="OUF221" s="407"/>
      <c r="OUG221" s="407"/>
      <c r="OUH221" s="407"/>
      <c r="OUI221" s="407"/>
      <c r="OUJ221" s="407"/>
      <c r="OUK221" s="407"/>
      <c r="OUL221" s="407"/>
      <c r="OUM221" s="407"/>
      <c r="OUN221" s="407"/>
      <c r="OUO221" s="407"/>
      <c r="OUP221" s="407"/>
      <c r="OUQ221" s="407"/>
      <c r="OUR221" s="407"/>
      <c r="OUS221" s="407"/>
      <c r="OUT221" s="407"/>
      <c r="OUU221" s="407"/>
      <c r="OUV221" s="407"/>
      <c r="OUW221" s="407"/>
      <c r="OUX221" s="407"/>
      <c r="OUY221" s="407"/>
      <c r="OUZ221" s="407"/>
      <c r="OVA221" s="407"/>
      <c r="OVB221" s="407"/>
      <c r="OVC221" s="407"/>
      <c r="OVD221" s="407"/>
      <c r="OVE221" s="407"/>
      <c r="OVF221" s="407"/>
      <c r="OVG221" s="407"/>
      <c r="OVH221" s="407"/>
      <c r="OVI221" s="407"/>
      <c r="OVJ221" s="407"/>
      <c r="OVK221" s="407"/>
      <c r="OVL221" s="407"/>
      <c r="OVM221" s="407"/>
      <c r="OVN221" s="407"/>
      <c r="OVO221" s="407"/>
      <c r="OVP221" s="407"/>
      <c r="OVQ221" s="407"/>
      <c r="OVR221" s="407"/>
      <c r="OVS221" s="407"/>
      <c r="OVT221" s="407"/>
      <c r="OVU221" s="407"/>
      <c r="OVV221" s="407"/>
      <c r="OVW221" s="407"/>
      <c r="OVX221" s="407"/>
      <c r="OVY221" s="407"/>
      <c r="OVZ221" s="407"/>
      <c r="OWA221" s="407"/>
      <c r="OWB221" s="407"/>
      <c r="OWC221" s="407"/>
      <c r="OWD221" s="407"/>
      <c r="OWE221" s="407"/>
      <c r="OWF221" s="407"/>
      <c r="OWG221" s="407"/>
      <c r="OWH221" s="407"/>
      <c r="OWI221" s="407"/>
      <c r="OWJ221" s="407"/>
      <c r="OWK221" s="407"/>
      <c r="OWL221" s="407"/>
      <c r="OWM221" s="407"/>
      <c r="OWN221" s="407"/>
      <c r="OWO221" s="407"/>
      <c r="OWP221" s="407"/>
      <c r="OWQ221" s="407"/>
      <c r="OWR221" s="407"/>
      <c r="OWS221" s="407"/>
      <c r="OWT221" s="407"/>
      <c r="OWU221" s="407"/>
      <c r="OWV221" s="407"/>
      <c r="OWW221" s="407"/>
      <c r="OWX221" s="407"/>
      <c r="OWY221" s="407"/>
      <c r="OWZ221" s="407"/>
      <c r="OXA221" s="407"/>
      <c r="OXB221" s="407"/>
      <c r="OXC221" s="407"/>
      <c r="OXD221" s="407"/>
      <c r="OXE221" s="407"/>
      <c r="OXF221" s="407"/>
      <c r="OXG221" s="407"/>
      <c r="OXH221" s="407"/>
      <c r="OXI221" s="407"/>
      <c r="OXJ221" s="407"/>
      <c r="OXK221" s="407"/>
      <c r="OXL221" s="407"/>
      <c r="OXM221" s="407"/>
      <c r="OXN221" s="407"/>
      <c r="OXO221" s="407"/>
      <c r="OXP221" s="407"/>
      <c r="OXQ221" s="407"/>
      <c r="OXR221" s="407"/>
      <c r="OXS221" s="407"/>
      <c r="OXT221" s="407"/>
      <c r="OXU221" s="407"/>
      <c r="OXV221" s="407"/>
      <c r="OXW221" s="407"/>
      <c r="OXX221" s="407"/>
      <c r="OXY221" s="407"/>
      <c r="OXZ221" s="407"/>
      <c r="OYA221" s="407"/>
      <c r="OYB221" s="407"/>
      <c r="OYC221" s="407"/>
      <c r="OYD221" s="407"/>
      <c r="OYE221" s="407"/>
      <c r="OYF221" s="407"/>
      <c r="OYG221" s="407"/>
      <c r="OYH221" s="407"/>
      <c r="OYI221" s="407"/>
      <c r="OYJ221" s="407"/>
      <c r="OYK221" s="407"/>
      <c r="OYL221" s="407"/>
      <c r="OYM221" s="407"/>
      <c r="OYN221" s="407"/>
      <c r="OYO221" s="407"/>
      <c r="OYP221" s="407"/>
      <c r="OYQ221" s="407"/>
      <c r="OYR221" s="407"/>
      <c r="OYS221" s="407"/>
      <c r="OYT221" s="407"/>
      <c r="OYU221" s="407"/>
      <c r="OYV221" s="407"/>
      <c r="OYW221" s="407"/>
      <c r="OYX221" s="407"/>
      <c r="OYY221" s="407"/>
      <c r="OYZ221" s="407"/>
      <c r="OZA221" s="407"/>
      <c r="OZB221" s="407"/>
      <c r="OZC221" s="407"/>
      <c r="OZD221" s="407"/>
      <c r="OZE221" s="407"/>
      <c r="OZF221" s="407"/>
      <c r="OZG221" s="407"/>
      <c r="OZH221" s="407"/>
      <c r="OZI221" s="407"/>
      <c r="OZJ221" s="407"/>
      <c r="OZK221" s="407"/>
      <c r="OZL221" s="407"/>
      <c r="OZM221" s="407"/>
      <c r="OZN221" s="407"/>
      <c r="OZO221" s="407"/>
      <c r="OZP221" s="407"/>
      <c r="OZQ221" s="407"/>
      <c r="OZR221" s="407"/>
      <c r="OZS221" s="407"/>
      <c r="OZT221" s="407"/>
      <c r="OZU221" s="407"/>
      <c r="OZV221" s="407"/>
      <c r="OZW221" s="407"/>
      <c r="OZX221" s="407"/>
      <c r="OZY221" s="407"/>
      <c r="OZZ221" s="407"/>
      <c r="PAA221" s="407"/>
      <c r="PAB221" s="407"/>
      <c r="PAC221" s="407"/>
      <c r="PAD221" s="407"/>
      <c r="PAE221" s="407"/>
      <c r="PAF221" s="407"/>
      <c r="PAG221" s="407"/>
      <c r="PAH221" s="407"/>
      <c r="PAI221" s="407"/>
      <c r="PAJ221" s="407"/>
      <c r="PAK221" s="407"/>
      <c r="PAL221" s="407"/>
      <c r="PAM221" s="407"/>
      <c r="PAN221" s="407"/>
      <c r="PAO221" s="407"/>
      <c r="PAP221" s="407"/>
      <c r="PAQ221" s="407"/>
      <c r="PAR221" s="407"/>
      <c r="PAS221" s="407"/>
      <c r="PAT221" s="407"/>
      <c r="PAU221" s="407"/>
      <c r="PAV221" s="407"/>
      <c r="PAW221" s="407"/>
      <c r="PAX221" s="407"/>
      <c r="PAY221" s="407"/>
      <c r="PAZ221" s="407"/>
      <c r="PBA221" s="407"/>
      <c r="PBB221" s="407"/>
      <c r="PBC221" s="407"/>
      <c r="PBD221" s="407"/>
      <c r="PBE221" s="407"/>
      <c r="PBF221" s="407"/>
      <c r="PBG221" s="407"/>
      <c r="PBH221" s="407"/>
      <c r="PBI221" s="407"/>
      <c r="PBJ221" s="407"/>
      <c r="PBK221" s="407"/>
      <c r="PBL221" s="407"/>
      <c r="PBM221" s="407"/>
      <c r="PBN221" s="407"/>
      <c r="PBO221" s="407"/>
      <c r="PBP221" s="407"/>
      <c r="PBQ221" s="407"/>
      <c r="PBR221" s="407"/>
      <c r="PBS221" s="407"/>
      <c r="PBT221" s="407"/>
      <c r="PBU221" s="407"/>
      <c r="PBV221" s="407"/>
      <c r="PBW221" s="407"/>
      <c r="PBX221" s="407"/>
      <c r="PBY221" s="407"/>
      <c r="PBZ221" s="407"/>
      <c r="PCA221" s="407"/>
      <c r="PCB221" s="407"/>
      <c r="PCC221" s="407"/>
      <c r="PCD221" s="407"/>
      <c r="PCE221" s="407"/>
      <c r="PCF221" s="407"/>
      <c r="PCG221" s="407"/>
      <c r="PCH221" s="407"/>
      <c r="PCI221" s="407"/>
      <c r="PCJ221" s="407"/>
      <c r="PCK221" s="407"/>
      <c r="PCL221" s="407"/>
      <c r="PCM221" s="407"/>
      <c r="PCN221" s="407"/>
      <c r="PCO221" s="407"/>
      <c r="PCP221" s="407"/>
      <c r="PCQ221" s="407"/>
      <c r="PCR221" s="407"/>
      <c r="PCS221" s="407"/>
      <c r="PCT221" s="407"/>
      <c r="PCU221" s="407"/>
      <c r="PCV221" s="407"/>
      <c r="PCW221" s="407"/>
      <c r="PCX221" s="407"/>
      <c r="PCY221" s="407"/>
      <c r="PCZ221" s="407"/>
      <c r="PDA221" s="407"/>
      <c r="PDB221" s="407"/>
      <c r="PDC221" s="407"/>
      <c r="PDD221" s="407"/>
      <c r="PDE221" s="407"/>
      <c r="PDF221" s="407"/>
      <c r="PDG221" s="407"/>
      <c r="PDH221" s="407"/>
      <c r="PDI221" s="407"/>
      <c r="PDJ221" s="407"/>
      <c r="PDK221" s="407"/>
      <c r="PDL221" s="407"/>
      <c r="PDM221" s="407"/>
      <c r="PDN221" s="407"/>
      <c r="PDO221" s="407"/>
      <c r="PDP221" s="407"/>
      <c r="PDQ221" s="407"/>
      <c r="PDR221" s="407"/>
      <c r="PDS221" s="407"/>
      <c r="PDT221" s="407"/>
      <c r="PDU221" s="407"/>
      <c r="PDV221" s="407"/>
      <c r="PDW221" s="407"/>
      <c r="PDX221" s="407"/>
      <c r="PDY221" s="407"/>
      <c r="PDZ221" s="407"/>
      <c r="PEA221" s="407"/>
      <c r="PEB221" s="407"/>
      <c r="PEC221" s="407"/>
      <c r="PED221" s="407"/>
      <c r="PEE221" s="407"/>
      <c r="PEF221" s="407"/>
      <c r="PEG221" s="407"/>
      <c r="PEH221" s="407"/>
      <c r="PEI221" s="407"/>
      <c r="PEJ221" s="407"/>
      <c r="PEK221" s="407"/>
      <c r="PEL221" s="407"/>
      <c r="PEM221" s="407"/>
      <c r="PEN221" s="407"/>
      <c r="PEO221" s="407"/>
      <c r="PEP221" s="407"/>
      <c r="PEQ221" s="407"/>
      <c r="PER221" s="407"/>
      <c r="PES221" s="407"/>
      <c r="PET221" s="407"/>
      <c r="PEU221" s="407"/>
      <c r="PEV221" s="407"/>
      <c r="PEW221" s="407"/>
      <c r="PEX221" s="407"/>
      <c r="PEY221" s="407"/>
      <c r="PEZ221" s="407"/>
      <c r="PFA221" s="407"/>
      <c r="PFB221" s="407"/>
      <c r="PFC221" s="407"/>
      <c r="PFD221" s="407"/>
      <c r="PFE221" s="407"/>
      <c r="PFF221" s="407"/>
      <c r="PFG221" s="407"/>
      <c r="PFH221" s="407"/>
      <c r="PFI221" s="407"/>
      <c r="PFJ221" s="407"/>
      <c r="PFK221" s="407"/>
      <c r="PFL221" s="407"/>
      <c r="PFM221" s="407"/>
      <c r="PFN221" s="407"/>
      <c r="PFO221" s="407"/>
      <c r="PFP221" s="407"/>
      <c r="PFQ221" s="407"/>
      <c r="PFR221" s="407"/>
      <c r="PFS221" s="407"/>
      <c r="PFT221" s="407"/>
      <c r="PFU221" s="407"/>
      <c r="PFV221" s="407"/>
      <c r="PFW221" s="407"/>
      <c r="PFX221" s="407"/>
      <c r="PFY221" s="407"/>
      <c r="PFZ221" s="407"/>
      <c r="PGA221" s="407"/>
      <c r="PGB221" s="407"/>
      <c r="PGC221" s="407"/>
      <c r="PGD221" s="407"/>
      <c r="PGE221" s="407"/>
      <c r="PGF221" s="407"/>
      <c r="PGG221" s="407"/>
      <c r="PGH221" s="407"/>
      <c r="PGI221" s="407"/>
      <c r="PGJ221" s="407"/>
      <c r="PGK221" s="407"/>
      <c r="PGL221" s="407"/>
      <c r="PGM221" s="407"/>
      <c r="PGN221" s="407"/>
      <c r="PGO221" s="407"/>
      <c r="PGP221" s="407"/>
      <c r="PGQ221" s="407"/>
      <c r="PGR221" s="407"/>
      <c r="PGS221" s="407"/>
      <c r="PGT221" s="407"/>
      <c r="PGU221" s="407"/>
      <c r="PGV221" s="407"/>
      <c r="PGW221" s="407"/>
      <c r="PGX221" s="407"/>
      <c r="PGY221" s="407"/>
      <c r="PGZ221" s="407"/>
      <c r="PHA221" s="407"/>
      <c r="PHB221" s="407"/>
      <c r="PHC221" s="407"/>
      <c r="PHD221" s="407"/>
      <c r="PHE221" s="407"/>
      <c r="PHF221" s="407"/>
      <c r="PHG221" s="407"/>
      <c r="PHH221" s="407"/>
      <c r="PHI221" s="407"/>
      <c r="PHJ221" s="407"/>
      <c r="PHK221" s="407"/>
      <c r="PHL221" s="407"/>
      <c r="PHM221" s="407"/>
      <c r="PHN221" s="407"/>
      <c r="PHO221" s="407"/>
      <c r="PHP221" s="407"/>
      <c r="PHQ221" s="407"/>
      <c r="PHR221" s="407"/>
      <c r="PHS221" s="407"/>
      <c r="PHT221" s="407"/>
      <c r="PHU221" s="407"/>
      <c r="PHV221" s="407"/>
      <c r="PHW221" s="407"/>
      <c r="PHX221" s="407"/>
      <c r="PHY221" s="407"/>
      <c r="PHZ221" s="407"/>
      <c r="PIA221" s="407"/>
      <c r="PIB221" s="407"/>
      <c r="PIC221" s="407"/>
      <c r="PID221" s="407"/>
      <c r="PIE221" s="407"/>
      <c r="PIF221" s="407"/>
      <c r="PIG221" s="407"/>
      <c r="PIH221" s="407"/>
      <c r="PII221" s="407"/>
      <c r="PIJ221" s="407"/>
      <c r="PIK221" s="407"/>
      <c r="PIL221" s="407"/>
      <c r="PIM221" s="407"/>
      <c r="PIN221" s="407"/>
      <c r="PIO221" s="407"/>
      <c r="PIP221" s="407"/>
      <c r="PIQ221" s="407"/>
      <c r="PIR221" s="407"/>
      <c r="PIS221" s="407"/>
      <c r="PIT221" s="407"/>
      <c r="PIU221" s="407"/>
      <c r="PIV221" s="407"/>
      <c r="PIW221" s="407"/>
      <c r="PIX221" s="407"/>
      <c r="PIY221" s="407"/>
      <c r="PIZ221" s="407"/>
      <c r="PJA221" s="407"/>
      <c r="PJB221" s="407"/>
      <c r="PJC221" s="407"/>
      <c r="PJD221" s="407"/>
      <c r="PJE221" s="407"/>
      <c r="PJF221" s="407"/>
      <c r="PJG221" s="407"/>
      <c r="PJH221" s="407"/>
      <c r="PJI221" s="407"/>
      <c r="PJJ221" s="407"/>
      <c r="PJK221" s="407"/>
      <c r="PJL221" s="407"/>
      <c r="PJM221" s="407"/>
      <c r="PJN221" s="407"/>
      <c r="PJO221" s="407"/>
      <c r="PJP221" s="407"/>
      <c r="PJQ221" s="407"/>
      <c r="PJR221" s="407"/>
      <c r="PJS221" s="407"/>
      <c r="PJT221" s="407"/>
      <c r="PJU221" s="407"/>
      <c r="PJV221" s="407"/>
      <c r="PJW221" s="407"/>
      <c r="PJX221" s="407"/>
      <c r="PJY221" s="407"/>
      <c r="PJZ221" s="407"/>
      <c r="PKA221" s="407"/>
      <c r="PKB221" s="407"/>
      <c r="PKC221" s="407"/>
      <c r="PKD221" s="407"/>
      <c r="PKE221" s="407"/>
      <c r="PKF221" s="407"/>
      <c r="PKG221" s="407"/>
      <c r="PKH221" s="407"/>
      <c r="PKI221" s="407"/>
      <c r="PKJ221" s="407"/>
      <c r="PKK221" s="407"/>
      <c r="PKL221" s="407"/>
      <c r="PKM221" s="407"/>
      <c r="PKN221" s="407"/>
      <c r="PKO221" s="407"/>
      <c r="PKP221" s="407"/>
      <c r="PKQ221" s="407"/>
      <c r="PKR221" s="407"/>
      <c r="PKS221" s="407"/>
      <c r="PKT221" s="407"/>
      <c r="PKU221" s="407"/>
      <c r="PKV221" s="407"/>
      <c r="PKW221" s="407"/>
      <c r="PKX221" s="407"/>
      <c r="PKY221" s="407"/>
      <c r="PKZ221" s="407"/>
      <c r="PLA221" s="407"/>
      <c r="PLB221" s="407"/>
      <c r="PLC221" s="407"/>
      <c r="PLD221" s="407"/>
      <c r="PLE221" s="407"/>
      <c r="PLF221" s="407"/>
      <c r="PLG221" s="407"/>
      <c r="PLH221" s="407"/>
      <c r="PLI221" s="407"/>
      <c r="PLJ221" s="407"/>
      <c r="PLK221" s="407"/>
      <c r="PLL221" s="407"/>
      <c r="PLM221" s="407"/>
      <c r="PLN221" s="407"/>
      <c r="PLO221" s="407"/>
      <c r="PLP221" s="407"/>
      <c r="PLQ221" s="407"/>
      <c r="PLR221" s="407"/>
      <c r="PLS221" s="407"/>
      <c r="PLT221" s="407"/>
      <c r="PLU221" s="407"/>
      <c r="PLV221" s="407"/>
      <c r="PLW221" s="407"/>
      <c r="PLX221" s="407"/>
      <c r="PLY221" s="407"/>
      <c r="PLZ221" s="407"/>
      <c r="PMA221" s="407"/>
      <c r="PMB221" s="407"/>
      <c r="PMC221" s="407"/>
      <c r="PMD221" s="407"/>
      <c r="PME221" s="407"/>
      <c r="PMF221" s="407"/>
      <c r="PMG221" s="407"/>
      <c r="PMH221" s="407"/>
      <c r="PMI221" s="407"/>
      <c r="PMJ221" s="407"/>
      <c r="PMK221" s="407"/>
      <c r="PML221" s="407"/>
      <c r="PMM221" s="407"/>
      <c r="PMN221" s="407"/>
      <c r="PMO221" s="407"/>
      <c r="PMP221" s="407"/>
      <c r="PMQ221" s="407"/>
      <c r="PMR221" s="407"/>
      <c r="PMS221" s="407"/>
      <c r="PMT221" s="407"/>
      <c r="PMU221" s="407"/>
      <c r="PMV221" s="407"/>
      <c r="PMW221" s="407"/>
      <c r="PMX221" s="407"/>
      <c r="PMY221" s="407"/>
      <c r="PMZ221" s="407"/>
      <c r="PNA221" s="407"/>
      <c r="PNB221" s="407"/>
      <c r="PNC221" s="407"/>
      <c r="PND221" s="407"/>
      <c r="PNE221" s="407"/>
      <c r="PNF221" s="407"/>
      <c r="PNG221" s="407"/>
      <c r="PNH221" s="407"/>
      <c r="PNI221" s="407"/>
      <c r="PNJ221" s="407"/>
      <c r="PNK221" s="407"/>
      <c r="PNL221" s="407"/>
      <c r="PNM221" s="407"/>
      <c r="PNN221" s="407"/>
      <c r="PNO221" s="407"/>
      <c r="PNP221" s="407"/>
      <c r="PNQ221" s="407"/>
      <c r="PNR221" s="407"/>
      <c r="PNS221" s="407"/>
      <c r="PNT221" s="407"/>
      <c r="PNU221" s="407"/>
      <c r="PNV221" s="407"/>
      <c r="PNW221" s="407"/>
      <c r="PNX221" s="407"/>
      <c r="PNY221" s="407"/>
      <c r="PNZ221" s="407"/>
      <c r="POA221" s="407"/>
      <c r="POB221" s="407"/>
      <c r="POC221" s="407"/>
      <c r="POD221" s="407"/>
      <c r="POE221" s="407"/>
      <c r="POF221" s="407"/>
      <c r="POG221" s="407"/>
      <c r="POH221" s="407"/>
      <c r="POI221" s="407"/>
      <c r="POJ221" s="407"/>
      <c r="POK221" s="407"/>
      <c r="POL221" s="407"/>
      <c r="POM221" s="407"/>
      <c r="PON221" s="407"/>
      <c r="POO221" s="407"/>
      <c r="POP221" s="407"/>
      <c r="POQ221" s="407"/>
      <c r="POR221" s="407"/>
      <c r="POS221" s="407"/>
      <c r="POT221" s="407"/>
      <c r="POU221" s="407"/>
      <c r="POV221" s="407"/>
      <c r="POW221" s="407"/>
      <c r="POX221" s="407"/>
      <c r="POY221" s="407"/>
      <c r="POZ221" s="407"/>
      <c r="PPA221" s="407"/>
      <c r="PPB221" s="407"/>
      <c r="PPC221" s="407"/>
      <c r="PPD221" s="407"/>
      <c r="PPE221" s="407"/>
      <c r="PPF221" s="407"/>
      <c r="PPG221" s="407"/>
      <c r="PPH221" s="407"/>
      <c r="PPI221" s="407"/>
      <c r="PPJ221" s="407"/>
      <c r="PPK221" s="407"/>
      <c r="PPL221" s="407"/>
      <c r="PPM221" s="407"/>
      <c r="PPN221" s="407"/>
      <c r="PPO221" s="407"/>
      <c r="PPP221" s="407"/>
      <c r="PPQ221" s="407"/>
      <c r="PPR221" s="407"/>
      <c r="PPS221" s="407"/>
      <c r="PPT221" s="407"/>
      <c r="PPU221" s="407"/>
      <c r="PPV221" s="407"/>
      <c r="PPW221" s="407"/>
      <c r="PPX221" s="407"/>
      <c r="PPY221" s="407"/>
      <c r="PPZ221" s="407"/>
      <c r="PQA221" s="407"/>
      <c r="PQB221" s="407"/>
      <c r="PQC221" s="407"/>
      <c r="PQD221" s="407"/>
      <c r="PQE221" s="407"/>
      <c r="PQF221" s="407"/>
      <c r="PQG221" s="407"/>
      <c r="PQH221" s="407"/>
      <c r="PQI221" s="407"/>
      <c r="PQJ221" s="407"/>
      <c r="PQK221" s="407"/>
      <c r="PQL221" s="407"/>
      <c r="PQM221" s="407"/>
      <c r="PQN221" s="407"/>
      <c r="PQO221" s="407"/>
      <c r="PQP221" s="407"/>
      <c r="PQQ221" s="407"/>
      <c r="PQR221" s="407"/>
      <c r="PQS221" s="407"/>
      <c r="PQT221" s="407"/>
      <c r="PQU221" s="407"/>
      <c r="PQV221" s="407"/>
      <c r="PQW221" s="407"/>
      <c r="PQX221" s="407"/>
      <c r="PQY221" s="407"/>
      <c r="PQZ221" s="407"/>
      <c r="PRA221" s="407"/>
      <c r="PRB221" s="407"/>
      <c r="PRC221" s="407"/>
      <c r="PRD221" s="407"/>
      <c r="PRE221" s="407"/>
      <c r="PRF221" s="407"/>
      <c r="PRG221" s="407"/>
      <c r="PRH221" s="407"/>
      <c r="PRI221" s="407"/>
      <c r="PRJ221" s="407"/>
      <c r="PRK221" s="407"/>
      <c r="PRL221" s="407"/>
      <c r="PRM221" s="407"/>
      <c r="PRN221" s="407"/>
      <c r="PRO221" s="407"/>
      <c r="PRP221" s="407"/>
      <c r="PRQ221" s="407"/>
      <c r="PRR221" s="407"/>
      <c r="PRS221" s="407"/>
      <c r="PRT221" s="407"/>
      <c r="PRU221" s="407"/>
      <c r="PRV221" s="407"/>
      <c r="PRW221" s="407"/>
      <c r="PRX221" s="407"/>
      <c r="PRY221" s="407"/>
      <c r="PRZ221" s="407"/>
      <c r="PSA221" s="407"/>
      <c r="PSB221" s="407"/>
      <c r="PSC221" s="407"/>
      <c r="PSD221" s="407"/>
      <c r="PSE221" s="407"/>
      <c r="PSF221" s="407"/>
      <c r="PSG221" s="407"/>
      <c r="PSH221" s="407"/>
      <c r="PSI221" s="407"/>
      <c r="PSJ221" s="407"/>
      <c r="PSK221" s="407"/>
      <c r="PSL221" s="407"/>
      <c r="PSM221" s="407"/>
      <c r="PSN221" s="407"/>
      <c r="PSO221" s="407"/>
      <c r="PSP221" s="407"/>
      <c r="PSQ221" s="407"/>
      <c r="PSR221" s="407"/>
      <c r="PSS221" s="407"/>
      <c r="PST221" s="407"/>
      <c r="PSU221" s="407"/>
      <c r="PSV221" s="407"/>
      <c r="PSW221" s="407"/>
      <c r="PSX221" s="407"/>
      <c r="PSY221" s="407"/>
      <c r="PSZ221" s="407"/>
      <c r="PTA221" s="407"/>
      <c r="PTB221" s="407"/>
      <c r="PTC221" s="407"/>
      <c r="PTD221" s="407"/>
      <c r="PTE221" s="407"/>
      <c r="PTF221" s="407"/>
      <c r="PTG221" s="407"/>
      <c r="PTH221" s="407"/>
      <c r="PTI221" s="407"/>
      <c r="PTJ221" s="407"/>
      <c r="PTK221" s="407"/>
      <c r="PTL221" s="407"/>
      <c r="PTM221" s="407"/>
      <c r="PTN221" s="407"/>
      <c r="PTO221" s="407"/>
      <c r="PTP221" s="407"/>
      <c r="PTQ221" s="407"/>
      <c r="PTR221" s="407"/>
      <c r="PTS221" s="407"/>
      <c r="PTT221" s="407"/>
      <c r="PTU221" s="407"/>
      <c r="PTV221" s="407"/>
      <c r="PTW221" s="407"/>
      <c r="PTX221" s="407"/>
      <c r="PTY221" s="407"/>
      <c r="PTZ221" s="407"/>
      <c r="PUA221" s="407"/>
      <c r="PUB221" s="407"/>
      <c r="PUC221" s="407"/>
      <c r="PUD221" s="407"/>
      <c r="PUE221" s="407"/>
      <c r="PUF221" s="407"/>
      <c r="PUG221" s="407"/>
      <c r="PUH221" s="407"/>
      <c r="PUI221" s="407"/>
      <c r="PUJ221" s="407"/>
      <c r="PUK221" s="407"/>
      <c r="PUL221" s="407"/>
      <c r="PUM221" s="407"/>
      <c r="PUN221" s="407"/>
      <c r="PUO221" s="407"/>
      <c r="PUP221" s="407"/>
      <c r="PUQ221" s="407"/>
      <c r="PUR221" s="407"/>
      <c r="PUS221" s="407"/>
      <c r="PUT221" s="407"/>
      <c r="PUU221" s="407"/>
      <c r="PUV221" s="407"/>
      <c r="PUW221" s="407"/>
      <c r="PUX221" s="407"/>
      <c r="PUY221" s="407"/>
      <c r="PUZ221" s="407"/>
      <c r="PVA221" s="407"/>
      <c r="PVB221" s="407"/>
      <c r="PVC221" s="407"/>
      <c r="PVD221" s="407"/>
      <c r="PVE221" s="407"/>
      <c r="PVF221" s="407"/>
      <c r="PVG221" s="407"/>
      <c r="PVH221" s="407"/>
      <c r="PVI221" s="407"/>
      <c r="PVJ221" s="407"/>
      <c r="PVK221" s="407"/>
      <c r="PVL221" s="407"/>
      <c r="PVM221" s="407"/>
      <c r="PVN221" s="407"/>
      <c r="PVO221" s="407"/>
      <c r="PVP221" s="407"/>
      <c r="PVQ221" s="407"/>
      <c r="PVR221" s="407"/>
      <c r="PVS221" s="407"/>
      <c r="PVT221" s="407"/>
      <c r="PVU221" s="407"/>
      <c r="PVV221" s="407"/>
      <c r="PVW221" s="407"/>
      <c r="PVX221" s="407"/>
      <c r="PVY221" s="407"/>
      <c r="PVZ221" s="407"/>
      <c r="PWA221" s="407"/>
      <c r="PWB221" s="407"/>
      <c r="PWC221" s="407"/>
      <c r="PWD221" s="407"/>
      <c r="PWE221" s="407"/>
      <c r="PWF221" s="407"/>
      <c r="PWG221" s="407"/>
      <c r="PWH221" s="407"/>
      <c r="PWI221" s="407"/>
      <c r="PWJ221" s="407"/>
      <c r="PWK221" s="407"/>
      <c r="PWL221" s="407"/>
      <c r="PWM221" s="407"/>
      <c r="PWN221" s="407"/>
      <c r="PWO221" s="407"/>
      <c r="PWP221" s="407"/>
      <c r="PWQ221" s="407"/>
      <c r="PWR221" s="407"/>
      <c r="PWS221" s="407"/>
      <c r="PWT221" s="407"/>
      <c r="PWU221" s="407"/>
      <c r="PWV221" s="407"/>
      <c r="PWW221" s="407"/>
      <c r="PWX221" s="407"/>
      <c r="PWY221" s="407"/>
      <c r="PWZ221" s="407"/>
      <c r="PXA221" s="407"/>
      <c r="PXB221" s="407"/>
      <c r="PXC221" s="407"/>
      <c r="PXD221" s="407"/>
      <c r="PXE221" s="407"/>
      <c r="PXF221" s="407"/>
      <c r="PXG221" s="407"/>
      <c r="PXH221" s="407"/>
      <c r="PXI221" s="407"/>
      <c r="PXJ221" s="407"/>
      <c r="PXK221" s="407"/>
      <c r="PXL221" s="407"/>
      <c r="PXM221" s="407"/>
      <c r="PXN221" s="407"/>
      <c r="PXO221" s="407"/>
      <c r="PXP221" s="407"/>
      <c r="PXQ221" s="407"/>
      <c r="PXR221" s="407"/>
      <c r="PXS221" s="407"/>
      <c r="PXT221" s="407"/>
      <c r="PXU221" s="407"/>
      <c r="PXV221" s="407"/>
      <c r="PXW221" s="407"/>
      <c r="PXX221" s="407"/>
      <c r="PXY221" s="407"/>
      <c r="PXZ221" s="407"/>
      <c r="PYA221" s="407"/>
      <c r="PYB221" s="407"/>
      <c r="PYC221" s="407"/>
      <c r="PYD221" s="407"/>
      <c r="PYE221" s="407"/>
      <c r="PYF221" s="407"/>
      <c r="PYG221" s="407"/>
      <c r="PYH221" s="407"/>
      <c r="PYI221" s="407"/>
      <c r="PYJ221" s="407"/>
      <c r="PYK221" s="407"/>
      <c r="PYL221" s="407"/>
      <c r="PYM221" s="407"/>
      <c r="PYN221" s="407"/>
      <c r="PYO221" s="407"/>
      <c r="PYP221" s="407"/>
      <c r="PYQ221" s="407"/>
      <c r="PYR221" s="407"/>
      <c r="PYS221" s="407"/>
      <c r="PYT221" s="407"/>
      <c r="PYU221" s="407"/>
      <c r="PYV221" s="407"/>
      <c r="PYW221" s="407"/>
      <c r="PYX221" s="407"/>
      <c r="PYY221" s="407"/>
      <c r="PYZ221" s="407"/>
      <c r="PZA221" s="407"/>
      <c r="PZB221" s="407"/>
      <c r="PZC221" s="407"/>
      <c r="PZD221" s="407"/>
      <c r="PZE221" s="407"/>
      <c r="PZF221" s="407"/>
      <c r="PZG221" s="407"/>
      <c r="PZH221" s="407"/>
      <c r="PZI221" s="407"/>
      <c r="PZJ221" s="407"/>
      <c r="PZK221" s="407"/>
      <c r="PZL221" s="407"/>
      <c r="PZM221" s="407"/>
      <c r="PZN221" s="407"/>
      <c r="PZO221" s="407"/>
      <c r="PZP221" s="407"/>
      <c r="PZQ221" s="407"/>
      <c r="PZR221" s="407"/>
      <c r="PZS221" s="407"/>
      <c r="PZT221" s="407"/>
      <c r="PZU221" s="407"/>
      <c r="PZV221" s="407"/>
      <c r="PZW221" s="407"/>
      <c r="PZX221" s="407"/>
      <c r="PZY221" s="407"/>
      <c r="PZZ221" s="407"/>
      <c r="QAA221" s="407"/>
      <c r="QAB221" s="407"/>
      <c r="QAC221" s="407"/>
      <c r="QAD221" s="407"/>
      <c r="QAE221" s="407"/>
      <c r="QAF221" s="407"/>
      <c r="QAG221" s="407"/>
      <c r="QAH221" s="407"/>
      <c r="QAI221" s="407"/>
      <c r="QAJ221" s="407"/>
      <c r="QAK221" s="407"/>
      <c r="QAL221" s="407"/>
      <c r="QAM221" s="407"/>
      <c r="QAN221" s="407"/>
      <c r="QAO221" s="407"/>
      <c r="QAP221" s="407"/>
      <c r="QAQ221" s="407"/>
      <c r="QAR221" s="407"/>
      <c r="QAS221" s="407"/>
      <c r="QAT221" s="407"/>
      <c r="QAU221" s="407"/>
      <c r="QAV221" s="407"/>
      <c r="QAW221" s="407"/>
      <c r="QAX221" s="407"/>
      <c r="QAY221" s="407"/>
      <c r="QAZ221" s="407"/>
      <c r="QBA221" s="407"/>
      <c r="QBB221" s="407"/>
      <c r="QBC221" s="407"/>
      <c r="QBD221" s="407"/>
      <c r="QBE221" s="407"/>
      <c r="QBF221" s="407"/>
      <c r="QBG221" s="407"/>
      <c r="QBH221" s="407"/>
      <c r="QBI221" s="407"/>
      <c r="QBJ221" s="407"/>
      <c r="QBK221" s="407"/>
      <c r="QBL221" s="407"/>
      <c r="QBM221" s="407"/>
      <c r="QBN221" s="407"/>
      <c r="QBO221" s="407"/>
      <c r="QBP221" s="407"/>
      <c r="QBQ221" s="407"/>
      <c r="QBR221" s="407"/>
      <c r="QBS221" s="407"/>
      <c r="QBT221" s="407"/>
      <c r="QBU221" s="407"/>
      <c r="QBV221" s="407"/>
      <c r="QBW221" s="407"/>
      <c r="QBX221" s="407"/>
      <c r="QBY221" s="407"/>
      <c r="QBZ221" s="407"/>
      <c r="QCA221" s="407"/>
      <c r="QCB221" s="407"/>
      <c r="QCC221" s="407"/>
      <c r="QCD221" s="407"/>
      <c r="QCE221" s="407"/>
      <c r="QCF221" s="407"/>
      <c r="QCG221" s="407"/>
      <c r="QCH221" s="407"/>
      <c r="QCI221" s="407"/>
      <c r="QCJ221" s="407"/>
      <c r="QCK221" s="407"/>
      <c r="QCL221" s="407"/>
      <c r="QCM221" s="407"/>
      <c r="QCN221" s="407"/>
      <c r="QCO221" s="407"/>
      <c r="QCP221" s="407"/>
      <c r="QCQ221" s="407"/>
      <c r="QCR221" s="407"/>
      <c r="QCS221" s="407"/>
      <c r="QCT221" s="407"/>
      <c r="QCU221" s="407"/>
      <c r="QCV221" s="407"/>
      <c r="QCW221" s="407"/>
      <c r="QCX221" s="407"/>
      <c r="QCY221" s="407"/>
      <c r="QCZ221" s="407"/>
      <c r="QDA221" s="407"/>
      <c r="QDB221" s="407"/>
      <c r="QDC221" s="407"/>
      <c r="QDD221" s="407"/>
      <c r="QDE221" s="407"/>
      <c r="QDF221" s="407"/>
      <c r="QDG221" s="407"/>
      <c r="QDH221" s="407"/>
      <c r="QDI221" s="407"/>
      <c r="QDJ221" s="407"/>
      <c r="QDK221" s="407"/>
      <c r="QDL221" s="407"/>
      <c r="QDM221" s="407"/>
      <c r="QDN221" s="407"/>
      <c r="QDO221" s="407"/>
      <c r="QDP221" s="407"/>
      <c r="QDQ221" s="407"/>
      <c r="QDR221" s="407"/>
      <c r="QDS221" s="407"/>
      <c r="QDT221" s="407"/>
      <c r="QDU221" s="407"/>
      <c r="QDV221" s="407"/>
      <c r="QDW221" s="407"/>
      <c r="QDX221" s="407"/>
      <c r="QDY221" s="407"/>
      <c r="QDZ221" s="407"/>
      <c r="QEA221" s="407"/>
      <c r="QEB221" s="407"/>
      <c r="QEC221" s="407"/>
      <c r="QED221" s="407"/>
      <c r="QEE221" s="407"/>
      <c r="QEF221" s="407"/>
      <c r="QEG221" s="407"/>
      <c r="QEH221" s="407"/>
      <c r="QEI221" s="407"/>
      <c r="QEJ221" s="407"/>
      <c r="QEK221" s="407"/>
      <c r="QEL221" s="407"/>
      <c r="QEM221" s="407"/>
      <c r="QEN221" s="407"/>
      <c r="QEO221" s="407"/>
      <c r="QEP221" s="407"/>
      <c r="QEQ221" s="407"/>
      <c r="QER221" s="407"/>
      <c r="QES221" s="407"/>
      <c r="QET221" s="407"/>
      <c r="QEU221" s="407"/>
      <c r="QEV221" s="407"/>
      <c r="QEW221" s="407"/>
      <c r="QEX221" s="407"/>
      <c r="QEY221" s="407"/>
      <c r="QEZ221" s="407"/>
      <c r="QFA221" s="407"/>
      <c r="QFB221" s="407"/>
      <c r="QFC221" s="407"/>
      <c r="QFD221" s="407"/>
      <c r="QFE221" s="407"/>
      <c r="QFF221" s="407"/>
      <c r="QFG221" s="407"/>
      <c r="QFH221" s="407"/>
      <c r="QFI221" s="407"/>
      <c r="QFJ221" s="407"/>
      <c r="QFK221" s="407"/>
      <c r="QFL221" s="407"/>
      <c r="QFM221" s="407"/>
      <c r="QFN221" s="407"/>
      <c r="QFO221" s="407"/>
      <c r="QFP221" s="407"/>
      <c r="QFQ221" s="407"/>
      <c r="QFR221" s="407"/>
      <c r="QFS221" s="407"/>
      <c r="QFT221" s="407"/>
      <c r="QFU221" s="407"/>
      <c r="QFV221" s="407"/>
      <c r="QFW221" s="407"/>
      <c r="QFX221" s="407"/>
      <c r="QFY221" s="407"/>
      <c r="QFZ221" s="407"/>
      <c r="QGA221" s="407"/>
      <c r="QGB221" s="407"/>
      <c r="QGC221" s="407"/>
      <c r="QGD221" s="407"/>
      <c r="QGE221" s="407"/>
      <c r="QGF221" s="407"/>
      <c r="QGG221" s="407"/>
      <c r="QGH221" s="407"/>
      <c r="QGI221" s="407"/>
      <c r="QGJ221" s="407"/>
      <c r="QGK221" s="407"/>
      <c r="QGL221" s="407"/>
      <c r="QGM221" s="407"/>
      <c r="QGN221" s="407"/>
      <c r="QGO221" s="407"/>
      <c r="QGP221" s="407"/>
      <c r="QGQ221" s="407"/>
      <c r="QGR221" s="407"/>
      <c r="QGS221" s="407"/>
      <c r="QGT221" s="407"/>
      <c r="QGU221" s="407"/>
      <c r="QGV221" s="407"/>
      <c r="QGW221" s="407"/>
      <c r="QGX221" s="407"/>
      <c r="QGY221" s="407"/>
      <c r="QGZ221" s="407"/>
      <c r="QHA221" s="407"/>
      <c r="QHB221" s="407"/>
      <c r="QHC221" s="407"/>
      <c r="QHD221" s="407"/>
      <c r="QHE221" s="407"/>
      <c r="QHF221" s="407"/>
      <c r="QHG221" s="407"/>
      <c r="QHH221" s="407"/>
      <c r="QHI221" s="407"/>
      <c r="QHJ221" s="407"/>
      <c r="QHK221" s="407"/>
      <c r="QHL221" s="407"/>
      <c r="QHM221" s="407"/>
      <c r="QHN221" s="407"/>
      <c r="QHO221" s="407"/>
      <c r="QHP221" s="407"/>
      <c r="QHQ221" s="407"/>
      <c r="QHR221" s="407"/>
      <c r="QHS221" s="407"/>
      <c r="QHT221" s="407"/>
      <c r="QHU221" s="407"/>
      <c r="QHV221" s="407"/>
      <c r="QHW221" s="407"/>
      <c r="QHX221" s="407"/>
      <c r="QHY221" s="407"/>
      <c r="QHZ221" s="407"/>
      <c r="QIA221" s="407"/>
      <c r="QIB221" s="407"/>
      <c r="QIC221" s="407"/>
      <c r="QID221" s="407"/>
      <c r="QIE221" s="407"/>
      <c r="QIF221" s="407"/>
      <c r="QIG221" s="407"/>
      <c r="QIH221" s="407"/>
      <c r="QII221" s="407"/>
      <c r="QIJ221" s="407"/>
      <c r="QIK221" s="407"/>
      <c r="QIL221" s="407"/>
      <c r="QIM221" s="407"/>
      <c r="QIN221" s="407"/>
      <c r="QIO221" s="407"/>
      <c r="QIP221" s="407"/>
      <c r="QIQ221" s="407"/>
      <c r="QIR221" s="407"/>
      <c r="QIS221" s="407"/>
      <c r="QIT221" s="407"/>
      <c r="QIU221" s="407"/>
      <c r="QIV221" s="407"/>
      <c r="QIW221" s="407"/>
      <c r="QIX221" s="407"/>
      <c r="QIY221" s="407"/>
      <c r="QIZ221" s="407"/>
      <c r="QJA221" s="407"/>
      <c r="QJB221" s="407"/>
      <c r="QJC221" s="407"/>
      <c r="QJD221" s="407"/>
      <c r="QJE221" s="407"/>
      <c r="QJF221" s="407"/>
      <c r="QJG221" s="407"/>
      <c r="QJH221" s="407"/>
      <c r="QJI221" s="407"/>
      <c r="QJJ221" s="407"/>
      <c r="QJK221" s="407"/>
      <c r="QJL221" s="407"/>
      <c r="QJM221" s="407"/>
      <c r="QJN221" s="407"/>
      <c r="QJO221" s="407"/>
      <c r="QJP221" s="407"/>
      <c r="QJQ221" s="407"/>
      <c r="QJR221" s="407"/>
      <c r="QJS221" s="407"/>
      <c r="QJT221" s="407"/>
      <c r="QJU221" s="407"/>
      <c r="QJV221" s="407"/>
      <c r="QJW221" s="407"/>
      <c r="QJX221" s="407"/>
      <c r="QJY221" s="407"/>
      <c r="QJZ221" s="407"/>
      <c r="QKA221" s="407"/>
      <c r="QKB221" s="407"/>
      <c r="QKC221" s="407"/>
      <c r="QKD221" s="407"/>
      <c r="QKE221" s="407"/>
      <c r="QKF221" s="407"/>
      <c r="QKG221" s="407"/>
      <c r="QKH221" s="407"/>
      <c r="QKI221" s="407"/>
      <c r="QKJ221" s="407"/>
      <c r="QKK221" s="407"/>
      <c r="QKL221" s="407"/>
      <c r="QKM221" s="407"/>
      <c r="QKN221" s="407"/>
      <c r="QKO221" s="407"/>
      <c r="QKP221" s="407"/>
      <c r="QKQ221" s="407"/>
      <c r="QKR221" s="407"/>
      <c r="QKS221" s="407"/>
      <c r="QKT221" s="407"/>
      <c r="QKU221" s="407"/>
      <c r="QKV221" s="407"/>
      <c r="QKW221" s="407"/>
      <c r="QKX221" s="407"/>
      <c r="QKY221" s="407"/>
      <c r="QKZ221" s="407"/>
      <c r="QLA221" s="407"/>
      <c r="QLB221" s="407"/>
      <c r="QLC221" s="407"/>
      <c r="QLD221" s="407"/>
      <c r="QLE221" s="407"/>
      <c r="QLF221" s="407"/>
      <c r="QLG221" s="407"/>
      <c r="QLH221" s="407"/>
      <c r="QLI221" s="407"/>
      <c r="QLJ221" s="407"/>
      <c r="QLK221" s="407"/>
      <c r="QLL221" s="407"/>
      <c r="QLM221" s="407"/>
      <c r="QLN221" s="407"/>
      <c r="QLO221" s="407"/>
      <c r="QLP221" s="407"/>
      <c r="QLQ221" s="407"/>
      <c r="QLR221" s="407"/>
      <c r="QLS221" s="407"/>
      <c r="QLT221" s="407"/>
      <c r="QLU221" s="407"/>
      <c r="QLV221" s="407"/>
      <c r="QLW221" s="407"/>
      <c r="QLX221" s="407"/>
      <c r="QLY221" s="407"/>
      <c r="QLZ221" s="407"/>
      <c r="QMA221" s="407"/>
      <c r="QMB221" s="407"/>
      <c r="QMC221" s="407"/>
      <c r="QMD221" s="407"/>
      <c r="QME221" s="407"/>
      <c r="QMF221" s="407"/>
      <c r="QMG221" s="407"/>
      <c r="QMH221" s="407"/>
      <c r="QMI221" s="407"/>
      <c r="QMJ221" s="407"/>
      <c r="QMK221" s="407"/>
      <c r="QML221" s="407"/>
      <c r="QMM221" s="407"/>
      <c r="QMN221" s="407"/>
      <c r="QMO221" s="407"/>
      <c r="QMP221" s="407"/>
      <c r="QMQ221" s="407"/>
      <c r="QMR221" s="407"/>
      <c r="QMS221" s="407"/>
      <c r="QMT221" s="407"/>
      <c r="QMU221" s="407"/>
      <c r="QMV221" s="407"/>
      <c r="QMW221" s="407"/>
      <c r="QMX221" s="407"/>
      <c r="QMY221" s="407"/>
      <c r="QMZ221" s="407"/>
      <c r="QNA221" s="407"/>
      <c r="QNB221" s="407"/>
      <c r="QNC221" s="407"/>
      <c r="QND221" s="407"/>
      <c r="QNE221" s="407"/>
      <c r="QNF221" s="407"/>
      <c r="QNG221" s="407"/>
      <c r="QNH221" s="407"/>
      <c r="QNI221" s="407"/>
      <c r="QNJ221" s="407"/>
      <c r="QNK221" s="407"/>
      <c r="QNL221" s="407"/>
      <c r="QNM221" s="407"/>
      <c r="QNN221" s="407"/>
      <c r="QNO221" s="407"/>
      <c r="QNP221" s="407"/>
      <c r="QNQ221" s="407"/>
      <c r="QNR221" s="407"/>
      <c r="QNS221" s="407"/>
      <c r="QNT221" s="407"/>
      <c r="QNU221" s="407"/>
      <c r="QNV221" s="407"/>
      <c r="QNW221" s="407"/>
      <c r="QNX221" s="407"/>
      <c r="QNY221" s="407"/>
      <c r="QNZ221" s="407"/>
      <c r="QOA221" s="407"/>
      <c r="QOB221" s="407"/>
      <c r="QOC221" s="407"/>
      <c r="QOD221" s="407"/>
      <c r="QOE221" s="407"/>
      <c r="QOF221" s="407"/>
      <c r="QOG221" s="407"/>
      <c r="QOH221" s="407"/>
      <c r="QOI221" s="407"/>
      <c r="QOJ221" s="407"/>
      <c r="QOK221" s="407"/>
      <c r="QOL221" s="407"/>
      <c r="QOM221" s="407"/>
      <c r="QON221" s="407"/>
      <c r="QOO221" s="407"/>
      <c r="QOP221" s="407"/>
      <c r="QOQ221" s="407"/>
      <c r="QOR221" s="407"/>
      <c r="QOS221" s="407"/>
      <c r="QOT221" s="407"/>
      <c r="QOU221" s="407"/>
      <c r="QOV221" s="407"/>
      <c r="QOW221" s="407"/>
      <c r="QOX221" s="407"/>
      <c r="QOY221" s="407"/>
      <c r="QOZ221" s="407"/>
      <c r="QPA221" s="407"/>
      <c r="QPB221" s="407"/>
      <c r="QPC221" s="407"/>
      <c r="QPD221" s="407"/>
      <c r="QPE221" s="407"/>
      <c r="QPF221" s="407"/>
      <c r="QPG221" s="407"/>
      <c r="QPH221" s="407"/>
      <c r="QPI221" s="407"/>
      <c r="QPJ221" s="407"/>
      <c r="QPK221" s="407"/>
      <c r="QPL221" s="407"/>
      <c r="QPM221" s="407"/>
      <c r="QPN221" s="407"/>
      <c r="QPO221" s="407"/>
      <c r="QPP221" s="407"/>
      <c r="QPQ221" s="407"/>
      <c r="QPR221" s="407"/>
      <c r="QPS221" s="407"/>
      <c r="QPT221" s="407"/>
      <c r="QPU221" s="407"/>
      <c r="QPV221" s="407"/>
      <c r="QPW221" s="407"/>
      <c r="QPX221" s="407"/>
      <c r="QPY221" s="407"/>
      <c r="QPZ221" s="407"/>
      <c r="QQA221" s="407"/>
      <c r="QQB221" s="407"/>
      <c r="QQC221" s="407"/>
      <c r="QQD221" s="407"/>
      <c r="QQE221" s="407"/>
      <c r="QQF221" s="407"/>
      <c r="QQG221" s="407"/>
      <c r="QQH221" s="407"/>
      <c r="QQI221" s="407"/>
      <c r="QQJ221" s="407"/>
      <c r="QQK221" s="407"/>
      <c r="QQL221" s="407"/>
      <c r="QQM221" s="407"/>
      <c r="QQN221" s="407"/>
      <c r="QQO221" s="407"/>
      <c r="QQP221" s="407"/>
      <c r="QQQ221" s="407"/>
      <c r="QQR221" s="407"/>
      <c r="QQS221" s="407"/>
      <c r="QQT221" s="407"/>
      <c r="QQU221" s="407"/>
      <c r="QQV221" s="407"/>
      <c r="QQW221" s="407"/>
      <c r="QQX221" s="407"/>
      <c r="QQY221" s="407"/>
      <c r="QQZ221" s="407"/>
      <c r="QRA221" s="407"/>
      <c r="QRB221" s="407"/>
      <c r="QRC221" s="407"/>
      <c r="QRD221" s="407"/>
      <c r="QRE221" s="407"/>
      <c r="QRF221" s="407"/>
      <c r="QRG221" s="407"/>
      <c r="QRH221" s="407"/>
      <c r="QRI221" s="407"/>
      <c r="QRJ221" s="407"/>
      <c r="QRK221" s="407"/>
      <c r="QRL221" s="407"/>
      <c r="QRM221" s="407"/>
      <c r="QRN221" s="407"/>
      <c r="QRO221" s="407"/>
      <c r="QRP221" s="407"/>
      <c r="QRQ221" s="407"/>
      <c r="QRR221" s="407"/>
      <c r="QRS221" s="407"/>
      <c r="QRT221" s="407"/>
      <c r="QRU221" s="407"/>
      <c r="QRV221" s="407"/>
      <c r="QRW221" s="407"/>
      <c r="QRX221" s="407"/>
      <c r="QRY221" s="407"/>
      <c r="QRZ221" s="407"/>
      <c r="QSA221" s="407"/>
      <c r="QSB221" s="407"/>
      <c r="QSC221" s="407"/>
      <c r="QSD221" s="407"/>
      <c r="QSE221" s="407"/>
      <c r="QSF221" s="407"/>
      <c r="QSG221" s="407"/>
      <c r="QSH221" s="407"/>
      <c r="QSI221" s="407"/>
      <c r="QSJ221" s="407"/>
      <c r="QSK221" s="407"/>
      <c r="QSL221" s="407"/>
      <c r="QSM221" s="407"/>
      <c r="QSN221" s="407"/>
      <c r="QSO221" s="407"/>
      <c r="QSP221" s="407"/>
      <c r="QSQ221" s="407"/>
      <c r="QSR221" s="407"/>
      <c r="QSS221" s="407"/>
      <c r="QST221" s="407"/>
      <c r="QSU221" s="407"/>
      <c r="QSV221" s="407"/>
      <c r="QSW221" s="407"/>
      <c r="QSX221" s="407"/>
      <c r="QSY221" s="407"/>
      <c r="QSZ221" s="407"/>
      <c r="QTA221" s="407"/>
      <c r="QTB221" s="407"/>
      <c r="QTC221" s="407"/>
      <c r="QTD221" s="407"/>
      <c r="QTE221" s="407"/>
      <c r="QTF221" s="407"/>
      <c r="QTG221" s="407"/>
      <c r="QTH221" s="407"/>
      <c r="QTI221" s="407"/>
      <c r="QTJ221" s="407"/>
      <c r="QTK221" s="407"/>
      <c r="QTL221" s="407"/>
      <c r="QTM221" s="407"/>
      <c r="QTN221" s="407"/>
      <c r="QTO221" s="407"/>
      <c r="QTP221" s="407"/>
      <c r="QTQ221" s="407"/>
      <c r="QTR221" s="407"/>
      <c r="QTS221" s="407"/>
      <c r="QTT221" s="407"/>
      <c r="QTU221" s="407"/>
      <c r="QTV221" s="407"/>
      <c r="QTW221" s="407"/>
      <c r="QTX221" s="407"/>
      <c r="QTY221" s="407"/>
      <c r="QTZ221" s="407"/>
      <c r="QUA221" s="407"/>
      <c r="QUB221" s="407"/>
      <c r="QUC221" s="407"/>
      <c r="QUD221" s="407"/>
      <c r="QUE221" s="407"/>
      <c r="QUF221" s="407"/>
      <c r="QUG221" s="407"/>
      <c r="QUH221" s="407"/>
      <c r="QUI221" s="407"/>
      <c r="QUJ221" s="407"/>
      <c r="QUK221" s="407"/>
      <c r="QUL221" s="407"/>
      <c r="QUM221" s="407"/>
      <c r="QUN221" s="407"/>
      <c r="QUO221" s="407"/>
      <c r="QUP221" s="407"/>
      <c r="QUQ221" s="407"/>
      <c r="QUR221" s="407"/>
      <c r="QUS221" s="407"/>
      <c r="QUT221" s="407"/>
      <c r="QUU221" s="407"/>
      <c r="QUV221" s="407"/>
      <c r="QUW221" s="407"/>
      <c r="QUX221" s="407"/>
      <c r="QUY221" s="407"/>
      <c r="QUZ221" s="407"/>
      <c r="QVA221" s="407"/>
      <c r="QVB221" s="407"/>
      <c r="QVC221" s="407"/>
      <c r="QVD221" s="407"/>
      <c r="QVE221" s="407"/>
      <c r="QVF221" s="407"/>
      <c r="QVG221" s="407"/>
      <c r="QVH221" s="407"/>
      <c r="QVI221" s="407"/>
      <c r="QVJ221" s="407"/>
      <c r="QVK221" s="407"/>
      <c r="QVL221" s="407"/>
      <c r="QVM221" s="407"/>
      <c r="QVN221" s="407"/>
      <c r="QVO221" s="407"/>
      <c r="QVP221" s="407"/>
      <c r="QVQ221" s="407"/>
      <c r="QVR221" s="407"/>
      <c r="QVS221" s="407"/>
      <c r="QVT221" s="407"/>
      <c r="QVU221" s="407"/>
      <c r="QVV221" s="407"/>
      <c r="QVW221" s="407"/>
      <c r="QVX221" s="407"/>
      <c r="QVY221" s="407"/>
      <c r="QVZ221" s="407"/>
      <c r="QWA221" s="407"/>
      <c r="QWB221" s="407"/>
      <c r="QWC221" s="407"/>
      <c r="QWD221" s="407"/>
      <c r="QWE221" s="407"/>
      <c r="QWF221" s="407"/>
      <c r="QWG221" s="407"/>
      <c r="QWH221" s="407"/>
      <c r="QWI221" s="407"/>
      <c r="QWJ221" s="407"/>
      <c r="QWK221" s="407"/>
      <c r="QWL221" s="407"/>
      <c r="QWM221" s="407"/>
      <c r="QWN221" s="407"/>
      <c r="QWO221" s="407"/>
      <c r="QWP221" s="407"/>
      <c r="QWQ221" s="407"/>
      <c r="QWR221" s="407"/>
      <c r="QWS221" s="407"/>
      <c r="QWT221" s="407"/>
      <c r="QWU221" s="407"/>
      <c r="QWV221" s="407"/>
      <c r="QWW221" s="407"/>
      <c r="QWX221" s="407"/>
      <c r="QWY221" s="407"/>
      <c r="QWZ221" s="407"/>
      <c r="QXA221" s="407"/>
      <c r="QXB221" s="407"/>
      <c r="QXC221" s="407"/>
      <c r="QXD221" s="407"/>
      <c r="QXE221" s="407"/>
      <c r="QXF221" s="407"/>
      <c r="QXG221" s="407"/>
      <c r="QXH221" s="407"/>
      <c r="QXI221" s="407"/>
      <c r="QXJ221" s="407"/>
      <c r="QXK221" s="407"/>
      <c r="QXL221" s="407"/>
      <c r="QXM221" s="407"/>
      <c r="QXN221" s="407"/>
      <c r="QXO221" s="407"/>
      <c r="QXP221" s="407"/>
      <c r="QXQ221" s="407"/>
      <c r="QXR221" s="407"/>
      <c r="QXS221" s="407"/>
      <c r="QXT221" s="407"/>
      <c r="QXU221" s="407"/>
      <c r="QXV221" s="407"/>
      <c r="QXW221" s="407"/>
      <c r="QXX221" s="407"/>
      <c r="QXY221" s="407"/>
      <c r="QXZ221" s="407"/>
      <c r="QYA221" s="407"/>
      <c r="QYB221" s="407"/>
      <c r="QYC221" s="407"/>
      <c r="QYD221" s="407"/>
      <c r="QYE221" s="407"/>
      <c r="QYF221" s="407"/>
      <c r="QYG221" s="407"/>
      <c r="QYH221" s="407"/>
      <c r="QYI221" s="407"/>
      <c r="QYJ221" s="407"/>
      <c r="QYK221" s="407"/>
      <c r="QYL221" s="407"/>
      <c r="QYM221" s="407"/>
      <c r="QYN221" s="407"/>
      <c r="QYO221" s="407"/>
      <c r="QYP221" s="407"/>
      <c r="QYQ221" s="407"/>
      <c r="QYR221" s="407"/>
      <c r="QYS221" s="407"/>
      <c r="QYT221" s="407"/>
      <c r="QYU221" s="407"/>
      <c r="QYV221" s="407"/>
      <c r="QYW221" s="407"/>
      <c r="QYX221" s="407"/>
      <c r="QYY221" s="407"/>
      <c r="QYZ221" s="407"/>
      <c r="QZA221" s="407"/>
      <c r="QZB221" s="407"/>
      <c r="QZC221" s="407"/>
      <c r="QZD221" s="407"/>
      <c r="QZE221" s="407"/>
      <c r="QZF221" s="407"/>
      <c r="QZG221" s="407"/>
      <c r="QZH221" s="407"/>
      <c r="QZI221" s="407"/>
      <c r="QZJ221" s="407"/>
      <c r="QZK221" s="407"/>
      <c r="QZL221" s="407"/>
      <c r="QZM221" s="407"/>
      <c r="QZN221" s="407"/>
      <c r="QZO221" s="407"/>
      <c r="QZP221" s="407"/>
      <c r="QZQ221" s="407"/>
      <c r="QZR221" s="407"/>
      <c r="QZS221" s="407"/>
      <c r="QZT221" s="407"/>
      <c r="QZU221" s="407"/>
      <c r="QZV221" s="407"/>
      <c r="QZW221" s="407"/>
      <c r="QZX221" s="407"/>
      <c r="QZY221" s="407"/>
      <c r="QZZ221" s="407"/>
      <c r="RAA221" s="407"/>
      <c r="RAB221" s="407"/>
      <c r="RAC221" s="407"/>
      <c r="RAD221" s="407"/>
      <c r="RAE221" s="407"/>
      <c r="RAF221" s="407"/>
      <c r="RAG221" s="407"/>
      <c r="RAH221" s="407"/>
      <c r="RAI221" s="407"/>
      <c r="RAJ221" s="407"/>
      <c r="RAK221" s="407"/>
      <c r="RAL221" s="407"/>
      <c r="RAM221" s="407"/>
      <c r="RAN221" s="407"/>
      <c r="RAO221" s="407"/>
      <c r="RAP221" s="407"/>
      <c r="RAQ221" s="407"/>
      <c r="RAR221" s="407"/>
      <c r="RAS221" s="407"/>
      <c r="RAT221" s="407"/>
      <c r="RAU221" s="407"/>
      <c r="RAV221" s="407"/>
      <c r="RAW221" s="407"/>
      <c r="RAX221" s="407"/>
      <c r="RAY221" s="407"/>
      <c r="RAZ221" s="407"/>
      <c r="RBA221" s="407"/>
      <c r="RBB221" s="407"/>
      <c r="RBC221" s="407"/>
      <c r="RBD221" s="407"/>
      <c r="RBE221" s="407"/>
      <c r="RBF221" s="407"/>
      <c r="RBG221" s="407"/>
      <c r="RBH221" s="407"/>
      <c r="RBI221" s="407"/>
      <c r="RBJ221" s="407"/>
      <c r="RBK221" s="407"/>
      <c r="RBL221" s="407"/>
      <c r="RBM221" s="407"/>
      <c r="RBN221" s="407"/>
      <c r="RBO221" s="407"/>
      <c r="RBP221" s="407"/>
      <c r="RBQ221" s="407"/>
      <c r="RBR221" s="407"/>
      <c r="RBS221" s="407"/>
      <c r="RBT221" s="407"/>
      <c r="RBU221" s="407"/>
      <c r="RBV221" s="407"/>
      <c r="RBW221" s="407"/>
      <c r="RBX221" s="407"/>
      <c r="RBY221" s="407"/>
      <c r="RBZ221" s="407"/>
      <c r="RCA221" s="407"/>
      <c r="RCB221" s="407"/>
      <c r="RCC221" s="407"/>
      <c r="RCD221" s="407"/>
      <c r="RCE221" s="407"/>
      <c r="RCF221" s="407"/>
      <c r="RCG221" s="407"/>
      <c r="RCH221" s="407"/>
      <c r="RCI221" s="407"/>
      <c r="RCJ221" s="407"/>
      <c r="RCK221" s="407"/>
      <c r="RCL221" s="407"/>
      <c r="RCM221" s="407"/>
      <c r="RCN221" s="407"/>
      <c r="RCO221" s="407"/>
      <c r="RCP221" s="407"/>
      <c r="RCQ221" s="407"/>
      <c r="RCR221" s="407"/>
      <c r="RCS221" s="407"/>
      <c r="RCT221" s="407"/>
      <c r="RCU221" s="407"/>
      <c r="RCV221" s="407"/>
      <c r="RCW221" s="407"/>
      <c r="RCX221" s="407"/>
      <c r="RCY221" s="407"/>
      <c r="RCZ221" s="407"/>
      <c r="RDA221" s="407"/>
      <c r="RDB221" s="407"/>
      <c r="RDC221" s="407"/>
      <c r="RDD221" s="407"/>
      <c r="RDE221" s="407"/>
      <c r="RDF221" s="407"/>
      <c r="RDG221" s="407"/>
      <c r="RDH221" s="407"/>
      <c r="RDI221" s="407"/>
      <c r="RDJ221" s="407"/>
      <c r="RDK221" s="407"/>
      <c r="RDL221" s="407"/>
      <c r="RDM221" s="407"/>
      <c r="RDN221" s="407"/>
      <c r="RDO221" s="407"/>
      <c r="RDP221" s="407"/>
      <c r="RDQ221" s="407"/>
      <c r="RDR221" s="407"/>
      <c r="RDS221" s="407"/>
      <c r="RDT221" s="407"/>
      <c r="RDU221" s="407"/>
      <c r="RDV221" s="407"/>
      <c r="RDW221" s="407"/>
      <c r="RDX221" s="407"/>
      <c r="RDY221" s="407"/>
      <c r="RDZ221" s="407"/>
      <c r="REA221" s="407"/>
      <c r="REB221" s="407"/>
      <c r="REC221" s="407"/>
      <c r="RED221" s="407"/>
      <c r="REE221" s="407"/>
      <c r="REF221" s="407"/>
      <c r="REG221" s="407"/>
      <c r="REH221" s="407"/>
      <c r="REI221" s="407"/>
      <c r="REJ221" s="407"/>
      <c r="REK221" s="407"/>
      <c r="REL221" s="407"/>
      <c r="REM221" s="407"/>
      <c r="REN221" s="407"/>
      <c r="REO221" s="407"/>
      <c r="REP221" s="407"/>
      <c r="REQ221" s="407"/>
      <c r="RER221" s="407"/>
      <c r="RES221" s="407"/>
      <c r="RET221" s="407"/>
      <c r="REU221" s="407"/>
      <c r="REV221" s="407"/>
      <c r="REW221" s="407"/>
      <c r="REX221" s="407"/>
      <c r="REY221" s="407"/>
      <c r="REZ221" s="407"/>
      <c r="RFA221" s="407"/>
      <c r="RFB221" s="407"/>
      <c r="RFC221" s="407"/>
      <c r="RFD221" s="407"/>
      <c r="RFE221" s="407"/>
      <c r="RFF221" s="407"/>
      <c r="RFG221" s="407"/>
      <c r="RFH221" s="407"/>
      <c r="RFI221" s="407"/>
      <c r="RFJ221" s="407"/>
      <c r="RFK221" s="407"/>
      <c r="RFL221" s="407"/>
      <c r="RFM221" s="407"/>
      <c r="RFN221" s="407"/>
      <c r="RFO221" s="407"/>
      <c r="RFP221" s="407"/>
      <c r="RFQ221" s="407"/>
      <c r="RFR221" s="407"/>
      <c r="RFS221" s="407"/>
      <c r="RFT221" s="407"/>
      <c r="RFU221" s="407"/>
      <c r="RFV221" s="407"/>
      <c r="RFW221" s="407"/>
      <c r="RFX221" s="407"/>
      <c r="RFY221" s="407"/>
      <c r="RFZ221" s="407"/>
      <c r="RGA221" s="407"/>
      <c r="RGB221" s="407"/>
      <c r="RGC221" s="407"/>
      <c r="RGD221" s="407"/>
      <c r="RGE221" s="407"/>
      <c r="RGF221" s="407"/>
      <c r="RGG221" s="407"/>
      <c r="RGH221" s="407"/>
      <c r="RGI221" s="407"/>
      <c r="RGJ221" s="407"/>
      <c r="RGK221" s="407"/>
      <c r="RGL221" s="407"/>
      <c r="RGM221" s="407"/>
      <c r="RGN221" s="407"/>
      <c r="RGO221" s="407"/>
      <c r="RGP221" s="407"/>
      <c r="RGQ221" s="407"/>
      <c r="RGR221" s="407"/>
      <c r="RGS221" s="407"/>
      <c r="RGT221" s="407"/>
      <c r="RGU221" s="407"/>
      <c r="RGV221" s="407"/>
      <c r="RGW221" s="407"/>
      <c r="RGX221" s="407"/>
      <c r="RGY221" s="407"/>
      <c r="RGZ221" s="407"/>
      <c r="RHA221" s="407"/>
      <c r="RHB221" s="407"/>
      <c r="RHC221" s="407"/>
      <c r="RHD221" s="407"/>
      <c r="RHE221" s="407"/>
      <c r="RHF221" s="407"/>
      <c r="RHG221" s="407"/>
      <c r="RHH221" s="407"/>
      <c r="RHI221" s="407"/>
      <c r="RHJ221" s="407"/>
      <c r="RHK221" s="407"/>
      <c r="RHL221" s="407"/>
      <c r="RHM221" s="407"/>
      <c r="RHN221" s="407"/>
      <c r="RHO221" s="407"/>
      <c r="RHP221" s="407"/>
      <c r="RHQ221" s="407"/>
      <c r="RHR221" s="407"/>
      <c r="RHS221" s="407"/>
      <c r="RHT221" s="407"/>
      <c r="RHU221" s="407"/>
      <c r="RHV221" s="407"/>
      <c r="RHW221" s="407"/>
      <c r="RHX221" s="407"/>
      <c r="RHY221" s="407"/>
      <c r="RHZ221" s="407"/>
      <c r="RIA221" s="407"/>
      <c r="RIB221" s="407"/>
      <c r="RIC221" s="407"/>
      <c r="RID221" s="407"/>
      <c r="RIE221" s="407"/>
      <c r="RIF221" s="407"/>
      <c r="RIG221" s="407"/>
      <c r="RIH221" s="407"/>
      <c r="RII221" s="407"/>
      <c r="RIJ221" s="407"/>
      <c r="RIK221" s="407"/>
      <c r="RIL221" s="407"/>
      <c r="RIM221" s="407"/>
      <c r="RIN221" s="407"/>
      <c r="RIO221" s="407"/>
      <c r="RIP221" s="407"/>
      <c r="RIQ221" s="407"/>
      <c r="RIR221" s="407"/>
      <c r="RIS221" s="407"/>
      <c r="RIT221" s="407"/>
      <c r="RIU221" s="407"/>
      <c r="RIV221" s="407"/>
      <c r="RIW221" s="407"/>
      <c r="RIX221" s="407"/>
      <c r="RIY221" s="407"/>
      <c r="RIZ221" s="407"/>
      <c r="RJA221" s="407"/>
      <c r="RJB221" s="407"/>
      <c r="RJC221" s="407"/>
      <c r="RJD221" s="407"/>
      <c r="RJE221" s="407"/>
      <c r="RJF221" s="407"/>
      <c r="RJG221" s="407"/>
      <c r="RJH221" s="407"/>
      <c r="RJI221" s="407"/>
      <c r="RJJ221" s="407"/>
      <c r="RJK221" s="407"/>
      <c r="RJL221" s="407"/>
      <c r="RJM221" s="407"/>
      <c r="RJN221" s="407"/>
      <c r="RJO221" s="407"/>
      <c r="RJP221" s="407"/>
      <c r="RJQ221" s="407"/>
      <c r="RJR221" s="407"/>
      <c r="RJS221" s="407"/>
      <c r="RJT221" s="407"/>
      <c r="RJU221" s="407"/>
      <c r="RJV221" s="407"/>
      <c r="RJW221" s="407"/>
      <c r="RJX221" s="407"/>
      <c r="RJY221" s="407"/>
      <c r="RJZ221" s="407"/>
      <c r="RKA221" s="407"/>
      <c r="RKB221" s="407"/>
      <c r="RKC221" s="407"/>
      <c r="RKD221" s="407"/>
      <c r="RKE221" s="407"/>
      <c r="RKF221" s="407"/>
      <c r="RKG221" s="407"/>
      <c r="RKH221" s="407"/>
      <c r="RKI221" s="407"/>
      <c r="RKJ221" s="407"/>
      <c r="RKK221" s="407"/>
      <c r="RKL221" s="407"/>
      <c r="RKM221" s="407"/>
      <c r="RKN221" s="407"/>
      <c r="RKO221" s="407"/>
      <c r="RKP221" s="407"/>
      <c r="RKQ221" s="407"/>
      <c r="RKR221" s="407"/>
      <c r="RKS221" s="407"/>
      <c r="RKT221" s="407"/>
      <c r="RKU221" s="407"/>
      <c r="RKV221" s="407"/>
      <c r="RKW221" s="407"/>
      <c r="RKX221" s="407"/>
      <c r="RKY221" s="407"/>
      <c r="RKZ221" s="407"/>
      <c r="RLA221" s="407"/>
      <c r="RLB221" s="407"/>
      <c r="RLC221" s="407"/>
      <c r="RLD221" s="407"/>
      <c r="RLE221" s="407"/>
      <c r="RLF221" s="407"/>
      <c r="RLG221" s="407"/>
      <c r="RLH221" s="407"/>
      <c r="RLI221" s="407"/>
      <c r="RLJ221" s="407"/>
      <c r="RLK221" s="407"/>
      <c r="RLL221" s="407"/>
      <c r="RLM221" s="407"/>
      <c r="RLN221" s="407"/>
      <c r="RLO221" s="407"/>
      <c r="RLP221" s="407"/>
      <c r="RLQ221" s="407"/>
      <c r="RLR221" s="407"/>
      <c r="RLS221" s="407"/>
      <c r="RLT221" s="407"/>
      <c r="RLU221" s="407"/>
      <c r="RLV221" s="407"/>
      <c r="RLW221" s="407"/>
      <c r="RLX221" s="407"/>
      <c r="RLY221" s="407"/>
      <c r="RLZ221" s="407"/>
      <c r="RMA221" s="407"/>
      <c r="RMB221" s="407"/>
      <c r="RMC221" s="407"/>
      <c r="RMD221" s="407"/>
      <c r="RME221" s="407"/>
      <c r="RMF221" s="407"/>
      <c r="RMG221" s="407"/>
      <c r="RMH221" s="407"/>
      <c r="RMI221" s="407"/>
      <c r="RMJ221" s="407"/>
      <c r="RMK221" s="407"/>
      <c r="RML221" s="407"/>
      <c r="RMM221" s="407"/>
      <c r="RMN221" s="407"/>
      <c r="RMO221" s="407"/>
      <c r="RMP221" s="407"/>
      <c r="RMQ221" s="407"/>
      <c r="RMR221" s="407"/>
      <c r="RMS221" s="407"/>
      <c r="RMT221" s="407"/>
      <c r="RMU221" s="407"/>
      <c r="RMV221" s="407"/>
      <c r="RMW221" s="407"/>
      <c r="RMX221" s="407"/>
      <c r="RMY221" s="407"/>
      <c r="RMZ221" s="407"/>
      <c r="RNA221" s="407"/>
      <c r="RNB221" s="407"/>
      <c r="RNC221" s="407"/>
      <c r="RND221" s="407"/>
      <c r="RNE221" s="407"/>
      <c r="RNF221" s="407"/>
      <c r="RNG221" s="407"/>
      <c r="RNH221" s="407"/>
      <c r="RNI221" s="407"/>
      <c r="RNJ221" s="407"/>
      <c r="RNK221" s="407"/>
      <c r="RNL221" s="407"/>
      <c r="RNM221" s="407"/>
      <c r="RNN221" s="407"/>
      <c r="RNO221" s="407"/>
      <c r="RNP221" s="407"/>
      <c r="RNQ221" s="407"/>
      <c r="RNR221" s="407"/>
      <c r="RNS221" s="407"/>
      <c r="RNT221" s="407"/>
      <c r="RNU221" s="407"/>
      <c r="RNV221" s="407"/>
      <c r="RNW221" s="407"/>
      <c r="RNX221" s="407"/>
      <c r="RNY221" s="407"/>
      <c r="RNZ221" s="407"/>
      <c r="ROA221" s="407"/>
      <c r="ROB221" s="407"/>
      <c r="ROC221" s="407"/>
      <c r="ROD221" s="407"/>
      <c r="ROE221" s="407"/>
      <c r="ROF221" s="407"/>
      <c r="ROG221" s="407"/>
      <c r="ROH221" s="407"/>
      <c r="ROI221" s="407"/>
      <c r="ROJ221" s="407"/>
      <c r="ROK221" s="407"/>
      <c r="ROL221" s="407"/>
      <c r="ROM221" s="407"/>
      <c r="RON221" s="407"/>
      <c r="ROO221" s="407"/>
      <c r="ROP221" s="407"/>
      <c r="ROQ221" s="407"/>
      <c r="ROR221" s="407"/>
      <c r="ROS221" s="407"/>
      <c r="ROT221" s="407"/>
      <c r="ROU221" s="407"/>
      <c r="ROV221" s="407"/>
      <c r="ROW221" s="407"/>
      <c r="ROX221" s="407"/>
      <c r="ROY221" s="407"/>
      <c r="ROZ221" s="407"/>
      <c r="RPA221" s="407"/>
      <c r="RPB221" s="407"/>
      <c r="RPC221" s="407"/>
      <c r="RPD221" s="407"/>
      <c r="RPE221" s="407"/>
      <c r="RPF221" s="407"/>
      <c r="RPG221" s="407"/>
      <c r="RPH221" s="407"/>
      <c r="RPI221" s="407"/>
      <c r="RPJ221" s="407"/>
      <c r="RPK221" s="407"/>
      <c r="RPL221" s="407"/>
      <c r="RPM221" s="407"/>
      <c r="RPN221" s="407"/>
      <c r="RPO221" s="407"/>
      <c r="RPP221" s="407"/>
      <c r="RPQ221" s="407"/>
      <c r="RPR221" s="407"/>
      <c r="RPS221" s="407"/>
      <c r="RPT221" s="407"/>
      <c r="RPU221" s="407"/>
      <c r="RPV221" s="407"/>
      <c r="RPW221" s="407"/>
      <c r="RPX221" s="407"/>
      <c r="RPY221" s="407"/>
      <c r="RPZ221" s="407"/>
      <c r="RQA221" s="407"/>
      <c r="RQB221" s="407"/>
      <c r="RQC221" s="407"/>
      <c r="RQD221" s="407"/>
      <c r="RQE221" s="407"/>
      <c r="RQF221" s="407"/>
      <c r="RQG221" s="407"/>
      <c r="RQH221" s="407"/>
      <c r="RQI221" s="407"/>
      <c r="RQJ221" s="407"/>
      <c r="RQK221" s="407"/>
      <c r="RQL221" s="407"/>
      <c r="RQM221" s="407"/>
      <c r="RQN221" s="407"/>
      <c r="RQO221" s="407"/>
      <c r="RQP221" s="407"/>
      <c r="RQQ221" s="407"/>
      <c r="RQR221" s="407"/>
      <c r="RQS221" s="407"/>
      <c r="RQT221" s="407"/>
      <c r="RQU221" s="407"/>
      <c r="RQV221" s="407"/>
      <c r="RQW221" s="407"/>
      <c r="RQX221" s="407"/>
      <c r="RQY221" s="407"/>
      <c r="RQZ221" s="407"/>
      <c r="RRA221" s="407"/>
      <c r="RRB221" s="407"/>
      <c r="RRC221" s="407"/>
      <c r="RRD221" s="407"/>
      <c r="RRE221" s="407"/>
      <c r="RRF221" s="407"/>
      <c r="RRG221" s="407"/>
      <c r="RRH221" s="407"/>
      <c r="RRI221" s="407"/>
      <c r="RRJ221" s="407"/>
      <c r="RRK221" s="407"/>
      <c r="RRL221" s="407"/>
      <c r="RRM221" s="407"/>
      <c r="RRN221" s="407"/>
      <c r="RRO221" s="407"/>
      <c r="RRP221" s="407"/>
      <c r="RRQ221" s="407"/>
      <c r="RRR221" s="407"/>
      <c r="RRS221" s="407"/>
      <c r="RRT221" s="407"/>
      <c r="RRU221" s="407"/>
      <c r="RRV221" s="407"/>
      <c r="RRW221" s="407"/>
      <c r="RRX221" s="407"/>
      <c r="RRY221" s="407"/>
      <c r="RRZ221" s="407"/>
      <c r="RSA221" s="407"/>
      <c r="RSB221" s="407"/>
      <c r="RSC221" s="407"/>
      <c r="RSD221" s="407"/>
      <c r="RSE221" s="407"/>
      <c r="RSF221" s="407"/>
      <c r="RSG221" s="407"/>
      <c r="RSH221" s="407"/>
      <c r="RSI221" s="407"/>
      <c r="RSJ221" s="407"/>
      <c r="RSK221" s="407"/>
      <c r="RSL221" s="407"/>
      <c r="RSM221" s="407"/>
      <c r="RSN221" s="407"/>
      <c r="RSO221" s="407"/>
      <c r="RSP221" s="407"/>
      <c r="RSQ221" s="407"/>
      <c r="RSR221" s="407"/>
      <c r="RSS221" s="407"/>
      <c r="RST221" s="407"/>
      <c r="RSU221" s="407"/>
      <c r="RSV221" s="407"/>
      <c r="RSW221" s="407"/>
      <c r="RSX221" s="407"/>
      <c r="RSY221" s="407"/>
      <c r="RSZ221" s="407"/>
      <c r="RTA221" s="407"/>
      <c r="RTB221" s="407"/>
      <c r="RTC221" s="407"/>
      <c r="RTD221" s="407"/>
      <c r="RTE221" s="407"/>
      <c r="RTF221" s="407"/>
      <c r="RTG221" s="407"/>
      <c r="RTH221" s="407"/>
      <c r="RTI221" s="407"/>
      <c r="RTJ221" s="407"/>
      <c r="RTK221" s="407"/>
      <c r="RTL221" s="407"/>
      <c r="RTM221" s="407"/>
      <c r="RTN221" s="407"/>
      <c r="RTO221" s="407"/>
      <c r="RTP221" s="407"/>
      <c r="RTQ221" s="407"/>
      <c r="RTR221" s="407"/>
      <c r="RTS221" s="407"/>
      <c r="RTT221" s="407"/>
      <c r="RTU221" s="407"/>
      <c r="RTV221" s="407"/>
      <c r="RTW221" s="407"/>
      <c r="RTX221" s="407"/>
      <c r="RTY221" s="407"/>
      <c r="RTZ221" s="407"/>
      <c r="RUA221" s="407"/>
      <c r="RUB221" s="407"/>
      <c r="RUC221" s="407"/>
      <c r="RUD221" s="407"/>
      <c r="RUE221" s="407"/>
      <c r="RUF221" s="407"/>
      <c r="RUG221" s="407"/>
      <c r="RUH221" s="407"/>
      <c r="RUI221" s="407"/>
      <c r="RUJ221" s="407"/>
      <c r="RUK221" s="407"/>
      <c r="RUL221" s="407"/>
      <c r="RUM221" s="407"/>
      <c r="RUN221" s="407"/>
      <c r="RUO221" s="407"/>
      <c r="RUP221" s="407"/>
      <c r="RUQ221" s="407"/>
      <c r="RUR221" s="407"/>
      <c r="RUS221" s="407"/>
      <c r="RUT221" s="407"/>
      <c r="RUU221" s="407"/>
      <c r="RUV221" s="407"/>
      <c r="RUW221" s="407"/>
      <c r="RUX221" s="407"/>
      <c r="RUY221" s="407"/>
      <c r="RUZ221" s="407"/>
      <c r="RVA221" s="407"/>
      <c r="RVB221" s="407"/>
      <c r="RVC221" s="407"/>
      <c r="RVD221" s="407"/>
      <c r="RVE221" s="407"/>
      <c r="RVF221" s="407"/>
      <c r="RVG221" s="407"/>
      <c r="RVH221" s="407"/>
      <c r="RVI221" s="407"/>
      <c r="RVJ221" s="407"/>
      <c r="RVK221" s="407"/>
      <c r="RVL221" s="407"/>
      <c r="RVM221" s="407"/>
      <c r="RVN221" s="407"/>
      <c r="RVO221" s="407"/>
      <c r="RVP221" s="407"/>
      <c r="RVQ221" s="407"/>
      <c r="RVR221" s="407"/>
      <c r="RVS221" s="407"/>
      <c r="RVT221" s="407"/>
      <c r="RVU221" s="407"/>
      <c r="RVV221" s="407"/>
      <c r="RVW221" s="407"/>
      <c r="RVX221" s="407"/>
      <c r="RVY221" s="407"/>
      <c r="RVZ221" s="407"/>
      <c r="RWA221" s="407"/>
      <c r="RWB221" s="407"/>
      <c r="RWC221" s="407"/>
      <c r="RWD221" s="407"/>
      <c r="RWE221" s="407"/>
      <c r="RWF221" s="407"/>
      <c r="RWG221" s="407"/>
      <c r="RWH221" s="407"/>
      <c r="RWI221" s="407"/>
      <c r="RWJ221" s="407"/>
      <c r="RWK221" s="407"/>
      <c r="RWL221" s="407"/>
      <c r="RWM221" s="407"/>
      <c r="RWN221" s="407"/>
      <c r="RWO221" s="407"/>
      <c r="RWP221" s="407"/>
      <c r="RWQ221" s="407"/>
      <c r="RWR221" s="407"/>
      <c r="RWS221" s="407"/>
      <c r="RWT221" s="407"/>
      <c r="RWU221" s="407"/>
      <c r="RWV221" s="407"/>
      <c r="RWW221" s="407"/>
      <c r="RWX221" s="407"/>
      <c r="RWY221" s="407"/>
      <c r="RWZ221" s="407"/>
      <c r="RXA221" s="407"/>
      <c r="RXB221" s="407"/>
      <c r="RXC221" s="407"/>
      <c r="RXD221" s="407"/>
      <c r="RXE221" s="407"/>
      <c r="RXF221" s="407"/>
      <c r="RXG221" s="407"/>
      <c r="RXH221" s="407"/>
      <c r="RXI221" s="407"/>
      <c r="RXJ221" s="407"/>
      <c r="RXK221" s="407"/>
      <c r="RXL221" s="407"/>
      <c r="RXM221" s="407"/>
      <c r="RXN221" s="407"/>
      <c r="RXO221" s="407"/>
      <c r="RXP221" s="407"/>
      <c r="RXQ221" s="407"/>
      <c r="RXR221" s="407"/>
      <c r="RXS221" s="407"/>
      <c r="RXT221" s="407"/>
      <c r="RXU221" s="407"/>
      <c r="RXV221" s="407"/>
      <c r="RXW221" s="407"/>
      <c r="RXX221" s="407"/>
      <c r="RXY221" s="407"/>
      <c r="RXZ221" s="407"/>
      <c r="RYA221" s="407"/>
      <c r="RYB221" s="407"/>
      <c r="RYC221" s="407"/>
      <c r="RYD221" s="407"/>
      <c r="RYE221" s="407"/>
      <c r="RYF221" s="407"/>
      <c r="RYG221" s="407"/>
      <c r="RYH221" s="407"/>
      <c r="RYI221" s="407"/>
      <c r="RYJ221" s="407"/>
      <c r="RYK221" s="407"/>
      <c r="RYL221" s="407"/>
      <c r="RYM221" s="407"/>
      <c r="RYN221" s="407"/>
      <c r="RYO221" s="407"/>
      <c r="RYP221" s="407"/>
      <c r="RYQ221" s="407"/>
      <c r="RYR221" s="407"/>
      <c r="RYS221" s="407"/>
      <c r="RYT221" s="407"/>
      <c r="RYU221" s="407"/>
      <c r="RYV221" s="407"/>
      <c r="RYW221" s="407"/>
      <c r="RYX221" s="407"/>
      <c r="RYY221" s="407"/>
      <c r="RYZ221" s="407"/>
      <c r="RZA221" s="407"/>
      <c r="RZB221" s="407"/>
      <c r="RZC221" s="407"/>
      <c r="RZD221" s="407"/>
      <c r="RZE221" s="407"/>
      <c r="RZF221" s="407"/>
      <c r="RZG221" s="407"/>
      <c r="RZH221" s="407"/>
      <c r="RZI221" s="407"/>
      <c r="RZJ221" s="407"/>
      <c r="RZK221" s="407"/>
      <c r="RZL221" s="407"/>
      <c r="RZM221" s="407"/>
      <c r="RZN221" s="407"/>
      <c r="RZO221" s="407"/>
      <c r="RZP221" s="407"/>
      <c r="RZQ221" s="407"/>
      <c r="RZR221" s="407"/>
      <c r="RZS221" s="407"/>
      <c r="RZT221" s="407"/>
      <c r="RZU221" s="407"/>
      <c r="RZV221" s="407"/>
      <c r="RZW221" s="407"/>
      <c r="RZX221" s="407"/>
      <c r="RZY221" s="407"/>
      <c r="RZZ221" s="407"/>
      <c r="SAA221" s="407"/>
      <c r="SAB221" s="407"/>
      <c r="SAC221" s="407"/>
      <c r="SAD221" s="407"/>
      <c r="SAE221" s="407"/>
      <c r="SAF221" s="407"/>
      <c r="SAG221" s="407"/>
      <c r="SAH221" s="407"/>
      <c r="SAI221" s="407"/>
      <c r="SAJ221" s="407"/>
      <c r="SAK221" s="407"/>
      <c r="SAL221" s="407"/>
      <c r="SAM221" s="407"/>
      <c r="SAN221" s="407"/>
      <c r="SAO221" s="407"/>
      <c r="SAP221" s="407"/>
      <c r="SAQ221" s="407"/>
      <c r="SAR221" s="407"/>
      <c r="SAS221" s="407"/>
      <c r="SAT221" s="407"/>
      <c r="SAU221" s="407"/>
      <c r="SAV221" s="407"/>
      <c r="SAW221" s="407"/>
      <c r="SAX221" s="407"/>
      <c r="SAY221" s="407"/>
      <c r="SAZ221" s="407"/>
      <c r="SBA221" s="407"/>
      <c r="SBB221" s="407"/>
      <c r="SBC221" s="407"/>
      <c r="SBD221" s="407"/>
      <c r="SBE221" s="407"/>
      <c r="SBF221" s="407"/>
      <c r="SBG221" s="407"/>
      <c r="SBH221" s="407"/>
      <c r="SBI221" s="407"/>
      <c r="SBJ221" s="407"/>
      <c r="SBK221" s="407"/>
      <c r="SBL221" s="407"/>
      <c r="SBM221" s="407"/>
      <c r="SBN221" s="407"/>
      <c r="SBO221" s="407"/>
      <c r="SBP221" s="407"/>
      <c r="SBQ221" s="407"/>
      <c r="SBR221" s="407"/>
      <c r="SBS221" s="407"/>
      <c r="SBT221" s="407"/>
      <c r="SBU221" s="407"/>
      <c r="SBV221" s="407"/>
      <c r="SBW221" s="407"/>
      <c r="SBX221" s="407"/>
      <c r="SBY221" s="407"/>
      <c r="SBZ221" s="407"/>
      <c r="SCA221" s="407"/>
      <c r="SCB221" s="407"/>
      <c r="SCC221" s="407"/>
      <c r="SCD221" s="407"/>
      <c r="SCE221" s="407"/>
      <c r="SCF221" s="407"/>
      <c r="SCG221" s="407"/>
      <c r="SCH221" s="407"/>
      <c r="SCI221" s="407"/>
      <c r="SCJ221" s="407"/>
      <c r="SCK221" s="407"/>
      <c r="SCL221" s="407"/>
      <c r="SCM221" s="407"/>
      <c r="SCN221" s="407"/>
      <c r="SCO221" s="407"/>
      <c r="SCP221" s="407"/>
      <c r="SCQ221" s="407"/>
      <c r="SCR221" s="407"/>
      <c r="SCS221" s="407"/>
      <c r="SCT221" s="407"/>
      <c r="SCU221" s="407"/>
      <c r="SCV221" s="407"/>
      <c r="SCW221" s="407"/>
      <c r="SCX221" s="407"/>
      <c r="SCY221" s="407"/>
      <c r="SCZ221" s="407"/>
      <c r="SDA221" s="407"/>
      <c r="SDB221" s="407"/>
      <c r="SDC221" s="407"/>
      <c r="SDD221" s="407"/>
      <c r="SDE221" s="407"/>
      <c r="SDF221" s="407"/>
      <c r="SDG221" s="407"/>
      <c r="SDH221" s="407"/>
      <c r="SDI221" s="407"/>
      <c r="SDJ221" s="407"/>
      <c r="SDK221" s="407"/>
      <c r="SDL221" s="407"/>
      <c r="SDM221" s="407"/>
      <c r="SDN221" s="407"/>
      <c r="SDO221" s="407"/>
      <c r="SDP221" s="407"/>
      <c r="SDQ221" s="407"/>
      <c r="SDR221" s="407"/>
      <c r="SDS221" s="407"/>
      <c r="SDT221" s="407"/>
      <c r="SDU221" s="407"/>
      <c r="SDV221" s="407"/>
      <c r="SDW221" s="407"/>
      <c r="SDX221" s="407"/>
      <c r="SDY221" s="407"/>
      <c r="SDZ221" s="407"/>
      <c r="SEA221" s="407"/>
      <c r="SEB221" s="407"/>
      <c r="SEC221" s="407"/>
      <c r="SED221" s="407"/>
      <c r="SEE221" s="407"/>
      <c r="SEF221" s="407"/>
      <c r="SEG221" s="407"/>
      <c r="SEH221" s="407"/>
      <c r="SEI221" s="407"/>
      <c r="SEJ221" s="407"/>
      <c r="SEK221" s="407"/>
      <c r="SEL221" s="407"/>
      <c r="SEM221" s="407"/>
      <c r="SEN221" s="407"/>
      <c r="SEO221" s="407"/>
      <c r="SEP221" s="407"/>
      <c r="SEQ221" s="407"/>
      <c r="SER221" s="407"/>
      <c r="SES221" s="407"/>
      <c r="SET221" s="407"/>
      <c r="SEU221" s="407"/>
      <c r="SEV221" s="407"/>
      <c r="SEW221" s="407"/>
      <c r="SEX221" s="407"/>
      <c r="SEY221" s="407"/>
      <c r="SEZ221" s="407"/>
      <c r="SFA221" s="407"/>
      <c r="SFB221" s="407"/>
      <c r="SFC221" s="407"/>
      <c r="SFD221" s="407"/>
      <c r="SFE221" s="407"/>
      <c r="SFF221" s="407"/>
      <c r="SFG221" s="407"/>
      <c r="SFH221" s="407"/>
      <c r="SFI221" s="407"/>
      <c r="SFJ221" s="407"/>
      <c r="SFK221" s="407"/>
      <c r="SFL221" s="407"/>
      <c r="SFM221" s="407"/>
      <c r="SFN221" s="407"/>
      <c r="SFO221" s="407"/>
      <c r="SFP221" s="407"/>
      <c r="SFQ221" s="407"/>
      <c r="SFR221" s="407"/>
      <c r="SFS221" s="407"/>
      <c r="SFT221" s="407"/>
      <c r="SFU221" s="407"/>
      <c r="SFV221" s="407"/>
      <c r="SFW221" s="407"/>
      <c r="SFX221" s="407"/>
      <c r="SFY221" s="407"/>
      <c r="SFZ221" s="407"/>
      <c r="SGA221" s="407"/>
      <c r="SGB221" s="407"/>
      <c r="SGC221" s="407"/>
      <c r="SGD221" s="407"/>
      <c r="SGE221" s="407"/>
      <c r="SGF221" s="407"/>
      <c r="SGG221" s="407"/>
      <c r="SGH221" s="407"/>
      <c r="SGI221" s="407"/>
      <c r="SGJ221" s="407"/>
      <c r="SGK221" s="407"/>
      <c r="SGL221" s="407"/>
      <c r="SGM221" s="407"/>
      <c r="SGN221" s="407"/>
      <c r="SGO221" s="407"/>
      <c r="SGP221" s="407"/>
      <c r="SGQ221" s="407"/>
      <c r="SGR221" s="407"/>
      <c r="SGS221" s="407"/>
      <c r="SGT221" s="407"/>
      <c r="SGU221" s="407"/>
      <c r="SGV221" s="407"/>
      <c r="SGW221" s="407"/>
      <c r="SGX221" s="407"/>
      <c r="SGY221" s="407"/>
      <c r="SGZ221" s="407"/>
      <c r="SHA221" s="407"/>
      <c r="SHB221" s="407"/>
      <c r="SHC221" s="407"/>
      <c r="SHD221" s="407"/>
      <c r="SHE221" s="407"/>
      <c r="SHF221" s="407"/>
      <c r="SHG221" s="407"/>
      <c r="SHH221" s="407"/>
      <c r="SHI221" s="407"/>
      <c r="SHJ221" s="407"/>
      <c r="SHK221" s="407"/>
      <c r="SHL221" s="407"/>
      <c r="SHM221" s="407"/>
      <c r="SHN221" s="407"/>
      <c r="SHO221" s="407"/>
      <c r="SHP221" s="407"/>
      <c r="SHQ221" s="407"/>
      <c r="SHR221" s="407"/>
      <c r="SHS221" s="407"/>
      <c r="SHT221" s="407"/>
      <c r="SHU221" s="407"/>
      <c r="SHV221" s="407"/>
      <c r="SHW221" s="407"/>
      <c r="SHX221" s="407"/>
      <c r="SHY221" s="407"/>
      <c r="SHZ221" s="407"/>
      <c r="SIA221" s="407"/>
      <c r="SIB221" s="407"/>
      <c r="SIC221" s="407"/>
      <c r="SID221" s="407"/>
      <c r="SIE221" s="407"/>
      <c r="SIF221" s="407"/>
      <c r="SIG221" s="407"/>
      <c r="SIH221" s="407"/>
      <c r="SII221" s="407"/>
      <c r="SIJ221" s="407"/>
      <c r="SIK221" s="407"/>
      <c r="SIL221" s="407"/>
      <c r="SIM221" s="407"/>
      <c r="SIN221" s="407"/>
      <c r="SIO221" s="407"/>
      <c r="SIP221" s="407"/>
      <c r="SIQ221" s="407"/>
      <c r="SIR221" s="407"/>
      <c r="SIS221" s="407"/>
      <c r="SIT221" s="407"/>
      <c r="SIU221" s="407"/>
      <c r="SIV221" s="407"/>
      <c r="SIW221" s="407"/>
      <c r="SIX221" s="407"/>
      <c r="SIY221" s="407"/>
      <c r="SIZ221" s="407"/>
      <c r="SJA221" s="407"/>
      <c r="SJB221" s="407"/>
      <c r="SJC221" s="407"/>
      <c r="SJD221" s="407"/>
      <c r="SJE221" s="407"/>
      <c r="SJF221" s="407"/>
      <c r="SJG221" s="407"/>
      <c r="SJH221" s="407"/>
      <c r="SJI221" s="407"/>
      <c r="SJJ221" s="407"/>
      <c r="SJK221" s="407"/>
      <c r="SJL221" s="407"/>
      <c r="SJM221" s="407"/>
      <c r="SJN221" s="407"/>
      <c r="SJO221" s="407"/>
      <c r="SJP221" s="407"/>
      <c r="SJQ221" s="407"/>
      <c r="SJR221" s="407"/>
      <c r="SJS221" s="407"/>
      <c r="SJT221" s="407"/>
      <c r="SJU221" s="407"/>
      <c r="SJV221" s="407"/>
      <c r="SJW221" s="407"/>
      <c r="SJX221" s="407"/>
      <c r="SJY221" s="407"/>
      <c r="SJZ221" s="407"/>
      <c r="SKA221" s="407"/>
      <c r="SKB221" s="407"/>
      <c r="SKC221" s="407"/>
      <c r="SKD221" s="407"/>
      <c r="SKE221" s="407"/>
      <c r="SKF221" s="407"/>
      <c r="SKG221" s="407"/>
      <c r="SKH221" s="407"/>
      <c r="SKI221" s="407"/>
      <c r="SKJ221" s="407"/>
      <c r="SKK221" s="407"/>
      <c r="SKL221" s="407"/>
      <c r="SKM221" s="407"/>
      <c r="SKN221" s="407"/>
      <c r="SKO221" s="407"/>
      <c r="SKP221" s="407"/>
      <c r="SKQ221" s="407"/>
      <c r="SKR221" s="407"/>
      <c r="SKS221" s="407"/>
      <c r="SKT221" s="407"/>
      <c r="SKU221" s="407"/>
      <c r="SKV221" s="407"/>
      <c r="SKW221" s="407"/>
      <c r="SKX221" s="407"/>
      <c r="SKY221" s="407"/>
      <c r="SKZ221" s="407"/>
      <c r="SLA221" s="407"/>
      <c r="SLB221" s="407"/>
      <c r="SLC221" s="407"/>
      <c r="SLD221" s="407"/>
      <c r="SLE221" s="407"/>
      <c r="SLF221" s="407"/>
      <c r="SLG221" s="407"/>
      <c r="SLH221" s="407"/>
      <c r="SLI221" s="407"/>
      <c r="SLJ221" s="407"/>
      <c r="SLK221" s="407"/>
      <c r="SLL221" s="407"/>
      <c r="SLM221" s="407"/>
      <c r="SLN221" s="407"/>
      <c r="SLO221" s="407"/>
      <c r="SLP221" s="407"/>
      <c r="SLQ221" s="407"/>
      <c r="SLR221" s="407"/>
      <c r="SLS221" s="407"/>
      <c r="SLT221" s="407"/>
      <c r="SLU221" s="407"/>
      <c r="SLV221" s="407"/>
      <c r="SLW221" s="407"/>
      <c r="SLX221" s="407"/>
      <c r="SLY221" s="407"/>
      <c r="SLZ221" s="407"/>
      <c r="SMA221" s="407"/>
      <c r="SMB221" s="407"/>
      <c r="SMC221" s="407"/>
      <c r="SMD221" s="407"/>
      <c r="SME221" s="407"/>
      <c r="SMF221" s="407"/>
      <c r="SMG221" s="407"/>
      <c r="SMH221" s="407"/>
      <c r="SMI221" s="407"/>
      <c r="SMJ221" s="407"/>
      <c r="SMK221" s="407"/>
      <c r="SML221" s="407"/>
      <c r="SMM221" s="407"/>
      <c r="SMN221" s="407"/>
      <c r="SMO221" s="407"/>
      <c r="SMP221" s="407"/>
      <c r="SMQ221" s="407"/>
      <c r="SMR221" s="407"/>
      <c r="SMS221" s="407"/>
      <c r="SMT221" s="407"/>
      <c r="SMU221" s="407"/>
      <c r="SMV221" s="407"/>
      <c r="SMW221" s="407"/>
      <c r="SMX221" s="407"/>
      <c r="SMY221" s="407"/>
      <c r="SMZ221" s="407"/>
      <c r="SNA221" s="407"/>
      <c r="SNB221" s="407"/>
      <c r="SNC221" s="407"/>
      <c r="SND221" s="407"/>
      <c r="SNE221" s="407"/>
      <c r="SNF221" s="407"/>
      <c r="SNG221" s="407"/>
      <c r="SNH221" s="407"/>
      <c r="SNI221" s="407"/>
      <c r="SNJ221" s="407"/>
      <c r="SNK221" s="407"/>
      <c r="SNL221" s="407"/>
      <c r="SNM221" s="407"/>
      <c r="SNN221" s="407"/>
      <c r="SNO221" s="407"/>
      <c r="SNP221" s="407"/>
      <c r="SNQ221" s="407"/>
      <c r="SNR221" s="407"/>
      <c r="SNS221" s="407"/>
      <c r="SNT221" s="407"/>
      <c r="SNU221" s="407"/>
      <c r="SNV221" s="407"/>
      <c r="SNW221" s="407"/>
      <c r="SNX221" s="407"/>
      <c r="SNY221" s="407"/>
      <c r="SNZ221" s="407"/>
      <c r="SOA221" s="407"/>
      <c r="SOB221" s="407"/>
      <c r="SOC221" s="407"/>
      <c r="SOD221" s="407"/>
      <c r="SOE221" s="407"/>
      <c r="SOF221" s="407"/>
      <c r="SOG221" s="407"/>
      <c r="SOH221" s="407"/>
      <c r="SOI221" s="407"/>
      <c r="SOJ221" s="407"/>
      <c r="SOK221" s="407"/>
      <c r="SOL221" s="407"/>
      <c r="SOM221" s="407"/>
      <c r="SON221" s="407"/>
      <c r="SOO221" s="407"/>
      <c r="SOP221" s="407"/>
      <c r="SOQ221" s="407"/>
      <c r="SOR221" s="407"/>
      <c r="SOS221" s="407"/>
      <c r="SOT221" s="407"/>
      <c r="SOU221" s="407"/>
      <c r="SOV221" s="407"/>
      <c r="SOW221" s="407"/>
      <c r="SOX221" s="407"/>
      <c r="SOY221" s="407"/>
      <c r="SOZ221" s="407"/>
      <c r="SPA221" s="407"/>
      <c r="SPB221" s="407"/>
      <c r="SPC221" s="407"/>
      <c r="SPD221" s="407"/>
      <c r="SPE221" s="407"/>
      <c r="SPF221" s="407"/>
      <c r="SPG221" s="407"/>
      <c r="SPH221" s="407"/>
      <c r="SPI221" s="407"/>
      <c r="SPJ221" s="407"/>
      <c r="SPK221" s="407"/>
      <c r="SPL221" s="407"/>
      <c r="SPM221" s="407"/>
      <c r="SPN221" s="407"/>
      <c r="SPO221" s="407"/>
      <c r="SPP221" s="407"/>
      <c r="SPQ221" s="407"/>
      <c r="SPR221" s="407"/>
      <c r="SPS221" s="407"/>
      <c r="SPT221" s="407"/>
      <c r="SPU221" s="407"/>
      <c r="SPV221" s="407"/>
      <c r="SPW221" s="407"/>
      <c r="SPX221" s="407"/>
      <c r="SPY221" s="407"/>
      <c r="SPZ221" s="407"/>
      <c r="SQA221" s="407"/>
      <c r="SQB221" s="407"/>
      <c r="SQC221" s="407"/>
      <c r="SQD221" s="407"/>
      <c r="SQE221" s="407"/>
      <c r="SQF221" s="407"/>
      <c r="SQG221" s="407"/>
      <c r="SQH221" s="407"/>
      <c r="SQI221" s="407"/>
      <c r="SQJ221" s="407"/>
      <c r="SQK221" s="407"/>
      <c r="SQL221" s="407"/>
      <c r="SQM221" s="407"/>
      <c r="SQN221" s="407"/>
      <c r="SQO221" s="407"/>
      <c r="SQP221" s="407"/>
      <c r="SQQ221" s="407"/>
      <c r="SQR221" s="407"/>
      <c r="SQS221" s="407"/>
      <c r="SQT221" s="407"/>
      <c r="SQU221" s="407"/>
      <c r="SQV221" s="407"/>
      <c r="SQW221" s="407"/>
      <c r="SQX221" s="407"/>
      <c r="SQY221" s="407"/>
      <c r="SQZ221" s="407"/>
      <c r="SRA221" s="407"/>
      <c r="SRB221" s="407"/>
      <c r="SRC221" s="407"/>
      <c r="SRD221" s="407"/>
      <c r="SRE221" s="407"/>
      <c r="SRF221" s="407"/>
      <c r="SRG221" s="407"/>
      <c r="SRH221" s="407"/>
      <c r="SRI221" s="407"/>
      <c r="SRJ221" s="407"/>
      <c r="SRK221" s="407"/>
      <c r="SRL221" s="407"/>
      <c r="SRM221" s="407"/>
      <c r="SRN221" s="407"/>
      <c r="SRO221" s="407"/>
      <c r="SRP221" s="407"/>
      <c r="SRQ221" s="407"/>
      <c r="SRR221" s="407"/>
      <c r="SRS221" s="407"/>
      <c r="SRT221" s="407"/>
      <c r="SRU221" s="407"/>
      <c r="SRV221" s="407"/>
      <c r="SRW221" s="407"/>
      <c r="SRX221" s="407"/>
      <c r="SRY221" s="407"/>
      <c r="SRZ221" s="407"/>
      <c r="SSA221" s="407"/>
      <c r="SSB221" s="407"/>
      <c r="SSC221" s="407"/>
      <c r="SSD221" s="407"/>
      <c r="SSE221" s="407"/>
      <c r="SSF221" s="407"/>
      <c r="SSG221" s="407"/>
      <c r="SSH221" s="407"/>
      <c r="SSI221" s="407"/>
      <c r="SSJ221" s="407"/>
      <c r="SSK221" s="407"/>
      <c r="SSL221" s="407"/>
      <c r="SSM221" s="407"/>
      <c r="SSN221" s="407"/>
      <c r="SSO221" s="407"/>
      <c r="SSP221" s="407"/>
      <c r="SSQ221" s="407"/>
      <c r="SSR221" s="407"/>
      <c r="SSS221" s="407"/>
      <c r="SST221" s="407"/>
      <c r="SSU221" s="407"/>
      <c r="SSV221" s="407"/>
      <c r="SSW221" s="407"/>
      <c r="SSX221" s="407"/>
      <c r="SSY221" s="407"/>
      <c r="SSZ221" s="407"/>
      <c r="STA221" s="407"/>
      <c r="STB221" s="407"/>
      <c r="STC221" s="407"/>
      <c r="STD221" s="407"/>
      <c r="STE221" s="407"/>
      <c r="STF221" s="407"/>
      <c r="STG221" s="407"/>
      <c r="STH221" s="407"/>
      <c r="STI221" s="407"/>
      <c r="STJ221" s="407"/>
      <c r="STK221" s="407"/>
      <c r="STL221" s="407"/>
      <c r="STM221" s="407"/>
      <c r="STN221" s="407"/>
      <c r="STO221" s="407"/>
      <c r="STP221" s="407"/>
      <c r="STQ221" s="407"/>
      <c r="STR221" s="407"/>
      <c r="STS221" s="407"/>
      <c r="STT221" s="407"/>
      <c r="STU221" s="407"/>
      <c r="STV221" s="407"/>
      <c r="STW221" s="407"/>
      <c r="STX221" s="407"/>
      <c r="STY221" s="407"/>
      <c r="STZ221" s="407"/>
      <c r="SUA221" s="407"/>
      <c r="SUB221" s="407"/>
      <c r="SUC221" s="407"/>
      <c r="SUD221" s="407"/>
      <c r="SUE221" s="407"/>
      <c r="SUF221" s="407"/>
      <c r="SUG221" s="407"/>
      <c r="SUH221" s="407"/>
      <c r="SUI221" s="407"/>
      <c r="SUJ221" s="407"/>
      <c r="SUK221" s="407"/>
      <c r="SUL221" s="407"/>
      <c r="SUM221" s="407"/>
      <c r="SUN221" s="407"/>
      <c r="SUO221" s="407"/>
      <c r="SUP221" s="407"/>
      <c r="SUQ221" s="407"/>
      <c r="SUR221" s="407"/>
      <c r="SUS221" s="407"/>
      <c r="SUT221" s="407"/>
      <c r="SUU221" s="407"/>
      <c r="SUV221" s="407"/>
      <c r="SUW221" s="407"/>
      <c r="SUX221" s="407"/>
      <c r="SUY221" s="407"/>
      <c r="SUZ221" s="407"/>
      <c r="SVA221" s="407"/>
      <c r="SVB221" s="407"/>
      <c r="SVC221" s="407"/>
      <c r="SVD221" s="407"/>
      <c r="SVE221" s="407"/>
      <c r="SVF221" s="407"/>
      <c r="SVG221" s="407"/>
      <c r="SVH221" s="407"/>
      <c r="SVI221" s="407"/>
      <c r="SVJ221" s="407"/>
      <c r="SVK221" s="407"/>
      <c r="SVL221" s="407"/>
      <c r="SVM221" s="407"/>
      <c r="SVN221" s="407"/>
      <c r="SVO221" s="407"/>
      <c r="SVP221" s="407"/>
      <c r="SVQ221" s="407"/>
      <c r="SVR221" s="407"/>
      <c r="SVS221" s="407"/>
      <c r="SVT221" s="407"/>
      <c r="SVU221" s="407"/>
      <c r="SVV221" s="407"/>
      <c r="SVW221" s="407"/>
      <c r="SVX221" s="407"/>
      <c r="SVY221" s="407"/>
      <c r="SVZ221" s="407"/>
      <c r="SWA221" s="407"/>
      <c r="SWB221" s="407"/>
      <c r="SWC221" s="407"/>
      <c r="SWD221" s="407"/>
      <c r="SWE221" s="407"/>
      <c r="SWF221" s="407"/>
      <c r="SWG221" s="407"/>
      <c r="SWH221" s="407"/>
      <c r="SWI221" s="407"/>
      <c r="SWJ221" s="407"/>
      <c r="SWK221" s="407"/>
      <c r="SWL221" s="407"/>
      <c r="SWM221" s="407"/>
      <c r="SWN221" s="407"/>
      <c r="SWO221" s="407"/>
      <c r="SWP221" s="407"/>
      <c r="SWQ221" s="407"/>
      <c r="SWR221" s="407"/>
      <c r="SWS221" s="407"/>
      <c r="SWT221" s="407"/>
      <c r="SWU221" s="407"/>
      <c r="SWV221" s="407"/>
      <c r="SWW221" s="407"/>
      <c r="SWX221" s="407"/>
      <c r="SWY221" s="407"/>
      <c r="SWZ221" s="407"/>
      <c r="SXA221" s="407"/>
      <c r="SXB221" s="407"/>
      <c r="SXC221" s="407"/>
      <c r="SXD221" s="407"/>
      <c r="SXE221" s="407"/>
      <c r="SXF221" s="407"/>
      <c r="SXG221" s="407"/>
      <c r="SXH221" s="407"/>
      <c r="SXI221" s="407"/>
      <c r="SXJ221" s="407"/>
      <c r="SXK221" s="407"/>
      <c r="SXL221" s="407"/>
      <c r="SXM221" s="407"/>
      <c r="SXN221" s="407"/>
      <c r="SXO221" s="407"/>
      <c r="SXP221" s="407"/>
      <c r="SXQ221" s="407"/>
      <c r="SXR221" s="407"/>
      <c r="SXS221" s="407"/>
      <c r="SXT221" s="407"/>
      <c r="SXU221" s="407"/>
      <c r="SXV221" s="407"/>
      <c r="SXW221" s="407"/>
      <c r="SXX221" s="407"/>
      <c r="SXY221" s="407"/>
      <c r="SXZ221" s="407"/>
      <c r="SYA221" s="407"/>
      <c r="SYB221" s="407"/>
      <c r="SYC221" s="407"/>
      <c r="SYD221" s="407"/>
      <c r="SYE221" s="407"/>
      <c r="SYF221" s="407"/>
      <c r="SYG221" s="407"/>
      <c r="SYH221" s="407"/>
      <c r="SYI221" s="407"/>
      <c r="SYJ221" s="407"/>
      <c r="SYK221" s="407"/>
      <c r="SYL221" s="407"/>
      <c r="SYM221" s="407"/>
      <c r="SYN221" s="407"/>
      <c r="SYO221" s="407"/>
      <c r="SYP221" s="407"/>
      <c r="SYQ221" s="407"/>
      <c r="SYR221" s="407"/>
      <c r="SYS221" s="407"/>
      <c r="SYT221" s="407"/>
      <c r="SYU221" s="407"/>
      <c r="SYV221" s="407"/>
      <c r="SYW221" s="407"/>
      <c r="SYX221" s="407"/>
      <c r="SYY221" s="407"/>
      <c r="SYZ221" s="407"/>
      <c r="SZA221" s="407"/>
      <c r="SZB221" s="407"/>
      <c r="SZC221" s="407"/>
      <c r="SZD221" s="407"/>
      <c r="SZE221" s="407"/>
      <c r="SZF221" s="407"/>
      <c r="SZG221" s="407"/>
      <c r="SZH221" s="407"/>
      <c r="SZI221" s="407"/>
      <c r="SZJ221" s="407"/>
      <c r="SZK221" s="407"/>
      <c r="SZL221" s="407"/>
      <c r="SZM221" s="407"/>
      <c r="SZN221" s="407"/>
      <c r="SZO221" s="407"/>
      <c r="SZP221" s="407"/>
      <c r="SZQ221" s="407"/>
      <c r="SZR221" s="407"/>
      <c r="SZS221" s="407"/>
      <c r="SZT221" s="407"/>
      <c r="SZU221" s="407"/>
      <c r="SZV221" s="407"/>
      <c r="SZW221" s="407"/>
      <c r="SZX221" s="407"/>
      <c r="SZY221" s="407"/>
      <c r="SZZ221" s="407"/>
      <c r="TAA221" s="407"/>
      <c r="TAB221" s="407"/>
      <c r="TAC221" s="407"/>
      <c r="TAD221" s="407"/>
      <c r="TAE221" s="407"/>
      <c r="TAF221" s="407"/>
      <c r="TAG221" s="407"/>
      <c r="TAH221" s="407"/>
      <c r="TAI221" s="407"/>
      <c r="TAJ221" s="407"/>
      <c r="TAK221" s="407"/>
      <c r="TAL221" s="407"/>
      <c r="TAM221" s="407"/>
      <c r="TAN221" s="407"/>
      <c r="TAO221" s="407"/>
      <c r="TAP221" s="407"/>
      <c r="TAQ221" s="407"/>
      <c r="TAR221" s="407"/>
      <c r="TAS221" s="407"/>
      <c r="TAT221" s="407"/>
      <c r="TAU221" s="407"/>
      <c r="TAV221" s="407"/>
      <c r="TAW221" s="407"/>
      <c r="TAX221" s="407"/>
      <c r="TAY221" s="407"/>
      <c r="TAZ221" s="407"/>
      <c r="TBA221" s="407"/>
      <c r="TBB221" s="407"/>
      <c r="TBC221" s="407"/>
      <c r="TBD221" s="407"/>
      <c r="TBE221" s="407"/>
      <c r="TBF221" s="407"/>
      <c r="TBG221" s="407"/>
      <c r="TBH221" s="407"/>
      <c r="TBI221" s="407"/>
      <c r="TBJ221" s="407"/>
      <c r="TBK221" s="407"/>
      <c r="TBL221" s="407"/>
      <c r="TBM221" s="407"/>
      <c r="TBN221" s="407"/>
      <c r="TBO221" s="407"/>
      <c r="TBP221" s="407"/>
      <c r="TBQ221" s="407"/>
      <c r="TBR221" s="407"/>
      <c r="TBS221" s="407"/>
      <c r="TBT221" s="407"/>
      <c r="TBU221" s="407"/>
      <c r="TBV221" s="407"/>
      <c r="TBW221" s="407"/>
      <c r="TBX221" s="407"/>
      <c r="TBY221" s="407"/>
      <c r="TBZ221" s="407"/>
      <c r="TCA221" s="407"/>
      <c r="TCB221" s="407"/>
      <c r="TCC221" s="407"/>
      <c r="TCD221" s="407"/>
      <c r="TCE221" s="407"/>
      <c r="TCF221" s="407"/>
      <c r="TCG221" s="407"/>
      <c r="TCH221" s="407"/>
      <c r="TCI221" s="407"/>
      <c r="TCJ221" s="407"/>
      <c r="TCK221" s="407"/>
      <c r="TCL221" s="407"/>
      <c r="TCM221" s="407"/>
      <c r="TCN221" s="407"/>
      <c r="TCO221" s="407"/>
      <c r="TCP221" s="407"/>
      <c r="TCQ221" s="407"/>
      <c r="TCR221" s="407"/>
      <c r="TCS221" s="407"/>
      <c r="TCT221" s="407"/>
      <c r="TCU221" s="407"/>
      <c r="TCV221" s="407"/>
      <c r="TCW221" s="407"/>
      <c r="TCX221" s="407"/>
      <c r="TCY221" s="407"/>
      <c r="TCZ221" s="407"/>
      <c r="TDA221" s="407"/>
      <c r="TDB221" s="407"/>
      <c r="TDC221" s="407"/>
      <c r="TDD221" s="407"/>
      <c r="TDE221" s="407"/>
      <c r="TDF221" s="407"/>
      <c r="TDG221" s="407"/>
      <c r="TDH221" s="407"/>
      <c r="TDI221" s="407"/>
      <c r="TDJ221" s="407"/>
      <c r="TDK221" s="407"/>
      <c r="TDL221" s="407"/>
      <c r="TDM221" s="407"/>
      <c r="TDN221" s="407"/>
      <c r="TDO221" s="407"/>
      <c r="TDP221" s="407"/>
      <c r="TDQ221" s="407"/>
      <c r="TDR221" s="407"/>
      <c r="TDS221" s="407"/>
      <c r="TDT221" s="407"/>
      <c r="TDU221" s="407"/>
      <c r="TDV221" s="407"/>
      <c r="TDW221" s="407"/>
      <c r="TDX221" s="407"/>
      <c r="TDY221" s="407"/>
      <c r="TDZ221" s="407"/>
      <c r="TEA221" s="407"/>
      <c r="TEB221" s="407"/>
      <c r="TEC221" s="407"/>
      <c r="TED221" s="407"/>
      <c r="TEE221" s="407"/>
      <c r="TEF221" s="407"/>
      <c r="TEG221" s="407"/>
      <c r="TEH221" s="407"/>
      <c r="TEI221" s="407"/>
      <c r="TEJ221" s="407"/>
      <c r="TEK221" s="407"/>
      <c r="TEL221" s="407"/>
      <c r="TEM221" s="407"/>
      <c r="TEN221" s="407"/>
      <c r="TEO221" s="407"/>
      <c r="TEP221" s="407"/>
      <c r="TEQ221" s="407"/>
      <c r="TER221" s="407"/>
      <c r="TES221" s="407"/>
      <c r="TET221" s="407"/>
      <c r="TEU221" s="407"/>
      <c r="TEV221" s="407"/>
      <c r="TEW221" s="407"/>
      <c r="TEX221" s="407"/>
      <c r="TEY221" s="407"/>
      <c r="TEZ221" s="407"/>
      <c r="TFA221" s="407"/>
      <c r="TFB221" s="407"/>
      <c r="TFC221" s="407"/>
      <c r="TFD221" s="407"/>
      <c r="TFE221" s="407"/>
      <c r="TFF221" s="407"/>
      <c r="TFG221" s="407"/>
      <c r="TFH221" s="407"/>
      <c r="TFI221" s="407"/>
      <c r="TFJ221" s="407"/>
      <c r="TFK221" s="407"/>
      <c r="TFL221" s="407"/>
      <c r="TFM221" s="407"/>
      <c r="TFN221" s="407"/>
      <c r="TFO221" s="407"/>
      <c r="TFP221" s="407"/>
      <c r="TFQ221" s="407"/>
      <c r="TFR221" s="407"/>
      <c r="TFS221" s="407"/>
      <c r="TFT221" s="407"/>
      <c r="TFU221" s="407"/>
      <c r="TFV221" s="407"/>
      <c r="TFW221" s="407"/>
      <c r="TFX221" s="407"/>
      <c r="TFY221" s="407"/>
      <c r="TFZ221" s="407"/>
      <c r="TGA221" s="407"/>
      <c r="TGB221" s="407"/>
      <c r="TGC221" s="407"/>
      <c r="TGD221" s="407"/>
      <c r="TGE221" s="407"/>
      <c r="TGF221" s="407"/>
      <c r="TGG221" s="407"/>
      <c r="TGH221" s="407"/>
      <c r="TGI221" s="407"/>
      <c r="TGJ221" s="407"/>
      <c r="TGK221" s="407"/>
      <c r="TGL221" s="407"/>
      <c r="TGM221" s="407"/>
      <c r="TGN221" s="407"/>
      <c r="TGO221" s="407"/>
      <c r="TGP221" s="407"/>
      <c r="TGQ221" s="407"/>
      <c r="TGR221" s="407"/>
      <c r="TGS221" s="407"/>
      <c r="TGT221" s="407"/>
      <c r="TGU221" s="407"/>
      <c r="TGV221" s="407"/>
      <c r="TGW221" s="407"/>
      <c r="TGX221" s="407"/>
      <c r="TGY221" s="407"/>
      <c r="TGZ221" s="407"/>
      <c r="THA221" s="407"/>
      <c r="THB221" s="407"/>
      <c r="THC221" s="407"/>
      <c r="THD221" s="407"/>
      <c r="THE221" s="407"/>
      <c r="THF221" s="407"/>
      <c r="THG221" s="407"/>
      <c r="THH221" s="407"/>
      <c r="THI221" s="407"/>
      <c r="THJ221" s="407"/>
      <c r="THK221" s="407"/>
      <c r="THL221" s="407"/>
      <c r="THM221" s="407"/>
      <c r="THN221" s="407"/>
      <c r="THO221" s="407"/>
      <c r="THP221" s="407"/>
      <c r="THQ221" s="407"/>
      <c r="THR221" s="407"/>
      <c r="THS221" s="407"/>
      <c r="THT221" s="407"/>
      <c r="THU221" s="407"/>
      <c r="THV221" s="407"/>
      <c r="THW221" s="407"/>
      <c r="THX221" s="407"/>
      <c r="THY221" s="407"/>
      <c r="THZ221" s="407"/>
      <c r="TIA221" s="407"/>
      <c r="TIB221" s="407"/>
      <c r="TIC221" s="407"/>
      <c r="TID221" s="407"/>
      <c r="TIE221" s="407"/>
      <c r="TIF221" s="407"/>
      <c r="TIG221" s="407"/>
      <c r="TIH221" s="407"/>
      <c r="TII221" s="407"/>
      <c r="TIJ221" s="407"/>
      <c r="TIK221" s="407"/>
      <c r="TIL221" s="407"/>
      <c r="TIM221" s="407"/>
      <c r="TIN221" s="407"/>
      <c r="TIO221" s="407"/>
      <c r="TIP221" s="407"/>
      <c r="TIQ221" s="407"/>
      <c r="TIR221" s="407"/>
      <c r="TIS221" s="407"/>
      <c r="TIT221" s="407"/>
      <c r="TIU221" s="407"/>
      <c r="TIV221" s="407"/>
      <c r="TIW221" s="407"/>
      <c r="TIX221" s="407"/>
      <c r="TIY221" s="407"/>
      <c r="TIZ221" s="407"/>
      <c r="TJA221" s="407"/>
      <c r="TJB221" s="407"/>
      <c r="TJC221" s="407"/>
      <c r="TJD221" s="407"/>
      <c r="TJE221" s="407"/>
      <c r="TJF221" s="407"/>
      <c r="TJG221" s="407"/>
      <c r="TJH221" s="407"/>
      <c r="TJI221" s="407"/>
      <c r="TJJ221" s="407"/>
      <c r="TJK221" s="407"/>
      <c r="TJL221" s="407"/>
      <c r="TJM221" s="407"/>
      <c r="TJN221" s="407"/>
      <c r="TJO221" s="407"/>
      <c r="TJP221" s="407"/>
      <c r="TJQ221" s="407"/>
      <c r="TJR221" s="407"/>
      <c r="TJS221" s="407"/>
      <c r="TJT221" s="407"/>
      <c r="TJU221" s="407"/>
      <c r="TJV221" s="407"/>
      <c r="TJW221" s="407"/>
      <c r="TJX221" s="407"/>
      <c r="TJY221" s="407"/>
      <c r="TJZ221" s="407"/>
      <c r="TKA221" s="407"/>
      <c r="TKB221" s="407"/>
      <c r="TKC221" s="407"/>
      <c r="TKD221" s="407"/>
      <c r="TKE221" s="407"/>
      <c r="TKF221" s="407"/>
      <c r="TKG221" s="407"/>
      <c r="TKH221" s="407"/>
      <c r="TKI221" s="407"/>
      <c r="TKJ221" s="407"/>
      <c r="TKK221" s="407"/>
      <c r="TKL221" s="407"/>
      <c r="TKM221" s="407"/>
      <c r="TKN221" s="407"/>
      <c r="TKO221" s="407"/>
      <c r="TKP221" s="407"/>
      <c r="TKQ221" s="407"/>
      <c r="TKR221" s="407"/>
      <c r="TKS221" s="407"/>
      <c r="TKT221" s="407"/>
      <c r="TKU221" s="407"/>
      <c r="TKV221" s="407"/>
      <c r="TKW221" s="407"/>
      <c r="TKX221" s="407"/>
      <c r="TKY221" s="407"/>
      <c r="TKZ221" s="407"/>
      <c r="TLA221" s="407"/>
      <c r="TLB221" s="407"/>
      <c r="TLC221" s="407"/>
      <c r="TLD221" s="407"/>
      <c r="TLE221" s="407"/>
      <c r="TLF221" s="407"/>
      <c r="TLG221" s="407"/>
      <c r="TLH221" s="407"/>
      <c r="TLI221" s="407"/>
      <c r="TLJ221" s="407"/>
      <c r="TLK221" s="407"/>
      <c r="TLL221" s="407"/>
      <c r="TLM221" s="407"/>
      <c r="TLN221" s="407"/>
      <c r="TLO221" s="407"/>
      <c r="TLP221" s="407"/>
      <c r="TLQ221" s="407"/>
      <c r="TLR221" s="407"/>
      <c r="TLS221" s="407"/>
      <c r="TLT221" s="407"/>
      <c r="TLU221" s="407"/>
      <c r="TLV221" s="407"/>
      <c r="TLW221" s="407"/>
      <c r="TLX221" s="407"/>
      <c r="TLY221" s="407"/>
      <c r="TLZ221" s="407"/>
      <c r="TMA221" s="407"/>
      <c r="TMB221" s="407"/>
      <c r="TMC221" s="407"/>
      <c r="TMD221" s="407"/>
      <c r="TME221" s="407"/>
      <c r="TMF221" s="407"/>
      <c r="TMG221" s="407"/>
      <c r="TMH221" s="407"/>
      <c r="TMI221" s="407"/>
      <c r="TMJ221" s="407"/>
      <c r="TMK221" s="407"/>
      <c r="TML221" s="407"/>
      <c r="TMM221" s="407"/>
      <c r="TMN221" s="407"/>
      <c r="TMO221" s="407"/>
      <c r="TMP221" s="407"/>
      <c r="TMQ221" s="407"/>
      <c r="TMR221" s="407"/>
      <c r="TMS221" s="407"/>
      <c r="TMT221" s="407"/>
      <c r="TMU221" s="407"/>
      <c r="TMV221" s="407"/>
      <c r="TMW221" s="407"/>
      <c r="TMX221" s="407"/>
      <c r="TMY221" s="407"/>
      <c r="TMZ221" s="407"/>
      <c r="TNA221" s="407"/>
      <c r="TNB221" s="407"/>
      <c r="TNC221" s="407"/>
      <c r="TND221" s="407"/>
      <c r="TNE221" s="407"/>
      <c r="TNF221" s="407"/>
      <c r="TNG221" s="407"/>
      <c r="TNH221" s="407"/>
      <c r="TNI221" s="407"/>
      <c r="TNJ221" s="407"/>
      <c r="TNK221" s="407"/>
      <c r="TNL221" s="407"/>
      <c r="TNM221" s="407"/>
      <c r="TNN221" s="407"/>
      <c r="TNO221" s="407"/>
      <c r="TNP221" s="407"/>
      <c r="TNQ221" s="407"/>
      <c r="TNR221" s="407"/>
      <c r="TNS221" s="407"/>
      <c r="TNT221" s="407"/>
      <c r="TNU221" s="407"/>
      <c r="TNV221" s="407"/>
      <c r="TNW221" s="407"/>
      <c r="TNX221" s="407"/>
      <c r="TNY221" s="407"/>
      <c r="TNZ221" s="407"/>
      <c r="TOA221" s="407"/>
      <c r="TOB221" s="407"/>
      <c r="TOC221" s="407"/>
      <c r="TOD221" s="407"/>
      <c r="TOE221" s="407"/>
      <c r="TOF221" s="407"/>
      <c r="TOG221" s="407"/>
      <c r="TOH221" s="407"/>
      <c r="TOI221" s="407"/>
      <c r="TOJ221" s="407"/>
      <c r="TOK221" s="407"/>
      <c r="TOL221" s="407"/>
      <c r="TOM221" s="407"/>
      <c r="TON221" s="407"/>
      <c r="TOO221" s="407"/>
      <c r="TOP221" s="407"/>
      <c r="TOQ221" s="407"/>
      <c r="TOR221" s="407"/>
      <c r="TOS221" s="407"/>
      <c r="TOT221" s="407"/>
      <c r="TOU221" s="407"/>
      <c r="TOV221" s="407"/>
      <c r="TOW221" s="407"/>
      <c r="TOX221" s="407"/>
      <c r="TOY221" s="407"/>
      <c r="TOZ221" s="407"/>
      <c r="TPA221" s="407"/>
      <c r="TPB221" s="407"/>
      <c r="TPC221" s="407"/>
      <c r="TPD221" s="407"/>
      <c r="TPE221" s="407"/>
      <c r="TPF221" s="407"/>
      <c r="TPG221" s="407"/>
      <c r="TPH221" s="407"/>
      <c r="TPI221" s="407"/>
      <c r="TPJ221" s="407"/>
      <c r="TPK221" s="407"/>
      <c r="TPL221" s="407"/>
      <c r="TPM221" s="407"/>
      <c r="TPN221" s="407"/>
      <c r="TPO221" s="407"/>
      <c r="TPP221" s="407"/>
      <c r="TPQ221" s="407"/>
      <c r="TPR221" s="407"/>
      <c r="TPS221" s="407"/>
      <c r="TPT221" s="407"/>
      <c r="TPU221" s="407"/>
      <c r="TPV221" s="407"/>
      <c r="TPW221" s="407"/>
      <c r="TPX221" s="407"/>
      <c r="TPY221" s="407"/>
      <c r="TPZ221" s="407"/>
      <c r="TQA221" s="407"/>
      <c r="TQB221" s="407"/>
      <c r="TQC221" s="407"/>
      <c r="TQD221" s="407"/>
      <c r="TQE221" s="407"/>
      <c r="TQF221" s="407"/>
      <c r="TQG221" s="407"/>
      <c r="TQH221" s="407"/>
      <c r="TQI221" s="407"/>
      <c r="TQJ221" s="407"/>
      <c r="TQK221" s="407"/>
      <c r="TQL221" s="407"/>
      <c r="TQM221" s="407"/>
      <c r="TQN221" s="407"/>
      <c r="TQO221" s="407"/>
      <c r="TQP221" s="407"/>
      <c r="TQQ221" s="407"/>
      <c r="TQR221" s="407"/>
      <c r="TQS221" s="407"/>
      <c r="TQT221" s="407"/>
      <c r="TQU221" s="407"/>
      <c r="TQV221" s="407"/>
      <c r="TQW221" s="407"/>
      <c r="TQX221" s="407"/>
      <c r="TQY221" s="407"/>
      <c r="TQZ221" s="407"/>
      <c r="TRA221" s="407"/>
      <c r="TRB221" s="407"/>
      <c r="TRC221" s="407"/>
      <c r="TRD221" s="407"/>
      <c r="TRE221" s="407"/>
      <c r="TRF221" s="407"/>
      <c r="TRG221" s="407"/>
      <c r="TRH221" s="407"/>
      <c r="TRI221" s="407"/>
      <c r="TRJ221" s="407"/>
      <c r="TRK221" s="407"/>
      <c r="TRL221" s="407"/>
      <c r="TRM221" s="407"/>
      <c r="TRN221" s="407"/>
      <c r="TRO221" s="407"/>
      <c r="TRP221" s="407"/>
      <c r="TRQ221" s="407"/>
      <c r="TRR221" s="407"/>
      <c r="TRS221" s="407"/>
      <c r="TRT221" s="407"/>
      <c r="TRU221" s="407"/>
      <c r="TRV221" s="407"/>
      <c r="TRW221" s="407"/>
      <c r="TRX221" s="407"/>
      <c r="TRY221" s="407"/>
      <c r="TRZ221" s="407"/>
      <c r="TSA221" s="407"/>
      <c r="TSB221" s="407"/>
      <c r="TSC221" s="407"/>
      <c r="TSD221" s="407"/>
      <c r="TSE221" s="407"/>
      <c r="TSF221" s="407"/>
      <c r="TSG221" s="407"/>
      <c r="TSH221" s="407"/>
      <c r="TSI221" s="407"/>
      <c r="TSJ221" s="407"/>
      <c r="TSK221" s="407"/>
      <c r="TSL221" s="407"/>
      <c r="TSM221" s="407"/>
      <c r="TSN221" s="407"/>
      <c r="TSO221" s="407"/>
      <c r="TSP221" s="407"/>
      <c r="TSQ221" s="407"/>
      <c r="TSR221" s="407"/>
      <c r="TSS221" s="407"/>
      <c r="TST221" s="407"/>
      <c r="TSU221" s="407"/>
      <c r="TSV221" s="407"/>
      <c r="TSW221" s="407"/>
      <c r="TSX221" s="407"/>
      <c r="TSY221" s="407"/>
      <c r="TSZ221" s="407"/>
      <c r="TTA221" s="407"/>
      <c r="TTB221" s="407"/>
      <c r="TTC221" s="407"/>
      <c r="TTD221" s="407"/>
      <c r="TTE221" s="407"/>
      <c r="TTF221" s="407"/>
      <c r="TTG221" s="407"/>
      <c r="TTH221" s="407"/>
      <c r="TTI221" s="407"/>
      <c r="TTJ221" s="407"/>
      <c r="TTK221" s="407"/>
      <c r="TTL221" s="407"/>
      <c r="TTM221" s="407"/>
      <c r="TTN221" s="407"/>
      <c r="TTO221" s="407"/>
      <c r="TTP221" s="407"/>
      <c r="TTQ221" s="407"/>
      <c r="TTR221" s="407"/>
      <c r="TTS221" s="407"/>
      <c r="TTT221" s="407"/>
      <c r="TTU221" s="407"/>
      <c r="TTV221" s="407"/>
      <c r="TTW221" s="407"/>
      <c r="TTX221" s="407"/>
      <c r="TTY221" s="407"/>
      <c r="TTZ221" s="407"/>
      <c r="TUA221" s="407"/>
      <c r="TUB221" s="407"/>
      <c r="TUC221" s="407"/>
      <c r="TUD221" s="407"/>
      <c r="TUE221" s="407"/>
      <c r="TUF221" s="407"/>
      <c r="TUG221" s="407"/>
      <c r="TUH221" s="407"/>
      <c r="TUI221" s="407"/>
      <c r="TUJ221" s="407"/>
      <c r="TUK221" s="407"/>
      <c r="TUL221" s="407"/>
      <c r="TUM221" s="407"/>
      <c r="TUN221" s="407"/>
      <c r="TUO221" s="407"/>
      <c r="TUP221" s="407"/>
      <c r="TUQ221" s="407"/>
      <c r="TUR221" s="407"/>
      <c r="TUS221" s="407"/>
      <c r="TUT221" s="407"/>
      <c r="TUU221" s="407"/>
      <c r="TUV221" s="407"/>
      <c r="TUW221" s="407"/>
      <c r="TUX221" s="407"/>
      <c r="TUY221" s="407"/>
      <c r="TUZ221" s="407"/>
      <c r="TVA221" s="407"/>
      <c r="TVB221" s="407"/>
      <c r="TVC221" s="407"/>
      <c r="TVD221" s="407"/>
      <c r="TVE221" s="407"/>
      <c r="TVF221" s="407"/>
      <c r="TVG221" s="407"/>
      <c r="TVH221" s="407"/>
      <c r="TVI221" s="407"/>
      <c r="TVJ221" s="407"/>
      <c r="TVK221" s="407"/>
      <c r="TVL221" s="407"/>
      <c r="TVM221" s="407"/>
      <c r="TVN221" s="407"/>
      <c r="TVO221" s="407"/>
      <c r="TVP221" s="407"/>
      <c r="TVQ221" s="407"/>
      <c r="TVR221" s="407"/>
      <c r="TVS221" s="407"/>
      <c r="TVT221" s="407"/>
      <c r="TVU221" s="407"/>
      <c r="TVV221" s="407"/>
      <c r="TVW221" s="407"/>
      <c r="TVX221" s="407"/>
      <c r="TVY221" s="407"/>
      <c r="TVZ221" s="407"/>
      <c r="TWA221" s="407"/>
      <c r="TWB221" s="407"/>
      <c r="TWC221" s="407"/>
      <c r="TWD221" s="407"/>
      <c r="TWE221" s="407"/>
      <c r="TWF221" s="407"/>
      <c r="TWG221" s="407"/>
      <c r="TWH221" s="407"/>
      <c r="TWI221" s="407"/>
      <c r="TWJ221" s="407"/>
      <c r="TWK221" s="407"/>
      <c r="TWL221" s="407"/>
      <c r="TWM221" s="407"/>
      <c r="TWN221" s="407"/>
      <c r="TWO221" s="407"/>
      <c r="TWP221" s="407"/>
      <c r="TWQ221" s="407"/>
      <c r="TWR221" s="407"/>
      <c r="TWS221" s="407"/>
      <c r="TWT221" s="407"/>
      <c r="TWU221" s="407"/>
      <c r="TWV221" s="407"/>
      <c r="TWW221" s="407"/>
      <c r="TWX221" s="407"/>
      <c r="TWY221" s="407"/>
      <c r="TWZ221" s="407"/>
      <c r="TXA221" s="407"/>
      <c r="TXB221" s="407"/>
      <c r="TXC221" s="407"/>
      <c r="TXD221" s="407"/>
      <c r="TXE221" s="407"/>
      <c r="TXF221" s="407"/>
      <c r="TXG221" s="407"/>
      <c r="TXH221" s="407"/>
      <c r="TXI221" s="407"/>
      <c r="TXJ221" s="407"/>
      <c r="TXK221" s="407"/>
      <c r="TXL221" s="407"/>
      <c r="TXM221" s="407"/>
      <c r="TXN221" s="407"/>
      <c r="TXO221" s="407"/>
      <c r="TXP221" s="407"/>
      <c r="TXQ221" s="407"/>
      <c r="TXR221" s="407"/>
      <c r="TXS221" s="407"/>
      <c r="TXT221" s="407"/>
      <c r="TXU221" s="407"/>
      <c r="TXV221" s="407"/>
      <c r="TXW221" s="407"/>
      <c r="TXX221" s="407"/>
      <c r="TXY221" s="407"/>
      <c r="TXZ221" s="407"/>
      <c r="TYA221" s="407"/>
      <c r="TYB221" s="407"/>
      <c r="TYC221" s="407"/>
      <c r="TYD221" s="407"/>
      <c r="TYE221" s="407"/>
      <c r="TYF221" s="407"/>
      <c r="TYG221" s="407"/>
      <c r="TYH221" s="407"/>
      <c r="TYI221" s="407"/>
      <c r="TYJ221" s="407"/>
      <c r="TYK221" s="407"/>
      <c r="TYL221" s="407"/>
      <c r="TYM221" s="407"/>
      <c r="TYN221" s="407"/>
      <c r="TYO221" s="407"/>
      <c r="TYP221" s="407"/>
      <c r="TYQ221" s="407"/>
      <c r="TYR221" s="407"/>
      <c r="TYS221" s="407"/>
      <c r="TYT221" s="407"/>
      <c r="TYU221" s="407"/>
      <c r="TYV221" s="407"/>
      <c r="TYW221" s="407"/>
      <c r="TYX221" s="407"/>
      <c r="TYY221" s="407"/>
      <c r="TYZ221" s="407"/>
      <c r="TZA221" s="407"/>
      <c r="TZB221" s="407"/>
      <c r="TZC221" s="407"/>
      <c r="TZD221" s="407"/>
      <c r="TZE221" s="407"/>
      <c r="TZF221" s="407"/>
      <c r="TZG221" s="407"/>
      <c r="TZH221" s="407"/>
      <c r="TZI221" s="407"/>
      <c r="TZJ221" s="407"/>
      <c r="TZK221" s="407"/>
      <c r="TZL221" s="407"/>
      <c r="TZM221" s="407"/>
      <c r="TZN221" s="407"/>
      <c r="TZO221" s="407"/>
      <c r="TZP221" s="407"/>
      <c r="TZQ221" s="407"/>
      <c r="TZR221" s="407"/>
      <c r="TZS221" s="407"/>
      <c r="TZT221" s="407"/>
      <c r="TZU221" s="407"/>
      <c r="TZV221" s="407"/>
      <c r="TZW221" s="407"/>
      <c r="TZX221" s="407"/>
      <c r="TZY221" s="407"/>
      <c r="TZZ221" s="407"/>
      <c r="UAA221" s="407"/>
      <c r="UAB221" s="407"/>
      <c r="UAC221" s="407"/>
      <c r="UAD221" s="407"/>
      <c r="UAE221" s="407"/>
      <c r="UAF221" s="407"/>
      <c r="UAG221" s="407"/>
      <c r="UAH221" s="407"/>
      <c r="UAI221" s="407"/>
      <c r="UAJ221" s="407"/>
      <c r="UAK221" s="407"/>
      <c r="UAL221" s="407"/>
      <c r="UAM221" s="407"/>
      <c r="UAN221" s="407"/>
      <c r="UAO221" s="407"/>
      <c r="UAP221" s="407"/>
      <c r="UAQ221" s="407"/>
      <c r="UAR221" s="407"/>
      <c r="UAS221" s="407"/>
      <c r="UAT221" s="407"/>
      <c r="UAU221" s="407"/>
      <c r="UAV221" s="407"/>
      <c r="UAW221" s="407"/>
      <c r="UAX221" s="407"/>
      <c r="UAY221" s="407"/>
      <c r="UAZ221" s="407"/>
      <c r="UBA221" s="407"/>
      <c r="UBB221" s="407"/>
      <c r="UBC221" s="407"/>
      <c r="UBD221" s="407"/>
      <c r="UBE221" s="407"/>
      <c r="UBF221" s="407"/>
      <c r="UBG221" s="407"/>
      <c r="UBH221" s="407"/>
      <c r="UBI221" s="407"/>
      <c r="UBJ221" s="407"/>
      <c r="UBK221" s="407"/>
      <c r="UBL221" s="407"/>
      <c r="UBM221" s="407"/>
      <c r="UBN221" s="407"/>
      <c r="UBO221" s="407"/>
      <c r="UBP221" s="407"/>
      <c r="UBQ221" s="407"/>
      <c r="UBR221" s="407"/>
      <c r="UBS221" s="407"/>
      <c r="UBT221" s="407"/>
      <c r="UBU221" s="407"/>
      <c r="UBV221" s="407"/>
      <c r="UBW221" s="407"/>
      <c r="UBX221" s="407"/>
      <c r="UBY221" s="407"/>
      <c r="UBZ221" s="407"/>
      <c r="UCA221" s="407"/>
      <c r="UCB221" s="407"/>
      <c r="UCC221" s="407"/>
      <c r="UCD221" s="407"/>
      <c r="UCE221" s="407"/>
      <c r="UCF221" s="407"/>
      <c r="UCG221" s="407"/>
      <c r="UCH221" s="407"/>
      <c r="UCI221" s="407"/>
      <c r="UCJ221" s="407"/>
      <c r="UCK221" s="407"/>
      <c r="UCL221" s="407"/>
      <c r="UCM221" s="407"/>
      <c r="UCN221" s="407"/>
      <c r="UCO221" s="407"/>
      <c r="UCP221" s="407"/>
      <c r="UCQ221" s="407"/>
      <c r="UCR221" s="407"/>
      <c r="UCS221" s="407"/>
      <c r="UCT221" s="407"/>
      <c r="UCU221" s="407"/>
      <c r="UCV221" s="407"/>
      <c r="UCW221" s="407"/>
      <c r="UCX221" s="407"/>
      <c r="UCY221" s="407"/>
      <c r="UCZ221" s="407"/>
      <c r="UDA221" s="407"/>
      <c r="UDB221" s="407"/>
      <c r="UDC221" s="407"/>
      <c r="UDD221" s="407"/>
      <c r="UDE221" s="407"/>
      <c r="UDF221" s="407"/>
      <c r="UDG221" s="407"/>
      <c r="UDH221" s="407"/>
      <c r="UDI221" s="407"/>
      <c r="UDJ221" s="407"/>
      <c r="UDK221" s="407"/>
      <c r="UDL221" s="407"/>
      <c r="UDM221" s="407"/>
      <c r="UDN221" s="407"/>
      <c r="UDO221" s="407"/>
      <c r="UDP221" s="407"/>
      <c r="UDQ221" s="407"/>
      <c r="UDR221" s="407"/>
      <c r="UDS221" s="407"/>
      <c r="UDT221" s="407"/>
      <c r="UDU221" s="407"/>
      <c r="UDV221" s="407"/>
      <c r="UDW221" s="407"/>
      <c r="UDX221" s="407"/>
      <c r="UDY221" s="407"/>
      <c r="UDZ221" s="407"/>
      <c r="UEA221" s="407"/>
      <c r="UEB221" s="407"/>
      <c r="UEC221" s="407"/>
      <c r="UED221" s="407"/>
      <c r="UEE221" s="407"/>
      <c r="UEF221" s="407"/>
      <c r="UEG221" s="407"/>
      <c r="UEH221" s="407"/>
      <c r="UEI221" s="407"/>
      <c r="UEJ221" s="407"/>
      <c r="UEK221" s="407"/>
      <c r="UEL221" s="407"/>
      <c r="UEM221" s="407"/>
      <c r="UEN221" s="407"/>
      <c r="UEO221" s="407"/>
      <c r="UEP221" s="407"/>
      <c r="UEQ221" s="407"/>
      <c r="UER221" s="407"/>
      <c r="UES221" s="407"/>
      <c r="UET221" s="407"/>
      <c r="UEU221" s="407"/>
      <c r="UEV221" s="407"/>
      <c r="UEW221" s="407"/>
      <c r="UEX221" s="407"/>
      <c r="UEY221" s="407"/>
      <c r="UEZ221" s="407"/>
      <c r="UFA221" s="407"/>
      <c r="UFB221" s="407"/>
      <c r="UFC221" s="407"/>
      <c r="UFD221" s="407"/>
      <c r="UFE221" s="407"/>
      <c r="UFF221" s="407"/>
      <c r="UFG221" s="407"/>
      <c r="UFH221" s="407"/>
      <c r="UFI221" s="407"/>
      <c r="UFJ221" s="407"/>
      <c r="UFK221" s="407"/>
      <c r="UFL221" s="407"/>
      <c r="UFM221" s="407"/>
      <c r="UFN221" s="407"/>
      <c r="UFO221" s="407"/>
      <c r="UFP221" s="407"/>
      <c r="UFQ221" s="407"/>
      <c r="UFR221" s="407"/>
      <c r="UFS221" s="407"/>
      <c r="UFT221" s="407"/>
      <c r="UFU221" s="407"/>
      <c r="UFV221" s="407"/>
      <c r="UFW221" s="407"/>
      <c r="UFX221" s="407"/>
      <c r="UFY221" s="407"/>
      <c r="UFZ221" s="407"/>
      <c r="UGA221" s="407"/>
      <c r="UGB221" s="407"/>
      <c r="UGC221" s="407"/>
      <c r="UGD221" s="407"/>
      <c r="UGE221" s="407"/>
      <c r="UGF221" s="407"/>
      <c r="UGG221" s="407"/>
      <c r="UGH221" s="407"/>
      <c r="UGI221" s="407"/>
      <c r="UGJ221" s="407"/>
      <c r="UGK221" s="407"/>
      <c r="UGL221" s="407"/>
      <c r="UGM221" s="407"/>
      <c r="UGN221" s="407"/>
      <c r="UGO221" s="407"/>
      <c r="UGP221" s="407"/>
      <c r="UGQ221" s="407"/>
      <c r="UGR221" s="407"/>
      <c r="UGS221" s="407"/>
      <c r="UGT221" s="407"/>
      <c r="UGU221" s="407"/>
      <c r="UGV221" s="407"/>
      <c r="UGW221" s="407"/>
      <c r="UGX221" s="407"/>
      <c r="UGY221" s="407"/>
      <c r="UGZ221" s="407"/>
      <c r="UHA221" s="407"/>
      <c r="UHB221" s="407"/>
      <c r="UHC221" s="407"/>
      <c r="UHD221" s="407"/>
      <c r="UHE221" s="407"/>
      <c r="UHF221" s="407"/>
      <c r="UHG221" s="407"/>
      <c r="UHH221" s="407"/>
      <c r="UHI221" s="407"/>
      <c r="UHJ221" s="407"/>
      <c r="UHK221" s="407"/>
      <c r="UHL221" s="407"/>
      <c r="UHM221" s="407"/>
      <c r="UHN221" s="407"/>
      <c r="UHO221" s="407"/>
      <c r="UHP221" s="407"/>
      <c r="UHQ221" s="407"/>
      <c r="UHR221" s="407"/>
      <c r="UHS221" s="407"/>
      <c r="UHT221" s="407"/>
      <c r="UHU221" s="407"/>
      <c r="UHV221" s="407"/>
      <c r="UHW221" s="407"/>
      <c r="UHX221" s="407"/>
      <c r="UHY221" s="407"/>
      <c r="UHZ221" s="407"/>
      <c r="UIA221" s="407"/>
      <c r="UIB221" s="407"/>
      <c r="UIC221" s="407"/>
      <c r="UID221" s="407"/>
      <c r="UIE221" s="407"/>
      <c r="UIF221" s="407"/>
      <c r="UIG221" s="407"/>
      <c r="UIH221" s="407"/>
      <c r="UII221" s="407"/>
      <c r="UIJ221" s="407"/>
      <c r="UIK221" s="407"/>
      <c r="UIL221" s="407"/>
      <c r="UIM221" s="407"/>
      <c r="UIN221" s="407"/>
      <c r="UIO221" s="407"/>
      <c r="UIP221" s="407"/>
      <c r="UIQ221" s="407"/>
      <c r="UIR221" s="407"/>
      <c r="UIS221" s="407"/>
      <c r="UIT221" s="407"/>
      <c r="UIU221" s="407"/>
      <c r="UIV221" s="407"/>
      <c r="UIW221" s="407"/>
      <c r="UIX221" s="407"/>
      <c r="UIY221" s="407"/>
      <c r="UIZ221" s="407"/>
      <c r="UJA221" s="407"/>
      <c r="UJB221" s="407"/>
      <c r="UJC221" s="407"/>
      <c r="UJD221" s="407"/>
      <c r="UJE221" s="407"/>
      <c r="UJF221" s="407"/>
      <c r="UJG221" s="407"/>
      <c r="UJH221" s="407"/>
      <c r="UJI221" s="407"/>
      <c r="UJJ221" s="407"/>
      <c r="UJK221" s="407"/>
      <c r="UJL221" s="407"/>
      <c r="UJM221" s="407"/>
      <c r="UJN221" s="407"/>
      <c r="UJO221" s="407"/>
      <c r="UJP221" s="407"/>
      <c r="UJQ221" s="407"/>
      <c r="UJR221" s="407"/>
      <c r="UJS221" s="407"/>
      <c r="UJT221" s="407"/>
      <c r="UJU221" s="407"/>
      <c r="UJV221" s="407"/>
      <c r="UJW221" s="407"/>
      <c r="UJX221" s="407"/>
      <c r="UJY221" s="407"/>
      <c r="UJZ221" s="407"/>
      <c r="UKA221" s="407"/>
      <c r="UKB221" s="407"/>
      <c r="UKC221" s="407"/>
      <c r="UKD221" s="407"/>
      <c r="UKE221" s="407"/>
      <c r="UKF221" s="407"/>
      <c r="UKG221" s="407"/>
      <c r="UKH221" s="407"/>
      <c r="UKI221" s="407"/>
      <c r="UKJ221" s="407"/>
      <c r="UKK221" s="407"/>
      <c r="UKL221" s="407"/>
      <c r="UKM221" s="407"/>
      <c r="UKN221" s="407"/>
      <c r="UKO221" s="407"/>
      <c r="UKP221" s="407"/>
      <c r="UKQ221" s="407"/>
      <c r="UKR221" s="407"/>
      <c r="UKS221" s="407"/>
      <c r="UKT221" s="407"/>
      <c r="UKU221" s="407"/>
      <c r="UKV221" s="407"/>
      <c r="UKW221" s="407"/>
      <c r="UKX221" s="407"/>
      <c r="UKY221" s="407"/>
      <c r="UKZ221" s="407"/>
      <c r="ULA221" s="407"/>
      <c r="ULB221" s="407"/>
      <c r="ULC221" s="407"/>
      <c r="ULD221" s="407"/>
      <c r="ULE221" s="407"/>
      <c r="ULF221" s="407"/>
      <c r="ULG221" s="407"/>
      <c r="ULH221" s="407"/>
      <c r="ULI221" s="407"/>
      <c r="ULJ221" s="407"/>
      <c r="ULK221" s="407"/>
      <c r="ULL221" s="407"/>
      <c r="ULM221" s="407"/>
      <c r="ULN221" s="407"/>
      <c r="ULO221" s="407"/>
      <c r="ULP221" s="407"/>
      <c r="ULQ221" s="407"/>
      <c r="ULR221" s="407"/>
      <c r="ULS221" s="407"/>
      <c r="ULT221" s="407"/>
      <c r="ULU221" s="407"/>
      <c r="ULV221" s="407"/>
      <c r="ULW221" s="407"/>
      <c r="ULX221" s="407"/>
      <c r="ULY221" s="407"/>
      <c r="ULZ221" s="407"/>
      <c r="UMA221" s="407"/>
      <c r="UMB221" s="407"/>
      <c r="UMC221" s="407"/>
      <c r="UMD221" s="407"/>
      <c r="UME221" s="407"/>
      <c r="UMF221" s="407"/>
      <c r="UMG221" s="407"/>
      <c r="UMH221" s="407"/>
      <c r="UMI221" s="407"/>
      <c r="UMJ221" s="407"/>
      <c r="UMK221" s="407"/>
      <c r="UML221" s="407"/>
      <c r="UMM221" s="407"/>
      <c r="UMN221" s="407"/>
      <c r="UMO221" s="407"/>
      <c r="UMP221" s="407"/>
      <c r="UMQ221" s="407"/>
      <c r="UMR221" s="407"/>
      <c r="UMS221" s="407"/>
      <c r="UMT221" s="407"/>
      <c r="UMU221" s="407"/>
      <c r="UMV221" s="407"/>
      <c r="UMW221" s="407"/>
      <c r="UMX221" s="407"/>
      <c r="UMY221" s="407"/>
      <c r="UMZ221" s="407"/>
      <c r="UNA221" s="407"/>
      <c r="UNB221" s="407"/>
      <c r="UNC221" s="407"/>
      <c r="UND221" s="407"/>
      <c r="UNE221" s="407"/>
      <c r="UNF221" s="407"/>
      <c r="UNG221" s="407"/>
      <c r="UNH221" s="407"/>
      <c r="UNI221" s="407"/>
      <c r="UNJ221" s="407"/>
      <c r="UNK221" s="407"/>
      <c r="UNL221" s="407"/>
      <c r="UNM221" s="407"/>
      <c r="UNN221" s="407"/>
      <c r="UNO221" s="407"/>
      <c r="UNP221" s="407"/>
      <c r="UNQ221" s="407"/>
      <c r="UNR221" s="407"/>
      <c r="UNS221" s="407"/>
      <c r="UNT221" s="407"/>
      <c r="UNU221" s="407"/>
      <c r="UNV221" s="407"/>
      <c r="UNW221" s="407"/>
      <c r="UNX221" s="407"/>
      <c r="UNY221" s="407"/>
      <c r="UNZ221" s="407"/>
      <c r="UOA221" s="407"/>
      <c r="UOB221" s="407"/>
      <c r="UOC221" s="407"/>
      <c r="UOD221" s="407"/>
      <c r="UOE221" s="407"/>
      <c r="UOF221" s="407"/>
      <c r="UOG221" s="407"/>
      <c r="UOH221" s="407"/>
      <c r="UOI221" s="407"/>
      <c r="UOJ221" s="407"/>
      <c r="UOK221" s="407"/>
      <c r="UOL221" s="407"/>
      <c r="UOM221" s="407"/>
      <c r="UON221" s="407"/>
      <c r="UOO221" s="407"/>
      <c r="UOP221" s="407"/>
      <c r="UOQ221" s="407"/>
      <c r="UOR221" s="407"/>
      <c r="UOS221" s="407"/>
      <c r="UOT221" s="407"/>
      <c r="UOU221" s="407"/>
      <c r="UOV221" s="407"/>
      <c r="UOW221" s="407"/>
      <c r="UOX221" s="407"/>
      <c r="UOY221" s="407"/>
      <c r="UOZ221" s="407"/>
      <c r="UPA221" s="407"/>
      <c r="UPB221" s="407"/>
      <c r="UPC221" s="407"/>
      <c r="UPD221" s="407"/>
      <c r="UPE221" s="407"/>
      <c r="UPF221" s="407"/>
      <c r="UPG221" s="407"/>
      <c r="UPH221" s="407"/>
      <c r="UPI221" s="407"/>
      <c r="UPJ221" s="407"/>
      <c r="UPK221" s="407"/>
      <c r="UPL221" s="407"/>
      <c r="UPM221" s="407"/>
      <c r="UPN221" s="407"/>
      <c r="UPO221" s="407"/>
      <c r="UPP221" s="407"/>
      <c r="UPQ221" s="407"/>
      <c r="UPR221" s="407"/>
      <c r="UPS221" s="407"/>
      <c r="UPT221" s="407"/>
      <c r="UPU221" s="407"/>
      <c r="UPV221" s="407"/>
      <c r="UPW221" s="407"/>
      <c r="UPX221" s="407"/>
      <c r="UPY221" s="407"/>
      <c r="UPZ221" s="407"/>
      <c r="UQA221" s="407"/>
      <c r="UQB221" s="407"/>
      <c r="UQC221" s="407"/>
      <c r="UQD221" s="407"/>
      <c r="UQE221" s="407"/>
      <c r="UQF221" s="407"/>
      <c r="UQG221" s="407"/>
      <c r="UQH221" s="407"/>
      <c r="UQI221" s="407"/>
      <c r="UQJ221" s="407"/>
      <c r="UQK221" s="407"/>
      <c r="UQL221" s="407"/>
      <c r="UQM221" s="407"/>
      <c r="UQN221" s="407"/>
      <c r="UQO221" s="407"/>
      <c r="UQP221" s="407"/>
      <c r="UQQ221" s="407"/>
      <c r="UQR221" s="407"/>
      <c r="UQS221" s="407"/>
      <c r="UQT221" s="407"/>
      <c r="UQU221" s="407"/>
      <c r="UQV221" s="407"/>
      <c r="UQW221" s="407"/>
      <c r="UQX221" s="407"/>
      <c r="UQY221" s="407"/>
      <c r="UQZ221" s="407"/>
      <c r="URA221" s="407"/>
      <c r="URB221" s="407"/>
      <c r="URC221" s="407"/>
      <c r="URD221" s="407"/>
      <c r="URE221" s="407"/>
      <c r="URF221" s="407"/>
      <c r="URG221" s="407"/>
      <c r="URH221" s="407"/>
      <c r="URI221" s="407"/>
      <c r="URJ221" s="407"/>
      <c r="URK221" s="407"/>
      <c r="URL221" s="407"/>
      <c r="URM221" s="407"/>
      <c r="URN221" s="407"/>
      <c r="URO221" s="407"/>
      <c r="URP221" s="407"/>
      <c r="URQ221" s="407"/>
      <c r="URR221" s="407"/>
      <c r="URS221" s="407"/>
      <c r="URT221" s="407"/>
      <c r="URU221" s="407"/>
      <c r="URV221" s="407"/>
      <c r="URW221" s="407"/>
      <c r="URX221" s="407"/>
      <c r="URY221" s="407"/>
      <c r="URZ221" s="407"/>
      <c r="USA221" s="407"/>
      <c r="USB221" s="407"/>
      <c r="USC221" s="407"/>
      <c r="USD221" s="407"/>
      <c r="USE221" s="407"/>
      <c r="USF221" s="407"/>
      <c r="USG221" s="407"/>
      <c r="USH221" s="407"/>
      <c r="USI221" s="407"/>
      <c r="USJ221" s="407"/>
      <c r="USK221" s="407"/>
      <c r="USL221" s="407"/>
      <c r="USM221" s="407"/>
      <c r="USN221" s="407"/>
      <c r="USO221" s="407"/>
      <c r="USP221" s="407"/>
      <c r="USQ221" s="407"/>
      <c r="USR221" s="407"/>
      <c r="USS221" s="407"/>
      <c r="UST221" s="407"/>
      <c r="USU221" s="407"/>
      <c r="USV221" s="407"/>
      <c r="USW221" s="407"/>
      <c r="USX221" s="407"/>
      <c r="USY221" s="407"/>
      <c r="USZ221" s="407"/>
      <c r="UTA221" s="407"/>
      <c r="UTB221" s="407"/>
      <c r="UTC221" s="407"/>
      <c r="UTD221" s="407"/>
      <c r="UTE221" s="407"/>
      <c r="UTF221" s="407"/>
      <c r="UTG221" s="407"/>
      <c r="UTH221" s="407"/>
      <c r="UTI221" s="407"/>
      <c r="UTJ221" s="407"/>
      <c r="UTK221" s="407"/>
      <c r="UTL221" s="407"/>
      <c r="UTM221" s="407"/>
      <c r="UTN221" s="407"/>
      <c r="UTO221" s="407"/>
      <c r="UTP221" s="407"/>
      <c r="UTQ221" s="407"/>
      <c r="UTR221" s="407"/>
      <c r="UTS221" s="407"/>
      <c r="UTT221" s="407"/>
      <c r="UTU221" s="407"/>
      <c r="UTV221" s="407"/>
      <c r="UTW221" s="407"/>
      <c r="UTX221" s="407"/>
      <c r="UTY221" s="407"/>
      <c r="UTZ221" s="407"/>
      <c r="UUA221" s="407"/>
      <c r="UUB221" s="407"/>
      <c r="UUC221" s="407"/>
      <c r="UUD221" s="407"/>
      <c r="UUE221" s="407"/>
      <c r="UUF221" s="407"/>
      <c r="UUG221" s="407"/>
      <c r="UUH221" s="407"/>
      <c r="UUI221" s="407"/>
      <c r="UUJ221" s="407"/>
      <c r="UUK221" s="407"/>
      <c r="UUL221" s="407"/>
      <c r="UUM221" s="407"/>
      <c r="UUN221" s="407"/>
      <c r="UUO221" s="407"/>
      <c r="UUP221" s="407"/>
      <c r="UUQ221" s="407"/>
      <c r="UUR221" s="407"/>
      <c r="UUS221" s="407"/>
      <c r="UUT221" s="407"/>
      <c r="UUU221" s="407"/>
      <c r="UUV221" s="407"/>
      <c r="UUW221" s="407"/>
      <c r="UUX221" s="407"/>
      <c r="UUY221" s="407"/>
      <c r="UUZ221" s="407"/>
      <c r="UVA221" s="407"/>
      <c r="UVB221" s="407"/>
      <c r="UVC221" s="407"/>
      <c r="UVD221" s="407"/>
      <c r="UVE221" s="407"/>
      <c r="UVF221" s="407"/>
      <c r="UVG221" s="407"/>
      <c r="UVH221" s="407"/>
      <c r="UVI221" s="407"/>
      <c r="UVJ221" s="407"/>
      <c r="UVK221" s="407"/>
      <c r="UVL221" s="407"/>
      <c r="UVM221" s="407"/>
      <c r="UVN221" s="407"/>
      <c r="UVO221" s="407"/>
      <c r="UVP221" s="407"/>
      <c r="UVQ221" s="407"/>
      <c r="UVR221" s="407"/>
      <c r="UVS221" s="407"/>
      <c r="UVT221" s="407"/>
      <c r="UVU221" s="407"/>
      <c r="UVV221" s="407"/>
      <c r="UVW221" s="407"/>
      <c r="UVX221" s="407"/>
      <c r="UVY221" s="407"/>
      <c r="UVZ221" s="407"/>
      <c r="UWA221" s="407"/>
      <c r="UWB221" s="407"/>
      <c r="UWC221" s="407"/>
      <c r="UWD221" s="407"/>
      <c r="UWE221" s="407"/>
      <c r="UWF221" s="407"/>
      <c r="UWG221" s="407"/>
      <c r="UWH221" s="407"/>
      <c r="UWI221" s="407"/>
      <c r="UWJ221" s="407"/>
      <c r="UWK221" s="407"/>
      <c r="UWL221" s="407"/>
      <c r="UWM221" s="407"/>
      <c r="UWN221" s="407"/>
      <c r="UWO221" s="407"/>
      <c r="UWP221" s="407"/>
      <c r="UWQ221" s="407"/>
      <c r="UWR221" s="407"/>
      <c r="UWS221" s="407"/>
      <c r="UWT221" s="407"/>
      <c r="UWU221" s="407"/>
      <c r="UWV221" s="407"/>
      <c r="UWW221" s="407"/>
      <c r="UWX221" s="407"/>
      <c r="UWY221" s="407"/>
      <c r="UWZ221" s="407"/>
      <c r="UXA221" s="407"/>
      <c r="UXB221" s="407"/>
      <c r="UXC221" s="407"/>
      <c r="UXD221" s="407"/>
      <c r="UXE221" s="407"/>
      <c r="UXF221" s="407"/>
      <c r="UXG221" s="407"/>
      <c r="UXH221" s="407"/>
      <c r="UXI221" s="407"/>
      <c r="UXJ221" s="407"/>
      <c r="UXK221" s="407"/>
      <c r="UXL221" s="407"/>
      <c r="UXM221" s="407"/>
      <c r="UXN221" s="407"/>
      <c r="UXO221" s="407"/>
      <c r="UXP221" s="407"/>
      <c r="UXQ221" s="407"/>
      <c r="UXR221" s="407"/>
      <c r="UXS221" s="407"/>
      <c r="UXT221" s="407"/>
      <c r="UXU221" s="407"/>
      <c r="UXV221" s="407"/>
      <c r="UXW221" s="407"/>
      <c r="UXX221" s="407"/>
      <c r="UXY221" s="407"/>
      <c r="UXZ221" s="407"/>
      <c r="UYA221" s="407"/>
      <c r="UYB221" s="407"/>
      <c r="UYC221" s="407"/>
      <c r="UYD221" s="407"/>
      <c r="UYE221" s="407"/>
      <c r="UYF221" s="407"/>
      <c r="UYG221" s="407"/>
      <c r="UYH221" s="407"/>
      <c r="UYI221" s="407"/>
      <c r="UYJ221" s="407"/>
      <c r="UYK221" s="407"/>
      <c r="UYL221" s="407"/>
      <c r="UYM221" s="407"/>
      <c r="UYN221" s="407"/>
      <c r="UYO221" s="407"/>
      <c r="UYP221" s="407"/>
      <c r="UYQ221" s="407"/>
      <c r="UYR221" s="407"/>
      <c r="UYS221" s="407"/>
      <c r="UYT221" s="407"/>
      <c r="UYU221" s="407"/>
      <c r="UYV221" s="407"/>
      <c r="UYW221" s="407"/>
      <c r="UYX221" s="407"/>
      <c r="UYY221" s="407"/>
      <c r="UYZ221" s="407"/>
      <c r="UZA221" s="407"/>
      <c r="UZB221" s="407"/>
      <c r="UZC221" s="407"/>
      <c r="UZD221" s="407"/>
      <c r="UZE221" s="407"/>
      <c r="UZF221" s="407"/>
      <c r="UZG221" s="407"/>
      <c r="UZH221" s="407"/>
      <c r="UZI221" s="407"/>
      <c r="UZJ221" s="407"/>
      <c r="UZK221" s="407"/>
      <c r="UZL221" s="407"/>
      <c r="UZM221" s="407"/>
      <c r="UZN221" s="407"/>
      <c r="UZO221" s="407"/>
      <c r="UZP221" s="407"/>
      <c r="UZQ221" s="407"/>
      <c r="UZR221" s="407"/>
      <c r="UZS221" s="407"/>
      <c r="UZT221" s="407"/>
      <c r="UZU221" s="407"/>
      <c r="UZV221" s="407"/>
      <c r="UZW221" s="407"/>
      <c r="UZX221" s="407"/>
      <c r="UZY221" s="407"/>
      <c r="UZZ221" s="407"/>
      <c r="VAA221" s="407"/>
      <c r="VAB221" s="407"/>
      <c r="VAC221" s="407"/>
      <c r="VAD221" s="407"/>
      <c r="VAE221" s="407"/>
      <c r="VAF221" s="407"/>
      <c r="VAG221" s="407"/>
      <c r="VAH221" s="407"/>
      <c r="VAI221" s="407"/>
      <c r="VAJ221" s="407"/>
      <c r="VAK221" s="407"/>
      <c r="VAL221" s="407"/>
      <c r="VAM221" s="407"/>
      <c r="VAN221" s="407"/>
      <c r="VAO221" s="407"/>
      <c r="VAP221" s="407"/>
      <c r="VAQ221" s="407"/>
      <c r="VAR221" s="407"/>
      <c r="VAS221" s="407"/>
      <c r="VAT221" s="407"/>
      <c r="VAU221" s="407"/>
      <c r="VAV221" s="407"/>
      <c r="VAW221" s="407"/>
      <c r="VAX221" s="407"/>
      <c r="VAY221" s="407"/>
      <c r="VAZ221" s="407"/>
      <c r="VBA221" s="407"/>
      <c r="VBB221" s="407"/>
      <c r="VBC221" s="407"/>
      <c r="VBD221" s="407"/>
      <c r="VBE221" s="407"/>
      <c r="VBF221" s="407"/>
      <c r="VBG221" s="407"/>
      <c r="VBH221" s="407"/>
      <c r="VBI221" s="407"/>
      <c r="VBJ221" s="407"/>
      <c r="VBK221" s="407"/>
      <c r="VBL221" s="407"/>
      <c r="VBM221" s="407"/>
      <c r="VBN221" s="407"/>
      <c r="VBO221" s="407"/>
      <c r="VBP221" s="407"/>
      <c r="VBQ221" s="407"/>
      <c r="VBR221" s="407"/>
      <c r="VBS221" s="407"/>
      <c r="VBT221" s="407"/>
      <c r="VBU221" s="407"/>
      <c r="VBV221" s="407"/>
      <c r="VBW221" s="407"/>
      <c r="VBX221" s="407"/>
      <c r="VBY221" s="407"/>
      <c r="VBZ221" s="407"/>
      <c r="VCA221" s="407"/>
      <c r="VCB221" s="407"/>
      <c r="VCC221" s="407"/>
      <c r="VCD221" s="407"/>
      <c r="VCE221" s="407"/>
      <c r="VCF221" s="407"/>
      <c r="VCG221" s="407"/>
      <c r="VCH221" s="407"/>
      <c r="VCI221" s="407"/>
      <c r="VCJ221" s="407"/>
      <c r="VCK221" s="407"/>
      <c r="VCL221" s="407"/>
      <c r="VCM221" s="407"/>
      <c r="VCN221" s="407"/>
      <c r="VCO221" s="407"/>
      <c r="VCP221" s="407"/>
      <c r="VCQ221" s="407"/>
      <c r="VCR221" s="407"/>
      <c r="VCS221" s="407"/>
      <c r="VCT221" s="407"/>
      <c r="VCU221" s="407"/>
      <c r="VCV221" s="407"/>
      <c r="VCW221" s="407"/>
      <c r="VCX221" s="407"/>
      <c r="VCY221" s="407"/>
      <c r="VCZ221" s="407"/>
      <c r="VDA221" s="407"/>
      <c r="VDB221" s="407"/>
      <c r="VDC221" s="407"/>
      <c r="VDD221" s="407"/>
      <c r="VDE221" s="407"/>
      <c r="VDF221" s="407"/>
      <c r="VDG221" s="407"/>
      <c r="VDH221" s="407"/>
      <c r="VDI221" s="407"/>
      <c r="VDJ221" s="407"/>
      <c r="VDK221" s="407"/>
      <c r="VDL221" s="407"/>
      <c r="VDM221" s="407"/>
      <c r="VDN221" s="407"/>
      <c r="VDO221" s="407"/>
      <c r="VDP221" s="407"/>
      <c r="VDQ221" s="407"/>
      <c r="VDR221" s="407"/>
      <c r="VDS221" s="407"/>
      <c r="VDT221" s="407"/>
      <c r="VDU221" s="407"/>
      <c r="VDV221" s="407"/>
      <c r="VDW221" s="407"/>
      <c r="VDX221" s="407"/>
      <c r="VDY221" s="407"/>
      <c r="VDZ221" s="407"/>
      <c r="VEA221" s="407"/>
      <c r="VEB221" s="407"/>
      <c r="VEC221" s="407"/>
      <c r="VED221" s="407"/>
      <c r="VEE221" s="407"/>
      <c r="VEF221" s="407"/>
      <c r="VEG221" s="407"/>
      <c r="VEH221" s="407"/>
      <c r="VEI221" s="407"/>
      <c r="VEJ221" s="407"/>
      <c r="VEK221" s="407"/>
      <c r="VEL221" s="407"/>
      <c r="VEM221" s="407"/>
      <c r="VEN221" s="407"/>
      <c r="VEO221" s="407"/>
      <c r="VEP221" s="407"/>
      <c r="VEQ221" s="407"/>
      <c r="VER221" s="407"/>
      <c r="VES221" s="407"/>
      <c r="VET221" s="407"/>
      <c r="VEU221" s="407"/>
      <c r="VEV221" s="407"/>
      <c r="VEW221" s="407"/>
      <c r="VEX221" s="407"/>
      <c r="VEY221" s="407"/>
      <c r="VEZ221" s="407"/>
      <c r="VFA221" s="407"/>
      <c r="VFB221" s="407"/>
      <c r="VFC221" s="407"/>
      <c r="VFD221" s="407"/>
      <c r="VFE221" s="407"/>
      <c r="VFF221" s="407"/>
      <c r="VFG221" s="407"/>
      <c r="VFH221" s="407"/>
      <c r="VFI221" s="407"/>
      <c r="VFJ221" s="407"/>
      <c r="VFK221" s="407"/>
      <c r="VFL221" s="407"/>
      <c r="VFM221" s="407"/>
      <c r="VFN221" s="407"/>
      <c r="VFO221" s="407"/>
      <c r="VFP221" s="407"/>
      <c r="VFQ221" s="407"/>
      <c r="VFR221" s="407"/>
      <c r="VFS221" s="407"/>
      <c r="VFT221" s="407"/>
      <c r="VFU221" s="407"/>
      <c r="VFV221" s="407"/>
      <c r="VFW221" s="407"/>
      <c r="VFX221" s="407"/>
      <c r="VFY221" s="407"/>
      <c r="VFZ221" s="407"/>
      <c r="VGA221" s="407"/>
      <c r="VGB221" s="407"/>
      <c r="VGC221" s="407"/>
      <c r="VGD221" s="407"/>
      <c r="VGE221" s="407"/>
      <c r="VGF221" s="407"/>
      <c r="VGG221" s="407"/>
      <c r="VGH221" s="407"/>
      <c r="VGI221" s="407"/>
      <c r="VGJ221" s="407"/>
      <c r="VGK221" s="407"/>
      <c r="VGL221" s="407"/>
      <c r="VGM221" s="407"/>
      <c r="VGN221" s="407"/>
      <c r="VGO221" s="407"/>
      <c r="VGP221" s="407"/>
      <c r="VGQ221" s="407"/>
      <c r="VGR221" s="407"/>
      <c r="VGS221" s="407"/>
      <c r="VGT221" s="407"/>
      <c r="VGU221" s="407"/>
      <c r="VGV221" s="407"/>
      <c r="VGW221" s="407"/>
      <c r="VGX221" s="407"/>
      <c r="VGY221" s="407"/>
      <c r="VGZ221" s="407"/>
      <c r="VHA221" s="407"/>
      <c r="VHB221" s="407"/>
      <c r="VHC221" s="407"/>
      <c r="VHD221" s="407"/>
      <c r="VHE221" s="407"/>
      <c r="VHF221" s="407"/>
      <c r="VHG221" s="407"/>
      <c r="VHH221" s="407"/>
      <c r="VHI221" s="407"/>
      <c r="VHJ221" s="407"/>
      <c r="VHK221" s="407"/>
      <c r="VHL221" s="407"/>
      <c r="VHM221" s="407"/>
      <c r="VHN221" s="407"/>
      <c r="VHO221" s="407"/>
      <c r="VHP221" s="407"/>
      <c r="VHQ221" s="407"/>
      <c r="VHR221" s="407"/>
      <c r="VHS221" s="407"/>
      <c r="VHT221" s="407"/>
      <c r="VHU221" s="407"/>
      <c r="VHV221" s="407"/>
      <c r="VHW221" s="407"/>
      <c r="VHX221" s="407"/>
      <c r="VHY221" s="407"/>
      <c r="VHZ221" s="407"/>
      <c r="VIA221" s="407"/>
      <c r="VIB221" s="407"/>
      <c r="VIC221" s="407"/>
      <c r="VID221" s="407"/>
      <c r="VIE221" s="407"/>
      <c r="VIF221" s="407"/>
      <c r="VIG221" s="407"/>
      <c r="VIH221" s="407"/>
      <c r="VII221" s="407"/>
      <c r="VIJ221" s="407"/>
      <c r="VIK221" s="407"/>
      <c r="VIL221" s="407"/>
      <c r="VIM221" s="407"/>
      <c r="VIN221" s="407"/>
      <c r="VIO221" s="407"/>
      <c r="VIP221" s="407"/>
      <c r="VIQ221" s="407"/>
      <c r="VIR221" s="407"/>
      <c r="VIS221" s="407"/>
      <c r="VIT221" s="407"/>
      <c r="VIU221" s="407"/>
      <c r="VIV221" s="407"/>
      <c r="VIW221" s="407"/>
      <c r="VIX221" s="407"/>
      <c r="VIY221" s="407"/>
      <c r="VIZ221" s="407"/>
      <c r="VJA221" s="407"/>
      <c r="VJB221" s="407"/>
      <c r="VJC221" s="407"/>
      <c r="VJD221" s="407"/>
      <c r="VJE221" s="407"/>
      <c r="VJF221" s="407"/>
      <c r="VJG221" s="407"/>
      <c r="VJH221" s="407"/>
      <c r="VJI221" s="407"/>
      <c r="VJJ221" s="407"/>
      <c r="VJK221" s="407"/>
      <c r="VJL221" s="407"/>
      <c r="VJM221" s="407"/>
      <c r="VJN221" s="407"/>
      <c r="VJO221" s="407"/>
      <c r="VJP221" s="407"/>
      <c r="VJQ221" s="407"/>
      <c r="VJR221" s="407"/>
      <c r="VJS221" s="407"/>
      <c r="VJT221" s="407"/>
      <c r="VJU221" s="407"/>
      <c r="VJV221" s="407"/>
      <c r="VJW221" s="407"/>
      <c r="VJX221" s="407"/>
      <c r="VJY221" s="407"/>
      <c r="VJZ221" s="407"/>
      <c r="VKA221" s="407"/>
      <c r="VKB221" s="407"/>
      <c r="VKC221" s="407"/>
      <c r="VKD221" s="407"/>
      <c r="VKE221" s="407"/>
      <c r="VKF221" s="407"/>
      <c r="VKG221" s="407"/>
      <c r="VKH221" s="407"/>
      <c r="VKI221" s="407"/>
      <c r="VKJ221" s="407"/>
      <c r="VKK221" s="407"/>
      <c r="VKL221" s="407"/>
      <c r="VKM221" s="407"/>
      <c r="VKN221" s="407"/>
      <c r="VKO221" s="407"/>
      <c r="VKP221" s="407"/>
      <c r="VKQ221" s="407"/>
      <c r="VKR221" s="407"/>
      <c r="VKS221" s="407"/>
      <c r="VKT221" s="407"/>
      <c r="VKU221" s="407"/>
      <c r="VKV221" s="407"/>
      <c r="VKW221" s="407"/>
      <c r="VKX221" s="407"/>
      <c r="VKY221" s="407"/>
      <c r="VKZ221" s="407"/>
      <c r="VLA221" s="407"/>
      <c r="VLB221" s="407"/>
      <c r="VLC221" s="407"/>
      <c r="VLD221" s="407"/>
      <c r="VLE221" s="407"/>
      <c r="VLF221" s="407"/>
      <c r="VLG221" s="407"/>
      <c r="VLH221" s="407"/>
      <c r="VLI221" s="407"/>
      <c r="VLJ221" s="407"/>
      <c r="VLK221" s="407"/>
      <c r="VLL221" s="407"/>
      <c r="VLM221" s="407"/>
      <c r="VLN221" s="407"/>
      <c r="VLO221" s="407"/>
      <c r="VLP221" s="407"/>
      <c r="VLQ221" s="407"/>
      <c r="VLR221" s="407"/>
      <c r="VLS221" s="407"/>
      <c r="VLT221" s="407"/>
      <c r="VLU221" s="407"/>
      <c r="VLV221" s="407"/>
      <c r="VLW221" s="407"/>
      <c r="VLX221" s="407"/>
      <c r="VLY221" s="407"/>
      <c r="VLZ221" s="407"/>
      <c r="VMA221" s="407"/>
      <c r="VMB221" s="407"/>
      <c r="VMC221" s="407"/>
      <c r="VMD221" s="407"/>
      <c r="VME221" s="407"/>
      <c r="VMF221" s="407"/>
      <c r="VMG221" s="407"/>
      <c r="VMH221" s="407"/>
      <c r="VMI221" s="407"/>
      <c r="VMJ221" s="407"/>
      <c r="VMK221" s="407"/>
      <c r="VML221" s="407"/>
      <c r="VMM221" s="407"/>
      <c r="VMN221" s="407"/>
      <c r="VMO221" s="407"/>
      <c r="VMP221" s="407"/>
      <c r="VMQ221" s="407"/>
      <c r="VMR221" s="407"/>
      <c r="VMS221" s="407"/>
      <c r="VMT221" s="407"/>
      <c r="VMU221" s="407"/>
      <c r="VMV221" s="407"/>
      <c r="VMW221" s="407"/>
      <c r="VMX221" s="407"/>
      <c r="VMY221" s="407"/>
      <c r="VMZ221" s="407"/>
      <c r="VNA221" s="407"/>
      <c r="VNB221" s="407"/>
      <c r="VNC221" s="407"/>
      <c r="VND221" s="407"/>
      <c r="VNE221" s="407"/>
      <c r="VNF221" s="407"/>
      <c r="VNG221" s="407"/>
      <c r="VNH221" s="407"/>
      <c r="VNI221" s="407"/>
      <c r="VNJ221" s="407"/>
      <c r="VNK221" s="407"/>
      <c r="VNL221" s="407"/>
      <c r="VNM221" s="407"/>
      <c r="VNN221" s="407"/>
      <c r="VNO221" s="407"/>
      <c r="VNP221" s="407"/>
      <c r="VNQ221" s="407"/>
      <c r="VNR221" s="407"/>
      <c r="VNS221" s="407"/>
      <c r="VNT221" s="407"/>
      <c r="VNU221" s="407"/>
      <c r="VNV221" s="407"/>
      <c r="VNW221" s="407"/>
      <c r="VNX221" s="407"/>
      <c r="VNY221" s="407"/>
      <c r="VNZ221" s="407"/>
      <c r="VOA221" s="407"/>
      <c r="VOB221" s="407"/>
      <c r="VOC221" s="407"/>
      <c r="VOD221" s="407"/>
      <c r="VOE221" s="407"/>
      <c r="VOF221" s="407"/>
      <c r="VOG221" s="407"/>
      <c r="VOH221" s="407"/>
      <c r="VOI221" s="407"/>
      <c r="VOJ221" s="407"/>
      <c r="VOK221" s="407"/>
      <c r="VOL221" s="407"/>
      <c r="VOM221" s="407"/>
      <c r="VON221" s="407"/>
      <c r="VOO221" s="407"/>
      <c r="VOP221" s="407"/>
      <c r="VOQ221" s="407"/>
      <c r="VOR221" s="407"/>
      <c r="VOS221" s="407"/>
      <c r="VOT221" s="407"/>
      <c r="VOU221" s="407"/>
      <c r="VOV221" s="407"/>
      <c r="VOW221" s="407"/>
      <c r="VOX221" s="407"/>
      <c r="VOY221" s="407"/>
      <c r="VOZ221" s="407"/>
      <c r="VPA221" s="407"/>
      <c r="VPB221" s="407"/>
      <c r="VPC221" s="407"/>
      <c r="VPD221" s="407"/>
      <c r="VPE221" s="407"/>
      <c r="VPF221" s="407"/>
      <c r="VPG221" s="407"/>
      <c r="VPH221" s="407"/>
      <c r="VPI221" s="407"/>
      <c r="VPJ221" s="407"/>
      <c r="VPK221" s="407"/>
      <c r="VPL221" s="407"/>
      <c r="VPM221" s="407"/>
      <c r="VPN221" s="407"/>
      <c r="VPO221" s="407"/>
      <c r="VPP221" s="407"/>
      <c r="VPQ221" s="407"/>
      <c r="VPR221" s="407"/>
      <c r="VPS221" s="407"/>
      <c r="VPT221" s="407"/>
      <c r="VPU221" s="407"/>
      <c r="VPV221" s="407"/>
      <c r="VPW221" s="407"/>
      <c r="VPX221" s="407"/>
      <c r="VPY221" s="407"/>
      <c r="VPZ221" s="407"/>
      <c r="VQA221" s="407"/>
      <c r="VQB221" s="407"/>
      <c r="VQC221" s="407"/>
      <c r="VQD221" s="407"/>
      <c r="VQE221" s="407"/>
      <c r="VQF221" s="407"/>
      <c r="VQG221" s="407"/>
      <c r="VQH221" s="407"/>
      <c r="VQI221" s="407"/>
      <c r="VQJ221" s="407"/>
      <c r="VQK221" s="407"/>
      <c r="VQL221" s="407"/>
      <c r="VQM221" s="407"/>
      <c r="VQN221" s="407"/>
      <c r="VQO221" s="407"/>
      <c r="VQP221" s="407"/>
      <c r="VQQ221" s="407"/>
      <c r="VQR221" s="407"/>
      <c r="VQS221" s="407"/>
      <c r="VQT221" s="407"/>
      <c r="VQU221" s="407"/>
      <c r="VQV221" s="407"/>
      <c r="VQW221" s="407"/>
      <c r="VQX221" s="407"/>
      <c r="VQY221" s="407"/>
      <c r="VQZ221" s="407"/>
      <c r="VRA221" s="407"/>
      <c r="VRB221" s="407"/>
      <c r="VRC221" s="407"/>
      <c r="VRD221" s="407"/>
      <c r="VRE221" s="407"/>
      <c r="VRF221" s="407"/>
      <c r="VRG221" s="407"/>
      <c r="VRH221" s="407"/>
      <c r="VRI221" s="407"/>
      <c r="VRJ221" s="407"/>
      <c r="VRK221" s="407"/>
      <c r="VRL221" s="407"/>
      <c r="VRM221" s="407"/>
      <c r="VRN221" s="407"/>
      <c r="VRO221" s="407"/>
      <c r="VRP221" s="407"/>
      <c r="VRQ221" s="407"/>
      <c r="VRR221" s="407"/>
      <c r="VRS221" s="407"/>
      <c r="VRT221" s="407"/>
      <c r="VRU221" s="407"/>
      <c r="VRV221" s="407"/>
      <c r="VRW221" s="407"/>
      <c r="VRX221" s="407"/>
      <c r="VRY221" s="407"/>
      <c r="VRZ221" s="407"/>
      <c r="VSA221" s="407"/>
      <c r="VSB221" s="407"/>
      <c r="VSC221" s="407"/>
      <c r="VSD221" s="407"/>
      <c r="VSE221" s="407"/>
      <c r="VSF221" s="407"/>
      <c r="VSG221" s="407"/>
      <c r="VSH221" s="407"/>
      <c r="VSI221" s="407"/>
      <c r="VSJ221" s="407"/>
      <c r="VSK221" s="407"/>
      <c r="VSL221" s="407"/>
      <c r="VSM221" s="407"/>
      <c r="VSN221" s="407"/>
      <c r="VSO221" s="407"/>
      <c r="VSP221" s="407"/>
      <c r="VSQ221" s="407"/>
      <c r="VSR221" s="407"/>
      <c r="VSS221" s="407"/>
      <c r="VST221" s="407"/>
      <c r="VSU221" s="407"/>
      <c r="VSV221" s="407"/>
      <c r="VSW221" s="407"/>
      <c r="VSX221" s="407"/>
      <c r="VSY221" s="407"/>
      <c r="VSZ221" s="407"/>
      <c r="VTA221" s="407"/>
      <c r="VTB221" s="407"/>
      <c r="VTC221" s="407"/>
      <c r="VTD221" s="407"/>
      <c r="VTE221" s="407"/>
      <c r="VTF221" s="407"/>
      <c r="VTG221" s="407"/>
      <c r="VTH221" s="407"/>
      <c r="VTI221" s="407"/>
      <c r="VTJ221" s="407"/>
      <c r="VTK221" s="407"/>
      <c r="VTL221" s="407"/>
      <c r="VTM221" s="407"/>
      <c r="VTN221" s="407"/>
      <c r="VTO221" s="407"/>
      <c r="VTP221" s="407"/>
      <c r="VTQ221" s="407"/>
      <c r="VTR221" s="407"/>
      <c r="VTS221" s="407"/>
      <c r="VTT221" s="407"/>
      <c r="VTU221" s="407"/>
      <c r="VTV221" s="407"/>
      <c r="VTW221" s="407"/>
      <c r="VTX221" s="407"/>
      <c r="VTY221" s="407"/>
      <c r="VTZ221" s="407"/>
      <c r="VUA221" s="407"/>
      <c r="VUB221" s="407"/>
      <c r="VUC221" s="407"/>
      <c r="VUD221" s="407"/>
      <c r="VUE221" s="407"/>
      <c r="VUF221" s="407"/>
      <c r="VUG221" s="407"/>
      <c r="VUH221" s="407"/>
      <c r="VUI221" s="407"/>
      <c r="VUJ221" s="407"/>
      <c r="VUK221" s="407"/>
      <c r="VUL221" s="407"/>
      <c r="VUM221" s="407"/>
      <c r="VUN221" s="407"/>
      <c r="VUO221" s="407"/>
      <c r="VUP221" s="407"/>
      <c r="VUQ221" s="407"/>
      <c r="VUR221" s="407"/>
      <c r="VUS221" s="407"/>
      <c r="VUT221" s="407"/>
      <c r="VUU221" s="407"/>
      <c r="VUV221" s="407"/>
      <c r="VUW221" s="407"/>
      <c r="VUX221" s="407"/>
      <c r="VUY221" s="407"/>
      <c r="VUZ221" s="407"/>
      <c r="VVA221" s="407"/>
      <c r="VVB221" s="407"/>
      <c r="VVC221" s="407"/>
      <c r="VVD221" s="407"/>
      <c r="VVE221" s="407"/>
      <c r="VVF221" s="407"/>
      <c r="VVG221" s="407"/>
      <c r="VVH221" s="407"/>
      <c r="VVI221" s="407"/>
      <c r="VVJ221" s="407"/>
      <c r="VVK221" s="407"/>
      <c r="VVL221" s="407"/>
      <c r="VVM221" s="407"/>
      <c r="VVN221" s="407"/>
      <c r="VVO221" s="407"/>
      <c r="VVP221" s="407"/>
      <c r="VVQ221" s="407"/>
      <c r="VVR221" s="407"/>
      <c r="VVS221" s="407"/>
      <c r="VVT221" s="407"/>
      <c r="VVU221" s="407"/>
      <c r="VVV221" s="407"/>
      <c r="VVW221" s="407"/>
      <c r="VVX221" s="407"/>
      <c r="VVY221" s="407"/>
      <c r="VVZ221" s="407"/>
      <c r="VWA221" s="407"/>
      <c r="VWB221" s="407"/>
      <c r="VWC221" s="407"/>
      <c r="VWD221" s="407"/>
      <c r="VWE221" s="407"/>
      <c r="VWF221" s="407"/>
      <c r="VWG221" s="407"/>
      <c r="VWH221" s="407"/>
      <c r="VWI221" s="407"/>
      <c r="VWJ221" s="407"/>
      <c r="VWK221" s="407"/>
      <c r="VWL221" s="407"/>
      <c r="VWM221" s="407"/>
      <c r="VWN221" s="407"/>
      <c r="VWO221" s="407"/>
      <c r="VWP221" s="407"/>
      <c r="VWQ221" s="407"/>
      <c r="VWR221" s="407"/>
      <c r="VWS221" s="407"/>
      <c r="VWT221" s="407"/>
      <c r="VWU221" s="407"/>
      <c r="VWV221" s="407"/>
      <c r="VWW221" s="407"/>
      <c r="VWX221" s="407"/>
      <c r="VWY221" s="407"/>
      <c r="VWZ221" s="407"/>
      <c r="VXA221" s="407"/>
      <c r="VXB221" s="407"/>
      <c r="VXC221" s="407"/>
      <c r="VXD221" s="407"/>
      <c r="VXE221" s="407"/>
      <c r="VXF221" s="407"/>
      <c r="VXG221" s="407"/>
      <c r="VXH221" s="407"/>
      <c r="VXI221" s="407"/>
      <c r="VXJ221" s="407"/>
      <c r="VXK221" s="407"/>
      <c r="VXL221" s="407"/>
      <c r="VXM221" s="407"/>
      <c r="VXN221" s="407"/>
      <c r="VXO221" s="407"/>
      <c r="VXP221" s="407"/>
      <c r="VXQ221" s="407"/>
      <c r="VXR221" s="407"/>
      <c r="VXS221" s="407"/>
      <c r="VXT221" s="407"/>
      <c r="VXU221" s="407"/>
      <c r="VXV221" s="407"/>
      <c r="VXW221" s="407"/>
      <c r="VXX221" s="407"/>
      <c r="VXY221" s="407"/>
      <c r="VXZ221" s="407"/>
      <c r="VYA221" s="407"/>
      <c r="VYB221" s="407"/>
      <c r="VYC221" s="407"/>
      <c r="VYD221" s="407"/>
      <c r="VYE221" s="407"/>
      <c r="VYF221" s="407"/>
      <c r="VYG221" s="407"/>
      <c r="VYH221" s="407"/>
      <c r="VYI221" s="407"/>
      <c r="VYJ221" s="407"/>
      <c r="VYK221" s="407"/>
      <c r="VYL221" s="407"/>
      <c r="VYM221" s="407"/>
      <c r="VYN221" s="407"/>
      <c r="VYO221" s="407"/>
      <c r="VYP221" s="407"/>
      <c r="VYQ221" s="407"/>
      <c r="VYR221" s="407"/>
      <c r="VYS221" s="407"/>
      <c r="VYT221" s="407"/>
      <c r="VYU221" s="407"/>
      <c r="VYV221" s="407"/>
      <c r="VYW221" s="407"/>
      <c r="VYX221" s="407"/>
      <c r="VYY221" s="407"/>
      <c r="VYZ221" s="407"/>
      <c r="VZA221" s="407"/>
      <c r="VZB221" s="407"/>
      <c r="VZC221" s="407"/>
      <c r="VZD221" s="407"/>
      <c r="VZE221" s="407"/>
      <c r="VZF221" s="407"/>
      <c r="VZG221" s="407"/>
      <c r="VZH221" s="407"/>
      <c r="VZI221" s="407"/>
      <c r="VZJ221" s="407"/>
      <c r="VZK221" s="407"/>
      <c r="VZL221" s="407"/>
      <c r="VZM221" s="407"/>
      <c r="VZN221" s="407"/>
      <c r="VZO221" s="407"/>
      <c r="VZP221" s="407"/>
      <c r="VZQ221" s="407"/>
      <c r="VZR221" s="407"/>
      <c r="VZS221" s="407"/>
      <c r="VZT221" s="407"/>
      <c r="VZU221" s="407"/>
      <c r="VZV221" s="407"/>
      <c r="VZW221" s="407"/>
      <c r="VZX221" s="407"/>
      <c r="VZY221" s="407"/>
      <c r="VZZ221" s="407"/>
      <c r="WAA221" s="407"/>
      <c r="WAB221" s="407"/>
      <c r="WAC221" s="407"/>
      <c r="WAD221" s="407"/>
      <c r="WAE221" s="407"/>
      <c r="WAF221" s="407"/>
      <c r="WAG221" s="407"/>
      <c r="WAH221" s="407"/>
      <c r="WAI221" s="407"/>
      <c r="WAJ221" s="407"/>
      <c r="WAK221" s="407"/>
      <c r="WAL221" s="407"/>
      <c r="WAM221" s="407"/>
      <c r="WAN221" s="407"/>
      <c r="WAO221" s="407"/>
      <c r="WAP221" s="407"/>
      <c r="WAQ221" s="407"/>
      <c r="WAR221" s="407"/>
      <c r="WAS221" s="407"/>
      <c r="WAT221" s="407"/>
      <c r="WAU221" s="407"/>
      <c r="WAV221" s="407"/>
      <c r="WAW221" s="407"/>
      <c r="WAX221" s="407"/>
      <c r="WAY221" s="407"/>
      <c r="WAZ221" s="407"/>
      <c r="WBA221" s="407"/>
      <c r="WBB221" s="407"/>
      <c r="WBC221" s="407"/>
      <c r="WBD221" s="407"/>
      <c r="WBE221" s="407"/>
      <c r="WBF221" s="407"/>
      <c r="WBG221" s="407"/>
      <c r="WBH221" s="407"/>
      <c r="WBI221" s="407"/>
      <c r="WBJ221" s="407"/>
      <c r="WBK221" s="407"/>
      <c r="WBL221" s="407"/>
      <c r="WBM221" s="407"/>
      <c r="WBN221" s="407"/>
      <c r="WBO221" s="407"/>
      <c r="WBP221" s="407"/>
      <c r="WBQ221" s="407"/>
      <c r="WBR221" s="407"/>
      <c r="WBS221" s="407"/>
      <c r="WBT221" s="407"/>
      <c r="WBU221" s="407"/>
      <c r="WBV221" s="407"/>
      <c r="WBW221" s="407"/>
      <c r="WBX221" s="407"/>
      <c r="WBY221" s="407"/>
      <c r="WBZ221" s="407"/>
      <c r="WCA221" s="407"/>
      <c r="WCB221" s="407"/>
      <c r="WCC221" s="407"/>
      <c r="WCD221" s="407"/>
      <c r="WCE221" s="407"/>
      <c r="WCF221" s="407"/>
      <c r="WCG221" s="407"/>
      <c r="WCH221" s="407"/>
      <c r="WCI221" s="407"/>
      <c r="WCJ221" s="407"/>
      <c r="WCK221" s="407"/>
      <c r="WCL221" s="407"/>
      <c r="WCM221" s="407"/>
      <c r="WCN221" s="407"/>
      <c r="WCO221" s="407"/>
      <c r="WCP221" s="407"/>
      <c r="WCQ221" s="407"/>
      <c r="WCR221" s="407"/>
      <c r="WCS221" s="407"/>
      <c r="WCT221" s="407"/>
      <c r="WCU221" s="407"/>
      <c r="WCV221" s="407"/>
      <c r="WCW221" s="407"/>
      <c r="WCX221" s="407"/>
      <c r="WCY221" s="407"/>
      <c r="WCZ221" s="407"/>
      <c r="WDA221" s="407"/>
      <c r="WDB221" s="407"/>
      <c r="WDC221" s="407"/>
      <c r="WDD221" s="407"/>
      <c r="WDE221" s="407"/>
      <c r="WDF221" s="407"/>
      <c r="WDG221" s="407"/>
      <c r="WDH221" s="407"/>
      <c r="WDI221" s="407"/>
      <c r="WDJ221" s="407"/>
      <c r="WDK221" s="407"/>
      <c r="WDL221" s="407"/>
      <c r="WDM221" s="407"/>
      <c r="WDN221" s="407"/>
      <c r="WDO221" s="407"/>
      <c r="WDP221" s="407"/>
      <c r="WDQ221" s="407"/>
      <c r="WDR221" s="407"/>
      <c r="WDS221" s="407"/>
      <c r="WDT221" s="407"/>
      <c r="WDU221" s="407"/>
      <c r="WDV221" s="407"/>
      <c r="WDW221" s="407"/>
      <c r="WDX221" s="407"/>
      <c r="WDY221" s="407"/>
      <c r="WDZ221" s="407"/>
      <c r="WEA221" s="407"/>
      <c r="WEB221" s="407"/>
      <c r="WEC221" s="407"/>
      <c r="WED221" s="407"/>
      <c r="WEE221" s="407"/>
      <c r="WEF221" s="407"/>
      <c r="WEG221" s="407"/>
      <c r="WEH221" s="407"/>
      <c r="WEI221" s="407"/>
      <c r="WEJ221" s="407"/>
      <c r="WEK221" s="407"/>
      <c r="WEL221" s="407"/>
      <c r="WEM221" s="407"/>
      <c r="WEN221" s="407"/>
      <c r="WEO221" s="407"/>
      <c r="WEP221" s="407"/>
      <c r="WEQ221" s="407"/>
      <c r="WER221" s="407"/>
      <c r="WES221" s="407"/>
      <c r="WET221" s="407"/>
      <c r="WEU221" s="407"/>
      <c r="WEV221" s="407"/>
      <c r="WEW221" s="407"/>
      <c r="WEX221" s="407"/>
      <c r="WEY221" s="407"/>
      <c r="WEZ221" s="407"/>
      <c r="WFA221" s="407"/>
      <c r="WFB221" s="407"/>
      <c r="WFC221" s="407"/>
      <c r="WFD221" s="407"/>
      <c r="WFE221" s="407"/>
      <c r="WFF221" s="407"/>
      <c r="WFG221" s="407"/>
      <c r="WFH221" s="407"/>
      <c r="WFI221" s="407"/>
      <c r="WFJ221" s="407"/>
      <c r="WFK221" s="407"/>
      <c r="WFL221" s="407"/>
      <c r="WFM221" s="407"/>
      <c r="WFN221" s="407"/>
      <c r="WFO221" s="407"/>
      <c r="WFP221" s="407"/>
      <c r="WFQ221" s="407"/>
      <c r="WFR221" s="407"/>
      <c r="WFS221" s="407"/>
      <c r="WFT221" s="407"/>
      <c r="WFU221" s="407"/>
      <c r="WFV221" s="407"/>
      <c r="WFW221" s="407"/>
      <c r="WFX221" s="407"/>
      <c r="WFY221" s="407"/>
      <c r="WFZ221" s="407"/>
      <c r="WGA221" s="407"/>
      <c r="WGB221" s="407"/>
      <c r="WGC221" s="407"/>
      <c r="WGD221" s="407"/>
      <c r="WGE221" s="407"/>
      <c r="WGF221" s="407"/>
      <c r="WGG221" s="407"/>
      <c r="WGH221" s="407"/>
      <c r="WGI221" s="407"/>
      <c r="WGJ221" s="407"/>
      <c r="WGK221" s="407"/>
      <c r="WGL221" s="407"/>
      <c r="WGM221" s="407"/>
      <c r="WGN221" s="407"/>
      <c r="WGO221" s="407"/>
      <c r="WGP221" s="407"/>
      <c r="WGQ221" s="407"/>
      <c r="WGR221" s="407"/>
      <c r="WGS221" s="407"/>
      <c r="WGT221" s="407"/>
      <c r="WGU221" s="407"/>
      <c r="WGV221" s="407"/>
      <c r="WGW221" s="407"/>
      <c r="WGX221" s="407"/>
      <c r="WGY221" s="407"/>
      <c r="WGZ221" s="407"/>
      <c r="WHA221" s="407"/>
      <c r="WHB221" s="407"/>
      <c r="WHC221" s="407"/>
      <c r="WHD221" s="407"/>
      <c r="WHE221" s="407"/>
      <c r="WHF221" s="407"/>
      <c r="WHG221" s="407"/>
      <c r="WHH221" s="407"/>
      <c r="WHI221" s="407"/>
      <c r="WHJ221" s="407"/>
      <c r="WHK221" s="407"/>
      <c r="WHL221" s="407"/>
      <c r="WHM221" s="407"/>
      <c r="WHN221" s="407"/>
      <c r="WHO221" s="407"/>
      <c r="WHP221" s="407"/>
      <c r="WHQ221" s="407"/>
      <c r="WHR221" s="407"/>
      <c r="WHS221" s="407"/>
      <c r="WHT221" s="407"/>
      <c r="WHU221" s="407"/>
      <c r="WHV221" s="407"/>
      <c r="WHW221" s="407"/>
      <c r="WHX221" s="407"/>
      <c r="WHY221" s="407"/>
      <c r="WHZ221" s="407"/>
      <c r="WIA221" s="407"/>
      <c r="WIB221" s="407"/>
      <c r="WIC221" s="407"/>
      <c r="WID221" s="407"/>
      <c r="WIE221" s="407"/>
      <c r="WIF221" s="407"/>
      <c r="WIG221" s="407"/>
      <c r="WIH221" s="407"/>
      <c r="WII221" s="407"/>
      <c r="WIJ221" s="407"/>
      <c r="WIK221" s="407"/>
      <c r="WIL221" s="407"/>
      <c r="WIM221" s="407"/>
      <c r="WIN221" s="407"/>
      <c r="WIO221" s="407"/>
      <c r="WIP221" s="407"/>
      <c r="WIQ221" s="407"/>
      <c r="WIR221" s="407"/>
      <c r="WIS221" s="407"/>
      <c r="WIT221" s="407"/>
      <c r="WIU221" s="407"/>
      <c r="WIV221" s="407"/>
      <c r="WIW221" s="407"/>
      <c r="WIX221" s="407"/>
      <c r="WIY221" s="407"/>
      <c r="WIZ221" s="407"/>
      <c r="WJA221" s="407"/>
      <c r="WJB221" s="407"/>
      <c r="WJC221" s="407"/>
      <c r="WJD221" s="407"/>
      <c r="WJE221" s="407"/>
      <c r="WJF221" s="407"/>
      <c r="WJG221" s="407"/>
      <c r="WJH221" s="407"/>
      <c r="WJI221" s="407"/>
      <c r="WJJ221" s="407"/>
      <c r="WJK221" s="407"/>
      <c r="WJL221" s="407"/>
      <c r="WJM221" s="407"/>
      <c r="WJN221" s="407"/>
      <c r="WJO221" s="407"/>
      <c r="WJP221" s="407"/>
      <c r="WJQ221" s="407"/>
      <c r="WJR221" s="407"/>
      <c r="WJS221" s="407"/>
      <c r="WJT221" s="407"/>
      <c r="WJU221" s="407"/>
      <c r="WJV221" s="407"/>
      <c r="WJW221" s="407"/>
      <c r="WJX221" s="407"/>
      <c r="WJY221" s="407"/>
      <c r="WJZ221" s="407"/>
      <c r="WKA221" s="407"/>
      <c r="WKB221" s="407"/>
      <c r="WKC221" s="407"/>
      <c r="WKD221" s="407"/>
      <c r="WKE221" s="407"/>
      <c r="WKF221" s="407"/>
      <c r="WKG221" s="407"/>
      <c r="WKH221" s="407"/>
      <c r="WKI221" s="407"/>
      <c r="WKJ221" s="407"/>
      <c r="WKK221" s="407"/>
      <c r="WKL221" s="407"/>
      <c r="WKM221" s="407"/>
      <c r="WKN221" s="407"/>
      <c r="WKO221" s="407"/>
      <c r="WKP221" s="407"/>
      <c r="WKQ221" s="407"/>
      <c r="WKR221" s="407"/>
      <c r="WKS221" s="407"/>
      <c r="WKT221" s="407"/>
      <c r="WKU221" s="407"/>
      <c r="WKV221" s="407"/>
      <c r="WKW221" s="407"/>
      <c r="WKX221" s="407"/>
      <c r="WKY221" s="407"/>
      <c r="WKZ221" s="407"/>
      <c r="WLA221" s="407"/>
      <c r="WLB221" s="407"/>
      <c r="WLC221" s="407"/>
      <c r="WLD221" s="407"/>
      <c r="WLE221" s="407"/>
      <c r="WLF221" s="407"/>
      <c r="WLG221" s="407"/>
      <c r="WLH221" s="407"/>
      <c r="WLI221" s="407"/>
      <c r="WLJ221" s="407"/>
      <c r="WLK221" s="407"/>
      <c r="WLL221" s="407"/>
      <c r="WLM221" s="407"/>
      <c r="WLN221" s="407"/>
      <c r="WLO221" s="407"/>
      <c r="WLP221" s="407"/>
      <c r="WLQ221" s="407"/>
      <c r="WLR221" s="407"/>
      <c r="WLS221" s="407"/>
      <c r="WLT221" s="407"/>
      <c r="WLU221" s="407"/>
      <c r="WLV221" s="407"/>
      <c r="WLW221" s="407"/>
      <c r="WLX221" s="407"/>
      <c r="WLY221" s="407"/>
      <c r="WLZ221" s="407"/>
      <c r="WMA221" s="407"/>
      <c r="WMB221" s="407"/>
      <c r="WMC221" s="407"/>
      <c r="WMD221" s="407"/>
      <c r="WME221" s="407"/>
      <c r="WMF221" s="407"/>
      <c r="WMG221" s="407"/>
      <c r="WMH221" s="407"/>
      <c r="WMI221" s="407"/>
      <c r="WMJ221" s="407"/>
      <c r="WMK221" s="407"/>
      <c r="WML221" s="407"/>
      <c r="WMM221" s="407"/>
      <c r="WMN221" s="407"/>
      <c r="WMO221" s="407"/>
      <c r="WMP221" s="407"/>
      <c r="WMQ221" s="407"/>
      <c r="WMR221" s="407"/>
      <c r="WMS221" s="407"/>
      <c r="WMT221" s="407"/>
      <c r="WMU221" s="407"/>
      <c r="WMV221" s="407"/>
      <c r="WMW221" s="407"/>
      <c r="WMX221" s="407"/>
      <c r="WMY221" s="407"/>
      <c r="WMZ221" s="407"/>
      <c r="WNA221" s="407"/>
      <c r="WNB221" s="407"/>
      <c r="WNC221" s="407"/>
      <c r="WND221" s="407"/>
      <c r="WNE221" s="407"/>
      <c r="WNF221" s="407"/>
      <c r="WNG221" s="407"/>
      <c r="WNH221" s="407"/>
      <c r="WNI221" s="407"/>
      <c r="WNJ221" s="407"/>
      <c r="WNK221" s="407"/>
      <c r="WNL221" s="407"/>
      <c r="WNM221" s="407"/>
      <c r="WNN221" s="407"/>
      <c r="WNO221" s="407"/>
      <c r="WNP221" s="407"/>
      <c r="WNQ221" s="407"/>
      <c r="WNR221" s="407"/>
      <c r="WNS221" s="407"/>
      <c r="WNT221" s="407"/>
      <c r="WNU221" s="407"/>
      <c r="WNV221" s="407"/>
      <c r="WNW221" s="407"/>
      <c r="WNX221" s="407"/>
      <c r="WNY221" s="407"/>
      <c r="WNZ221" s="407"/>
      <c r="WOA221" s="407"/>
      <c r="WOB221" s="407"/>
      <c r="WOC221" s="407"/>
      <c r="WOD221" s="407"/>
      <c r="WOE221" s="407"/>
      <c r="WOF221" s="407"/>
      <c r="WOG221" s="407"/>
      <c r="WOH221" s="407"/>
      <c r="WOI221" s="407"/>
      <c r="WOJ221" s="407"/>
      <c r="WOK221" s="407"/>
      <c r="WOL221" s="407"/>
      <c r="WOM221" s="407"/>
      <c r="WON221" s="407"/>
      <c r="WOO221" s="407"/>
      <c r="WOP221" s="407"/>
      <c r="WOQ221" s="407"/>
      <c r="WOR221" s="407"/>
      <c r="WOS221" s="407"/>
      <c r="WOT221" s="407"/>
      <c r="WOU221" s="407"/>
      <c r="WOV221" s="407"/>
      <c r="WOW221" s="407"/>
      <c r="WOX221" s="407"/>
      <c r="WOY221" s="407"/>
      <c r="WOZ221" s="407"/>
      <c r="WPA221" s="407"/>
      <c r="WPB221" s="407"/>
      <c r="WPC221" s="407"/>
      <c r="WPD221" s="407"/>
      <c r="WPE221" s="407"/>
      <c r="WPF221" s="407"/>
      <c r="WPG221" s="407"/>
      <c r="WPH221" s="407"/>
      <c r="WPI221" s="407"/>
      <c r="WPJ221" s="407"/>
      <c r="WPK221" s="407"/>
      <c r="WPL221" s="407"/>
      <c r="WPM221" s="407"/>
      <c r="WPN221" s="407"/>
      <c r="WPO221" s="407"/>
      <c r="WPP221" s="407"/>
      <c r="WPQ221" s="407"/>
      <c r="WPR221" s="407"/>
      <c r="WPS221" s="407"/>
      <c r="WPT221" s="407"/>
      <c r="WPU221" s="407"/>
      <c r="WPV221" s="407"/>
      <c r="WPW221" s="407"/>
      <c r="WPX221" s="407"/>
      <c r="WPY221" s="407"/>
      <c r="WPZ221" s="407"/>
      <c r="WQA221" s="407"/>
      <c r="WQB221" s="407"/>
      <c r="WQC221" s="407"/>
      <c r="WQD221" s="407"/>
      <c r="WQE221" s="407"/>
      <c r="WQF221" s="407"/>
      <c r="WQG221" s="407"/>
      <c r="WQH221" s="407"/>
      <c r="WQI221" s="407"/>
      <c r="WQJ221" s="407"/>
      <c r="WQK221" s="407"/>
      <c r="WQL221" s="407"/>
      <c r="WQM221" s="407"/>
      <c r="WQN221" s="407"/>
      <c r="WQO221" s="407"/>
      <c r="WQP221" s="407"/>
      <c r="WQQ221" s="407"/>
      <c r="WQR221" s="407"/>
      <c r="WQS221" s="407"/>
      <c r="WQT221" s="407"/>
      <c r="WQU221" s="407"/>
      <c r="WQV221" s="407"/>
      <c r="WQW221" s="407"/>
      <c r="WQX221" s="407"/>
      <c r="WQY221" s="407"/>
      <c r="WQZ221" s="407"/>
      <c r="WRA221" s="407"/>
      <c r="WRB221" s="407"/>
      <c r="WRC221" s="407"/>
      <c r="WRD221" s="407"/>
      <c r="WRE221" s="407"/>
      <c r="WRF221" s="407"/>
      <c r="WRG221" s="407"/>
      <c r="WRH221" s="407"/>
      <c r="WRI221" s="407"/>
      <c r="WRJ221" s="407"/>
      <c r="WRK221" s="407"/>
      <c r="WRL221" s="407"/>
      <c r="WRM221" s="407"/>
      <c r="WRN221" s="407"/>
      <c r="WRO221" s="407"/>
      <c r="WRP221" s="407"/>
      <c r="WRQ221" s="407"/>
      <c r="WRR221" s="407"/>
      <c r="WRS221" s="407"/>
      <c r="WRT221" s="407"/>
      <c r="WRU221" s="407"/>
      <c r="WRV221" s="407"/>
      <c r="WRW221" s="407"/>
      <c r="WRX221" s="407"/>
      <c r="WRY221" s="407"/>
      <c r="WRZ221" s="407"/>
      <c r="WSA221" s="407"/>
      <c r="WSB221" s="407"/>
      <c r="WSC221" s="407"/>
      <c r="WSD221" s="407"/>
      <c r="WSE221" s="407"/>
      <c r="WSF221" s="407"/>
      <c r="WSG221" s="407"/>
      <c r="WSH221" s="407"/>
      <c r="WSI221" s="407"/>
      <c r="WSJ221" s="407"/>
      <c r="WSK221" s="407"/>
      <c r="WSL221" s="407"/>
      <c r="WSM221" s="407"/>
      <c r="WSN221" s="407"/>
      <c r="WSO221" s="407"/>
      <c r="WSP221" s="407"/>
      <c r="WSQ221" s="407"/>
      <c r="WSR221" s="407"/>
      <c r="WSS221" s="407"/>
      <c r="WST221" s="407"/>
      <c r="WSU221" s="407"/>
      <c r="WSV221" s="407"/>
      <c r="WSW221" s="407"/>
      <c r="WSX221" s="407"/>
      <c r="WSY221" s="407"/>
      <c r="WSZ221" s="407"/>
      <c r="WTA221" s="407"/>
      <c r="WTB221" s="407"/>
      <c r="WTC221" s="407"/>
      <c r="WTD221" s="407"/>
      <c r="WTE221" s="407"/>
      <c r="WTF221" s="407"/>
      <c r="WTG221" s="407"/>
      <c r="WTH221" s="407"/>
      <c r="WTI221" s="407"/>
      <c r="WTJ221" s="407"/>
      <c r="WTK221" s="407"/>
      <c r="WTL221" s="407"/>
      <c r="WTM221" s="407"/>
      <c r="WTN221" s="407"/>
      <c r="WTO221" s="407"/>
      <c r="WTP221" s="407"/>
      <c r="WTQ221" s="407"/>
      <c r="WTR221" s="407"/>
      <c r="WTS221" s="407"/>
      <c r="WTT221" s="407"/>
      <c r="WTU221" s="407"/>
      <c r="WTV221" s="407"/>
      <c r="WTW221" s="407"/>
      <c r="WTX221" s="407"/>
      <c r="WTY221" s="407"/>
      <c r="WTZ221" s="407"/>
      <c r="WUA221" s="407"/>
      <c r="WUB221" s="407"/>
      <c r="WUC221" s="407"/>
      <c r="WUD221" s="407"/>
      <c r="WUE221" s="407"/>
      <c r="WUF221" s="407"/>
      <c r="WUG221" s="407"/>
      <c r="WUH221" s="407"/>
      <c r="WUI221" s="407"/>
      <c r="WUJ221" s="407"/>
      <c r="WUK221" s="407"/>
      <c r="WUL221" s="407"/>
      <c r="WUM221" s="407"/>
      <c r="WUN221" s="407"/>
      <c r="WUO221" s="407"/>
      <c r="WUP221" s="407"/>
      <c r="WUQ221" s="407"/>
      <c r="WUR221" s="407"/>
      <c r="WUS221" s="407"/>
      <c r="WUT221" s="407"/>
      <c r="WUU221" s="407"/>
      <c r="WUV221" s="407"/>
      <c r="WUW221" s="407"/>
      <c r="WUX221" s="407"/>
      <c r="WUY221" s="407"/>
      <c r="WUZ221" s="407"/>
      <c r="WVA221" s="407"/>
      <c r="WVB221" s="407"/>
      <c r="WVC221" s="407"/>
      <c r="WVD221" s="407"/>
      <c r="WVE221" s="407"/>
      <c r="WVF221" s="407"/>
      <c r="WVG221" s="407"/>
      <c r="WVH221" s="407"/>
      <c r="WVI221" s="407"/>
      <c r="WVJ221" s="407"/>
      <c r="WVK221" s="407"/>
      <c r="WVL221" s="407"/>
      <c r="WVM221" s="407"/>
      <c r="WVN221" s="407"/>
      <c r="WVO221" s="407"/>
      <c r="WVP221" s="407"/>
      <c r="WVQ221" s="407"/>
      <c r="WVR221" s="407"/>
      <c r="WVS221" s="407"/>
      <c r="WVT221" s="407"/>
      <c r="WVU221" s="407"/>
      <c r="WVV221" s="407"/>
      <c r="WVW221" s="407"/>
      <c r="WVX221" s="407"/>
      <c r="WVY221" s="407"/>
      <c r="WVZ221" s="407"/>
      <c r="WWA221" s="407"/>
      <c r="WWB221" s="407"/>
      <c r="WWC221" s="407"/>
      <c r="WWD221" s="407"/>
      <c r="WWE221" s="407"/>
      <c r="WWF221" s="407"/>
      <c r="WWG221" s="407"/>
      <c r="WWH221" s="407"/>
      <c r="WWI221" s="407"/>
      <c r="WWJ221" s="407"/>
      <c r="WWK221" s="407"/>
      <c r="WWL221" s="407"/>
      <c r="WWM221" s="407"/>
      <c r="WWN221" s="407"/>
      <c r="WWO221" s="407"/>
      <c r="WWP221" s="407"/>
      <c r="WWQ221" s="407"/>
      <c r="WWR221" s="407"/>
      <c r="WWS221" s="407"/>
      <c r="WWT221" s="407"/>
      <c r="WWU221" s="407"/>
      <c r="WWV221" s="407"/>
      <c r="WWW221" s="407"/>
      <c r="WWX221" s="407"/>
      <c r="WWY221" s="407"/>
      <c r="WWZ221" s="407"/>
      <c r="WXA221" s="407"/>
      <c r="WXB221" s="407"/>
      <c r="WXC221" s="407"/>
      <c r="WXD221" s="407"/>
      <c r="WXE221" s="407"/>
      <c r="WXF221" s="407"/>
      <c r="WXG221" s="407"/>
      <c r="WXH221" s="407"/>
      <c r="WXI221" s="407"/>
      <c r="WXJ221" s="407"/>
      <c r="WXK221" s="407"/>
      <c r="WXL221" s="407"/>
      <c r="WXM221" s="407"/>
      <c r="WXN221" s="407"/>
      <c r="WXO221" s="407"/>
      <c r="WXP221" s="407"/>
      <c r="WXQ221" s="407"/>
      <c r="WXR221" s="407"/>
      <c r="WXS221" s="407"/>
      <c r="WXT221" s="407"/>
      <c r="WXU221" s="407"/>
      <c r="WXV221" s="407"/>
      <c r="WXW221" s="407"/>
      <c r="WXX221" s="407"/>
      <c r="WXY221" s="407"/>
      <c r="WXZ221" s="407"/>
      <c r="WYA221" s="407"/>
      <c r="WYB221" s="407"/>
      <c r="WYC221" s="407"/>
      <c r="WYD221" s="407"/>
      <c r="WYE221" s="407"/>
      <c r="WYF221" s="407"/>
      <c r="WYG221" s="407"/>
      <c r="WYH221" s="407"/>
      <c r="WYI221" s="407"/>
      <c r="WYJ221" s="407"/>
      <c r="WYK221" s="407"/>
      <c r="WYL221" s="407"/>
      <c r="WYM221" s="407"/>
      <c r="WYN221" s="407"/>
      <c r="WYO221" s="407"/>
      <c r="WYP221" s="407"/>
      <c r="WYQ221" s="407"/>
      <c r="WYR221" s="407"/>
      <c r="WYS221" s="407"/>
      <c r="WYT221" s="407"/>
      <c r="WYU221" s="407"/>
      <c r="WYV221" s="407"/>
      <c r="WYW221" s="407"/>
      <c r="WYX221" s="407"/>
      <c r="WYY221" s="407"/>
      <c r="WYZ221" s="407"/>
      <c r="WZA221" s="407"/>
      <c r="WZB221" s="407"/>
      <c r="WZC221" s="407"/>
      <c r="WZD221" s="407"/>
      <c r="WZE221" s="407"/>
      <c r="WZF221" s="407"/>
      <c r="WZG221" s="407"/>
      <c r="WZH221" s="407"/>
      <c r="WZI221" s="407"/>
      <c r="WZJ221" s="407"/>
      <c r="WZK221" s="407"/>
      <c r="WZL221" s="407"/>
      <c r="WZM221" s="407"/>
      <c r="WZN221" s="407"/>
      <c r="WZO221" s="407"/>
      <c r="WZP221" s="407"/>
      <c r="WZQ221" s="407"/>
      <c r="WZR221" s="407"/>
      <c r="WZS221" s="407"/>
      <c r="WZT221" s="407"/>
      <c r="WZU221" s="407"/>
      <c r="WZV221" s="407"/>
      <c r="WZW221" s="407"/>
      <c r="WZX221" s="407"/>
      <c r="WZY221" s="407"/>
      <c r="WZZ221" s="407"/>
      <c r="XAA221" s="407"/>
      <c r="XAB221" s="407"/>
      <c r="XAC221" s="407"/>
      <c r="XAD221" s="407"/>
      <c r="XAE221" s="407"/>
      <c r="XAF221" s="407"/>
      <c r="XAG221" s="407"/>
      <c r="XAH221" s="407"/>
      <c r="XAI221" s="407"/>
      <c r="XAJ221" s="407"/>
      <c r="XAK221" s="407"/>
      <c r="XAL221" s="407"/>
      <c r="XAM221" s="407"/>
      <c r="XAN221" s="407"/>
      <c r="XAO221" s="407"/>
      <c r="XAP221" s="407"/>
      <c r="XAQ221" s="407"/>
      <c r="XAR221" s="407"/>
      <c r="XAS221" s="407"/>
      <c r="XAT221" s="407"/>
      <c r="XAU221" s="407"/>
      <c r="XAV221" s="407"/>
      <c r="XAW221" s="407"/>
      <c r="XAX221" s="407"/>
      <c r="XAY221" s="407"/>
      <c r="XAZ221" s="407"/>
      <c r="XBA221" s="407"/>
      <c r="XBB221" s="407"/>
      <c r="XBC221" s="407"/>
      <c r="XBD221" s="407"/>
      <c r="XBE221" s="407"/>
      <c r="XBF221" s="407"/>
      <c r="XBG221" s="407"/>
      <c r="XBH221" s="407"/>
      <c r="XBI221" s="407"/>
      <c r="XBJ221" s="407"/>
      <c r="XBK221" s="407"/>
      <c r="XBL221" s="407"/>
      <c r="XBM221" s="407"/>
      <c r="XBN221" s="407"/>
      <c r="XBO221" s="407"/>
      <c r="XBP221" s="407"/>
      <c r="XBQ221" s="407"/>
      <c r="XBR221" s="407"/>
      <c r="XBS221" s="407"/>
      <c r="XBT221" s="407"/>
      <c r="XBU221" s="407"/>
      <c r="XBV221" s="407"/>
      <c r="XBW221" s="407"/>
      <c r="XBX221" s="407"/>
      <c r="XBY221" s="407"/>
      <c r="XBZ221" s="407"/>
      <c r="XCA221" s="407"/>
      <c r="XCB221" s="407"/>
      <c r="XCC221" s="407"/>
      <c r="XCD221" s="407"/>
      <c r="XCE221" s="407"/>
      <c r="XCF221" s="407"/>
      <c r="XCG221" s="407"/>
      <c r="XCH221" s="407"/>
      <c r="XCI221" s="407"/>
      <c r="XCJ221" s="407"/>
      <c r="XCK221" s="407"/>
      <c r="XCL221" s="407"/>
      <c r="XCM221" s="407"/>
      <c r="XCN221" s="407"/>
      <c r="XCO221" s="407"/>
      <c r="XCP221" s="407"/>
      <c r="XCQ221" s="407"/>
      <c r="XCR221" s="407"/>
      <c r="XCS221" s="407"/>
      <c r="XCT221" s="407"/>
      <c r="XCU221" s="407"/>
      <c r="XCV221" s="407"/>
      <c r="XCW221" s="407"/>
      <c r="XCX221" s="407"/>
      <c r="XCY221" s="407"/>
      <c r="XCZ221" s="407"/>
      <c r="XDA221" s="407"/>
      <c r="XDB221" s="407"/>
      <c r="XDC221" s="407"/>
      <c r="XDD221" s="407"/>
      <c r="XDE221" s="407"/>
      <c r="XDF221" s="407"/>
      <c r="XDG221" s="407"/>
      <c r="XDH221" s="407"/>
      <c r="XDI221" s="407"/>
      <c r="XDJ221" s="407"/>
      <c r="XDK221" s="407"/>
      <c r="XDL221" s="407"/>
      <c r="XDM221" s="407"/>
      <c r="XDN221" s="407"/>
      <c r="XDO221" s="407"/>
      <c r="XDP221" s="407"/>
      <c r="XDQ221" s="407"/>
      <c r="XDR221" s="407"/>
      <c r="XDS221" s="407"/>
      <c r="XDT221" s="407"/>
      <c r="XDU221" s="407"/>
      <c r="XDV221" s="407"/>
      <c r="XDW221" s="407"/>
      <c r="XDX221" s="407"/>
      <c r="XDY221" s="407"/>
      <c r="XDZ221" s="407"/>
      <c r="XEA221" s="407"/>
      <c r="XEB221" s="407"/>
      <c r="XEC221" s="407"/>
      <c r="XED221" s="407"/>
      <c r="XEE221" s="407"/>
      <c r="XEF221" s="407"/>
      <c r="XEG221" s="407"/>
      <c r="XEH221" s="407"/>
      <c r="XEI221" s="407"/>
      <c r="XEJ221" s="407"/>
      <c r="XEK221" s="407"/>
      <c r="XEL221" s="407"/>
      <c r="XEM221" s="407"/>
      <c r="XEN221" s="407"/>
      <c r="XEO221" s="407"/>
      <c r="XEP221" s="407"/>
      <c r="XEQ221" s="407"/>
      <c r="XER221" s="407"/>
      <c r="XES221" s="407"/>
      <c r="XET221" s="407"/>
      <c r="XEU221" s="407"/>
      <c r="XEV221" s="407"/>
      <c r="XEW221" s="407"/>
      <c r="XEX221" s="407"/>
      <c r="XEY221" s="407"/>
      <c r="XEZ221" s="407"/>
      <c r="XFA221" s="407"/>
      <c r="XFB221" s="407"/>
      <c r="XFC221" s="407"/>
      <c r="XFD221" s="407"/>
    </row>
    <row r="222" spans="1:16384" s="42" customFormat="1" x14ac:dyDescent="0.2">
      <c r="A222" s="2012"/>
      <c r="B222" s="78"/>
      <c r="C222" s="78"/>
      <c r="D222" s="78"/>
      <c r="E222" s="77"/>
      <c r="F222" s="75"/>
      <c r="G222" s="78"/>
      <c r="H222" s="78"/>
      <c r="I222" s="78"/>
      <c r="J222" s="77"/>
      <c r="K222" s="75"/>
      <c r="L222" s="78"/>
      <c r="M222" s="78"/>
      <c r="N222" s="78"/>
      <c r="O222" s="77"/>
      <c r="P222" s="75"/>
      <c r="Q222" s="78"/>
      <c r="R222" s="78"/>
      <c r="S222" s="78"/>
      <c r="T222" s="77"/>
      <c r="U222" s="75"/>
      <c r="V222" s="90"/>
      <c r="W222" s="90"/>
      <c r="X222" s="90"/>
      <c r="Y222" s="14"/>
      <c r="Z222" s="15"/>
      <c r="AA222" s="90"/>
      <c r="AB222" s="90"/>
      <c r="AC222" s="90"/>
      <c r="AD222" s="14"/>
      <c r="AE222" s="15"/>
      <c r="AF222" s="90"/>
      <c r="AG222" s="90"/>
      <c r="AH222" s="90"/>
      <c r="AI222" s="14"/>
      <c r="AJ222" s="15"/>
      <c r="AK222" s="90"/>
      <c r="AL222" s="90"/>
      <c r="AM222" s="90"/>
      <c r="AN222" s="14"/>
      <c r="AO222" s="15"/>
      <c r="AP222" s="90"/>
      <c r="AQ222" s="90"/>
      <c r="AR222" s="90"/>
      <c r="AS222" s="14"/>
      <c r="AT222" s="15"/>
      <c r="AU222" s="90"/>
      <c r="AV222" s="90"/>
      <c r="AW222" s="90"/>
      <c r="AX222" s="14"/>
      <c r="AY222" s="15"/>
      <c r="AZ222" s="90"/>
      <c r="BA222" s="90"/>
      <c r="BB222" s="90"/>
      <c r="BC222" s="14"/>
      <c r="BD222" s="15"/>
      <c r="BE222" s="90"/>
      <c r="BF222" s="90"/>
      <c r="BG222" s="90"/>
      <c r="BH222" s="14"/>
      <c r="BI222" s="15"/>
      <c r="BJ222" s="90"/>
      <c r="BK222" s="90"/>
      <c r="BL222" s="90"/>
      <c r="BM222" s="14"/>
      <c r="BN222" s="15"/>
      <c r="BO222" s="90"/>
      <c r="BP222" s="90"/>
      <c r="BQ222" s="90"/>
      <c r="BR222" s="14"/>
      <c r="BS222" s="15"/>
      <c r="BT222" s="90"/>
      <c r="BU222" s="90"/>
      <c r="BV222" s="90"/>
      <c r="BW222" s="14"/>
      <c r="BX222" s="15"/>
      <c r="BY222" s="90"/>
      <c r="BZ222" s="90"/>
      <c r="CA222" s="90"/>
      <c r="CB222" s="14"/>
      <c r="CC222" s="15"/>
      <c r="CD222" s="90"/>
      <c r="CE222" s="90"/>
      <c r="CF222" s="90"/>
      <c r="CG222" s="14"/>
      <c r="CH222" s="15"/>
      <c r="CI222" s="90"/>
      <c r="CJ222" s="90"/>
      <c r="CK222" s="90"/>
      <c r="CL222" s="14"/>
      <c r="CM222" s="15"/>
      <c r="CN222" s="90"/>
      <c r="CO222" s="90"/>
      <c r="CP222" s="90"/>
      <c r="CQ222" s="14"/>
      <c r="CR222" s="15"/>
      <c r="CS222" s="90"/>
      <c r="CT222" s="90"/>
      <c r="CU222" s="90"/>
      <c r="CV222" s="14"/>
      <c r="CW222" s="15"/>
      <c r="CX222" s="90"/>
      <c r="CY222" s="90"/>
      <c r="CZ222" s="90"/>
      <c r="DA222" s="14"/>
      <c r="DB222" s="15"/>
      <c r="DC222" s="341"/>
      <c r="DD222" s="341"/>
      <c r="DE222" s="341"/>
      <c r="DF222" s="341"/>
      <c r="DG222" s="91"/>
      <c r="DH222" s="341"/>
      <c r="DI222" s="341"/>
      <c r="DJ222" s="341"/>
      <c r="DK222" s="341"/>
      <c r="DL222" s="91"/>
      <c r="DM222" s="341"/>
      <c r="DN222" s="341"/>
      <c r="DO222" s="341"/>
      <c r="DP222" s="341"/>
      <c r="DQ222" s="91"/>
      <c r="DR222" s="341"/>
      <c r="DS222" s="341"/>
      <c r="DT222" s="14"/>
      <c r="DU222" s="341"/>
      <c r="DV222" s="91"/>
      <c r="DW222" s="341"/>
      <c r="DX222" s="341"/>
      <c r="DY222" s="14"/>
      <c r="DZ222" s="341"/>
      <c r="EA222" s="91"/>
      <c r="EB222" s="341"/>
      <c r="EC222" s="341"/>
      <c r="ED222" s="14"/>
      <c r="EE222" s="341"/>
      <c r="EF222" s="91"/>
      <c r="EG222" s="341"/>
      <c r="EH222" s="341"/>
      <c r="EI222" s="14"/>
      <c r="EJ222" s="341"/>
      <c r="EK222" s="91"/>
      <c r="EL222" s="341"/>
      <c r="EM222" s="341"/>
      <c r="EN222" s="14"/>
      <c r="EO222" s="341"/>
      <c r="EP222" s="91"/>
      <c r="EQ222" s="341"/>
      <c r="ER222" s="14"/>
      <c r="ES222" s="14"/>
      <c r="ET222" s="14"/>
      <c r="EU222" s="91"/>
      <c r="EV222" s="208"/>
      <c r="EW222" s="208"/>
      <c r="EX222" s="208"/>
      <c r="EY222" s="208"/>
      <c r="EZ222" s="91"/>
      <c r="FA222" s="208"/>
      <c r="FB222" s="208"/>
      <c r="FC222" s="208"/>
      <c r="FD222" s="208"/>
      <c r="FE222" s="91"/>
      <c r="FG222" s="490"/>
      <c r="FH222" s="779"/>
      <c r="FI222" s="779"/>
      <c r="FJ222" s="779"/>
      <c r="FK222" s="40"/>
      <c r="FL222" s="1349"/>
      <c r="FM222" s="1141"/>
      <c r="FN222" s="1454"/>
      <c r="FO222" s="1806"/>
      <c r="FP222" s="1755"/>
      <c r="FQ222" s="1755"/>
      <c r="FR222" s="1619"/>
      <c r="FS222" s="1615" t="s">
        <v>807</v>
      </c>
      <c r="FT222" s="433"/>
      <c r="FU222" s="433"/>
      <c r="FV222" s="433"/>
      <c r="FW222" s="433"/>
      <c r="FX222" s="433"/>
      <c r="FY222" s="433"/>
      <c r="FZ222" s="490"/>
      <c r="GA222"/>
      <c r="GB222"/>
      <c r="GC222"/>
      <c r="GD222"/>
      <c r="GE222"/>
      <c r="GF222"/>
      <c r="GG222"/>
      <c r="GH222"/>
      <c r="GI222"/>
      <c r="GJ222"/>
      <c r="GK222"/>
      <c r="GL222"/>
      <c r="GM222"/>
      <c r="GN222"/>
      <c r="GO222"/>
      <c r="GP222"/>
      <c r="GQ222"/>
      <c r="GR222"/>
      <c r="GS222"/>
      <c r="GT222"/>
      <c r="GU222"/>
      <c r="GV222"/>
      <c r="GW222"/>
      <c r="GX222"/>
      <c r="GY222"/>
      <c r="GZ222"/>
      <c r="HA222"/>
      <c r="HB222"/>
      <c r="HC222"/>
      <c r="HD222"/>
      <c r="HE222"/>
      <c r="HF222"/>
      <c r="HG222"/>
      <c r="HH222"/>
      <c r="HI222"/>
      <c r="HJ222"/>
      <c r="HK222"/>
      <c r="HL222"/>
      <c r="HM222"/>
      <c r="HN222"/>
      <c r="HO222"/>
      <c r="HP222"/>
      <c r="HQ222"/>
      <c r="HR222"/>
      <c r="HS222"/>
      <c r="HT222"/>
      <c r="HU222"/>
      <c r="HV222"/>
      <c r="HW222"/>
      <c r="HX222"/>
      <c r="HY222"/>
      <c r="HZ222"/>
      <c r="IA222"/>
      <c r="IB222"/>
      <c r="IC222"/>
      <c r="ID222"/>
      <c r="IE222"/>
      <c r="IF222"/>
      <c r="IG222"/>
      <c r="IH222"/>
      <c r="II222"/>
      <c r="IJ222"/>
      <c r="IK222"/>
      <c r="IL222"/>
      <c r="IM222"/>
      <c r="IN222"/>
      <c r="IO222"/>
      <c r="IP222"/>
      <c r="IQ222"/>
      <c r="IR222"/>
      <c r="IS222"/>
      <c r="IT222"/>
      <c r="IU222"/>
      <c r="IV222"/>
      <c r="IW222"/>
      <c r="IX222"/>
    </row>
    <row r="223" spans="1:16384" s="408" customFormat="1" x14ac:dyDescent="0.2">
      <c r="A223" s="109" t="s">
        <v>52</v>
      </c>
      <c r="B223" s="407"/>
      <c r="C223" s="407"/>
      <c r="D223" s="407"/>
      <c r="E223" s="407"/>
      <c r="F223" s="406"/>
      <c r="G223" s="407"/>
      <c r="H223" s="407"/>
      <c r="I223" s="407"/>
      <c r="J223" s="407"/>
      <c r="K223" s="406"/>
      <c r="L223" s="407"/>
      <c r="M223" s="407"/>
      <c r="N223" s="407"/>
      <c r="O223" s="407"/>
      <c r="P223" s="406"/>
      <c r="Q223" s="407">
        <f t="shared" ref="Q223:AV223" si="1104">Q214+Q207+Q199+Q191+Q177+Q159</f>
        <v>1130</v>
      </c>
      <c r="R223" s="407">
        <f t="shared" si="1104"/>
        <v>1098.5</v>
      </c>
      <c r="S223" s="407">
        <f t="shared" si="1104"/>
        <v>1088</v>
      </c>
      <c r="T223" s="407">
        <f t="shared" si="1104"/>
        <v>1093</v>
      </c>
      <c r="U223" s="406">
        <f t="shared" si="1104"/>
        <v>4409.5</v>
      </c>
      <c r="V223" s="407">
        <f t="shared" si="1104"/>
        <v>1108</v>
      </c>
      <c r="W223" s="407">
        <f t="shared" si="1104"/>
        <v>1083</v>
      </c>
      <c r="X223" s="407">
        <f t="shared" si="1104"/>
        <v>1092</v>
      </c>
      <c r="Y223" s="407">
        <f t="shared" si="1104"/>
        <v>1091</v>
      </c>
      <c r="Z223" s="406">
        <f t="shared" si="1104"/>
        <v>4374</v>
      </c>
      <c r="AA223" s="407">
        <f t="shared" si="1104"/>
        <v>1141</v>
      </c>
      <c r="AB223" s="407">
        <f t="shared" si="1104"/>
        <v>1121</v>
      </c>
      <c r="AC223" s="407">
        <f t="shared" si="1104"/>
        <v>1136</v>
      </c>
      <c r="AD223" s="407">
        <f t="shared" si="1104"/>
        <v>1139</v>
      </c>
      <c r="AE223" s="406">
        <f t="shared" si="1104"/>
        <v>4537</v>
      </c>
      <c r="AF223" s="407">
        <f t="shared" si="1104"/>
        <v>1114</v>
      </c>
      <c r="AG223" s="407">
        <f t="shared" si="1104"/>
        <v>1115</v>
      </c>
      <c r="AH223" s="407">
        <f t="shared" si="1104"/>
        <v>1090</v>
      </c>
      <c r="AI223" s="407">
        <f t="shared" si="1104"/>
        <v>1112</v>
      </c>
      <c r="AJ223" s="406">
        <f t="shared" si="1104"/>
        <v>4431</v>
      </c>
      <c r="AK223" s="407">
        <f t="shared" si="1104"/>
        <v>1117</v>
      </c>
      <c r="AL223" s="407">
        <f t="shared" si="1104"/>
        <v>1104</v>
      </c>
      <c r="AM223" s="407">
        <f t="shared" si="1104"/>
        <v>1086</v>
      </c>
      <c r="AN223" s="407">
        <f t="shared" si="1104"/>
        <v>1100</v>
      </c>
      <c r="AO223" s="406">
        <f t="shared" si="1104"/>
        <v>4407</v>
      </c>
      <c r="AP223" s="407">
        <f t="shared" si="1104"/>
        <v>1119</v>
      </c>
      <c r="AQ223" s="407">
        <f t="shared" si="1104"/>
        <v>1067</v>
      </c>
      <c r="AR223" s="407">
        <f t="shared" si="1104"/>
        <v>1095</v>
      </c>
      <c r="AS223" s="407">
        <f t="shared" si="1104"/>
        <v>1102</v>
      </c>
      <c r="AT223" s="406">
        <f t="shared" si="1104"/>
        <v>4383</v>
      </c>
      <c r="AU223" s="407">
        <f t="shared" si="1104"/>
        <v>1141</v>
      </c>
      <c r="AV223" s="407">
        <f t="shared" si="1104"/>
        <v>1116</v>
      </c>
      <c r="AW223" s="407">
        <f t="shared" ref="AW223:CB223" si="1105">AW214+AW207+AW199+AW191+AW177+AW159</f>
        <v>1157</v>
      </c>
      <c r="AX223" s="407">
        <f t="shared" si="1105"/>
        <v>1167</v>
      </c>
      <c r="AY223" s="406">
        <f t="shared" si="1105"/>
        <v>4581</v>
      </c>
      <c r="AZ223" s="407">
        <f t="shared" si="1105"/>
        <v>1193</v>
      </c>
      <c r="BA223" s="407">
        <f t="shared" si="1105"/>
        <v>1317</v>
      </c>
      <c r="BB223" s="407">
        <f t="shared" si="1105"/>
        <v>1560</v>
      </c>
      <c r="BC223" s="407">
        <f t="shared" si="1105"/>
        <v>1605.4</v>
      </c>
      <c r="BD223" s="406">
        <f t="shared" si="1105"/>
        <v>5675.4</v>
      </c>
      <c r="BE223" s="407">
        <f t="shared" si="1105"/>
        <v>1643</v>
      </c>
      <c r="BF223" s="407">
        <f t="shared" si="1105"/>
        <v>1681</v>
      </c>
      <c r="BG223" s="407">
        <f t="shared" si="1105"/>
        <v>1598</v>
      </c>
      <c r="BH223" s="407">
        <f t="shared" si="1105"/>
        <v>1608</v>
      </c>
      <c r="BI223" s="406">
        <f t="shared" si="1105"/>
        <v>6433</v>
      </c>
      <c r="BJ223" s="407">
        <f t="shared" si="1105"/>
        <v>1620</v>
      </c>
      <c r="BK223" s="407">
        <f t="shared" si="1105"/>
        <v>1585</v>
      </c>
      <c r="BL223" s="407">
        <f t="shared" si="1105"/>
        <v>1544</v>
      </c>
      <c r="BM223" s="407">
        <f t="shared" si="1105"/>
        <v>1538</v>
      </c>
      <c r="BN223" s="406">
        <f t="shared" si="1105"/>
        <v>6231</v>
      </c>
      <c r="BO223" s="407">
        <f t="shared" si="1105"/>
        <v>1554</v>
      </c>
      <c r="BP223" s="407">
        <f t="shared" si="1105"/>
        <v>1552</v>
      </c>
      <c r="BQ223" s="407">
        <f t="shared" si="1105"/>
        <v>1559</v>
      </c>
      <c r="BR223" s="407">
        <f t="shared" si="1105"/>
        <v>1534</v>
      </c>
      <c r="BS223" s="406">
        <f t="shared" si="1105"/>
        <v>6157</v>
      </c>
      <c r="BT223" s="407">
        <f t="shared" si="1105"/>
        <v>1664</v>
      </c>
      <c r="BU223" s="407">
        <f t="shared" si="1105"/>
        <v>1628</v>
      </c>
      <c r="BV223" s="407">
        <f t="shared" si="1105"/>
        <v>1600</v>
      </c>
      <c r="BW223" s="407">
        <f t="shared" si="1105"/>
        <v>1645</v>
      </c>
      <c r="BX223" s="406">
        <f t="shared" si="1105"/>
        <v>6475</v>
      </c>
      <c r="BY223" s="407">
        <f t="shared" si="1105"/>
        <v>1716</v>
      </c>
      <c r="BZ223" s="407">
        <f t="shared" si="1105"/>
        <v>1702</v>
      </c>
      <c r="CA223" s="407">
        <f t="shared" si="1105"/>
        <v>1693</v>
      </c>
      <c r="CB223" s="407">
        <f t="shared" si="1105"/>
        <v>1865</v>
      </c>
      <c r="CC223" s="406">
        <f t="shared" ref="CC223:DH223" si="1106">CC214+CC207+CC199+CC191+CC177+CC159</f>
        <v>7000</v>
      </c>
      <c r="CD223" s="407">
        <f t="shared" si="1106"/>
        <v>1757</v>
      </c>
      <c r="CE223" s="407">
        <f t="shared" si="1106"/>
        <v>1744</v>
      </c>
      <c r="CF223" s="407">
        <f t="shared" si="1106"/>
        <v>1764</v>
      </c>
      <c r="CG223" s="407">
        <f t="shared" si="1106"/>
        <v>1804</v>
      </c>
      <c r="CH223" s="406">
        <f t="shared" si="1106"/>
        <v>7284</v>
      </c>
      <c r="CI223" s="407">
        <f t="shared" si="1106"/>
        <v>1844</v>
      </c>
      <c r="CJ223" s="407">
        <f t="shared" si="1106"/>
        <v>1902</v>
      </c>
      <c r="CK223" s="407">
        <f t="shared" si="1106"/>
        <v>1944</v>
      </c>
      <c r="CL223" s="407">
        <f t="shared" si="1106"/>
        <v>1918</v>
      </c>
      <c r="CM223" s="406">
        <f t="shared" si="1106"/>
        <v>7608</v>
      </c>
      <c r="CN223" s="407">
        <f t="shared" si="1106"/>
        <v>1955</v>
      </c>
      <c r="CO223" s="407">
        <f t="shared" si="1106"/>
        <v>1918</v>
      </c>
      <c r="CP223" s="407">
        <f t="shared" si="1106"/>
        <v>1943</v>
      </c>
      <c r="CQ223" s="407">
        <f t="shared" si="1106"/>
        <v>1980</v>
      </c>
      <c r="CR223" s="406">
        <f t="shared" si="1106"/>
        <v>7796</v>
      </c>
      <c r="CS223" s="407">
        <f t="shared" si="1106"/>
        <v>2089</v>
      </c>
      <c r="CT223" s="407">
        <f t="shared" si="1106"/>
        <v>2190</v>
      </c>
      <c r="CU223" s="407">
        <f t="shared" si="1106"/>
        <v>2228</v>
      </c>
      <c r="CV223" s="407">
        <f t="shared" si="1106"/>
        <v>1982</v>
      </c>
      <c r="CW223" s="406">
        <f t="shared" si="1106"/>
        <v>8489</v>
      </c>
      <c r="CX223" s="407">
        <f t="shared" si="1106"/>
        <v>1725</v>
      </c>
      <c r="CY223" s="407">
        <f t="shared" si="1106"/>
        <v>1603</v>
      </c>
      <c r="CZ223" s="407">
        <f t="shared" si="1106"/>
        <v>1691</v>
      </c>
      <c r="DA223" s="407">
        <f t="shared" si="1106"/>
        <v>1737</v>
      </c>
      <c r="DB223" s="406">
        <f t="shared" si="1106"/>
        <v>6756</v>
      </c>
      <c r="DC223" s="407">
        <f t="shared" si="1106"/>
        <v>1857</v>
      </c>
      <c r="DD223" s="407">
        <f t="shared" si="1106"/>
        <v>1895</v>
      </c>
      <c r="DE223" s="407">
        <f t="shared" si="1106"/>
        <v>1841</v>
      </c>
      <c r="DF223" s="407">
        <f t="shared" si="1106"/>
        <v>1970</v>
      </c>
      <c r="DG223" s="406">
        <f t="shared" si="1106"/>
        <v>7563</v>
      </c>
      <c r="DH223" s="407">
        <f t="shared" si="1106"/>
        <v>2037</v>
      </c>
      <c r="DI223" s="407">
        <f t="shared" ref="DI223:EI223" si="1107">DI214+DI207+DI199+DI191+DI177+DI159</f>
        <v>2093</v>
      </c>
      <c r="DJ223" s="407">
        <f t="shared" si="1107"/>
        <v>2085</v>
      </c>
      <c r="DK223" s="407">
        <f t="shared" si="1107"/>
        <v>2110</v>
      </c>
      <c r="DL223" s="406">
        <f t="shared" si="1107"/>
        <v>8325</v>
      </c>
      <c r="DM223" s="407">
        <f t="shared" si="1107"/>
        <v>2110</v>
      </c>
      <c r="DN223" s="407">
        <f t="shared" si="1107"/>
        <v>2069</v>
      </c>
      <c r="DO223" s="407">
        <f t="shared" si="1107"/>
        <v>2040</v>
      </c>
      <c r="DP223" s="407">
        <f t="shared" si="1107"/>
        <v>2080</v>
      </c>
      <c r="DQ223" s="406">
        <f t="shared" si="1107"/>
        <v>8299</v>
      </c>
      <c r="DR223" s="407">
        <f t="shared" si="1107"/>
        <v>2103</v>
      </c>
      <c r="DS223" s="407">
        <f t="shared" si="1107"/>
        <v>2128</v>
      </c>
      <c r="DT223" s="407">
        <f t="shared" si="1107"/>
        <v>2129</v>
      </c>
      <c r="DU223" s="407">
        <f t="shared" si="1107"/>
        <v>2219</v>
      </c>
      <c r="DV223" s="406">
        <f t="shared" si="1107"/>
        <v>8579</v>
      </c>
      <c r="DW223" s="407">
        <f t="shared" si="1107"/>
        <v>2273</v>
      </c>
      <c r="DX223" s="407">
        <f t="shared" si="1107"/>
        <v>2247</v>
      </c>
      <c r="DY223" s="407">
        <f t="shared" si="1107"/>
        <v>2245</v>
      </c>
      <c r="DZ223" s="407">
        <f t="shared" si="1107"/>
        <v>2291</v>
      </c>
      <c r="EA223" s="406">
        <f t="shared" si="1107"/>
        <v>9056</v>
      </c>
      <c r="EB223" s="407">
        <f t="shared" si="1107"/>
        <v>2184</v>
      </c>
      <c r="EC223" s="407">
        <f t="shared" si="1107"/>
        <v>2064</v>
      </c>
      <c r="ED223" s="407">
        <f t="shared" si="1107"/>
        <v>2006</v>
      </c>
      <c r="EE223" s="407">
        <f t="shared" si="1107"/>
        <v>1990</v>
      </c>
      <c r="EF223" s="406">
        <f t="shared" si="1107"/>
        <v>8244</v>
      </c>
      <c r="EG223" s="407">
        <f t="shared" si="1107"/>
        <v>1914</v>
      </c>
      <c r="EH223" s="407">
        <f t="shared" si="1107"/>
        <v>1864</v>
      </c>
      <c r="EI223" s="407">
        <f t="shared" si="1107"/>
        <v>1869</v>
      </c>
      <c r="EJ223" s="407">
        <f>EJ214+EJ207+EJ199+EJ191+EJ177+EJ159+EJ221</f>
        <v>2033</v>
      </c>
      <c r="EK223" s="406">
        <f>EK214+EK207+EK199+EK191+EK177+EK159</f>
        <v>7693</v>
      </c>
      <c r="EL223" s="407">
        <f>EL214+EL207+EL199+EL191+EL177+EL159</f>
        <v>1990</v>
      </c>
      <c r="EM223" s="407">
        <f>EM214+EM207+EM199+EM191+EM177+EM159</f>
        <v>1859</v>
      </c>
      <c r="EN223" s="407">
        <f>EN214+EN207+EN199+EN191+EN177+EN159</f>
        <v>1872</v>
      </c>
      <c r="EO223" s="407">
        <f>EO214+EO207+EO199+EO191+EO177+EO159+EO221</f>
        <v>1861</v>
      </c>
      <c r="EP223" s="406">
        <f t="shared" ref="EP223:FE223" si="1108">EP214+EP207+EP199+EP191+EP177+EP159+EP221</f>
        <v>7582</v>
      </c>
      <c r="EQ223" s="407">
        <f>EQ214+EQ207+EQ199+EQ191+EQ177+EQ159+EQ221</f>
        <v>1832</v>
      </c>
      <c r="ER223" s="407">
        <f t="shared" si="1108"/>
        <v>1812.2058732901082</v>
      </c>
      <c r="ES223" s="407">
        <f t="shared" si="1108"/>
        <v>1863.4757793448102</v>
      </c>
      <c r="ET223" s="407">
        <f t="shared" si="1108"/>
        <v>1970.7607928060215</v>
      </c>
      <c r="EU223" s="406">
        <f t="shared" si="1108"/>
        <v>7478.44244544094</v>
      </c>
      <c r="EV223" s="407">
        <f t="shared" si="1108"/>
        <v>0</v>
      </c>
      <c r="EW223" s="407">
        <f t="shared" si="1108"/>
        <v>0</v>
      </c>
      <c r="EX223" s="407">
        <f t="shared" si="1108"/>
        <v>0</v>
      </c>
      <c r="EY223" s="407">
        <f t="shared" si="1108"/>
        <v>0</v>
      </c>
      <c r="EZ223" s="406">
        <f t="shared" si="1108"/>
        <v>7562.7274641105741</v>
      </c>
      <c r="FA223" s="407">
        <f t="shared" si="1108"/>
        <v>0</v>
      </c>
      <c r="FB223" s="407">
        <f t="shared" si="1108"/>
        <v>0</v>
      </c>
      <c r="FC223" s="407">
        <f t="shared" si="1108"/>
        <v>0</v>
      </c>
      <c r="FD223" s="407">
        <f t="shared" si="1108"/>
        <v>0</v>
      </c>
      <c r="FE223" s="406">
        <f t="shared" si="1108"/>
        <v>7533.3463519675461</v>
      </c>
      <c r="FG223" s="490"/>
      <c r="FH223" s="790"/>
      <c r="FI223" s="790"/>
      <c r="FJ223" s="790"/>
      <c r="FL223" s="1358"/>
      <c r="FM223" s="1569">
        <f t="shared" ref="FM223:FM236" si="1109">+EQ223</f>
        <v>1832</v>
      </c>
      <c r="FN223" s="797">
        <f t="shared" ref="FN223:FN236" si="1110">EL223</f>
        <v>1990</v>
      </c>
      <c r="FO223" s="1862">
        <v>1911.6266471721701</v>
      </c>
      <c r="FP223" s="1748">
        <f>+FM223/FN223-1</f>
        <v>-7.9396984924623104E-2</v>
      </c>
      <c r="FQ223" s="1520">
        <f>+FM223/FO223-1</f>
        <v>-4.1653869645498109E-2</v>
      </c>
      <c r="FR223" s="1614" t="s">
        <v>806</v>
      </c>
      <c r="FS223" s="1614"/>
      <c r="FT223" s="409"/>
      <c r="FU223" s="409"/>
      <c r="FV223" s="409"/>
      <c r="FW223" s="409"/>
      <c r="FX223" s="409"/>
      <c r="FY223" s="409"/>
      <c r="FZ223" s="490"/>
      <c r="GA223"/>
      <c r="GB223"/>
      <c r="GC223"/>
      <c r="GD223"/>
      <c r="GE223"/>
      <c r="GF223"/>
      <c r="GG223"/>
      <c r="GH223"/>
      <c r="GI223"/>
      <c r="GJ223"/>
      <c r="GK223"/>
      <c r="GL223"/>
      <c r="GM223"/>
      <c r="GN223"/>
      <c r="GO223"/>
      <c r="GP223"/>
      <c r="GQ223"/>
      <c r="GR223"/>
      <c r="GS223"/>
      <c r="GT223"/>
      <c r="GU223"/>
      <c r="GV223"/>
      <c r="GW223"/>
      <c r="GX223"/>
      <c r="GY223"/>
      <c r="GZ223"/>
      <c r="HA223"/>
      <c r="HB223"/>
      <c r="HC223"/>
      <c r="HD223"/>
      <c r="HE223"/>
      <c r="HF223"/>
      <c r="HG223"/>
      <c r="HH223"/>
      <c r="HI223"/>
      <c r="HJ223"/>
      <c r="HK223"/>
      <c r="HL223"/>
      <c r="HM223"/>
      <c r="HN223"/>
      <c r="HO223"/>
      <c r="HP223"/>
      <c r="HQ223"/>
      <c r="HR223"/>
      <c r="HS223"/>
      <c r="HT223"/>
      <c r="HU223"/>
      <c r="HV223"/>
      <c r="HW223"/>
      <c r="HX223"/>
      <c r="HY223"/>
      <c r="HZ223"/>
      <c r="IA223"/>
      <c r="IB223"/>
      <c r="IC223"/>
      <c r="ID223"/>
      <c r="IE223"/>
      <c r="IF223"/>
      <c r="IG223"/>
      <c r="IH223"/>
      <c r="II223"/>
      <c r="IJ223"/>
      <c r="IK223"/>
      <c r="IL223"/>
      <c r="IM223"/>
      <c r="IN223"/>
      <c r="IO223"/>
      <c r="IP223"/>
      <c r="IQ223"/>
      <c r="IR223"/>
      <c r="IS223"/>
      <c r="IT223"/>
      <c r="IU223"/>
      <c r="IV223"/>
      <c r="IW223"/>
      <c r="IX223"/>
    </row>
    <row r="224" spans="1:16384" s="84" customFormat="1" x14ac:dyDescent="0.2">
      <c r="A224" s="559" t="s">
        <v>465</v>
      </c>
      <c r="B224" s="10"/>
      <c r="C224" s="10"/>
      <c r="D224" s="10"/>
      <c r="E224" s="10"/>
      <c r="F224" s="9"/>
      <c r="G224" s="10"/>
      <c r="H224" s="10"/>
      <c r="I224" s="10"/>
      <c r="J224" s="10"/>
      <c r="K224" s="9"/>
      <c r="L224" s="10"/>
      <c r="M224" s="10"/>
      <c r="N224" s="10"/>
      <c r="O224" s="10"/>
      <c r="P224" s="9"/>
      <c r="Q224" s="10"/>
      <c r="R224" s="10"/>
      <c r="S224" s="10"/>
      <c r="T224" s="10"/>
      <c r="U224" s="9"/>
      <c r="V224" s="10">
        <f t="shared" ref="V224:AV224" si="1111">V223/Q223-1</f>
        <v>-1.9469026548672552E-2</v>
      </c>
      <c r="W224" s="10">
        <f t="shared" si="1111"/>
        <v>-1.4110150204824756E-2</v>
      </c>
      <c r="X224" s="10">
        <f t="shared" si="1111"/>
        <v>3.6764705882352811E-3</v>
      </c>
      <c r="Y224" s="10">
        <f t="shared" si="1111"/>
        <v>-1.8298261665141702E-3</v>
      </c>
      <c r="Z224" s="9">
        <f t="shared" si="1111"/>
        <v>-8.0507994103640179E-3</v>
      </c>
      <c r="AA224" s="10">
        <f t="shared" si="1111"/>
        <v>2.9783393501805033E-2</v>
      </c>
      <c r="AB224" s="10">
        <f t="shared" si="1111"/>
        <v>3.5087719298245723E-2</v>
      </c>
      <c r="AC224" s="10">
        <f t="shared" si="1111"/>
        <v>4.0293040293040372E-2</v>
      </c>
      <c r="AD224" s="10">
        <f t="shared" si="1111"/>
        <v>4.399633363886335E-2</v>
      </c>
      <c r="AE224" s="9">
        <f t="shared" si="1111"/>
        <v>3.7265660722450855E-2</v>
      </c>
      <c r="AF224" s="10">
        <f t="shared" si="1111"/>
        <v>-2.366345311130591E-2</v>
      </c>
      <c r="AG224" s="10">
        <f t="shared" si="1111"/>
        <v>-5.3523639607493401E-3</v>
      </c>
      <c r="AH224" s="10">
        <f t="shared" si="1111"/>
        <v>-4.0492957746478875E-2</v>
      </c>
      <c r="AI224" s="10">
        <f t="shared" si="1111"/>
        <v>-2.3705004389815598E-2</v>
      </c>
      <c r="AJ224" s="9">
        <f t="shared" si="1111"/>
        <v>-2.3363456028212437E-2</v>
      </c>
      <c r="AK224" s="10">
        <f t="shared" si="1111"/>
        <v>2.6929982046679513E-3</v>
      </c>
      <c r="AL224" s="10">
        <f t="shared" si="1111"/>
        <v>-9.8654708520179435E-3</v>
      </c>
      <c r="AM224" s="10">
        <f t="shared" si="1111"/>
        <v>-3.669724770642202E-3</v>
      </c>
      <c r="AN224" s="10">
        <f t="shared" si="1111"/>
        <v>-1.0791366906474864E-2</v>
      </c>
      <c r="AO224" s="9">
        <f t="shared" si="1111"/>
        <v>-5.4163845633039553E-3</v>
      </c>
      <c r="AP224" s="10">
        <f t="shared" si="1111"/>
        <v>1.790510295434089E-3</v>
      </c>
      <c r="AQ224" s="10">
        <f t="shared" si="1111"/>
        <v>-3.3514492753623171E-2</v>
      </c>
      <c r="AR224" s="10">
        <f t="shared" si="1111"/>
        <v>8.2872928176795924E-3</v>
      </c>
      <c r="AS224" s="10">
        <f t="shared" si="1111"/>
        <v>1.8181818181817189E-3</v>
      </c>
      <c r="AT224" s="9">
        <f t="shared" si="1111"/>
        <v>-5.4458815520762593E-3</v>
      </c>
      <c r="AU224" s="10">
        <f t="shared" si="1111"/>
        <v>1.9660411081322549E-2</v>
      </c>
      <c r="AV224" s="10">
        <f t="shared" si="1111"/>
        <v>4.5923149015932418E-2</v>
      </c>
      <c r="AW224" s="10">
        <f t="shared" ref="AW224:CB224" si="1112">AW223/AR223-1</f>
        <v>5.6621004566210109E-2</v>
      </c>
      <c r="AX224" s="10">
        <f t="shared" si="1112"/>
        <v>5.8983666061706019E-2</v>
      </c>
      <c r="AY224" s="9">
        <f t="shared" si="1112"/>
        <v>4.5174537987679564E-2</v>
      </c>
      <c r="AZ224" s="10">
        <f t="shared" si="1112"/>
        <v>4.5574057843996485E-2</v>
      </c>
      <c r="BA224" s="10">
        <f t="shared" si="1112"/>
        <v>0.18010752688172049</v>
      </c>
      <c r="BB224" s="10">
        <f t="shared" si="1112"/>
        <v>0.348314606741573</v>
      </c>
      <c r="BC224" s="10">
        <f t="shared" si="1112"/>
        <v>0.37566409597257944</v>
      </c>
      <c r="BD224" s="9">
        <f t="shared" si="1112"/>
        <v>0.23889980353634566</v>
      </c>
      <c r="BE224" s="10">
        <f t="shared" si="1112"/>
        <v>0.37720033528918684</v>
      </c>
      <c r="BF224" s="10">
        <f t="shared" si="1112"/>
        <v>0.27638572513287785</v>
      </c>
      <c r="BG224" s="10">
        <f t="shared" si="1112"/>
        <v>2.4358974358974272E-2</v>
      </c>
      <c r="BH224" s="10">
        <f t="shared" si="1112"/>
        <v>1.6195340725051466E-3</v>
      </c>
      <c r="BI224" s="9">
        <f t="shared" si="1112"/>
        <v>0.13348838848363109</v>
      </c>
      <c r="BJ224" s="10">
        <f>BJ223/BE223-1</f>
        <v>-1.3998782714546576E-2</v>
      </c>
      <c r="BK224" s="10">
        <f>BK223/BF223-1</f>
        <v>-5.7108863771564544E-2</v>
      </c>
      <c r="BL224" s="10">
        <f>BL223/BG223-1</f>
        <v>-3.379224030037542E-2</v>
      </c>
      <c r="BM224" s="10">
        <f>BM223/BH223-1</f>
        <v>-4.3532338308457708E-2</v>
      </c>
      <c r="BN224" s="9">
        <f>BN223/BI223-1</f>
        <v>-3.1400590704181552E-2</v>
      </c>
      <c r="BO224" s="10">
        <f t="shared" si="1112"/>
        <v>-4.0740740740740744E-2</v>
      </c>
      <c r="BP224" s="10">
        <f t="shared" si="1112"/>
        <v>-2.0820189274447953E-2</v>
      </c>
      <c r="BQ224" s="10">
        <f t="shared" si="1112"/>
        <v>9.7150259067357858E-3</v>
      </c>
      <c r="BR224" s="10">
        <f t="shared" si="1112"/>
        <v>-2.6007802340701769E-3</v>
      </c>
      <c r="BS224" s="9">
        <f t="shared" si="1112"/>
        <v>-1.1876103354196754E-2</v>
      </c>
      <c r="BT224" s="10">
        <f t="shared" si="1112"/>
        <v>7.0785070785070792E-2</v>
      </c>
      <c r="BU224" s="10">
        <f t="shared" si="1112"/>
        <v>4.8969072164948502E-2</v>
      </c>
      <c r="BV224" s="10">
        <f t="shared" si="1112"/>
        <v>2.6298909557408656E-2</v>
      </c>
      <c r="BW224" s="10">
        <f t="shared" si="1112"/>
        <v>7.2359843546284219E-2</v>
      </c>
      <c r="BX224" s="9">
        <f t="shared" si="1112"/>
        <v>5.1648530128309167E-2</v>
      </c>
      <c r="BY224" s="10">
        <f t="shared" si="1112"/>
        <v>3.125E-2</v>
      </c>
      <c r="BZ224" s="10">
        <f t="shared" si="1112"/>
        <v>4.5454545454545414E-2</v>
      </c>
      <c r="CA224" s="10">
        <f t="shared" si="1112"/>
        <v>5.8124999999999982E-2</v>
      </c>
      <c r="CB224" s="10">
        <f t="shared" si="1112"/>
        <v>0.13373860182370811</v>
      </c>
      <c r="CC224" s="9">
        <f t="shared" ref="CC224:DG224" si="1113">CC223/BX223-1</f>
        <v>8.1081081081081141E-2</v>
      </c>
      <c r="CD224" s="10">
        <f t="shared" si="1113"/>
        <v>2.3892773892773889E-2</v>
      </c>
      <c r="CE224" s="10">
        <f t="shared" si="1113"/>
        <v>2.4676850763807323E-2</v>
      </c>
      <c r="CF224" s="10">
        <f t="shared" si="1113"/>
        <v>4.1937389249852242E-2</v>
      </c>
      <c r="CG224" s="10">
        <f t="shared" si="1113"/>
        <v>-3.2707774798927614E-2</v>
      </c>
      <c r="CH224" s="9">
        <f t="shared" si="1113"/>
        <v>4.0571428571428481E-2</v>
      </c>
      <c r="CI224" s="10">
        <f t="shared" si="1113"/>
        <v>4.9516220830961855E-2</v>
      </c>
      <c r="CJ224" s="10">
        <f t="shared" si="1113"/>
        <v>9.0596330275229286E-2</v>
      </c>
      <c r="CK224" s="10">
        <f t="shared" si="1113"/>
        <v>0.1020408163265305</v>
      </c>
      <c r="CL224" s="10">
        <f t="shared" si="1113"/>
        <v>6.3192904656319326E-2</v>
      </c>
      <c r="CM224" s="9">
        <f t="shared" si="1113"/>
        <v>4.4481054365733019E-2</v>
      </c>
      <c r="CN224" s="10">
        <f t="shared" si="1113"/>
        <v>6.0195227765726722E-2</v>
      </c>
      <c r="CO224" s="10">
        <f t="shared" si="1113"/>
        <v>8.4121976866455839E-3</v>
      </c>
      <c r="CP224" s="10">
        <f t="shared" si="1113"/>
        <v>-5.1440329218110925E-4</v>
      </c>
      <c r="CQ224" s="10">
        <f t="shared" si="1113"/>
        <v>3.2325338894682032E-2</v>
      </c>
      <c r="CR224" s="9">
        <f t="shared" si="1113"/>
        <v>2.4710830704521625E-2</v>
      </c>
      <c r="CS224" s="10">
        <f t="shared" si="1113"/>
        <v>6.854219948849094E-2</v>
      </c>
      <c r="CT224" s="10">
        <f t="shared" si="1113"/>
        <v>0.14181438998957252</v>
      </c>
      <c r="CU224" s="10">
        <f t="shared" si="1113"/>
        <v>0.1466803911477097</v>
      </c>
      <c r="CV224" s="10">
        <f t="shared" si="1113"/>
        <v>1.0101010101009056E-3</v>
      </c>
      <c r="CW224" s="9">
        <f t="shared" si="1113"/>
        <v>8.8891739353514687E-2</v>
      </c>
      <c r="CX224" s="10">
        <f t="shared" si="1113"/>
        <v>-0.17424605074198185</v>
      </c>
      <c r="CY224" s="10">
        <f t="shared" si="1113"/>
        <v>-0.26803652968036529</v>
      </c>
      <c r="CZ224" s="10">
        <f t="shared" si="1113"/>
        <v>-0.24102333931777375</v>
      </c>
      <c r="DA224" s="10">
        <f t="shared" si="1113"/>
        <v>-0.12361251261352169</v>
      </c>
      <c r="DB224" s="9">
        <f t="shared" si="1113"/>
        <v>-0.20414654258452114</v>
      </c>
      <c r="DC224" s="10">
        <f t="shared" si="1113"/>
        <v>7.6521739130434696E-2</v>
      </c>
      <c r="DD224" s="10">
        <f>DD223/CY223-1</f>
        <v>0.1821584529008109</v>
      </c>
      <c r="DE224" s="10">
        <f>DE223/CZ223-1</f>
        <v>8.870490833826139E-2</v>
      </c>
      <c r="DF224" s="10">
        <f>DF223/DA223-1</f>
        <v>0.13413932066781808</v>
      </c>
      <c r="DG224" s="9">
        <f t="shared" si="1113"/>
        <v>0.11944937833037295</v>
      </c>
      <c r="DH224" s="10">
        <f t="shared" ref="DH224:DO224" si="1114">DH223/DC223-1</f>
        <v>9.6930533117932205E-2</v>
      </c>
      <c r="DI224" s="10">
        <f t="shared" si="1114"/>
        <v>0.10448548812664904</v>
      </c>
      <c r="DJ224" s="10">
        <f t="shared" si="1114"/>
        <v>0.13253666485605642</v>
      </c>
      <c r="DK224" s="10">
        <f>DK223/DF223-1</f>
        <v>7.1065989847715727E-2</v>
      </c>
      <c r="DL224" s="9">
        <f t="shared" si="1114"/>
        <v>0.10075366917889728</v>
      </c>
      <c r="DM224" s="10">
        <f t="shared" si="1114"/>
        <v>3.5837015218458612E-2</v>
      </c>
      <c r="DN224" s="10">
        <f t="shared" si="1114"/>
        <v>-1.1466794075489672E-2</v>
      </c>
      <c r="DO224" s="10">
        <f t="shared" si="1114"/>
        <v>-2.1582733812949617E-2</v>
      </c>
      <c r="DP224" s="10">
        <f>DP223/DK223-1</f>
        <v>-1.4218009478673022E-2</v>
      </c>
      <c r="DQ224" s="9">
        <f t="shared" ref="DQ224:DY224" si="1115">DQ223/DL223-1</f>
        <v>-3.1231231231231282E-3</v>
      </c>
      <c r="DR224" s="10">
        <f t="shared" si="1115"/>
        <v>-3.3175355450236754E-3</v>
      </c>
      <c r="DS224" s="10">
        <f t="shared" si="1115"/>
        <v>2.8516191396809942E-2</v>
      </c>
      <c r="DT224" s="10">
        <f t="shared" si="1115"/>
        <v>4.3627450980392224E-2</v>
      </c>
      <c r="DU224" s="10">
        <f>DU223/DP223-1</f>
        <v>6.6826923076923173E-2</v>
      </c>
      <c r="DV224" s="9">
        <f t="shared" si="1115"/>
        <v>3.3739004699361308E-2</v>
      </c>
      <c r="DW224" s="10">
        <f t="shared" si="1115"/>
        <v>8.0836899667142248E-2</v>
      </c>
      <c r="DX224" s="10">
        <f t="shared" si="1115"/>
        <v>5.5921052631578982E-2</v>
      </c>
      <c r="DY224" s="10">
        <f t="shared" si="1115"/>
        <v>5.4485674025364084E-2</v>
      </c>
      <c r="DZ224" s="10">
        <f>DZ223/DU223-1</f>
        <v>3.2447048219918839E-2</v>
      </c>
      <c r="EA224" s="9">
        <f>EA223/DV223-1</f>
        <v>5.5600885884135698E-2</v>
      </c>
      <c r="EB224" s="10">
        <f>EB223/DW223-1</f>
        <v>-3.9155301363836381E-2</v>
      </c>
      <c r="EC224" s="10">
        <f>EC223/DX223-1</f>
        <v>-8.1441922563417868E-2</v>
      </c>
      <c r="ED224" s="10">
        <f>ED223/DY223-1</f>
        <v>-0.10645879732739416</v>
      </c>
      <c r="EE224" s="10">
        <f t="shared" ref="EE224:EF224" si="1116">EE223/DZ223-1</f>
        <v>-0.13138367525098216</v>
      </c>
      <c r="EF224" s="9">
        <f t="shared" si="1116"/>
        <v>-8.9664310954063575E-2</v>
      </c>
      <c r="EG224" s="10">
        <f>EG223/EB223-1</f>
        <v>-0.12362637362637363</v>
      </c>
      <c r="EH224" s="10">
        <f>EH223/EC223-1</f>
        <v>-9.68992248062015E-2</v>
      </c>
      <c r="EI224" s="10">
        <f>EI223/ED223-1</f>
        <v>-6.8295114656031886E-2</v>
      </c>
      <c r="EJ224" s="10">
        <f t="shared" ref="EJ224" si="1117">EJ223/EE223-1</f>
        <v>2.1608040201005041E-2</v>
      </c>
      <c r="EK224" s="9">
        <f t="shared" ref="EK224" si="1118">EK223/EF223-1</f>
        <v>-6.6836487142163947E-2</v>
      </c>
      <c r="EL224" s="10">
        <f>EL223/EG223-1</f>
        <v>3.9707419017763756E-2</v>
      </c>
      <c r="EM224" s="10">
        <f>EM223/EH223-1</f>
        <v>-2.6824034334763658E-3</v>
      </c>
      <c r="EN224" s="10">
        <f>EN223/EI223-1</f>
        <v>1.6051364365972098E-3</v>
      </c>
      <c r="EO224" s="10">
        <f t="shared" ref="EO224:EP224" si="1119">EO223/EJ223-1</f>
        <v>-8.4604033448106297E-2</v>
      </c>
      <c r="EP224" s="9">
        <f t="shared" si="1119"/>
        <v>-1.4428701416872469E-2</v>
      </c>
      <c r="EQ224" s="10">
        <f>EQ223/EL223-1</f>
        <v>-7.9396984924623104E-2</v>
      </c>
      <c r="ER224" s="10">
        <f t="shared" ref="ER224" si="1120">ER223/EM223-1</f>
        <v>-2.517166579337915E-2</v>
      </c>
      <c r="ES224" s="10">
        <f t="shared" ref="ES224:EU224" si="1121">ES223/EN223-1</f>
        <v>-4.553536674780867E-3</v>
      </c>
      <c r="ET224" s="10">
        <f t="shared" si="1121"/>
        <v>5.8979469535745066E-2</v>
      </c>
      <c r="EU224" s="9">
        <f t="shared" si="1121"/>
        <v>-1.3658342727388528E-2</v>
      </c>
      <c r="EV224" s="80"/>
      <c r="EW224" s="80"/>
      <c r="EX224" s="80"/>
      <c r="EY224" s="80"/>
      <c r="EZ224" s="9">
        <f>EZ223/EU223-1</f>
        <v>1.1270397450342973E-2</v>
      </c>
      <c r="FA224" s="80"/>
      <c r="FB224" s="80"/>
      <c r="FC224" s="80"/>
      <c r="FD224" s="80"/>
      <c r="FE224" s="9">
        <f>FE223/EZ223-1</f>
        <v>-3.884988885618057E-3</v>
      </c>
      <c r="FF224" s="83"/>
      <c r="FG224" s="489"/>
      <c r="FH224" s="776"/>
      <c r="FI224" s="776"/>
      <c r="FJ224" s="776"/>
      <c r="FK224" s="83"/>
      <c r="FL224" s="1346"/>
      <c r="FM224" s="1141">
        <f t="shared" si="1109"/>
        <v>-7.9396984924623104E-2</v>
      </c>
      <c r="FN224" s="1418">
        <f t="shared" si="1110"/>
        <v>3.9707419017763756E-2</v>
      </c>
      <c r="FO224" s="1750">
        <v>-3.6478504449511062E-2</v>
      </c>
      <c r="FP224" s="1762"/>
      <c r="FQ224" s="1503">
        <f>+(FM224-FO224)*10000</f>
        <v>-429.1848047511204</v>
      </c>
      <c r="FR224" s="1631"/>
      <c r="FS224" s="1615" t="s">
        <v>783</v>
      </c>
      <c r="FT224" s="354"/>
      <c r="FU224" s="443"/>
      <c r="FV224" s="444"/>
      <c r="FW224" s="444"/>
      <c r="FX224" s="354"/>
      <c r="FY224" s="354"/>
      <c r="FZ224" s="489"/>
      <c r="GA224"/>
      <c r="GB224"/>
      <c r="GC224"/>
      <c r="GD224"/>
      <c r="GE224"/>
      <c r="GF224"/>
      <c r="GG224"/>
      <c r="GH224"/>
      <c r="GI224"/>
      <c r="GJ224"/>
      <c r="GK224"/>
      <c r="GL224"/>
      <c r="GM224"/>
      <c r="GN224"/>
      <c r="GO224"/>
      <c r="GP224"/>
      <c r="GQ224"/>
      <c r="GR224"/>
      <c r="GS224"/>
      <c r="GT224"/>
      <c r="GU224"/>
      <c r="GV224"/>
      <c r="GW224"/>
      <c r="GX224"/>
      <c r="GY224"/>
      <c r="GZ224"/>
      <c r="HA224"/>
      <c r="HB224"/>
      <c r="HC224"/>
      <c r="HD224"/>
      <c r="HE224"/>
      <c r="HF224"/>
      <c r="HG224"/>
      <c r="HH224"/>
      <c r="HI224"/>
      <c r="HJ224"/>
      <c r="HK224"/>
      <c r="HL224"/>
      <c r="HM224"/>
      <c r="HN224"/>
      <c r="HO224"/>
      <c r="HP224"/>
      <c r="HQ224"/>
      <c r="HR224"/>
      <c r="HS224"/>
      <c r="HT224"/>
      <c r="HU224"/>
      <c r="HV224"/>
      <c r="HW224"/>
      <c r="HX224"/>
      <c r="HY224"/>
      <c r="HZ224"/>
      <c r="IA224"/>
      <c r="IB224"/>
      <c r="IC224"/>
      <c r="ID224"/>
      <c r="IE224"/>
      <c r="IF224"/>
      <c r="IG224"/>
      <c r="IH224"/>
      <c r="II224"/>
      <c r="IJ224"/>
      <c r="IK224"/>
      <c r="IL224"/>
      <c r="IM224"/>
      <c r="IN224"/>
      <c r="IO224"/>
      <c r="IP224"/>
      <c r="IQ224"/>
      <c r="IR224"/>
      <c r="IS224"/>
      <c r="IT224"/>
      <c r="IU224"/>
      <c r="IV224"/>
      <c r="IW224"/>
      <c r="IX224"/>
    </row>
    <row r="225" spans="1:258" s="104" customFormat="1" x14ac:dyDescent="0.2">
      <c r="A225" s="602" t="s">
        <v>317</v>
      </c>
      <c r="B225" s="8"/>
      <c r="C225" s="8"/>
      <c r="D225" s="8"/>
      <c r="E225" s="8"/>
      <c r="F225" s="38"/>
      <c r="G225" s="8"/>
      <c r="H225" s="8"/>
      <c r="I225" s="8"/>
      <c r="J225" s="8"/>
      <c r="K225" s="38"/>
      <c r="L225" s="8"/>
      <c r="M225" s="8"/>
      <c r="N225" s="8"/>
      <c r="O225" s="8"/>
      <c r="P225" s="38"/>
      <c r="Q225" s="8">
        <f t="shared" ref="Q225:AV225" si="1122">Q223/Q$23*1000</f>
        <v>850.71143566965304</v>
      </c>
      <c r="R225" s="8">
        <f t="shared" si="1122"/>
        <v>808.33374537183795</v>
      </c>
      <c r="S225" s="8">
        <f t="shared" si="1122"/>
        <v>816.81681681681687</v>
      </c>
      <c r="T225" s="8">
        <f t="shared" si="1122"/>
        <v>794.90909090909088</v>
      </c>
      <c r="U225" s="38">
        <f t="shared" si="1122"/>
        <v>817.44171587775907</v>
      </c>
      <c r="V225" s="8">
        <f t="shared" si="1122"/>
        <v>849.04214559386969</v>
      </c>
      <c r="W225" s="8">
        <f t="shared" si="1122"/>
        <v>802.22222222222217</v>
      </c>
      <c r="X225" s="8">
        <f t="shared" si="1122"/>
        <v>821.67042889390518</v>
      </c>
      <c r="Y225" s="8">
        <f t="shared" si="1122"/>
        <v>802.20588235294122</v>
      </c>
      <c r="Z225" s="38">
        <f t="shared" si="1122"/>
        <v>818.48802395209589</v>
      </c>
      <c r="AA225" s="8">
        <f t="shared" si="1122"/>
        <v>829.21511627906978</v>
      </c>
      <c r="AB225" s="8">
        <f t="shared" si="1122"/>
        <v>766.75786593707255</v>
      </c>
      <c r="AC225" s="8">
        <f t="shared" si="1122"/>
        <v>789.43710910354412</v>
      </c>
      <c r="AD225" s="8">
        <f t="shared" si="1122"/>
        <v>766.48721399730823</v>
      </c>
      <c r="AE225" s="38">
        <f t="shared" si="1122"/>
        <v>787.26357799757079</v>
      </c>
      <c r="AF225" s="8">
        <f t="shared" si="1122"/>
        <v>800.86268871315599</v>
      </c>
      <c r="AG225" s="8">
        <f t="shared" si="1122"/>
        <v>795.29243937232525</v>
      </c>
      <c r="AH225" s="8">
        <f t="shared" si="1122"/>
        <v>791.00145137880986</v>
      </c>
      <c r="AI225" s="8">
        <f t="shared" si="1122"/>
        <v>798.85057471264361</v>
      </c>
      <c r="AJ225" s="38">
        <f t="shared" si="1122"/>
        <v>796.51267301815562</v>
      </c>
      <c r="AK225" s="8">
        <f t="shared" si="1122"/>
        <v>840.4815650865313</v>
      </c>
      <c r="AL225" s="8">
        <f t="shared" si="1122"/>
        <v>782.97872340425533</v>
      </c>
      <c r="AM225" s="8">
        <f t="shared" si="1122"/>
        <v>784.68208092485543</v>
      </c>
      <c r="AN225" s="8">
        <f t="shared" si="1122"/>
        <v>779.03682719546737</v>
      </c>
      <c r="AO225" s="38">
        <f t="shared" si="1122"/>
        <v>796.20596205962056</v>
      </c>
      <c r="AP225" s="8">
        <f t="shared" si="1122"/>
        <v>795.30916844349679</v>
      </c>
      <c r="AQ225" s="8">
        <f t="shared" si="1122"/>
        <v>742.51913709116218</v>
      </c>
      <c r="AR225" s="8">
        <f t="shared" si="1122"/>
        <v>772.75935074100209</v>
      </c>
      <c r="AS225" s="8">
        <f t="shared" si="1122"/>
        <v>754.27789185489394</v>
      </c>
      <c r="AT225" s="38">
        <f t="shared" si="1122"/>
        <v>765.99091226843768</v>
      </c>
      <c r="AU225" s="8">
        <f t="shared" si="1122"/>
        <v>811.52204836415365</v>
      </c>
      <c r="AV225" s="8">
        <f t="shared" si="1122"/>
        <v>770.18633540372673</v>
      </c>
      <c r="AW225" s="8">
        <f t="shared" ref="AW225:CC225" si="1123">AW223/AW$23*1000</f>
        <v>815.93794076163601</v>
      </c>
      <c r="AX225" s="8">
        <f t="shared" si="1123"/>
        <v>797.67600820232394</v>
      </c>
      <c r="AY225" s="38">
        <f t="shared" si="1123"/>
        <v>798.64016736401675</v>
      </c>
      <c r="AZ225" s="8">
        <f t="shared" si="1123"/>
        <v>802.82637954239567</v>
      </c>
      <c r="BA225" s="8">
        <f t="shared" si="1123"/>
        <v>839.92346938775506</v>
      </c>
      <c r="BB225" s="8">
        <f t="shared" si="1123"/>
        <v>850.13623978201633</v>
      </c>
      <c r="BC225" s="8">
        <f t="shared" si="1123"/>
        <v>870.60737527114975</v>
      </c>
      <c r="BD225" s="38">
        <f t="shared" si="1123"/>
        <v>842.92291697608789</v>
      </c>
      <c r="BE225" s="8">
        <f t="shared" si="1123"/>
        <v>889.550622631294</v>
      </c>
      <c r="BF225" s="8">
        <f t="shared" si="1123"/>
        <v>904.2495965572889</v>
      </c>
      <c r="BG225" s="8">
        <f t="shared" si="1123"/>
        <v>877.53981328940142</v>
      </c>
      <c r="BH225" s="8">
        <f t="shared" si="1123"/>
        <v>897.82244556113903</v>
      </c>
      <c r="BI225" s="38">
        <f t="shared" si="1123"/>
        <v>879.06531839300351</v>
      </c>
      <c r="BJ225" s="8">
        <f t="shared" si="1123"/>
        <v>913.70558375634516</v>
      </c>
      <c r="BK225" s="8">
        <f t="shared" si="1123"/>
        <v>882.02559821925433</v>
      </c>
      <c r="BL225" s="8">
        <f t="shared" si="1123"/>
        <v>870.34949267192781</v>
      </c>
      <c r="BM225" s="8">
        <f t="shared" si="1123"/>
        <v>866.96730552423901</v>
      </c>
      <c r="BN225" s="38">
        <f t="shared" si="1123"/>
        <v>875.38634447878621</v>
      </c>
      <c r="BO225" s="8">
        <f t="shared" si="1123"/>
        <v>915.19434628975262</v>
      </c>
      <c r="BP225" s="8">
        <f t="shared" si="1123"/>
        <v>857.45856353591171</v>
      </c>
      <c r="BQ225" s="8">
        <f t="shared" si="1123"/>
        <v>860.37527593818982</v>
      </c>
      <c r="BR225" s="8">
        <f t="shared" si="1123"/>
        <v>866.17730095990964</v>
      </c>
      <c r="BS225" s="38">
        <f t="shared" si="1123"/>
        <v>868.28373995205186</v>
      </c>
      <c r="BT225" s="8">
        <f t="shared" si="1123"/>
        <v>951.94508009153321</v>
      </c>
      <c r="BU225" s="8">
        <f t="shared" si="1123"/>
        <v>881.42934488359504</v>
      </c>
      <c r="BV225" s="8">
        <f t="shared" si="1123"/>
        <v>878.63811092806156</v>
      </c>
      <c r="BW225" s="8">
        <f t="shared" si="1123"/>
        <v>881.09266202463846</v>
      </c>
      <c r="BX225" s="38">
        <f t="shared" si="1123"/>
        <v>889.05670740079631</v>
      </c>
      <c r="BY225" s="8">
        <f t="shared" si="1123"/>
        <v>940.78947368421052</v>
      </c>
      <c r="BZ225" s="8">
        <f t="shared" si="1123"/>
        <v>892.96956977964328</v>
      </c>
      <c r="CA225" s="8">
        <f t="shared" si="1123"/>
        <v>931.75564116675832</v>
      </c>
      <c r="CB225" s="8">
        <f t="shared" si="1123"/>
        <v>940.49420070600104</v>
      </c>
      <c r="CC225" s="38">
        <f t="shared" si="1123"/>
        <v>929.61487383798135</v>
      </c>
      <c r="CD225" s="8">
        <f t="shared" ref="CD225:DG225" si="1124">CD223/CD$23*1000</f>
        <v>952.81995661605197</v>
      </c>
      <c r="CE225" s="8">
        <f t="shared" si="1124"/>
        <v>933.11931514178707</v>
      </c>
      <c r="CF225" s="8">
        <f t="shared" si="1124"/>
        <v>969.76360637713037</v>
      </c>
      <c r="CG225" s="8">
        <f t="shared" si="1124"/>
        <v>992.29922992299237</v>
      </c>
      <c r="CH225" s="38">
        <f>CH223/CH$23*1000</f>
        <v>991.0204081632653</v>
      </c>
      <c r="CI225" s="8">
        <f t="shared" si="1124"/>
        <v>1009.8576122672509</v>
      </c>
      <c r="CJ225" s="8">
        <f t="shared" si="1124"/>
        <v>1017.1122994652407</v>
      </c>
      <c r="CK225" s="8">
        <f t="shared" si="1124"/>
        <v>1049.6760259179266</v>
      </c>
      <c r="CL225" s="8">
        <f t="shared" si="1124"/>
        <v>1059.6685082872928</v>
      </c>
      <c r="CM225" s="38">
        <f>CM223/CM$23*1000</f>
        <v>1033.9766240826311</v>
      </c>
      <c r="CN225" s="8">
        <f t="shared" si="1124"/>
        <v>1113.9601139601139</v>
      </c>
      <c r="CO225" s="8">
        <f t="shared" si="1124"/>
        <v>1049.808429118774</v>
      </c>
      <c r="CP225" s="8">
        <f t="shared" si="1124"/>
        <v>1095.882684715172</v>
      </c>
      <c r="CQ225" s="8">
        <f t="shared" si="1124"/>
        <v>1124.3611584327086</v>
      </c>
      <c r="CR225" s="38">
        <f>CR223/CR$23*1000</f>
        <v>1095.5593029792019</v>
      </c>
      <c r="CS225" s="8">
        <f t="shared" si="1124"/>
        <v>1216.6569598136284</v>
      </c>
      <c r="CT225" s="8">
        <f t="shared" si="1124"/>
        <v>1233.8028169014083</v>
      </c>
      <c r="CU225" s="8">
        <f t="shared" si="1124"/>
        <v>1286.3741339491917</v>
      </c>
      <c r="CV225" s="8">
        <f t="shared" si="1124"/>
        <v>1236.4316905801622</v>
      </c>
      <c r="CW225" s="38">
        <f>CW223/CW$23*1000</f>
        <v>1243.4451442800644</v>
      </c>
      <c r="CX225" s="8">
        <f t="shared" si="1124"/>
        <v>1215.644820295983</v>
      </c>
      <c r="CY225" s="8">
        <f t="shared" si="1124"/>
        <v>1136.0737065910703</v>
      </c>
      <c r="CZ225" s="8">
        <f t="shared" si="1124"/>
        <v>1154.2662116040956</v>
      </c>
      <c r="DA225" s="8">
        <f t="shared" si="1124"/>
        <v>1159.5460614152203</v>
      </c>
      <c r="DB225" s="38">
        <f t="shared" si="1124"/>
        <v>1166.235111341274</v>
      </c>
      <c r="DC225" s="8">
        <f>DC223/DC$23*1000</f>
        <v>1249.6635262449529</v>
      </c>
      <c r="DD225" s="8">
        <f>DD223/DD$23*1000</f>
        <v>1185.8573216520651</v>
      </c>
      <c r="DE225" s="8">
        <f>DE223/DE$23*1000</f>
        <v>1144.1889372280921</v>
      </c>
      <c r="DF225" s="8">
        <f>DF223/DF$23*1000</f>
        <v>1164.9911295091661</v>
      </c>
      <c r="DG225" s="38">
        <f t="shared" si="1124"/>
        <v>1184.6804511278194</v>
      </c>
      <c r="DH225" s="8">
        <f t="shared" ref="DH225:DQ225" si="1125">DH223/DH$23*1000</f>
        <v>1279.5226130653266</v>
      </c>
      <c r="DI225" s="8">
        <f t="shared" si="1125"/>
        <v>1271.5674362089915</v>
      </c>
      <c r="DJ225" s="8">
        <f t="shared" si="1125"/>
        <v>1287.8319950586783</v>
      </c>
      <c r="DK225" s="8">
        <f>DK223/DK$23*1000</f>
        <v>1303.2736256948733</v>
      </c>
      <c r="DL225" s="38">
        <f t="shared" si="1125"/>
        <v>1285.5157504632489</v>
      </c>
      <c r="DM225" s="8">
        <f>DM223/DM$23*1000</f>
        <v>1317.1036204744071</v>
      </c>
      <c r="DN225" s="8">
        <f>DN223/DN$23*1000</f>
        <v>1261.5853658536585</v>
      </c>
      <c r="DO225" s="8">
        <f>DO223/DO$23*1000</f>
        <v>1275</v>
      </c>
      <c r="DP225" s="8">
        <f>DP223/DP$23*1000</f>
        <v>1327.3771537970645</v>
      </c>
      <c r="DQ225" s="38">
        <f t="shared" si="1125"/>
        <v>1294.8977999687938</v>
      </c>
      <c r="DR225" s="8">
        <f t="shared" ref="DR225:EA225" si="1126">DR223/DR$23*1000</f>
        <v>1334.7380981092797</v>
      </c>
      <c r="DS225" s="8">
        <f t="shared" si="1126"/>
        <v>1285.0241545893718</v>
      </c>
      <c r="DT225" s="8">
        <f t="shared" si="1126"/>
        <v>1295.8003651856361</v>
      </c>
      <c r="DU225" s="8">
        <f>DU223/DU$23*1000</f>
        <v>1335.1383874849578</v>
      </c>
      <c r="DV225" s="38">
        <f t="shared" si="1126"/>
        <v>1312.4580247499077</v>
      </c>
      <c r="DW225" s="8">
        <f>DW223/DW$23*1000</f>
        <v>1403.0864197530864</v>
      </c>
      <c r="DX225" s="8">
        <f>DX223/DX$23*1000</f>
        <v>1261.650758001123</v>
      </c>
      <c r="DY225" s="8">
        <f>DY223/DY$23*1000</f>
        <v>1277.0193401592719</v>
      </c>
      <c r="DZ225" s="8">
        <f>DZ223/DZ$23*1000</f>
        <v>1299.2684171723472</v>
      </c>
      <c r="EA225" s="38">
        <f t="shared" si="1126"/>
        <v>1308.2357020065585</v>
      </c>
      <c r="EB225" s="8">
        <f>EB223/EB$23*1000</f>
        <v>1335.9187193775499</v>
      </c>
      <c r="EC225" s="8">
        <f>EC223/EC$23*1000</f>
        <v>1173.3939738487777</v>
      </c>
      <c r="ED225" s="8">
        <f t="shared" ref="ED225:EI225" si="1127">ED223/ED$23*1000</f>
        <v>1171.7289719626167</v>
      </c>
      <c r="EE225" s="8">
        <f t="shared" si="1127"/>
        <v>1202.4169184290031</v>
      </c>
      <c r="EF225" s="38">
        <f t="shared" si="1127"/>
        <v>1219.3769108230795</v>
      </c>
      <c r="EG225" s="8">
        <f t="shared" si="1127"/>
        <v>1234.0425531914893</v>
      </c>
      <c r="EH225" s="8">
        <f t="shared" si="1127"/>
        <v>1168.6520376175549</v>
      </c>
      <c r="EI225" s="8">
        <f t="shared" si="1127"/>
        <v>1187.4205844980941</v>
      </c>
      <c r="EJ225" s="8">
        <f t="shared" ref="EJ225:EN225" si="1128">EJ223/EJ$23*1000</f>
        <v>1174.465626805315</v>
      </c>
      <c r="EK225" s="38">
        <f t="shared" si="1128"/>
        <v>1192.5282901875678</v>
      </c>
      <c r="EL225" s="8">
        <f t="shared" si="1128"/>
        <v>1250</v>
      </c>
      <c r="EM225" s="8">
        <f t="shared" si="1128"/>
        <v>1147.5308641975307</v>
      </c>
      <c r="EN225" s="8">
        <f t="shared" si="1128"/>
        <v>1179.5841209829866</v>
      </c>
      <c r="EO225" s="8">
        <f t="shared" ref="EO225:EQ225" si="1129">EO223/EO$23*1000</f>
        <v>1162.3985009369144</v>
      </c>
      <c r="EP225" s="38">
        <f t="shared" si="1129"/>
        <v>1184.6875</v>
      </c>
      <c r="EQ225" s="8">
        <f t="shared" si="1129"/>
        <v>1195.8224543080939</v>
      </c>
      <c r="ER225" s="8">
        <f t="shared" ref="ER225" si="1130">ER223/ER$23*1000</f>
        <v>1142.9365296329445</v>
      </c>
      <c r="ES225" s="8">
        <f t="shared" ref="ES225:ET225" si="1131">ES223/ES$23*1000</f>
        <v>1166.035165690407</v>
      </c>
      <c r="ET225" s="8">
        <f t="shared" si="1131"/>
        <v>1197.6268145434349</v>
      </c>
      <c r="EU225" s="38">
        <f>EU223/EU$23*1000</f>
        <v>1175.6237480561524</v>
      </c>
      <c r="EV225" s="103"/>
      <c r="EW225" s="103"/>
      <c r="EX225" s="103"/>
      <c r="EY225" s="103"/>
      <c r="EZ225" s="38">
        <f>EZ223/EZ$23*1000</f>
        <v>1174.1664453584988</v>
      </c>
      <c r="FA225" s="103"/>
      <c r="FB225" s="103"/>
      <c r="FC225" s="103"/>
      <c r="FD225" s="103"/>
      <c r="FE225" s="38">
        <f>FE223/FE$23*1000</f>
        <v>1150.7130816421188</v>
      </c>
      <c r="FG225" s="490"/>
      <c r="FH225" s="781"/>
      <c r="FI225" s="781"/>
      <c r="FJ225" s="781"/>
      <c r="FL225" s="1362"/>
      <c r="FM225" s="1155">
        <f t="shared" si="1109"/>
        <v>1195.8224543080939</v>
      </c>
      <c r="FN225" s="1428">
        <f t="shared" si="1110"/>
        <v>1250</v>
      </c>
      <c r="FO225" s="1816">
        <v>1244.9295338887357</v>
      </c>
      <c r="FP225" s="1733">
        <f>+FM225/FN225-1</f>
        <v>-4.3342036553524865E-2</v>
      </c>
      <c r="FQ225" s="1519">
        <f>+FM225/FO225-1</f>
        <v>-3.9445670010934686E-2</v>
      </c>
      <c r="FR225" s="1619"/>
      <c r="FS225" s="1615" t="s">
        <v>775</v>
      </c>
      <c r="FT225" s="436"/>
      <c r="FU225" s="355"/>
      <c r="FV225" s="355"/>
      <c r="FW225" s="445"/>
      <c r="FX225" s="436"/>
      <c r="FY225" s="436"/>
      <c r="FZ225" s="490"/>
      <c r="GA225"/>
      <c r="GB225"/>
      <c r="GC225"/>
      <c r="GD225"/>
      <c r="GE225"/>
      <c r="GF225"/>
      <c r="GG225"/>
      <c r="GH225"/>
      <c r="GI225"/>
      <c r="GJ225"/>
      <c r="GK225"/>
      <c r="GL225"/>
      <c r="GM225"/>
      <c r="GN225"/>
      <c r="GO225"/>
      <c r="GP225"/>
      <c r="GQ225"/>
      <c r="GR225"/>
      <c r="GS225"/>
      <c r="GT225"/>
      <c r="GU225"/>
      <c r="GV225"/>
      <c r="GW225"/>
      <c r="GX225"/>
      <c r="GY225"/>
      <c r="GZ225"/>
      <c r="HA225"/>
      <c r="HB225"/>
      <c r="HC225"/>
      <c r="HD225"/>
      <c r="HE225"/>
      <c r="HF225"/>
      <c r="HG225"/>
      <c r="HH225"/>
      <c r="HI225"/>
      <c r="HJ225"/>
      <c r="HK225"/>
      <c r="HL225"/>
      <c r="HM225"/>
      <c r="HN225"/>
      <c r="HO225"/>
      <c r="HP225"/>
      <c r="HQ225"/>
      <c r="HR225"/>
      <c r="HS225"/>
      <c r="HT225"/>
      <c r="HU225"/>
      <c r="HV225"/>
      <c r="HW225"/>
      <c r="HX225"/>
      <c r="HY225"/>
      <c r="HZ225"/>
      <c r="IA225"/>
      <c r="IB225"/>
      <c r="IC225"/>
      <c r="ID225"/>
      <c r="IE225"/>
      <c r="IF225"/>
      <c r="IG225"/>
      <c r="IH225"/>
      <c r="II225"/>
      <c r="IJ225"/>
      <c r="IK225"/>
      <c r="IL225"/>
      <c r="IM225"/>
      <c r="IN225"/>
      <c r="IO225"/>
      <c r="IP225"/>
      <c r="IQ225"/>
      <c r="IR225"/>
      <c r="IS225"/>
      <c r="IT225"/>
      <c r="IU225"/>
      <c r="IV225"/>
      <c r="IW225"/>
      <c r="IX225"/>
    </row>
    <row r="226" spans="1:258" s="84" customFormat="1" x14ac:dyDescent="0.2">
      <c r="A226" s="29" t="s">
        <v>463</v>
      </c>
      <c r="B226" s="10"/>
      <c r="C226" s="10"/>
      <c r="D226" s="10"/>
      <c r="E226" s="10"/>
      <c r="F226" s="9"/>
      <c r="G226" s="10"/>
      <c r="H226" s="10"/>
      <c r="I226" s="10"/>
      <c r="J226" s="10"/>
      <c r="K226" s="9"/>
      <c r="L226" s="10"/>
      <c r="M226" s="10"/>
      <c r="N226" s="10"/>
      <c r="O226" s="10"/>
      <c r="P226" s="9"/>
      <c r="Q226" s="10"/>
      <c r="R226" s="10"/>
      <c r="S226" s="10"/>
      <c r="T226" s="10"/>
      <c r="U226" s="9"/>
      <c r="V226" s="10">
        <f t="shared" ref="V226:AV226" si="1132">V225/Q225-1</f>
        <v>-1.9622283253655226E-3</v>
      </c>
      <c r="W226" s="10">
        <f t="shared" si="1132"/>
        <v>-7.5606433414510121E-3</v>
      </c>
      <c r="X226" s="10">
        <f t="shared" si="1132"/>
        <v>5.9421059620234917E-3</v>
      </c>
      <c r="Y226" s="10">
        <f t="shared" si="1132"/>
        <v>9.1794036919434774E-3</v>
      </c>
      <c r="Z226" s="9">
        <f t="shared" si="1132"/>
        <v>1.2799788095145814E-3</v>
      </c>
      <c r="AA226" s="10">
        <f t="shared" si="1132"/>
        <v>-2.335223218033744E-2</v>
      </c>
      <c r="AB226" s="10">
        <f t="shared" si="1132"/>
        <v>-4.4207646338829121E-2</v>
      </c>
      <c r="AC226" s="10">
        <f t="shared" si="1132"/>
        <v>-3.9229012821785592E-2</v>
      </c>
      <c r="AD226" s="10">
        <f t="shared" si="1132"/>
        <v>-4.4525562753126358E-2</v>
      </c>
      <c r="AE226" s="9">
        <f t="shared" si="1132"/>
        <v>-3.8148934426379122E-2</v>
      </c>
      <c r="AF226" s="10">
        <f t="shared" si="1132"/>
        <v>-3.4191884601838196E-2</v>
      </c>
      <c r="AG226" s="10">
        <f t="shared" si="1132"/>
        <v>3.7214581946779068E-2</v>
      </c>
      <c r="AH226" s="10">
        <f t="shared" si="1132"/>
        <v>1.9815920194607983E-3</v>
      </c>
      <c r="AI226" s="10">
        <f t="shared" si="1132"/>
        <v>4.222296226776856E-2</v>
      </c>
      <c r="AJ226" s="9">
        <f t="shared" si="1132"/>
        <v>1.1748409654756431E-2</v>
      </c>
      <c r="AK226" s="10">
        <f t="shared" si="1132"/>
        <v>4.9470248685246965E-2</v>
      </c>
      <c r="AL226" s="10">
        <f t="shared" si="1132"/>
        <v>-1.5483255414559638E-2</v>
      </c>
      <c r="AM226" s="10">
        <f t="shared" si="1132"/>
        <v>-7.989075674815771E-3</v>
      </c>
      <c r="AN226" s="10">
        <f t="shared" si="1132"/>
        <v>-2.4802820633011979E-2</v>
      </c>
      <c r="AO226" s="9">
        <f t="shared" si="1132"/>
        <v>-3.8506726750864306E-4</v>
      </c>
      <c r="AP226" s="10">
        <f t="shared" si="1132"/>
        <v>-5.3745850616466306E-2</v>
      </c>
      <c r="AQ226" s="10">
        <f t="shared" si="1132"/>
        <v>-5.1673928171613537E-2</v>
      </c>
      <c r="AR226" s="10">
        <f t="shared" si="1132"/>
        <v>-1.519434491201932E-2</v>
      </c>
      <c r="AS226" s="10">
        <f t="shared" si="1132"/>
        <v>-3.1781469728081491E-2</v>
      </c>
      <c r="AT226" s="9">
        <f t="shared" si="1132"/>
        <v>-3.7948786157067649E-2</v>
      </c>
      <c r="AU226" s="10">
        <f t="shared" si="1132"/>
        <v>2.0385631857340769E-2</v>
      </c>
      <c r="AV226" s="10">
        <f t="shared" si="1132"/>
        <v>3.7261259583088346E-2</v>
      </c>
      <c r="AW226" s="10">
        <f t="shared" ref="AW226:CB226" si="1133">AW225/AR225-1</f>
        <v>5.5875855761861493E-2</v>
      </c>
      <c r="AX226" s="10">
        <f t="shared" si="1133"/>
        <v>5.7535978206529226E-2</v>
      </c>
      <c r="AY226" s="9">
        <f t="shared" si="1133"/>
        <v>4.262355410835128E-2</v>
      </c>
      <c r="AZ226" s="10">
        <f t="shared" si="1133"/>
        <v>-1.0715258863621124E-2</v>
      </c>
      <c r="BA226" s="10">
        <f t="shared" si="1133"/>
        <v>9.0545794930875445E-2</v>
      </c>
      <c r="BB226" s="10">
        <f t="shared" si="1133"/>
        <v>4.1912867770872442E-2</v>
      </c>
      <c r="BC226" s="10">
        <f t="shared" si="1133"/>
        <v>9.1429811501021474E-2</v>
      </c>
      <c r="BD226" s="9">
        <f t="shared" si="1133"/>
        <v>5.5447686482174241E-2</v>
      </c>
      <c r="BE226" s="10">
        <f t="shared" si="1133"/>
        <v>0.10802365903612987</v>
      </c>
      <c r="BF226" s="10">
        <f t="shared" si="1133"/>
        <v>7.6585700381039512E-2</v>
      </c>
      <c r="BG226" s="10">
        <f t="shared" si="1133"/>
        <v>3.2234331657725379E-2</v>
      </c>
      <c r="BH226" s="10">
        <f t="shared" si="1133"/>
        <v>3.1259866459910413E-2</v>
      </c>
      <c r="BI226" s="9">
        <f t="shared" si="1133"/>
        <v>4.2877469207473151E-2</v>
      </c>
      <c r="BJ226" s="10">
        <f>BJ225/BE225-1</f>
        <v>2.7154116371253423E-2</v>
      </c>
      <c r="BK226" s="10">
        <f>BK225/BF225-1</f>
        <v>-2.4577283111484993E-2</v>
      </c>
      <c r="BL226" s="10">
        <f>BL225/BG225-1</f>
        <v>-8.1937258100246435E-3</v>
      </c>
      <c r="BM226" s="10">
        <f>BM225/BH225-1</f>
        <v>-3.4366639182890513E-2</v>
      </c>
      <c r="BN226" s="9">
        <f>BN225/BI225-1</f>
        <v>-4.1850973269457192E-3</v>
      </c>
      <c r="BO226" s="10">
        <f t="shared" si="1133"/>
        <v>1.6293678837848713E-3</v>
      </c>
      <c r="BP226" s="10">
        <f t="shared" si="1133"/>
        <v>-2.7852972445404856E-2</v>
      </c>
      <c r="BQ226" s="10">
        <f t="shared" si="1133"/>
        <v>-1.1460013267908797E-2</v>
      </c>
      <c r="BR226" s="10">
        <f t="shared" si="1133"/>
        <v>-9.1122763141759933E-4</v>
      </c>
      <c r="BS226" s="9">
        <f t="shared" si="1133"/>
        <v>-8.1136798300907031E-3</v>
      </c>
      <c r="BT226" s="10">
        <f t="shared" si="1133"/>
        <v>4.0156207204262273E-2</v>
      </c>
      <c r="BU226" s="10">
        <f t="shared" si="1133"/>
        <v>2.7955614844914267E-2</v>
      </c>
      <c r="BV226" s="10">
        <f t="shared" si="1133"/>
        <v>2.1226592047240311E-2</v>
      </c>
      <c r="BW226" s="10">
        <f t="shared" si="1133"/>
        <v>1.7219755179683549E-2</v>
      </c>
      <c r="BX226" s="9">
        <f t="shared" si="1133"/>
        <v>2.3924169592179023E-2</v>
      </c>
      <c r="BY226" s="10">
        <f t="shared" si="1133"/>
        <v>-1.171875E-2</v>
      </c>
      <c r="BZ226" s="10">
        <f t="shared" si="1133"/>
        <v>1.3092626156634646E-2</v>
      </c>
      <c r="CA226" s="10">
        <f t="shared" si="1133"/>
        <v>6.0454389102916783E-2</v>
      </c>
      <c r="CB226" s="10">
        <f t="shared" si="1133"/>
        <v>6.7418038126507041E-2</v>
      </c>
      <c r="CC226" s="9">
        <f t="shared" ref="CC226:DU226" si="1134">CC225/BX225-1</f>
        <v>4.5619324503786585E-2</v>
      </c>
      <c r="CD226" s="10">
        <f t="shared" si="1134"/>
        <v>1.2787646193286095E-2</v>
      </c>
      <c r="CE226" s="10">
        <f t="shared" si="1134"/>
        <v>4.4962053266889512E-2</v>
      </c>
      <c r="CF226" s="10">
        <f t="shared" si="1134"/>
        <v>4.0791773648698237E-2</v>
      </c>
      <c r="CG226" s="10">
        <f t="shared" si="1134"/>
        <v>5.5082773692918918E-2</v>
      </c>
      <c r="CH226" s="9">
        <f t="shared" si="1134"/>
        <v>6.6054810495626892E-2</v>
      </c>
      <c r="CI226" s="10">
        <f t="shared" si="1134"/>
        <v>5.9861944804104006E-2</v>
      </c>
      <c r="CJ226" s="10">
        <f t="shared" si="1134"/>
        <v>9.0013123681499385E-2</v>
      </c>
      <c r="CK226" s="10">
        <f t="shared" si="1134"/>
        <v>8.2404019923304039E-2</v>
      </c>
      <c r="CL226" s="10">
        <f t="shared" si="1134"/>
        <v>6.7892099815021201E-2</v>
      </c>
      <c r="CM226" s="9">
        <f t="shared" si="1134"/>
        <v>4.3345440281073344E-2</v>
      </c>
      <c r="CN226" s="10">
        <f t="shared" si="1134"/>
        <v>0.10308631675226021</v>
      </c>
      <c r="CO226" s="10">
        <f t="shared" si="1134"/>
        <v>3.2146037041066E-2</v>
      </c>
      <c r="CP226" s="10">
        <f t="shared" si="1134"/>
        <v>4.4019923915894266E-2</v>
      </c>
      <c r="CQ226" s="10">
        <f t="shared" si="1134"/>
        <v>6.1049894037123353E-2</v>
      </c>
      <c r="CR226" s="9">
        <f t="shared" si="1134"/>
        <v>5.9559063002230239E-2</v>
      </c>
      <c r="CS226" s="10">
        <f t="shared" si="1134"/>
        <v>9.2190774666454312E-2</v>
      </c>
      <c r="CT226" s="10">
        <f t="shared" si="1134"/>
        <v>0.17526472704842155</v>
      </c>
      <c r="CU226" s="10">
        <f t="shared" si="1134"/>
        <v>0.17382467292430093</v>
      </c>
      <c r="CV226" s="10">
        <f t="shared" si="1134"/>
        <v>9.9674852076598874E-2</v>
      </c>
      <c r="CW226" s="9">
        <f t="shared" si="1134"/>
        <v>0.13498661450704685</v>
      </c>
      <c r="CX226" s="10">
        <f t="shared" si="1134"/>
        <v>-8.3190213106620892E-4</v>
      </c>
      <c r="CY226" s="10">
        <f t="shared" si="1134"/>
        <v>-7.9209667032351549E-2</v>
      </c>
      <c r="CZ226" s="10">
        <f t="shared" si="1134"/>
        <v>-0.1026979001354158</v>
      </c>
      <c r="DA226" s="10">
        <f t="shared" si="1134"/>
        <v>-6.2183483123815275E-2</v>
      </c>
      <c r="DB226" s="9">
        <f t="shared" si="1134"/>
        <v>-6.2093638222773251E-2</v>
      </c>
      <c r="DC226" s="10">
        <f t="shared" si="1134"/>
        <v>2.7984083328457032E-2</v>
      </c>
      <c r="DD226" s="10">
        <f t="shared" si="1134"/>
        <v>4.3820761603907465E-2</v>
      </c>
      <c r="DE226" s="10">
        <f t="shared" si="1134"/>
        <v>-8.7304594682703351E-3</v>
      </c>
      <c r="DF226" s="10">
        <f t="shared" si="1134"/>
        <v>4.6958618334662638E-3</v>
      </c>
      <c r="DG226" s="9">
        <f t="shared" si="1134"/>
        <v>1.581614170862311E-2</v>
      </c>
      <c r="DH226" s="10">
        <f t="shared" si="1134"/>
        <v>2.3893701138974377E-2</v>
      </c>
      <c r="DI226" s="10">
        <f t="shared" si="1134"/>
        <v>7.2276919821619101E-2</v>
      </c>
      <c r="DJ226" s="10">
        <f t="shared" si="1134"/>
        <v>0.12554137971179435</v>
      </c>
      <c r="DK226" s="10">
        <f t="shared" si="1134"/>
        <v>0.11869832540610714</v>
      </c>
      <c r="DL226" s="9">
        <f>DL225/DG225-1</f>
        <v>8.5116032124471941E-2</v>
      </c>
      <c r="DM226" s="10">
        <f t="shared" si="1134"/>
        <v>2.9371116247057572E-2</v>
      </c>
      <c r="DN226" s="10">
        <f t="shared" si="1134"/>
        <v>-7.8502091757659542E-3</v>
      </c>
      <c r="DO226" s="10">
        <f t="shared" si="1134"/>
        <v>-9.9640287769785507E-3</v>
      </c>
      <c r="DP226" s="10">
        <f t="shared" si="1134"/>
        <v>1.8494602842392238E-2</v>
      </c>
      <c r="DQ226" s="9">
        <f t="shared" ref="DQ226:DV226" si="1135">DQ225/DL225-1</f>
        <v>7.2982765883373713E-3</v>
      </c>
      <c r="DR226" s="10">
        <f t="shared" si="1134"/>
        <v>1.3388830886761127E-2</v>
      </c>
      <c r="DS226" s="10">
        <f t="shared" si="1134"/>
        <v>1.8578836890560613E-2</v>
      </c>
      <c r="DT226" s="10">
        <f t="shared" si="1135"/>
        <v>1.6314011910302906E-2</v>
      </c>
      <c r="DU226" s="10">
        <f t="shared" si="1134"/>
        <v>5.8470448023695276E-3</v>
      </c>
      <c r="DV226" s="9">
        <f t="shared" si="1135"/>
        <v>1.3561089362833956E-2</v>
      </c>
      <c r="DW226" s="10">
        <f t="shared" ref="DW226:ED226" si="1136">DW225/DR225-1</f>
        <v>5.1207290584291743E-2</v>
      </c>
      <c r="DX226" s="10">
        <f t="shared" si="1136"/>
        <v>-1.8189071781080868E-2</v>
      </c>
      <c r="DY226" s="10">
        <f t="shared" si="1136"/>
        <v>-1.44937642641223E-2</v>
      </c>
      <c r="DZ226" s="10">
        <f t="shared" si="1136"/>
        <v>-2.6866106651446064E-2</v>
      </c>
      <c r="EA226" s="9">
        <f t="shared" si="1136"/>
        <v>-3.2171106913333469E-3</v>
      </c>
      <c r="EB226" s="10">
        <f t="shared" si="1136"/>
        <v>-4.7871392260611101E-2</v>
      </c>
      <c r="EC226" s="10">
        <f t="shared" si="1136"/>
        <v>-6.9953419036638653E-2</v>
      </c>
      <c r="ED226" s="10">
        <f t="shared" si="1136"/>
        <v>-8.2450096788293958E-2</v>
      </c>
      <c r="EE226" s="10">
        <f t="shared" ref="EE226:EI226" si="1137">EE225/DZ225-1</f>
        <v>-7.4543102459248667E-2</v>
      </c>
      <c r="EF226" s="9">
        <f t="shared" si="1137"/>
        <v>-6.792261596835214E-2</v>
      </c>
      <c r="EG226" s="10">
        <f t="shared" si="1137"/>
        <v>-7.6259254929467724E-2</v>
      </c>
      <c r="EH226" s="10">
        <f t="shared" si="1137"/>
        <v>-4.0412140652716921E-3</v>
      </c>
      <c r="EI226" s="10">
        <f t="shared" si="1137"/>
        <v>1.3391844795980656E-2</v>
      </c>
      <c r="EJ226" s="10">
        <f t="shared" ref="EJ226" si="1138">EJ225/EE225-1</f>
        <v>-2.3245923435780802E-2</v>
      </c>
      <c r="EK226" s="9">
        <f t="shared" ref="EK226:EQ226" si="1139">EK225/EF225-1</f>
        <v>-2.201831148122102E-2</v>
      </c>
      <c r="EL226" s="10">
        <f t="shared" si="1139"/>
        <v>1.2931034482758674E-2</v>
      </c>
      <c r="EM226" s="10">
        <f t="shared" si="1139"/>
        <v>-1.8073107084194517E-2</v>
      </c>
      <c r="EN226" s="10">
        <f t="shared" si="1139"/>
        <v>-6.5995685247614011E-3</v>
      </c>
      <c r="EO226" s="10">
        <f t="shared" si="1139"/>
        <v>-1.0274567082243724E-2</v>
      </c>
      <c r="EP226" s="9">
        <f t="shared" si="1139"/>
        <v>-6.5749301312881814E-3</v>
      </c>
      <c r="EQ226" s="10">
        <f t="shared" si="1139"/>
        <v>-4.3342036553524865E-2</v>
      </c>
      <c r="ER226" s="10">
        <f t="shared" ref="ER226" si="1140">ER225/EM225-1</f>
        <v>-4.0036697120117148E-3</v>
      </c>
      <c r="ES226" s="10">
        <f t="shared" ref="ES226:EU226" si="1141">ES225/EN225-1</f>
        <v>-1.1486213701561887E-2</v>
      </c>
      <c r="ET226" s="10">
        <f t="shared" si="1141"/>
        <v>3.0306571780784219E-2</v>
      </c>
      <c r="EU226" s="9">
        <f t="shared" si="1141"/>
        <v>-7.6507534213432482E-3</v>
      </c>
      <c r="EV226" s="80"/>
      <c r="EW226" s="80"/>
      <c r="EX226" s="80"/>
      <c r="EY226" s="80"/>
      <c r="EZ226" s="9">
        <f>EZ225/EU225-1</f>
        <v>-1.2395995743222921E-3</v>
      </c>
      <c r="FA226" s="80"/>
      <c r="FB226" s="80"/>
      <c r="FC226" s="80"/>
      <c r="FD226" s="80"/>
      <c r="FE226" s="9">
        <f>FE225/EZ225-1</f>
        <v>-1.9974479605588735E-2</v>
      </c>
      <c r="FF226" s="83"/>
      <c r="FG226" s="490"/>
      <c r="FH226" s="780"/>
      <c r="FI226" s="780"/>
      <c r="FJ226" s="780"/>
      <c r="FK226" s="186"/>
      <c r="FL226" s="1348"/>
      <c r="FM226" s="1141">
        <f t="shared" si="1109"/>
        <v>-4.3342036553524865E-2</v>
      </c>
      <c r="FN226" s="1418">
        <f t="shared" si="1110"/>
        <v>1.2931034482758674E-2</v>
      </c>
      <c r="FO226" s="1750">
        <v>-1.044446597345261E-3</v>
      </c>
      <c r="FP226" s="1751"/>
      <c r="FQ226" s="1503">
        <f>+(FM226-FO226)*10000</f>
        <v>-422.97589956179604</v>
      </c>
      <c r="FR226" s="1619"/>
      <c r="FS226" s="1615" t="s">
        <v>762</v>
      </c>
      <c r="FT226" s="436"/>
      <c r="FU226" s="436"/>
      <c r="FV226" s="436"/>
      <c r="FW226" s="445"/>
      <c r="FX226" s="354"/>
      <c r="FY226" s="354"/>
      <c r="FZ226" s="490"/>
      <c r="GA226"/>
      <c r="GB226"/>
      <c r="GC226"/>
      <c r="GD226"/>
      <c r="GE226"/>
      <c r="GF226"/>
      <c r="GG226"/>
      <c r="GH226"/>
      <c r="GI226"/>
      <c r="GJ226"/>
      <c r="GK226"/>
      <c r="GL226"/>
      <c r="GM226"/>
      <c r="GN226"/>
      <c r="GO226"/>
      <c r="GP226"/>
      <c r="GQ226"/>
      <c r="GR226"/>
      <c r="GS226"/>
      <c r="GT226"/>
      <c r="GU226"/>
      <c r="GV226"/>
      <c r="GW226"/>
      <c r="GX226"/>
      <c r="GY226"/>
      <c r="GZ226"/>
      <c r="HA226"/>
      <c r="HB226"/>
      <c r="HC226"/>
      <c r="HD226"/>
      <c r="HE226"/>
      <c r="HF226"/>
      <c r="HG226"/>
      <c r="HH226"/>
      <c r="HI226"/>
      <c r="HJ226"/>
      <c r="HK226"/>
      <c r="HL226"/>
      <c r="HM226"/>
      <c r="HN226"/>
      <c r="HO226"/>
      <c r="HP226"/>
      <c r="HQ226"/>
      <c r="HR226"/>
      <c r="HS226"/>
      <c r="HT226"/>
      <c r="HU226"/>
      <c r="HV226"/>
      <c r="HW226"/>
      <c r="HX226"/>
      <c r="HY226"/>
      <c r="HZ226"/>
      <c r="IA226"/>
      <c r="IB226"/>
      <c r="IC226"/>
      <c r="ID226"/>
      <c r="IE226"/>
      <c r="IF226"/>
      <c r="IG226"/>
      <c r="IH226"/>
      <c r="II226"/>
      <c r="IJ226"/>
      <c r="IK226"/>
      <c r="IL226"/>
      <c r="IM226"/>
      <c r="IN226"/>
      <c r="IO226"/>
      <c r="IP226"/>
      <c r="IQ226"/>
      <c r="IR226"/>
      <c r="IS226"/>
      <c r="IT226"/>
      <c r="IU226"/>
      <c r="IV226"/>
      <c r="IW226"/>
      <c r="IX226"/>
    </row>
    <row r="227" spans="1:258" s="104" customFormat="1" x14ac:dyDescent="0.2">
      <c r="A227" s="602" t="s">
        <v>316</v>
      </c>
      <c r="B227" s="8"/>
      <c r="C227" s="8"/>
      <c r="D227" s="8"/>
      <c r="E227" s="8"/>
      <c r="F227" s="38"/>
      <c r="G227" s="8"/>
      <c r="H227" s="8"/>
      <c r="I227" s="8"/>
      <c r="J227" s="8"/>
      <c r="K227" s="38"/>
      <c r="L227" s="8"/>
      <c r="M227" s="8"/>
      <c r="N227" s="8"/>
      <c r="O227" s="8"/>
      <c r="P227" s="38"/>
      <c r="Q227" s="8">
        <f t="shared" ref="Q227:AV227" si="1142">(Q223-Q177)/Q$23*1000</f>
        <v>806.2937589399985</v>
      </c>
      <c r="R227" s="8">
        <f t="shared" si="1142"/>
        <v>766.39016459241623</v>
      </c>
      <c r="S227" s="8">
        <f t="shared" si="1142"/>
        <v>775.52552552552561</v>
      </c>
      <c r="T227" s="8">
        <f t="shared" si="1142"/>
        <v>746.90909090909088</v>
      </c>
      <c r="U227" s="38">
        <f t="shared" si="1142"/>
        <v>773.506193332566</v>
      </c>
      <c r="V227" s="8">
        <f t="shared" si="1142"/>
        <v>802.29885057471267</v>
      </c>
      <c r="W227" s="8">
        <f t="shared" si="1142"/>
        <v>760</v>
      </c>
      <c r="X227" s="8">
        <f t="shared" si="1142"/>
        <v>785.55304740406314</v>
      </c>
      <c r="Y227" s="8">
        <f t="shared" si="1142"/>
        <v>758.08823529411757</v>
      </c>
      <c r="Z227" s="38">
        <f t="shared" si="1142"/>
        <v>776.19760479041918</v>
      </c>
      <c r="AA227" s="8">
        <f t="shared" si="1142"/>
        <v>787.79069767441854</v>
      </c>
      <c r="AB227" s="8">
        <f t="shared" si="1142"/>
        <v>728.45417236662104</v>
      </c>
      <c r="AC227" s="8">
        <f t="shared" si="1142"/>
        <v>751.91104933981933</v>
      </c>
      <c r="AD227" s="8">
        <f t="shared" si="1142"/>
        <v>727.45625841184392</v>
      </c>
      <c r="AE227" s="38">
        <f t="shared" si="1142"/>
        <v>748.22141245878879</v>
      </c>
      <c r="AF227" s="8">
        <f t="shared" si="1142"/>
        <v>759.16606757728255</v>
      </c>
      <c r="AG227" s="8">
        <f t="shared" si="1142"/>
        <v>754.63623395149784</v>
      </c>
      <c r="AH227" s="8">
        <f t="shared" si="1142"/>
        <v>751.0885341074021</v>
      </c>
      <c r="AI227" s="8">
        <f t="shared" si="1142"/>
        <v>757.18390804597698</v>
      </c>
      <c r="AJ227" s="38">
        <f t="shared" si="1142"/>
        <v>755.52759302534605</v>
      </c>
      <c r="AK227" s="8">
        <f t="shared" si="1142"/>
        <v>785.55304740406314</v>
      </c>
      <c r="AL227" s="8">
        <f t="shared" si="1142"/>
        <v>729.78723404255322</v>
      </c>
      <c r="AM227" s="8">
        <f t="shared" si="1142"/>
        <v>734.82658959537571</v>
      </c>
      <c r="AN227" s="8">
        <f t="shared" si="1142"/>
        <v>713.17280453257797</v>
      </c>
      <c r="AO227" s="38">
        <f t="shared" si="1142"/>
        <v>740.19873532068664</v>
      </c>
      <c r="AP227" s="8">
        <f t="shared" si="1142"/>
        <v>734.89694385216774</v>
      </c>
      <c r="AQ227" s="8">
        <f t="shared" si="1142"/>
        <v>691.71885873347253</v>
      </c>
      <c r="AR227" s="8">
        <f t="shared" si="1142"/>
        <v>726.18207480592798</v>
      </c>
      <c r="AS227" s="8">
        <f t="shared" si="1142"/>
        <v>702.25872689938399</v>
      </c>
      <c r="AT227" s="38">
        <f t="shared" si="1142"/>
        <v>713.56169171618308</v>
      </c>
      <c r="AU227" s="8">
        <f t="shared" si="1142"/>
        <v>763.86913229018489</v>
      </c>
      <c r="AV227" s="8">
        <f t="shared" si="1142"/>
        <v>727.39820565907519</v>
      </c>
      <c r="AW227" s="8">
        <f t="shared" ref="AW227:CB227" si="1143">(AW223-AW177)/AW$23*1000</f>
        <v>775.03526093088863</v>
      </c>
      <c r="AX227" s="8">
        <f t="shared" si="1143"/>
        <v>753.24675324675331</v>
      </c>
      <c r="AY227" s="38">
        <f t="shared" si="1143"/>
        <v>754.70711297071125</v>
      </c>
      <c r="AZ227" s="8">
        <f t="shared" si="1143"/>
        <v>766.48721399730823</v>
      </c>
      <c r="BA227" s="8">
        <f t="shared" si="1143"/>
        <v>799.10714285714289</v>
      </c>
      <c r="BB227" s="8">
        <f t="shared" si="1143"/>
        <v>802.72479564032699</v>
      </c>
      <c r="BC227" s="8">
        <f t="shared" si="1143"/>
        <v>809.1106290672451</v>
      </c>
      <c r="BD227" s="38">
        <f t="shared" si="1143"/>
        <v>795.6334472003565</v>
      </c>
      <c r="BE227" s="8">
        <f t="shared" si="1143"/>
        <v>814.29344883595024</v>
      </c>
      <c r="BF227" s="8">
        <f t="shared" si="1143"/>
        <v>832.70575578267892</v>
      </c>
      <c r="BG227" s="8">
        <f t="shared" si="1143"/>
        <v>801.75727622185616</v>
      </c>
      <c r="BH227" s="8">
        <f t="shared" si="1143"/>
        <v>804.02010050251261</v>
      </c>
      <c r="BI227" s="38">
        <f t="shared" si="1143"/>
        <v>800.08198961464882</v>
      </c>
      <c r="BJ227" s="8">
        <f t="shared" si="1143"/>
        <v>826.84715172024812</v>
      </c>
      <c r="BK227" s="8">
        <f t="shared" si="1143"/>
        <v>809.1263216471898</v>
      </c>
      <c r="BL227" s="8">
        <f t="shared" si="1143"/>
        <v>801.01465614430663</v>
      </c>
      <c r="BM227" s="8">
        <f t="shared" si="1143"/>
        <v>801.01465614430663</v>
      </c>
      <c r="BN227" s="38">
        <f t="shared" si="1143"/>
        <v>801.62967125597072</v>
      </c>
      <c r="BO227" s="8">
        <f t="shared" si="1143"/>
        <v>853.94581861012955</v>
      </c>
      <c r="BP227" s="8">
        <f t="shared" si="1143"/>
        <v>795.58011049723757</v>
      </c>
      <c r="BQ227" s="8">
        <f t="shared" si="1143"/>
        <v>800.22075055187634</v>
      </c>
      <c r="BR227" s="8">
        <f t="shared" si="1143"/>
        <v>796.16036137775268</v>
      </c>
      <c r="BS227" s="38">
        <f t="shared" si="1143"/>
        <v>804.96403892257797</v>
      </c>
      <c r="BT227" s="8">
        <f t="shared" si="1143"/>
        <v>861.55606407322648</v>
      </c>
      <c r="BU227" s="8">
        <f t="shared" si="1143"/>
        <v>807.796426637791</v>
      </c>
      <c r="BV227" s="8">
        <f t="shared" si="1143"/>
        <v>806.15046677649639</v>
      </c>
      <c r="BW227" s="8">
        <f t="shared" si="1143"/>
        <v>806.10605249062678</v>
      </c>
      <c r="BX227" s="38">
        <f t="shared" si="1143"/>
        <v>811.34148015927497</v>
      </c>
      <c r="BY227" s="8">
        <f t="shared" si="1143"/>
        <v>856.35964912280701</v>
      </c>
      <c r="BZ227" s="8">
        <f t="shared" si="1143"/>
        <v>813.74606505771249</v>
      </c>
      <c r="CA227" s="8">
        <f t="shared" si="1143"/>
        <v>842.59768849752334</v>
      </c>
      <c r="CB227" s="8">
        <f t="shared" si="1143"/>
        <v>845.18406454866363</v>
      </c>
      <c r="CC227" s="38">
        <f t="shared" ref="CC227:DH227" si="1144">(CC223-CC177)/CC$23*1000</f>
        <v>842.49667994687911</v>
      </c>
      <c r="CD227" s="8">
        <f t="shared" si="1144"/>
        <v>855.74837310195232</v>
      </c>
      <c r="CE227" s="8">
        <f t="shared" si="1144"/>
        <v>838.95131086142328</v>
      </c>
      <c r="CF227" s="8">
        <f t="shared" si="1144"/>
        <v>866.41011544804837</v>
      </c>
      <c r="CG227" s="8">
        <f t="shared" si="1144"/>
        <v>860.28602860286026</v>
      </c>
      <c r="CH227" s="38">
        <f t="shared" si="1144"/>
        <v>884.48979591836735</v>
      </c>
      <c r="CI227" s="8">
        <f t="shared" si="1144"/>
        <v>871.30339539978092</v>
      </c>
      <c r="CJ227" s="8">
        <f t="shared" si="1144"/>
        <v>863.10160427807489</v>
      </c>
      <c r="CK227" s="8">
        <f t="shared" si="1144"/>
        <v>887.68898488120954</v>
      </c>
      <c r="CL227" s="8">
        <f t="shared" si="1144"/>
        <v>909.9447513812155</v>
      </c>
      <c r="CM227" s="38">
        <f t="shared" si="1144"/>
        <v>882.84860016308778</v>
      </c>
      <c r="CN227" s="8">
        <f t="shared" si="1144"/>
        <v>952.13675213675208</v>
      </c>
      <c r="CO227" s="8">
        <f t="shared" si="1144"/>
        <v>876.84729064039414</v>
      </c>
      <c r="CP227" s="8">
        <f t="shared" si="1144"/>
        <v>909.75747320924984</v>
      </c>
      <c r="CQ227" s="8">
        <f t="shared" si="1144"/>
        <v>907.43895513912548</v>
      </c>
      <c r="CR227" s="38">
        <f t="shared" si="1144"/>
        <v>911.186059584036</v>
      </c>
      <c r="CS227" s="8">
        <f t="shared" si="1144"/>
        <v>959.81362842166573</v>
      </c>
      <c r="CT227" s="8">
        <f t="shared" si="1144"/>
        <v>931.26760563380287</v>
      </c>
      <c r="CU227" s="8">
        <f t="shared" si="1144"/>
        <v>993.07159353348732</v>
      </c>
      <c r="CV227" s="8">
        <f t="shared" si="1144"/>
        <v>1029.9438552713661</v>
      </c>
      <c r="CW227" s="38">
        <f t="shared" si="1144"/>
        <v>977.29603046726231</v>
      </c>
      <c r="CX227" s="8">
        <f t="shared" si="1144"/>
        <v>1081.0429880197323</v>
      </c>
      <c r="CY227" s="8">
        <f t="shared" si="1144"/>
        <v>1004.9610205527995</v>
      </c>
      <c r="CZ227" s="8">
        <f t="shared" si="1144"/>
        <v>1002.0477815699658</v>
      </c>
      <c r="DA227" s="8">
        <f t="shared" si="1144"/>
        <v>992.65687583444594</v>
      </c>
      <c r="DB227" s="38">
        <f t="shared" si="1144"/>
        <v>1019.6789228379077</v>
      </c>
      <c r="DC227" s="8">
        <f t="shared" si="1144"/>
        <v>1059.2193808882907</v>
      </c>
      <c r="DD227" s="8">
        <f t="shared" si="1144"/>
        <v>995.61952440550681</v>
      </c>
      <c r="DE227" s="8">
        <f t="shared" si="1144"/>
        <v>970.78931013051579</v>
      </c>
      <c r="DF227" s="8">
        <f t="shared" si="1144"/>
        <v>960.37847427557654</v>
      </c>
      <c r="DG227" s="38">
        <f t="shared" si="1144"/>
        <v>994.83082706766913</v>
      </c>
      <c r="DH227" s="8">
        <f t="shared" si="1144"/>
        <v>1027.0100502512562</v>
      </c>
      <c r="DI227" s="8">
        <f t="shared" ref="DI227:EN227" si="1145">(DI223-DI177)/DI$23*1000</f>
        <v>1009.7205346294047</v>
      </c>
      <c r="DJ227" s="8">
        <f t="shared" si="1145"/>
        <v>1033.3539221741817</v>
      </c>
      <c r="DK227" s="8">
        <f t="shared" si="1145"/>
        <v>1042.0012353304508</v>
      </c>
      <c r="DL227" s="38">
        <f t="shared" si="1145"/>
        <v>1027.9493514515132</v>
      </c>
      <c r="DM227" s="8">
        <f t="shared" si="1145"/>
        <v>1039.9500624219727</v>
      </c>
      <c r="DN227" s="8">
        <f t="shared" si="1145"/>
        <v>1011.5853658536585</v>
      </c>
      <c r="DO227" s="8">
        <f t="shared" si="1145"/>
        <v>1026.875</v>
      </c>
      <c r="DP227" s="8">
        <f t="shared" si="1145"/>
        <v>1058.7109125717932</v>
      </c>
      <c r="DQ227" s="38">
        <f t="shared" si="1145"/>
        <v>1034.0146668747075</v>
      </c>
      <c r="DR227" s="8">
        <f t="shared" si="1145"/>
        <v>1052.9388990790751</v>
      </c>
      <c r="DS227" s="8">
        <f t="shared" si="1145"/>
        <v>1045.2898550724638</v>
      </c>
      <c r="DT227" s="8">
        <f t="shared" si="1145"/>
        <v>1057.8210590383446</v>
      </c>
      <c r="DU227" s="8">
        <f t="shared" si="1145"/>
        <v>1089.6510228640193</v>
      </c>
      <c r="DV227" s="38">
        <f t="shared" si="1145"/>
        <v>1061.5626802354132</v>
      </c>
      <c r="DW227" s="8">
        <f t="shared" si="1145"/>
        <v>1127.7777777777778</v>
      </c>
      <c r="DX227" s="8">
        <f t="shared" si="1145"/>
        <v>1028.0741156653567</v>
      </c>
      <c r="DY227" s="8">
        <f t="shared" si="1145"/>
        <v>1053.4698521046644</v>
      </c>
      <c r="DZ227" s="8">
        <f t="shared" si="1145"/>
        <v>1094.5386491238019</v>
      </c>
      <c r="EA227" s="38">
        <f t="shared" si="1145"/>
        <v>1074.7872816838333</v>
      </c>
      <c r="EB227" s="8">
        <f t="shared" si="1145"/>
        <v>1170.7639326413143</v>
      </c>
      <c r="EC227" s="8">
        <f t="shared" si="1145"/>
        <v>1023.8772029562251</v>
      </c>
      <c r="ED227" s="8">
        <f t="shared" si="1145"/>
        <v>1041.4719626168226</v>
      </c>
      <c r="EE227" s="8">
        <f t="shared" si="1145"/>
        <v>1080.9667673716012</v>
      </c>
      <c r="EF227" s="38">
        <f t="shared" si="1145"/>
        <v>1077.8262432275328</v>
      </c>
      <c r="EG227" s="8">
        <f t="shared" si="1145"/>
        <v>1137.3307543520309</v>
      </c>
      <c r="EH227" s="8">
        <f t="shared" si="1145"/>
        <v>1060.8150470219434</v>
      </c>
      <c r="EI227" s="8">
        <f t="shared" si="1145"/>
        <v>1076.8742058449809</v>
      </c>
      <c r="EJ227" s="8">
        <f t="shared" si="1145"/>
        <v>1049.104563835933</v>
      </c>
      <c r="EK227" s="38">
        <f t="shared" si="1145"/>
        <v>1082.0027902650752</v>
      </c>
      <c r="EL227" s="8">
        <f t="shared" si="1145"/>
        <v>1113.0653266331658</v>
      </c>
      <c r="EM227" s="8">
        <f t="shared" si="1145"/>
        <v>1025.3086419753085</v>
      </c>
      <c r="EN227" s="8">
        <f t="shared" si="1145"/>
        <v>1050.4095778197857</v>
      </c>
      <c r="EO227" s="8">
        <f t="shared" ref="EO227:EU227" si="1146">(EO223-EO177)/EO$23*1000</f>
        <v>1010.6183635227983</v>
      </c>
      <c r="EP227" s="38">
        <f t="shared" si="1146"/>
        <v>1049.6875</v>
      </c>
      <c r="EQ227" s="8">
        <f t="shared" si="1146"/>
        <v>1029.373368146214</v>
      </c>
      <c r="ER227" s="8">
        <f t="shared" si="1146"/>
        <v>988.89411856503386</v>
      </c>
      <c r="ES227" s="8">
        <f t="shared" si="1146"/>
        <v>1014.3096174980654</v>
      </c>
      <c r="ET227" s="8">
        <f t="shared" si="1146"/>
        <v>1035.5343690027644</v>
      </c>
      <c r="EU227" s="38">
        <f t="shared" si="1146"/>
        <v>1017.093047703588</v>
      </c>
      <c r="EV227" s="103"/>
      <c r="EW227" s="103"/>
      <c r="EX227" s="103"/>
      <c r="EY227" s="103"/>
      <c r="EZ227" s="38">
        <f>(EZ223-EZ177)/EZ$23*1000</f>
        <v>1019.0926498341269</v>
      </c>
      <c r="FA227" s="103"/>
      <c r="FB227" s="103"/>
      <c r="FC227" s="103"/>
      <c r="FD227" s="103"/>
      <c r="FE227" s="38">
        <f>(FE223-FE177)/FE$23*1000</f>
        <v>1000.3478854632575</v>
      </c>
      <c r="FG227" s="489"/>
      <c r="FH227" s="781"/>
      <c r="FI227" s="781"/>
      <c r="FJ227" s="781"/>
      <c r="FL227" s="1362"/>
      <c r="FM227" s="1155">
        <f t="shared" si="1109"/>
        <v>1029.373368146214</v>
      </c>
      <c r="FN227" s="1428">
        <f t="shared" si="1110"/>
        <v>1113.0653266331658</v>
      </c>
      <c r="FO227" s="1816">
        <v>1079.3503577707575</v>
      </c>
      <c r="FP227" s="1733">
        <f>+FM227/FN227-1</f>
        <v>-7.5190518008593221E-2</v>
      </c>
      <c r="FQ227" s="1519">
        <f>+FM227/FO227-1</f>
        <v>-4.6302842505897446E-2</v>
      </c>
      <c r="FR227" s="1619"/>
      <c r="FS227" s="1619"/>
      <c r="FT227" s="354"/>
      <c r="FU227" s="443"/>
      <c r="FV227" s="444"/>
      <c r="FW227" s="444"/>
      <c r="FX227" s="436"/>
      <c r="FY227" s="436"/>
      <c r="FZ227" s="489"/>
      <c r="GA227"/>
      <c r="GB227"/>
      <c r="GC227"/>
      <c r="GD227"/>
      <c r="GE227"/>
      <c r="GF227"/>
      <c r="GG227"/>
      <c r="GH227"/>
      <c r="GI227"/>
      <c r="GJ227"/>
      <c r="GK227"/>
      <c r="GL227"/>
      <c r="GM227"/>
      <c r="GN227"/>
      <c r="GO227"/>
      <c r="GP227"/>
      <c r="GQ227"/>
      <c r="GR227"/>
      <c r="GS227"/>
      <c r="GT227"/>
      <c r="GU227"/>
      <c r="GV227"/>
      <c r="GW227"/>
      <c r="GX227"/>
      <c r="GY227"/>
      <c r="GZ227"/>
      <c r="HA227"/>
      <c r="HB227"/>
      <c r="HC227"/>
      <c r="HD227"/>
      <c r="HE227"/>
      <c r="HF227"/>
      <c r="HG227"/>
      <c r="HH227"/>
      <c r="HI227"/>
      <c r="HJ227"/>
      <c r="HK227"/>
      <c r="HL227"/>
      <c r="HM227"/>
      <c r="HN227"/>
      <c r="HO227"/>
      <c r="HP227"/>
      <c r="HQ227"/>
      <c r="HR227"/>
      <c r="HS227"/>
      <c r="HT227"/>
      <c r="HU227"/>
      <c r="HV227"/>
      <c r="HW227"/>
      <c r="HX227"/>
      <c r="HY227"/>
      <c r="HZ227"/>
      <c r="IA227"/>
      <c r="IB227"/>
      <c r="IC227"/>
      <c r="ID227"/>
      <c r="IE227"/>
      <c r="IF227"/>
      <c r="IG227"/>
      <c r="IH227"/>
      <c r="II227"/>
      <c r="IJ227"/>
      <c r="IK227"/>
      <c r="IL227"/>
      <c r="IM227"/>
      <c r="IN227"/>
      <c r="IO227"/>
      <c r="IP227"/>
      <c r="IQ227"/>
      <c r="IR227"/>
      <c r="IS227"/>
      <c r="IT227"/>
      <c r="IU227"/>
      <c r="IV227"/>
      <c r="IW227"/>
      <c r="IX227"/>
    </row>
    <row r="228" spans="1:258" s="84" customFormat="1" x14ac:dyDescent="0.2">
      <c r="A228" s="29" t="s">
        <v>463</v>
      </c>
      <c r="B228" s="10"/>
      <c r="C228" s="10"/>
      <c r="D228" s="10"/>
      <c r="E228" s="10"/>
      <c r="F228" s="9"/>
      <c r="G228" s="10"/>
      <c r="H228" s="10"/>
      <c r="I228" s="10"/>
      <c r="J228" s="10"/>
      <c r="K228" s="9"/>
      <c r="L228" s="10"/>
      <c r="M228" s="10"/>
      <c r="N228" s="10"/>
      <c r="O228" s="10"/>
      <c r="P228" s="9"/>
      <c r="Q228" s="10"/>
      <c r="R228" s="10"/>
      <c r="S228" s="10"/>
      <c r="T228" s="10"/>
      <c r="U228" s="9"/>
      <c r="V228" s="10">
        <f t="shared" ref="V228:AV228" si="1147">V227/Q227-1</f>
        <v>-4.9546561919786569E-3</v>
      </c>
      <c r="W228" s="10">
        <f t="shared" si="1147"/>
        <v>-8.3380044364408379E-3</v>
      </c>
      <c r="X228" s="10">
        <f t="shared" si="1147"/>
        <v>1.2929970127988355E-2</v>
      </c>
      <c r="Y228" s="10">
        <f t="shared" si="1147"/>
        <v>1.4967208889397954E-2</v>
      </c>
      <c r="Z228" s="9">
        <f t="shared" si="1147"/>
        <v>3.4794956796111443E-3</v>
      </c>
      <c r="AA228" s="10">
        <f t="shared" si="1147"/>
        <v>-1.8083227827014214E-2</v>
      </c>
      <c r="AB228" s="10">
        <f t="shared" si="1147"/>
        <v>-4.1507667938656567E-2</v>
      </c>
      <c r="AC228" s="10">
        <f t="shared" si="1147"/>
        <v>-4.2825876846149469E-2</v>
      </c>
      <c r="AD228" s="10">
        <f t="shared" si="1147"/>
        <v>-4.0406875421815869E-2</v>
      </c>
      <c r="AE228" s="9">
        <f t="shared" si="1147"/>
        <v>-3.6042616157240359E-2</v>
      </c>
      <c r="AF228" s="10">
        <f t="shared" si="1147"/>
        <v>-3.6335323813338705E-2</v>
      </c>
      <c r="AG228" s="10">
        <f t="shared" si="1147"/>
        <v>3.5941947452666545E-2</v>
      </c>
      <c r="AH228" s="10">
        <f t="shared" si="1147"/>
        <v>-1.0938996482887653E-3</v>
      </c>
      <c r="AI228" s="10">
        <f t="shared" si="1147"/>
        <v>4.086520569502472E-2</v>
      </c>
      <c r="AJ228" s="9">
        <f t="shared" si="1147"/>
        <v>9.7647306598027672E-3</v>
      </c>
      <c r="AK228" s="10">
        <f t="shared" si="1147"/>
        <v>3.475784937410209E-2</v>
      </c>
      <c r="AL228" s="10">
        <f t="shared" si="1147"/>
        <v>-3.2928447894461588E-2</v>
      </c>
      <c r="AM228" s="10">
        <f t="shared" si="1147"/>
        <v>-2.165116863533556E-2</v>
      </c>
      <c r="AN228" s="10">
        <f t="shared" si="1147"/>
        <v>-5.8124721148625658E-2</v>
      </c>
      <c r="AO228" s="9">
        <f t="shared" si="1147"/>
        <v>-2.0288944899124473E-2</v>
      </c>
      <c r="AP228" s="10">
        <f t="shared" si="1147"/>
        <v>-6.4484637567499004E-2</v>
      </c>
      <c r="AQ228" s="10">
        <f t="shared" si="1147"/>
        <v>-5.2163662959964774E-2</v>
      </c>
      <c r="AR228" s="10">
        <f t="shared" si="1147"/>
        <v>-1.1764020126446062E-2</v>
      </c>
      <c r="AS228" s="10">
        <f t="shared" si="1147"/>
        <v>-1.5303552748828109E-2</v>
      </c>
      <c r="AT228" s="9">
        <f t="shared" si="1147"/>
        <v>-3.5986340334617339E-2</v>
      </c>
      <c r="AU228" s="10">
        <f t="shared" si="1147"/>
        <v>3.9423471114400588E-2</v>
      </c>
      <c r="AV228" s="10">
        <f t="shared" si="1147"/>
        <v>5.158070576669127E-2</v>
      </c>
      <c r="AW228" s="10">
        <f t="shared" ref="AW228:CB228" si="1148">AW227/AR227-1</f>
        <v>6.7274018210951692E-2</v>
      </c>
      <c r="AX228" s="10">
        <f t="shared" si="1148"/>
        <v>7.2605756816283229E-2</v>
      </c>
      <c r="AY228" s="9">
        <f t="shared" si="1148"/>
        <v>5.7662037819840917E-2</v>
      </c>
      <c r="AZ228" s="10">
        <f t="shared" si="1148"/>
        <v>3.4273956054147181E-3</v>
      </c>
      <c r="BA228" s="10">
        <f t="shared" si="1148"/>
        <v>9.8582779886148053E-2</v>
      </c>
      <c r="BB228" s="10">
        <f t="shared" si="1148"/>
        <v>3.5726806385790288E-2</v>
      </c>
      <c r="BC228" s="10">
        <f t="shared" si="1148"/>
        <v>7.4164111003066635E-2</v>
      </c>
      <c r="BD228" s="9">
        <f t="shared" si="1148"/>
        <v>5.422810190372962E-2</v>
      </c>
      <c r="BE228" s="10">
        <f t="shared" si="1148"/>
        <v>6.2370557480440736E-2</v>
      </c>
      <c r="BF228" s="10">
        <f t="shared" si="1148"/>
        <v>4.2045191593966802E-2</v>
      </c>
      <c r="BG228" s="10">
        <f t="shared" si="1148"/>
        <v>-1.2052940481289687E-3</v>
      </c>
      <c r="BH228" s="10">
        <f t="shared" si="1148"/>
        <v>-6.2915111751787878E-3</v>
      </c>
      <c r="BI228" s="9">
        <f t="shared" si="1148"/>
        <v>5.5911958326357869E-3</v>
      </c>
      <c r="BJ228" s="10">
        <f>BJ227/BE227-1</f>
        <v>1.5416681667086651E-2</v>
      </c>
      <c r="BK228" s="10">
        <f>BK227/BF227-1</f>
        <v>-2.8316646032218507E-2</v>
      </c>
      <c r="BL228" s="10">
        <f>BL227/BG227-1</f>
        <v>-9.2624052138201574E-4</v>
      </c>
      <c r="BM228" s="10">
        <f>BM227/BH227-1</f>
        <v>-3.7380214205187112E-3</v>
      </c>
      <c r="BN228" s="9">
        <f>BN227/BI227-1</f>
        <v>1.9344038003745734E-3</v>
      </c>
      <c r="BO228" s="10">
        <f t="shared" si="1148"/>
        <v>3.2773490038035424E-2</v>
      </c>
      <c r="BP228" s="10">
        <f t="shared" si="1148"/>
        <v>-1.6741775403345316E-2</v>
      </c>
      <c r="BQ228" s="10">
        <f t="shared" si="1148"/>
        <v>-9.9112492679198638E-4</v>
      </c>
      <c r="BR228" s="10">
        <f t="shared" si="1148"/>
        <v>-6.0601822068027111E-3</v>
      </c>
      <c r="BS228" s="9">
        <f t="shared" si="1148"/>
        <v>4.1594863391010151E-3</v>
      </c>
      <c r="BT228" s="10">
        <f t="shared" si="1148"/>
        <v>8.9118598595439025E-3</v>
      </c>
      <c r="BU228" s="10">
        <f t="shared" si="1148"/>
        <v>1.5355230704445555E-2</v>
      </c>
      <c r="BV228" s="10">
        <f t="shared" si="1148"/>
        <v>7.41010055104252E-3</v>
      </c>
      <c r="BW228" s="10">
        <f t="shared" si="1148"/>
        <v>1.2492070185035509E-2</v>
      </c>
      <c r="BX228" s="9">
        <f t="shared" si="1148"/>
        <v>7.9226411719373058E-3</v>
      </c>
      <c r="BY228" s="10">
        <f t="shared" si="1148"/>
        <v>-6.0314298362106333E-3</v>
      </c>
      <c r="BZ228" s="10">
        <f t="shared" si="1148"/>
        <v>7.365269545305031E-3</v>
      </c>
      <c r="CA228" s="10">
        <f t="shared" si="1148"/>
        <v>4.5211437843317492E-2</v>
      </c>
      <c r="CB228" s="10">
        <f t="shared" si="1148"/>
        <v>4.8477507317179258E-2</v>
      </c>
      <c r="CC228" s="9">
        <f t="shared" ref="CC228:DU228" si="1149">CC227/BX227-1</f>
        <v>3.8399614156899853E-2</v>
      </c>
      <c r="CD228" s="10">
        <f t="shared" si="1149"/>
        <v>-7.1380759413508521E-4</v>
      </c>
      <c r="CE228" s="10">
        <f t="shared" si="1149"/>
        <v>3.0974338170130844E-2</v>
      </c>
      <c r="CF228" s="10">
        <f t="shared" si="1149"/>
        <v>2.8260731397194094E-2</v>
      </c>
      <c r="CG228" s="10">
        <f t="shared" si="1149"/>
        <v>1.7868254605890144E-2</v>
      </c>
      <c r="CH228" s="9">
        <f t="shared" si="1149"/>
        <v>4.9843657513446882E-2</v>
      </c>
      <c r="CI228" s="10">
        <f t="shared" si="1149"/>
        <v>1.8177098299870575E-2</v>
      </c>
      <c r="CJ228" s="10">
        <f t="shared" si="1149"/>
        <v>2.8786287242169584E-2</v>
      </c>
      <c r="CK228" s="10">
        <f t="shared" si="1149"/>
        <v>2.4559811864796943E-2</v>
      </c>
      <c r="CL228" s="10">
        <f t="shared" si="1149"/>
        <v>5.7723502564609896E-2</v>
      </c>
      <c r="CM228" s="9">
        <f t="shared" si="1149"/>
        <v>-1.8555281958628767E-3</v>
      </c>
      <c r="CN228" s="10">
        <f t="shared" si="1149"/>
        <v>9.2772916028729835E-2</v>
      </c>
      <c r="CO228" s="10">
        <f t="shared" si="1149"/>
        <v>1.5925919143455314E-2</v>
      </c>
      <c r="CP228" s="10">
        <f t="shared" si="1149"/>
        <v>2.4860608505797188E-2</v>
      </c>
      <c r="CQ228" s="10">
        <f t="shared" si="1149"/>
        <v>-2.7537894342337665E-3</v>
      </c>
      <c r="CR228" s="9">
        <f t="shared" si="1149"/>
        <v>3.2097756530070409E-2</v>
      </c>
      <c r="CS228" s="10">
        <f t="shared" si="1149"/>
        <v>8.0627874805645483E-3</v>
      </c>
      <c r="CT228" s="10">
        <f t="shared" si="1149"/>
        <v>6.2063617661022308E-2</v>
      </c>
      <c r="CU228" s="10">
        <f t="shared" si="1149"/>
        <v>9.1578385204509116E-2</v>
      </c>
      <c r="CV228" s="10">
        <f t="shared" si="1149"/>
        <v>0.1350007065912866</v>
      </c>
      <c r="CW228" s="9">
        <f t="shared" si="1149"/>
        <v>7.2553755830511824E-2</v>
      </c>
      <c r="CX228" s="10">
        <f t="shared" si="1149"/>
        <v>0.1263051034161895</v>
      </c>
      <c r="CY228" s="10">
        <f t="shared" si="1149"/>
        <v>7.9132372341935264E-2</v>
      </c>
      <c r="CZ228" s="10">
        <f t="shared" si="1149"/>
        <v>9.0388126041747174E-3</v>
      </c>
      <c r="DA228" s="10">
        <f t="shared" si="1149"/>
        <v>-3.6202924310952844E-2</v>
      </c>
      <c r="DB228" s="9">
        <f t="shared" si="1149"/>
        <v>4.3367506926618171E-2</v>
      </c>
      <c r="DC228" s="10">
        <f t="shared" si="1149"/>
        <v>-2.0187547926672433E-2</v>
      </c>
      <c r="DD228" s="10">
        <f t="shared" si="1149"/>
        <v>-9.2953815682862428E-3</v>
      </c>
      <c r="DE228" s="10">
        <f t="shared" si="1149"/>
        <v>-3.1194591729423848E-2</v>
      </c>
      <c r="DF228" s="10">
        <f t="shared" si="1149"/>
        <v>-3.251717924356845E-2</v>
      </c>
      <c r="DG228" s="9">
        <f t="shared" si="1149"/>
        <v>-2.4368548975282289E-2</v>
      </c>
      <c r="DH228" s="10">
        <f t="shared" si="1149"/>
        <v>-3.0408554845383295E-2</v>
      </c>
      <c r="DI228" s="10">
        <f t="shared" si="1149"/>
        <v>1.4163051123688764E-2</v>
      </c>
      <c r="DJ228" s="10">
        <f t="shared" si="1149"/>
        <v>6.4447157988641646E-2</v>
      </c>
      <c r="DK228" s="10">
        <f t="shared" si="1149"/>
        <v>8.4990202551596283E-2</v>
      </c>
      <c r="DL228" s="9">
        <f>DL227/DG227-1</f>
        <v>3.3290609300340224E-2</v>
      </c>
      <c r="DM228" s="10">
        <f t="shared" si="1149"/>
        <v>1.2599693807817003E-2</v>
      </c>
      <c r="DN228" s="10">
        <f t="shared" si="1149"/>
        <v>1.8468785770888729E-3</v>
      </c>
      <c r="DO228" s="10">
        <f t="shared" si="1149"/>
        <v>-6.2697997609085787E-3</v>
      </c>
      <c r="DP228" s="10">
        <f t="shared" si="1149"/>
        <v>1.6036139569492347E-2</v>
      </c>
      <c r="DQ228" s="9">
        <f t="shared" ref="DQ228:DV228" si="1150">DQ227/DL227-1</f>
        <v>5.9004029864213603E-3</v>
      </c>
      <c r="DR228" s="10">
        <f t="shared" si="1149"/>
        <v>1.2489865741103223E-2</v>
      </c>
      <c r="DS228" s="10">
        <f t="shared" si="1149"/>
        <v>3.3318482410392258E-2</v>
      </c>
      <c r="DT228" s="10">
        <f t="shared" si="1150"/>
        <v>3.0136150006909057E-2</v>
      </c>
      <c r="DU228" s="10">
        <f t="shared" si="1149"/>
        <v>2.9224323585243184E-2</v>
      </c>
      <c r="DV228" s="9">
        <f t="shared" si="1150"/>
        <v>2.6641801362420781E-2</v>
      </c>
      <c r="DW228" s="10">
        <f t="shared" ref="DW228:ED228" si="1151">DW227/DR227-1</f>
        <v>7.1076183778715496E-2</v>
      </c>
      <c r="DX228" s="10">
        <f t="shared" si="1151"/>
        <v>-1.6469823488254987E-2</v>
      </c>
      <c r="DY228" s="10">
        <f t="shared" si="1151"/>
        <v>-4.1133676593997359E-3</v>
      </c>
      <c r="DZ228" s="10">
        <f t="shared" si="1151"/>
        <v>4.4854968767302772E-3</v>
      </c>
      <c r="EA228" s="9">
        <f t="shared" si="1151"/>
        <v>1.2457673667924496E-2</v>
      </c>
      <c r="EB228" s="10">
        <f t="shared" si="1151"/>
        <v>3.811580234205203E-2</v>
      </c>
      <c r="EC228" s="10">
        <f t="shared" si="1151"/>
        <v>-4.0823055898215888E-3</v>
      </c>
      <c r="ED228" s="10">
        <f t="shared" si="1151"/>
        <v>-1.1388925334571254E-2</v>
      </c>
      <c r="EE228" s="10">
        <f t="shared" ref="EE228:EI228" si="1152">EE227/DZ227-1</f>
        <v>-1.239963683609091E-2</v>
      </c>
      <c r="EF228" s="9">
        <f t="shared" si="1152"/>
        <v>2.8275004696172168E-3</v>
      </c>
      <c r="EG228" s="10">
        <f t="shared" si="1152"/>
        <v>-2.8556720408918101E-2</v>
      </c>
      <c r="EH228" s="10">
        <f t="shared" si="1152"/>
        <v>3.6076439595557286E-2</v>
      </c>
      <c r="EI228" s="10">
        <f t="shared" si="1152"/>
        <v>3.399250723870284E-2</v>
      </c>
      <c r="EJ228" s="10">
        <f t="shared" ref="EJ228" si="1153">EJ227/EE227-1</f>
        <v>-2.9475655031599102E-2</v>
      </c>
      <c r="EK228" s="9">
        <f t="shared" ref="EK228:EQ228" si="1154">EK227/EF227-1</f>
        <v>3.8749724863218482E-3</v>
      </c>
      <c r="EL228" s="10">
        <f t="shared" si="1154"/>
        <v>-2.1335418589546351E-2</v>
      </c>
      <c r="EM228" s="10">
        <f t="shared" si="1154"/>
        <v>-3.3470872369611437E-2</v>
      </c>
      <c r="EN228" s="10">
        <f t="shared" si="1154"/>
        <v>-2.4575412691243192E-2</v>
      </c>
      <c r="EO228" s="10">
        <f t="shared" si="1154"/>
        <v>-3.6684808778654321E-2</v>
      </c>
      <c r="EP228" s="9">
        <f t="shared" si="1154"/>
        <v>-2.9866180157593125E-2</v>
      </c>
      <c r="EQ228" s="10">
        <f t="shared" si="1154"/>
        <v>-7.5190518008593221E-2</v>
      </c>
      <c r="ER228" s="10">
        <f t="shared" ref="ER228" si="1155">ER227/EM227-1</f>
        <v>-3.5515670032898905E-2</v>
      </c>
      <c r="ES228" s="10">
        <f t="shared" ref="ES228:EU228" si="1156">ES227/EN227-1</f>
        <v>-3.436750871659866E-2</v>
      </c>
      <c r="ET228" s="10">
        <f t="shared" si="1156"/>
        <v>2.4654218030547348E-2</v>
      </c>
      <c r="EU228" s="9">
        <f t="shared" si="1156"/>
        <v>-3.1051577061184332E-2</v>
      </c>
      <c r="EV228" s="80"/>
      <c r="EW228" s="80"/>
      <c r="EX228" s="80"/>
      <c r="EY228" s="80"/>
      <c r="EZ228" s="9">
        <f>EZ227/EU227-1</f>
        <v>1.9659972458307973E-3</v>
      </c>
      <c r="FA228" s="80"/>
      <c r="FB228" s="80"/>
      <c r="FC228" s="80"/>
      <c r="FD228" s="80"/>
      <c r="FE228" s="9">
        <f>FE227/EZ227-1</f>
        <v>-1.8393582147727572E-2</v>
      </c>
      <c r="FF228" s="83"/>
      <c r="FG228" s="490"/>
      <c r="FH228" s="780"/>
      <c r="FI228" s="780"/>
      <c r="FJ228" s="780"/>
      <c r="FK228" s="186"/>
      <c r="FL228" s="1348"/>
      <c r="FM228" s="1141">
        <f t="shared" si="1109"/>
        <v>-7.5190518008593221E-2</v>
      </c>
      <c r="FN228" s="1418">
        <f t="shared" si="1110"/>
        <v>-2.1335418589546351E-2</v>
      </c>
      <c r="FO228" s="1750">
        <v>-2.699560046939653E-2</v>
      </c>
      <c r="FP228" s="1751"/>
      <c r="FQ228" s="1503">
        <f>+(FM228-FO228)*10000</f>
        <v>-481.94917539196689</v>
      </c>
      <c r="FR228" s="1619"/>
      <c r="FS228" s="1619"/>
      <c r="FT228" s="436"/>
      <c r="FU228" s="355"/>
      <c r="FV228" s="355"/>
      <c r="FW228" s="445"/>
      <c r="FX228" s="354"/>
      <c r="FY228" s="354"/>
      <c r="FZ228" s="490"/>
      <c r="GA228"/>
      <c r="GB228"/>
      <c r="GC228"/>
      <c r="GD228"/>
      <c r="GE228"/>
      <c r="GF228"/>
      <c r="GG228"/>
      <c r="GH228"/>
      <c r="GI228"/>
      <c r="GJ228"/>
      <c r="GK228"/>
      <c r="GL228"/>
      <c r="GM228"/>
      <c r="GN228"/>
      <c r="GO228"/>
      <c r="GP228"/>
      <c r="GQ228"/>
      <c r="GR228"/>
      <c r="GS228"/>
      <c r="GT228"/>
      <c r="GU228"/>
      <c r="GV228"/>
      <c r="GW228"/>
      <c r="GX228"/>
      <c r="GY228"/>
      <c r="GZ228"/>
      <c r="HA228"/>
      <c r="HB228"/>
      <c r="HC228"/>
      <c r="HD228"/>
      <c r="HE228"/>
      <c r="HF228"/>
      <c r="HG228"/>
      <c r="HH228"/>
      <c r="HI228"/>
      <c r="HJ228"/>
      <c r="HK228"/>
      <c r="HL228"/>
      <c r="HM228"/>
      <c r="HN228"/>
      <c r="HO228"/>
      <c r="HP228"/>
      <c r="HQ228"/>
      <c r="HR228"/>
      <c r="HS228"/>
      <c r="HT228"/>
      <c r="HU228"/>
      <c r="HV228"/>
      <c r="HW228"/>
      <c r="HX228"/>
      <c r="HY228"/>
      <c r="HZ228"/>
      <c r="IA228"/>
      <c r="IB228"/>
      <c r="IC228"/>
      <c r="ID228"/>
      <c r="IE228"/>
      <c r="IF228"/>
      <c r="IG228"/>
      <c r="IH228"/>
      <c r="II228"/>
      <c r="IJ228"/>
      <c r="IK228"/>
      <c r="IL228"/>
      <c r="IM228"/>
      <c r="IN228"/>
      <c r="IO228"/>
      <c r="IP228"/>
      <c r="IQ228"/>
      <c r="IR228"/>
      <c r="IS228"/>
      <c r="IT228"/>
      <c r="IU228"/>
      <c r="IV228"/>
      <c r="IW228"/>
      <c r="IX228"/>
    </row>
    <row r="229" spans="1:258" s="55" customFormat="1" x14ac:dyDescent="0.2">
      <c r="A229" s="383" t="s">
        <v>336</v>
      </c>
      <c r="F229" s="54"/>
      <c r="K229" s="54"/>
      <c r="P229" s="54"/>
      <c r="R229" s="55">
        <f>R227/Q227-1</f>
        <v>-4.9490144138089165E-2</v>
      </c>
      <c r="S229" s="55">
        <f>S227/R227-1</f>
        <v>1.1919987175158742E-2</v>
      </c>
      <c r="T229" s="55">
        <f>T227/S227-1</f>
        <v>-3.6899410366980745E-2</v>
      </c>
      <c r="U229" s="54"/>
      <c r="V229" s="55">
        <f>V227/T227-1</f>
        <v>7.4158636358549135E-2</v>
      </c>
      <c r="W229" s="55">
        <f>W227/V227-1</f>
        <v>-5.2722063037249356E-2</v>
      </c>
      <c r="X229" s="55">
        <f>X227/W227-1</f>
        <v>3.3622430794819858E-2</v>
      </c>
      <c r="Y229" s="55">
        <f>Y227/X227-1</f>
        <v>-3.4962390128465248E-2</v>
      </c>
      <c r="Z229" s="54"/>
      <c r="AA229" s="55">
        <f>AA227/Y227-1</f>
        <v>3.9180745719892718E-2</v>
      </c>
      <c r="AB229" s="55">
        <f>AB227/AA227-1</f>
        <v>-7.5320164966355518E-2</v>
      </c>
      <c r="AC229" s="55">
        <f>AC227/AB227-1</f>
        <v>3.2200895901235649E-2</v>
      </c>
      <c r="AD229" s="55">
        <f>AD227/AC227-1</f>
        <v>-3.2523515845985784E-2</v>
      </c>
      <c r="AE229" s="54"/>
      <c r="AF229" s="55">
        <f>AF227/AD227-1</f>
        <v>4.3589987437411493E-2</v>
      </c>
      <c r="AG229" s="55">
        <f>AG227/AF227-1</f>
        <v>-5.9668547097221358E-3</v>
      </c>
      <c r="AH229" s="55">
        <f>AH227/AG227-1</f>
        <v>-4.701205275446374E-3</v>
      </c>
      <c r="AI229" s="55">
        <f>AI227/AH227-1</f>
        <v>8.1153867510688205E-3</v>
      </c>
      <c r="AJ229" s="54"/>
      <c r="AK229" s="55">
        <f>AK227/AI227-1</f>
        <v>3.7466643250906984E-2</v>
      </c>
      <c r="AL229" s="55">
        <f>AL227/AK227-1</f>
        <v>-7.0989239422841632E-2</v>
      </c>
      <c r="AM229" s="55">
        <f>AM227/AL227-1</f>
        <v>6.9052393872495177E-3</v>
      </c>
      <c r="AN229" s="55">
        <f>AN227/AM227-1</f>
        <v>-2.946788449057236E-2</v>
      </c>
      <c r="AO229" s="54"/>
      <c r="AP229" s="55">
        <f>AP227/AN227-1</f>
        <v>3.0461255927766384E-2</v>
      </c>
      <c r="AQ229" s="55">
        <f>AQ227/AP227-1</f>
        <v>-5.8753932071570758E-2</v>
      </c>
      <c r="AR229" s="55">
        <f>AR227/AQ227-1</f>
        <v>4.9822576957865738E-2</v>
      </c>
      <c r="AS229" s="55">
        <f>AS227/AR227-1</f>
        <v>-3.2944007758574201E-2</v>
      </c>
      <c r="AT229" s="54"/>
      <c r="AU229" s="55">
        <f>AU227/AS227-1</f>
        <v>8.7731776097426994E-2</v>
      </c>
      <c r="AV229" s="55">
        <f>AV227/AU227-1</f>
        <v>-4.7744993336443442E-2</v>
      </c>
      <c r="AW229" s="55">
        <f>AW227/AV227-1</f>
        <v>6.5489651886961653E-2</v>
      </c>
      <c r="AX229" s="55">
        <f>AX227/AW227-1</f>
        <v>-2.8112924382260096E-2</v>
      </c>
      <c r="AY229" s="54"/>
      <c r="AZ229" s="55">
        <f>AZ227/AX227-1</f>
        <v>1.7577853065391835E-2</v>
      </c>
      <c r="BA229" s="55">
        <f>BA227/AZ227-1</f>
        <v>4.2557694719678851E-2</v>
      </c>
      <c r="BB229" s="55">
        <f>BB227/BA227-1</f>
        <v>4.5271185666662106E-3</v>
      </c>
      <c r="BC229" s="55">
        <f>BC227/BB227-1</f>
        <v>7.9551964279664933E-3</v>
      </c>
      <c r="BD229" s="54"/>
      <c r="BE229" s="55">
        <f>BE227/BC227-1</f>
        <v>6.4055761752628282E-3</v>
      </c>
      <c r="BF229" s="55">
        <f>BF227/BE227-1</f>
        <v>2.2611390246414897E-2</v>
      </c>
      <c r="BG229" s="55">
        <f>BG227/BF227-1</f>
        <v>-3.7166165053985512E-2</v>
      </c>
      <c r="BH229" s="55">
        <f>BH227/BG227-1</f>
        <v>2.8223308322434804E-3</v>
      </c>
      <c r="BI229" s="54"/>
      <c r="BJ229" s="55">
        <f>BJ227/BH227-1</f>
        <v>2.8391144952058633E-2</v>
      </c>
      <c r="BK229" s="55">
        <f>BK227/BJ227-1</f>
        <v>-2.1431808812777953E-2</v>
      </c>
      <c r="BL229" s="55">
        <f>BL227/BK227-1</f>
        <v>-1.0025215205420213E-2</v>
      </c>
      <c r="BM229" s="55">
        <f>BM227/BL227-1</f>
        <v>0</v>
      </c>
      <c r="BN229" s="54"/>
      <c r="BO229" s="55">
        <f>BO227/BM227-1</f>
        <v>6.6080142304271616E-2</v>
      </c>
      <c r="BP229" s="55">
        <f>BP227/BO227-1</f>
        <v>-6.8348256810821129E-2</v>
      </c>
      <c r="BQ229" s="55">
        <f>BQ227/BP227-1</f>
        <v>5.8330267353445819E-3</v>
      </c>
      <c r="BR229" s="55">
        <f>BR227/BQ227-1</f>
        <v>-5.0740863334566289E-3</v>
      </c>
      <c r="BS229" s="54"/>
      <c r="BT229" s="55">
        <f>BT227/BR227-1</f>
        <v>8.2138857782754648E-2</v>
      </c>
      <c r="BU229" s="55">
        <f>BU227/BT227-1</f>
        <v>-6.239830427433013E-2</v>
      </c>
      <c r="BV229" s="55">
        <f>BV227/BU227-1</f>
        <v>-2.0375924020181735E-3</v>
      </c>
      <c r="BW229" s="55">
        <f>BW227/BV227-1</f>
        <v>-5.5094287853219015E-5</v>
      </c>
      <c r="BX229" s="54"/>
      <c r="BY229" s="55">
        <f>BY227/BW227-1</f>
        <v>6.2341172699189595E-2</v>
      </c>
      <c r="BZ229" s="55">
        <f>BZ227/BY227-1</f>
        <v>-4.976131711570575E-2</v>
      </c>
      <c r="CA229" s="55">
        <f>CA227/BZ227-1</f>
        <v>3.545531545859415E-2</v>
      </c>
      <c r="CB229" s="55">
        <f>CB227/CA227-1</f>
        <v>3.0695266394002996E-3</v>
      </c>
      <c r="CC229" s="54"/>
      <c r="CD229" s="55">
        <f>CD227/CB227-1</f>
        <v>1.2499417578264671E-2</v>
      </c>
      <c r="CE229" s="55">
        <f>CE227/CD227-1</f>
        <v>-1.9628506192354567E-2</v>
      </c>
      <c r="CF229" s="55">
        <f>CF227/CE227-1</f>
        <v>3.272991439566475E-2</v>
      </c>
      <c r="CG229" s="55">
        <f>CG227/CF227-1</f>
        <v>-7.0683464285514752E-3</v>
      </c>
      <c r="CH229" s="54"/>
      <c r="CI229" s="55">
        <f>CI227/CG227-1</f>
        <v>1.2806632248594463E-2</v>
      </c>
      <c r="CJ229" s="55">
        <f>CJ227/CI227-1</f>
        <v>-9.4132436129700237E-3</v>
      </c>
      <c r="CK229" s="55">
        <f>CK227/CJ227-1</f>
        <v>2.8487237749604599E-2</v>
      </c>
      <c r="CL229" s="55">
        <f>CL227/CK227-1</f>
        <v>2.5071581239666019E-2</v>
      </c>
      <c r="CM229" s="54"/>
      <c r="CN229" s="55">
        <f>CN227/CL227-1</f>
        <v>4.6367651103534469E-2</v>
      </c>
      <c r="CO229" s="55">
        <f>CO227/CN227-1</f>
        <v>-7.9074210009639878E-2</v>
      </c>
      <c r="CP229" s="55">
        <f>CP227/CO227-1</f>
        <v>3.7532399221784862E-2</v>
      </c>
      <c r="CQ229" s="55">
        <f>CQ227/CP227-1</f>
        <v>-2.5485012636891069E-3</v>
      </c>
      <c r="CR229" s="54"/>
      <c r="CS229" s="55">
        <f>CS227/CQ227-1</f>
        <v>5.7717021057918316E-2</v>
      </c>
      <c r="CT229" s="55">
        <f>CT227/CS227-1</f>
        <v>-2.9741214275946892E-2</v>
      </c>
      <c r="CU229" s="55">
        <f>CU227/CT227-1</f>
        <v>6.6365443751929654E-2</v>
      </c>
      <c r="CV229" s="55">
        <f>CV227/CU227-1</f>
        <v>3.712951007558507E-2</v>
      </c>
      <c r="CW229" s="54"/>
      <c r="CX229" s="55">
        <f>CX227/CV227-1</f>
        <v>4.96135128986257E-2</v>
      </c>
      <c r="CY229" s="55">
        <f>CY227/CX227-1</f>
        <v>-7.0378299762436591E-2</v>
      </c>
      <c r="CZ229" s="55">
        <f>CZ227/CY227-1</f>
        <v>-2.8988576902527763E-3</v>
      </c>
      <c r="DA229" s="55">
        <f>DA227/CZ227-1</f>
        <v>-9.3717145112647282E-3</v>
      </c>
      <c r="DB229" s="54"/>
      <c r="DC229" s="55">
        <f>DC227/DA227-1</f>
        <v>6.7054897492037302E-2</v>
      </c>
      <c r="DD229" s="55">
        <f>DD227/DC227-1</f>
        <v>-6.00440830580794E-2</v>
      </c>
      <c r="DE229" s="55">
        <f>DE227/DD227-1</f>
        <v>-2.4939460975132444E-2</v>
      </c>
      <c r="DF229" s="55">
        <f>DF227/DE227-1</f>
        <v>-1.0724094040075016E-2</v>
      </c>
      <c r="DG229" s="54"/>
      <c r="DH229" s="55">
        <f>DH227/DF227-1</f>
        <v>6.9380538777632061E-2</v>
      </c>
      <c r="DI229" s="55">
        <f>DI227/DH227-1</f>
        <v>-1.6834806648310385E-2</v>
      </c>
      <c r="DJ229" s="55">
        <f>DJ227/DI227-1</f>
        <v>2.3405869975152038E-2</v>
      </c>
      <c r="DK229" s="55">
        <f>DK227/DJ227-1</f>
        <v>8.3682008368197724E-3</v>
      </c>
      <c r="DL229" s="54"/>
      <c r="DM229" s="55">
        <f>DM227/DK227-1</f>
        <v>-1.9684937396715618E-3</v>
      </c>
      <c r="DN229" s="55">
        <f>DN227/DM227-1</f>
        <v>-2.7275056364009287E-2</v>
      </c>
      <c r="DO229" s="55">
        <f>DO227/DN227-1</f>
        <v>1.5114526823387653E-2</v>
      </c>
      <c r="DP229" s="55">
        <f>DP227/DO227-1</f>
        <v>3.1002714616475302E-2</v>
      </c>
      <c r="DQ229" s="54"/>
      <c r="DR229" s="55">
        <f>DR227/DP227-1</f>
        <v>-5.4519259452014968E-3</v>
      </c>
      <c r="DS229" s="55">
        <f>DS227/DR227-1</f>
        <v>-7.2644709140305963E-3</v>
      </c>
      <c r="DT229" s="55">
        <f>DT227/DS227-1</f>
        <v>1.1988257520218815E-2</v>
      </c>
      <c r="DU229" s="55">
        <f>DU227/DT227-1</f>
        <v>3.0090121153960592E-2</v>
      </c>
      <c r="DV229" s="54"/>
      <c r="DW229" s="55">
        <f>DW227/DU227-1</f>
        <v>3.4989876679550891E-2</v>
      </c>
      <c r="DX229" s="55">
        <f>DX227/DW227-1</f>
        <v>-8.8407188079979382E-2</v>
      </c>
      <c r="DY229" s="55">
        <f>DY227/DX227-1</f>
        <v>2.4702242817262077E-2</v>
      </c>
      <c r="DZ229" s="55">
        <f>DZ227/DY227-1</f>
        <v>3.8984311641276248E-2</v>
      </c>
      <c r="EA229" s="54"/>
      <c r="EB229" s="55">
        <f>EB227/DZ227-1</f>
        <v>6.9641472759808254E-2</v>
      </c>
      <c r="EC229" s="55">
        <f>EC227/EB227-1</f>
        <v>-0.12546229482292293</v>
      </c>
      <c r="ED229" s="55">
        <f>ED227/EC227-1</f>
        <v>1.7184443222093782E-2</v>
      </c>
      <c r="EE229" s="55">
        <f>EE227/ED227-1</f>
        <v>3.7922100807729064E-2</v>
      </c>
      <c r="EF229" s="54"/>
      <c r="EG229" s="55">
        <f>EG227/EE227-1</f>
        <v>5.2142201482733963E-2</v>
      </c>
      <c r="EH229" s="55">
        <f>EH227/EG227-1</f>
        <v>-6.7276565798733423E-2</v>
      </c>
      <c r="EI229" s="55">
        <f>EI227/EH227-1</f>
        <v>1.5138509647012244E-2</v>
      </c>
      <c r="EJ229" s="55">
        <f>EJ227/EI227-1</f>
        <v>-2.5787266384803109E-2</v>
      </c>
      <c r="EK229" s="54"/>
      <c r="EL229" s="55">
        <f>EL227/EJ227-1</f>
        <v>6.0967004626657495E-2</v>
      </c>
      <c r="EM229" s="55">
        <f>EM227/EL227-1</f>
        <v>-7.8842348744530888E-2</v>
      </c>
      <c r="EN229" s="55">
        <f>EN227/EM227-1</f>
        <v>2.4481346217972932E-2</v>
      </c>
      <c r="EO229" s="55">
        <f>EO227/EN227-1</f>
        <v>-3.788161793000544E-2</v>
      </c>
      <c r="EP229" s="54"/>
      <c r="EQ229" s="55">
        <f>EQ227/EO227-1</f>
        <v>1.8557949568658083E-2</v>
      </c>
      <c r="ER229" s="55">
        <f t="shared" ref="ER229" si="1157">ER227/EQ227-1</f>
        <v>-3.9324166365483859E-2</v>
      </c>
      <c r="ES229" s="55">
        <f t="shared" ref="ES229:ET229" si="1158">ES227/ER227-1</f>
        <v>2.5700930419033652E-2</v>
      </c>
      <c r="ET229" s="55">
        <f t="shared" si="1158"/>
        <v>2.0925318205157861E-2</v>
      </c>
      <c r="EU229" s="54"/>
      <c r="EZ229" s="54"/>
      <c r="FE229" s="54"/>
      <c r="FG229" s="490"/>
      <c r="FH229" s="766">
        <f>AVERAGE(CI229,CN229,CS229,CX229,DC229,DH229,DM229,DR229,DW229,EB229,EG229,EL229,EQ229)</f>
        <v>4.0909103000836763E-2</v>
      </c>
      <c r="FI229" s="766">
        <f>AVERAGE(CJ229,CO229,CT229,CY229,DD229,DI229,DN229,DS229,DX229,EC229,EH229)</f>
        <v>-5.2833766667914436E-2</v>
      </c>
      <c r="FJ229" s="766">
        <f>AVERAGE(CK229,CP229,CU229,CZ229,DE229,DJ229,DO229,DT229,DY229,ED229,EI229)</f>
        <v>1.9280055642096408E-2</v>
      </c>
      <c r="FK229" s="1408">
        <f>AVERAGE(CL229,CQ229,CV229,DA229,DF229,DK229,DP229,DU229,DZ229,EE229,EJ229,EO229)</f>
        <v>1.0187945520139555E-2</v>
      </c>
      <c r="FL229" s="1338"/>
      <c r="FM229" s="1523">
        <f t="shared" si="1109"/>
        <v>1.8557949568658083E-2</v>
      </c>
      <c r="FN229" s="1416">
        <f t="shared" si="1110"/>
        <v>6.0967004626657495E-2</v>
      </c>
      <c r="FO229" s="1799">
        <v>7.1985063766118351E-2</v>
      </c>
      <c r="FP229" s="1741"/>
      <c r="FQ229" s="1503">
        <f>+(FM229-FO229)*10000</f>
        <v>-534.27114197460264</v>
      </c>
      <c r="FR229" s="1619"/>
      <c r="FS229" s="1619"/>
      <c r="FT229" s="436"/>
      <c r="FU229" s="436"/>
      <c r="FV229" s="436"/>
      <c r="FW229" s="445"/>
      <c r="FX229" s="432"/>
      <c r="FY229" s="432"/>
      <c r="FZ229" s="490"/>
      <c r="GA229"/>
      <c r="GB229"/>
      <c r="GC229"/>
      <c r="GD229"/>
      <c r="GE229"/>
      <c r="GF229"/>
      <c r="GG229"/>
      <c r="GH229"/>
      <c r="GI229"/>
      <c r="GJ229"/>
      <c r="GK229"/>
      <c r="GL229"/>
      <c r="GM229"/>
      <c r="GN229"/>
      <c r="GO229"/>
      <c r="GP229"/>
      <c r="GQ229"/>
      <c r="GR229"/>
      <c r="GS229"/>
      <c r="GT229"/>
      <c r="GU229"/>
      <c r="GV229"/>
      <c r="GW229"/>
      <c r="GX229"/>
      <c r="GY229"/>
      <c r="GZ229"/>
      <c r="HA229"/>
      <c r="HB229"/>
      <c r="HC229"/>
      <c r="HD229"/>
      <c r="HE229"/>
      <c r="HF229"/>
      <c r="HG229"/>
      <c r="HH229"/>
      <c r="HI229"/>
      <c r="HJ229"/>
      <c r="HK229"/>
      <c r="HL229"/>
      <c r="HM229"/>
      <c r="HN229"/>
      <c r="HO229"/>
      <c r="HP229"/>
      <c r="HQ229"/>
      <c r="HR229"/>
      <c r="HS229"/>
      <c r="HT229"/>
      <c r="HU229"/>
      <c r="HV229"/>
      <c r="HW229"/>
      <c r="HX229"/>
      <c r="HY229"/>
      <c r="HZ229"/>
      <c r="IA229"/>
      <c r="IB229"/>
      <c r="IC229"/>
      <c r="ID229"/>
      <c r="IE229"/>
      <c r="IF229"/>
      <c r="IG229"/>
      <c r="IH229"/>
      <c r="II229"/>
      <c r="IJ229"/>
      <c r="IK229"/>
      <c r="IL229"/>
      <c r="IM229"/>
      <c r="IN229"/>
      <c r="IO229"/>
      <c r="IP229"/>
      <c r="IQ229"/>
      <c r="IR229"/>
      <c r="IS229"/>
      <c r="IT229"/>
      <c r="IU229"/>
      <c r="IV229"/>
      <c r="IW229"/>
      <c r="IX229"/>
    </row>
    <row r="230" spans="1:258" s="71" customFormat="1" hidden="1" x14ac:dyDescent="0.2">
      <c r="A230" s="105" t="s">
        <v>104</v>
      </c>
      <c r="B230" s="107"/>
      <c r="C230" s="107"/>
      <c r="D230" s="107"/>
      <c r="E230" s="107"/>
      <c r="F230" s="106"/>
      <c r="G230" s="107"/>
      <c r="H230" s="107"/>
      <c r="I230" s="107"/>
      <c r="J230" s="107"/>
      <c r="K230" s="106"/>
      <c r="L230" s="107"/>
      <c r="M230" s="107"/>
      <c r="N230" s="107"/>
      <c r="O230" s="107"/>
      <c r="P230" s="106"/>
      <c r="Q230" s="107"/>
      <c r="R230" s="107"/>
      <c r="S230" s="107"/>
      <c r="T230" s="107"/>
      <c r="U230" s="106"/>
      <c r="V230" s="107"/>
      <c r="W230" s="107"/>
      <c r="X230" s="107"/>
      <c r="Y230" s="107"/>
      <c r="Z230" s="106"/>
      <c r="AA230" s="107"/>
      <c r="AB230" s="107"/>
      <c r="AC230" s="107"/>
      <c r="AD230" s="107"/>
      <c r="AE230" s="106"/>
      <c r="AF230" s="107"/>
      <c r="AG230" s="107"/>
      <c r="AH230" s="107"/>
      <c r="AI230" s="107"/>
      <c r="AJ230" s="106"/>
      <c r="AK230" s="107"/>
      <c r="AL230" s="107"/>
      <c r="AM230" s="107"/>
      <c r="AN230" s="107"/>
      <c r="AO230" s="106"/>
      <c r="AP230" s="107"/>
      <c r="AQ230" s="107"/>
      <c r="AR230" s="107"/>
      <c r="AS230" s="107"/>
      <c r="AT230" s="106"/>
      <c r="AU230" s="107"/>
      <c r="AV230" s="107"/>
      <c r="AW230" s="107"/>
      <c r="AX230" s="107"/>
      <c r="AY230" s="106"/>
      <c r="AZ230" s="107"/>
      <c r="BA230" s="107"/>
      <c r="BB230" s="107"/>
      <c r="BC230" s="107"/>
      <c r="BD230" s="106"/>
      <c r="BE230" s="107"/>
      <c r="BF230" s="107"/>
      <c r="BG230" s="107"/>
      <c r="BH230" s="107"/>
      <c r="BI230" s="106"/>
      <c r="BJ230" s="107"/>
      <c r="BK230" s="107"/>
      <c r="BL230" s="107"/>
      <c r="BM230" s="107"/>
      <c r="BN230" s="106"/>
      <c r="BO230" s="107"/>
      <c r="BP230" s="107"/>
      <c r="BQ230" s="107"/>
      <c r="BR230" s="107"/>
      <c r="BS230" s="106"/>
      <c r="BT230" s="107"/>
      <c r="BU230" s="107"/>
      <c r="BV230" s="107"/>
      <c r="BW230" s="107"/>
      <c r="BX230" s="106"/>
      <c r="BY230" s="107"/>
      <c r="BZ230" s="107"/>
      <c r="CA230" s="107"/>
      <c r="CB230" s="107"/>
      <c r="CC230" s="106"/>
      <c r="CD230" s="107"/>
      <c r="CE230" s="107"/>
      <c r="CF230" s="107"/>
      <c r="CG230" s="107"/>
      <c r="CH230" s="106"/>
      <c r="CI230" s="107"/>
      <c r="CJ230" s="107"/>
      <c r="CK230" s="107"/>
      <c r="CL230" s="107"/>
      <c r="CM230" s="106"/>
      <c r="CN230" s="107"/>
      <c r="CO230" s="107"/>
      <c r="CP230" s="107"/>
      <c r="CQ230" s="107"/>
      <c r="CR230" s="106"/>
      <c r="CS230" s="107"/>
      <c r="CT230" s="107"/>
      <c r="CU230" s="107"/>
      <c r="CV230" s="107"/>
      <c r="CW230" s="106"/>
      <c r="CX230" s="107"/>
      <c r="CY230" s="107"/>
      <c r="CZ230" s="107"/>
      <c r="DA230" s="107"/>
      <c r="DB230" s="106"/>
      <c r="DC230" s="107"/>
      <c r="DD230" s="107"/>
      <c r="DE230" s="107"/>
      <c r="DF230" s="107"/>
      <c r="DG230" s="106"/>
      <c r="DH230" s="107"/>
      <c r="DI230" s="107"/>
      <c r="DJ230" s="107"/>
      <c r="DK230" s="107"/>
      <c r="DL230" s="106"/>
      <c r="DM230" s="107"/>
      <c r="DN230" s="107"/>
      <c r="DO230" s="107"/>
      <c r="DP230" s="107"/>
      <c r="DQ230" s="106"/>
      <c r="DR230" s="107"/>
      <c r="DS230" s="107"/>
      <c r="DT230" s="107"/>
      <c r="DU230" s="107"/>
      <c r="DV230" s="106"/>
      <c r="DW230" s="107"/>
      <c r="DX230" s="107"/>
      <c r="DY230" s="107"/>
      <c r="DZ230" s="107"/>
      <c r="EA230" s="106"/>
      <c r="EB230" s="107"/>
      <c r="EC230" s="107"/>
      <c r="ED230" s="107"/>
      <c r="EE230" s="107"/>
      <c r="EF230" s="106"/>
      <c r="EG230" s="107"/>
      <c r="EH230" s="107"/>
      <c r="EI230" s="107"/>
      <c r="EJ230" s="107"/>
      <c r="EK230" s="106"/>
      <c r="EL230" s="107"/>
      <c r="EM230" s="107"/>
      <c r="EN230" s="107"/>
      <c r="EO230" s="107"/>
      <c r="EP230" s="106"/>
      <c r="EQ230" s="107"/>
      <c r="ER230" s="108"/>
      <c r="ES230" s="108"/>
      <c r="ET230" s="108"/>
      <c r="EU230" s="106"/>
      <c r="EV230" s="108"/>
      <c r="EW230" s="108"/>
      <c r="EX230" s="108"/>
      <c r="EY230" s="108"/>
      <c r="EZ230" s="106"/>
      <c r="FA230" s="108"/>
      <c r="FB230" s="108"/>
      <c r="FC230" s="108"/>
      <c r="FD230" s="108"/>
      <c r="FE230" s="106"/>
      <c r="FF230" s="70"/>
      <c r="FG230" s="490"/>
      <c r="FH230" s="799"/>
      <c r="FI230" s="799"/>
      <c r="FJ230" s="799"/>
      <c r="FK230" s="70"/>
      <c r="FL230" s="1346"/>
      <c r="FM230" s="108">
        <f t="shared" si="1109"/>
        <v>0</v>
      </c>
      <c r="FN230" s="1471">
        <f t="shared" si="1110"/>
        <v>0</v>
      </c>
      <c r="FO230" s="1874"/>
      <c r="FP230" s="1768"/>
      <c r="FQ230" s="741"/>
      <c r="FR230" s="1619"/>
      <c r="FS230" s="1619"/>
      <c r="FT230" s="354"/>
      <c r="FU230" s="354"/>
      <c r="FV230" s="354"/>
      <c r="FW230" s="354"/>
      <c r="FX230" s="354"/>
      <c r="FY230" s="354"/>
      <c r="FZ230" s="490"/>
      <c r="GA230"/>
      <c r="GB230"/>
      <c r="GC230"/>
      <c r="GD230"/>
      <c r="GE230"/>
      <c r="GF230"/>
      <c r="GG230"/>
      <c r="GH230"/>
      <c r="GI230"/>
      <c r="GJ230"/>
      <c r="GK230"/>
      <c r="GL230"/>
      <c r="GM230"/>
      <c r="GN230"/>
      <c r="GO230"/>
      <c r="GP230"/>
      <c r="GQ230"/>
      <c r="GR230"/>
      <c r="GS230"/>
      <c r="GT230"/>
      <c r="GU230"/>
      <c r="GV230"/>
      <c r="GW230"/>
      <c r="GX230"/>
      <c r="GY230"/>
      <c r="GZ230"/>
      <c r="HA230"/>
      <c r="HB230"/>
      <c r="HC230"/>
      <c r="HD230"/>
      <c r="HE230"/>
      <c r="HF230"/>
      <c r="HG230"/>
      <c r="HH230"/>
      <c r="HI230"/>
      <c r="HJ230"/>
      <c r="HK230"/>
      <c r="HL230"/>
      <c r="HM230"/>
      <c r="HN230"/>
      <c r="HO230"/>
      <c r="HP230"/>
      <c r="HQ230"/>
      <c r="HR230"/>
      <c r="HS230"/>
      <c r="HT230"/>
      <c r="HU230"/>
      <c r="HV230"/>
      <c r="HW230"/>
      <c r="HX230"/>
      <c r="HY230"/>
      <c r="HZ230"/>
      <c r="IA230"/>
      <c r="IB230"/>
      <c r="IC230"/>
      <c r="ID230"/>
      <c r="IE230"/>
      <c r="IF230"/>
      <c r="IG230"/>
      <c r="IH230"/>
      <c r="II230"/>
      <c r="IJ230"/>
      <c r="IK230"/>
      <c r="IL230"/>
      <c r="IM230"/>
      <c r="IN230"/>
      <c r="IO230"/>
      <c r="IP230"/>
      <c r="IQ230"/>
      <c r="IR230"/>
      <c r="IS230"/>
      <c r="IT230"/>
      <c r="IU230"/>
      <c r="IV230"/>
      <c r="IW230"/>
      <c r="IX230"/>
    </row>
    <row r="231" spans="1:258" s="84" customFormat="1" hidden="1" x14ac:dyDescent="0.2">
      <c r="A231" s="37" t="s">
        <v>408</v>
      </c>
      <c r="B231" s="8"/>
      <c r="C231" s="8"/>
      <c r="D231" s="8"/>
      <c r="E231" s="8"/>
      <c r="F231" s="38"/>
      <c r="G231" s="8"/>
      <c r="H231" s="8"/>
      <c r="I231" s="8"/>
      <c r="J231" s="8"/>
      <c r="K231" s="38"/>
      <c r="L231" s="8"/>
      <c r="M231" s="8"/>
      <c r="N231" s="8"/>
      <c r="O231" s="8"/>
      <c r="P231" s="38"/>
      <c r="Q231" s="8">
        <v>735</v>
      </c>
      <c r="R231" s="8">
        <v>798</v>
      </c>
      <c r="S231" s="8">
        <v>810</v>
      </c>
      <c r="T231" s="8">
        <v>805</v>
      </c>
      <c r="U231" s="38">
        <v>3148</v>
      </c>
      <c r="V231" s="8">
        <v>752</v>
      </c>
      <c r="W231" s="8">
        <v>815</v>
      </c>
      <c r="X231" s="8">
        <v>846</v>
      </c>
      <c r="Y231" s="8">
        <v>833</v>
      </c>
      <c r="Z231" s="38">
        <v>3246</v>
      </c>
      <c r="AA231" s="8">
        <v>800</v>
      </c>
      <c r="AB231" s="8">
        <v>826</v>
      </c>
      <c r="AC231" s="8">
        <v>920</v>
      </c>
      <c r="AD231" s="8">
        <v>946</v>
      </c>
      <c r="AE231" s="38">
        <v>3492</v>
      </c>
      <c r="AF231" s="8">
        <v>899</v>
      </c>
      <c r="AG231" s="8">
        <v>991</v>
      </c>
      <c r="AH231" s="8">
        <v>1027</v>
      </c>
      <c r="AI231" s="8">
        <v>1091</v>
      </c>
      <c r="AJ231" s="38">
        <v>4008</v>
      </c>
      <c r="AK231" s="8">
        <v>961</v>
      </c>
      <c r="AL231" s="8">
        <v>1020</v>
      </c>
      <c r="AM231" s="8">
        <v>1033</v>
      </c>
      <c r="AN231" s="8">
        <v>1037</v>
      </c>
      <c r="AO231" s="38">
        <v>4051</v>
      </c>
      <c r="AP231" s="8">
        <v>950</v>
      </c>
      <c r="AQ231" s="8">
        <v>1011</v>
      </c>
      <c r="AR231" s="8">
        <v>1015</v>
      </c>
      <c r="AS231" s="8">
        <v>1015</v>
      </c>
      <c r="AT231" s="38">
        <v>3991</v>
      </c>
      <c r="AU231" s="8">
        <v>955</v>
      </c>
      <c r="AV231" s="8">
        <v>993</v>
      </c>
      <c r="AW231" s="8">
        <v>988</v>
      </c>
      <c r="AX231" s="8">
        <v>980</v>
      </c>
      <c r="AY231" s="38">
        <v>3916</v>
      </c>
      <c r="AZ231" s="8">
        <v>973</v>
      </c>
      <c r="BA231" s="8">
        <v>977</v>
      </c>
      <c r="BB231" s="8">
        <v>1035</v>
      </c>
      <c r="BC231" s="8">
        <v>824</v>
      </c>
      <c r="BD231" s="38">
        <v>3809</v>
      </c>
      <c r="BE231" s="8">
        <v>236</v>
      </c>
      <c r="BF231" s="8">
        <v>237</v>
      </c>
      <c r="BG231" s="8">
        <v>256</v>
      </c>
      <c r="BH231" s="8">
        <v>239</v>
      </c>
      <c r="BI231" s="38"/>
      <c r="BJ231" s="8">
        <v>228</v>
      </c>
      <c r="BK231" s="8">
        <v>228</v>
      </c>
      <c r="BL231" s="8">
        <v>239</v>
      </c>
      <c r="BM231" s="8">
        <v>229</v>
      </c>
      <c r="BN231" s="38"/>
      <c r="BO231" s="8">
        <v>221</v>
      </c>
      <c r="BP231" s="8">
        <v>247</v>
      </c>
      <c r="BQ231" s="8">
        <v>279</v>
      </c>
      <c r="BR231" s="8">
        <v>249</v>
      </c>
      <c r="BS231" s="38"/>
      <c r="BT231" s="8">
        <v>56</v>
      </c>
      <c r="BU231" s="8">
        <v>54</v>
      </c>
      <c r="BV231" s="8">
        <v>59</v>
      </c>
      <c r="BW231" s="8">
        <v>57</v>
      </c>
      <c r="BX231" s="38"/>
      <c r="BY231" s="8">
        <v>48</v>
      </c>
      <c r="BZ231" s="8">
        <v>38</v>
      </c>
      <c r="CA231" s="8">
        <v>42</v>
      </c>
      <c r="CB231" s="8"/>
      <c r="CC231" s="38"/>
      <c r="CD231" s="8"/>
      <c r="CE231" s="8"/>
      <c r="CF231" s="8"/>
      <c r="CG231" s="8"/>
      <c r="CH231" s="38"/>
      <c r="CI231" s="8"/>
      <c r="CJ231" s="8"/>
      <c r="CK231" s="8"/>
      <c r="CL231" s="8"/>
      <c r="CM231" s="38"/>
      <c r="CN231" s="8"/>
      <c r="CO231" s="8"/>
      <c r="CP231" s="8"/>
      <c r="CQ231" s="8"/>
      <c r="CR231" s="38"/>
      <c r="CS231" s="8"/>
      <c r="CT231" s="8"/>
      <c r="CU231" s="8"/>
      <c r="CV231" s="8"/>
      <c r="CW231" s="38"/>
      <c r="CX231" s="8"/>
      <c r="CY231" s="8"/>
      <c r="CZ231" s="8"/>
      <c r="DA231" s="8"/>
      <c r="DB231" s="38"/>
      <c r="DC231" s="8"/>
      <c r="DD231" s="8"/>
      <c r="DE231" s="8"/>
      <c r="DF231" s="8"/>
      <c r="DG231" s="363"/>
      <c r="DH231" s="8"/>
      <c r="DI231" s="8"/>
      <c r="DJ231" s="8"/>
      <c r="DK231" s="8"/>
      <c r="DL231" s="363"/>
      <c r="DM231" s="8"/>
      <c r="DN231" s="8"/>
      <c r="DO231" s="8"/>
      <c r="DP231" s="8"/>
      <c r="DQ231" s="363"/>
      <c r="DR231" s="8"/>
      <c r="DS231" s="8"/>
      <c r="DT231" s="116"/>
      <c r="DU231" s="8"/>
      <c r="DV231" s="363"/>
      <c r="DW231" s="8"/>
      <c r="DX231" s="8"/>
      <c r="DY231" s="116"/>
      <c r="DZ231" s="8"/>
      <c r="EA231" s="363"/>
      <c r="EB231" s="8"/>
      <c r="EC231" s="8"/>
      <c r="ED231" s="116"/>
      <c r="EE231" s="8"/>
      <c r="EF231" s="363"/>
      <c r="EG231" s="8"/>
      <c r="EH231" s="8"/>
      <c r="EI231" s="116"/>
      <c r="EJ231" s="8"/>
      <c r="EK231" s="363"/>
      <c r="EL231" s="8"/>
      <c r="EM231" s="8"/>
      <c r="EN231" s="116"/>
      <c r="EO231" s="8"/>
      <c r="EP231" s="363"/>
      <c r="EQ231" s="8"/>
      <c r="ER231" s="116"/>
      <c r="ES231" s="116"/>
      <c r="ET231" s="116"/>
      <c r="EU231" s="363"/>
      <c r="EV231" s="116"/>
      <c r="EW231" s="116"/>
      <c r="EX231" s="116"/>
      <c r="EY231" s="116"/>
      <c r="EZ231" s="363"/>
      <c r="FA231" s="116"/>
      <c r="FB231" s="116"/>
      <c r="FC231" s="116"/>
      <c r="FD231" s="116"/>
      <c r="FE231" s="363"/>
      <c r="FF231" s="83"/>
      <c r="FG231" s="490"/>
      <c r="FH231" s="776"/>
      <c r="FI231" s="776"/>
      <c r="FJ231" s="776"/>
      <c r="FK231" s="83"/>
      <c r="FL231" s="1346"/>
      <c r="FM231" s="116">
        <f t="shared" si="1109"/>
        <v>0</v>
      </c>
      <c r="FN231" s="1428">
        <f t="shared" si="1110"/>
        <v>0</v>
      </c>
      <c r="FO231" s="1875"/>
      <c r="FP231" s="1762"/>
      <c r="FQ231" s="739"/>
      <c r="FR231" s="1619"/>
      <c r="FS231" s="1619"/>
      <c r="FT231" s="354"/>
      <c r="FU231" s="354"/>
      <c r="FV231" s="354"/>
      <c r="FW231" s="354"/>
      <c r="FX231" s="354"/>
      <c r="FY231" s="354"/>
      <c r="FZ231" s="490"/>
      <c r="GA231"/>
      <c r="GB231"/>
      <c r="GC231"/>
      <c r="GD231"/>
      <c r="GE231"/>
      <c r="GF231"/>
      <c r="GG231"/>
      <c r="GH231"/>
      <c r="GI231"/>
      <c r="GJ231"/>
      <c r="GK231"/>
      <c r="GL231"/>
      <c r="GM231"/>
      <c r="GN231"/>
      <c r="GO231"/>
      <c r="GP231"/>
      <c r="GQ231"/>
      <c r="GR231"/>
      <c r="GS231"/>
      <c r="GT231"/>
      <c r="GU231"/>
      <c r="GV231"/>
      <c r="GW231"/>
      <c r="GX231"/>
      <c r="GY231"/>
      <c r="GZ231"/>
      <c r="HA231"/>
      <c r="HB231"/>
      <c r="HC231"/>
      <c r="HD231"/>
      <c r="HE231"/>
      <c r="HF231"/>
      <c r="HG231"/>
      <c r="HH231"/>
      <c r="HI231"/>
      <c r="HJ231"/>
      <c r="HK231"/>
      <c r="HL231"/>
      <c r="HM231"/>
      <c r="HN231"/>
      <c r="HO231"/>
      <c r="HP231"/>
      <c r="HQ231"/>
      <c r="HR231"/>
      <c r="HS231"/>
      <c r="HT231"/>
      <c r="HU231"/>
      <c r="HV231"/>
      <c r="HW231"/>
      <c r="HX231"/>
      <c r="HY231"/>
      <c r="HZ231"/>
      <c r="IA231"/>
      <c r="IB231"/>
      <c r="IC231"/>
      <c r="ID231"/>
      <c r="IE231"/>
      <c r="IF231"/>
      <c r="IG231"/>
      <c r="IH231"/>
      <c r="II231"/>
      <c r="IJ231"/>
      <c r="IK231"/>
      <c r="IL231"/>
      <c r="IM231"/>
      <c r="IN231"/>
      <c r="IO231"/>
      <c r="IP231"/>
      <c r="IQ231"/>
      <c r="IR231"/>
      <c r="IS231"/>
      <c r="IT231"/>
      <c r="IU231"/>
      <c r="IV231"/>
      <c r="IW231"/>
      <c r="IX231"/>
    </row>
    <row r="232" spans="1:258" s="84" customFormat="1" hidden="1" x14ac:dyDescent="0.2">
      <c r="A232" s="37" t="s">
        <v>409</v>
      </c>
      <c r="B232" s="8"/>
      <c r="C232" s="8"/>
      <c r="D232" s="8"/>
      <c r="E232" s="8"/>
      <c r="F232" s="38"/>
      <c r="G232" s="8"/>
      <c r="H232" s="8"/>
      <c r="I232" s="8"/>
      <c r="J232" s="8"/>
      <c r="K232" s="38"/>
      <c r="L232" s="8"/>
      <c r="M232" s="8"/>
      <c r="N232" s="8"/>
      <c r="O232" s="8"/>
      <c r="P232" s="38"/>
      <c r="Q232" s="8">
        <v>728</v>
      </c>
      <c r="R232" s="8">
        <v>754</v>
      </c>
      <c r="S232" s="8">
        <v>755</v>
      </c>
      <c r="T232" s="8">
        <v>760</v>
      </c>
      <c r="U232" s="38">
        <v>2997</v>
      </c>
      <c r="V232" s="8">
        <v>747</v>
      </c>
      <c r="W232" s="8">
        <v>761</v>
      </c>
      <c r="X232" s="8">
        <v>775</v>
      </c>
      <c r="Y232" s="8">
        <v>770</v>
      </c>
      <c r="Z232" s="38">
        <v>3053</v>
      </c>
      <c r="AA232" s="8">
        <v>781</v>
      </c>
      <c r="AB232" s="8">
        <v>811</v>
      </c>
      <c r="AC232" s="8">
        <v>842</v>
      </c>
      <c r="AD232" s="8">
        <v>871</v>
      </c>
      <c r="AE232" s="38">
        <v>3305</v>
      </c>
      <c r="AF232" s="8">
        <v>874</v>
      </c>
      <c r="AG232" s="8">
        <v>924</v>
      </c>
      <c r="AH232" s="8">
        <v>957</v>
      </c>
      <c r="AI232" s="8">
        <v>1007</v>
      </c>
      <c r="AJ232" s="38">
        <v>3762</v>
      </c>
      <c r="AK232" s="8">
        <v>909</v>
      </c>
      <c r="AL232" s="8">
        <v>939</v>
      </c>
      <c r="AM232" s="8">
        <v>938</v>
      </c>
      <c r="AN232" s="8">
        <v>947</v>
      </c>
      <c r="AO232" s="38">
        <v>3733</v>
      </c>
      <c r="AP232" s="8">
        <v>909</v>
      </c>
      <c r="AQ232" s="8">
        <v>931</v>
      </c>
      <c r="AR232" s="8">
        <v>933</v>
      </c>
      <c r="AS232" s="8">
        <v>940</v>
      </c>
      <c r="AT232" s="38">
        <v>3713</v>
      </c>
      <c r="AU232" s="8">
        <v>940</v>
      </c>
      <c r="AV232" s="8">
        <v>941</v>
      </c>
      <c r="AW232" s="8">
        <v>938</v>
      </c>
      <c r="AX232" s="8">
        <v>964</v>
      </c>
      <c r="AY232" s="38">
        <v>3783</v>
      </c>
      <c r="AZ232" s="8">
        <v>961</v>
      </c>
      <c r="BA232" s="8">
        <v>921</v>
      </c>
      <c r="BB232" s="8">
        <v>932</v>
      </c>
      <c r="BC232" s="8">
        <v>846</v>
      </c>
      <c r="BD232" s="38">
        <v>3660</v>
      </c>
      <c r="BE232" s="8">
        <v>223</v>
      </c>
      <c r="BF232" s="8">
        <v>215</v>
      </c>
      <c r="BG232" s="8">
        <v>230</v>
      </c>
      <c r="BH232" s="8">
        <v>229</v>
      </c>
      <c r="BI232" s="38"/>
      <c r="BJ232" s="8">
        <v>219</v>
      </c>
      <c r="BK232" s="8">
        <v>203</v>
      </c>
      <c r="BL232" s="8">
        <v>202</v>
      </c>
      <c r="BM232" s="8">
        <v>197</v>
      </c>
      <c r="BN232" s="38"/>
      <c r="BO232" s="8">
        <v>209</v>
      </c>
      <c r="BP232" s="8">
        <v>222</v>
      </c>
      <c r="BQ232" s="8">
        <v>239</v>
      </c>
      <c r="BR232" s="8">
        <v>219</v>
      </c>
      <c r="BS232" s="38"/>
      <c r="BT232" s="8">
        <v>41</v>
      </c>
      <c r="BU232" s="8">
        <v>37</v>
      </c>
      <c r="BV232" s="8">
        <v>39</v>
      </c>
      <c r="BW232" s="8">
        <v>40</v>
      </c>
      <c r="BX232" s="38"/>
      <c r="BY232" s="8">
        <v>40</v>
      </c>
      <c r="BZ232" s="8">
        <v>32</v>
      </c>
      <c r="CA232" s="8">
        <v>34</v>
      </c>
      <c r="CB232" s="8"/>
      <c r="CC232" s="38"/>
      <c r="CD232" s="8"/>
      <c r="CE232" s="8"/>
      <c r="CF232" s="8"/>
      <c r="CG232" s="8"/>
      <c r="CH232" s="38"/>
      <c r="CI232" s="8"/>
      <c r="CJ232" s="8"/>
      <c r="CK232" s="8"/>
      <c r="CL232" s="8"/>
      <c r="CM232" s="38"/>
      <c r="CN232" s="8"/>
      <c r="CO232" s="8"/>
      <c r="CP232" s="8"/>
      <c r="CQ232" s="8"/>
      <c r="CR232" s="38"/>
      <c r="CS232" s="8"/>
      <c r="CT232" s="8"/>
      <c r="CU232" s="8"/>
      <c r="CV232" s="8"/>
      <c r="CW232" s="38"/>
      <c r="CX232" s="8"/>
      <c r="CY232" s="8"/>
      <c r="CZ232" s="8"/>
      <c r="DA232" s="8"/>
      <c r="DB232" s="38"/>
      <c r="DC232" s="8"/>
      <c r="DD232" s="8"/>
      <c r="DE232" s="8"/>
      <c r="DF232" s="8"/>
      <c r="DG232" s="363"/>
      <c r="DH232" s="8"/>
      <c r="DI232" s="8"/>
      <c r="DJ232" s="8"/>
      <c r="DK232" s="8"/>
      <c r="DL232" s="363"/>
      <c r="DM232" s="8"/>
      <c r="DN232" s="8"/>
      <c r="DO232" s="8"/>
      <c r="DP232" s="8"/>
      <c r="DQ232" s="363"/>
      <c r="DR232" s="8"/>
      <c r="DS232" s="8"/>
      <c r="DT232" s="116"/>
      <c r="DU232" s="8"/>
      <c r="DV232" s="363"/>
      <c r="DW232" s="8"/>
      <c r="DX232" s="8"/>
      <c r="DY232" s="116"/>
      <c r="DZ232" s="8"/>
      <c r="EA232" s="363"/>
      <c r="EB232" s="8"/>
      <c r="EC232" s="8"/>
      <c r="ED232" s="116"/>
      <c r="EE232" s="8"/>
      <c r="EF232" s="363"/>
      <c r="EG232" s="8"/>
      <c r="EH232" s="8"/>
      <c r="EI232" s="116"/>
      <c r="EJ232" s="8"/>
      <c r="EK232" s="363"/>
      <c r="EL232" s="8"/>
      <c r="EM232" s="8"/>
      <c r="EN232" s="116"/>
      <c r="EO232" s="8"/>
      <c r="EP232" s="363"/>
      <c r="EQ232" s="8"/>
      <c r="ER232" s="116"/>
      <c r="ES232" s="116"/>
      <c r="ET232" s="116"/>
      <c r="EU232" s="363"/>
      <c r="EV232" s="116"/>
      <c r="EW232" s="116"/>
      <c r="EX232" s="116"/>
      <c r="EY232" s="116"/>
      <c r="EZ232" s="363"/>
      <c r="FA232" s="116"/>
      <c r="FB232" s="116"/>
      <c r="FC232" s="116"/>
      <c r="FD232" s="116"/>
      <c r="FE232" s="363"/>
      <c r="FF232" s="83"/>
      <c r="FG232" s="490"/>
      <c r="FH232" s="776"/>
      <c r="FI232" s="776"/>
      <c r="FJ232" s="776"/>
      <c r="FK232" s="83"/>
      <c r="FL232" s="1346"/>
      <c r="FM232" s="116">
        <f t="shared" si="1109"/>
        <v>0</v>
      </c>
      <c r="FN232" s="1428">
        <f t="shared" si="1110"/>
        <v>0</v>
      </c>
      <c r="FO232" s="1875"/>
      <c r="FP232" s="1762"/>
      <c r="FQ232" s="739"/>
      <c r="FR232" s="1619"/>
      <c r="FS232" s="1619"/>
      <c r="FT232" s="354"/>
      <c r="FU232" s="354"/>
      <c r="FV232" s="354"/>
      <c r="FW232" s="354"/>
      <c r="FX232" s="354"/>
      <c r="FY232" s="354"/>
      <c r="FZ232" s="490"/>
      <c r="GA232"/>
      <c r="GB232"/>
      <c r="GC232"/>
      <c r="GD232"/>
      <c r="GE232"/>
      <c r="GF232"/>
      <c r="GG232"/>
      <c r="GH232"/>
      <c r="GI232"/>
      <c r="GJ232"/>
      <c r="GK232"/>
      <c r="GL232"/>
      <c r="GM232"/>
      <c r="GN232"/>
      <c r="GO232"/>
      <c r="GP232"/>
      <c r="GQ232"/>
      <c r="GR232"/>
      <c r="GS232"/>
      <c r="GT232"/>
      <c r="GU232"/>
      <c r="GV232"/>
      <c r="GW232"/>
      <c r="GX232"/>
      <c r="GY232"/>
      <c r="GZ232"/>
      <c r="HA232"/>
      <c r="HB232"/>
      <c r="HC232"/>
      <c r="HD232"/>
      <c r="HE232"/>
      <c r="HF232"/>
      <c r="HG232"/>
      <c r="HH232"/>
      <c r="HI232"/>
      <c r="HJ232"/>
      <c r="HK232"/>
      <c r="HL232"/>
      <c r="HM232"/>
      <c r="HN232"/>
      <c r="HO232"/>
      <c r="HP232"/>
      <c r="HQ232"/>
      <c r="HR232"/>
      <c r="HS232"/>
      <c r="HT232"/>
      <c r="HU232"/>
      <c r="HV232"/>
      <c r="HW232"/>
      <c r="HX232"/>
      <c r="HY232"/>
      <c r="HZ232"/>
      <c r="IA232"/>
      <c r="IB232"/>
      <c r="IC232"/>
      <c r="ID232"/>
      <c r="IE232"/>
      <c r="IF232"/>
      <c r="IG232"/>
      <c r="IH232"/>
      <c r="II232"/>
      <c r="IJ232"/>
      <c r="IK232"/>
      <c r="IL232"/>
      <c r="IM232"/>
      <c r="IN232"/>
      <c r="IO232"/>
      <c r="IP232"/>
      <c r="IQ232"/>
      <c r="IR232"/>
      <c r="IS232"/>
      <c r="IT232"/>
      <c r="IU232"/>
      <c r="IV232"/>
      <c r="IW232"/>
      <c r="IX232"/>
    </row>
    <row r="233" spans="1:258" s="84" customFormat="1" hidden="1" x14ac:dyDescent="0.2">
      <c r="A233" s="37" t="s">
        <v>41</v>
      </c>
      <c r="B233" s="8"/>
      <c r="C233" s="8"/>
      <c r="D233" s="8"/>
      <c r="E233" s="8"/>
      <c r="F233" s="38"/>
      <c r="G233" s="8"/>
      <c r="H233" s="8"/>
      <c r="I233" s="8"/>
      <c r="J233" s="8"/>
      <c r="K233" s="38"/>
      <c r="L233" s="8"/>
      <c r="M233" s="8"/>
      <c r="N233" s="8"/>
      <c r="O233" s="8"/>
      <c r="P233" s="38"/>
      <c r="Q233" s="8"/>
      <c r="R233" s="8"/>
      <c r="S233" s="8"/>
      <c r="T233" s="8"/>
      <c r="U233" s="38"/>
      <c r="V233" s="8"/>
      <c r="W233" s="8"/>
      <c r="X233" s="8"/>
      <c r="Y233" s="8"/>
      <c r="Z233" s="38"/>
      <c r="AA233" s="8"/>
      <c r="AB233" s="8"/>
      <c r="AC233" s="8"/>
      <c r="AD233" s="8"/>
      <c r="AE233" s="38"/>
      <c r="AF233" s="8">
        <v>54</v>
      </c>
      <c r="AG233" s="8">
        <v>57</v>
      </c>
      <c r="AH233" s="8">
        <v>62</v>
      </c>
      <c r="AI233" s="8">
        <v>67</v>
      </c>
      <c r="AJ233" s="38">
        <v>240</v>
      </c>
      <c r="AK233" s="8">
        <v>71</v>
      </c>
      <c r="AL233" s="8">
        <v>79</v>
      </c>
      <c r="AM233" s="8">
        <v>83</v>
      </c>
      <c r="AN233" s="8">
        <v>83</v>
      </c>
      <c r="AO233" s="38">
        <v>316</v>
      </c>
      <c r="AP233" s="8">
        <v>92</v>
      </c>
      <c r="AQ233" s="8">
        <v>104</v>
      </c>
      <c r="AR233" s="8">
        <v>94</v>
      </c>
      <c r="AS233" s="8">
        <v>99</v>
      </c>
      <c r="AT233" s="38">
        <v>389</v>
      </c>
      <c r="AU233" s="8">
        <v>107</v>
      </c>
      <c r="AV233" s="8">
        <v>100</v>
      </c>
      <c r="AW233" s="8">
        <v>90</v>
      </c>
      <c r="AX233" s="8">
        <v>111</v>
      </c>
      <c r="AY233" s="38">
        <v>408</v>
      </c>
      <c r="AZ233" s="8">
        <v>120</v>
      </c>
      <c r="BA233" s="8">
        <v>117</v>
      </c>
      <c r="BB233" s="8">
        <v>110</v>
      </c>
      <c r="BC233" s="8">
        <v>137</v>
      </c>
      <c r="BD233" s="38">
        <v>484</v>
      </c>
      <c r="BE233" s="8">
        <v>126</v>
      </c>
      <c r="BF233" s="8">
        <v>131</v>
      </c>
      <c r="BG233" s="8"/>
      <c r="BH233" s="8"/>
      <c r="BI233" s="38"/>
      <c r="BJ233" s="8"/>
      <c r="BK233" s="8"/>
      <c r="BL233" s="8"/>
      <c r="BM233" s="8"/>
      <c r="BN233" s="38"/>
      <c r="BO233" s="8"/>
      <c r="BP233" s="8"/>
      <c r="BQ233" s="8"/>
      <c r="BR233" s="8"/>
      <c r="BS233" s="38"/>
      <c r="BT233" s="8"/>
      <c r="BU233" s="8"/>
      <c r="BV233" s="8"/>
      <c r="BW233" s="8"/>
      <c r="BX233" s="38"/>
      <c r="BY233" s="8"/>
      <c r="BZ233" s="8"/>
      <c r="CA233" s="8"/>
      <c r="CB233" s="8"/>
      <c r="CC233" s="38"/>
      <c r="CD233" s="8"/>
      <c r="CE233" s="8"/>
      <c r="CF233" s="8"/>
      <c r="CG233" s="8"/>
      <c r="CH233" s="38"/>
      <c r="CI233" s="8"/>
      <c r="CJ233" s="8"/>
      <c r="CK233" s="8"/>
      <c r="CL233" s="8"/>
      <c r="CM233" s="38"/>
      <c r="CN233" s="8"/>
      <c r="CO233" s="8"/>
      <c r="CP233" s="8"/>
      <c r="CQ233" s="8"/>
      <c r="CR233" s="38"/>
      <c r="CS233" s="8"/>
      <c r="CT233" s="8"/>
      <c r="CU233" s="8"/>
      <c r="CV233" s="8"/>
      <c r="CW233" s="38"/>
      <c r="CX233" s="8"/>
      <c r="CY233" s="8"/>
      <c r="CZ233" s="8"/>
      <c r="DA233" s="8"/>
      <c r="DB233" s="38"/>
      <c r="DC233" s="8"/>
      <c r="DD233" s="8"/>
      <c r="DE233" s="8"/>
      <c r="DF233" s="8"/>
      <c r="DG233" s="363"/>
      <c r="DH233" s="8"/>
      <c r="DI233" s="8"/>
      <c r="DJ233" s="8"/>
      <c r="DK233" s="8"/>
      <c r="DL233" s="363"/>
      <c r="DM233" s="8"/>
      <c r="DN233" s="8"/>
      <c r="DO233" s="8"/>
      <c r="DP233" s="8"/>
      <c r="DQ233" s="363"/>
      <c r="DR233" s="8"/>
      <c r="DS233" s="8"/>
      <c r="DT233" s="116"/>
      <c r="DU233" s="8"/>
      <c r="DV233" s="363"/>
      <c r="DW233" s="8"/>
      <c r="DX233" s="8"/>
      <c r="DY233" s="116"/>
      <c r="DZ233" s="8"/>
      <c r="EA233" s="363"/>
      <c r="EB233" s="8"/>
      <c r="EC233" s="8"/>
      <c r="ED233" s="116"/>
      <c r="EE233" s="8"/>
      <c r="EF233" s="363"/>
      <c r="EG233" s="8"/>
      <c r="EH233" s="8"/>
      <c r="EI233" s="116"/>
      <c r="EJ233" s="8"/>
      <c r="EK233" s="363"/>
      <c r="EL233" s="8"/>
      <c r="EM233" s="8"/>
      <c r="EN233" s="116"/>
      <c r="EO233" s="8"/>
      <c r="EP233" s="363"/>
      <c r="EQ233" s="8"/>
      <c r="ER233" s="116"/>
      <c r="ES233" s="116"/>
      <c r="ET233" s="116"/>
      <c r="EU233" s="363"/>
      <c r="EV233" s="116"/>
      <c r="EW233" s="116"/>
      <c r="EX233" s="116"/>
      <c r="EY233" s="116"/>
      <c r="EZ233" s="363"/>
      <c r="FA233" s="116"/>
      <c r="FB233" s="116"/>
      <c r="FC233" s="116"/>
      <c r="FD233" s="116"/>
      <c r="FE233" s="363"/>
      <c r="FF233" s="83"/>
      <c r="FG233" s="489"/>
      <c r="FH233" s="776"/>
      <c r="FI233" s="776"/>
      <c r="FJ233" s="776"/>
      <c r="FK233" s="83"/>
      <c r="FL233" s="1346"/>
      <c r="FM233" s="116">
        <f t="shared" si="1109"/>
        <v>0</v>
      </c>
      <c r="FN233" s="1428">
        <f t="shared" si="1110"/>
        <v>0</v>
      </c>
      <c r="FO233" s="1875"/>
      <c r="FP233" s="1762"/>
      <c r="FQ233" s="739"/>
      <c r="FR233" s="1619"/>
      <c r="FS233" s="1619"/>
      <c r="FT233" s="354"/>
      <c r="FU233" s="354"/>
      <c r="FV233" s="354"/>
      <c r="FW233" s="354"/>
      <c r="FX233" s="354"/>
      <c r="FY233" s="354"/>
      <c r="FZ233" s="489"/>
      <c r="GA233"/>
      <c r="GB233"/>
      <c r="GC233"/>
      <c r="GD233"/>
      <c r="GE233"/>
      <c r="GF233"/>
      <c r="GG233"/>
      <c r="GH233"/>
      <c r="GI233"/>
      <c r="GJ233"/>
      <c r="GK233"/>
      <c r="GL233"/>
      <c r="GM233"/>
      <c r="GN233"/>
      <c r="GO233"/>
      <c r="GP233"/>
      <c r="GQ233"/>
      <c r="GR233"/>
      <c r="GS233"/>
      <c r="GT233"/>
      <c r="GU233"/>
      <c r="GV233"/>
      <c r="GW233"/>
      <c r="GX233"/>
      <c r="GY233"/>
      <c r="GZ233"/>
      <c r="HA233"/>
      <c r="HB233"/>
      <c r="HC233"/>
      <c r="HD233"/>
      <c r="HE233"/>
      <c r="HF233"/>
      <c r="HG233"/>
      <c r="HH233"/>
      <c r="HI233"/>
      <c r="HJ233"/>
      <c r="HK233"/>
      <c r="HL233"/>
      <c r="HM233"/>
      <c r="HN233"/>
      <c r="HO233"/>
      <c r="HP233"/>
      <c r="HQ233"/>
      <c r="HR233"/>
      <c r="HS233"/>
      <c r="HT233"/>
      <c r="HU233"/>
      <c r="HV233"/>
      <c r="HW233"/>
      <c r="HX233"/>
      <c r="HY233"/>
      <c r="HZ233"/>
      <c r="IA233"/>
      <c r="IB233"/>
      <c r="IC233"/>
      <c r="ID233"/>
      <c r="IE233"/>
      <c r="IF233"/>
      <c r="IG233"/>
      <c r="IH233"/>
      <c r="II233"/>
      <c r="IJ233"/>
      <c r="IK233"/>
      <c r="IL233"/>
      <c r="IM233"/>
      <c r="IN233"/>
      <c r="IO233"/>
      <c r="IP233"/>
      <c r="IQ233"/>
      <c r="IR233"/>
      <c r="IS233"/>
      <c r="IT233"/>
      <c r="IU233"/>
      <c r="IV233"/>
      <c r="IW233"/>
      <c r="IX233"/>
    </row>
    <row r="234" spans="1:258" s="84" customFormat="1" hidden="1" x14ac:dyDescent="0.2">
      <c r="A234" s="37" t="s">
        <v>373</v>
      </c>
      <c r="B234" s="8"/>
      <c r="C234" s="8"/>
      <c r="D234" s="8"/>
      <c r="E234" s="8"/>
      <c r="F234" s="38"/>
      <c r="G234" s="8"/>
      <c r="H234" s="8"/>
      <c r="I234" s="8"/>
      <c r="J234" s="8"/>
      <c r="K234" s="38"/>
      <c r="L234" s="8"/>
      <c r="M234" s="8"/>
      <c r="N234" s="8"/>
      <c r="O234" s="8"/>
      <c r="P234" s="38"/>
      <c r="Q234" s="8"/>
      <c r="R234" s="8"/>
      <c r="S234" s="8"/>
      <c r="T234" s="8"/>
      <c r="U234" s="38"/>
      <c r="V234" s="8"/>
      <c r="W234" s="8"/>
      <c r="X234" s="8"/>
      <c r="Y234" s="8"/>
      <c r="Z234" s="38"/>
      <c r="AA234" s="8"/>
      <c r="AB234" s="8"/>
      <c r="AC234" s="8"/>
      <c r="AD234" s="8"/>
      <c r="AE234" s="38"/>
      <c r="AF234" s="8">
        <v>51</v>
      </c>
      <c r="AG234" s="8">
        <v>54</v>
      </c>
      <c r="AH234" s="8">
        <v>59</v>
      </c>
      <c r="AI234" s="8">
        <v>64</v>
      </c>
      <c r="AJ234" s="38">
        <v>228</v>
      </c>
      <c r="AK234" s="8">
        <v>68</v>
      </c>
      <c r="AL234" s="8">
        <v>75</v>
      </c>
      <c r="AM234" s="8">
        <v>78</v>
      </c>
      <c r="AN234" s="8">
        <v>78</v>
      </c>
      <c r="AO234" s="38">
        <v>299</v>
      </c>
      <c r="AP234" s="8">
        <v>86</v>
      </c>
      <c r="AQ234" s="8">
        <v>98</v>
      </c>
      <c r="AR234" s="8">
        <v>88</v>
      </c>
      <c r="AS234" s="8">
        <v>93</v>
      </c>
      <c r="AT234" s="38">
        <v>365</v>
      </c>
      <c r="AU234" s="8">
        <v>100</v>
      </c>
      <c r="AV234" s="8">
        <v>93</v>
      </c>
      <c r="AW234" s="8">
        <v>84</v>
      </c>
      <c r="AX234" s="8">
        <v>102</v>
      </c>
      <c r="AY234" s="38">
        <v>379</v>
      </c>
      <c r="AZ234" s="8">
        <v>111</v>
      </c>
      <c r="BA234" s="8">
        <v>107.6</v>
      </c>
      <c r="BB234" s="8">
        <v>102</v>
      </c>
      <c r="BC234" s="8">
        <v>129</v>
      </c>
      <c r="BD234" s="38">
        <v>449.6</v>
      </c>
      <c r="BE234" s="8">
        <v>119</v>
      </c>
      <c r="BF234" s="8">
        <v>120</v>
      </c>
      <c r="BG234" s="8"/>
      <c r="BH234" s="8"/>
      <c r="BI234" s="38"/>
      <c r="BJ234" s="8"/>
      <c r="BK234" s="8"/>
      <c r="BL234" s="8"/>
      <c r="BM234" s="8"/>
      <c r="BN234" s="38"/>
      <c r="BO234" s="8"/>
      <c r="BP234" s="8"/>
      <c r="BQ234" s="8"/>
      <c r="BR234" s="8"/>
      <c r="BS234" s="38"/>
      <c r="BT234" s="8"/>
      <c r="BU234" s="8"/>
      <c r="BV234" s="8"/>
      <c r="BW234" s="8"/>
      <c r="BX234" s="38"/>
      <c r="BY234" s="8"/>
      <c r="BZ234" s="8"/>
      <c r="CA234" s="8"/>
      <c r="CB234" s="8"/>
      <c r="CC234" s="38"/>
      <c r="CD234" s="8"/>
      <c r="CE234" s="8"/>
      <c r="CF234" s="8"/>
      <c r="CG234" s="8"/>
      <c r="CH234" s="38"/>
      <c r="CI234" s="8"/>
      <c r="CJ234" s="8"/>
      <c r="CK234" s="8"/>
      <c r="CL234" s="8"/>
      <c r="CM234" s="38"/>
      <c r="CN234" s="8"/>
      <c r="CO234" s="8"/>
      <c r="CP234" s="8"/>
      <c r="CQ234" s="8"/>
      <c r="CR234" s="38"/>
      <c r="CS234" s="8"/>
      <c r="CT234" s="8"/>
      <c r="CU234" s="8"/>
      <c r="CV234" s="8"/>
      <c r="CW234" s="38"/>
      <c r="CX234" s="8"/>
      <c r="CY234" s="8"/>
      <c r="CZ234" s="8"/>
      <c r="DA234" s="8"/>
      <c r="DB234" s="38"/>
      <c r="DC234" s="8"/>
      <c r="DD234" s="8"/>
      <c r="DE234" s="8"/>
      <c r="DF234" s="8"/>
      <c r="DG234" s="363"/>
      <c r="DH234" s="8"/>
      <c r="DI234" s="8"/>
      <c r="DJ234" s="8"/>
      <c r="DK234" s="8"/>
      <c r="DL234" s="363"/>
      <c r="DM234" s="8"/>
      <c r="DN234" s="8"/>
      <c r="DO234" s="8"/>
      <c r="DP234" s="8"/>
      <c r="DQ234" s="363"/>
      <c r="DR234" s="8"/>
      <c r="DS234" s="8"/>
      <c r="DT234" s="116"/>
      <c r="DU234" s="8"/>
      <c r="DV234" s="363"/>
      <c r="DW234" s="8"/>
      <c r="DX234" s="8"/>
      <c r="DY234" s="116"/>
      <c r="DZ234" s="8"/>
      <c r="EA234" s="363"/>
      <c r="EB234" s="8"/>
      <c r="EC234" s="8"/>
      <c r="ED234" s="116"/>
      <c r="EE234" s="8"/>
      <c r="EF234" s="363"/>
      <c r="EG234" s="8"/>
      <c r="EH234" s="8"/>
      <c r="EI234" s="116"/>
      <c r="EJ234" s="8"/>
      <c r="EK234" s="363"/>
      <c r="EL234" s="8"/>
      <c r="EM234" s="8"/>
      <c r="EN234" s="116"/>
      <c r="EO234" s="8"/>
      <c r="EP234" s="363"/>
      <c r="EQ234" s="8"/>
      <c r="ER234" s="116"/>
      <c r="ES234" s="116"/>
      <c r="ET234" s="116"/>
      <c r="EU234" s="363"/>
      <c r="EV234" s="116"/>
      <c r="EW234" s="116"/>
      <c r="EX234" s="116"/>
      <c r="EY234" s="116"/>
      <c r="EZ234" s="363"/>
      <c r="FA234" s="116"/>
      <c r="FB234" s="116"/>
      <c r="FC234" s="116"/>
      <c r="FD234" s="116"/>
      <c r="FE234" s="363"/>
      <c r="FF234" s="83"/>
      <c r="FG234" s="489"/>
      <c r="FH234" s="776"/>
      <c r="FI234" s="776"/>
      <c r="FJ234" s="776"/>
      <c r="FK234" s="83"/>
      <c r="FL234" s="1346"/>
      <c r="FM234" s="116">
        <f t="shared" si="1109"/>
        <v>0</v>
      </c>
      <c r="FN234" s="1428">
        <f t="shared" si="1110"/>
        <v>0</v>
      </c>
      <c r="FO234" s="1875"/>
      <c r="FP234" s="1762"/>
      <c r="FQ234" s="739"/>
      <c r="FR234" s="1619"/>
      <c r="FS234" s="1619"/>
      <c r="FT234" s="354"/>
      <c r="FU234" s="354"/>
      <c r="FV234" s="354"/>
      <c r="FW234" s="354"/>
      <c r="FX234" s="354"/>
      <c r="FY234" s="354"/>
      <c r="FZ234" s="489"/>
      <c r="GA234"/>
      <c r="GB234"/>
      <c r="GC234"/>
      <c r="GD234"/>
      <c r="GE234"/>
      <c r="GF234"/>
      <c r="GG234"/>
      <c r="GH234"/>
      <c r="GI234"/>
      <c r="GJ234"/>
      <c r="GK234"/>
      <c r="GL234"/>
      <c r="GM234"/>
      <c r="GN234"/>
      <c r="GO234"/>
      <c r="GP234"/>
      <c r="GQ234"/>
      <c r="GR234"/>
      <c r="GS234"/>
      <c r="GT234"/>
      <c r="GU234"/>
      <c r="GV234"/>
      <c r="GW234"/>
      <c r="GX234"/>
      <c r="GY234"/>
      <c r="GZ234"/>
      <c r="HA234"/>
      <c r="HB234"/>
      <c r="HC234"/>
      <c r="HD234"/>
      <c r="HE234"/>
      <c r="HF234"/>
      <c r="HG234"/>
      <c r="HH234"/>
      <c r="HI234"/>
      <c r="HJ234"/>
      <c r="HK234"/>
      <c r="HL234"/>
      <c r="HM234"/>
      <c r="HN234"/>
      <c r="HO234"/>
      <c r="HP234"/>
      <c r="HQ234"/>
      <c r="HR234"/>
      <c r="HS234"/>
      <c r="HT234"/>
      <c r="HU234"/>
      <c r="HV234"/>
      <c r="HW234"/>
      <c r="HX234"/>
      <c r="HY234"/>
      <c r="HZ234"/>
      <c r="IA234"/>
      <c r="IB234"/>
      <c r="IC234"/>
      <c r="ID234"/>
      <c r="IE234"/>
      <c r="IF234"/>
      <c r="IG234"/>
      <c r="IH234"/>
      <c r="II234"/>
      <c r="IJ234"/>
      <c r="IK234"/>
      <c r="IL234"/>
      <c r="IM234"/>
      <c r="IN234"/>
      <c r="IO234"/>
      <c r="IP234"/>
      <c r="IQ234"/>
      <c r="IR234"/>
      <c r="IS234"/>
      <c r="IT234"/>
      <c r="IU234"/>
      <c r="IV234"/>
      <c r="IW234"/>
      <c r="IX234"/>
    </row>
    <row r="235" spans="1:258" s="175" customFormat="1" hidden="1" x14ac:dyDescent="0.2">
      <c r="A235" s="37" t="s">
        <v>374</v>
      </c>
      <c r="B235" s="63"/>
      <c r="C235" s="63"/>
      <c r="D235" s="63"/>
      <c r="E235" s="63"/>
      <c r="F235" s="64"/>
      <c r="G235" s="63"/>
      <c r="H235" s="63"/>
      <c r="I235" s="63"/>
      <c r="J235" s="63"/>
      <c r="K235" s="64"/>
      <c r="L235" s="63"/>
      <c r="M235" s="63"/>
      <c r="N235" s="63"/>
      <c r="O235" s="63"/>
      <c r="P235" s="64"/>
      <c r="Q235" s="63">
        <v>-35</v>
      </c>
      <c r="R235" s="63">
        <v>-11</v>
      </c>
      <c r="S235" s="63">
        <v>12</v>
      </c>
      <c r="T235" s="63">
        <v>4</v>
      </c>
      <c r="U235" s="64">
        <v>-30</v>
      </c>
      <c r="V235" s="63">
        <v>1</v>
      </c>
      <c r="W235" s="63">
        <v>33</v>
      </c>
      <c r="X235" s="63">
        <v>36</v>
      </c>
      <c r="Y235" s="63">
        <v>34</v>
      </c>
      <c r="Z235" s="64">
        <v>104</v>
      </c>
      <c r="AA235" s="63">
        <v>5</v>
      </c>
      <c r="AB235" s="63">
        <v>38</v>
      </c>
      <c r="AC235" s="63">
        <v>59</v>
      </c>
      <c r="AD235" s="63">
        <v>38</v>
      </c>
      <c r="AE235" s="64">
        <v>140</v>
      </c>
      <c r="AF235" s="63">
        <v>-7</v>
      </c>
      <c r="AG235" s="63">
        <v>-8</v>
      </c>
      <c r="AH235" s="63">
        <v>-4</v>
      </c>
      <c r="AI235" s="63">
        <v>-4</v>
      </c>
      <c r="AJ235" s="64">
        <v>-23</v>
      </c>
      <c r="AK235" s="63">
        <v>-5</v>
      </c>
      <c r="AL235" s="63">
        <v>-7</v>
      </c>
      <c r="AM235" s="63">
        <v>-5</v>
      </c>
      <c r="AN235" s="63">
        <v>-5</v>
      </c>
      <c r="AO235" s="64">
        <v>-22</v>
      </c>
      <c r="AP235" s="63">
        <v>-5</v>
      </c>
      <c r="AQ235" s="63">
        <v>-6</v>
      </c>
      <c r="AR235" s="63">
        <v>-15</v>
      </c>
      <c r="AS235" s="63">
        <v>-9</v>
      </c>
      <c r="AT235" s="64">
        <v>-35</v>
      </c>
      <c r="AU235" s="63">
        <v>-9</v>
      </c>
      <c r="AV235" s="63">
        <v>-8</v>
      </c>
      <c r="AW235" s="63">
        <v>-8</v>
      </c>
      <c r="AX235" s="63">
        <v>-5</v>
      </c>
      <c r="AY235" s="64">
        <v>-30</v>
      </c>
      <c r="AZ235" s="63">
        <v>-18</v>
      </c>
      <c r="BA235" s="63">
        <v>-19</v>
      </c>
      <c r="BB235" s="63">
        <v>-12</v>
      </c>
      <c r="BC235" s="63">
        <v>-15</v>
      </c>
      <c r="BD235" s="64">
        <v>-64</v>
      </c>
      <c r="BE235" s="63">
        <v>-18</v>
      </c>
      <c r="BF235" s="63">
        <v>-17</v>
      </c>
      <c r="BG235" s="63">
        <v>-5</v>
      </c>
      <c r="BH235" s="63">
        <v>-5</v>
      </c>
      <c r="BI235" s="64"/>
      <c r="BJ235" s="63">
        <v>-5</v>
      </c>
      <c r="BK235" s="63">
        <v>2</v>
      </c>
      <c r="BL235" s="63">
        <v>-1</v>
      </c>
      <c r="BM235" s="63">
        <v>-5</v>
      </c>
      <c r="BN235" s="64"/>
      <c r="BO235" s="63">
        <v>-5</v>
      </c>
      <c r="BP235" s="63">
        <v>-8</v>
      </c>
      <c r="BQ235" s="63">
        <v>-10</v>
      </c>
      <c r="BR235" s="63">
        <v>-4</v>
      </c>
      <c r="BS235" s="64"/>
      <c r="BT235" s="63">
        <v>127</v>
      </c>
      <c r="BU235" s="63">
        <v>1</v>
      </c>
      <c r="BV235" s="63">
        <v>0</v>
      </c>
      <c r="BW235" s="63">
        <v>0</v>
      </c>
      <c r="BX235" s="64"/>
      <c r="BY235" s="63">
        <v>0</v>
      </c>
      <c r="BZ235" s="63">
        <v>0</v>
      </c>
      <c r="CA235" s="63">
        <v>0</v>
      </c>
      <c r="CB235" s="63">
        <v>2</v>
      </c>
      <c r="CC235" s="64"/>
      <c r="CD235" s="63">
        <v>3</v>
      </c>
      <c r="CE235" s="63">
        <v>9</v>
      </c>
      <c r="CF235" s="63">
        <v>0</v>
      </c>
      <c r="CG235" s="63">
        <v>0</v>
      </c>
      <c r="CH235" s="64"/>
      <c r="CI235" s="63">
        <v>9</v>
      </c>
      <c r="CJ235" s="63">
        <v>1</v>
      </c>
      <c r="CK235" s="63">
        <v>0</v>
      </c>
      <c r="CL235" s="63">
        <v>2</v>
      </c>
      <c r="CM235" s="64"/>
      <c r="CN235" s="63">
        <v>1</v>
      </c>
      <c r="CO235" s="63">
        <v>1</v>
      </c>
      <c r="CP235" s="63">
        <v>3</v>
      </c>
      <c r="CQ235" s="63">
        <v>0</v>
      </c>
      <c r="CR235" s="64"/>
      <c r="CS235" s="63"/>
      <c r="CT235" s="63"/>
      <c r="CU235" s="63"/>
      <c r="CV235" s="63"/>
      <c r="CW235" s="64"/>
      <c r="CX235" s="63"/>
      <c r="CY235" s="63"/>
      <c r="CZ235" s="63"/>
      <c r="DA235" s="63"/>
      <c r="DB235" s="64"/>
      <c r="DC235" s="63"/>
      <c r="DD235" s="63"/>
      <c r="DE235" s="63"/>
      <c r="DF235" s="63"/>
      <c r="DG235" s="64"/>
      <c r="DH235" s="63"/>
      <c r="DI235" s="63"/>
      <c r="DJ235" s="63"/>
      <c r="DK235" s="63"/>
      <c r="DL235" s="64"/>
      <c r="DM235" s="63"/>
      <c r="DN235" s="63"/>
      <c r="DO235" s="63"/>
      <c r="DP235" s="63"/>
      <c r="DQ235" s="64"/>
      <c r="DR235" s="63"/>
      <c r="DS235" s="63"/>
      <c r="DT235" s="63"/>
      <c r="DU235" s="63"/>
      <c r="DV235" s="64"/>
      <c r="DW235" s="63"/>
      <c r="DX235" s="63"/>
      <c r="DY235" s="63"/>
      <c r="DZ235" s="63"/>
      <c r="EA235" s="64"/>
      <c r="EB235" s="63"/>
      <c r="EC235" s="63"/>
      <c r="ED235" s="63"/>
      <c r="EE235" s="63"/>
      <c r="EF235" s="64"/>
      <c r="EG235" s="63"/>
      <c r="EH235" s="63"/>
      <c r="EI235" s="63"/>
      <c r="EJ235" s="63"/>
      <c r="EK235" s="64"/>
      <c r="EL235" s="63"/>
      <c r="EM235" s="63"/>
      <c r="EN235" s="63"/>
      <c r="EO235" s="63"/>
      <c r="EP235" s="64"/>
      <c r="EQ235" s="63"/>
      <c r="ER235" s="103"/>
      <c r="ES235" s="103"/>
      <c r="ET235" s="103"/>
      <c r="EU235" s="64"/>
      <c r="EV235" s="103"/>
      <c r="EW235" s="103"/>
      <c r="EX235" s="103"/>
      <c r="EY235" s="103"/>
      <c r="EZ235" s="64"/>
      <c r="FA235" s="103"/>
      <c r="FB235" s="103"/>
      <c r="FC235" s="103"/>
      <c r="FD235" s="103"/>
      <c r="FE235" s="64"/>
      <c r="FG235" s="489"/>
      <c r="FH235" s="777"/>
      <c r="FI235" s="777"/>
      <c r="FJ235" s="777"/>
      <c r="FL235" s="1347"/>
      <c r="FM235" s="103">
        <f t="shared" si="1109"/>
        <v>0</v>
      </c>
      <c r="FN235" s="1472">
        <f t="shared" si="1110"/>
        <v>0</v>
      </c>
      <c r="FO235" s="1740"/>
      <c r="FP235" s="1767"/>
      <c r="FQ235" s="732"/>
      <c r="FR235" s="1619"/>
      <c r="FS235" s="1619"/>
      <c r="FT235" s="355"/>
      <c r="FU235" s="355"/>
      <c r="FV235" s="355"/>
      <c r="FW235" s="355"/>
      <c r="FX235" s="355"/>
      <c r="FY235" s="355"/>
      <c r="FZ235" s="489"/>
      <c r="GA235"/>
      <c r="GB235"/>
      <c r="GC235"/>
      <c r="GD235"/>
      <c r="GE235"/>
      <c r="GF235"/>
      <c r="GG235"/>
      <c r="GH235"/>
      <c r="GI235"/>
      <c r="GJ235"/>
      <c r="GK235"/>
      <c r="GL235"/>
      <c r="GM235"/>
      <c r="GN235"/>
      <c r="GO235"/>
      <c r="GP235"/>
      <c r="GQ235"/>
      <c r="GR235"/>
      <c r="GS235"/>
      <c r="GT235"/>
      <c r="GU235"/>
      <c r="GV235"/>
      <c r="GW235"/>
      <c r="GX235"/>
      <c r="GY235"/>
      <c r="GZ235"/>
      <c r="HA235"/>
      <c r="HB235"/>
      <c r="HC235"/>
      <c r="HD235"/>
      <c r="HE235"/>
      <c r="HF235"/>
      <c r="HG235"/>
      <c r="HH235"/>
      <c r="HI235"/>
      <c r="HJ235"/>
      <c r="HK235"/>
      <c r="HL235"/>
      <c r="HM235"/>
      <c r="HN235"/>
      <c r="HO235"/>
      <c r="HP235"/>
      <c r="HQ235"/>
      <c r="HR235"/>
      <c r="HS235"/>
      <c r="HT235"/>
      <c r="HU235"/>
      <c r="HV235"/>
      <c r="HW235"/>
      <c r="HX235"/>
      <c r="HY235"/>
      <c r="HZ235"/>
      <c r="IA235"/>
      <c r="IB235"/>
      <c r="IC235"/>
      <c r="ID235"/>
      <c r="IE235"/>
      <c r="IF235"/>
      <c r="IG235"/>
      <c r="IH235"/>
      <c r="II235"/>
      <c r="IJ235"/>
      <c r="IK235"/>
      <c r="IL235"/>
      <c r="IM235"/>
      <c r="IN235"/>
      <c r="IO235"/>
      <c r="IP235"/>
      <c r="IQ235"/>
      <c r="IR235"/>
      <c r="IS235"/>
      <c r="IT235"/>
      <c r="IU235"/>
      <c r="IV235"/>
      <c r="IW235"/>
      <c r="IX235"/>
    </row>
    <row r="236" spans="1:258" s="175" customFormat="1" hidden="1" x14ac:dyDescent="0.2">
      <c r="A236" s="37" t="s">
        <v>375</v>
      </c>
      <c r="B236" s="63"/>
      <c r="C236" s="63"/>
      <c r="D236" s="63"/>
      <c r="E236" s="63"/>
      <c r="F236" s="64"/>
      <c r="G236" s="63"/>
      <c r="H236" s="63"/>
      <c r="I236" s="63"/>
      <c r="J236" s="63"/>
      <c r="K236" s="64"/>
      <c r="L236" s="63"/>
      <c r="M236" s="63"/>
      <c r="N236" s="63"/>
      <c r="O236" s="63"/>
      <c r="P236" s="64"/>
      <c r="Q236" s="63">
        <v>-14</v>
      </c>
      <c r="R236" s="63">
        <v>-3</v>
      </c>
      <c r="S236" s="63">
        <v>4</v>
      </c>
      <c r="T236" s="63">
        <v>1</v>
      </c>
      <c r="U236" s="64">
        <v>-12</v>
      </c>
      <c r="V236" s="63">
        <v>20</v>
      </c>
      <c r="W236" s="63">
        <v>47</v>
      </c>
      <c r="X236" s="63">
        <v>34</v>
      </c>
      <c r="Y236" s="63">
        <v>34</v>
      </c>
      <c r="Z236" s="64">
        <v>135</v>
      </c>
      <c r="AA236" s="63">
        <v>29</v>
      </c>
      <c r="AB236" s="63">
        <v>37</v>
      </c>
      <c r="AC236" s="63">
        <v>44</v>
      </c>
      <c r="AD236" s="63">
        <v>38</v>
      </c>
      <c r="AE236" s="64">
        <v>148</v>
      </c>
      <c r="AF236" s="63">
        <v>16</v>
      </c>
      <c r="AG236" s="63">
        <v>5</v>
      </c>
      <c r="AH236" s="63">
        <v>12</v>
      </c>
      <c r="AI236" s="63">
        <v>14</v>
      </c>
      <c r="AJ236" s="64">
        <v>47</v>
      </c>
      <c r="AK236" s="63">
        <v>11</v>
      </c>
      <c r="AL236" s="63">
        <v>16</v>
      </c>
      <c r="AM236" s="63">
        <v>19</v>
      </c>
      <c r="AN236" s="63">
        <v>19</v>
      </c>
      <c r="AO236" s="64">
        <v>65</v>
      </c>
      <c r="AP236" s="63">
        <v>7</v>
      </c>
      <c r="AQ236" s="63">
        <v>14</v>
      </c>
      <c r="AR236" s="63">
        <v>1</v>
      </c>
      <c r="AS236" s="63">
        <v>6</v>
      </c>
      <c r="AT236" s="64">
        <v>28</v>
      </c>
      <c r="AU236" s="63">
        <v>8</v>
      </c>
      <c r="AV236" s="63">
        <v>10</v>
      </c>
      <c r="AW236" s="63">
        <v>16</v>
      </c>
      <c r="AX236" s="63">
        <v>2</v>
      </c>
      <c r="AY236" s="64">
        <v>36</v>
      </c>
      <c r="AZ236" s="63">
        <v>0</v>
      </c>
      <c r="BA236" s="63">
        <v>-4</v>
      </c>
      <c r="BB236" s="63">
        <v>-4</v>
      </c>
      <c r="BC236" s="63">
        <v>11</v>
      </c>
      <c r="BD236" s="64">
        <v>3</v>
      </c>
      <c r="BE236" s="63">
        <v>-18</v>
      </c>
      <c r="BF236" s="63">
        <v>-27</v>
      </c>
      <c r="BG236" s="63">
        <v>-13</v>
      </c>
      <c r="BH236" s="63">
        <v>-8</v>
      </c>
      <c r="BI236" s="64"/>
      <c r="BJ236" s="63">
        <v>-3</v>
      </c>
      <c r="BK236" s="63">
        <v>4</v>
      </c>
      <c r="BL236" s="63">
        <v>-9</v>
      </c>
      <c r="BM236" s="63">
        <v>-8</v>
      </c>
      <c r="BN236" s="64"/>
      <c r="BO236" s="63">
        <v>-11</v>
      </c>
      <c r="BP236" s="63">
        <v>-11</v>
      </c>
      <c r="BQ236" s="63">
        <v>-19</v>
      </c>
      <c r="BR236" s="63">
        <v>-11</v>
      </c>
      <c r="BS236" s="64"/>
      <c r="BT236" s="63">
        <v>134</v>
      </c>
      <c r="BU236" s="63">
        <v>-8</v>
      </c>
      <c r="BV236" s="63">
        <v>-9</v>
      </c>
      <c r="BW236" s="63">
        <v>-6</v>
      </c>
      <c r="BX236" s="64"/>
      <c r="BY236" s="63">
        <v>-8</v>
      </c>
      <c r="BZ236" s="63">
        <v>-5</v>
      </c>
      <c r="CA236" s="63">
        <v>-9</v>
      </c>
      <c r="CB236" s="63">
        <v>0</v>
      </c>
      <c r="CC236" s="64"/>
      <c r="CD236" s="63">
        <v>0</v>
      </c>
      <c r="CE236" s="63">
        <v>0</v>
      </c>
      <c r="CF236" s="63">
        <v>8</v>
      </c>
      <c r="CG236" s="63">
        <v>3</v>
      </c>
      <c r="CH236" s="64"/>
      <c r="CI236" s="63">
        <v>0</v>
      </c>
      <c r="CJ236" s="63">
        <v>0</v>
      </c>
      <c r="CK236" s="63">
        <v>0</v>
      </c>
      <c r="CL236" s="63">
        <v>0</v>
      </c>
      <c r="CM236" s="64"/>
      <c r="CN236" s="63">
        <v>0</v>
      </c>
      <c r="CO236" s="63">
        <v>0</v>
      </c>
      <c r="CP236" s="63">
        <v>0</v>
      </c>
      <c r="CQ236" s="63">
        <v>0</v>
      </c>
      <c r="CR236" s="64"/>
      <c r="CS236" s="63"/>
      <c r="CT236" s="63"/>
      <c r="CU236" s="63"/>
      <c r="CV236" s="63"/>
      <c r="CW236" s="64"/>
      <c r="CX236" s="63"/>
      <c r="CY236" s="63"/>
      <c r="CZ236" s="63"/>
      <c r="DA236" s="63"/>
      <c r="DB236" s="64"/>
      <c r="DC236" s="63"/>
      <c r="DD236" s="63"/>
      <c r="DE236" s="63"/>
      <c r="DF236" s="63"/>
      <c r="DG236" s="64"/>
      <c r="DH236" s="63"/>
      <c r="DI236" s="63"/>
      <c r="DJ236" s="63"/>
      <c r="DK236" s="63"/>
      <c r="DL236" s="64"/>
      <c r="DM236" s="63"/>
      <c r="DN236" s="63"/>
      <c r="DO236" s="63"/>
      <c r="DP236" s="63"/>
      <c r="DQ236" s="64"/>
      <c r="DR236" s="63"/>
      <c r="DS236" s="63"/>
      <c r="DT236" s="63"/>
      <c r="DU236" s="63"/>
      <c r="DV236" s="64"/>
      <c r="DW236" s="63"/>
      <c r="DX236" s="63"/>
      <c r="DY236" s="63"/>
      <c r="DZ236" s="63"/>
      <c r="EA236" s="64"/>
      <c r="EB236" s="63"/>
      <c r="EC236" s="63"/>
      <c r="ED236" s="63"/>
      <c r="EE236" s="63"/>
      <c r="EF236" s="64"/>
      <c r="EG236" s="63"/>
      <c r="EH236" s="63"/>
      <c r="EI236" s="63"/>
      <c r="EJ236" s="63"/>
      <c r="EK236" s="64"/>
      <c r="EL236" s="63"/>
      <c r="EM236" s="63"/>
      <c r="EN236" s="63"/>
      <c r="EO236" s="63"/>
      <c r="EP236" s="64"/>
      <c r="EQ236" s="63"/>
      <c r="ER236" s="103"/>
      <c r="ES236" s="103"/>
      <c r="ET236" s="103"/>
      <c r="EU236" s="64"/>
      <c r="EV236" s="103"/>
      <c r="EW236" s="103"/>
      <c r="EX236" s="103"/>
      <c r="EY236" s="103"/>
      <c r="EZ236" s="64"/>
      <c r="FA236" s="103"/>
      <c r="FB236" s="103"/>
      <c r="FC236" s="103"/>
      <c r="FD236" s="103"/>
      <c r="FE236" s="64"/>
      <c r="FG236" s="489"/>
      <c r="FH236" s="777"/>
      <c r="FI236" s="777"/>
      <c r="FJ236" s="777"/>
      <c r="FL236" s="1347"/>
      <c r="FM236" s="103">
        <f t="shared" si="1109"/>
        <v>0</v>
      </c>
      <c r="FN236" s="1472">
        <f t="shared" si="1110"/>
        <v>0</v>
      </c>
      <c r="FO236" s="1740"/>
      <c r="FP236" s="1767"/>
      <c r="FQ236" s="732"/>
      <c r="FR236" s="1619"/>
      <c r="FS236" s="1619"/>
      <c r="FT236" s="355"/>
      <c r="FU236" s="355"/>
      <c r="FV236" s="355"/>
      <c r="FW236" s="355"/>
      <c r="FX236" s="355"/>
      <c r="FY236" s="355"/>
      <c r="FZ236" s="489"/>
      <c r="GA236"/>
      <c r="GB236"/>
      <c r="GC236"/>
      <c r="GD236"/>
      <c r="GE236"/>
      <c r="GF236"/>
      <c r="GG236"/>
      <c r="GH236"/>
      <c r="GI236"/>
      <c r="GJ236"/>
      <c r="GK236"/>
      <c r="GL236"/>
      <c r="GM236"/>
      <c r="GN236"/>
      <c r="GO236"/>
      <c r="GP236"/>
      <c r="GQ236"/>
      <c r="GR236"/>
      <c r="GS236"/>
      <c r="GT236"/>
      <c r="GU236"/>
      <c r="GV236"/>
      <c r="GW236"/>
      <c r="GX236"/>
      <c r="GY236"/>
      <c r="GZ236"/>
      <c r="HA236"/>
      <c r="HB236"/>
      <c r="HC236"/>
      <c r="HD236"/>
      <c r="HE236"/>
      <c r="HF236"/>
      <c r="HG236"/>
      <c r="HH236"/>
      <c r="HI236"/>
      <c r="HJ236"/>
      <c r="HK236"/>
      <c r="HL236"/>
      <c r="HM236"/>
      <c r="HN236"/>
      <c r="HO236"/>
      <c r="HP236"/>
      <c r="HQ236"/>
      <c r="HR236"/>
      <c r="HS236"/>
      <c r="HT236"/>
      <c r="HU236"/>
      <c r="HV236"/>
      <c r="HW236"/>
      <c r="HX236"/>
      <c r="HY236"/>
      <c r="HZ236"/>
      <c r="IA236"/>
      <c r="IB236"/>
      <c r="IC236"/>
      <c r="ID236"/>
      <c r="IE236"/>
      <c r="IF236"/>
      <c r="IG236"/>
      <c r="IH236"/>
      <c r="II236"/>
      <c r="IJ236"/>
      <c r="IK236"/>
      <c r="IL236"/>
      <c r="IM236"/>
      <c r="IN236"/>
      <c r="IO236"/>
      <c r="IP236"/>
      <c r="IQ236"/>
      <c r="IR236"/>
      <c r="IS236"/>
      <c r="IT236"/>
      <c r="IU236"/>
      <c r="IV236"/>
      <c r="IW236"/>
      <c r="IX236"/>
    </row>
    <row r="237" spans="1:258" s="419" customFormat="1" x14ac:dyDescent="0.2">
      <c r="A237" s="414" t="s">
        <v>417</v>
      </c>
      <c r="B237" s="415"/>
      <c r="C237" s="415"/>
      <c r="D237" s="415"/>
      <c r="E237" s="415"/>
      <c r="F237" s="416"/>
      <c r="G237" s="415"/>
      <c r="H237" s="415"/>
      <c r="I237" s="415"/>
      <c r="J237" s="415"/>
      <c r="K237" s="416"/>
      <c r="L237" s="415"/>
      <c r="M237" s="415"/>
      <c r="N237" s="415"/>
      <c r="O237" s="415"/>
      <c r="P237" s="416"/>
      <c r="Q237" s="415"/>
      <c r="R237" s="415"/>
      <c r="S237" s="415"/>
      <c r="T237" s="415"/>
      <c r="U237" s="416"/>
      <c r="V237" s="415"/>
      <c r="W237" s="415"/>
      <c r="X237" s="415"/>
      <c r="Y237" s="415"/>
      <c r="Z237" s="416"/>
      <c r="AA237" s="415"/>
      <c r="AB237" s="415"/>
      <c r="AC237" s="415"/>
      <c r="AD237" s="415"/>
      <c r="AE237" s="416"/>
      <c r="AF237" s="415"/>
      <c r="AG237" s="415"/>
      <c r="AH237" s="415"/>
      <c r="AI237" s="415"/>
      <c r="AJ237" s="416"/>
      <c r="AK237" s="415"/>
      <c r="AL237" s="415"/>
      <c r="AM237" s="415"/>
      <c r="AN237" s="415"/>
      <c r="AO237" s="416"/>
      <c r="AP237" s="415"/>
      <c r="AQ237" s="415"/>
      <c r="AR237" s="415"/>
      <c r="AS237" s="415"/>
      <c r="AT237" s="416"/>
      <c r="AU237" s="415"/>
      <c r="AV237" s="415"/>
      <c r="AW237" s="415"/>
      <c r="AX237" s="415"/>
      <c r="AY237" s="416"/>
      <c r="AZ237" s="415"/>
      <c r="BA237" s="415"/>
      <c r="BB237" s="415"/>
      <c r="BC237" s="415"/>
      <c r="BD237" s="416"/>
      <c r="BE237" s="415"/>
      <c r="BF237" s="415"/>
      <c r="BG237" s="415"/>
      <c r="BH237" s="415"/>
      <c r="BI237" s="416"/>
      <c r="BJ237" s="415"/>
      <c r="BK237" s="415"/>
      <c r="BL237" s="415"/>
      <c r="BM237" s="415"/>
      <c r="BN237" s="416"/>
      <c r="BO237" s="415"/>
      <c r="BP237" s="415"/>
      <c r="BQ237" s="415"/>
      <c r="BR237" s="415"/>
      <c r="BS237" s="416"/>
      <c r="BT237" s="415"/>
      <c r="BU237" s="415"/>
      <c r="BV237" s="415"/>
      <c r="BW237" s="415"/>
      <c r="BX237" s="416"/>
      <c r="BY237" s="415"/>
      <c r="BZ237" s="415"/>
      <c r="CA237" s="415"/>
      <c r="CB237" s="415"/>
      <c r="CC237" s="416"/>
      <c r="CD237" s="415"/>
      <c r="CE237" s="415"/>
      <c r="CF237" s="415"/>
      <c r="CG237" s="415"/>
      <c r="CH237" s="416"/>
      <c r="CI237" s="415"/>
      <c r="CJ237" s="415"/>
      <c r="CK237" s="415"/>
      <c r="CL237" s="415"/>
      <c r="CM237" s="416"/>
      <c r="CN237" s="415"/>
      <c r="CO237" s="415"/>
      <c r="CP237" s="415"/>
      <c r="CQ237" s="415"/>
      <c r="CR237" s="416"/>
      <c r="CS237" s="415"/>
      <c r="CT237" s="415"/>
      <c r="CU237" s="415"/>
      <c r="CV237" s="415"/>
      <c r="CW237" s="416"/>
      <c r="CX237" s="415"/>
      <c r="CY237" s="415"/>
      <c r="CZ237" s="415"/>
      <c r="DA237" s="415"/>
      <c r="DB237" s="416"/>
      <c r="DC237" s="415"/>
      <c r="DD237" s="415"/>
      <c r="DE237" s="415"/>
      <c r="DF237" s="415"/>
      <c r="DG237" s="416"/>
      <c r="DH237" s="415"/>
      <c r="DI237" s="415"/>
      <c r="DJ237" s="415"/>
      <c r="DK237" s="415"/>
      <c r="DL237" s="416"/>
      <c r="DM237" s="415"/>
      <c r="DN237" s="415"/>
      <c r="DO237" s="415"/>
      <c r="DP237" s="415"/>
      <c r="DQ237" s="885"/>
      <c r="DR237" s="415"/>
      <c r="DS237" s="415"/>
      <c r="DT237" s="415"/>
      <c r="DU237" s="415"/>
      <c r="DV237" s="885"/>
      <c r="DW237" s="415"/>
      <c r="DX237" s="415"/>
      <c r="DY237" s="415"/>
      <c r="DZ237" s="415"/>
      <c r="EA237" s="885"/>
      <c r="EB237" s="415"/>
      <c r="EC237" s="415"/>
      <c r="ED237" s="415"/>
      <c r="EE237" s="415"/>
      <c r="EF237" s="885"/>
      <c r="EG237" s="415"/>
      <c r="EH237" s="415"/>
      <c r="EI237" s="415"/>
      <c r="EJ237" s="415"/>
      <c r="EK237" s="885"/>
      <c r="EL237" s="415"/>
      <c r="EM237" s="415"/>
      <c r="EN237" s="415"/>
      <c r="EO237" s="415"/>
      <c r="EP237" s="885"/>
      <c r="EQ237" s="415"/>
      <c r="ER237" s="1913"/>
      <c r="ES237" s="1913"/>
      <c r="ET237" s="1913"/>
      <c r="EU237" s="416"/>
      <c r="EV237" s="417"/>
      <c r="EW237" s="417"/>
      <c r="EX237" s="417"/>
      <c r="EY237" s="417"/>
      <c r="EZ237" s="416"/>
      <c r="FA237" s="417"/>
      <c r="FB237" s="417"/>
      <c r="FC237" s="417"/>
      <c r="FD237" s="417"/>
      <c r="FE237" s="416"/>
      <c r="FF237" s="418"/>
      <c r="FG237" s="489"/>
      <c r="FH237" s="800"/>
      <c r="FI237" s="800"/>
      <c r="FJ237" s="800"/>
      <c r="FK237" s="418"/>
      <c r="FL237" s="1366"/>
      <c r="FM237" s="417"/>
      <c r="FN237" s="1473"/>
      <c r="FO237" s="1876"/>
      <c r="FP237" s="1769"/>
      <c r="FQ237" s="742"/>
      <c r="FR237" s="1618"/>
      <c r="FS237" s="1618"/>
      <c r="FT237" s="446"/>
      <c r="FU237" s="446"/>
      <c r="FV237" s="446"/>
      <c r="FW237" s="446"/>
      <c r="FX237" s="446"/>
      <c r="FY237" s="446"/>
      <c r="FZ237" s="489"/>
      <c r="GA237"/>
      <c r="GB237"/>
      <c r="GC237"/>
      <c r="GD237"/>
      <c r="GE237"/>
      <c r="GF237"/>
      <c r="GG237"/>
      <c r="GH237"/>
      <c r="GI237"/>
      <c r="GJ237"/>
      <c r="GK237"/>
      <c r="GL237"/>
      <c r="GM237"/>
      <c r="GN237"/>
      <c r="GO237"/>
      <c r="GP237"/>
      <c r="GQ237"/>
      <c r="GR237"/>
      <c r="GS237"/>
      <c r="GT237"/>
      <c r="GU237"/>
      <c r="GV237"/>
      <c r="GW237"/>
      <c r="GX237"/>
      <c r="GY237"/>
      <c r="GZ237"/>
      <c r="HA237"/>
      <c r="HB237"/>
      <c r="HC237"/>
      <c r="HD237"/>
      <c r="HE237"/>
      <c r="HF237"/>
      <c r="HG237"/>
      <c r="HH237"/>
      <c r="HI237"/>
      <c r="HJ237"/>
      <c r="HK237"/>
      <c r="HL237"/>
      <c r="HM237"/>
      <c r="HN237"/>
      <c r="HO237"/>
      <c r="HP237"/>
      <c r="HQ237"/>
      <c r="HR237"/>
      <c r="HS237"/>
      <c r="HT237"/>
      <c r="HU237"/>
      <c r="HV237"/>
      <c r="HW237"/>
      <c r="HX237"/>
      <c r="HY237"/>
      <c r="HZ237"/>
      <c r="IA237"/>
      <c r="IB237"/>
      <c r="IC237"/>
      <c r="ID237"/>
      <c r="IE237"/>
      <c r="IF237"/>
      <c r="IG237"/>
      <c r="IH237"/>
      <c r="II237"/>
      <c r="IJ237"/>
      <c r="IK237"/>
      <c r="IL237"/>
      <c r="IM237"/>
      <c r="IN237"/>
      <c r="IO237"/>
      <c r="IP237"/>
      <c r="IQ237"/>
      <c r="IR237"/>
      <c r="IS237"/>
      <c r="IT237"/>
      <c r="IU237"/>
      <c r="IV237"/>
      <c r="IW237"/>
      <c r="IX237"/>
    </row>
    <row r="238" spans="1:258" s="175" customFormat="1" x14ac:dyDescent="0.2">
      <c r="A238" s="603" t="s">
        <v>102</v>
      </c>
      <c r="B238" s="103"/>
      <c r="C238" s="103"/>
      <c r="D238" s="103"/>
      <c r="E238" s="103"/>
      <c r="F238" s="282"/>
      <c r="G238" s="103"/>
      <c r="H238" s="103"/>
      <c r="I238" s="103"/>
      <c r="J238" s="103"/>
      <c r="K238" s="282"/>
      <c r="L238" s="103"/>
      <c r="M238" s="103"/>
      <c r="N238" s="103"/>
      <c r="O238" s="103"/>
      <c r="P238" s="282"/>
      <c r="Q238" s="103">
        <f t="shared" ref="Q238:AV238" si="1159">Q156+Q231+Q233+Q235</f>
        <v>1994</v>
      </c>
      <c r="R238" s="103">
        <f t="shared" si="1159"/>
        <v>2092.300395256917</v>
      </c>
      <c r="S238" s="103">
        <f t="shared" si="1159"/>
        <v>2094.9</v>
      </c>
      <c r="T238" s="103">
        <f t="shared" si="1159"/>
        <v>2121.1</v>
      </c>
      <c r="U238" s="282">
        <f t="shared" si="1159"/>
        <v>8302.3003952569161</v>
      </c>
      <c r="V238" s="103">
        <f t="shared" si="1159"/>
        <v>2023</v>
      </c>
      <c r="W238" s="103">
        <f t="shared" si="1159"/>
        <v>2157</v>
      </c>
      <c r="X238" s="103">
        <f t="shared" si="1159"/>
        <v>2150</v>
      </c>
      <c r="Y238" s="103">
        <f t="shared" si="1159"/>
        <v>2193</v>
      </c>
      <c r="Z238" s="282">
        <f t="shared" si="1159"/>
        <v>8523</v>
      </c>
      <c r="AA238" s="103">
        <f t="shared" si="1159"/>
        <v>2135</v>
      </c>
      <c r="AB238" s="103">
        <f t="shared" si="1159"/>
        <v>2262</v>
      </c>
      <c r="AC238" s="103">
        <f t="shared" si="1159"/>
        <v>2356</v>
      </c>
      <c r="AD238" s="103">
        <f t="shared" si="1159"/>
        <v>2406</v>
      </c>
      <c r="AE238" s="282">
        <f t="shared" si="1159"/>
        <v>9159</v>
      </c>
      <c r="AF238" s="103">
        <f t="shared" si="1159"/>
        <v>2316</v>
      </c>
      <c r="AG238" s="103">
        <f t="shared" si="1159"/>
        <v>2428</v>
      </c>
      <c r="AH238" s="103">
        <f t="shared" si="1159"/>
        <v>2449</v>
      </c>
      <c r="AI238" s="103">
        <f t="shared" si="1159"/>
        <v>2557</v>
      </c>
      <c r="AJ238" s="282">
        <f t="shared" si="1159"/>
        <v>9750</v>
      </c>
      <c r="AK238" s="103">
        <f t="shared" si="1159"/>
        <v>2383</v>
      </c>
      <c r="AL238" s="103">
        <f t="shared" si="1159"/>
        <v>2514</v>
      </c>
      <c r="AM238" s="103">
        <f t="shared" si="1159"/>
        <v>2483</v>
      </c>
      <c r="AN238" s="103">
        <f t="shared" si="1159"/>
        <v>2534</v>
      </c>
      <c r="AO238" s="282">
        <f t="shared" si="1159"/>
        <v>9914</v>
      </c>
      <c r="AP238" s="103">
        <f t="shared" si="1159"/>
        <v>2443</v>
      </c>
      <c r="AQ238" s="103">
        <f t="shared" si="1159"/>
        <v>2525.6000000000004</v>
      </c>
      <c r="AR238" s="103">
        <f t="shared" si="1159"/>
        <v>2483</v>
      </c>
      <c r="AS238" s="103">
        <f t="shared" si="1159"/>
        <v>2551</v>
      </c>
      <c r="AT238" s="282">
        <f t="shared" si="1159"/>
        <v>10002.599999999999</v>
      </c>
      <c r="AU238" s="103">
        <f t="shared" si="1159"/>
        <v>2467</v>
      </c>
      <c r="AV238" s="103">
        <f t="shared" si="1159"/>
        <v>2496</v>
      </c>
      <c r="AW238" s="103">
        <f t="shared" ref="AW238:CB238" si="1160">AW156+AW231+AW233+AW235</f>
        <v>2435</v>
      </c>
      <c r="AX238" s="103">
        <f t="shared" si="1160"/>
        <v>2511</v>
      </c>
      <c r="AY238" s="282">
        <f t="shared" si="1160"/>
        <v>9909</v>
      </c>
      <c r="AZ238" s="103">
        <f t="shared" si="1160"/>
        <v>2541</v>
      </c>
      <c r="BA238" s="103">
        <f t="shared" si="1160"/>
        <v>2616</v>
      </c>
      <c r="BB238" s="103">
        <f t="shared" si="1160"/>
        <v>2906</v>
      </c>
      <c r="BC238" s="103">
        <f t="shared" si="1160"/>
        <v>2748</v>
      </c>
      <c r="BD238" s="282">
        <f t="shared" si="1160"/>
        <v>10811</v>
      </c>
      <c r="BE238" s="103">
        <f t="shared" si="1160"/>
        <v>2147</v>
      </c>
      <c r="BF238" s="103">
        <f t="shared" si="1160"/>
        <v>2190</v>
      </c>
      <c r="BG238" s="103">
        <f t="shared" si="1160"/>
        <v>2039</v>
      </c>
      <c r="BH238" s="103">
        <f t="shared" si="1160"/>
        <v>2047</v>
      </c>
      <c r="BI238" s="282">
        <f t="shared" si="1160"/>
        <v>7243</v>
      </c>
      <c r="BJ238" s="103">
        <f t="shared" si="1160"/>
        <v>2025</v>
      </c>
      <c r="BK238" s="103">
        <f t="shared" si="1160"/>
        <v>2057</v>
      </c>
      <c r="BL238" s="103">
        <f t="shared" si="1160"/>
        <v>2019</v>
      </c>
      <c r="BM238" s="103">
        <f t="shared" si="1160"/>
        <v>2008</v>
      </c>
      <c r="BN238" s="282">
        <f t="shared" si="1160"/>
        <v>7194</v>
      </c>
      <c r="BO238" s="103">
        <f t="shared" si="1160"/>
        <v>1964</v>
      </c>
      <c r="BP238" s="103">
        <f t="shared" si="1160"/>
        <v>2073</v>
      </c>
      <c r="BQ238" s="103">
        <f t="shared" si="1160"/>
        <v>2055</v>
      </c>
      <c r="BR238" s="103">
        <f t="shared" si="1160"/>
        <v>2060</v>
      </c>
      <c r="BS238" s="282">
        <f t="shared" si="1160"/>
        <v>7183</v>
      </c>
      <c r="BT238" s="103">
        <f t="shared" si="1160"/>
        <v>2016</v>
      </c>
      <c r="BU238" s="103">
        <f t="shared" si="1160"/>
        <v>1943</v>
      </c>
      <c r="BV238" s="103">
        <f t="shared" si="1160"/>
        <v>1884</v>
      </c>
      <c r="BW238" s="103">
        <f t="shared" si="1160"/>
        <v>1956</v>
      </c>
      <c r="BX238" s="282">
        <f t="shared" si="1160"/>
        <v>7445</v>
      </c>
      <c r="BY238" s="103">
        <f t="shared" si="1160"/>
        <v>1967</v>
      </c>
      <c r="BZ238" s="103">
        <f t="shared" si="1160"/>
        <v>2035</v>
      </c>
      <c r="CA238" s="103">
        <f t="shared" si="1160"/>
        <v>1985</v>
      </c>
      <c r="CB238" s="103">
        <f t="shared" si="1160"/>
        <v>2182</v>
      </c>
      <c r="CC238" s="282">
        <f t="shared" ref="CC238:DH238" si="1161">CC156+CC231+CC233+CC235</f>
        <v>8039</v>
      </c>
      <c r="CD238" s="103">
        <f t="shared" si="1161"/>
        <v>2111</v>
      </c>
      <c r="CE238" s="103">
        <f t="shared" si="1161"/>
        <v>2158</v>
      </c>
      <c r="CF238" s="103">
        <f t="shared" si="1161"/>
        <v>2125</v>
      </c>
      <c r="CG238" s="103">
        <f t="shared" si="1161"/>
        <v>2219</v>
      </c>
      <c r="CH238" s="282">
        <f t="shared" si="1161"/>
        <v>8601</v>
      </c>
      <c r="CI238" s="103">
        <f t="shared" si="1161"/>
        <v>2340</v>
      </c>
      <c r="CJ238" s="103">
        <f t="shared" si="1161"/>
        <v>2422</v>
      </c>
      <c r="CK238" s="103">
        <f t="shared" si="1161"/>
        <v>2418</v>
      </c>
      <c r="CL238" s="103">
        <f t="shared" si="1161"/>
        <v>2398</v>
      </c>
      <c r="CM238" s="282">
        <f t="shared" si="1161"/>
        <v>9566</v>
      </c>
      <c r="CN238" s="103">
        <f t="shared" si="1161"/>
        <v>2423</v>
      </c>
      <c r="CO238" s="103">
        <f t="shared" si="1161"/>
        <v>2531</v>
      </c>
      <c r="CP238" s="103">
        <f t="shared" si="1161"/>
        <v>2504</v>
      </c>
      <c r="CQ238" s="103">
        <f t="shared" si="1161"/>
        <v>2577</v>
      </c>
      <c r="CR238" s="282">
        <f t="shared" si="1161"/>
        <v>10030</v>
      </c>
      <c r="CS238" s="103">
        <f t="shared" si="1161"/>
        <v>2713</v>
      </c>
      <c r="CT238" s="103">
        <f t="shared" si="1161"/>
        <v>2907</v>
      </c>
      <c r="CU238" s="103">
        <f t="shared" si="1161"/>
        <v>2961</v>
      </c>
      <c r="CV238" s="103">
        <f t="shared" si="1161"/>
        <v>2674</v>
      </c>
      <c r="CW238" s="282">
        <f t="shared" si="1161"/>
        <v>11255</v>
      </c>
      <c r="CX238" s="103">
        <f t="shared" si="1161"/>
        <v>2247</v>
      </c>
      <c r="CY238" s="103">
        <f t="shared" si="1161"/>
        <v>2185</v>
      </c>
      <c r="CZ238" s="103">
        <f t="shared" si="1161"/>
        <v>2289</v>
      </c>
      <c r="DA238" s="103">
        <f t="shared" si="1161"/>
        <v>2320</v>
      </c>
      <c r="DB238" s="282">
        <f t="shared" si="1161"/>
        <v>9041</v>
      </c>
      <c r="DC238" s="103">
        <f t="shared" si="1161"/>
        <v>2491</v>
      </c>
      <c r="DD238" s="103">
        <f t="shared" si="1161"/>
        <v>2663</v>
      </c>
      <c r="DE238" s="103">
        <f t="shared" si="1161"/>
        <v>2666</v>
      </c>
      <c r="DF238" s="103">
        <f t="shared" si="1161"/>
        <v>2816</v>
      </c>
      <c r="DG238" s="282">
        <f t="shared" si="1161"/>
        <v>10636</v>
      </c>
      <c r="DH238" s="103">
        <f t="shared" si="1161"/>
        <v>2827</v>
      </c>
      <c r="DI238" s="103">
        <f t="shared" ref="DI238:EN238" si="1162">DI156+DI231+DI233+DI235</f>
        <v>3013</v>
      </c>
      <c r="DJ238" s="103">
        <f t="shared" si="1162"/>
        <v>2962</v>
      </c>
      <c r="DK238" s="103">
        <f t="shared" si="1162"/>
        <v>2993</v>
      </c>
      <c r="DL238" s="282">
        <f t="shared" si="1162"/>
        <v>11795</v>
      </c>
      <c r="DM238" s="103">
        <f t="shared" si="1162"/>
        <v>3018</v>
      </c>
      <c r="DN238" s="103">
        <f t="shared" si="1162"/>
        <v>2986</v>
      </c>
      <c r="DO238" s="103">
        <f t="shared" si="1162"/>
        <v>2864</v>
      </c>
      <c r="DP238" s="103">
        <f t="shared" si="1162"/>
        <v>2895</v>
      </c>
      <c r="DQ238" s="282">
        <f t="shared" si="1162"/>
        <v>11763</v>
      </c>
      <c r="DR238" s="103">
        <f t="shared" si="1162"/>
        <v>2931</v>
      </c>
      <c r="DS238" s="103">
        <f t="shared" si="1162"/>
        <v>3030</v>
      </c>
      <c r="DT238" s="103">
        <f t="shared" si="1162"/>
        <v>2934</v>
      </c>
      <c r="DU238" s="103">
        <f t="shared" si="1162"/>
        <v>3032</v>
      </c>
      <c r="DV238" s="282">
        <f t="shared" si="1162"/>
        <v>11927</v>
      </c>
      <c r="DW238" s="103">
        <f t="shared" si="1162"/>
        <v>2957</v>
      </c>
      <c r="DX238" s="103">
        <f t="shared" si="1162"/>
        <v>3233</v>
      </c>
      <c r="DY238" s="103">
        <f t="shared" si="1162"/>
        <v>3204</v>
      </c>
      <c r="DZ238" s="103">
        <f t="shared" si="1162"/>
        <v>3192.0741802873722</v>
      </c>
      <c r="EA238" s="282">
        <f t="shared" si="1162"/>
        <v>12586.074180287373</v>
      </c>
      <c r="EB238" s="103">
        <f t="shared" si="1162"/>
        <v>2949</v>
      </c>
      <c r="EC238" s="103">
        <f t="shared" si="1162"/>
        <v>3045</v>
      </c>
      <c r="ED238" s="103">
        <f t="shared" si="1162"/>
        <v>2939</v>
      </c>
      <c r="EE238" s="103">
        <f t="shared" si="1162"/>
        <v>2781</v>
      </c>
      <c r="EF238" s="282">
        <f t="shared" si="1162"/>
        <v>11714</v>
      </c>
      <c r="EG238" s="103">
        <f t="shared" si="1162"/>
        <v>2618</v>
      </c>
      <c r="EH238" s="103">
        <f t="shared" si="1162"/>
        <v>2704</v>
      </c>
      <c r="EI238" s="103">
        <f t="shared" si="1162"/>
        <v>2710</v>
      </c>
      <c r="EJ238" s="103">
        <f t="shared" si="1162"/>
        <v>3037</v>
      </c>
      <c r="EK238" s="282">
        <f t="shared" si="1162"/>
        <v>11069</v>
      </c>
      <c r="EL238" s="103">
        <f t="shared" si="1162"/>
        <v>2869</v>
      </c>
      <c r="EM238" s="103">
        <f t="shared" si="1162"/>
        <v>2933</v>
      </c>
      <c r="EN238" s="103">
        <f t="shared" si="1162"/>
        <v>2743</v>
      </c>
      <c r="EO238" s="103">
        <f t="shared" ref="EO238:EU238" si="1163">EO156+EO231+EO233+EO235</f>
        <v>2863</v>
      </c>
      <c r="EP238" s="282">
        <f t="shared" si="1163"/>
        <v>11408</v>
      </c>
      <c r="EQ238" s="103">
        <f t="shared" si="1163"/>
        <v>2876</v>
      </c>
      <c r="ER238" s="103">
        <f t="shared" si="1163"/>
        <v>2878.8879294734429</v>
      </c>
      <c r="ES238" s="103">
        <f t="shared" si="1163"/>
        <v>2877.4646956823317</v>
      </c>
      <c r="ET238" s="103">
        <f t="shared" si="1163"/>
        <v>3039.5971974560866</v>
      </c>
      <c r="EU238" s="282">
        <f t="shared" si="1163"/>
        <v>11671.949822611861</v>
      </c>
      <c r="EV238" s="103"/>
      <c r="EW238" s="103"/>
      <c r="EX238" s="103"/>
      <c r="EY238" s="103"/>
      <c r="EZ238" s="282">
        <f>EZ156+EZ231+EZ233+EZ235</f>
        <v>11926.077068356344</v>
      </c>
      <c r="FA238" s="103"/>
      <c r="FB238" s="103"/>
      <c r="FC238" s="103"/>
      <c r="FD238" s="103"/>
      <c r="FE238" s="282">
        <f>FE156+FE231+FE233+FE235</f>
        <v>12234.682084017999</v>
      </c>
      <c r="FG238" s="489"/>
      <c r="FH238" s="777"/>
      <c r="FI238" s="777"/>
      <c r="FJ238" s="777"/>
      <c r="FL238" s="1347"/>
      <c r="FM238" s="103">
        <f t="shared" ref="FM238:FM254" si="1164">+EQ238</f>
        <v>2876</v>
      </c>
      <c r="FN238" s="769">
        <f t="shared" ref="FN238:FN254" si="1165">EL238</f>
        <v>2869</v>
      </c>
      <c r="FO238" s="1740">
        <v>2808.7776298856702</v>
      </c>
      <c r="FP238" s="1770">
        <f>+FM238/FN238-1</f>
        <v>2.439874520739016E-3</v>
      </c>
      <c r="FQ238" s="1544">
        <f>+FM238/FO238-1</f>
        <v>2.3932962652179146E-2</v>
      </c>
      <c r="FR238" s="1619"/>
      <c r="FS238" s="1619"/>
      <c r="FT238" s="355"/>
      <c r="FU238" s="355"/>
      <c r="FV238" s="355"/>
      <c r="FW238" s="355"/>
      <c r="FX238" s="355"/>
      <c r="FY238" s="355"/>
      <c r="FZ238" s="489"/>
      <c r="GA238"/>
      <c r="GB238"/>
      <c r="GC238"/>
      <c r="GD238"/>
      <c r="GE238"/>
      <c r="GF238"/>
      <c r="GG238"/>
      <c r="GH238"/>
      <c r="GI238"/>
      <c r="GJ238"/>
      <c r="GK238"/>
      <c r="GL238"/>
      <c r="GM238"/>
      <c r="GN238"/>
      <c r="GO238"/>
      <c r="GP238"/>
      <c r="GQ238"/>
      <c r="GR238"/>
      <c r="GS238"/>
      <c r="GT238"/>
      <c r="GU238"/>
      <c r="GV238"/>
      <c r="GW238"/>
      <c r="GX238"/>
      <c r="GY238"/>
      <c r="GZ238"/>
      <c r="HA238"/>
      <c r="HB238"/>
      <c r="HC238"/>
      <c r="HD238"/>
      <c r="HE238"/>
      <c r="HF238"/>
      <c r="HG238"/>
      <c r="HH238"/>
      <c r="HI238"/>
      <c r="HJ238"/>
      <c r="HK238"/>
      <c r="HL238"/>
      <c r="HM238"/>
      <c r="HN238"/>
      <c r="HO238"/>
      <c r="HP238"/>
      <c r="HQ238"/>
      <c r="HR238"/>
      <c r="HS238"/>
      <c r="HT238"/>
      <c r="HU238"/>
      <c r="HV238"/>
      <c r="HW238"/>
      <c r="HX238"/>
      <c r="HY238"/>
      <c r="HZ238"/>
      <c r="IA238"/>
      <c r="IB238"/>
      <c r="IC238"/>
      <c r="ID238"/>
      <c r="IE238"/>
      <c r="IF238"/>
      <c r="IG238"/>
      <c r="IH238"/>
      <c r="II238"/>
      <c r="IJ238"/>
      <c r="IK238"/>
      <c r="IL238"/>
      <c r="IM238"/>
      <c r="IN238"/>
      <c r="IO238"/>
      <c r="IP238"/>
      <c r="IQ238"/>
      <c r="IR238"/>
      <c r="IS238"/>
      <c r="IT238"/>
      <c r="IU238"/>
      <c r="IV238"/>
      <c r="IW238"/>
      <c r="IX238"/>
    </row>
    <row r="239" spans="1:258" s="227" customFormat="1" x14ac:dyDescent="0.2">
      <c r="A239" s="383" t="s">
        <v>465</v>
      </c>
      <c r="B239" s="10"/>
      <c r="C239" s="10"/>
      <c r="D239" s="10"/>
      <c r="E239" s="10"/>
      <c r="F239" s="9"/>
      <c r="G239" s="10"/>
      <c r="H239" s="10"/>
      <c r="I239" s="10"/>
      <c r="J239" s="10"/>
      <c r="K239" s="9"/>
      <c r="L239" s="10"/>
      <c r="M239" s="10"/>
      <c r="N239" s="10"/>
      <c r="O239" s="10"/>
      <c r="P239" s="9"/>
      <c r="Q239" s="10"/>
      <c r="R239" s="10"/>
      <c r="S239" s="10"/>
      <c r="T239" s="10"/>
      <c r="U239" s="9"/>
      <c r="V239" s="10">
        <f t="shared" ref="V239:AV239" si="1166">V238/Q238-1</f>
        <v>1.4543630892678072E-2</v>
      </c>
      <c r="W239" s="10">
        <f t="shared" si="1166"/>
        <v>3.0922713052940143E-2</v>
      </c>
      <c r="X239" s="10">
        <f t="shared" si="1166"/>
        <v>2.6301971454484763E-2</v>
      </c>
      <c r="Y239" s="10">
        <f t="shared" si="1166"/>
        <v>3.389750601103203E-2</v>
      </c>
      <c r="Z239" s="9">
        <f t="shared" si="1166"/>
        <v>2.6582946199967594E-2</v>
      </c>
      <c r="AA239" s="10">
        <f t="shared" si="1166"/>
        <v>5.5363321799307919E-2</v>
      </c>
      <c r="AB239" s="10">
        <f t="shared" si="1166"/>
        <v>4.8678720445062496E-2</v>
      </c>
      <c r="AC239" s="10">
        <f t="shared" si="1166"/>
        <v>9.5813953488372183E-2</v>
      </c>
      <c r="AD239" s="10">
        <f t="shared" si="1166"/>
        <v>9.712722298221621E-2</v>
      </c>
      <c r="AE239" s="9">
        <f t="shared" si="1166"/>
        <v>7.462161210841245E-2</v>
      </c>
      <c r="AF239" s="10">
        <f t="shared" si="1166"/>
        <v>8.4777517564402771E-2</v>
      </c>
      <c r="AG239" s="10">
        <f t="shared" si="1166"/>
        <v>7.3386383731211424E-2</v>
      </c>
      <c r="AH239" s="10">
        <f t="shared" si="1166"/>
        <v>3.9473684210526327E-2</v>
      </c>
      <c r="AI239" s="10">
        <f t="shared" si="1166"/>
        <v>6.2759767248545373E-2</v>
      </c>
      <c r="AJ239" s="9">
        <f t="shared" si="1166"/>
        <v>6.4526695054045291E-2</v>
      </c>
      <c r="AK239" s="10">
        <f t="shared" si="1166"/>
        <v>2.8929188255613081E-2</v>
      </c>
      <c r="AL239" s="10">
        <f t="shared" si="1166"/>
        <v>3.5420098846787429E-2</v>
      </c>
      <c r="AM239" s="10">
        <f t="shared" si="1166"/>
        <v>1.3883217639852896E-2</v>
      </c>
      <c r="AN239" s="10">
        <f t="shared" si="1166"/>
        <v>-8.9949159170903403E-3</v>
      </c>
      <c r="AO239" s="9">
        <f t="shared" si="1166"/>
        <v>1.6820512820512779E-2</v>
      </c>
      <c r="AP239" s="10">
        <f t="shared" si="1166"/>
        <v>2.5178346621905101E-2</v>
      </c>
      <c r="AQ239" s="10">
        <f t="shared" si="1166"/>
        <v>4.6141607000798057E-3</v>
      </c>
      <c r="AR239" s="10">
        <f t="shared" si="1166"/>
        <v>0</v>
      </c>
      <c r="AS239" s="10">
        <f t="shared" si="1166"/>
        <v>6.7087608524072362E-3</v>
      </c>
      <c r="AT239" s="9">
        <f t="shared" si="1166"/>
        <v>8.936856969941287E-3</v>
      </c>
      <c r="AU239" s="10">
        <f t="shared" si="1166"/>
        <v>9.8239869013507786E-3</v>
      </c>
      <c r="AV239" s="10">
        <f t="shared" si="1166"/>
        <v>-1.1719987329743553E-2</v>
      </c>
      <c r="AW239" s="10">
        <f t="shared" ref="AW239:CB239" si="1167">AW238/AR238-1</f>
        <v>-1.9331453886427763E-2</v>
      </c>
      <c r="AX239" s="10">
        <f t="shared" si="1167"/>
        <v>-1.5680125441003501E-2</v>
      </c>
      <c r="AY239" s="9">
        <f t="shared" si="1167"/>
        <v>-9.3575670325714011E-3</v>
      </c>
      <c r="AZ239" s="10">
        <f t="shared" si="1167"/>
        <v>2.9995946493717174E-2</v>
      </c>
      <c r="BA239" s="10">
        <f t="shared" si="1167"/>
        <v>4.8076923076923128E-2</v>
      </c>
      <c r="BB239" s="10">
        <f t="shared" si="1167"/>
        <v>0.1934291581108829</v>
      </c>
      <c r="BC239" s="10">
        <f t="shared" si="1167"/>
        <v>9.4384707287933134E-2</v>
      </c>
      <c r="BD239" s="9">
        <f t="shared" si="1167"/>
        <v>9.1028358058330872E-2</v>
      </c>
      <c r="BE239" s="10">
        <f t="shared" si="1167"/>
        <v>-0.15505706414797327</v>
      </c>
      <c r="BF239" s="10">
        <f t="shared" si="1167"/>
        <v>-0.16284403669724767</v>
      </c>
      <c r="BG239" s="10">
        <f t="shared" si="1167"/>
        <v>-0.29834824501032342</v>
      </c>
      <c r="BH239" s="10">
        <f t="shared" si="1167"/>
        <v>-0.25509461426491997</v>
      </c>
      <c r="BI239" s="9">
        <f t="shared" si="1167"/>
        <v>-0.330034224401073</v>
      </c>
      <c r="BJ239" s="10">
        <f>BJ238/BE238-1</f>
        <v>-5.6823474615742886E-2</v>
      </c>
      <c r="BK239" s="10">
        <f>BK238/BF238-1</f>
        <v>-6.0730593607305927E-2</v>
      </c>
      <c r="BL239" s="10">
        <f>BL238/BG238-1</f>
        <v>-9.8087297694948727E-3</v>
      </c>
      <c r="BM239" s="10">
        <f>BM238/BH238-1</f>
        <v>-1.9052271617000516E-2</v>
      </c>
      <c r="BN239" s="9">
        <f>BN238/BI238-1</f>
        <v>-6.765152561093446E-3</v>
      </c>
      <c r="BO239" s="10">
        <f t="shared" si="1167"/>
        <v>-3.0123456790123404E-2</v>
      </c>
      <c r="BP239" s="10">
        <f t="shared" si="1167"/>
        <v>7.7783179387458379E-3</v>
      </c>
      <c r="BQ239" s="10">
        <f t="shared" si="1167"/>
        <v>1.7830609212481363E-2</v>
      </c>
      <c r="BR239" s="10">
        <f t="shared" si="1167"/>
        <v>2.5896414342629459E-2</v>
      </c>
      <c r="BS239" s="9">
        <f t="shared" si="1167"/>
        <v>-1.5290519877675379E-3</v>
      </c>
      <c r="BT239" s="10">
        <f t="shared" si="1167"/>
        <v>2.6476578411405383E-2</v>
      </c>
      <c r="BU239" s="10">
        <f t="shared" si="1167"/>
        <v>-6.271104679208872E-2</v>
      </c>
      <c r="BV239" s="10">
        <f t="shared" si="1167"/>
        <v>-8.3211678832116776E-2</v>
      </c>
      <c r="BW239" s="10">
        <f t="shared" si="1167"/>
        <v>-5.0485436893203839E-2</v>
      </c>
      <c r="BX239" s="9">
        <f t="shared" si="1167"/>
        <v>3.6475010441319844E-2</v>
      </c>
      <c r="BY239" s="10">
        <f t="shared" si="1167"/>
        <v>-2.430555555555558E-2</v>
      </c>
      <c r="BZ239" s="10">
        <f t="shared" si="1167"/>
        <v>4.7349459598558852E-2</v>
      </c>
      <c r="CA239" s="10">
        <f t="shared" si="1167"/>
        <v>5.3609341825902268E-2</v>
      </c>
      <c r="CB239" s="10">
        <f t="shared" si="1167"/>
        <v>0.11554192229038862</v>
      </c>
      <c r="CC239" s="9">
        <f t="shared" ref="CC239:ED239" si="1168">CC238/BX238-1</f>
        <v>7.9785090664875824E-2</v>
      </c>
      <c r="CD239" s="10">
        <f t="shared" si="1168"/>
        <v>7.3207930859176429E-2</v>
      </c>
      <c r="CE239" s="10">
        <f t="shared" si="1168"/>
        <v>6.0442260442260531E-2</v>
      </c>
      <c r="CF239" s="10">
        <f t="shared" si="1168"/>
        <v>7.0528967254408048E-2</v>
      </c>
      <c r="CG239" s="10">
        <f t="shared" si="1168"/>
        <v>1.6956920256645303E-2</v>
      </c>
      <c r="CH239" s="9">
        <f t="shared" si="1168"/>
        <v>6.9909192685657429E-2</v>
      </c>
      <c r="CI239" s="10">
        <f t="shared" si="1168"/>
        <v>0.10847939365229742</v>
      </c>
      <c r="CJ239" s="10">
        <f t="shared" si="1168"/>
        <v>0.12233549582947179</v>
      </c>
      <c r="CK239" s="10">
        <f t="shared" si="1168"/>
        <v>0.13788235294117657</v>
      </c>
      <c r="CL239" s="10">
        <f t="shared" si="1168"/>
        <v>8.066696710229837E-2</v>
      </c>
      <c r="CM239" s="9">
        <f t="shared" si="1168"/>
        <v>0.11219625624927332</v>
      </c>
      <c r="CN239" s="10">
        <f t="shared" si="1168"/>
        <v>3.5470085470085566E-2</v>
      </c>
      <c r="CO239" s="10">
        <f t="shared" si="1168"/>
        <v>4.5004128819157829E-2</v>
      </c>
      <c r="CP239" s="10">
        <f t="shared" si="1168"/>
        <v>3.556658395368073E-2</v>
      </c>
      <c r="CQ239" s="10">
        <f t="shared" si="1168"/>
        <v>7.4645537948290208E-2</v>
      </c>
      <c r="CR239" s="9">
        <f t="shared" si="1168"/>
        <v>4.850512230817472E-2</v>
      </c>
      <c r="CS239" s="10">
        <f t="shared" si="1168"/>
        <v>0.11968633924886496</v>
      </c>
      <c r="CT239" s="10">
        <f t="shared" si="1168"/>
        <v>0.14855788225997624</v>
      </c>
      <c r="CU239" s="10">
        <f t="shared" si="1168"/>
        <v>0.18250798722044737</v>
      </c>
      <c r="CV239" s="10">
        <f t="shared" si="1168"/>
        <v>3.7640667442762954E-2</v>
      </c>
      <c r="CW239" s="9">
        <f t="shared" si="1168"/>
        <v>0.12213359920239286</v>
      </c>
      <c r="CX239" s="10">
        <f t="shared" si="1168"/>
        <v>-0.17176557316623664</v>
      </c>
      <c r="CY239" s="10">
        <f t="shared" si="1168"/>
        <v>-0.24836601307189543</v>
      </c>
      <c r="CZ239" s="10">
        <f t="shared" si="1168"/>
        <v>-0.22695035460992907</v>
      </c>
      <c r="DA239" s="10">
        <f t="shared" si="1168"/>
        <v>-0.13238593866866122</v>
      </c>
      <c r="DB239" s="9">
        <f t="shared" si="1168"/>
        <v>-0.19671257219013771</v>
      </c>
      <c r="DC239" s="10">
        <f t="shared" si="1168"/>
        <v>0.10858923008455723</v>
      </c>
      <c r="DD239" s="10">
        <f t="shared" si="1168"/>
        <v>0.21876430205949648</v>
      </c>
      <c r="DE239" s="10">
        <f t="shared" si="1168"/>
        <v>0.1647007426823941</v>
      </c>
      <c r="DF239" s="10">
        <f t="shared" si="1168"/>
        <v>0.21379310344827585</v>
      </c>
      <c r="DG239" s="9">
        <f t="shared" si="1168"/>
        <v>0.17641853777237038</v>
      </c>
      <c r="DH239" s="10">
        <f t="shared" si="1168"/>
        <v>0.13488558811722196</v>
      </c>
      <c r="DI239" s="10">
        <f t="shared" si="1168"/>
        <v>0.1314307172361997</v>
      </c>
      <c r="DJ239" s="10">
        <f t="shared" si="1168"/>
        <v>0.11102775693923483</v>
      </c>
      <c r="DK239" s="10">
        <f t="shared" si="1168"/>
        <v>6.2855113636363535E-2</v>
      </c>
      <c r="DL239" s="9">
        <f>DL238/DG238-1</f>
        <v>0.10896953742008275</v>
      </c>
      <c r="DM239" s="10">
        <f t="shared" si="1168"/>
        <v>6.7562787407145386E-2</v>
      </c>
      <c r="DN239" s="10">
        <f t="shared" si="1168"/>
        <v>-8.9611682708263807E-3</v>
      </c>
      <c r="DO239" s="10">
        <f t="shared" si="1168"/>
        <v>-3.3085752869682628E-2</v>
      </c>
      <c r="DP239" s="10">
        <f t="shared" si="1168"/>
        <v>-3.2743067156698946E-2</v>
      </c>
      <c r="DQ239" s="9">
        <f t="shared" ref="DQ239:DV239" si="1169">DQ238/DL238-1</f>
        <v>-2.7130139889783855E-3</v>
      </c>
      <c r="DR239" s="10">
        <f t="shared" si="1168"/>
        <v>-2.882703777335982E-2</v>
      </c>
      <c r="DS239" s="10">
        <f t="shared" si="1168"/>
        <v>1.4735432016075078E-2</v>
      </c>
      <c r="DT239" s="10">
        <f t="shared" si="1169"/>
        <v>2.44413407821229E-2</v>
      </c>
      <c r="DU239" s="10">
        <f t="shared" si="1168"/>
        <v>4.7322970639032791E-2</v>
      </c>
      <c r="DV239" s="9">
        <f t="shared" si="1169"/>
        <v>1.394202159313096E-2</v>
      </c>
      <c r="DW239" s="10">
        <f t="shared" si="1168"/>
        <v>8.8706925963835115E-3</v>
      </c>
      <c r="DX239" s="10">
        <f t="shared" si="1168"/>
        <v>6.6996699669966908E-2</v>
      </c>
      <c r="DY239" s="10">
        <f t="shared" si="1168"/>
        <v>9.2024539877300526E-2</v>
      </c>
      <c r="DZ239" s="10">
        <f t="shared" si="1168"/>
        <v>5.2794914342800814E-2</v>
      </c>
      <c r="EA239" s="9">
        <f>EA238/DV238-1</f>
        <v>5.5259007318468445E-2</v>
      </c>
      <c r="EB239" s="10">
        <f t="shared" si="1168"/>
        <v>-2.7054447074738031E-3</v>
      </c>
      <c r="EC239" s="10">
        <f t="shared" si="1168"/>
        <v>-5.8150324775750106E-2</v>
      </c>
      <c r="ED239" s="10">
        <f t="shared" si="1168"/>
        <v>-8.2709113607990048E-2</v>
      </c>
      <c r="EE239" s="10">
        <f t="shared" ref="EE239:EI239" si="1170">EE238/DZ238-1</f>
        <v>-0.12877964516800933</v>
      </c>
      <c r="EF239" s="9">
        <f t="shared" si="1170"/>
        <v>-6.9288816178537771E-2</v>
      </c>
      <c r="EG239" s="10">
        <f t="shared" si="1170"/>
        <v>-0.11224143777551709</v>
      </c>
      <c r="EH239" s="10">
        <f t="shared" si="1170"/>
        <v>-0.11198686371100164</v>
      </c>
      <c r="EI239" s="10">
        <f t="shared" si="1170"/>
        <v>-7.7917659067710088E-2</v>
      </c>
      <c r="EJ239" s="10">
        <f t="shared" ref="EJ239" si="1171">EJ238/EE238-1</f>
        <v>9.2053218266810566E-2</v>
      </c>
      <c r="EK239" s="9">
        <f t="shared" ref="EK239:EQ239" si="1172">EK238/EF238-1</f>
        <v>-5.5062318593136372E-2</v>
      </c>
      <c r="EL239" s="10">
        <f t="shared" si="1172"/>
        <v>9.5874713521772348E-2</v>
      </c>
      <c r="EM239" s="10">
        <f t="shared" si="1172"/>
        <v>8.4689349112426093E-2</v>
      </c>
      <c r="EN239" s="10">
        <f t="shared" si="1172"/>
        <v>1.2177121771217658E-2</v>
      </c>
      <c r="EO239" s="10">
        <f t="shared" si="1172"/>
        <v>-5.7293381626605244E-2</v>
      </c>
      <c r="EP239" s="9">
        <f t="shared" si="1172"/>
        <v>3.0626072815972627E-2</v>
      </c>
      <c r="EQ239" s="10">
        <f t="shared" si="1172"/>
        <v>2.439874520739016E-3</v>
      </c>
      <c r="ER239" s="10">
        <f t="shared" ref="ER239" si="1173">ER238/EM238-1</f>
        <v>-1.8449393292382266E-2</v>
      </c>
      <c r="ES239" s="10">
        <f t="shared" ref="ES239:EU239" si="1174">ES238/EN238-1</f>
        <v>4.9021033788673618E-2</v>
      </c>
      <c r="ET239" s="10">
        <f t="shared" si="1174"/>
        <v>6.168256984145537E-2</v>
      </c>
      <c r="EU239" s="9">
        <f t="shared" si="1174"/>
        <v>2.3137256540310513E-2</v>
      </c>
      <c r="EV239" s="55"/>
      <c r="EW239" s="55"/>
      <c r="EX239" s="55"/>
      <c r="EY239" s="55"/>
      <c r="EZ239" s="9">
        <f>EZ238/EU238-1</f>
        <v>2.1772475859360485E-2</v>
      </c>
      <c r="FA239" s="55"/>
      <c r="FB239" s="55"/>
      <c r="FC239" s="55"/>
      <c r="FD239" s="55"/>
      <c r="FE239" s="9">
        <f>FE238/EZ238-1</f>
        <v>2.5876490139451036E-2</v>
      </c>
      <c r="FG239" s="464"/>
      <c r="FH239" s="780"/>
      <c r="FI239" s="780"/>
      <c r="FJ239" s="780"/>
      <c r="FK239" s="186"/>
      <c r="FL239" s="1348"/>
      <c r="FM239" s="10">
        <f t="shared" si="1164"/>
        <v>2.439874520739016E-3</v>
      </c>
      <c r="FN239" s="1418">
        <f t="shared" si="1165"/>
        <v>9.5874713521772348E-2</v>
      </c>
      <c r="FO239" s="1750">
        <v>-2.0990718060066138E-2</v>
      </c>
      <c r="FP239" s="1751"/>
      <c r="FQ239" s="1503">
        <f>+(FM239-FO239)*10000</f>
        <v>234.30592580805154</v>
      </c>
      <c r="FR239" s="1619"/>
      <c r="FS239" s="1619"/>
      <c r="FT239" s="432"/>
      <c r="FU239" s="432"/>
      <c r="FV239" s="432"/>
      <c r="FW239" s="432"/>
      <c r="FX239" s="432"/>
      <c r="FY239" s="432"/>
      <c r="FZ239" s="464"/>
      <c r="GA239"/>
      <c r="GB239"/>
      <c r="GC239"/>
      <c r="GD239"/>
      <c r="GE239"/>
      <c r="GF239"/>
      <c r="GG239"/>
      <c r="GH239"/>
      <c r="GI239"/>
      <c r="GJ239"/>
      <c r="GK239"/>
      <c r="GL239"/>
      <c r="GM239"/>
      <c r="GN239"/>
      <c r="GO239"/>
      <c r="GP239"/>
      <c r="GQ239"/>
      <c r="GR239"/>
      <c r="GS239"/>
      <c r="GT239"/>
      <c r="GU239"/>
      <c r="GV239"/>
      <c r="GW239"/>
      <c r="GX239"/>
      <c r="GY239"/>
      <c r="GZ239"/>
      <c r="HA239"/>
      <c r="HB239"/>
      <c r="HC239"/>
      <c r="HD239"/>
      <c r="HE239"/>
      <c r="HF239"/>
      <c r="HG239"/>
      <c r="HH239"/>
      <c r="HI239"/>
      <c r="HJ239"/>
      <c r="HK239"/>
      <c r="HL239"/>
      <c r="HM239"/>
      <c r="HN239"/>
      <c r="HO239"/>
      <c r="HP239"/>
      <c r="HQ239"/>
      <c r="HR239"/>
      <c r="HS239"/>
      <c r="HT239"/>
      <c r="HU239"/>
      <c r="HV239"/>
      <c r="HW239"/>
      <c r="HX239"/>
      <c r="HY239"/>
      <c r="HZ239"/>
      <c r="IA239"/>
      <c r="IB239"/>
      <c r="IC239"/>
      <c r="ID239"/>
      <c r="IE239"/>
      <c r="IF239"/>
      <c r="IG239"/>
      <c r="IH239"/>
      <c r="II239"/>
      <c r="IJ239"/>
      <c r="IK239"/>
      <c r="IL239"/>
      <c r="IM239"/>
      <c r="IN239"/>
      <c r="IO239"/>
      <c r="IP239"/>
      <c r="IQ239"/>
      <c r="IR239"/>
      <c r="IS239"/>
      <c r="IT239"/>
      <c r="IU239"/>
      <c r="IV239"/>
      <c r="IW239"/>
      <c r="IX239"/>
    </row>
    <row r="240" spans="1:258" s="175" customFormat="1" x14ac:dyDescent="0.2">
      <c r="A240" s="603" t="s">
        <v>430</v>
      </c>
      <c r="B240" s="103"/>
      <c r="C240" s="103"/>
      <c r="D240" s="103"/>
      <c r="E240" s="103"/>
      <c r="F240" s="282"/>
      <c r="G240" s="103"/>
      <c r="H240" s="103"/>
      <c r="I240" s="103"/>
      <c r="J240" s="103"/>
      <c r="K240" s="282"/>
      <c r="L240" s="103"/>
      <c r="M240" s="103"/>
      <c r="N240" s="103"/>
      <c r="O240" s="103"/>
      <c r="P240" s="282"/>
      <c r="Q240" s="103">
        <f t="shared" ref="Q240:AV240" si="1175">Q223+Q232+Q234+Q236</f>
        <v>1844</v>
      </c>
      <c r="R240" s="103">
        <f t="shared" si="1175"/>
        <v>1849.5</v>
      </c>
      <c r="S240" s="103">
        <f t="shared" si="1175"/>
        <v>1847</v>
      </c>
      <c r="T240" s="103">
        <f t="shared" si="1175"/>
        <v>1854</v>
      </c>
      <c r="U240" s="282">
        <f t="shared" si="1175"/>
        <v>7394.5</v>
      </c>
      <c r="V240" s="103">
        <f t="shared" si="1175"/>
        <v>1875</v>
      </c>
      <c r="W240" s="103">
        <f t="shared" si="1175"/>
        <v>1891</v>
      </c>
      <c r="X240" s="103">
        <f t="shared" si="1175"/>
        <v>1901</v>
      </c>
      <c r="Y240" s="103">
        <f t="shared" si="1175"/>
        <v>1895</v>
      </c>
      <c r="Z240" s="282">
        <f t="shared" si="1175"/>
        <v>7562</v>
      </c>
      <c r="AA240" s="103">
        <f t="shared" si="1175"/>
        <v>1951</v>
      </c>
      <c r="AB240" s="103">
        <f t="shared" si="1175"/>
        <v>1969</v>
      </c>
      <c r="AC240" s="103">
        <f t="shared" si="1175"/>
        <v>2022</v>
      </c>
      <c r="AD240" s="103">
        <f t="shared" si="1175"/>
        <v>2048</v>
      </c>
      <c r="AE240" s="282">
        <f t="shared" si="1175"/>
        <v>7990</v>
      </c>
      <c r="AF240" s="103">
        <f t="shared" si="1175"/>
        <v>2055</v>
      </c>
      <c r="AG240" s="103">
        <f t="shared" si="1175"/>
        <v>2098</v>
      </c>
      <c r="AH240" s="103">
        <f t="shared" si="1175"/>
        <v>2118</v>
      </c>
      <c r="AI240" s="103">
        <f t="shared" si="1175"/>
        <v>2197</v>
      </c>
      <c r="AJ240" s="282">
        <f t="shared" si="1175"/>
        <v>8468</v>
      </c>
      <c r="AK240" s="103">
        <f t="shared" si="1175"/>
        <v>2105</v>
      </c>
      <c r="AL240" s="103">
        <f t="shared" si="1175"/>
        <v>2134</v>
      </c>
      <c r="AM240" s="103">
        <f t="shared" si="1175"/>
        <v>2121</v>
      </c>
      <c r="AN240" s="103">
        <f t="shared" si="1175"/>
        <v>2144</v>
      </c>
      <c r="AO240" s="282">
        <f t="shared" si="1175"/>
        <v>8504</v>
      </c>
      <c r="AP240" s="103">
        <f t="shared" si="1175"/>
        <v>2121</v>
      </c>
      <c r="AQ240" s="103">
        <f t="shared" si="1175"/>
        <v>2110</v>
      </c>
      <c r="AR240" s="103">
        <f t="shared" si="1175"/>
        <v>2117</v>
      </c>
      <c r="AS240" s="103">
        <f t="shared" si="1175"/>
        <v>2141</v>
      </c>
      <c r="AT240" s="282">
        <f t="shared" si="1175"/>
        <v>8489</v>
      </c>
      <c r="AU240" s="103">
        <f t="shared" si="1175"/>
        <v>2189</v>
      </c>
      <c r="AV240" s="103">
        <f t="shared" si="1175"/>
        <v>2160</v>
      </c>
      <c r="AW240" s="103">
        <f t="shared" ref="AW240:CB240" si="1176">AW223+AW232+AW234+AW236</f>
        <v>2195</v>
      </c>
      <c r="AX240" s="103">
        <f t="shared" si="1176"/>
        <v>2235</v>
      </c>
      <c r="AY240" s="282">
        <f t="shared" si="1176"/>
        <v>8779</v>
      </c>
      <c r="AZ240" s="103">
        <f t="shared" si="1176"/>
        <v>2265</v>
      </c>
      <c r="BA240" s="103">
        <f t="shared" si="1176"/>
        <v>2341.6</v>
      </c>
      <c r="BB240" s="103">
        <f t="shared" si="1176"/>
        <v>2590</v>
      </c>
      <c r="BC240" s="103">
        <f t="shared" si="1176"/>
        <v>2591.4</v>
      </c>
      <c r="BD240" s="282">
        <f t="shared" si="1176"/>
        <v>9788</v>
      </c>
      <c r="BE240" s="103">
        <f t="shared" si="1176"/>
        <v>1967</v>
      </c>
      <c r="BF240" s="103">
        <f t="shared" si="1176"/>
        <v>1989</v>
      </c>
      <c r="BG240" s="103">
        <f t="shared" si="1176"/>
        <v>1815</v>
      </c>
      <c r="BH240" s="103">
        <f t="shared" si="1176"/>
        <v>1829</v>
      </c>
      <c r="BI240" s="282">
        <f t="shared" si="1176"/>
        <v>6433</v>
      </c>
      <c r="BJ240" s="103">
        <f t="shared" si="1176"/>
        <v>1836</v>
      </c>
      <c r="BK240" s="103">
        <f t="shared" si="1176"/>
        <v>1792</v>
      </c>
      <c r="BL240" s="103">
        <f t="shared" si="1176"/>
        <v>1737</v>
      </c>
      <c r="BM240" s="103">
        <f t="shared" si="1176"/>
        <v>1727</v>
      </c>
      <c r="BN240" s="282">
        <f t="shared" si="1176"/>
        <v>6231</v>
      </c>
      <c r="BO240" s="103">
        <f t="shared" si="1176"/>
        <v>1752</v>
      </c>
      <c r="BP240" s="103">
        <f t="shared" si="1176"/>
        <v>1763</v>
      </c>
      <c r="BQ240" s="103">
        <f t="shared" si="1176"/>
        <v>1779</v>
      </c>
      <c r="BR240" s="103">
        <f t="shared" si="1176"/>
        <v>1742</v>
      </c>
      <c r="BS240" s="282">
        <f t="shared" si="1176"/>
        <v>6157</v>
      </c>
      <c r="BT240" s="103">
        <f t="shared" si="1176"/>
        <v>1839</v>
      </c>
      <c r="BU240" s="103">
        <f t="shared" si="1176"/>
        <v>1657</v>
      </c>
      <c r="BV240" s="103">
        <f t="shared" si="1176"/>
        <v>1630</v>
      </c>
      <c r="BW240" s="103">
        <f t="shared" si="1176"/>
        <v>1679</v>
      </c>
      <c r="BX240" s="282">
        <f t="shared" si="1176"/>
        <v>6475</v>
      </c>
      <c r="BY240" s="103">
        <f t="shared" si="1176"/>
        <v>1748</v>
      </c>
      <c r="BZ240" s="103">
        <f t="shared" si="1176"/>
        <v>1729</v>
      </c>
      <c r="CA240" s="103">
        <f t="shared" si="1176"/>
        <v>1718</v>
      </c>
      <c r="CB240" s="103">
        <f t="shared" si="1176"/>
        <v>1865</v>
      </c>
      <c r="CC240" s="282">
        <f t="shared" ref="CC240:DL240" si="1177">CC223+CC232+CC234+CC236</f>
        <v>7000</v>
      </c>
      <c r="CD240" s="103">
        <f t="shared" si="1177"/>
        <v>1757</v>
      </c>
      <c r="CE240" s="103">
        <f t="shared" si="1177"/>
        <v>1744</v>
      </c>
      <c r="CF240" s="103">
        <f t="shared" si="1177"/>
        <v>1772</v>
      </c>
      <c r="CG240" s="103">
        <f t="shared" si="1177"/>
        <v>1807</v>
      </c>
      <c r="CH240" s="282">
        <f t="shared" si="1177"/>
        <v>7284</v>
      </c>
      <c r="CI240" s="103">
        <f t="shared" si="1177"/>
        <v>1844</v>
      </c>
      <c r="CJ240" s="103">
        <f t="shared" si="1177"/>
        <v>1902</v>
      </c>
      <c r="CK240" s="103">
        <f t="shared" si="1177"/>
        <v>1944</v>
      </c>
      <c r="CL240" s="103">
        <f t="shared" si="1177"/>
        <v>1918</v>
      </c>
      <c r="CM240" s="282">
        <f t="shared" si="1177"/>
        <v>7608</v>
      </c>
      <c r="CN240" s="103">
        <f t="shared" si="1177"/>
        <v>1955</v>
      </c>
      <c r="CO240" s="103">
        <f t="shared" si="1177"/>
        <v>1918</v>
      </c>
      <c r="CP240" s="103">
        <f t="shared" si="1177"/>
        <v>1943</v>
      </c>
      <c r="CQ240" s="103">
        <f t="shared" si="1177"/>
        <v>1980</v>
      </c>
      <c r="CR240" s="282">
        <f t="shared" si="1177"/>
        <v>7796</v>
      </c>
      <c r="CS240" s="103">
        <f t="shared" si="1177"/>
        <v>2089</v>
      </c>
      <c r="CT240" s="103">
        <f t="shared" si="1177"/>
        <v>2190</v>
      </c>
      <c r="CU240" s="103">
        <f t="shared" si="1177"/>
        <v>2228</v>
      </c>
      <c r="CV240" s="103">
        <f t="shared" si="1177"/>
        <v>1982</v>
      </c>
      <c r="CW240" s="282">
        <f t="shared" si="1177"/>
        <v>8489</v>
      </c>
      <c r="CX240" s="103">
        <f t="shared" si="1177"/>
        <v>1725</v>
      </c>
      <c r="CY240" s="103">
        <f t="shared" si="1177"/>
        <v>1603</v>
      </c>
      <c r="CZ240" s="103">
        <f t="shared" si="1177"/>
        <v>1691</v>
      </c>
      <c r="DA240" s="103">
        <f t="shared" si="1177"/>
        <v>1737</v>
      </c>
      <c r="DB240" s="282">
        <f t="shared" si="1177"/>
        <v>6756</v>
      </c>
      <c r="DC240" s="103">
        <f t="shared" si="1177"/>
        <v>1857</v>
      </c>
      <c r="DD240" s="103">
        <f t="shared" si="1177"/>
        <v>1895</v>
      </c>
      <c r="DE240" s="103">
        <f t="shared" si="1177"/>
        <v>1841</v>
      </c>
      <c r="DF240" s="103">
        <f t="shared" si="1177"/>
        <v>1970</v>
      </c>
      <c r="DG240" s="282">
        <f t="shared" si="1177"/>
        <v>7563</v>
      </c>
      <c r="DH240" s="103">
        <f t="shared" si="1177"/>
        <v>2037</v>
      </c>
      <c r="DI240" s="103">
        <f t="shared" si="1177"/>
        <v>2093</v>
      </c>
      <c r="DJ240" s="103">
        <f t="shared" si="1177"/>
        <v>2085</v>
      </c>
      <c r="DK240" s="103">
        <f>DK223+DK232+DK234+DK236</f>
        <v>2110</v>
      </c>
      <c r="DL240" s="282">
        <f t="shared" si="1177"/>
        <v>8325</v>
      </c>
      <c r="DM240" s="103">
        <f t="shared" ref="DM240:DV240" si="1178">DM223+DM232+DM234+DM236</f>
        <v>2110</v>
      </c>
      <c r="DN240" s="103">
        <f t="shared" si="1178"/>
        <v>2069</v>
      </c>
      <c r="DO240" s="103">
        <f>DO223+DO232+DO234+DO236</f>
        <v>2040</v>
      </c>
      <c r="DP240" s="103">
        <f>DP223+DP232+DP234+DP236</f>
        <v>2080</v>
      </c>
      <c r="DQ240" s="282">
        <f t="shared" si="1178"/>
        <v>8299</v>
      </c>
      <c r="DR240" s="103">
        <f>DR223+DR232+DR234+DR236</f>
        <v>2103</v>
      </c>
      <c r="DS240" s="103">
        <f>DS223+DS232+DS234+DS236</f>
        <v>2128</v>
      </c>
      <c r="DT240" s="103">
        <f t="shared" si="1178"/>
        <v>2129</v>
      </c>
      <c r="DU240" s="103">
        <f>DU223+DU232+DU234+DU236</f>
        <v>2219</v>
      </c>
      <c r="DV240" s="282">
        <f t="shared" si="1178"/>
        <v>8579</v>
      </c>
      <c r="DW240" s="103">
        <f>DW223+DW232+DW234+DW236</f>
        <v>2273</v>
      </c>
      <c r="DX240" s="103">
        <f>DX223+DX232+DX234+DX236</f>
        <v>2247</v>
      </c>
      <c r="DY240" s="103">
        <f>DY223+DY232+DY234+DY236</f>
        <v>2245</v>
      </c>
      <c r="DZ240" s="103">
        <f>DZ223+DZ232+DZ234+DZ236</f>
        <v>2291</v>
      </c>
      <c r="EA240" s="282">
        <f>EA223+EA232+EA234+EA236</f>
        <v>9056</v>
      </c>
      <c r="EB240" s="103">
        <f t="shared" ref="EB240:EF240" si="1179">EB223+EB232+EB234+EB236</f>
        <v>2184</v>
      </c>
      <c r="EC240" s="103">
        <f t="shared" si="1179"/>
        <v>2064</v>
      </c>
      <c r="ED240" s="103">
        <f t="shared" si="1179"/>
        <v>2006</v>
      </c>
      <c r="EE240" s="103">
        <f t="shared" si="1179"/>
        <v>1990</v>
      </c>
      <c r="EF240" s="282">
        <f t="shared" si="1179"/>
        <v>8244</v>
      </c>
      <c r="EG240" s="103">
        <f>EG223+EG232+EG234+EG236</f>
        <v>1914</v>
      </c>
      <c r="EH240" s="103">
        <f>EH223+EH232+EH234+EH236</f>
        <v>1864</v>
      </c>
      <c r="EI240" s="103">
        <f>EI223+EI232+EI234+EI236</f>
        <v>1869</v>
      </c>
      <c r="EJ240" s="103">
        <f t="shared" ref="EJ240:EK240" si="1180">EJ223+EJ232+EJ234+EJ236</f>
        <v>2033</v>
      </c>
      <c r="EK240" s="282">
        <f t="shared" si="1180"/>
        <v>7693</v>
      </c>
      <c r="EL240" s="103">
        <f>EL223+EL232+EL234+EL236</f>
        <v>1990</v>
      </c>
      <c r="EM240" s="103">
        <f>EM223+EM232+EM234+EM236</f>
        <v>1859</v>
      </c>
      <c r="EN240" s="103">
        <f>EN223+EN232+EN234+EN236</f>
        <v>1872</v>
      </c>
      <c r="EO240" s="103">
        <f t="shared" ref="EO240:EP240" si="1181">EO223+EO232+EO234+EO236</f>
        <v>1861</v>
      </c>
      <c r="EP240" s="282">
        <f t="shared" si="1181"/>
        <v>7582</v>
      </c>
      <c r="EQ240" s="103">
        <f>EQ223+EQ232+EQ234+EQ236</f>
        <v>1832</v>
      </c>
      <c r="ER240" s="103">
        <f t="shared" ref="ER240" si="1182">ER223+ER232+ER234+ER236</f>
        <v>1812.2058732901082</v>
      </c>
      <c r="ES240" s="103">
        <f t="shared" ref="ES240:EU240" si="1183">ES223+ES232+ES234+ES236</f>
        <v>1863.4757793448102</v>
      </c>
      <c r="ET240" s="103">
        <f t="shared" si="1183"/>
        <v>1970.7607928060215</v>
      </c>
      <c r="EU240" s="282">
        <f t="shared" si="1183"/>
        <v>7478.44244544094</v>
      </c>
      <c r="EV240" s="103"/>
      <c r="EW240" s="103"/>
      <c r="EX240" s="103"/>
      <c r="EY240" s="103"/>
      <c r="EZ240" s="282">
        <f>EZ223+EZ232+EZ234+EZ236</f>
        <v>7562.7274641105741</v>
      </c>
      <c r="FA240" s="103"/>
      <c r="FB240" s="103"/>
      <c r="FC240" s="103"/>
      <c r="FD240" s="103"/>
      <c r="FE240" s="282">
        <f>FE223+FE232+FE234+FE236</f>
        <v>7533.3463519675461</v>
      </c>
      <c r="FG240" s="489"/>
      <c r="FH240" s="780"/>
      <c r="FI240" s="777"/>
      <c r="FJ240" s="777"/>
      <c r="FL240" s="1347"/>
      <c r="FM240" s="103">
        <f t="shared" si="1164"/>
        <v>1832</v>
      </c>
      <c r="FN240" s="769">
        <f t="shared" si="1165"/>
        <v>1990</v>
      </c>
      <c r="FO240" s="1740">
        <v>1911.6266471721701</v>
      </c>
      <c r="FP240" s="1770">
        <f>+FM240/FN240-1</f>
        <v>-7.9396984924623104E-2</v>
      </c>
      <c r="FQ240" s="1544">
        <f>+FM240/FO240-1</f>
        <v>-4.1653869645498109E-2</v>
      </c>
      <c r="FR240" s="1619"/>
      <c r="FS240" s="1619"/>
      <c r="FT240" s="355"/>
      <c r="FU240" s="355"/>
      <c r="FV240" s="355"/>
      <c r="FW240" s="355"/>
      <c r="FX240" s="355"/>
      <c r="FY240" s="355"/>
      <c r="FZ240" s="489"/>
      <c r="GA240"/>
      <c r="GB240"/>
      <c r="GC240"/>
      <c r="GD240"/>
      <c r="GE240"/>
      <c r="GF240"/>
      <c r="GG240"/>
      <c r="GH240"/>
      <c r="GI240"/>
      <c r="GJ240"/>
      <c r="GK240"/>
      <c r="GL240"/>
      <c r="GM240"/>
      <c r="GN240"/>
      <c r="GO240"/>
      <c r="GP240"/>
      <c r="GQ240"/>
      <c r="GR240"/>
      <c r="GS240"/>
      <c r="GT240"/>
      <c r="GU240"/>
      <c r="GV240"/>
      <c r="GW240"/>
      <c r="GX240"/>
      <c r="GY240"/>
      <c r="GZ240"/>
      <c r="HA240"/>
      <c r="HB240"/>
      <c r="HC240"/>
      <c r="HD240"/>
      <c r="HE240"/>
      <c r="HF240"/>
      <c r="HG240"/>
      <c r="HH240"/>
      <c r="HI240"/>
      <c r="HJ240"/>
      <c r="HK240"/>
      <c r="HL240"/>
      <c r="HM240"/>
      <c r="HN240"/>
      <c r="HO240"/>
      <c r="HP240"/>
      <c r="HQ240"/>
      <c r="HR240"/>
      <c r="HS240"/>
      <c r="HT240"/>
      <c r="HU240"/>
      <c r="HV240"/>
      <c r="HW240"/>
      <c r="HX240"/>
      <c r="HY240"/>
      <c r="HZ240"/>
      <c r="IA240"/>
      <c r="IB240"/>
      <c r="IC240"/>
      <c r="ID240"/>
      <c r="IE240"/>
      <c r="IF240"/>
      <c r="IG240"/>
      <c r="IH240"/>
      <c r="II240"/>
      <c r="IJ240"/>
      <c r="IK240"/>
      <c r="IL240"/>
      <c r="IM240"/>
      <c r="IN240"/>
      <c r="IO240"/>
      <c r="IP240"/>
      <c r="IQ240"/>
      <c r="IR240"/>
      <c r="IS240"/>
      <c r="IT240"/>
      <c r="IU240"/>
      <c r="IV240"/>
      <c r="IW240"/>
      <c r="IX240"/>
    </row>
    <row r="241" spans="1:258" s="227" customFormat="1" x14ac:dyDescent="0.2">
      <c r="A241" s="383" t="s">
        <v>465</v>
      </c>
      <c r="B241" s="10"/>
      <c r="C241" s="10"/>
      <c r="D241" s="10"/>
      <c r="E241" s="10"/>
      <c r="F241" s="9"/>
      <c r="G241" s="10"/>
      <c r="H241" s="10"/>
      <c r="I241" s="10"/>
      <c r="J241" s="10"/>
      <c r="K241" s="9"/>
      <c r="L241" s="10"/>
      <c r="M241" s="10"/>
      <c r="N241" s="10"/>
      <c r="O241" s="10"/>
      <c r="P241" s="9"/>
      <c r="Q241" s="10"/>
      <c r="R241" s="10"/>
      <c r="S241" s="10"/>
      <c r="T241" s="10"/>
      <c r="U241" s="9"/>
      <c r="V241" s="10">
        <f t="shared" ref="V241:AV241" si="1184">V240/Q240-1</f>
        <v>1.6811279826464132E-2</v>
      </c>
      <c r="W241" s="10">
        <f t="shared" si="1184"/>
        <v>2.2438496891051596E-2</v>
      </c>
      <c r="X241" s="10">
        <f t="shared" si="1184"/>
        <v>2.9236599891716342E-2</v>
      </c>
      <c r="Y241" s="10">
        <f t="shared" si="1184"/>
        <v>2.2114347357065745E-2</v>
      </c>
      <c r="Z241" s="9">
        <f t="shared" si="1184"/>
        <v>2.2651971059571396E-2</v>
      </c>
      <c r="AA241" s="10">
        <f t="shared" si="1184"/>
        <v>4.053333333333331E-2</v>
      </c>
      <c r="AB241" s="10">
        <f t="shared" si="1184"/>
        <v>4.124801692226332E-2</v>
      </c>
      <c r="AC241" s="10">
        <f t="shared" si="1184"/>
        <v>6.3650710152551193E-2</v>
      </c>
      <c r="AD241" s="10">
        <f t="shared" si="1184"/>
        <v>8.0738786279683339E-2</v>
      </c>
      <c r="AE241" s="9">
        <f t="shared" si="1184"/>
        <v>5.6598783390637397E-2</v>
      </c>
      <c r="AF241" s="10">
        <f t="shared" si="1184"/>
        <v>5.3305996924654098E-2</v>
      </c>
      <c r="AG241" s="10">
        <f t="shared" si="1184"/>
        <v>6.5515490096495599E-2</v>
      </c>
      <c r="AH241" s="10">
        <f t="shared" si="1184"/>
        <v>4.7477744807121747E-2</v>
      </c>
      <c r="AI241" s="10">
        <f t="shared" si="1184"/>
        <v>7.275390625E-2</v>
      </c>
      <c r="AJ241" s="9">
        <f t="shared" si="1184"/>
        <v>5.9824780976220238E-2</v>
      </c>
      <c r="AK241" s="10">
        <f t="shared" si="1184"/>
        <v>2.4330900243308973E-2</v>
      </c>
      <c r="AL241" s="10">
        <f t="shared" si="1184"/>
        <v>1.7159199237368972E-2</v>
      </c>
      <c r="AM241" s="10">
        <f t="shared" si="1184"/>
        <v>1.4164305949009304E-3</v>
      </c>
      <c r="AN241" s="10">
        <f t="shared" si="1184"/>
        <v>-2.4123805188893899E-2</v>
      </c>
      <c r="AO241" s="9">
        <f t="shared" si="1184"/>
        <v>4.2512990080303403E-3</v>
      </c>
      <c r="AP241" s="10">
        <f t="shared" si="1184"/>
        <v>7.6009501187648265E-3</v>
      </c>
      <c r="AQ241" s="10">
        <f t="shared" si="1184"/>
        <v>-1.1246485473289547E-2</v>
      </c>
      <c r="AR241" s="10">
        <f t="shared" si="1184"/>
        <v>-1.885902876001877E-3</v>
      </c>
      <c r="AS241" s="10">
        <f t="shared" si="1184"/>
        <v>-1.3992537313433084E-3</v>
      </c>
      <c r="AT241" s="9">
        <f t="shared" si="1184"/>
        <v>-1.7638758231420804E-3</v>
      </c>
      <c r="AU241" s="10">
        <f t="shared" si="1184"/>
        <v>3.2060348892032131E-2</v>
      </c>
      <c r="AV241" s="10">
        <f t="shared" si="1184"/>
        <v>2.3696682464454888E-2</v>
      </c>
      <c r="AW241" s="10">
        <f t="shared" ref="AW241:CB241" si="1185">AW240/AR240-1</f>
        <v>3.6844591402928728E-2</v>
      </c>
      <c r="AX241" s="10">
        <f t="shared" si="1185"/>
        <v>4.3904717421765493E-2</v>
      </c>
      <c r="AY241" s="9">
        <f t="shared" si="1185"/>
        <v>3.4161856520202649E-2</v>
      </c>
      <c r="AZ241" s="10">
        <f t="shared" si="1185"/>
        <v>3.4719049794426748E-2</v>
      </c>
      <c r="BA241" s="10">
        <f t="shared" si="1185"/>
        <v>8.4074074074073968E-2</v>
      </c>
      <c r="BB241" s="10">
        <f t="shared" si="1185"/>
        <v>0.17995444191343957</v>
      </c>
      <c r="BC241" s="10">
        <f t="shared" si="1185"/>
        <v>0.15946308724832226</v>
      </c>
      <c r="BD241" s="9">
        <f t="shared" si="1185"/>
        <v>0.11493336370885077</v>
      </c>
      <c r="BE241" s="10">
        <f t="shared" si="1185"/>
        <v>-0.13156732891832235</v>
      </c>
      <c r="BF241" s="10">
        <f t="shared" si="1185"/>
        <v>-0.15058079945336522</v>
      </c>
      <c r="BG241" s="10">
        <f t="shared" si="1185"/>
        <v>-0.29922779922779918</v>
      </c>
      <c r="BH241" s="10">
        <f t="shared" si="1185"/>
        <v>-0.29420390522497497</v>
      </c>
      <c r="BI241" s="9">
        <f t="shared" si="1185"/>
        <v>-0.34276665304454434</v>
      </c>
      <c r="BJ241" s="10">
        <f>BJ240/BE240-1</f>
        <v>-6.6598881545500754E-2</v>
      </c>
      <c r="BK241" s="10">
        <f>BK240/BF240-1</f>
        <v>-9.9044746103569614E-2</v>
      </c>
      <c r="BL241" s="10">
        <f>BL240/BG240-1</f>
        <v>-4.2975206611570282E-2</v>
      </c>
      <c r="BM241" s="10">
        <f>BM240/BH240-1</f>
        <v>-5.5768179332968848E-2</v>
      </c>
      <c r="BN241" s="9">
        <f>BN240/BI240-1</f>
        <v>-3.1400590704181552E-2</v>
      </c>
      <c r="BO241" s="10">
        <f t="shared" si="1185"/>
        <v>-4.5751633986928053E-2</v>
      </c>
      <c r="BP241" s="10">
        <f t="shared" si="1185"/>
        <v>-1.6183035714285698E-2</v>
      </c>
      <c r="BQ241" s="10">
        <f t="shared" si="1185"/>
        <v>2.4179620034542326E-2</v>
      </c>
      <c r="BR241" s="10">
        <f t="shared" si="1185"/>
        <v>8.6855819339894946E-3</v>
      </c>
      <c r="BS241" s="9">
        <f t="shared" si="1185"/>
        <v>-1.1876103354196754E-2</v>
      </c>
      <c r="BT241" s="10">
        <f t="shared" si="1185"/>
        <v>4.9657534246575263E-2</v>
      </c>
      <c r="BU241" s="10">
        <f t="shared" si="1185"/>
        <v>-6.012478729438453E-2</v>
      </c>
      <c r="BV241" s="10">
        <f t="shared" si="1185"/>
        <v>-8.3754918493535668E-2</v>
      </c>
      <c r="BW241" s="10">
        <f t="shared" si="1185"/>
        <v>-3.6165327210103348E-2</v>
      </c>
      <c r="BX241" s="9">
        <f t="shared" si="1185"/>
        <v>5.1648530128309167E-2</v>
      </c>
      <c r="BY241" s="10">
        <f t="shared" si="1185"/>
        <v>-4.948341489940189E-2</v>
      </c>
      <c r="BZ241" s="10">
        <f t="shared" si="1185"/>
        <v>4.3452021726010814E-2</v>
      </c>
      <c r="CA241" s="10">
        <f t="shared" si="1185"/>
        <v>5.3987730061349604E-2</v>
      </c>
      <c r="CB241" s="10">
        <f t="shared" si="1185"/>
        <v>0.11078022632519358</v>
      </c>
      <c r="CC241" s="9">
        <f t="shared" ref="CC241:DU241" si="1186">CC240/BX240-1</f>
        <v>8.1081081081081141E-2</v>
      </c>
      <c r="CD241" s="10">
        <f t="shared" si="1186"/>
        <v>5.1487414187643132E-3</v>
      </c>
      <c r="CE241" s="10">
        <f t="shared" si="1186"/>
        <v>8.6755349913245627E-3</v>
      </c>
      <c r="CF241" s="10">
        <f t="shared" si="1186"/>
        <v>3.1431897555296961E-2</v>
      </c>
      <c r="CG241" s="10">
        <f t="shared" si="1186"/>
        <v>-3.1099195710455718E-2</v>
      </c>
      <c r="CH241" s="9">
        <f t="shared" si="1186"/>
        <v>4.0571428571428481E-2</v>
      </c>
      <c r="CI241" s="10">
        <f t="shared" si="1186"/>
        <v>4.9516220830961855E-2</v>
      </c>
      <c r="CJ241" s="10">
        <f t="shared" si="1186"/>
        <v>9.0596330275229286E-2</v>
      </c>
      <c r="CK241" s="10">
        <f t="shared" si="1186"/>
        <v>9.7065462753950449E-2</v>
      </c>
      <c r="CL241" s="10">
        <f t="shared" si="1186"/>
        <v>6.1427780852241209E-2</v>
      </c>
      <c r="CM241" s="9">
        <f t="shared" si="1186"/>
        <v>4.4481054365733019E-2</v>
      </c>
      <c r="CN241" s="10">
        <f t="shared" si="1186"/>
        <v>6.0195227765726722E-2</v>
      </c>
      <c r="CO241" s="10">
        <f t="shared" si="1186"/>
        <v>8.4121976866455839E-3</v>
      </c>
      <c r="CP241" s="10">
        <f t="shared" si="1186"/>
        <v>-5.1440329218110925E-4</v>
      </c>
      <c r="CQ241" s="10">
        <f t="shared" si="1186"/>
        <v>3.2325338894682032E-2</v>
      </c>
      <c r="CR241" s="9">
        <f t="shared" si="1186"/>
        <v>2.4710830704521625E-2</v>
      </c>
      <c r="CS241" s="10">
        <f t="shared" si="1186"/>
        <v>6.854219948849094E-2</v>
      </c>
      <c r="CT241" s="10">
        <f t="shared" si="1186"/>
        <v>0.14181438998957252</v>
      </c>
      <c r="CU241" s="10">
        <f t="shared" si="1186"/>
        <v>0.1466803911477097</v>
      </c>
      <c r="CV241" s="10">
        <f t="shared" si="1186"/>
        <v>1.0101010101009056E-3</v>
      </c>
      <c r="CW241" s="9">
        <f t="shared" si="1186"/>
        <v>8.8891739353514687E-2</v>
      </c>
      <c r="CX241" s="10">
        <f t="shared" si="1186"/>
        <v>-0.17424605074198185</v>
      </c>
      <c r="CY241" s="10">
        <f t="shared" si="1186"/>
        <v>-0.26803652968036529</v>
      </c>
      <c r="CZ241" s="10">
        <f t="shared" si="1186"/>
        <v>-0.24102333931777375</v>
      </c>
      <c r="DA241" s="10">
        <f t="shared" si="1186"/>
        <v>-0.12361251261352169</v>
      </c>
      <c r="DB241" s="9">
        <f t="shared" si="1186"/>
        <v>-0.20414654258452114</v>
      </c>
      <c r="DC241" s="10">
        <f t="shared" si="1186"/>
        <v>7.6521739130434696E-2</v>
      </c>
      <c r="DD241" s="10">
        <f t="shared" si="1186"/>
        <v>0.1821584529008109</v>
      </c>
      <c r="DE241" s="10">
        <f t="shared" si="1186"/>
        <v>8.870490833826139E-2</v>
      </c>
      <c r="DF241" s="10">
        <f t="shared" si="1186"/>
        <v>0.13413932066781808</v>
      </c>
      <c r="DG241" s="9">
        <f t="shared" si="1186"/>
        <v>0.11944937833037295</v>
      </c>
      <c r="DH241" s="10">
        <f t="shared" si="1186"/>
        <v>9.6930533117932205E-2</v>
      </c>
      <c r="DI241" s="10">
        <f t="shared" si="1186"/>
        <v>0.10448548812664904</v>
      </c>
      <c r="DJ241" s="10">
        <f t="shared" si="1186"/>
        <v>0.13253666485605642</v>
      </c>
      <c r="DK241" s="10">
        <f t="shared" si="1186"/>
        <v>7.1065989847715727E-2</v>
      </c>
      <c r="DL241" s="9">
        <f>DL240/DG240-1</f>
        <v>0.10075366917889728</v>
      </c>
      <c r="DM241" s="10">
        <f t="shared" si="1186"/>
        <v>3.5837015218458612E-2</v>
      </c>
      <c r="DN241" s="10">
        <f t="shared" si="1186"/>
        <v>-1.1466794075489672E-2</v>
      </c>
      <c r="DO241" s="10">
        <f t="shared" si="1186"/>
        <v>-2.1582733812949617E-2</v>
      </c>
      <c r="DP241" s="10">
        <f t="shared" si="1186"/>
        <v>-1.4218009478673022E-2</v>
      </c>
      <c r="DQ241" s="9">
        <f t="shared" ref="DQ241:DV241" si="1187">DQ240/DL240-1</f>
        <v>-3.1231231231231282E-3</v>
      </c>
      <c r="DR241" s="10">
        <f t="shared" si="1186"/>
        <v>-3.3175355450236754E-3</v>
      </c>
      <c r="DS241" s="10">
        <f t="shared" si="1186"/>
        <v>2.8516191396809942E-2</v>
      </c>
      <c r="DT241" s="10">
        <f t="shared" si="1187"/>
        <v>4.3627450980392224E-2</v>
      </c>
      <c r="DU241" s="10">
        <f t="shared" si="1186"/>
        <v>6.6826923076923173E-2</v>
      </c>
      <c r="DV241" s="9">
        <f t="shared" si="1187"/>
        <v>3.3739004699361308E-2</v>
      </c>
      <c r="DW241" s="10">
        <f t="shared" ref="DW241:ED241" si="1188">DW240/DR240-1</f>
        <v>8.0836899667142248E-2</v>
      </c>
      <c r="DX241" s="10">
        <f t="shared" si="1188"/>
        <v>5.5921052631578982E-2</v>
      </c>
      <c r="DY241" s="10">
        <f t="shared" si="1188"/>
        <v>5.4485674025364084E-2</v>
      </c>
      <c r="DZ241" s="10">
        <f t="shared" si="1188"/>
        <v>3.2447048219918839E-2</v>
      </c>
      <c r="EA241" s="9">
        <f t="shared" si="1188"/>
        <v>5.5600885884135698E-2</v>
      </c>
      <c r="EB241" s="10">
        <f t="shared" si="1188"/>
        <v>-3.9155301363836381E-2</v>
      </c>
      <c r="EC241" s="10">
        <f t="shared" si="1188"/>
        <v>-8.1441922563417868E-2</v>
      </c>
      <c r="ED241" s="10">
        <f t="shared" si="1188"/>
        <v>-0.10645879732739416</v>
      </c>
      <c r="EE241" s="10">
        <f t="shared" ref="EE241:EI241" si="1189">EE240/DZ240-1</f>
        <v>-0.13138367525098216</v>
      </c>
      <c r="EF241" s="9">
        <f t="shared" si="1189"/>
        <v>-8.9664310954063575E-2</v>
      </c>
      <c r="EG241" s="10">
        <f t="shared" si="1189"/>
        <v>-0.12362637362637363</v>
      </c>
      <c r="EH241" s="10">
        <f t="shared" si="1189"/>
        <v>-9.68992248062015E-2</v>
      </c>
      <c r="EI241" s="10">
        <f t="shared" si="1189"/>
        <v>-6.8295114656031886E-2</v>
      </c>
      <c r="EJ241" s="10">
        <f t="shared" ref="EJ241" si="1190">EJ240/EE240-1</f>
        <v>2.1608040201005041E-2</v>
      </c>
      <c r="EK241" s="9">
        <f t="shared" ref="EK241:EQ241" si="1191">EK240/EF240-1</f>
        <v>-6.6836487142163947E-2</v>
      </c>
      <c r="EL241" s="10">
        <f t="shared" si="1191"/>
        <v>3.9707419017763756E-2</v>
      </c>
      <c r="EM241" s="10">
        <f t="shared" si="1191"/>
        <v>-2.6824034334763658E-3</v>
      </c>
      <c r="EN241" s="10">
        <f t="shared" si="1191"/>
        <v>1.6051364365972098E-3</v>
      </c>
      <c r="EO241" s="10">
        <f t="shared" si="1191"/>
        <v>-8.4604033448106297E-2</v>
      </c>
      <c r="EP241" s="9">
        <f t="shared" si="1191"/>
        <v>-1.4428701416872469E-2</v>
      </c>
      <c r="EQ241" s="10">
        <f t="shared" si="1191"/>
        <v>-7.9396984924623104E-2</v>
      </c>
      <c r="ER241" s="10">
        <f t="shared" ref="ER241" si="1192">ER240/EM240-1</f>
        <v>-2.517166579337915E-2</v>
      </c>
      <c r="ES241" s="10">
        <f t="shared" ref="ES241:EU241" si="1193">ES240/EN240-1</f>
        <v>-4.553536674780867E-3</v>
      </c>
      <c r="ET241" s="10">
        <f t="shared" si="1193"/>
        <v>5.8979469535745066E-2</v>
      </c>
      <c r="EU241" s="9">
        <f t="shared" si="1193"/>
        <v>-1.3658342727388528E-2</v>
      </c>
      <c r="EV241" s="55"/>
      <c r="EW241" s="55"/>
      <c r="EX241" s="55"/>
      <c r="EY241" s="55"/>
      <c r="EZ241" s="9">
        <f>EZ240/EU240-1</f>
        <v>1.1270397450342973E-2</v>
      </c>
      <c r="FA241" s="55"/>
      <c r="FB241" s="55"/>
      <c r="FC241" s="55"/>
      <c r="FD241" s="55"/>
      <c r="FE241" s="9">
        <f>FE240/EZ240-1</f>
        <v>-3.884988885618057E-3</v>
      </c>
      <c r="FG241" s="464"/>
      <c r="FH241" s="809"/>
      <c r="FI241" s="780"/>
      <c r="FJ241" s="780"/>
      <c r="FK241" s="186"/>
      <c r="FL241" s="1348"/>
      <c r="FM241" s="10">
        <f t="shared" si="1164"/>
        <v>-7.9396984924623104E-2</v>
      </c>
      <c r="FN241" s="1418">
        <f t="shared" si="1165"/>
        <v>3.9707419017763756E-2</v>
      </c>
      <c r="FO241" s="1750">
        <v>-3.6478504449511062E-2</v>
      </c>
      <c r="FP241" s="1751"/>
      <c r="FQ241" s="1503">
        <f>+(FM241-FO241)*10000</f>
        <v>-429.1848047511204</v>
      </c>
      <c r="FR241" s="1625"/>
      <c r="FS241" s="1619"/>
      <c r="FT241" s="432"/>
      <c r="FU241" s="432"/>
      <c r="FV241" s="432"/>
      <c r="FW241" s="432"/>
      <c r="FX241" s="432"/>
      <c r="FY241" s="432"/>
      <c r="FZ241" s="464"/>
      <c r="GA241"/>
      <c r="GB241"/>
      <c r="GC241"/>
      <c r="GD241"/>
      <c r="GE241"/>
      <c r="GF241"/>
      <c r="GG241"/>
      <c r="GH241"/>
      <c r="GI241"/>
      <c r="GJ241"/>
      <c r="GK241"/>
      <c r="GL241"/>
      <c r="GM241"/>
      <c r="GN241"/>
      <c r="GO241"/>
      <c r="GP241"/>
      <c r="GQ241"/>
      <c r="GR241"/>
      <c r="GS241"/>
      <c r="GT241"/>
      <c r="GU241"/>
      <c r="GV241"/>
      <c r="GW241"/>
      <c r="GX241"/>
      <c r="GY241"/>
      <c r="GZ241"/>
      <c r="HA241"/>
      <c r="HB241"/>
      <c r="HC241"/>
      <c r="HD241"/>
      <c r="HE241"/>
      <c r="HF241"/>
      <c r="HG241"/>
      <c r="HH241"/>
      <c r="HI241"/>
      <c r="HJ241"/>
      <c r="HK241"/>
      <c r="HL241"/>
      <c r="HM241"/>
      <c r="HN241"/>
      <c r="HO241"/>
      <c r="HP241"/>
      <c r="HQ241"/>
      <c r="HR241"/>
      <c r="HS241"/>
      <c r="HT241"/>
      <c r="HU241"/>
      <c r="HV241"/>
      <c r="HW241"/>
      <c r="HX241"/>
      <c r="HY241"/>
      <c r="HZ241"/>
      <c r="IA241"/>
      <c r="IB241"/>
      <c r="IC241"/>
      <c r="ID241"/>
      <c r="IE241"/>
      <c r="IF241"/>
      <c r="IG241"/>
      <c r="IH241"/>
      <c r="II241"/>
      <c r="IJ241"/>
      <c r="IK241"/>
      <c r="IL241"/>
      <c r="IM241"/>
      <c r="IN241"/>
      <c r="IO241"/>
      <c r="IP241"/>
      <c r="IQ241"/>
      <c r="IR241"/>
      <c r="IS241"/>
      <c r="IT241"/>
      <c r="IU241"/>
      <c r="IV241"/>
      <c r="IW241"/>
      <c r="IX241"/>
    </row>
    <row r="242" spans="1:258" s="186" customFormat="1" x14ac:dyDescent="0.2">
      <c r="A242" s="604" t="s">
        <v>315</v>
      </c>
      <c r="B242" s="364"/>
      <c r="C242" s="364"/>
      <c r="D242" s="364"/>
      <c r="E242" s="364"/>
      <c r="F242" s="365"/>
      <c r="G242" s="364"/>
      <c r="H242" s="364"/>
      <c r="I242" s="364"/>
      <c r="J242" s="364"/>
      <c r="K242" s="365"/>
      <c r="L242" s="364"/>
      <c r="M242" s="364"/>
      <c r="N242" s="364"/>
      <c r="O242" s="364"/>
      <c r="P242" s="365"/>
      <c r="Q242" s="364">
        <f t="shared" ref="Q242:AV242" si="1194">Q240/Q238</f>
        <v>0.92477432296890671</v>
      </c>
      <c r="R242" s="364">
        <f t="shared" si="1194"/>
        <v>0.88395528873037221</v>
      </c>
      <c r="S242" s="364">
        <f t="shared" si="1194"/>
        <v>0.88166499594252701</v>
      </c>
      <c r="T242" s="364">
        <f t="shared" si="1194"/>
        <v>0.87407477252369059</v>
      </c>
      <c r="U242" s="365">
        <f t="shared" si="1194"/>
        <v>0.89065676354284407</v>
      </c>
      <c r="V242" s="364">
        <f t="shared" si="1194"/>
        <v>0.9268413247652002</v>
      </c>
      <c r="W242" s="364">
        <f t="shared" si="1194"/>
        <v>0.87668057487250817</v>
      </c>
      <c r="X242" s="364">
        <f t="shared" si="1194"/>
        <v>0.88418604651162791</v>
      </c>
      <c r="Y242" s="364">
        <f t="shared" si="1194"/>
        <v>0.86411308709530321</v>
      </c>
      <c r="Z242" s="365">
        <f t="shared" si="1194"/>
        <v>0.88724627478587348</v>
      </c>
      <c r="AA242" s="364">
        <f t="shared" si="1194"/>
        <v>0.91381733021077283</v>
      </c>
      <c r="AB242" s="364">
        <f t="shared" si="1194"/>
        <v>0.87046861184792224</v>
      </c>
      <c r="AC242" s="364">
        <f t="shared" si="1194"/>
        <v>0.8582342954159593</v>
      </c>
      <c r="AD242" s="364">
        <f t="shared" si="1194"/>
        <v>0.85120532003325022</v>
      </c>
      <c r="AE242" s="365">
        <f t="shared" si="1194"/>
        <v>0.8723659788186483</v>
      </c>
      <c r="AF242" s="364">
        <f t="shared" si="1194"/>
        <v>0.88730569948186533</v>
      </c>
      <c r="AG242" s="364">
        <f t="shared" si="1194"/>
        <v>0.86408566721581548</v>
      </c>
      <c r="AH242" s="364">
        <f t="shared" si="1194"/>
        <v>0.86484279297672517</v>
      </c>
      <c r="AI242" s="364">
        <f t="shared" si="1194"/>
        <v>0.859210011732499</v>
      </c>
      <c r="AJ242" s="365">
        <f t="shared" si="1194"/>
        <v>0.86851282051282053</v>
      </c>
      <c r="AK242" s="364">
        <f t="shared" si="1194"/>
        <v>0.88334032731850609</v>
      </c>
      <c r="AL242" s="364">
        <f t="shared" si="1194"/>
        <v>0.84884645982498008</v>
      </c>
      <c r="AM242" s="364">
        <f t="shared" si="1194"/>
        <v>0.85420861860652442</v>
      </c>
      <c r="AN242" s="364">
        <f t="shared" si="1194"/>
        <v>0.84609313338595105</v>
      </c>
      <c r="AO242" s="365">
        <f t="shared" si="1194"/>
        <v>0.85777688117813189</v>
      </c>
      <c r="AP242" s="364">
        <f t="shared" si="1194"/>
        <v>0.86819484240687683</v>
      </c>
      <c r="AQ242" s="364">
        <f t="shared" si="1194"/>
        <v>0.83544504276211584</v>
      </c>
      <c r="AR242" s="364">
        <f t="shared" si="1194"/>
        <v>0.8525976641159887</v>
      </c>
      <c r="AS242" s="364">
        <f t="shared" si="1194"/>
        <v>0.83927871422971378</v>
      </c>
      <c r="AT242" s="365">
        <f t="shared" si="1194"/>
        <v>0.8486793433707237</v>
      </c>
      <c r="AU242" s="364">
        <f t="shared" si="1194"/>
        <v>0.88731252533441429</v>
      </c>
      <c r="AV242" s="364">
        <f t="shared" si="1194"/>
        <v>0.86538461538461542</v>
      </c>
      <c r="AW242" s="364">
        <f t="shared" ref="AW242:CB242" si="1195">AW240/AW238</f>
        <v>0.90143737166324434</v>
      </c>
      <c r="AX242" s="364">
        <f t="shared" si="1195"/>
        <v>0.89008363201911589</v>
      </c>
      <c r="AY242" s="365">
        <f t="shared" si="1195"/>
        <v>0.88596225653446359</v>
      </c>
      <c r="AZ242" s="364">
        <f t="shared" si="1195"/>
        <v>0.89138134592680052</v>
      </c>
      <c r="BA242" s="364">
        <f t="shared" si="1195"/>
        <v>0.89510703363914368</v>
      </c>
      <c r="BB242" s="364">
        <f t="shared" si="1195"/>
        <v>0.89125946317962834</v>
      </c>
      <c r="BC242" s="364">
        <f t="shared" si="1195"/>
        <v>0.9430131004366813</v>
      </c>
      <c r="BD242" s="365">
        <f t="shared" si="1195"/>
        <v>0.90537415595227089</v>
      </c>
      <c r="BE242" s="364">
        <f t="shared" si="1195"/>
        <v>0.91616208663251053</v>
      </c>
      <c r="BF242" s="364">
        <f t="shared" si="1195"/>
        <v>0.90821917808219177</v>
      </c>
      <c r="BG242" s="364">
        <f t="shared" si="1195"/>
        <v>0.89014222658165765</v>
      </c>
      <c r="BH242" s="364">
        <f t="shared" si="1195"/>
        <v>0.89350268685881773</v>
      </c>
      <c r="BI242" s="365">
        <f t="shared" si="1195"/>
        <v>0.88816788623498555</v>
      </c>
      <c r="BJ242" s="364">
        <f t="shared" si="1195"/>
        <v>0.90666666666666662</v>
      </c>
      <c r="BK242" s="364">
        <f t="shared" si="1195"/>
        <v>0.87117160913952363</v>
      </c>
      <c r="BL242" s="364">
        <f t="shared" si="1195"/>
        <v>0.86032689450222888</v>
      </c>
      <c r="BM242" s="364">
        <f t="shared" si="1195"/>
        <v>0.86005976095617531</v>
      </c>
      <c r="BN242" s="365">
        <f t="shared" si="1195"/>
        <v>0.86613844870725609</v>
      </c>
      <c r="BO242" s="364">
        <f t="shared" si="1195"/>
        <v>0.89205702647657836</v>
      </c>
      <c r="BP242" s="364">
        <f t="shared" si="1195"/>
        <v>0.85045827303424992</v>
      </c>
      <c r="BQ242" s="364">
        <f t="shared" si="1195"/>
        <v>0.86569343065693427</v>
      </c>
      <c r="BR242" s="364">
        <f t="shared" si="1195"/>
        <v>0.84563106796116505</v>
      </c>
      <c r="BS242" s="365">
        <f t="shared" si="1195"/>
        <v>0.85716274537101489</v>
      </c>
      <c r="BT242" s="364">
        <f t="shared" si="1195"/>
        <v>0.91220238095238093</v>
      </c>
      <c r="BU242" s="364">
        <f t="shared" si="1195"/>
        <v>0.85280494081317548</v>
      </c>
      <c r="BV242" s="364">
        <f t="shared" si="1195"/>
        <v>0.86518046709129515</v>
      </c>
      <c r="BW242" s="364">
        <f t="shared" si="1195"/>
        <v>0.85838445807770958</v>
      </c>
      <c r="BX242" s="365">
        <f t="shared" si="1195"/>
        <v>0.86971121558092679</v>
      </c>
      <c r="BY242" s="364">
        <f t="shared" si="1195"/>
        <v>0.88866293848500255</v>
      </c>
      <c r="BZ242" s="364">
        <f t="shared" si="1195"/>
        <v>0.84963144963144965</v>
      </c>
      <c r="CA242" s="364">
        <f t="shared" si="1195"/>
        <v>0.86549118387909318</v>
      </c>
      <c r="CB242" s="364">
        <f t="shared" si="1195"/>
        <v>0.85472043996333635</v>
      </c>
      <c r="CC242" s="365">
        <f t="shared" ref="CC242:DL242" si="1196">CC240/CC238</f>
        <v>0.87075506903843758</v>
      </c>
      <c r="CD242" s="364">
        <f t="shared" si="1196"/>
        <v>0.83230696352439604</v>
      </c>
      <c r="CE242" s="364">
        <f t="shared" si="1196"/>
        <v>0.80815569972196477</v>
      </c>
      <c r="CF242" s="364">
        <f t="shared" si="1196"/>
        <v>0.83388235294117652</v>
      </c>
      <c r="CG242" s="364">
        <f t="shared" si="1196"/>
        <v>0.81433077963046419</v>
      </c>
      <c r="CH242" s="365">
        <f t="shared" si="1196"/>
        <v>0.84687826996860827</v>
      </c>
      <c r="CI242" s="364">
        <f t="shared" si="1196"/>
        <v>0.78803418803418801</v>
      </c>
      <c r="CJ242" s="364">
        <f t="shared" si="1196"/>
        <v>0.78530140379851365</v>
      </c>
      <c r="CK242" s="364">
        <f t="shared" si="1196"/>
        <v>0.80397022332506207</v>
      </c>
      <c r="CL242" s="364">
        <f t="shared" si="1196"/>
        <v>0.79983319432860722</v>
      </c>
      <c r="CM242" s="365">
        <f t="shared" si="1196"/>
        <v>0.79531674681162445</v>
      </c>
      <c r="CN242" s="364">
        <f t="shared" si="1196"/>
        <v>0.80685101114321089</v>
      </c>
      <c r="CO242" s="364">
        <f t="shared" si="1196"/>
        <v>0.75780323982615572</v>
      </c>
      <c r="CP242" s="364">
        <f t="shared" si="1196"/>
        <v>0.77595846645367417</v>
      </c>
      <c r="CQ242" s="364">
        <f t="shared" si="1196"/>
        <v>0.76833527357392317</v>
      </c>
      <c r="CR242" s="365">
        <f t="shared" si="1196"/>
        <v>0.77726819541375869</v>
      </c>
      <c r="CS242" s="364">
        <f t="shared" si="1196"/>
        <v>0.76999631404349433</v>
      </c>
      <c r="CT242" s="364">
        <f t="shared" si="1196"/>
        <v>0.75335397316821462</v>
      </c>
      <c r="CU242" s="364">
        <f t="shared" si="1196"/>
        <v>0.75244849712934825</v>
      </c>
      <c r="CV242" s="364">
        <f t="shared" si="1196"/>
        <v>0.74121166791323856</v>
      </c>
      <c r="CW242" s="365">
        <f t="shared" si="1196"/>
        <v>0.75424255886272773</v>
      </c>
      <c r="CX242" s="364">
        <f t="shared" si="1196"/>
        <v>0.76769025367156207</v>
      </c>
      <c r="CY242" s="364">
        <f t="shared" si="1196"/>
        <v>0.73363844393592681</v>
      </c>
      <c r="CZ242" s="364">
        <f t="shared" si="1196"/>
        <v>0.73875054608999569</v>
      </c>
      <c r="DA242" s="364">
        <f t="shared" si="1196"/>
        <v>0.74870689655172418</v>
      </c>
      <c r="DB242" s="365">
        <f t="shared" si="1196"/>
        <v>0.74726247096560117</v>
      </c>
      <c r="DC242" s="364">
        <f t="shared" si="1196"/>
        <v>0.74548374146928942</v>
      </c>
      <c r="DD242" s="364">
        <f t="shared" si="1196"/>
        <v>0.71160345475028164</v>
      </c>
      <c r="DE242" s="364">
        <f t="shared" si="1196"/>
        <v>0.69054763690922727</v>
      </c>
      <c r="DF242" s="364">
        <f t="shared" si="1196"/>
        <v>0.69957386363636365</v>
      </c>
      <c r="DG242" s="365">
        <f t="shared" si="1196"/>
        <v>0.71107559232794282</v>
      </c>
      <c r="DH242" s="364">
        <f t="shared" si="1196"/>
        <v>0.7205518217191369</v>
      </c>
      <c r="DI242" s="364">
        <f>DI240/DI238</f>
        <v>0.69465648854961837</v>
      </c>
      <c r="DJ242" s="364">
        <f>DJ240/DJ238</f>
        <v>0.70391627278865632</v>
      </c>
      <c r="DK242" s="364">
        <f>DK240/DK238</f>
        <v>0.70497828265953888</v>
      </c>
      <c r="DL242" s="365">
        <f t="shared" si="1196"/>
        <v>0.70580754557015679</v>
      </c>
      <c r="DM242" s="364">
        <f t="shared" ref="DM242:DV242" si="1197">DM240/DM238</f>
        <v>0.69913850231941688</v>
      </c>
      <c r="DN242" s="364">
        <f t="shared" si="1197"/>
        <v>0.69290020093770932</v>
      </c>
      <c r="DO242" s="364">
        <f>DO240/DO238</f>
        <v>0.71229050279329609</v>
      </c>
      <c r="DP242" s="364">
        <f>DP240/DP238</f>
        <v>0.71848013816925738</v>
      </c>
      <c r="DQ242" s="365">
        <f t="shared" si="1197"/>
        <v>0.70551730000850121</v>
      </c>
      <c r="DR242" s="364">
        <f>DR240/DR238</f>
        <v>0.71750255885363357</v>
      </c>
      <c r="DS242" s="364">
        <f>DS240/DS238</f>
        <v>0.7023102310231023</v>
      </c>
      <c r="DT242" s="364">
        <f t="shared" si="1197"/>
        <v>0.72563053851397408</v>
      </c>
      <c r="DU242" s="364">
        <f>DU240/DU238</f>
        <v>0.73186015831134565</v>
      </c>
      <c r="DV242" s="365">
        <f t="shared" si="1197"/>
        <v>0.71929236186803047</v>
      </c>
      <c r="DW242" s="364">
        <f>DW240/DW238</f>
        <v>0.76868447751099089</v>
      </c>
      <c r="DX242" s="364">
        <f>DX240/DX238</f>
        <v>0.69502010516548096</v>
      </c>
      <c r="DY242" s="364">
        <f>DY240/DY238</f>
        <v>0.70068664169787764</v>
      </c>
      <c r="DZ242" s="364">
        <f>DZ240/DZ238</f>
        <v>0.71771515027691135</v>
      </c>
      <c r="EA242" s="365">
        <f>EA240/EA238</f>
        <v>0.71952539531220439</v>
      </c>
      <c r="EB242" s="364">
        <f t="shared" ref="EB242:EF242" si="1198">EB240/EB238</f>
        <v>0.74059003051881989</v>
      </c>
      <c r="EC242" s="364">
        <f t="shared" si="1198"/>
        <v>0.67783251231527097</v>
      </c>
      <c r="ED242" s="364">
        <f t="shared" si="1198"/>
        <v>0.68254508336168762</v>
      </c>
      <c r="EE242" s="364">
        <f t="shared" si="1198"/>
        <v>0.71556993887090969</v>
      </c>
      <c r="EF242" s="365">
        <f t="shared" si="1198"/>
        <v>0.7037732627625064</v>
      </c>
      <c r="EG242" s="364">
        <f>EG240/EG238</f>
        <v>0.73109243697478987</v>
      </c>
      <c r="EH242" s="364">
        <f>EH240/EH238</f>
        <v>0.68934911242603547</v>
      </c>
      <c r="EI242" s="364">
        <f>EI240/EI238</f>
        <v>0.68966789667896677</v>
      </c>
      <c r="EJ242" s="364">
        <f t="shared" ref="EJ242:EK242" si="1199">EJ240/EJ238</f>
        <v>0.66941060256832396</v>
      </c>
      <c r="EK242" s="365">
        <f t="shared" si="1199"/>
        <v>0.69500406540789594</v>
      </c>
      <c r="EL242" s="364">
        <f>EL240/EL238</f>
        <v>0.69362147089578252</v>
      </c>
      <c r="EM242" s="364">
        <f>EM240/EM238</f>
        <v>0.63382202523013975</v>
      </c>
      <c r="EN242" s="364">
        <f>EN240/EN238</f>
        <v>0.68246445497630337</v>
      </c>
      <c r="EO242" s="364">
        <f t="shared" ref="EO242:EP242" si="1200">EO240/EO238</f>
        <v>0.65001746419839335</v>
      </c>
      <c r="EP242" s="365">
        <f t="shared" si="1200"/>
        <v>0.66462131837307148</v>
      </c>
      <c r="EQ242" s="364">
        <f>EQ240/EQ238</f>
        <v>0.63699582753824757</v>
      </c>
      <c r="ER242" s="364">
        <f t="shared" ref="ER242" si="1201">ER240/ER238</f>
        <v>0.62948121555449577</v>
      </c>
      <c r="ES242" s="364">
        <f t="shared" ref="ES242:EU242" si="1202">ES240/ES238</f>
        <v>0.64761030157588961</v>
      </c>
      <c r="ET242" s="364">
        <f t="shared" si="1202"/>
        <v>0.6483624851527694</v>
      </c>
      <c r="EU242" s="1990">
        <f t="shared" si="1202"/>
        <v>0.6407192079384274</v>
      </c>
      <c r="EV242" s="722"/>
      <c r="EW242" s="722"/>
      <c r="EX242" s="722"/>
      <c r="EY242" s="722"/>
      <c r="EZ242" s="1990">
        <f>EZ240/EZ238</f>
        <v>0.63413370723361184</v>
      </c>
      <c r="FA242" s="722"/>
      <c r="FB242" s="722"/>
      <c r="FC242" s="722"/>
      <c r="FD242" s="722"/>
      <c r="FE242" s="1990">
        <f>FE240/FE238</f>
        <v>0.61573699261121428</v>
      </c>
      <c r="FG242" s="489"/>
      <c r="FH242" s="809"/>
      <c r="FI242" s="1991"/>
      <c r="FJ242" s="780"/>
      <c r="FL242" s="1348"/>
      <c r="FM242" s="364">
        <f t="shared" si="1164"/>
        <v>0.63699582753824757</v>
      </c>
      <c r="FN242" s="794">
        <f t="shared" si="1165"/>
        <v>0.69362147089578252</v>
      </c>
      <c r="FO242" s="1877">
        <v>0.68059024211538666</v>
      </c>
      <c r="FP242" s="1771">
        <f>+(FM242-FN242)*10000</f>
        <v>-566.25643357534955</v>
      </c>
      <c r="FQ242" s="1504">
        <f>+(FM242-FO242)*10000</f>
        <v>-435.94414577139082</v>
      </c>
      <c r="FR242" s="1625" t="s">
        <v>821</v>
      </c>
      <c r="FS242" s="1619"/>
      <c r="FT242" s="354"/>
      <c r="FU242" s="354"/>
      <c r="FV242" s="354"/>
      <c r="FW242" s="354"/>
      <c r="FX242" s="354"/>
      <c r="FY242" s="354"/>
      <c r="FZ242" s="489"/>
      <c r="GA242"/>
      <c r="GB242"/>
      <c r="GC242"/>
      <c r="GD242"/>
      <c r="GE242"/>
      <c r="GF242"/>
      <c r="GG242"/>
      <c r="GH242"/>
      <c r="GI242"/>
      <c r="GJ242"/>
      <c r="GK242"/>
      <c r="GL242"/>
      <c r="GM242"/>
      <c r="GN242"/>
      <c r="GO242"/>
      <c r="GP242"/>
      <c r="GQ242"/>
      <c r="GR242"/>
      <c r="GS242"/>
      <c r="GT242"/>
      <c r="GU242"/>
      <c r="GV242"/>
      <c r="GW242"/>
      <c r="GX242"/>
      <c r="GY242"/>
      <c r="GZ242"/>
      <c r="HA242"/>
      <c r="HB242"/>
      <c r="HC242"/>
      <c r="HD242"/>
      <c r="HE242"/>
      <c r="HF242"/>
      <c r="HG242"/>
      <c r="HH242"/>
      <c r="HI242"/>
      <c r="HJ242"/>
      <c r="HK242"/>
      <c r="HL242"/>
      <c r="HM242"/>
      <c r="HN242"/>
      <c r="HO242"/>
      <c r="HP242"/>
      <c r="HQ242"/>
      <c r="HR242"/>
      <c r="HS242"/>
      <c r="HT242"/>
      <c r="HU242"/>
      <c r="HV242"/>
      <c r="HW242"/>
      <c r="HX242"/>
      <c r="HY242"/>
      <c r="HZ242"/>
      <c r="IA242"/>
      <c r="IB242"/>
      <c r="IC242"/>
      <c r="ID242"/>
      <c r="IE242"/>
      <c r="IF242"/>
      <c r="IG242"/>
      <c r="IH242"/>
      <c r="II242"/>
      <c r="IJ242"/>
      <c r="IK242"/>
      <c r="IL242"/>
      <c r="IM242"/>
      <c r="IN242"/>
      <c r="IO242"/>
      <c r="IP242"/>
      <c r="IQ242"/>
      <c r="IR242"/>
      <c r="IS242"/>
      <c r="IT242"/>
      <c r="IU242"/>
      <c r="IV242"/>
      <c r="IW242"/>
      <c r="IX242"/>
    </row>
    <row r="243" spans="1:258" s="45" customFormat="1" x14ac:dyDescent="0.2">
      <c r="A243" s="605" t="s">
        <v>84</v>
      </c>
      <c r="B243" s="31"/>
      <c r="C243" s="31"/>
      <c r="D243" s="31"/>
      <c r="E243" s="31"/>
      <c r="F243" s="283"/>
      <c r="G243" s="31"/>
      <c r="H243" s="31"/>
      <c r="I243" s="31"/>
      <c r="J243" s="31"/>
      <c r="K243" s="283"/>
      <c r="L243" s="31"/>
      <c r="M243" s="31"/>
      <c r="N243" s="31"/>
      <c r="O243" s="31"/>
      <c r="P243" s="283"/>
      <c r="Q243" s="31">
        <f t="shared" ref="Q243:AV243" si="1203">(Q242-L242)*100</f>
        <v>92.477432296890669</v>
      </c>
      <c r="R243" s="31">
        <f t="shared" si="1203"/>
        <v>88.395528873037222</v>
      </c>
      <c r="S243" s="31">
        <f t="shared" si="1203"/>
        <v>88.166499594252699</v>
      </c>
      <c r="T243" s="31">
        <f t="shared" si="1203"/>
        <v>87.407477252369063</v>
      </c>
      <c r="U243" s="283">
        <f t="shared" si="1203"/>
        <v>89.065676354284406</v>
      </c>
      <c r="V243" s="31">
        <f t="shared" si="1203"/>
        <v>0.20670017962934883</v>
      </c>
      <c r="W243" s="31">
        <f t="shared" si="1203"/>
        <v>-0.72747138578640458</v>
      </c>
      <c r="X243" s="31">
        <f t="shared" si="1203"/>
        <v>0.25210505691009022</v>
      </c>
      <c r="Y243" s="31">
        <f t="shared" si="1203"/>
        <v>-0.9961685428387379</v>
      </c>
      <c r="Z243" s="283">
        <f t="shared" si="1203"/>
        <v>-0.34104887569705866</v>
      </c>
      <c r="AA243" s="31">
        <f t="shared" si="1203"/>
        <v>-1.3023994554427376</v>
      </c>
      <c r="AB243" s="31">
        <f t="shared" si="1203"/>
        <v>-0.62119630245859314</v>
      </c>
      <c r="AC243" s="31">
        <f t="shared" si="1203"/>
        <v>-2.5951751095668607</v>
      </c>
      <c r="AD243" s="31">
        <f t="shared" si="1203"/>
        <v>-1.2907767062052988</v>
      </c>
      <c r="AE243" s="283">
        <f t="shared" si="1203"/>
        <v>-1.4880295967225177</v>
      </c>
      <c r="AF243" s="31">
        <f t="shared" si="1203"/>
        <v>-2.6511630728907498</v>
      </c>
      <c r="AG243" s="31">
        <f t="shared" si="1203"/>
        <v>-0.63829446321067573</v>
      </c>
      <c r="AH243" s="31">
        <f t="shared" si="1203"/>
        <v>0.66084975607658691</v>
      </c>
      <c r="AI243" s="31">
        <f t="shared" si="1203"/>
        <v>0.80046916992487782</v>
      </c>
      <c r="AJ243" s="283">
        <f t="shared" si="1203"/>
        <v>-0.38531583058277752</v>
      </c>
      <c r="AK243" s="31">
        <f t="shared" si="1203"/>
        <v>-0.39653721633592376</v>
      </c>
      <c r="AL243" s="31">
        <f t="shared" si="1203"/>
        <v>-1.5239207390835396</v>
      </c>
      <c r="AM243" s="31">
        <f t="shared" si="1203"/>
        <v>-1.0634174370200755</v>
      </c>
      <c r="AN243" s="31">
        <f t="shared" si="1203"/>
        <v>-1.3116878346547955</v>
      </c>
      <c r="AO243" s="283">
        <f t="shared" si="1203"/>
        <v>-1.0735939334688638</v>
      </c>
      <c r="AP243" s="31">
        <f t="shared" si="1203"/>
        <v>-1.5145484911629259</v>
      </c>
      <c r="AQ243" s="31">
        <f t="shared" si="1203"/>
        <v>-1.340141706286424</v>
      </c>
      <c r="AR243" s="31">
        <f t="shared" si="1203"/>
        <v>-0.16109544905357209</v>
      </c>
      <c r="AS243" s="31">
        <f t="shared" si="1203"/>
        <v>-0.68144191562372614</v>
      </c>
      <c r="AT243" s="283">
        <f t="shared" si="1203"/>
        <v>-0.90975378074081847</v>
      </c>
      <c r="AU243" s="31">
        <f t="shared" si="1203"/>
        <v>1.911768292753746</v>
      </c>
      <c r="AV243" s="31">
        <f t="shared" si="1203"/>
        <v>2.9939572622499577</v>
      </c>
      <c r="AW243" s="31">
        <f t="shared" ref="AW243:CB243" si="1204">(AW242-AR242)*100</f>
        <v>4.8839707547255635</v>
      </c>
      <c r="AX243" s="31">
        <f t="shared" si="1204"/>
        <v>5.0804917789402104</v>
      </c>
      <c r="AY243" s="283">
        <f t="shared" si="1204"/>
        <v>3.7282913163739884</v>
      </c>
      <c r="AZ243" s="31">
        <f t="shared" si="1204"/>
        <v>0.40688205923862242</v>
      </c>
      <c r="BA243" s="31">
        <f t="shared" si="1204"/>
        <v>2.972241825452826</v>
      </c>
      <c r="BB243" s="31">
        <f t="shared" si="1204"/>
        <v>-1.0177908483615994</v>
      </c>
      <c r="BC243" s="31">
        <f t="shared" si="1204"/>
        <v>5.2929468417565406</v>
      </c>
      <c r="BD243" s="283">
        <f t="shared" si="1204"/>
        <v>1.9411899417807299</v>
      </c>
      <c r="BE243" s="31">
        <f t="shared" si="1204"/>
        <v>2.4780740705710014</v>
      </c>
      <c r="BF243" s="31">
        <f t="shared" si="1204"/>
        <v>1.311214444304809</v>
      </c>
      <c r="BG243" s="31">
        <f t="shared" si="1204"/>
        <v>-0.11172365979706944</v>
      </c>
      <c r="BH243" s="31">
        <f t="shared" si="1204"/>
        <v>-4.951041357786357</v>
      </c>
      <c r="BI243" s="283">
        <f t="shared" si="1204"/>
        <v>-1.7206269717285338</v>
      </c>
      <c r="BJ243" s="31">
        <f>(BJ242-BE242)*100</f>
        <v>-0.94954199658439098</v>
      </c>
      <c r="BK243" s="31">
        <f>(BK242-BF242)*100</f>
        <v>-3.7047568942668141</v>
      </c>
      <c r="BL243" s="31">
        <f>(BL242-BG242)*100</f>
        <v>-2.9815332079428769</v>
      </c>
      <c r="BM243" s="31">
        <f>(BM242-BH242)*100</f>
        <v>-3.3442925902642417</v>
      </c>
      <c r="BN243" s="283">
        <f>(BN242-BI242)*100</f>
        <v>-2.2029437527729456</v>
      </c>
      <c r="BO243" s="31">
        <f t="shared" si="1204"/>
        <v>-1.4609640190088258</v>
      </c>
      <c r="BP243" s="31">
        <f t="shared" si="1204"/>
        <v>-2.0713336105273705</v>
      </c>
      <c r="BQ243" s="31">
        <f t="shared" si="1204"/>
        <v>0.53665361547053925</v>
      </c>
      <c r="BR243" s="31">
        <f t="shared" si="1204"/>
        <v>-1.4428692995010262</v>
      </c>
      <c r="BS243" s="283">
        <f t="shared" si="1204"/>
        <v>-0.89757033362412031</v>
      </c>
      <c r="BT243" s="31">
        <f t="shared" si="1204"/>
        <v>2.0145354475802568</v>
      </c>
      <c r="BU243" s="31">
        <f t="shared" si="1204"/>
        <v>0.23466677789255597</v>
      </c>
      <c r="BV243" s="31">
        <f t="shared" si="1204"/>
        <v>-5.1296356563912404E-2</v>
      </c>
      <c r="BW243" s="31">
        <f t="shared" si="1204"/>
        <v>1.2753390116544527</v>
      </c>
      <c r="BX243" s="283">
        <f t="shared" si="1204"/>
        <v>1.2548470209911899</v>
      </c>
      <c r="BY243" s="31">
        <f t="shared" si="1204"/>
        <v>-2.353944246737838</v>
      </c>
      <c r="BZ243" s="31">
        <f t="shared" si="1204"/>
        <v>-0.31734911817258293</v>
      </c>
      <c r="CA243" s="31">
        <f t="shared" si="1204"/>
        <v>3.1071678779803769E-2</v>
      </c>
      <c r="CB243" s="31">
        <f t="shared" si="1204"/>
        <v>-0.36640181143732242</v>
      </c>
      <c r="CC243" s="283">
        <f t="shared" ref="CC243:DU243" si="1205">(CC242-BX242)*100</f>
        <v>0.10438534575107905</v>
      </c>
      <c r="CD243" s="31">
        <f t="shared" si="1205"/>
        <v>-5.635597496060651</v>
      </c>
      <c r="CE243" s="31">
        <f t="shared" si="1205"/>
        <v>-4.1475749909484882</v>
      </c>
      <c r="CF243" s="31">
        <f t="shared" si="1205"/>
        <v>-3.1608830937916665</v>
      </c>
      <c r="CG243" s="31">
        <f t="shared" si="1205"/>
        <v>-4.0389660332872168</v>
      </c>
      <c r="CH243" s="283">
        <f t="shared" si="1205"/>
        <v>-2.3876799069829313</v>
      </c>
      <c r="CI243" s="31">
        <f t="shared" si="1205"/>
        <v>-4.4272775490208023</v>
      </c>
      <c r="CJ243" s="31">
        <f t="shared" si="1205"/>
        <v>-2.2854295923451118</v>
      </c>
      <c r="CK243" s="31">
        <f t="shared" si="1205"/>
        <v>-2.9912129616114447</v>
      </c>
      <c r="CL243" s="31">
        <f t="shared" si="1205"/>
        <v>-1.4497585301856963</v>
      </c>
      <c r="CM243" s="283">
        <f t="shared" si="1205"/>
        <v>-5.1561523156983817</v>
      </c>
      <c r="CN243" s="31">
        <f t="shared" si="1205"/>
        <v>1.8816823109022884</v>
      </c>
      <c r="CO243" s="31">
        <f t="shared" si="1205"/>
        <v>-2.7498163972357936</v>
      </c>
      <c r="CP243" s="31">
        <f t="shared" si="1205"/>
        <v>-2.8011756871387905</v>
      </c>
      <c r="CQ243" s="31">
        <f t="shared" si="1205"/>
        <v>-3.149792075468405</v>
      </c>
      <c r="CR243" s="283">
        <f t="shared" si="1205"/>
        <v>-1.8048551397865764</v>
      </c>
      <c r="CS243" s="31">
        <f t="shared" si="1205"/>
        <v>-3.685469709971656</v>
      </c>
      <c r="CT243" s="31">
        <f t="shared" si="1205"/>
        <v>-0.44492666579410978</v>
      </c>
      <c r="CU243" s="31">
        <f t="shared" si="1205"/>
        <v>-2.3509969324325919</v>
      </c>
      <c r="CV243" s="31">
        <f t="shared" si="1205"/>
        <v>-2.7123605660684613</v>
      </c>
      <c r="CW243" s="283">
        <f t="shared" si="1205"/>
        <v>-2.3025636551030959</v>
      </c>
      <c r="CX243" s="31">
        <f t="shared" si="1205"/>
        <v>-0.23060603719322614</v>
      </c>
      <c r="CY243" s="31">
        <f t="shared" si="1205"/>
        <v>-1.971552923228781</v>
      </c>
      <c r="CZ243" s="31">
        <f t="shared" si="1205"/>
        <v>-1.3697951039352563</v>
      </c>
      <c r="DA243" s="31">
        <f t="shared" si="1205"/>
        <v>0.74952286384856182</v>
      </c>
      <c r="DB243" s="283">
        <f t="shared" si="1205"/>
        <v>-0.69800878971265634</v>
      </c>
      <c r="DC243" s="31">
        <f t="shared" si="1205"/>
        <v>-2.2206512202272655</v>
      </c>
      <c r="DD243" s="31">
        <f t="shared" si="1205"/>
        <v>-2.2034989185645171</v>
      </c>
      <c r="DE243" s="31">
        <f t="shared" si="1205"/>
        <v>-4.8202909180768412</v>
      </c>
      <c r="DF243" s="31">
        <f t="shared" si="1205"/>
        <v>-4.9133032915360531</v>
      </c>
      <c r="DG243" s="283">
        <f t="shared" si="1205"/>
        <v>-3.6186878637658348</v>
      </c>
      <c r="DH243" s="31">
        <f t="shared" si="1205"/>
        <v>-2.493191975015252</v>
      </c>
      <c r="DI243" s="31">
        <f t="shared" si="1205"/>
        <v>-1.6946966200663272</v>
      </c>
      <c r="DJ243" s="31">
        <f t="shared" si="1205"/>
        <v>1.3368635879429047</v>
      </c>
      <c r="DK243" s="31">
        <f t="shared" si="1205"/>
        <v>0.54044190231752331</v>
      </c>
      <c r="DL243" s="283">
        <f>(DL242-DG242)*100</f>
        <v>-0.52680467577860268</v>
      </c>
      <c r="DM243" s="31">
        <f t="shared" si="1205"/>
        <v>-2.1413319399720021</v>
      </c>
      <c r="DN243" s="31">
        <f t="shared" si="1205"/>
        <v>-0.17562876119090465</v>
      </c>
      <c r="DO243" s="31">
        <f t="shared" si="1205"/>
        <v>0.83742300046397711</v>
      </c>
      <c r="DP243" s="31">
        <f t="shared" si="1205"/>
        <v>1.3501855509718497</v>
      </c>
      <c r="DQ243" s="283">
        <f t="shared" ref="DQ243:DV243" si="1206">(DQ242-DL242)*100</f>
        <v>-2.9024556165557769E-2</v>
      </c>
      <c r="DR243" s="31">
        <f t="shared" si="1205"/>
        <v>1.8364056534216688</v>
      </c>
      <c r="DS243" s="31">
        <f t="shared" si="1205"/>
        <v>0.94100300853929841</v>
      </c>
      <c r="DT243" s="31">
        <f t="shared" si="1206"/>
        <v>1.334003572067799</v>
      </c>
      <c r="DU243" s="31">
        <f t="shared" si="1205"/>
        <v>1.3380020142088278</v>
      </c>
      <c r="DV243" s="283">
        <f t="shared" si="1206"/>
        <v>1.3775061859529258</v>
      </c>
      <c r="DW243" s="31">
        <f t="shared" ref="DW243:ED243" si="1207">(DW242-DR242)*100</f>
        <v>5.1181918657357333</v>
      </c>
      <c r="DX243" s="31">
        <f t="shared" si="1207"/>
        <v>-0.72901258576213435</v>
      </c>
      <c r="DY243" s="31">
        <f t="shared" si="1207"/>
        <v>-2.4943896816096434</v>
      </c>
      <c r="DZ243" s="31">
        <f t="shared" si="1207"/>
        <v>-1.4145008034434303</v>
      </c>
      <c r="EA243" s="283">
        <f t="shared" si="1207"/>
        <v>2.3303344417391347E-2</v>
      </c>
      <c r="EB243" s="31">
        <f t="shared" si="1207"/>
        <v>-2.8094446992171007</v>
      </c>
      <c r="EC243" s="31">
        <f t="shared" si="1207"/>
        <v>-1.7187592850209987</v>
      </c>
      <c r="ED243" s="31">
        <f t="shared" si="1207"/>
        <v>-1.8141558336190022</v>
      </c>
      <c r="EE243" s="31">
        <f t="shared" ref="EE243:EI243" si="1208">(EE242-DZ242)*100</f>
        <v>-0.21452114060016569</v>
      </c>
      <c r="EF243" s="283">
        <f t="shared" si="1208"/>
        <v>-1.5752132549697984</v>
      </c>
      <c r="EG243" s="31">
        <f t="shared" si="1208"/>
        <v>-0.94975935440300141</v>
      </c>
      <c r="EH243" s="31">
        <f t="shared" si="1208"/>
        <v>1.1516600110764497</v>
      </c>
      <c r="EI243" s="31">
        <f t="shared" si="1208"/>
        <v>0.7122813317279153</v>
      </c>
      <c r="EJ243" s="31">
        <f t="shared" ref="EJ243" si="1209">(EJ242-EE242)*100</f>
        <v>-4.6159336302585725</v>
      </c>
      <c r="EK243" s="283">
        <f t="shared" ref="EK243:EQ243" si="1210">(EK242-EF242)*100</f>
        <v>-0.87691973546104585</v>
      </c>
      <c r="EL243" s="31">
        <f t="shared" si="1210"/>
        <v>-3.7470966079007351</v>
      </c>
      <c r="EM243" s="31">
        <f t="shared" si="1210"/>
        <v>-5.5527087195895719</v>
      </c>
      <c r="EN243" s="31">
        <f t="shared" si="1210"/>
        <v>-0.72034417026634046</v>
      </c>
      <c r="EO243" s="31">
        <f t="shared" si="1210"/>
        <v>-1.9393138369930618</v>
      </c>
      <c r="EP243" s="283">
        <f t="shared" si="1210"/>
        <v>-3.0382747034824464</v>
      </c>
      <c r="EQ243" s="31">
        <f t="shared" si="1210"/>
        <v>-5.6625643357534949</v>
      </c>
      <c r="ER243" s="31">
        <f t="shared" ref="ER243" si="1211">(ER242-EM242)*100</f>
        <v>-0.43408096756439862</v>
      </c>
      <c r="ES243" s="31">
        <f t="shared" ref="ES243:EU243" si="1212">(ES242-EN242)*100</f>
        <v>-3.4854153400413757</v>
      </c>
      <c r="ET243" s="31">
        <f t="shared" si="1212"/>
        <v>-0.16549790456239499</v>
      </c>
      <c r="EU243" s="283">
        <f t="shared" si="1212"/>
        <v>-2.3902110434644075</v>
      </c>
      <c r="EV243" s="31"/>
      <c r="EW243" s="31"/>
      <c r="EX243" s="31"/>
      <c r="EY243" s="31"/>
      <c r="EZ243" s="283">
        <f>(EZ242-EU242)*100</f>
        <v>-0.65855007048155612</v>
      </c>
      <c r="FA243" s="31"/>
      <c r="FB243" s="31"/>
      <c r="FC243" s="31"/>
      <c r="FD243" s="31"/>
      <c r="FE243" s="283">
        <f>(FE242-EZ242)*100</f>
        <v>-1.8396714622397559</v>
      </c>
      <c r="FF243" s="44"/>
      <c r="FG243" s="489"/>
      <c r="FH243" s="803"/>
      <c r="FI243" s="776"/>
      <c r="FJ243" s="776"/>
      <c r="FK243" s="83"/>
      <c r="FL243" s="1346"/>
      <c r="FM243" s="31">
        <f t="shared" si="1164"/>
        <v>-5.6625643357534949</v>
      </c>
      <c r="FN243" s="1474">
        <f t="shared" si="1165"/>
        <v>-3.7470966079007351</v>
      </c>
      <c r="FO243" s="1878">
        <v>-1.0939907762619661</v>
      </c>
      <c r="FP243" s="1762"/>
      <c r="FQ243" s="739"/>
      <c r="FR243" s="1619"/>
      <c r="FS243" s="1614" t="s">
        <v>802</v>
      </c>
      <c r="FT243" s="354"/>
      <c r="FU243" s="354"/>
      <c r="FV243" s="354"/>
      <c r="FW243" s="354"/>
      <c r="FX243" s="354"/>
      <c r="FY243" s="355"/>
      <c r="FZ243" s="489"/>
      <c r="GA243"/>
      <c r="GB243"/>
      <c r="GC243"/>
      <c r="GD243"/>
      <c r="GE243"/>
      <c r="GF243"/>
      <c r="GG243"/>
      <c r="GH243"/>
      <c r="GI243"/>
      <c r="GJ243"/>
      <c r="GK243"/>
      <c r="GL243"/>
      <c r="GM243"/>
      <c r="GN243"/>
      <c r="GO243"/>
      <c r="GP243"/>
      <c r="GQ243"/>
      <c r="GR243"/>
      <c r="GS243"/>
      <c r="GT243"/>
      <c r="GU243"/>
      <c r="GV243"/>
      <c r="GW243"/>
      <c r="GX243"/>
      <c r="GY243"/>
      <c r="GZ243"/>
      <c r="HA243"/>
      <c r="HB243"/>
      <c r="HC243"/>
      <c r="HD243"/>
      <c r="HE243"/>
      <c r="HF243"/>
      <c r="HG243"/>
      <c r="HH243"/>
      <c r="HI243"/>
      <c r="HJ243"/>
      <c r="HK243"/>
      <c r="HL243"/>
      <c r="HM243"/>
      <c r="HN243"/>
      <c r="HO243"/>
      <c r="HP243"/>
      <c r="HQ243"/>
      <c r="HR243"/>
      <c r="HS243"/>
      <c r="HT243"/>
      <c r="HU243"/>
      <c r="HV243"/>
      <c r="HW243"/>
      <c r="HX243"/>
      <c r="HY243"/>
      <c r="HZ243"/>
      <c r="IA243"/>
      <c r="IB243"/>
      <c r="IC243"/>
      <c r="ID243"/>
      <c r="IE243"/>
      <c r="IF243"/>
      <c r="IG243"/>
      <c r="IH243"/>
      <c r="II243"/>
      <c r="IJ243"/>
      <c r="IK243"/>
      <c r="IL243"/>
      <c r="IM243"/>
      <c r="IN243"/>
      <c r="IO243"/>
      <c r="IP243"/>
      <c r="IQ243"/>
      <c r="IR243"/>
      <c r="IS243"/>
      <c r="IT243"/>
      <c r="IU243"/>
      <c r="IV243"/>
      <c r="IW243"/>
      <c r="IX243"/>
    </row>
    <row r="244" spans="1:258" s="31" customFormat="1" x14ac:dyDescent="0.2">
      <c r="A244" s="577" t="s">
        <v>337</v>
      </c>
      <c r="F244" s="283"/>
      <c r="K244" s="283"/>
      <c r="P244" s="283"/>
      <c r="R244" s="31">
        <f>(R242-Q242)*100</f>
        <v>-4.0819034238534506</v>
      </c>
      <c r="S244" s="31">
        <f>(S242-R242)*100</f>
        <v>-0.22902927878452051</v>
      </c>
      <c r="T244" s="31">
        <f>(T242-S242)*100</f>
        <v>-0.7590223418836417</v>
      </c>
      <c r="U244" s="283"/>
      <c r="V244" s="31">
        <f>(V242-T242)*100</f>
        <v>5.2766552241509608</v>
      </c>
      <c r="W244" s="31">
        <f>(W242-V242)*100</f>
        <v>-5.0160749892692031</v>
      </c>
      <c r="X244" s="31">
        <f>(X242-W242)*100</f>
        <v>0.75054716391197429</v>
      </c>
      <c r="Y244" s="31">
        <f>(Y242-X242)*100</f>
        <v>-2.0072959416324698</v>
      </c>
      <c r="Z244" s="283"/>
      <c r="AA244" s="31">
        <f>(AA242-Y242)*100</f>
        <v>4.970424311546962</v>
      </c>
      <c r="AB244" s="31">
        <f>(AB242-AA242)*100</f>
        <v>-4.3348718362850587</v>
      </c>
      <c r="AC244" s="31">
        <f>(AC242-AB242)*100</f>
        <v>-1.2234316431962933</v>
      </c>
      <c r="AD244" s="31">
        <f>(AD242-AC242)*100</f>
        <v>-0.70289753827090795</v>
      </c>
      <c r="AE244" s="283"/>
      <c r="AF244" s="31">
        <f>(AF242-AD242)*100</f>
        <v>3.6100379448615105</v>
      </c>
      <c r="AG244" s="31">
        <f>(AG242-AF242)*100</f>
        <v>-2.322003226604985</v>
      </c>
      <c r="AH244" s="31">
        <f>(AH242-AG242)*100</f>
        <v>7.5712576090969375E-2</v>
      </c>
      <c r="AI244" s="31">
        <f>(AI242-AH242)*100</f>
        <v>-0.56327812442261704</v>
      </c>
      <c r="AJ244" s="283"/>
      <c r="AK244" s="31">
        <f>(AK242-AI242)*100</f>
        <v>2.4130315586007089</v>
      </c>
      <c r="AL244" s="31">
        <f>(AL242-AK242)*100</f>
        <v>-3.4493867493526009</v>
      </c>
      <c r="AM244" s="31">
        <f>(AM242-AL242)*100</f>
        <v>0.5362158781544335</v>
      </c>
      <c r="AN244" s="31">
        <f>(AN242-AM242)*100</f>
        <v>-0.81154852205733707</v>
      </c>
      <c r="AO244" s="283"/>
      <c r="AP244" s="31">
        <f>(AP242-AN242)*100</f>
        <v>2.2101709020925786</v>
      </c>
      <c r="AQ244" s="31">
        <f>(AQ242-AP242)*100</f>
        <v>-3.2749799644760991</v>
      </c>
      <c r="AR244" s="31">
        <f>(AR242-AQ242)*100</f>
        <v>1.7152621353872854</v>
      </c>
      <c r="AS244" s="31">
        <f>(AS242-AR242)*100</f>
        <v>-1.3318949886274911</v>
      </c>
      <c r="AT244" s="283"/>
      <c r="AU244" s="31">
        <f>(AU242-AS242)*100</f>
        <v>4.8033811104700508</v>
      </c>
      <c r="AV244" s="31">
        <f>(AV242-AU242)*100</f>
        <v>-2.1927909949798874</v>
      </c>
      <c r="AW244" s="31">
        <f>(AW242-AV242)*100</f>
        <v>3.6052756278628917</v>
      </c>
      <c r="AX244" s="31">
        <f>(AX242-AW242)*100</f>
        <v>-1.1353739644128447</v>
      </c>
      <c r="AY244" s="283"/>
      <c r="AZ244" s="31">
        <f>(AZ242-AX242)*100</f>
        <v>0.12977139076846278</v>
      </c>
      <c r="BA244" s="31">
        <f>(BA242-AZ242)*100</f>
        <v>0.3725687712343162</v>
      </c>
      <c r="BB244" s="31">
        <f>(BB242-BA242)*100</f>
        <v>-0.3847570459515337</v>
      </c>
      <c r="BC244" s="31">
        <f>(BC242-BB242)*100</f>
        <v>5.1753637257052958</v>
      </c>
      <c r="BD244" s="283"/>
      <c r="BE244" s="31">
        <f>(BE242-BC242)*100</f>
        <v>-2.6851013804170765</v>
      </c>
      <c r="BF244" s="31">
        <f>(BF242-BE242)*100</f>
        <v>-0.79429085503187613</v>
      </c>
      <c r="BG244" s="31">
        <f>(BG242-BF242)*100</f>
        <v>-1.8076951500534122</v>
      </c>
      <c r="BH244" s="31">
        <f>(BH242-BG242)*100</f>
        <v>0.33604602771600822</v>
      </c>
      <c r="BI244" s="283"/>
      <c r="BJ244" s="31">
        <f>(BJ242-BH242)*100</f>
        <v>1.3163979807848891</v>
      </c>
      <c r="BK244" s="31">
        <f>(BK242-BJ242)*100</f>
        <v>-3.5495057527142992</v>
      </c>
      <c r="BL244" s="31">
        <f>(BL242-BK242)*100</f>
        <v>-1.084471463729475</v>
      </c>
      <c r="BM244" s="31">
        <f>(BM242-BL242)*100</f>
        <v>-2.6713354605356621E-2</v>
      </c>
      <c r="BN244" s="283"/>
      <c r="BO244" s="31">
        <f>(BO242-BM242)*100</f>
        <v>3.1997265520403051</v>
      </c>
      <c r="BP244" s="31">
        <f>(BP242-BO242)*100</f>
        <v>-4.1598753442328444</v>
      </c>
      <c r="BQ244" s="31">
        <f>(BQ242-BP242)*100</f>
        <v>1.5235157622684348</v>
      </c>
      <c r="BR244" s="31">
        <f>(BR242-BQ242)*100</f>
        <v>-2.006236269576922</v>
      </c>
      <c r="BS244" s="283"/>
      <c r="BT244" s="31">
        <f>(BT242-BR242)*100</f>
        <v>6.6571312991215876</v>
      </c>
      <c r="BU244" s="31">
        <f>(BU242-BT242)*100</f>
        <v>-5.9397440139205449</v>
      </c>
      <c r="BV244" s="31">
        <f>(BV242-BU242)*100</f>
        <v>1.2375526278119664</v>
      </c>
      <c r="BW244" s="31">
        <f>(BW242-BV242)*100</f>
        <v>-0.67960090135855689</v>
      </c>
      <c r="BX244" s="283"/>
      <c r="BY244" s="31">
        <f>(BY242-BW242)*100</f>
        <v>3.0278480407292974</v>
      </c>
      <c r="BZ244" s="31">
        <f>(BZ242-BY242)*100</f>
        <v>-3.9031488853552898</v>
      </c>
      <c r="CA244" s="31">
        <f>(CA242-BZ242)*100</f>
        <v>1.5859734247643531</v>
      </c>
      <c r="CB244" s="31">
        <f>(CB242-CA242)*100</f>
        <v>-1.0770743915756831</v>
      </c>
      <c r="CC244" s="283"/>
      <c r="CD244" s="31">
        <f>(CD242-CB242)*100</f>
        <v>-2.2413476438940316</v>
      </c>
      <c r="CE244" s="31">
        <f>(CE242-CD242)*100</f>
        <v>-2.4151263802431266</v>
      </c>
      <c r="CF244" s="31">
        <f>(CF242-CE242)*100</f>
        <v>2.5726653219211748</v>
      </c>
      <c r="CG244" s="31">
        <f>(CG242-CF242)*100</f>
        <v>-1.9551573310712334</v>
      </c>
      <c r="CH244" s="283"/>
      <c r="CI244" s="31">
        <f>(CI242-CG242)*100</f>
        <v>-2.6296591596276175</v>
      </c>
      <c r="CJ244" s="31">
        <f>(CJ242-CI242)*100</f>
        <v>-0.2732784235674357</v>
      </c>
      <c r="CK244" s="31">
        <f>(CK242-CJ242)*100</f>
        <v>1.8668819526548419</v>
      </c>
      <c r="CL244" s="31">
        <f>(CL242-CK242)*100</f>
        <v>-0.41370289964548501</v>
      </c>
      <c r="CM244" s="283"/>
      <c r="CN244" s="31">
        <f>(CN242-CL242)*100</f>
        <v>0.70178168146036723</v>
      </c>
      <c r="CO244" s="31">
        <f>(CO242-CN242)*100</f>
        <v>-4.9047771317055178</v>
      </c>
      <c r="CP244" s="31">
        <f>(CP242-CO242)*100</f>
        <v>1.815522662751845</v>
      </c>
      <c r="CQ244" s="31">
        <f>(CQ242-CP242)*100</f>
        <v>-0.76231928797509951</v>
      </c>
      <c r="CR244" s="283"/>
      <c r="CS244" s="31">
        <f>(CS242-CQ242)*100</f>
        <v>0.16610404695711622</v>
      </c>
      <c r="CT244" s="31">
        <f>(CT242-CS242)*100</f>
        <v>-1.6642340875279715</v>
      </c>
      <c r="CU244" s="31">
        <f>(CU242-CT242)*100</f>
        <v>-9.0547603886637074E-2</v>
      </c>
      <c r="CV244" s="31">
        <f>(CV242-CU242)*100</f>
        <v>-1.1236829216109689</v>
      </c>
      <c r="CW244" s="283"/>
      <c r="CX244" s="31">
        <f>(CX242-CV242)*100</f>
        <v>2.6478585758323514</v>
      </c>
      <c r="CY244" s="31">
        <f>(CY242-CX242)*100</f>
        <v>-3.4051809735635263</v>
      </c>
      <c r="CZ244" s="31">
        <f>(CZ242-CY242)*100</f>
        <v>0.5112102154068876</v>
      </c>
      <c r="DA244" s="31">
        <f>(DA242-CZ242)*100</f>
        <v>0.99563504617284915</v>
      </c>
      <c r="DB244" s="283"/>
      <c r="DC244" s="31">
        <f>(DC242-DA242)*100</f>
        <v>-0.32231550824347588</v>
      </c>
      <c r="DD244" s="31">
        <f>(DD242-DC242)*100</f>
        <v>-3.3880286719007779</v>
      </c>
      <c r="DE244" s="31">
        <f>(DE242-DD242)*100</f>
        <v>-2.1055817841054369</v>
      </c>
      <c r="DF244" s="31">
        <f>(DF242-DE242)*100</f>
        <v>0.90262267271363772</v>
      </c>
      <c r="DG244" s="283"/>
      <c r="DH244" s="31">
        <f>(DH242-DF242)*100</f>
        <v>2.0977958082773251</v>
      </c>
      <c r="DI244" s="31">
        <f>(DI242-DH242)*100</f>
        <v>-2.5895333169518531</v>
      </c>
      <c r="DJ244" s="31">
        <f>(DJ242-DI242)*100</f>
        <v>0.92597842390379492</v>
      </c>
      <c r="DK244" s="31">
        <f>(DK242-DJ242)*100</f>
        <v>0.10620098708825632</v>
      </c>
      <c r="DL244" s="283"/>
      <c r="DM244" s="31">
        <f>(DM242-DK242)*100</f>
        <v>-0.58397803401220028</v>
      </c>
      <c r="DN244" s="31">
        <f>(DN242-DM242)*100</f>
        <v>-0.62383013817075561</v>
      </c>
      <c r="DO244" s="31">
        <f>(DO242-DN242)*100</f>
        <v>1.9390301855586767</v>
      </c>
      <c r="DP244" s="31">
        <f>(DP242-DO242)*100</f>
        <v>0.61896353759612888</v>
      </c>
      <c r="DQ244" s="283"/>
      <c r="DR244" s="31">
        <f>(DR242-DP242)*100</f>
        <v>-9.7757931562381106E-2</v>
      </c>
      <c r="DS244" s="31">
        <f>(DS242-DR242)*100</f>
        <v>-1.519232783053126</v>
      </c>
      <c r="DT244" s="31">
        <f>(DT242-DS242)*100</f>
        <v>2.3320307490871772</v>
      </c>
      <c r="DU244" s="31">
        <f>(DU242-DT242)*100</f>
        <v>0.62296197973715772</v>
      </c>
      <c r="DV244" s="283"/>
      <c r="DW244" s="31">
        <f>(DW242-DU242)*100</f>
        <v>3.6824319199645239</v>
      </c>
      <c r="DX244" s="31">
        <f>(DX242-DW242)*100</f>
        <v>-7.3664372345509932</v>
      </c>
      <c r="DY244" s="31">
        <f>(DY242-DX242)*100</f>
        <v>0.56665365323966821</v>
      </c>
      <c r="DZ244" s="31">
        <f>(DZ242-DY242)*100</f>
        <v>1.7028508579033708</v>
      </c>
      <c r="EA244" s="283"/>
      <c r="EB244" s="31">
        <f>(EB242-DZ242)*100</f>
        <v>2.2874880241908535</v>
      </c>
      <c r="EC244" s="31">
        <f>(EC242-EB242)*100</f>
        <v>-6.2757518203548912</v>
      </c>
      <c r="ED244" s="31">
        <f>(ED242-EC242)*100</f>
        <v>0.4712571046416647</v>
      </c>
      <c r="EE244" s="31">
        <f>(EE242-ED242)*100</f>
        <v>3.3024855509222073</v>
      </c>
      <c r="EF244" s="283"/>
      <c r="EG244" s="31">
        <f>(EG242-EE242)*100</f>
        <v>1.5522498103880178</v>
      </c>
      <c r="EH244" s="31">
        <f>(EH242-EG242)*100</f>
        <v>-4.1743324548754401</v>
      </c>
      <c r="EI244" s="31">
        <f>(EI242-EH242)*100</f>
        <v>3.1878425293130341E-2</v>
      </c>
      <c r="EJ244" s="31">
        <f>(EJ242-EI242)*100</f>
        <v>-2.0257294110642809</v>
      </c>
      <c r="EK244" s="283"/>
      <c r="EL244" s="31">
        <f>(EL242-EJ242)*100</f>
        <v>2.4210868327458557</v>
      </c>
      <c r="EM244" s="31">
        <f>(EM242-EL242)*100</f>
        <v>-5.979944566564277</v>
      </c>
      <c r="EN244" s="31">
        <f>(EN242-EM242)*100</f>
        <v>4.8642429746163618</v>
      </c>
      <c r="EO244" s="31">
        <f>(EO242-EN242)*100</f>
        <v>-3.2446990777910023</v>
      </c>
      <c r="EP244" s="283"/>
      <c r="EQ244" s="31">
        <f>(EQ242-EO242)*100</f>
        <v>-1.3021636660145774</v>
      </c>
      <c r="ER244" s="724">
        <f t="shared" ref="ER244" si="1213">(ER242-EQ242)*100</f>
        <v>-0.75146119837518066</v>
      </c>
      <c r="ES244" s="724">
        <f t="shared" ref="ES244:ET244" si="1214">(ES242-ER242)*100</f>
        <v>1.8129086021393848</v>
      </c>
      <c r="ET244" s="724">
        <f t="shared" si="1214"/>
        <v>7.5218357687978354E-2</v>
      </c>
      <c r="EU244" s="283"/>
      <c r="EZ244" s="283"/>
      <c r="FE244" s="283"/>
      <c r="FG244" s="489"/>
      <c r="FH244" s="839">
        <f>AVERAGE(CI244,CN244,CS244,CX244,DC244,DH244,DM244,DR244,DW244,EB244,EG244,EL244,EQ244)</f>
        <v>0.81699403079662758</v>
      </c>
      <c r="FI244" s="839">
        <f>AVERAGE(CJ244,CO244,CT244,CY244,DD244,DI244,DN244,DS244,DX244,EC244,EH244)</f>
        <v>-3.2895106396565721</v>
      </c>
      <c r="FJ244" s="839">
        <f>AVERAGE(CK244,CP244,CU244,CZ244,DE244,DJ244,DO244,DT244,DY244,ED244,EI244)</f>
        <v>0.75130127132232838</v>
      </c>
      <c r="FK244" s="1410">
        <f>AVERAGE(CL244,CQ244,CV244,DA244,DF244,DK244,DP244,DU244,DZ244,EE244,EJ244,EO244)</f>
        <v>5.6798919503897594E-2</v>
      </c>
      <c r="FL244" s="1345"/>
      <c r="FM244" s="31">
        <f t="shared" si="1164"/>
        <v>-1.3021636660145774</v>
      </c>
      <c r="FN244" s="1474">
        <f t="shared" si="1165"/>
        <v>2.4210868327458557</v>
      </c>
      <c r="FO244" s="1879">
        <v>3.2668481724188569</v>
      </c>
      <c r="FP244" s="1736"/>
      <c r="FQ244" s="1503"/>
      <c r="FR244" s="1619"/>
      <c r="FS244" s="1615" t="s">
        <v>782</v>
      </c>
      <c r="FT244" s="354"/>
      <c r="FU244" s="447"/>
      <c r="FV244" s="447"/>
      <c r="FW244" s="447"/>
      <c r="FX244" s="447"/>
      <c r="FY244" s="447"/>
      <c r="FZ244" s="489"/>
      <c r="GA244"/>
      <c r="GB244"/>
      <c r="GC244"/>
      <c r="GD244"/>
      <c r="GE244"/>
      <c r="GF244"/>
      <c r="GG244"/>
      <c r="GH244"/>
      <c r="GI244"/>
      <c r="GJ244"/>
      <c r="GK244"/>
      <c r="GL244"/>
      <c r="GM244"/>
      <c r="GN244"/>
      <c r="GO244"/>
      <c r="GP244"/>
      <c r="GQ244"/>
      <c r="GR244"/>
      <c r="GS244"/>
      <c r="GT244"/>
      <c r="GU244"/>
      <c r="GV244"/>
      <c r="GW244"/>
      <c r="GX244"/>
      <c r="GY244"/>
      <c r="GZ244"/>
      <c r="HA244"/>
      <c r="HB244"/>
      <c r="HC244"/>
      <c r="HD244"/>
      <c r="HE244"/>
      <c r="HF244"/>
      <c r="HG244"/>
      <c r="HH244"/>
      <c r="HI244"/>
      <c r="HJ244"/>
      <c r="HK244"/>
      <c r="HL244"/>
      <c r="HM244"/>
      <c r="HN244"/>
      <c r="HO244"/>
      <c r="HP244"/>
      <c r="HQ244"/>
      <c r="HR244"/>
      <c r="HS244"/>
      <c r="HT244"/>
      <c r="HU244"/>
      <c r="HV244"/>
      <c r="HW244"/>
      <c r="HX244"/>
      <c r="HY244"/>
      <c r="HZ244"/>
      <c r="IA244"/>
      <c r="IB244"/>
      <c r="IC244"/>
      <c r="ID244"/>
      <c r="IE244"/>
      <c r="IF244"/>
      <c r="IG244"/>
      <c r="IH244"/>
      <c r="II244"/>
      <c r="IJ244"/>
      <c r="IK244"/>
      <c r="IL244"/>
      <c r="IM244"/>
      <c r="IN244"/>
      <c r="IO244"/>
      <c r="IP244"/>
      <c r="IQ244"/>
      <c r="IR244"/>
      <c r="IS244"/>
      <c r="IT244"/>
      <c r="IU244"/>
      <c r="IV244"/>
      <c r="IW244"/>
      <c r="IX244"/>
    </row>
    <row r="245" spans="1:258" s="345" customFormat="1" x14ac:dyDescent="0.2">
      <c r="A245" s="606" t="s">
        <v>313</v>
      </c>
      <c r="B245" s="342"/>
      <c r="C245" s="342"/>
      <c r="D245" s="342"/>
      <c r="E245" s="342"/>
      <c r="F245" s="343"/>
      <c r="G245" s="342"/>
      <c r="H245" s="342"/>
      <c r="I245" s="342"/>
      <c r="J245" s="342"/>
      <c r="K245" s="343"/>
      <c r="L245" s="342"/>
      <c r="M245" s="342"/>
      <c r="N245" s="342"/>
      <c r="O245" s="342"/>
      <c r="P245" s="343"/>
      <c r="Q245" s="344">
        <f t="shared" ref="Q245:AQ245" si="1215">(Q251-L251)/(Q238-L238)</f>
        <v>7.5225677031093285E-2</v>
      </c>
      <c r="R245" s="344">
        <f t="shared" si="1215"/>
        <v>0.11604471126962777</v>
      </c>
      <c r="S245" s="344">
        <f t="shared" si="1215"/>
        <v>0.11833500405747295</v>
      </c>
      <c r="T245" s="344">
        <f t="shared" si="1215"/>
        <v>0.12592522747630944</v>
      </c>
      <c r="U245" s="343">
        <f t="shared" si="1215"/>
        <v>0.10934323645715592</v>
      </c>
      <c r="V245" s="344">
        <f t="shared" si="1215"/>
        <v>-6.8965517241379309E-2</v>
      </c>
      <c r="W245" s="344">
        <f t="shared" si="1215"/>
        <v>0.35857413403384442</v>
      </c>
      <c r="X245" s="344">
        <f t="shared" si="1215"/>
        <v>1.9963702359345026E-2</v>
      </c>
      <c r="Y245" s="344">
        <f t="shared" si="1215"/>
        <v>0.42976356050069614</v>
      </c>
      <c r="Z245" s="343">
        <f t="shared" si="1215"/>
        <v>0.2410498415029492</v>
      </c>
      <c r="AA245" s="344">
        <f t="shared" si="1215"/>
        <v>0.32142857142857145</v>
      </c>
      <c r="AB245" s="344">
        <f t="shared" si="1215"/>
        <v>0.25714285714285712</v>
      </c>
      <c r="AC245" s="344">
        <f t="shared" si="1215"/>
        <v>0.41262135922330095</v>
      </c>
      <c r="AD245" s="344">
        <f t="shared" si="1215"/>
        <v>0.28169014084507044</v>
      </c>
      <c r="AE245" s="343">
        <f t="shared" si="1215"/>
        <v>0.32704402515723269</v>
      </c>
      <c r="AF245" s="344">
        <f t="shared" si="1215"/>
        <v>0.425414364640884</v>
      </c>
      <c r="AG245" s="344">
        <f t="shared" si="1215"/>
        <v>0.22289156626506024</v>
      </c>
      <c r="AH245" s="344">
        <f t="shared" si="1215"/>
        <v>-3.2258064516129031E-2</v>
      </c>
      <c r="AI245" s="344">
        <f t="shared" si="1215"/>
        <v>1.3245033112582781E-2</v>
      </c>
      <c r="AJ245" s="343">
        <f t="shared" si="1215"/>
        <v>0.19120135363790186</v>
      </c>
      <c r="AK245" s="344">
        <f t="shared" si="1215"/>
        <v>0.2537313432835821</v>
      </c>
      <c r="AL245" s="344">
        <f t="shared" si="1215"/>
        <v>0.58139534883720934</v>
      </c>
      <c r="AM245" s="344">
        <f t="shared" si="1215"/>
        <v>0.91176470588235292</v>
      </c>
      <c r="AN245" s="344">
        <f t="shared" si="1215"/>
        <v>-1.3043478260869565</v>
      </c>
      <c r="AO245" s="343">
        <f t="shared" si="1215"/>
        <v>0.78048780487804881</v>
      </c>
      <c r="AP245" s="344">
        <f t="shared" si="1215"/>
        <v>0.73333333333333328</v>
      </c>
      <c r="AQ245" s="344">
        <f t="shared" si="1215"/>
        <v>3.0689655172413146</v>
      </c>
      <c r="AR245" s="344">
        <v>0</v>
      </c>
      <c r="AS245" s="344">
        <f t="shared" ref="AS245:BX245" si="1216">(AS251-AN251)/(AS238-AN238)</f>
        <v>1.1764705882352942</v>
      </c>
      <c r="AT245" s="343">
        <f t="shared" si="1216"/>
        <v>1.1693002257336371</v>
      </c>
      <c r="AU245" s="344">
        <f t="shared" si="1216"/>
        <v>-1.8333333333333333</v>
      </c>
      <c r="AV245" s="344">
        <f t="shared" si="1216"/>
        <v>2.6891891891891686</v>
      </c>
      <c r="AW245" s="344">
        <f t="shared" si="1216"/>
        <v>2.625</v>
      </c>
      <c r="AX245" s="344">
        <f t="shared" si="1216"/>
        <v>3.35</v>
      </c>
      <c r="AY245" s="343">
        <f t="shared" si="1216"/>
        <v>4.0982905982906468</v>
      </c>
      <c r="AZ245" s="344">
        <f t="shared" si="1216"/>
        <v>-2.7027027027027029E-2</v>
      </c>
      <c r="BA245" s="344">
        <f t="shared" si="1216"/>
        <v>-0.51333333333333253</v>
      </c>
      <c r="BB245" s="344">
        <f t="shared" si="1216"/>
        <v>0.16135881104033969</v>
      </c>
      <c r="BC245" s="344">
        <f t="shared" si="1216"/>
        <v>-0.50379746835443073</v>
      </c>
      <c r="BD245" s="343">
        <f t="shared" si="1216"/>
        <v>-0.11862527716186252</v>
      </c>
      <c r="BE245" s="344">
        <f t="shared" si="1216"/>
        <v>0.24365482233502539</v>
      </c>
      <c r="BF245" s="344">
        <f t="shared" si="1216"/>
        <v>0.17230046948356828</v>
      </c>
      <c r="BG245" s="344">
        <f t="shared" si="1216"/>
        <v>0.10611303344867359</v>
      </c>
      <c r="BH245" s="344">
        <f t="shared" si="1216"/>
        <v>-8.7589158345221241E-2</v>
      </c>
      <c r="BI245" s="343">
        <f t="shared" si="1216"/>
        <v>5.6053811659192827E-2</v>
      </c>
      <c r="BJ245" s="344">
        <f t="shared" si="1216"/>
        <v>-7.3770491803278687E-2</v>
      </c>
      <c r="BK245" s="344">
        <f t="shared" si="1216"/>
        <v>-0.48120300751879697</v>
      </c>
      <c r="BL245" s="344">
        <f t="shared" si="1216"/>
        <v>-2.9</v>
      </c>
      <c r="BM245" s="344">
        <f t="shared" si="1216"/>
        <v>-1.6153846153846154</v>
      </c>
      <c r="BN245" s="343">
        <f t="shared" si="1216"/>
        <v>-3.9591836734693877</v>
      </c>
      <c r="BO245" s="344">
        <f t="shared" si="1216"/>
        <v>-0.37704918032786883</v>
      </c>
      <c r="BP245" s="344">
        <f t="shared" si="1216"/>
        <v>2.8125</v>
      </c>
      <c r="BQ245" s="344">
        <f t="shared" si="1216"/>
        <v>-0.16666666666666666</v>
      </c>
      <c r="BR245" s="344">
        <f t="shared" si="1216"/>
        <v>0.71153846153846156</v>
      </c>
      <c r="BS245" s="343">
        <f t="shared" si="1216"/>
        <v>-9</v>
      </c>
      <c r="BT245" s="344">
        <f t="shared" si="1216"/>
        <v>-0.67307692307692313</v>
      </c>
      <c r="BU245" s="344">
        <f t="shared" si="1216"/>
        <v>0.18461538461538463</v>
      </c>
      <c r="BV245" s="344">
        <f t="shared" si="1216"/>
        <v>0.12865497076023391</v>
      </c>
      <c r="BW245" s="344">
        <f t="shared" si="1216"/>
        <v>0.39423076923076922</v>
      </c>
      <c r="BX245" s="343">
        <f t="shared" si="1216"/>
        <v>-0.46564885496183206</v>
      </c>
      <c r="BY245" s="344">
        <f t="shared" ref="BY245:DD245" si="1217">(BY251-BT251)/(BY238-BT238)</f>
        <v>-0.8571428571428571</v>
      </c>
      <c r="BZ245" s="344">
        <f t="shared" si="1217"/>
        <v>0.21739130434782608</v>
      </c>
      <c r="CA245" s="344">
        <f t="shared" si="1217"/>
        <v>0.12871287128712872</v>
      </c>
      <c r="CB245" s="344">
        <f t="shared" si="1217"/>
        <v>0.17699115044247787</v>
      </c>
      <c r="CC245" s="343">
        <f t="shared" si="1217"/>
        <v>0.19360269360269361</v>
      </c>
      <c r="CD245" s="344">
        <f t="shared" si="1217"/>
        <v>0.9375</v>
      </c>
      <c r="CE245" s="344">
        <f t="shared" si="1217"/>
        <v>0.87804878048780488</v>
      </c>
      <c r="CF245" s="344">
        <f t="shared" si="1217"/>
        <v>0.61428571428571432</v>
      </c>
      <c r="CG245" s="344">
        <f t="shared" si="1217"/>
        <v>2.5675675675675675</v>
      </c>
      <c r="CH245" s="343">
        <f t="shared" si="1217"/>
        <v>0.75444839857651247</v>
      </c>
      <c r="CI245" s="344">
        <f t="shared" si="1217"/>
        <v>0.62008733624454149</v>
      </c>
      <c r="CJ245" s="344">
        <f t="shared" si="1217"/>
        <v>0.40151515151515149</v>
      </c>
      <c r="CK245" s="344">
        <f t="shared" si="1217"/>
        <v>0.41296928327645049</v>
      </c>
      <c r="CL245" s="344">
        <f t="shared" si="1217"/>
        <v>0.37988826815642457</v>
      </c>
      <c r="CM245" s="343">
        <f t="shared" si="1217"/>
        <v>0.45284974093264246</v>
      </c>
      <c r="CN245" s="344">
        <f t="shared" si="1217"/>
        <v>-0.33734939759036142</v>
      </c>
      <c r="CO245" s="344">
        <f t="shared" si="1217"/>
        <v>0.85321100917431192</v>
      </c>
      <c r="CP245" s="344">
        <f t="shared" si="1217"/>
        <v>1.0116279069767442</v>
      </c>
      <c r="CQ245" s="344">
        <f t="shared" si="1217"/>
        <v>0.65363128491620115</v>
      </c>
      <c r="CR245" s="343">
        <f t="shared" si="1217"/>
        <v>0.57974137931034486</v>
      </c>
      <c r="CS245" s="344">
        <f t="shared" si="1217"/>
        <v>0.53793103448275859</v>
      </c>
      <c r="CT245" s="344">
        <f t="shared" si="1217"/>
        <v>0.27659574468085107</v>
      </c>
      <c r="CU245" s="344">
        <f t="shared" si="1217"/>
        <v>0.37636761487964987</v>
      </c>
      <c r="CV245" s="344">
        <f t="shared" si="1217"/>
        <v>0.97938144329896903</v>
      </c>
      <c r="CW245" s="343">
        <f t="shared" si="1217"/>
        <v>0.43020408163265306</v>
      </c>
      <c r="CX245" s="344">
        <f t="shared" si="1217"/>
        <v>0.21888412017167383</v>
      </c>
      <c r="CY245" s="344">
        <f t="shared" si="1217"/>
        <v>0.18698060941828254</v>
      </c>
      <c r="CZ245" s="344">
        <f t="shared" si="1217"/>
        <v>0.20089285714285715</v>
      </c>
      <c r="DA245" s="344">
        <f t="shared" si="1217"/>
        <v>0.30790960451977401</v>
      </c>
      <c r="DB245" s="343">
        <f t="shared" si="1217"/>
        <v>0.21725383920505872</v>
      </c>
      <c r="DC245" s="344">
        <f t="shared" si="1217"/>
        <v>0.45901639344262296</v>
      </c>
      <c r="DD245" s="344">
        <f t="shared" si="1217"/>
        <v>0.38912133891213391</v>
      </c>
      <c r="DE245" s="344">
        <f t="shared" ref="DE245:DU245" si="1218">(DE251-CZ251)/(DE238-CZ238)</f>
        <v>0.60212201591511938</v>
      </c>
      <c r="DF245" s="344">
        <f t="shared" si="1218"/>
        <v>0.530241935483871</v>
      </c>
      <c r="DG245" s="343">
        <f t="shared" si="1218"/>
        <v>0.49404388714733544</v>
      </c>
      <c r="DH245" s="344">
        <f t="shared" si="1218"/>
        <v>0.4642857142857143</v>
      </c>
      <c r="DI245" s="344">
        <f t="shared" si="1218"/>
        <v>0.43428571428571427</v>
      </c>
      <c r="DJ245" s="344">
        <f t="shared" si="1218"/>
        <v>0.17567567567567569</v>
      </c>
      <c r="DK245" s="344">
        <f t="shared" si="1218"/>
        <v>0.20903954802259886</v>
      </c>
      <c r="DL245" s="343">
        <f t="shared" si="1218"/>
        <v>0.34253666954270923</v>
      </c>
      <c r="DM245" s="344">
        <f t="shared" si="1218"/>
        <v>0.61780104712041883</v>
      </c>
      <c r="DN245" s="344">
        <f t="shared" si="1218"/>
        <v>0.1111111111111111</v>
      </c>
      <c r="DO245" s="344">
        <f t="shared" si="1218"/>
        <v>0.54081632653061229</v>
      </c>
      <c r="DP245" s="344">
        <f t="shared" si="1218"/>
        <v>0.69387755102040816</v>
      </c>
      <c r="DQ245" s="343">
        <f t="shared" ref="DQ245:DV245" si="1219">(DQ251-DL251)/(DQ238-DL238)</f>
        <v>0.1875</v>
      </c>
      <c r="DR245" s="344">
        <f t="shared" si="1218"/>
        <v>0.91954022988505746</v>
      </c>
      <c r="DS245" s="344">
        <f t="shared" si="1218"/>
        <v>-0.34090909090909088</v>
      </c>
      <c r="DT245" s="344">
        <f t="shared" si="1219"/>
        <v>-0.27142857142857141</v>
      </c>
      <c r="DU245" s="344">
        <f t="shared" si="1218"/>
        <v>-1.4598540145985401E-2</v>
      </c>
      <c r="DV245" s="343">
        <f t="shared" si="1219"/>
        <v>-0.70731707317073167</v>
      </c>
      <c r="DW245" s="344">
        <f t="shared" ref="DW245:ED245" si="1220">(DW251-DR251)/(DW238-DR238)</f>
        <v>-5.5384615384615383</v>
      </c>
      <c r="DX245" s="344">
        <f t="shared" si="1220"/>
        <v>0.41379310344827586</v>
      </c>
      <c r="DY245" s="344">
        <f t="shared" si="1220"/>
        <v>0.57037037037037042</v>
      </c>
      <c r="DZ245" s="344">
        <f t="shared" si="1220"/>
        <v>0.55020853537564629</v>
      </c>
      <c r="EA245" s="343">
        <f t="shared" si="1220"/>
        <v>0.27625749230228347</v>
      </c>
      <c r="EB245" s="344">
        <f t="shared" si="1220"/>
        <v>-10.125</v>
      </c>
      <c r="EC245" s="344">
        <f t="shared" si="1220"/>
        <v>2.6595744680851064E-2</v>
      </c>
      <c r="ED245" s="344">
        <f t="shared" si="1220"/>
        <v>9.8113207547169817E-2</v>
      </c>
      <c r="EE245" s="344">
        <f t="shared" ref="EE245:EI245" si="1221">(EE251-DZ251)/(EE238-DZ238)</f>
        <v>0.26777206053277769</v>
      </c>
      <c r="EF245" s="343">
        <f t="shared" si="1221"/>
        <v>6.8886548467214731E-2</v>
      </c>
      <c r="EG245" s="344">
        <f t="shared" si="1221"/>
        <v>0.18429003021148035</v>
      </c>
      <c r="EH245" s="344">
        <f t="shared" si="1221"/>
        <v>0.41348973607038125</v>
      </c>
      <c r="EI245" s="344">
        <f t="shared" si="1221"/>
        <v>0.40174672489082969</v>
      </c>
      <c r="EJ245" s="344">
        <f t="shared" ref="EJ245" si="1222">(EJ251-EE251)/(EJ238-EE238)</f>
        <v>0.83203125</v>
      </c>
      <c r="EK245" s="343">
        <f t="shared" ref="EK245:EQ245" si="1223">(EK251-EF251)/(EK238-EF238)</f>
        <v>0.14573643410852713</v>
      </c>
      <c r="EL245" s="344">
        <f t="shared" si="1223"/>
        <v>0.6972111553784861</v>
      </c>
      <c r="EM245" s="344">
        <f t="shared" si="1223"/>
        <v>1.0218340611353711</v>
      </c>
      <c r="EN245" s="344">
        <f t="shared" si="1223"/>
        <v>0.90909090909090906</v>
      </c>
      <c r="EO245" s="344">
        <f t="shared" si="1223"/>
        <v>1.1494252873563218E-2</v>
      </c>
      <c r="EP245" s="343">
        <f t="shared" si="1223"/>
        <v>1.3274336283185841</v>
      </c>
      <c r="EQ245" s="344">
        <f t="shared" si="1223"/>
        <v>23.571428571428573</v>
      </c>
      <c r="ER245" s="379">
        <f t="shared" ref="ER245" si="1224">(ER251-EM251)/(ER238-EM238)</f>
        <v>0.13523681029861578</v>
      </c>
      <c r="ES245" s="379">
        <f t="shared" ref="ES245:EU245" si="1225">(ES251-EN251)/(ES238-EN238)</f>
        <v>1.0633937451903952</v>
      </c>
      <c r="ET245" s="379">
        <f t="shared" si="1225"/>
        <v>0.37846809356464967</v>
      </c>
      <c r="EU245" s="1937">
        <f t="shared" si="1225"/>
        <v>1.3923380343063978</v>
      </c>
      <c r="EV245" s="342"/>
      <c r="EW245" s="342"/>
      <c r="EX245" s="342"/>
      <c r="EY245" s="342"/>
      <c r="EZ245" s="343">
        <f>(EZ251-EU251)/(EZ238-EU238)</f>
        <v>0.66833537103542162</v>
      </c>
      <c r="FA245" s="342"/>
      <c r="FB245" s="342"/>
      <c r="FC245" s="342"/>
      <c r="FD245" s="342"/>
      <c r="FE245" s="343">
        <f>(FE251-EZ251)/(FE238-EZ238)</f>
        <v>1.095206204215555</v>
      </c>
      <c r="FG245" s="489"/>
      <c r="FH245" s="782"/>
      <c r="FI245" s="782"/>
      <c r="FJ245" s="782"/>
      <c r="FK245" s="1319"/>
      <c r="FL245" s="1367"/>
      <c r="FM245" s="344">
        <f t="shared" si="1164"/>
        <v>23.571428571428573</v>
      </c>
      <c r="FN245" s="1475">
        <f t="shared" si="1165"/>
        <v>0.6972111553784861</v>
      </c>
      <c r="FO245" s="1880">
        <v>-0.20176859015066836</v>
      </c>
      <c r="FP245" s="1772"/>
      <c r="FQ245" s="733"/>
      <c r="FR245" s="1614"/>
      <c r="FS245" s="1619"/>
      <c r="FT245" s="637"/>
      <c r="FU245" s="637"/>
      <c r="FV245" s="637"/>
      <c r="FW245" s="637"/>
      <c r="FX245" s="637"/>
      <c r="FY245" s="637"/>
      <c r="FZ245" s="489"/>
      <c r="GA245"/>
      <c r="GB245"/>
      <c r="GC245"/>
      <c r="GD245"/>
      <c r="GE245"/>
      <c r="GF245"/>
      <c r="GG245"/>
      <c r="GH245"/>
      <c r="GI245"/>
      <c r="GJ245"/>
      <c r="GK245"/>
      <c r="GL245"/>
      <c r="GM245"/>
      <c r="GN245"/>
      <c r="GO245"/>
      <c r="GP245"/>
      <c r="GQ245"/>
      <c r="GR245"/>
      <c r="GS245"/>
      <c r="GT245"/>
      <c r="GU245"/>
      <c r="GV245"/>
      <c r="GW245"/>
      <c r="GX245"/>
      <c r="GY245"/>
      <c r="GZ245"/>
      <c r="HA245"/>
      <c r="HB245"/>
      <c r="HC245"/>
      <c r="HD245"/>
      <c r="HE245"/>
      <c r="HF245"/>
      <c r="HG245"/>
      <c r="HH245"/>
      <c r="HI245"/>
      <c r="HJ245"/>
      <c r="HK245"/>
      <c r="HL245"/>
      <c r="HM245"/>
      <c r="HN245"/>
      <c r="HO245"/>
      <c r="HP245"/>
      <c r="HQ245"/>
      <c r="HR245"/>
      <c r="HS245"/>
      <c r="HT245"/>
      <c r="HU245"/>
      <c r="HV245"/>
      <c r="HW245"/>
      <c r="HX245"/>
      <c r="HY245"/>
      <c r="HZ245"/>
      <c r="IA245"/>
      <c r="IB245"/>
      <c r="IC245"/>
      <c r="ID245"/>
      <c r="IE245"/>
      <c r="IF245"/>
      <c r="IG245"/>
      <c r="IH245"/>
      <c r="II245"/>
      <c r="IJ245"/>
      <c r="IK245"/>
      <c r="IL245"/>
      <c r="IM245"/>
      <c r="IN245"/>
      <c r="IO245"/>
      <c r="IP245"/>
      <c r="IQ245"/>
      <c r="IR245"/>
      <c r="IS245"/>
      <c r="IT245"/>
      <c r="IU245"/>
      <c r="IV245"/>
      <c r="IW245"/>
      <c r="IX245"/>
    </row>
    <row r="246" spans="1:258" s="186" customFormat="1" x14ac:dyDescent="0.2">
      <c r="A246" s="604" t="s">
        <v>148</v>
      </c>
      <c r="B246" s="364"/>
      <c r="C246" s="364"/>
      <c r="D246" s="364"/>
      <c r="E246" s="364"/>
      <c r="F246" s="365"/>
      <c r="G246" s="364"/>
      <c r="H246" s="364"/>
      <c r="I246" s="364"/>
      <c r="J246" s="364"/>
      <c r="K246" s="365"/>
      <c r="L246" s="364"/>
      <c r="M246" s="364"/>
      <c r="N246" s="364"/>
      <c r="O246" s="364"/>
      <c r="P246" s="365"/>
      <c r="Q246" s="364"/>
      <c r="R246" s="364"/>
      <c r="S246" s="364"/>
      <c r="T246" s="364"/>
      <c r="U246" s="365"/>
      <c r="V246" s="364"/>
      <c r="W246" s="364"/>
      <c r="X246" s="364"/>
      <c r="Y246" s="364"/>
      <c r="Z246" s="365"/>
      <c r="AA246" s="364"/>
      <c r="AB246" s="364"/>
      <c r="AC246" s="364"/>
      <c r="AD246" s="364"/>
      <c r="AE246" s="365"/>
      <c r="AF246" s="364"/>
      <c r="AG246" s="364"/>
      <c r="AH246" s="364"/>
      <c r="AI246" s="364"/>
      <c r="AJ246" s="365"/>
      <c r="AK246" s="364"/>
      <c r="AL246" s="364"/>
      <c r="AM246" s="364"/>
      <c r="AN246" s="364"/>
      <c r="AO246" s="365"/>
      <c r="AP246" s="364"/>
      <c r="AQ246" s="364"/>
      <c r="AR246" s="364"/>
      <c r="AS246" s="364"/>
      <c r="AT246" s="365"/>
      <c r="AU246" s="364"/>
      <c r="AV246" s="364"/>
      <c r="AW246" s="364"/>
      <c r="AX246" s="364"/>
      <c r="AY246" s="365"/>
      <c r="AZ246" s="364"/>
      <c r="BA246" s="364"/>
      <c r="BB246" s="364"/>
      <c r="BC246" s="364"/>
      <c r="BD246" s="365"/>
      <c r="BE246" s="364"/>
      <c r="BF246" s="364"/>
      <c r="BG246" s="364"/>
      <c r="BH246" s="364"/>
      <c r="BI246" s="365"/>
      <c r="BJ246" s="364"/>
      <c r="BK246" s="364"/>
      <c r="BL246" s="364"/>
      <c r="BM246" s="364"/>
      <c r="BN246" s="365"/>
      <c r="BO246" s="364"/>
      <c r="BP246" s="364"/>
      <c r="BQ246" s="364"/>
      <c r="BR246" s="364"/>
      <c r="BS246" s="365"/>
      <c r="BT246" s="364"/>
      <c r="BU246" s="364"/>
      <c r="BV246" s="364"/>
      <c r="BW246" s="364"/>
      <c r="BX246" s="365"/>
      <c r="BY246" s="364"/>
      <c r="BZ246" s="364"/>
      <c r="CA246" s="364"/>
      <c r="CB246" s="364"/>
      <c r="CC246" s="365"/>
      <c r="CD246" s="364"/>
      <c r="CE246" s="364"/>
      <c r="CF246" s="364"/>
      <c r="CG246" s="364"/>
      <c r="CH246" s="365"/>
      <c r="CI246" s="364">
        <f t="shared" ref="CI246:DN246" si="1226">1-((CI251-CI138)/CI156)</f>
        <v>0.79230313211361658</v>
      </c>
      <c r="CJ246" s="364">
        <f t="shared" si="1226"/>
        <v>0.77334278911243159</v>
      </c>
      <c r="CK246" s="364">
        <f t="shared" si="1226"/>
        <v>0.80579003893337753</v>
      </c>
      <c r="CL246" s="364">
        <f t="shared" si="1226"/>
        <v>0.78079481812076656</v>
      </c>
      <c r="CM246" s="365">
        <f t="shared" si="1226"/>
        <v>0.78803117204226436</v>
      </c>
      <c r="CN246" s="364">
        <f t="shared" si="1226"/>
        <v>0.79776280529272126</v>
      </c>
      <c r="CO246" s="364">
        <f t="shared" si="1226"/>
        <v>0.75142818435033076</v>
      </c>
      <c r="CP246" s="364">
        <f t="shared" si="1226"/>
        <v>0.75747874920223734</v>
      </c>
      <c r="CQ246" s="364">
        <f t="shared" si="1226"/>
        <v>0.74054564322895056</v>
      </c>
      <c r="CR246" s="365">
        <f t="shared" si="1226"/>
        <v>0.76132954089542459</v>
      </c>
      <c r="CS246" s="364">
        <f t="shared" si="1226"/>
        <v>0.77208993908102341</v>
      </c>
      <c r="CT246" s="364">
        <f t="shared" si="1226"/>
        <v>0.75083629686976172</v>
      </c>
      <c r="CU246" s="364">
        <f t="shared" si="1226"/>
        <v>0.7911299938945231</v>
      </c>
      <c r="CV246" s="364">
        <f t="shared" si="1226"/>
        <v>0.80714510097232606</v>
      </c>
      <c r="CW246" s="365">
        <f t="shared" si="1226"/>
        <v>0.77993807477999977</v>
      </c>
      <c r="CX246" s="364">
        <f t="shared" si="1226"/>
        <v>0.79706275033377838</v>
      </c>
      <c r="CY246" s="364">
        <f t="shared" si="1226"/>
        <v>0.75835240274599536</v>
      </c>
      <c r="CZ246" s="364">
        <f t="shared" si="1226"/>
        <v>0.70380078636959365</v>
      </c>
      <c r="DA246" s="364">
        <f t="shared" si="1226"/>
        <v>0.69655172413793109</v>
      </c>
      <c r="DB246" s="365">
        <f t="shared" si="1226"/>
        <v>0.73830328503484122</v>
      </c>
      <c r="DC246" s="364">
        <f t="shared" si="1226"/>
        <v>0.72340425531914887</v>
      </c>
      <c r="DD246" s="364">
        <f t="shared" si="1226"/>
        <v>0.69695831768681937</v>
      </c>
      <c r="DE246" s="364">
        <f t="shared" si="1226"/>
        <v>0.68379594898724683</v>
      </c>
      <c r="DF246" s="364">
        <f t="shared" si="1226"/>
        <v>0.67045454545454541</v>
      </c>
      <c r="DG246" s="365">
        <f t="shared" si="1226"/>
        <v>0.69283565250094026</v>
      </c>
      <c r="DH246" s="364">
        <f t="shared" si="1226"/>
        <v>0.69890060134418119</v>
      </c>
      <c r="DI246" s="364">
        <f t="shared" si="1226"/>
        <v>0.70051078659143706</v>
      </c>
      <c r="DJ246" s="364">
        <f t="shared" si="1226"/>
        <v>0.70844395678595551</v>
      </c>
      <c r="DK246" s="364">
        <f t="shared" si="1226"/>
        <v>0.72153357834948206</v>
      </c>
      <c r="DL246" s="365">
        <f t="shared" si="1226"/>
        <v>0.70745163204747774</v>
      </c>
      <c r="DM246" s="364">
        <f t="shared" si="1226"/>
        <v>0.71221835652750165</v>
      </c>
      <c r="DN246" s="364">
        <f t="shared" si="1226"/>
        <v>0.7032592096450101</v>
      </c>
      <c r="DO246" s="364">
        <f t="shared" ref="DO246:EU246" si="1227">1-((DO251-DO138)/DO156)</f>
        <v>0.70696787709497211</v>
      </c>
      <c r="DP246" s="364">
        <f t="shared" si="1227"/>
        <v>0.72507841105354065</v>
      </c>
      <c r="DQ246" s="365">
        <f t="shared" si="1227"/>
        <v>0.71183074045736627</v>
      </c>
      <c r="DR246" s="364">
        <f t="shared" si="1227"/>
        <v>0.71707028317980215</v>
      </c>
      <c r="DS246" s="364">
        <f t="shared" si="1227"/>
        <v>0.70641221122112208</v>
      </c>
      <c r="DT246" s="364">
        <f t="shared" si="1227"/>
        <v>0.73163735514655759</v>
      </c>
      <c r="DU246" s="364">
        <f t="shared" si="1227"/>
        <v>0.73748416886543544</v>
      </c>
      <c r="DV246" s="365">
        <f t="shared" si="1227"/>
        <v>0.72313557474637369</v>
      </c>
      <c r="DW246" s="364">
        <f t="shared" si="1227"/>
        <v>0.76792424754819066</v>
      </c>
      <c r="DX246" s="364">
        <f t="shared" si="1227"/>
        <v>0.6942870399010207</v>
      </c>
      <c r="DY246" s="364">
        <f t="shared" si="1227"/>
        <v>0.70943476903870162</v>
      </c>
      <c r="DZ246" s="364">
        <f t="shared" si="1227"/>
        <v>0.73002564113037338</v>
      </c>
      <c r="EA246" s="365">
        <f t="shared" si="1227"/>
        <v>0.7245076478479644</v>
      </c>
      <c r="EB246" s="364">
        <f t="shared" si="1227"/>
        <v>0.77017565276364874</v>
      </c>
      <c r="EC246" s="364">
        <f t="shared" si="1227"/>
        <v>0.66777339901477828</v>
      </c>
      <c r="ED246" s="364">
        <f t="shared" si="1227"/>
        <v>0.68090506975161624</v>
      </c>
      <c r="EE246" s="364">
        <f t="shared" si="1227"/>
        <v>0.70190578928443004</v>
      </c>
      <c r="EF246" s="365">
        <f t="shared" si="1227"/>
        <v>0.70495116954072046</v>
      </c>
      <c r="EG246" s="364">
        <f t="shared" si="1227"/>
        <v>0.72383498854087092</v>
      </c>
      <c r="EH246" s="364">
        <f t="shared" si="1227"/>
        <v>0.68676035502958577</v>
      </c>
      <c r="EI246" s="364">
        <f t="shared" si="1227"/>
        <v>0.68450184501845013</v>
      </c>
      <c r="EJ246" s="364">
        <f t="shared" si="1227"/>
        <v>0.66084952255515317</v>
      </c>
      <c r="EK246" s="365">
        <f t="shared" si="1227"/>
        <v>0.68904146716053849</v>
      </c>
      <c r="EL246" s="364">
        <f t="shared" si="1227"/>
        <v>0.68142209829208777</v>
      </c>
      <c r="EM246" s="364">
        <f t="shared" si="1227"/>
        <v>0.64268666893965221</v>
      </c>
      <c r="EN246" s="364">
        <f t="shared" si="1227"/>
        <v>0.67772511848341233</v>
      </c>
      <c r="EO246" s="364">
        <f t="shared" si="1227"/>
        <v>0.65316101990918618</v>
      </c>
      <c r="EP246" s="365">
        <f t="shared" si="1227"/>
        <v>0.66348176718092566</v>
      </c>
      <c r="EQ246" s="364">
        <f t="shared" ref="EQ246" si="1228">1-((EQ251-EQ138)/EQ156)</f>
        <v>0.64116828929068148</v>
      </c>
      <c r="ER246" s="364">
        <f t="shared" si="1227"/>
        <v>0.63321702415369319</v>
      </c>
      <c r="ES246" s="364">
        <f t="shared" si="1227"/>
        <v>0.65787032308429338</v>
      </c>
      <c r="ET246" s="364">
        <f t="shared" si="1227"/>
        <v>0.65503046267139753</v>
      </c>
      <c r="EU246" s="365">
        <f t="shared" si="1227"/>
        <v>0.64693460389465463</v>
      </c>
      <c r="EV246" s="185"/>
      <c r="EW246" s="185"/>
      <c r="EX246" s="185"/>
      <c r="EY246" s="185"/>
      <c r="EZ246" s="365">
        <f>1-((EZ251-EZ138)/EZ156)</f>
        <v>0.63555489386596187</v>
      </c>
      <c r="FA246" s="185"/>
      <c r="FB246" s="185"/>
      <c r="FC246" s="185"/>
      <c r="FD246" s="185"/>
      <c r="FE246" s="365">
        <f>1-((FE251-FE138)/FE156)</f>
        <v>0.61770970391670255</v>
      </c>
      <c r="FG246" s="489"/>
      <c r="FH246" s="780"/>
      <c r="FI246" s="780"/>
      <c r="FJ246" s="780"/>
      <c r="FL246" s="1348"/>
      <c r="FM246" s="364">
        <f t="shared" si="1164"/>
        <v>0.64116828929068148</v>
      </c>
      <c r="FN246" s="794">
        <f t="shared" si="1165"/>
        <v>0.68142209829208777</v>
      </c>
      <c r="FO246" s="1877">
        <v>0.6854849719613092</v>
      </c>
      <c r="FP246" s="1771">
        <f>+(FM246-FN246)*10000</f>
        <v>-402.53809001406296</v>
      </c>
      <c r="FQ246" s="1504">
        <f>+(FM246-FO246)*10000</f>
        <v>-443.16682670627716</v>
      </c>
      <c r="FR246" s="1619"/>
      <c r="FS246" s="1619"/>
      <c r="FT246" s="354"/>
      <c r="FU246" s="354"/>
      <c r="FV246" s="354"/>
      <c r="FW246" s="354"/>
      <c r="FX246" s="354"/>
      <c r="FY246" s="354"/>
      <c r="FZ246" s="489"/>
      <c r="GA246"/>
      <c r="GB246"/>
      <c r="GC246"/>
      <c r="GD246"/>
      <c r="GE246"/>
      <c r="GF246"/>
      <c r="GG246"/>
      <c r="GH246"/>
      <c r="GI246"/>
      <c r="GJ246"/>
      <c r="GK246"/>
      <c r="GL246"/>
      <c r="GM246"/>
      <c r="GN246"/>
      <c r="GO246"/>
      <c r="GP246"/>
      <c r="GQ246"/>
      <c r="GR246"/>
      <c r="GS246"/>
      <c r="GT246"/>
      <c r="GU246"/>
      <c r="GV246"/>
      <c r="GW246"/>
      <c r="GX246"/>
      <c r="GY246"/>
      <c r="GZ246"/>
      <c r="HA246"/>
      <c r="HB246"/>
      <c r="HC246"/>
      <c r="HD246"/>
      <c r="HE246"/>
      <c r="HF246"/>
      <c r="HG246"/>
      <c r="HH246"/>
      <c r="HI246"/>
      <c r="HJ246"/>
      <c r="HK246"/>
      <c r="HL246"/>
      <c r="HM246"/>
      <c r="HN246"/>
      <c r="HO246"/>
      <c r="HP246"/>
      <c r="HQ246"/>
      <c r="HR246"/>
      <c r="HS246"/>
      <c r="HT246"/>
      <c r="HU246"/>
      <c r="HV246"/>
      <c r="HW246"/>
      <c r="HX246"/>
      <c r="HY246"/>
      <c r="HZ246"/>
      <c r="IA246"/>
      <c r="IB246"/>
      <c r="IC246"/>
      <c r="ID246"/>
      <c r="IE246"/>
      <c r="IF246"/>
      <c r="IG246"/>
      <c r="IH246"/>
      <c r="II246"/>
      <c r="IJ246"/>
      <c r="IK246"/>
      <c r="IL246"/>
      <c r="IM246"/>
      <c r="IN246"/>
      <c r="IO246"/>
      <c r="IP246"/>
      <c r="IQ246"/>
      <c r="IR246"/>
      <c r="IS246"/>
      <c r="IT246"/>
      <c r="IU246"/>
      <c r="IV246"/>
      <c r="IW246"/>
      <c r="IX246"/>
    </row>
    <row r="247" spans="1:258" s="375" customFormat="1" x14ac:dyDescent="0.2">
      <c r="A247" s="605" t="s">
        <v>84</v>
      </c>
      <c r="B247" s="372"/>
      <c r="C247" s="372"/>
      <c r="D247" s="372"/>
      <c r="E247" s="372"/>
      <c r="F247" s="373"/>
      <c r="G247" s="372"/>
      <c r="H247" s="372"/>
      <c r="I247" s="372"/>
      <c r="J247" s="372"/>
      <c r="K247" s="373"/>
      <c r="L247" s="372"/>
      <c r="M247" s="372"/>
      <c r="N247" s="372"/>
      <c r="O247" s="372"/>
      <c r="P247" s="373"/>
      <c r="Q247" s="372"/>
      <c r="R247" s="372"/>
      <c r="S247" s="372"/>
      <c r="T247" s="372"/>
      <c r="U247" s="373"/>
      <c r="V247" s="372"/>
      <c r="W247" s="372"/>
      <c r="X247" s="372"/>
      <c r="Y247" s="372"/>
      <c r="Z247" s="373"/>
      <c r="AA247" s="372"/>
      <c r="AB247" s="372"/>
      <c r="AC247" s="372"/>
      <c r="AD247" s="372"/>
      <c r="AE247" s="373"/>
      <c r="AF247" s="372"/>
      <c r="AG247" s="372"/>
      <c r="AH247" s="372"/>
      <c r="AI247" s="372"/>
      <c r="AJ247" s="373"/>
      <c r="AK247" s="372"/>
      <c r="AL247" s="372"/>
      <c r="AM247" s="372"/>
      <c r="AN247" s="372"/>
      <c r="AO247" s="373"/>
      <c r="AP247" s="372"/>
      <c r="AQ247" s="372"/>
      <c r="AR247" s="372"/>
      <c r="AS247" s="372"/>
      <c r="AT247" s="373"/>
      <c r="AU247" s="372"/>
      <c r="AV247" s="372"/>
      <c r="AW247" s="372"/>
      <c r="AX247" s="372"/>
      <c r="AY247" s="373"/>
      <c r="AZ247" s="372"/>
      <c r="BA247" s="372"/>
      <c r="BB247" s="372"/>
      <c r="BC247" s="372"/>
      <c r="BD247" s="373"/>
      <c r="BE247" s="372"/>
      <c r="BF247" s="372"/>
      <c r="BG247" s="372"/>
      <c r="BH247" s="372"/>
      <c r="BI247" s="373"/>
      <c r="BJ247" s="372"/>
      <c r="BK247" s="372"/>
      <c r="BL247" s="372"/>
      <c r="BM247" s="372"/>
      <c r="BN247" s="373"/>
      <c r="BO247" s="372"/>
      <c r="BP247" s="372"/>
      <c r="BQ247" s="372"/>
      <c r="BR247" s="372"/>
      <c r="BS247" s="373"/>
      <c r="BT247" s="372"/>
      <c r="BU247" s="372"/>
      <c r="BV247" s="372"/>
      <c r="BW247" s="372"/>
      <c r="BX247" s="373"/>
      <c r="BY247" s="372"/>
      <c r="BZ247" s="372"/>
      <c r="CA247" s="372"/>
      <c r="CB247" s="372"/>
      <c r="CC247" s="373"/>
      <c r="CD247" s="372"/>
      <c r="CE247" s="372"/>
      <c r="CF247" s="372"/>
      <c r="CG247" s="372"/>
      <c r="CH247" s="373"/>
      <c r="CI247" s="372"/>
      <c r="CJ247" s="372"/>
      <c r="CK247" s="372"/>
      <c r="CL247" s="372"/>
      <c r="CM247" s="373"/>
      <c r="CN247" s="372">
        <f t="shared" ref="CN247:DU247" si="1229">(CN246-CI246)*100</f>
        <v>0.54596731791046738</v>
      </c>
      <c r="CO247" s="372">
        <f t="shared" si="1229"/>
        <v>-2.1914604762100831</v>
      </c>
      <c r="CP247" s="372">
        <f t="shared" si="1229"/>
        <v>-4.8311289731140183</v>
      </c>
      <c r="CQ247" s="372">
        <f t="shared" si="1229"/>
        <v>-4.0249174891816004</v>
      </c>
      <c r="CR247" s="373">
        <f t="shared" si="1229"/>
        <v>-2.6701631146839766</v>
      </c>
      <c r="CS247" s="372">
        <f t="shared" si="1229"/>
        <v>-2.5672866211697842</v>
      </c>
      <c r="CT247" s="372">
        <f t="shared" si="1229"/>
        <v>-5.9188748056904217E-2</v>
      </c>
      <c r="CU247" s="372">
        <f t="shared" si="1229"/>
        <v>3.3651244692285753</v>
      </c>
      <c r="CV247" s="372">
        <f t="shared" si="1229"/>
        <v>6.6599457743375501</v>
      </c>
      <c r="CW247" s="373">
        <f t="shared" si="1229"/>
        <v>1.8608533884575174</v>
      </c>
      <c r="CX247" s="372">
        <f t="shared" si="1229"/>
        <v>2.4972811252754967</v>
      </c>
      <c r="CY247" s="372">
        <f t="shared" si="1229"/>
        <v>0.75161058762336364</v>
      </c>
      <c r="CZ247" s="372">
        <f t="shared" si="1229"/>
        <v>-8.7329207524929444</v>
      </c>
      <c r="DA247" s="372">
        <f t="shared" si="1229"/>
        <v>-11.059337683439496</v>
      </c>
      <c r="DB247" s="373">
        <f t="shared" si="1229"/>
        <v>-4.1634789745158551</v>
      </c>
      <c r="DC247" s="372">
        <f t="shared" si="1229"/>
        <v>-7.365849501462951</v>
      </c>
      <c r="DD247" s="372">
        <f t="shared" si="1229"/>
        <v>-6.1394085059175989</v>
      </c>
      <c r="DE247" s="372">
        <f t="shared" si="1229"/>
        <v>-2.0004837382346818</v>
      </c>
      <c r="DF247" s="372">
        <f t="shared" si="1229"/>
        <v>-2.609717868338568</v>
      </c>
      <c r="DG247" s="373">
        <f t="shared" si="1229"/>
        <v>-4.5467632533900959</v>
      </c>
      <c r="DH247" s="372">
        <f t="shared" si="1229"/>
        <v>-2.4503653974967676</v>
      </c>
      <c r="DI247" s="372">
        <f t="shared" si="1229"/>
        <v>0.35524689046176894</v>
      </c>
      <c r="DJ247" s="372">
        <f t="shared" si="1229"/>
        <v>2.4648007798708682</v>
      </c>
      <c r="DK247" s="372">
        <f t="shared" si="1229"/>
        <v>5.1079032894936649</v>
      </c>
      <c r="DL247" s="373">
        <f t="shared" si="1229"/>
        <v>1.4615979546537483</v>
      </c>
      <c r="DM247" s="372">
        <f t="shared" si="1229"/>
        <v>1.3317755183320457</v>
      </c>
      <c r="DN247" s="372">
        <f t="shared" si="1229"/>
        <v>0.27484230535730347</v>
      </c>
      <c r="DO247" s="372">
        <f t="shared" si="1229"/>
        <v>-0.14760796909834006</v>
      </c>
      <c r="DP247" s="372">
        <f t="shared" si="1229"/>
        <v>0.3544832704058587</v>
      </c>
      <c r="DQ247" s="373">
        <f t="shared" ref="DQ247:DV247" si="1230">(DQ246-DL246)*100</f>
        <v>0.43791084098885324</v>
      </c>
      <c r="DR247" s="372">
        <f t="shared" si="1229"/>
        <v>0.48519266523004978</v>
      </c>
      <c r="DS247" s="372">
        <f t="shared" si="1229"/>
        <v>0.31530015761119801</v>
      </c>
      <c r="DT247" s="372">
        <f t="shared" si="1230"/>
        <v>2.4669478051585481</v>
      </c>
      <c r="DU247" s="372">
        <f t="shared" si="1229"/>
        <v>1.2405757811894791</v>
      </c>
      <c r="DV247" s="373">
        <f t="shared" si="1230"/>
        <v>1.1304834289007415</v>
      </c>
      <c r="DW247" s="372">
        <f t="shared" ref="DW247:ED247" si="1231">(DW246-DR246)*100</f>
        <v>5.0853964368388516</v>
      </c>
      <c r="DX247" s="372">
        <f t="shared" si="1231"/>
        <v>-1.212517132010138</v>
      </c>
      <c r="DY247" s="372">
        <f t="shared" si="1231"/>
        <v>-2.2202586107855971</v>
      </c>
      <c r="DZ247" s="372">
        <f t="shared" si="1231"/>
        <v>-0.74585277350620593</v>
      </c>
      <c r="EA247" s="373">
        <f t="shared" si="1231"/>
        <v>0.13720731015907095</v>
      </c>
      <c r="EB247" s="372">
        <f t="shared" si="1231"/>
        <v>0.22514052154580799</v>
      </c>
      <c r="EC247" s="372">
        <f t="shared" si="1231"/>
        <v>-2.6513640886242418</v>
      </c>
      <c r="ED247" s="372">
        <f t="shared" si="1231"/>
        <v>-2.8529699287085375</v>
      </c>
      <c r="EE247" s="372">
        <f t="shared" ref="EE247:EI247" si="1232">(EE246-DZ246)*100</f>
        <v>-2.8119851845943344</v>
      </c>
      <c r="EF247" s="373">
        <f t="shared" si="1232"/>
        <v>-1.9556478307243941</v>
      </c>
      <c r="EG247" s="372">
        <f t="shared" si="1232"/>
        <v>-4.6340664222777832</v>
      </c>
      <c r="EH247" s="372">
        <f t="shared" si="1232"/>
        <v>1.8986956014807488</v>
      </c>
      <c r="EI247" s="372">
        <f t="shared" si="1232"/>
        <v>0.35967752668338848</v>
      </c>
      <c r="EJ247" s="372">
        <f t="shared" ref="EJ247" si="1233">(EJ246-EE246)*100</f>
        <v>-4.1056266729276869</v>
      </c>
      <c r="EK247" s="373">
        <f t="shared" ref="EK247:EQ247" si="1234">(EK246-EF246)*100</f>
        <v>-1.5909702380181967</v>
      </c>
      <c r="EL247" s="372">
        <f t="shared" si="1234"/>
        <v>-4.2412890248783146</v>
      </c>
      <c r="EM247" s="372">
        <f t="shared" si="1234"/>
        <v>-4.4073686089933561</v>
      </c>
      <c r="EN247" s="372">
        <f t="shared" si="1234"/>
        <v>-0.67767265350378025</v>
      </c>
      <c r="EO247" s="372">
        <f t="shared" si="1234"/>
        <v>-0.76885026459669881</v>
      </c>
      <c r="EP247" s="373">
        <f t="shared" si="1234"/>
        <v>-2.5559699979612827</v>
      </c>
      <c r="EQ247" s="372">
        <f t="shared" si="1234"/>
        <v>-4.0253809001406289</v>
      </c>
      <c r="ER247" s="372">
        <f t="shared" ref="ER247" si="1235">(ER246-EM246)*100</f>
        <v>-0.94696447859590194</v>
      </c>
      <c r="ES247" s="372">
        <f t="shared" ref="ES247:EU247" si="1236">(ES246-EN246)*100</f>
        <v>-1.9854795399118941</v>
      </c>
      <c r="ET247" s="372">
        <f t="shared" si="1236"/>
        <v>0.18694427622113485</v>
      </c>
      <c r="EU247" s="373">
        <f t="shared" si="1236"/>
        <v>-1.6547163286271038</v>
      </c>
      <c r="EV247" s="372"/>
      <c r="EW247" s="372"/>
      <c r="EX247" s="372"/>
      <c r="EY247" s="372"/>
      <c r="EZ247" s="373">
        <f>(EZ246-EU246)*100</f>
        <v>-1.1379710028692758</v>
      </c>
      <c r="FA247" s="372"/>
      <c r="FB247" s="372"/>
      <c r="FC247" s="372"/>
      <c r="FD247" s="372"/>
      <c r="FE247" s="373">
        <f>(FE246-EZ246)*100</f>
        <v>-1.7845189949259321</v>
      </c>
      <c r="FF247" s="374"/>
      <c r="FG247" s="489"/>
      <c r="FH247" s="801"/>
      <c r="FI247" s="801"/>
      <c r="FJ247" s="801"/>
      <c r="FK247" s="1320"/>
      <c r="FL247" s="1368"/>
      <c r="FM247" s="372">
        <f t="shared" si="1164"/>
        <v>-4.0253809001406289</v>
      </c>
      <c r="FN247" s="1476">
        <f t="shared" si="1165"/>
        <v>-4.2412890248783146</v>
      </c>
      <c r="FO247" s="1881">
        <v>0.61541946869976272</v>
      </c>
      <c r="FP247" s="1773"/>
      <c r="FQ247" s="760"/>
      <c r="FR247" s="1627"/>
      <c r="FS247" s="1627"/>
      <c r="FT247" s="636"/>
      <c r="FU247" s="636"/>
      <c r="FV247" s="636"/>
      <c r="FW247" s="636"/>
      <c r="FX247" s="636"/>
      <c r="FY247" s="355"/>
      <c r="FZ247" s="489"/>
      <c r="GA247"/>
      <c r="GB247"/>
      <c r="GC247"/>
      <c r="GD247"/>
      <c r="GE247"/>
      <c r="GF247"/>
      <c r="GG247"/>
      <c r="GH247"/>
      <c r="GI247"/>
      <c r="GJ247"/>
      <c r="GK247"/>
      <c r="GL247"/>
      <c r="GM247"/>
      <c r="GN247"/>
      <c r="GO247"/>
      <c r="GP247"/>
      <c r="GQ247"/>
      <c r="GR247"/>
      <c r="GS247"/>
      <c r="GT247"/>
      <c r="GU247"/>
      <c r="GV247"/>
      <c r="GW247"/>
      <c r="GX247"/>
      <c r="GY247"/>
      <c r="GZ247"/>
      <c r="HA247"/>
      <c r="HB247"/>
      <c r="HC247"/>
      <c r="HD247"/>
      <c r="HE247"/>
      <c r="HF247"/>
      <c r="HG247"/>
      <c r="HH247"/>
      <c r="HI247"/>
      <c r="HJ247"/>
      <c r="HK247"/>
      <c r="HL247"/>
      <c r="HM247"/>
      <c r="HN247"/>
      <c r="HO247"/>
      <c r="HP247"/>
      <c r="HQ247"/>
      <c r="HR247"/>
      <c r="HS247"/>
      <c r="HT247"/>
      <c r="HU247"/>
      <c r="HV247"/>
      <c r="HW247"/>
      <c r="HX247"/>
      <c r="HY247"/>
      <c r="HZ247"/>
      <c r="IA247"/>
      <c r="IB247"/>
      <c r="IC247"/>
      <c r="ID247"/>
      <c r="IE247"/>
      <c r="IF247"/>
      <c r="IG247"/>
      <c r="IH247"/>
      <c r="II247"/>
      <c r="IJ247"/>
      <c r="IK247"/>
      <c r="IL247"/>
      <c r="IM247"/>
      <c r="IN247"/>
      <c r="IO247"/>
      <c r="IP247"/>
      <c r="IQ247"/>
      <c r="IR247"/>
      <c r="IS247"/>
      <c r="IT247"/>
      <c r="IU247"/>
      <c r="IV247"/>
      <c r="IW247"/>
      <c r="IX247"/>
    </row>
    <row r="248" spans="1:258" s="31" customFormat="1" x14ac:dyDescent="0.2">
      <c r="A248" s="577" t="s">
        <v>337</v>
      </c>
      <c r="F248" s="283"/>
      <c r="K248" s="283"/>
      <c r="P248" s="283"/>
      <c r="U248" s="283"/>
      <c r="Z248" s="283"/>
      <c r="AE248" s="283"/>
      <c r="AJ248" s="283"/>
      <c r="AO248" s="283"/>
      <c r="AT248" s="283"/>
      <c r="AY248" s="283"/>
      <c r="BD248" s="283"/>
      <c r="BI248" s="283"/>
      <c r="BN248" s="283"/>
      <c r="BS248" s="283"/>
      <c r="BX248" s="283"/>
      <c r="CC248" s="283"/>
      <c r="CH248" s="283"/>
      <c r="CJ248" s="31">
        <f>(CJ246-CI246)*100</f>
        <v>-1.8960343001184987</v>
      </c>
      <c r="CK248" s="31">
        <f>(CK246-CJ246)*100</f>
        <v>3.2447249820945934</v>
      </c>
      <c r="CL248" s="31">
        <f>(CL246-CK246)*100</f>
        <v>-2.4995220812610963</v>
      </c>
      <c r="CM248" s="283"/>
      <c r="CN248" s="31">
        <f>(CN246-CL246)*100</f>
        <v>1.696798717195469</v>
      </c>
      <c r="CO248" s="31">
        <f>(CO246-CN246)*100</f>
        <v>-4.6334620942390492</v>
      </c>
      <c r="CP248" s="31">
        <f>(CP246-CO246)*100</f>
        <v>0.60505648519065813</v>
      </c>
      <c r="CQ248" s="31">
        <f>(CQ246-CP246)*100</f>
        <v>-1.6933105973286788</v>
      </c>
      <c r="CR248" s="283"/>
      <c r="CS248" s="31">
        <f>(CS246-CQ246)*100</f>
        <v>3.1544295852072857</v>
      </c>
      <c r="CT248" s="31">
        <f>(CT246-CS246)*100</f>
        <v>-2.1253642211261692</v>
      </c>
      <c r="CU248" s="31">
        <f>(CU246-CT246)*100</f>
        <v>4.0293697024761377</v>
      </c>
      <c r="CV248" s="31">
        <f>(CV246-CU246)*100</f>
        <v>1.6015107077802959</v>
      </c>
      <c r="CW248" s="283"/>
      <c r="CX248" s="31">
        <f>(CX246-CV246)*100</f>
        <v>-1.0082350638547677</v>
      </c>
      <c r="CY248" s="31">
        <f>(CY246-CX246)*100</f>
        <v>-3.8710347587783023</v>
      </c>
      <c r="CZ248" s="31">
        <f>(CZ246-CY246)*100</f>
        <v>-5.4551616376401713</v>
      </c>
      <c r="DA248" s="31">
        <f>(DA246-CZ246)*100</f>
        <v>-0.72490622316625508</v>
      </c>
      <c r="DB248" s="283"/>
      <c r="DC248" s="31">
        <f>(DC246-DA246)*100</f>
        <v>2.6852531181217776</v>
      </c>
      <c r="DD248" s="31">
        <f>(DD246-DC246)*100</f>
        <v>-2.6445937632329497</v>
      </c>
      <c r="DE248" s="31">
        <f>(DE246-DD246)*100</f>
        <v>-1.3162368699572546</v>
      </c>
      <c r="DF248" s="31">
        <f>(DF246-DE246)*100</f>
        <v>-1.3341403532701412</v>
      </c>
      <c r="DG248" s="283"/>
      <c r="DH248" s="31">
        <f>(DH246-DF246)*100</f>
        <v>2.844605588963578</v>
      </c>
      <c r="DI248" s="31">
        <f>(DI246-DH246)*100</f>
        <v>0.16101852472558686</v>
      </c>
      <c r="DJ248" s="31">
        <f>(DJ246-DI246)*100</f>
        <v>0.79331701945184463</v>
      </c>
      <c r="DK248" s="31">
        <f>(DK246-DJ246)*100</f>
        <v>1.3089621563526554</v>
      </c>
      <c r="DL248" s="283"/>
      <c r="DM248" s="31">
        <f>(DM246-DK246)*100</f>
        <v>-0.93152218219804128</v>
      </c>
      <c r="DN248" s="31">
        <f>(DN246-DM246)*100</f>
        <v>-0.89591468824915532</v>
      </c>
      <c r="DO248" s="31">
        <f>(DO246-DN246)*100</f>
        <v>0.37086674499620109</v>
      </c>
      <c r="DP248" s="31">
        <f>(DP246-DO246)*100</f>
        <v>1.8110533958568542</v>
      </c>
      <c r="DQ248" s="283"/>
      <c r="DR248" s="31">
        <f>(DR246-DP246)*100</f>
        <v>-0.8008127873738502</v>
      </c>
      <c r="DS248" s="31">
        <f>(DS246-DR246)*100</f>
        <v>-1.0658071958680071</v>
      </c>
      <c r="DT248" s="31">
        <f>(DT246-DS246)*100</f>
        <v>2.5225143925435511</v>
      </c>
      <c r="DU248" s="31">
        <f>(DU246-DT246)*100</f>
        <v>0.58468137188778524</v>
      </c>
      <c r="DV248" s="283"/>
      <c r="DW248" s="31">
        <f>(DW246-DU246)*100</f>
        <v>3.0440078682755223</v>
      </c>
      <c r="DX248" s="31">
        <f>(DX246-DW246)*100</f>
        <v>-7.3637207647169962</v>
      </c>
      <c r="DY248" s="31">
        <f>(DY246-DX246)*100</f>
        <v>1.5147729137680921</v>
      </c>
      <c r="DZ248" s="31">
        <f>(DZ246-DY246)*100</f>
        <v>2.0590872091671764</v>
      </c>
      <c r="EA248" s="283"/>
      <c r="EB248" s="31">
        <f>(EB246-DZ246)*100</f>
        <v>4.0150011633275362</v>
      </c>
      <c r="EC248" s="31">
        <f>(EC246-EB246)*100</f>
        <v>-10.240225374887046</v>
      </c>
      <c r="ED248" s="31">
        <f>(ED246-EC246)*100</f>
        <v>1.3131670736837964</v>
      </c>
      <c r="EE248" s="31">
        <f>(EE246-ED246)*100</f>
        <v>2.1000719532813794</v>
      </c>
      <c r="EF248" s="283"/>
      <c r="EG248" s="31">
        <f>(EG246-EE246)*100</f>
        <v>2.1929199256440879</v>
      </c>
      <c r="EH248" s="31">
        <f>(EH246-EG246)*100</f>
        <v>-3.7074633511285149</v>
      </c>
      <c r="EI248" s="31">
        <f>(EI246-EH246)*100</f>
        <v>-0.22585100111356393</v>
      </c>
      <c r="EJ248" s="31">
        <f>(EJ246-EI246)*100</f>
        <v>-2.365232246329696</v>
      </c>
      <c r="EK248" s="283"/>
      <c r="EL248" s="31">
        <f>(EL246-EJ246)*100</f>
        <v>2.0572575736934606</v>
      </c>
      <c r="EM248" s="31">
        <f>(EM246-EL246)*100</f>
        <v>-3.8735429352435569</v>
      </c>
      <c r="EN248" s="31">
        <f>(EN246-EM246)*100</f>
        <v>3.503844954376012</v>
      </c>
      <c r="EO248" s="31">
        <f>(EO246-EN246)*100</f>
        <v>-2.4564098574226145</v>
      </c>
      <c r="EP248" s="283"/>
      <c r="EQ248" s="31">
        <f>(EQ246-EO246)*100</f>
        <v>-1.1992730618504699</v>
      </c>
      <c r="ER248" s="31">
        <f t="shared" ref="ER248" si="1237">(ER246-EQ246)*100</f>
        <v>-0.79512651369882947</v>
      </c>
      <c r="ES248" s="31">
        <f t="shared" ref="ES248:ET248" si="1238">(ES246-ER246)*100</f>
        <v>2.4653298930600198</v>
      </c>
      <c r="ET248" s="31">
        <f t="shared" si="1238"/>
        <v>-0.2839860412895856</v>
      </c>
      <c r="EU248" s="283"/>
      <c r="EZ248" s="283"/>
      <c r="FE248" s="283"/>
      <c r="FG248" s="489"/>
      <c r="FH248" s="839">
        <f>AVERAGE(CI248,CN248,CS248,CX248,DC248,DH248,DM248,DR248,DW248,EB248,EG248,EL248,EQ248)</f>
        <v>1.4792025370959656</v>
      </c>
      <c r="FI248" s="839">
        <f>AVERAGE(CJ248,CO248,CT248,CY248,DD248,DI248,DN248,DS248,DX248,EC248,EH248)</f>
        <v>-3.4802365443290095</v>
      </c>
      <c r="FJ248" s="839">
        <f>AVERAGE(CK248,CP248,CU248,CZ248,DE248,DJ248,DO248,DT248,DY248,ED248,EI248)</f>
        <v>0.67241270959035315</v>
      </c>
      <c r="FK248" s="1409">
        <f>AVERAGE(CL248,CQ248,CV248,DA248,DF248,DK248,DP248,DU248,DZ248,EE248,EJ248,EO248)</f>
        <v>-0.13401288037102796</v>
      </c>
      <c r="FL248" s="1345"/>
      <c r="FM248" s="31">
        <f t="shared" si="1164"/>
        <v>-1.1992730618504699</v>
      </c>
      <c r="FN248" s="1474">
        <f t="shared" si="1165"/>
        <v>2.0572575736934606</v>
      </c>
      <c r="FO248" s="1878">
        <v>3.4419655859318277</v>
      </c>
      <c r="FP248" s="1745"/>
      <c r="FQ248" s="1412"/>
      <c r="FR248" s="1619"/>
      <c r="FS248" s="1619"/>
      <c r="FT248" s="354"/>
      <c r="FU248" s="354"/>
      <c r="FV248" s="354"/>
      <c r="FW248" s="354"/>
      <c r="FX248" s="354"/>
      <c r="FY248" s="355"/>
      <c r="FZ248" s="489"/>
      <c r="GA248"/>
      <c r="GB248"/>
      <c r="GC248"/>
      <c r="GD248"/>
      <c r="GE248"/>
      <c r="GF248"/>
      <c r="GG248"/>
      <c r="GH248"/>
      <c r="GI248"/>
      <c r="GJ248"/>
      <c r="GK248"/>
      <c r="GL248"/>
      <c r="GM248"/>
      <c r="GN248"/>
      <c r="GO248"/>
      <c r="GP248"/>
      <c r="GQ248"/>
      <c r="GR248"/>
      <c r="GS248"/>
      <c r="GT248"/>
      <c r="GU248"/>
      <c r="GV248"/>
      <c r="GW248"/>
      <c r="GX248"/>
      <c r="GY248"/>
      <c r="GZ248"/>
      <c r="HA248"/>
      <c r="HB248"/>
      <c r="HC248"/>
      <c r="HD248"/>
      <c r="HE248"/>
      <c r="HF248"/>
      <c r="HG248"/>
      <c r="HH248"/>
      <c r="HI248"/>
      <c r="HJ248"/>
      <c r="HK248"/>
      <c r="HL248"/>
      <c r="HM248"/>
      <c r="HN248"/>
      <c r="HO248"/>
      <c r="HP248"/>
      <c r="HQ248"/>
      <c r="HR248"/>
      <c r="HS248"/>
      <c r="HT248"/>
      <c r="HU248"/>
      <c r="HV248"/>
      <c r="HW248"/>
      <c r="HX248"/>
      <c r="HY248"/>
      <c r="HZ248"/>
      <c r="IA248"/>
      <c r="IB248"/>
      <c r="IC248"/>
      <c r="ID248"/>
      <c r="IE248"/>
      <c r="IF248"/>
      <c r="IG248"/>
      <c r="IH248"/>
      <c r="II248"/>
      <c r="IJ248"/>
      <c r="IK248"/>
      <c r="IL248"/>
      <c r="IM248"/>
      <c r="IN248"/>
      <c r="IO248"/>
      <c r="IP248"/>
      <c r="IQ248"/>
      <c r="IR248"/>
      <c r="IS248"/>
      <c r="IT248"/>
      <c r="IU248"/>
      <c r="IV248"/>
      <c r="IW248"/>
      <c r="IX248"/>
    </row>
    <row r="249" spans="1:258" s="345" customFormat="1" x14ac:dyDescent="0.2">
      <c r="A249" s="606" t="s">
        <v>313</v>
      </c>
      <c r="B249" s="342"/>
      <c r="C249" s="342"/>
      <c r="D249" s="342"/>
      <c r="E249" s="342"/>
      <c r="F249" s="343"/>
      <c r="G249" s="344"/>
      <c r="H249" s="344"/>
      <c r="I249" s="344"/>
      <c r="J249" s="344"/>
      <c r="K249" s="343"/>
      <c r="L249" s="344"/>
      <c r="M249" s="344"/>
      <c r="N249" s="344"/>
      <c r="O249" s="344"/>
      <c r="P249" s="343"/>
      <c r="Q249" s="344"/>
      <c r="R249" s="344"/>
      <c r="S249" s="344"/>
      <c r="T249" s="344"/>
      <c r="U249" s="343"/>
      <c r="V249" s="344"/>
      <c r="W249" s="344"/>
      <c r="X249" s="344"/>
      <c r="Y249" s="344"/>
      <c r="Z249" s="343"/>
      <c r="AA249" s="344"/>
      <c r="AB249" s="344"/>
      <c r="AC249" s="344"/>
      <c r="AD249" s="344"/>
      <c r="AE249" s="343"/>
      <c r="AF249" s="344"/>
      <c r="AG249" s="344"/>
      <c r="AH249" s="344"/>
      <c r="AI249" s="344"/>
      <c r="AJ249" s="343"/>
      <c r="AK249" s="344"/>
      <c r="AL249" s="344"/>
      <c r="AM249" s="344"/>
      <c r="AN249" s="344"/>
      <c r="AO249" s="343"/>
      <c r="AP249" s="344"/>
      <c r="AQ249" s="344"/>
      <c r="AR249" s="344"/>
      <c r="AS249" s="344"/>
      <c r="AT249" s="343"/>
      <c r="AU249" s="344"/>
      <c r="AV249" s="344"/>
      <c r="AW249" s="344"/>
      <c r="AX249" s="344"/>
      <c r="AY249" s="343"/>
      <c r="AZ249" s="344"/>
      <c r="BA249" s="344"/>
      <c r="BB249" s="344"/>
      <c r="BC249" s="344"/>
      <c r="BD249" s="343"/>
      <c r="BE249" s="344"/>
      <c r="BF249" s="344"/>
      <c r="BG249" s="344"/>
      <c r="BH249" s="344"/>
      <c r="BI249" s="343"/>
      <c r="BJ249" s="344"/>
      <c r="BK249" s="344"/>
      <c r="BL249" s="344"/>
      <c r="BM249" s="344"/>
      <c r="BN249" s="343"/>
      <c r="BO249" s="344"/>
      <c r="BP249" s="344"/>
      <c r="BQ249" s="344"/>
      <c r="BR249" s="344"/>
      <c r="BS249" s="343"/>
      <c r="BT249" s="344"/>
      <c r="BU249" s="344"/>
      <c r="BV249" s="344"/>
      <c r="BW249" s="344"/>
      <c r="BX249" s="343"/>
      <c r="BY249" s="344"/>
      <c r="BZ249" s="344"/>
      <c r="CA249" s="344"/>
      <c r="CB249" s="344"/>
      <c r="CC249" s="343"/>
      <c r="CD249" s="344"/>
      <c r="CE249" s="344"/>
      <c r="CF249" s="344"/>
      <c r="CG249" s="344"/>
      <c r="CH249" s="343"/>
      <c r="CI249" s="344">
        <f t="shared" ref="CI249:DN249" si="1239">(CI251-CD251-CI138)/(CI238-CD238)</f>
        <v>0.56830305259021696</v>
      </c>
      <c r="CJ249" s="344">
        <f t="shared" si="1239"/>
        <v>0.51036783166213318</v>
      </c>
      <c r="CK249" s="344">
        <f t="shared" si="1239"/>
        <v>0.39795114627676836</v>
      </c>
      <c r="CL249" s="344">
        <f t="shared" si="1239"/>
        <v>0.63248947364605201</v>
      </c>
      <c r="CM249" s="343">
        <f t="shared" si="1239"/>
        <v>0.51263607071885942</v>
      </c>
      <c r="CN249" s="344">
        <f t="shared" si="1239"/>
        <v>-7.4476077336998528E-2</v>
      </c>
      <c r="CO249" s="344">
        <f t="shared" si="1239"/>
        <v>0.99896049168498302</v>
      </c>
      <c r="CP249" s="344">
        <f t="shared" si="1239"/>
        <v>1.5412284679674924</v>
      </c>
      <c r="CQ249" s="344">
        <f t="shared" si="1239"/>
        <v>1.0537088122848843</v>
      </c>
      <c r="CR249" s="343">
        <f t="shared" si="1239"/>
        <v>0.91350151900623044</v>
      </c>
      <c r="CS249" s="344">
        <f t="shared" si="1239"/>
        <v>0.51834481128684007</v>
      </c>
      <c r="CT249" s="344">
        <f t="shared" si="1239"/>
        <v>0.29606086436064527</v>
      </c>
      <c r="CU249" s="344">
        <f t="shared" si="1239"/>
        <v>0.12574198704226938</v>
      </c>
      <c r="CV249" s="344">
        <f t="shared" si="1239"/>
        <v>-0.83820618556701043</v>
      </c>
      <c r="CW249" s="343">
        <f t="shared" si="1239"/>
        <v>0.19411997416416601</v>
      </c>
      <c r="CX249" s="344">
        <f t="shared" si="1239"/>
        <v>0.36051502145922748</v>
      </c>
      <c r="CY249" s="344">
        <f t="shared" si="1239"/>
        <v>0.26177285318559557</v>
      </c>
      <c r="CZ249" s="344">
        <f t="shared" si="1239"/>
        <v>8.1845238095238096E-2</v>
      </c>
      <c r="DA249" s="344">
        <f t="shared" si="1239"/>
        <v>-3.3898305084745763E-2</v>
      </c>
      <c r="DB249" s="343">
        <f t="shared" si="1239"/>
        <v>0.18066847335140018</v>
      </c>
      <c r="DC249" s="344">
        <f t="shared" si="1239"/>
        <v>0.68442622950819676</v>
      </c>
      <c r="DD249" s="344">
        <f t="shared" si="1239"/>
        <v>0.47071129707112969</v>
      </c>
      <c r="DE249" s="344">
        <f t="shared" si="1239"/>
        <v>0.64986737400530503</v>
      </c>
      <c r="DF249" s="344">
        <f t="shared" si="1239"/>
        <v>0.69556451612903225</v>
      </c>
      <c r="DG249" s="343">
        <f t="shared" si="1239"/>
        <v>0.61567398119122252</v>
      </c>
      <c r="DH249" s="344">
        <f t="shared" si="1239"/>
        <v>0.646452380952381</v>
      </c>
      <c r="DI249" s="379">
        <f t="shared" si="1239"/>
        <v>0.38388857142857141</v>
      </c>
      <c r="DJ249" s="344">
        <f t="shared" si="1239"/>
        <v>0.13036824324324323</v>
      </c>
      <c r="DK249" s="344">
        <f t="shared" si="1239"/>
        <v>-7.0903954802259958E-2</v>
      </c>
      <c r="DL249" s="343">
        <f t="shared" si="1239"/>
        <v>0.32580500431406378</v>
      </c>
      <c r="DM249" s="344">
        <f t="shared" si="1239"/>
        <v>0.41112565445026183</v>
      </c>
      <c r="DN249" s="379">
        <f t="shared" si="1239"/>
        <v>1.2567407407407414</v>
      </c>
      <c r="DO249" s="344">
        <f t="shared" ref="DO249:ET249" si="1240">(DO251-DJ251-DO138)/(DO238-DJ238)</f>
        <v>0.38526530612244869</v>
      </c>
      <c r="DP249" s="344">
        <f t="shared" si="1240"/>
        <v>0.88879591836734673</v>
      </c>
      <c r="DQ249" s="343">
        <f t="shared" si="1240"/>
        <v>2.508281249999996</v>
      </c>
      <c r="DR249" s="344">
        <f t="shared" si="1240"/>
        <v>0.90497701149425291</v>
      </c>
      <c r="DS249" s="379">
        <f t="shared" si="1240"/>
        <v>-0.62338636363636302</v>
      </c>
      <c r="DT249" s="344">
        <f t="shared" si="1240"/>
        <v>-0.52320000000000033</v>
      </c>
      <c r="DU249" s="344">
        <f t="shared" si="1240"/>
        <v>-0.13906569343065708</v>
      </c>
      <c r="DV249" s="343">
        <f t="shared" si="1240"/>
        <v>-0.98681707317073153</v>
      </c>
      <c r="DW249" s="344">
        <f t="shared" si="1240"/>
        <v>-5.452</v>
      </c>
      <c r="DX249" s="379">
        <f t="shared" si="1240"/>
        <v>0.42546798029556654</v>
      </c>
      <c r="DY249" s="344">
        <f t="shared" si="1240"/>
        <v>0.46655925925925928</v>
      </c>
      <c r="DZ249" s="344">
        <f t="shared" si="1240"/>
        <v>0.30472234934955456</v>
      </c>
      <c r="EA249" s="343">
        <f t="shared" si="1240"/>
        <v>0.18111342221800511</v>
      </c>
      <c r="EB249" s="344">
        <f t="shared" si="1240"/>
        <v>0.78099999999999881</v>
      </c>
      <c r="EC249" s="379">
        <f t="shared" si="1240"/>
        <v>-0.13632978723404252</v>
      </c>
      <c r="ED249" s="344">
        <f t="shared" si="1240"/>
        <v>7.9924528301886816E-2</v>
      </c>
      <c r="EE249" s="344">
        <f t="shared" si="1240"/>
        <v>0.17533132398874299</v>
      </c>
      <c r="EF249" s="343">
        <f t="shared" si="1240"/>
        <v>8.4708596994615443E-2</v>
      </c>
      <c r="EG249" s="344">
        <f t="shared" si="1240"/>
        <v>0.12688821752265861</v>
      </c>
      <c r="EH249" s="379">
        <f t="shared" si="1240"/>
        <v>0.39296187683284456</v>
      </c>
      <c r="EI249" s="344">
        <f t="shared" si="1240"/>
        <v>0.34061135371179041</v>
      </c>
      <c r="EJ249" s="344">
        <f t="shared" si="1240"/>
        <v>0.93359375</v>
      </c>
      <c r="EK249" s="343">
        <f t="shared" si="1240"/>
        <v>4.3410852713178294E-2</v>
      </c>
      <c r="EL249" s="344">
        <f t="shared" si="1240"/>
        <v>0.8366533864541833</v>
      </c>
      <c r="EM249" s="379">
        <f t="shared" si="1240"/>
        <v>0.90829694323144106</v>
      </c>
      <c r="EN249" s="344">
        <f t="shared" si="1240"/>
        <v>1.303030303030303</v>
      </c>
      <c r="EO249" s="344">
        <f t="shared" si="1240"/>
        <v>6.3218390804597707E-2</v>
      </c>
      <c r="EP249" s="343">
        <f t="shared" si="1240"/>
        <v>1.3657817109144543</v>
      </c>
      <c r="EQ249" s="344">
        <f t="shared" si="1240"/>
        <v>21.857142857142858</v>
      </c>
      <c r="ER249" s="344">
        <f t="shared" si="1240"/>
        <v>0.33399051124551155</v>
      </c>
      <c r="ES249" s="344">
        <f t="shared" si="1240"/>
        <v>0.84383537325074431</v>
      </c>
      <c r="ET249" s="344">
        <f t="shared" si="1240"/>
        <v>0.26369862909813646</v>
      </c>
      <c r="EU249" s="343">
        <f t="shared" ref="EU249" si="1241">(EU251-EP251-EU138)/(EU238-EP238)</f>
        <v>1.117491137229953</v>
      </c>
      <c r="EV249" s="342"/>
      <c r="EW249" s="342"/>
      <c r="EX249" s="342"/>
      <c r="EY249" s="342"/>
      <c r="EZ249" s="343">
        <f>(EZ251-EU251-EZ138)/(EZ238-EU238)</f>
        <v>0.60163972312774128</v>
      </c>
      <c r="FA249" s="342"/>
      <c r="FB249" s="342"/>
      <c r="FC249" s="342"/>
      <c r="FD249" s="342"/>
      <c r="FE249" s="343">
        <f>(FE251-EZ251-FE138)/(FE238-EZ238)</f>
        <v>1.0169978328627742</v>
      </c>
      <c r="FG249" s="489"/>
      <c r="FH249" s="802"/>
      <c r="FI249" s="802"/>
      <c r="FJ249" s="802"/>
      <c r="FL249" s="1369"/>
      <c r="FM249" s="344">
        <f t="shared" si="1164"/>
        <v>21.857142857142858</v>
      </c>
      <c r="FN249" s="1475">
        <f t="shared" si="1165"/>
        <v>0.8366533864541833</v>
      </c>
      <c r="FO249" s="1880">
        <v>2.6522120916672363E-2</v>
      </c>
      <c r="FP249" s="1774"/>
      <c r="FQ249" s="743"/>
      <c r="FR249" s="1619"/>
      <c r="FS249" s="1619"/>
      <c r="FT249" s="447"/>
      <c r="FU249" s="447"/>
      <c r="FV249" s="447"/>
      <c r="FW249" s="447"/>
      <c r="FX249" s="447"/>
      <c r="FY249" s="355"/>
      <c r="FZ249" s="489"/>
      <c r="GA249"/>
      <c r="GB249"/>
      <c r="GC249"/>
      <c r="GD249"/>
      <c r="GE249"/>
      <c r="GF249"/>
      <c r="GG249"/>
      <c r="GH249"/>
      <c r="GI249"/>
      <c r="GJ249"/>
      <c r="GK249"/>
      <c r="GL249"/>
      <c r="GM249"/>
      <c r="GN249"/>
      <c r="GO249"/>
      <c r="GP249"/>
      <c r="GQ249"/>
      <c r="GR249"/>
      <c r="GS249"/>
      <c r="GT249"/>
      <c r="GU249"/>
      <c r="GV249"/>
      <c r="GW249"/>
      <c r="GX249"/>
      <c r="GY249"/>
      <c r="GZ249"/>
      <c r="HA249"/>
      <c r="HB249"/>
      <c r="HC249"/>
      <c r="HD249"/>
      <c r="HE249"/>
      <c r="HF249"/>
      <c r="HG249"/>
      <c r="HH249"/>
      <c r="HI249"/>
      <c r="HJ249"/>
      <c r="HK249"/>
      <c r="HL249"/>
      <c r="HM249"/>
      <c r="HN249"/>
      <c r="HO249"/>
      <c r="HP249"/>
      <c r="HQ249"/>
      <c r="HR249"/>
      <c r="HS249"/>
      <c r="HT249"/>
      <c r="HU249"/>
      <c r="HV249"/>
      <c r="HW249"/>
      <c r="HX249"/>
      <c r="HY249"/>
      <c r="HZ249"/>
      <c r="IA249"/>
      <c r="IB249"/>
      <c r="IC249"/>
      <c r="ID249"/>
      <c r="IE249"/>
      <c r="IF249"/>
      <c r="IG249"/>
      <c r="IH249"/>
      <c r="II249"/>
      <c r="IJ249"/>
      <c r="IK249"/>
      <c r="IL249"/>
      <c r="IM249"/>
      <c r="IN249"/>
      <c r="IO249"/>
      <c r="IP249"/>
      <c r="IQ249"/>
      <c r="IR249"/>
      <c r="IS249"/>
      <c r="IT249"/>
      <c r="IU249"/>
      <c r="IV249"/>
      <c r="IW249"/>
      <c r="IX249"/>
    </row>
    <row r="250" spans="1:258" s="44" customFormat="1" x14ac:dyDescent="0.2">
      <c r="A250" s="577" t="s">
        <v>149</v>
      </c>
      <c r="B250" s="31"/>
      <c r="C250" s="31"/>
      <c r="D250" s="31"/>
      <c r="E250" s="31"/>
      <c r="F250" s="211"/>
      <c r="G250" s="210"/>
      <c r="H250" s="210"/>
      <c r="I250" s="210"/>
      <c r="J250" s="210"/>
      <c r="K250" s="211"/>
      <c r="L250" s="210"/>
      <c r="M250" s="210"/>
      <c r="N250" s="210"/>
      <c r="O250" s="210"/>
      <c r="P250" s="211"/>
      <c r="Q250" s="210"/>
      <c r="R250" s="210"/>
      <c r="S250" s="210"/>
      <c r="T250" s="210"/>
      <c r="U250" s="211"/>
      <c r="V250" s="210"/>
      <c r="W250" s="210"/>
      <c r="X250" s="210"/>
      <c r="Y250" s="210"/>
      <c r="Z250" s="211"/>
      <c r="AA250" s="210"/>
      <c r="AB250" s="210"/>
      <c r="AC250" s="210"/>
      <c r="AD250" s="210"/>
      <c r="AE250" s="211"/>
      <c r="AF250" s="210"/>
      <c r="AG250" s="210"/>
      <c r="AH250" s="210"/>
      <c r="AI250" s="210"/>
      <c r="AJ250" s="211"/>
      <c r="AK250" s="210"/>
      <c r="AL250" s="210"/>
      <c r="AM250" s="210"/>
      <c r="AN250" s="210"/>
      <c r="AO250" s="211"/>
      <c r="AP250" s="210"/>
      <c r="AQ250" s="210"/>
      <c r="AR250" s="210"/>
      <c r="AS250" s="210"/>
      <c r="AT250" s="211"/>
      <c r="AU250" s="210"/>
      <c r="AV250" s="210"/>
      <c r="AW250" s="210"/>
      <c r="AX250" s="210"/>
      <c r="AY250" s="211"/>
      <c r="AZ250" s="210"/>
      <c r="BA250" s="210"/>
      <c r="BB250" s="210"/>
      <c r="BC250" s="210"/>
      <c r="BD250" s="211"/>
      <c r="BE250" s="210"/>
      <c r="BF250" s="210"/>
      <c r="BG250" s="210"/>
      <c r="BH250" s="210"/>
      <c r="BI250" s="211"/>
      <c r="BJ250" s="210"/>
      <c r="BK250" s="210"/>
      <c r="BL250" s="210"/>
      <c r="BM250" s="210"/>
      <c r="BN250" s="211"/>
      <c r="BO250" s="210"/>
      <c r="BP250" s="210"/>
      <c r="BQ250" s="210"/>
      <c r="BR250" s="210"/>
      <c r="BS250" s="211"/>
      <c r="BT250" s="210"/>
      <c r="BU250" s="210"/>
      <c r="BV250" s="210"/>
      <c r="BW250" s="210"/>
      <c r="BX250" s="211"/>
      <c r="BY250" s="210"/>
      <c r="BZ250" s="210"/>
      <c r="CA250" s="210"/>
      <c r="CB250" s="210"/>
      <c r="CC250" s="211"/>
      <c r="CD250" s="210"/>
      <c r="CE250" s="210"/>
      <c r="CF250" s="210"/>
      <c r="CG250" s="210"/>
      <c r="CH250" s="211"/>
      <c r="CI250" s="210">
        <f t="shared" ref="CI250:DL250" si="1242">(CI246-CI242)*100</f>
        <v>0.42689440794285716</v>
      </c>
      <c r="CJ250" s="210">
        <f t="shared" si="1242"/>
        <v>-1.1958614686082059</v>
      </c>
      <c r="CK250" s="210">
        <f t="shared" si="1242"/>
        <v>0.1819815608315456</v>
      </c>
      <c r="CL250" s="210">
        <f t="shared" si="1242"/>
        <v>-1.9038376207840657</v>
      </c>
      <c r="CM250" s="211">
        <f t="shared" si="1242"/>
        <v>-0.72855747693600925</v>
      </c>
      <c r="CN250" s="210">
        <f t="shared" si="1242"/>
        <v>-0.9088205850489639</v>
      </c>
      <c r="CO250" s="210">
        <f t="shared" si="1242"/>
        <v>-0.63750554758249534</v>
      </c>
      <c r="CP250" s="210">
        <f t="shared" si="1242"/>
        <v>-1.8479717251436822</v>
      </c>
      <c r="CQ250" s="210">
        <f t="shared" si="1242"/>
        <v>-2.7789630344972616</v>
      </c>
      <c r="CR250" s="211">
        <f t="shared" si="1242"/>
        <v>-1.5938654518334094</v>
      </c>
      <c r="CS250" s="210">
        <f t="shared" si="1242"/>
        <v>0.20936250375290788</v>
      </c>
      <c r="CT250" s="210">
        <f t="shared" si="1242"/>
        <v>-0.25176762984528978</v>
      </c>
      <c r="CU250" s="210">
        <f t="shared" si="1242"/>
        <v>3.868149676517485</v>
      </c>
      <c r="CV250" s="210">
        <f t="shared" si="1242"/>
        <v>6.5933433059087498</v>
      </c>
      <c r="CW250" s="211">
        <f t="shared" si="1242"/>
        <v>2.5695515917272038</v>
      </c>
      <c r="CX250" s="210">
        <f t="shared" si="1242"/>
        <v>2.9372496662216308</v>
      </c>
      <c r="CY250" s="210">
        <f t="shared" si="1242"/>
        <v>2.4713958810068548</v>
      </c>
      <c r="CZ250" s="210">
        <f t="shared" si="1242"/>
        <v>-3.494975972040204</v>
      </c>
      <c r="DA250" s="210">
        <f t="shared" si="1242"/>
        <v>-5.2155172413793078</v>
      </c>
      <c r="DB250" s="211">
        <f t="shared" si="1242"/>
        <v>-0.89591859307599497</v>
      </c>
      <c r="DC250" s="210">
        <f t="shared" si="1242"/>
        <v>-2.2079486150140548</v>
      </c>
      <c r="DD250" s="210">
        <f t="shared" si="1242"/>
        <v>-1.4645137063462266</v>
      </c>
      <c r="DE250" s="210">
        <f t="shared" si="1242"/>
        <v>-0.67516879219804427</v>
      </c>
      <c r="DF250" s="210">
        <f t="shared" si="1242"/>
        <v>-2.9119318181818232</v>
      </c>
      <c r="DG250" s="211">
        <f t="shared" si="1242"/>
        <v>-1.823993982700256</v>
      </c>
      <c r="DH250" s="210">
        <f t="shared" si="1242"/>
        <v>-2.1651220374955704</v>
      </c>
      <c r="DI250" s="210">
        <f>(DI246-DI242)*100</f>
        <v>0.58542980418186952</v>
      </c>
      <c r="DJ250" s="210">
        <f>(DJ246-DJ242)*100</f>
        <v>0.45276839972991922</v>
      </c>
      <c r="DK250" s="210">
        <f>(DK246-DK242)*100</f>
        <v>1.6555295689943184</v>
      </c>
      <c r="DL250" s="211">
        <f t="shared" si="1242"/>
        <v>0.16440864773209496</v>
      </c>
      <c r="DM250" s="210">
        <f t="shared" ref="DM250:DV250" si="1243">(DM246-DM242)*100</f>
        <v>1.3079854208084774</v>
      </c>
      <c r="DN250" s="210">
        <f t="shared" si="1243"/>
        <v>1.0359008707300776</v>
      </c>
      <c r="DO250" s="210">
        <f>(DO246-DO242)*100</f>
        <v>-0.53226256983239795</v>
      </c>
      <c r="DP250" s="210">
        <f>(DP246-DP242)*100</f>
        <v>0.65982728842832739</v>
      </c>
      <c r="DQ250" s="211">
        <f t="shared" si="1243"/>
        <v>0.63134404488650597</v>
      </c>
      <c r="DR250" s="210">
        <f>(DR246-DR242)*100</f>
        <v>-4.3227567383141707E-2</v>
      </c>
      <c r="DS250" s="210">
        <f>(DS246-DS242)*100</f>
        <v>0.41019801980197723</v>
      </c>
      <c r="DT250" s="210">
        <f t="shared" si="1243"/>
        <v>0.60068166325835115</v>
      </c>
      <c r="DU250" s="210">
        <f>(DU246-DU242)*100</f>
        <v>0.56240105540897867</v>
      </c>
      <c r="DV250" s="211">
        <f t="shared" si="1243"/>
        <v>0.38432128783432162</v>
      </c>
      <c r="DW250" s="210">
        <f>(DW246-DW242)*100</f>
        <v>-7.6022996280022959E-2</v>
      </c>
      <c r="DX250" s="210">
        <f>(DX246-DX242)*100</f>
        <v>-7.3306526446026421E-2</v>
      </c>
      <c r="DY250" s="210">
        <f>(DY246-DY242)*100</f>
        <v>0.87481273408239746</v>
      </c>
      <c r="DZ250" s="210">
        <f>(DZ246-DZ242)*100</f>
        <v>1.2310490853462031</v>
      </c>
      <c r="EA250" s="211">
        <f>(EA246-EA242)*100</f>
        <v>0.49822525357600123</v>
      </c>
      <c r="EB250" s="210">
        <f t="shared" ref="EB250:EF250" si="1244">(EB246-EB242)*100</f>
        <v>2.9585622244828857</v>
      </c>
      <c r="EC250" s="210">
        <f t="shared" si="1244"/>
        <v>-1.0059113300492695</v>
      </c>
      <c r="ED250" s="210">
        <f t="shared" si="1244"/>
        <v>-0.1640013610071378</v>
      </c>
      <c r="EE250" s="210">
        <f t="shared" si="1244"/>
        <v>-1.3664149586479657</v>
      </c>
      <c r="EF250" s="211">
        <f t="shared" si="1244"/>
        <v>0.11779067782140551</v>
      </c>
      <c r="EG250" s="210">
        <f>(EG246-EG242)*100</f>
        <v>-0.7257448433918956</v>
      </c>
      <c r="EH250" s="210">
        <f>(EH246-EH242)*100</f>
        <v>-0.25887573964497035</v>
      </c>
      <c r="EI250" s="210">
        <f>(EI246-EI242)*100</f>
        <v>-0.51660516605166462</v>
      </c>
      <c r="EJ250" s="210">
        <f t="shared" ref="EJ250:EK250" si="1245">(EJ246-EJ242)*100</f>
        <v>-0.85610800131707965</v>
      </c>
      <c r="EK250" s="211">
        <f t="shared" si="1245"/>
        <v>-0.59625982473574535</v>
      </c>
      <c r="EL250" s="210">
        <f>(EL246-EL242)*100</f>
        <v>-1.2199372603694747</v>
      </c>
      <c r="EM250" s="210">
        <f>(EM246-EM242)*100</f>
        <v>0.88646437095124542</v>
      </c>
      <c r="EN250" s="210">
        <f>(EN246-EN242)*100</f>
        <v>-0.47393364928910442</v>
      </c>
      <c r="EO250" s="210">
        <f t="shared" ref="EO250:EP250" si="1246">(EO246-EO242)*100</f>
        <v>0.31435557107928336</v>
      </c>
      <c r="EP250" s="211">
        <f t="shared" si="1246"/>
        <v>-0.11395511921458157</v>
      </c>
      <c r="EQ250" s="210">
        <f>(EQ246-EQ242)*100</f>
        <v>0.41724617524339092</v>
      </c>
      <c r="ER250" s="210">
        <f t="shared" ref="ER250" si="1247">(ER246-ER242)*100</f>
        <v>0.3735808599197421</v>
      </c>
      <c r="ES250" s="210">
        <f t="shared" ref="ES250:EU250" si="1248">(ES246-ES242)*100</f>
        <v>1.0260021508403772</v>
      </c>
      <c r="ET250" s="210">
        <f t="shared" si="1248"/>
        <v>0.6667977518628132</v>
      </c>
      <c r="EU250" s="211">
        <f t="shared" si="1248"/>
        <v>0.6215395956227221</v>
      </c>
      <c r="EV250" s="31"/>
      <c r="EW250" s="31"/>
      <c r="EX250" s="31"/>
      <c r="EY250" s="31"/>
      <c r="EZ250" s="211">
        <f>(EZ246-EZ242)*100</f>
        <v>0.14211866323500244</v>
      </c>
      <c r="FA250" s="31"/>
      <c r="FB250" s="31"/>
      <c r="FC250" s="31"/>
      <c r="FD250" s="31"/>
      <c r="FE250" s="211">
        <f>(FE246-FE242)*100</f>
        <v>0.19727113054882617</v>
      </c>
      <c r="FG250" s="494"/>
      <c r="FH250" s="803"/>
      <c r="FI250" s="803"/>
      <c r="FJ250" s="803"/>
      <c r="FL250" s="1370"/>
      <c r="FM250" s="210">
        <f t="shared" si="1164"/>
        <v>0.41724617524339092</v>
      </c>
      <c r="FN250" s="1430">
        <f t="shared" si="1165"/>
        <v>-1.2199372603694747</v>
      </c>
      <c r="FO250" s="1882">
        <v>0.48947298459225408</v>
      </c>
      <c r="FP250" s="1775"/>
      <c r="FQ250" s="730"/>
      <c r="FR250" s="1619"/>
      <c r="FS250" s="1619"/>
      <c r="FT250" s="354"/>
      <c r="FU250" s="354"/>
      <c r="FV250" s="354"/>
      <c r="FW250" s="354"/>
      <c r="FX250" s="354"/>
      <c r="FY250" s="355"/>
      <c r="FZ250" s="494"/>
      <c r="GA250"/>
      <c r="GB250"/>
      <c r="GC250"/>
      <c r="GD250"/>
      <c r="GE250"/>
      <c r="GF250"/>
      <c r="GG250"/>
      <c r="GH250"/>
      <c r="GI250"/>
      <c r="GJ250"/>
      <c r="GK250"/>
      <c r="GL250"/>
      <c r="GM250"/>
      <c r="GN250"/>
      <c r="GO250"/>
      <c r="GP250"/>
      <c r="GQ250"/>
      <c r="GR250"/>
      <c r="GS250"/>
      <c r="GT250"/>
      <c r="GU250"/>
      <c r="GV250"/>
      <c r="GW250"/>
      <c r="GX250"/>
      <c r="GY250"/>
      <c r="GZ250"/>
      <c r="HA250"/>
      <c r="HB250"/>
      <c r="HC250"/>
      <c r="HD250"/>
      <c r="HE250"/>
      <c r="HF250"/>
      <c r="HG250"/>
      <c r="HH250"/>
      <c r="HI250"/>
      <c r="HJ250"/>
      <c r="HK250"/>
      <c r="HL250"/>
      <c r="HM250"/>
      <c r="HN250"/>
      <c r="HO250"/>
      <c r="HP250"/>
      <c r="HQ250"/>
      <c r="HR250"/>
      <c r="HS250"/>
      <c r="HT250"/>
      <c r="HU250"/>
      <c r="HV250"/>
      <c r="HW250"/>
      <c r="HX250"/>
      <c r="HY250"/>
      <c r="HZ250"/>
      <c r="IA250"/>
      <c r="IB250"/>
      <c r="IC250"/>
      <c r="ID250"/>
      <c r="IE250"/>
      <c r="IF250"/>
      <c r="IG250"/>
      <c r="IH250"/>
      <c r="II250"/>
      <c r="IJ250"/>
      <c r="IK250"/>
      <c r="IL250"/>
      <c r="IM250"/>
      <c r="IN250"/>
      <c r="IO250"/>
      <c r="IP250"/>
      <c r="IQ250"/>
      <c r="IR250"/>
      <c r="IS250"/>
      <c r="IT250"/>
      <c r="IU250"/>
      <c r="IV250"/>
      <c r="IW250"/>
      <c r="IX250"/>
    </row>
    <row r="251" spans="1:258" s="175" customFormat="1" x14ac:dyDescent="0.2">
      <c r="A251" s="603" t="s">
        <v>602</v>
      </c>
      <c r="B251" s="103"/>
      <c r="C251" s="103"/>
      <c r="D251" s="103"/>
      <c r="E251" s="103"/>
      <c r="F251" s="282"/>
      <c r="G251" s="103"/>
      <c r="H251" s="103"/>
      <c r="I251" s="103"/>
      <c r="J251" s="103"/>
      <c r="K251" s="282"/>
      <c r="L251" s="103"/>
      <c r="M251" s="103"/>
      <c r="N251" s="103"/>
      <c r="O251" s="103"/>
      <c r="P251" s="282"/>
      <c r="Q251" s="103">
        <f t="shared" ref="Q251:BH251" si="1249">Q238-Q240</f>
        <v>150</v>
      </c>
      <c r="R251" s="103">
        <f t="shared" si="1249"/>
        <v>242.800395256917</v>
      </c>
      <c r="S251" s="103">
        <f t="shared" si="1249"/>
        <v>247.90000000000009</v>
      </c>
      <c r="T251" s="103">
        <f t="shared" si="1249"/>
        <v>267.09999999999991</v>
      </c>
      <c r="U251" s="282">
        <f t="shared" si="1249"/>
        <v>907.80039525691609</v>
      </c>
      <c r="V251" s="103">
        <f t="shared" si="1249"/>
        <v>148</v>
      </c>
      <c r="W251" s="103">
        <f t="shared" si="1249"/>
        <v>266</v>
      </c>
      <c r="X251" s="103">
        <f t="shared" si="1249"/>
        <v>249</v>
      </c>
      <c r="Y251" s="103">
        <f t="shared" si="1249"/>
        <v>298</v>
      </c>
      <c r="Z251" s="282">
        <f t="shared" si="1249"/>
        <v>961</v>
      </c>
      <c r="AA251" s="103">
        <f t="shared" si="1249"/>
        <v>184</v>
      </c>
      <c r="AB251" s="103">
        <f t="shared" si="1249"/>
        <v>293</v>
      </c>
      <c r="AC251" s="103">
        <f t="shared" si="1249"/>
        <v>334</v>
      </c>
      <c r="AD251" s="103">
        <f t="shared" si="1249"/>
        <v>358</v>
      </c>
      <c r="AE251" s="282">
        <f t="shared" si="1249"/>
        <v>1169</v>
      </c>
      <c r="AF251" s="103">
        <f t="shared" si="1249"/>
        <v>261</v>
      </c>
      <c r="AG251" s="103">
        <f t="shared" si="1249"/>
        <v>330</v>
      </c>
      <c r="AH251" s="103">
        <f t="shared" si="1249"/>
        <v>331</v>
      </c>
      <c r="AI251" s="103">
        <f t="shared" si="1249"/>
        <v>360</v>
      </c>
      <c r="AJ251" s="282">
        <f t="shared" si="1249"/>
        <v>1282</v>
      </c>
      <c r="AK251" s="103">
        <f t="shared" si="1249"/>
        <v>278</v>
      </c>
      <c r="AL251" s="103">
        <f t="shared" si="1249"/>
        <v>380</v>
      </c>
      <c r="AM251" s="103">
        <f t="shared" si="1249"/>
        <v>362</v>
      </c>
      <c r="AN251" s="103">
        <f t="shared" si="1249"/>
        <v>390</v>
      </c>
      <c r="AO251" s="282">
        <f t="shared" si="1249"/>
        <v>1410</v>
      </c>
      <c r="AP251" s="103">
        <f t="shared" si="1249"/>
        <v>322</v>
      </c>
      <c r="AQ251" s="103">
        <f t="shared" si="1249"/>
        <v>415.60000000000036</v>
      </c>
      <c r="AR251" s="103">
        <f t="shared" si="1249"/>
        <v>366</v>
      </c>
      <c r="AS251" s="103">
        <f t="shared" si="1249"/>
        <v>410</v>
      </c>
      <c r="AT251" s="282">
        <f t="shared" si="1249"/>
        <v>1513.5999999999985</v>
      </c>
      <c r="AU251" s="103">
        <f t="shared" si="1249"/>
        <v>278</v>
      </c>
      <c r="AV251" s="103">
        <f t="shared" si="1249"/>
        <v>336</v>
      </c>
      <c r="AW251" s="103">
        <f t="shared" si="1249"/>
        <v>240</v>
      </c>
      <c r="AX251" s="103">
        <f t="shared" si="1249"/>
        <v>276</v>
      </c>
      <c r="AY251" s="282">
        <f t="shared" si="1249"/>
        <v>1130</v>
      </c>
      <c r="AZ251" s="103">
        <f t="shared" si="1249"/>
        <v>276</v>
      </c>
      <c r="BA251" s="103">
        <f t="shared" si="1249"/>
        <v>274.40000000000009</v>
      </c>
      <c r="BB251" s="103">
        <f t="shared" si="1249"/>
        <v>316</v>
      </c>
      <c r="BC251" s="103">
        <f t="shared" si="1249"/>
        <v>156.59999999999991</v>
      </c>
      <c r="BD251" s="282">
        <f t="shared" si="1249"/>
        <v>1023</v>
      </c>
      <c r="BE251" s="103">
        <f t="shared" si="1249"/>
        <v>180</v>
      </c>
      <c r="BF251" s="103">
        <f t="shared" si="1249"/>
        <v>201</v>
      </c>
      <c r="BG251" s="103">
        <f t="shared" si="1249"/>
        <v>224</v>
      </c>
      <c r="BH251" s="103">
        <f t="shared" si="1249"/>
        <v>218</v>
      </c>
      <c r="BI251" s="282">
        <f>SUM(BE251:BH251)</f>
        <v>823</v>
      </c>
      <c r="BJ251" s="103">
        <f>BJ238-BJ240</f>
        <v>189</v>
      </c>
      <c r="BK251" s="103">
        <f>BK238-BK240</f>
        <v>265</v>
      </c>
      <c r="BL251" s="103">
        <f>BL238-BL240</f>
        <v>282</v>
      </c>
      <c r="BM251" s="103">
        <f>BM238-BM240</f>
        <v>281</v>
      </c>
      <c r="BN251" s="282">
        <f>SUM(BJ251:BM251)</f>
        <v>1017</v>
      </c>
      <c r="BO251" s="103">
        <f>BO238-BO240</f>
        <v>212</v>
      </c>
      <c r="BP251" s="103">
        <f>BP238-BP240</f>
        <v>310</v>
      </c>
      <c r="BQ251" s="103">
        <f>BQ238-BQ240</f>
        <v>276</v>
      </c>
      <c r="BR251" s="103">
        <f>BR238-BR240</f>
        <v>318</v>
      </c>
      <c r="BS251" s="282">
        <f>SUM(BO251:BR251)</f>
        <v>1116</v>
      </c>
      <c r="BT251" s="103">
        <f>BT238-BT240</f>
        <v>177</v>
      </c>
      <c r="BU251" s="103">
        <f>BU238-BU240</f>
        <v>286</v>
      </c>
      <c r="BV251" s="103">
        <f>BV238-BV240</f>
        <v>254</v>
      </c>
      <c r="BW251" s="103">
        <f>BW238-BW240</f>
        <v>277</v>
      </c>
      <c r="BX251" s="282">
        <f>SUM(BT251:BW251)</f>
        <v>994</v>
      </c>
      <c r="BY251" s="103">
        <f>BY238-BY240</f>
        <v>219</v>
      </c>
      <c r="BZ251" s="103">
        <f>BZ238-BZ240</f>
        <v>306</v>
      </c>
      <c r="CA251" s="103">
        <f>CA238-CA240</f>
        <v>267</v>
      </c>
      <c r="CB251" s="103">
        <f>CB238-CB240</f>
        <v>317</v>
      </c>
      <c r="CC251" s="282">
        <f>SUM(BY251:CB251)</f>
        <v>1109</v>
      </c>
      <c r="CD251" s="103">
        <f>CD238-CD240</f>
        <v>354</v>
      </c>
      <c r="CE251" s="103">
        <f>CE238-CE240</f>
        <v>414</v>
      </c>
      <c r="CF251" s="103">
        <f>CF238-CF240</f>
        <v>353</v>
      </c>
      <c r="CG251" s="103">
        <f>CG238-CG240</f>
        <v>412</v>
      </c>
      <c r="CH251" s="282">
        <f>SUM(CD251:CG251)</f>
        <v>1533</v>
      </c>
      <c r="CI251" s="103">
        <f>CI238-CI240</f>
        <v>496</v>
      </c>
      <c r="CJ251" s="103">
        <f>CJ238-CJ240</f>
        <v>520</v>
      </c>
      <c r="CK251" s="103">
        <f>CK238-CK240</f>
        <v>474</v>
      </c>
      <c r="CL251" s="103">
        <f>CL238-CL240</f>
        <v>480</v>
      </c>
      <c r="CM251" s="282">
        <f>SUM(CI251:CL251)</f>
        <v>1970</v>
      </c>
      <c r="CN251" s="103">
        <f>CN238-CN240</f>
        <v>468</v>
      </c>
      <c r="CO251" s="103">
        <f>CO238-CO240</f>
        <v>613</v>
      </c>
      <c r="CP251" s="103">
        <f>CP238-CP240</f>
        <v>561</v>
      </c>
      <c r="CQ251" s="103">
        <f>CQ238-CQ240</f>
        <v>597</v>
      </c>
      <c r="CR251" s="282">
        <f>SUM(CN251:CQ251)</f>
        <v>2239</v>
      </c>
      <c r="CS251" s="103">
        <f>CS238-CS240</f>
        <v>624</v>
      </c>
      <c r="CT251" s="103">
        <f>CT238-CT240</f>
        <v>717</v>
      </c>
      <c r="CU251" s="103">
        <f>CU238-CU240</f>
        <v>733</v>
      </c>
      <c r="CV251" s="103">
        <f>CV238-CV240</f>
        <v>692</v>
      </c>
      <c r="CW251" s="282">
        <f>SUM(CS251:CV251)</f>
        <v>2766</v>
      </c>
      <c r="CX251" s="103">
        <f>CX238-CX240</f>
        <v>522</v>
      </c>
      <c r="CY251" s="103">
        <f>CY238-CY240</f>
        <v>582</v>
      </c>
      <c r="CZ251" s="103">
        <f>CZ238-CZ240</f>
        <v>598</v>
      </c>
      <c r="DA251" s="103">
        <f>DA238-DA240</f>
        <v>583</v>
      </c>
      <c r="DB251" s="282">
        <f>SUM(CX251:DA251)</f>
        <v>2285</v>
      </c>
      <c r="DC251" s="103">
        <f t="shared" ref="DC251:DL251" si="1250">DC238-DC240</f>
        <v>634</v>
      </c>
      <c r="DD251" s="103">
        <f t="shared" si="1250"/>
        <v>768</v>
      </c>
      <c r="DE251" s="103">
        <f t="shared" si="1250"/>
        <v>825</v>
      </c>
      <c r="DF251" s="103">
        <f t="shared" si="1250"/>
        <v>846</v>
      </c>
      <c r="DG251" s="282">
        <f t="shared" si="1250"/>
        <v>3073</v>
      </c>
      <c r="DH251" s="103">
        <f t="shared" si="1250"/>
        <v>790</v>
      </c>
      <c r="DI251" s="103">
        <f>DI238-DI240</f>
        <v>920</v>
      </c>
      <c r="DJ251" s="103">
        <f>DJ238-DJ240</f>
        <v>877</v>
      </c>
      <c r="DK251" s="103">
        <f>DK238-DK240</f>
        <v>883</v>
      </c>
      <c r="DL251" s="282">
        <f t="shared" si="1250"/>
        <v>3470</v>
      </c>
      <c r="DM251" s="103">
        <f t="shared" ref="DM251:DV251" si="1251">DM238-DM240</f>
        <v>908</v>
      </c>
      <c r="DN251" s="103">
        <f t="shared" si="1251"/>
        <v>917</v>
      </c>
      <c r="DO251" s="103">
        <f>DO238-DO240</f>
        <v>824</v>
      </c>
      <c r="DP251" s="103">
        <f>DP238-DP240</f>
        <v>815</v>
      </c>
      <c r="DQ251" s="282">
        <f t="shared" si="1251"/>
        <v>3464</v>
      </c>
      <c r="DR251" s="103">
        <f>DR238-DR240</f>
        <v>828</v>
      </c>
      <c r="DS251" s="103">
        <f>DS238-DS240</f>
        <v>902</v>
      </c>
      <c r="DT251" s="103">
        <f t="shared" si="1251"/>
        <v>805</v>
      </c>
      <c r="DU251" s="103">
        <f>DU238-DU240</f>
        <v>813</v>
      </c>
      <c r="DV251" s="282">
        <f t="shared" si="1251"/>
        <v>3348</v>
      </c>
      <c r="DW251" s="103">
        <f>DW238-DW240</f>
        <v>684</v>
      </c>
      <c r="DX251" s="103">
        <f>DX238-DX240</f>
        <v>986</v>
      </c>
      <c r="DY251" s="103">
        <f>DY238-DY240</f>
        <v>959</v>
      </c>
      <c r="DZ251" s="103">
        <f>DZ238-DZ240</f>
        <v>901.0741802873722</v>
      </c>
      <c r="EA251" s="282">
        <f>EA238-EA240</f>
        <v>3530.0741802873727</v>
      </c>
      <c r="EB251" s="103">
        <f t="shared" ref="EB251:EF251" si="1252">EB238-EB240</f>
        <v>765</v>
      </c>
      <c r="EC251" s="103">
        <f t="shared" si="1252"/>
        <v>981</v>
      </c>
      <c r="ED251" s="103">
        <f t="shared" si="1252"/>
        <v>933</v>
      </c>
      <c r="EE251" s="103">
        <f t="shared" si="1252"/>
        <v>791</v>
      </c>
      <c r="EF251" s="282">
        <f t="shared" si="1252"/>
        <v>3470</v>
      </c>
      <c r="EG251" s="103">
        <f>EG238-EG240</f>
        <v>704</v>
      </c>
      <c r="EH251" s="103">
        <f>EH238-EH240</f>
        <v>840</v>
      </c>
      <c r="EI251" s="103">
        <f>EI238-EI240</f>
        <v>841</v>
      </c>
      <c r="EJ251" s="103">
        <f t="shared" ref="EJ251:EK251" si="1253">EJ238-EJ240</f>
        <v>1004</v>
      </c>
      <c r="EK251" s="282">
        <f t="shared" si="1253"/>
        <v>3376</v>
      </c>
      <c r="EL251" s="103">
        <f>EL238-EL240</f>
        <v>879</v>
      </c>
      <c r="EM251" s="103">
        <f>EM238-EM240</f>
        <v>1074</v>
      </c>
      <c r="EN251" s="103">
        <f>EN238-EN240</f>
        <v>871</v>
      </c>
      <c r="EO251" s="103">
        <f t="shared" ref="EO251:EP251" si="1254">EO238-EO240</f>
        <v>1002</v>
      </c>
      <c r="EP251" s="282">
        <f t="shared" si="1254"/>
        <v>3826</v>
      </c>
      <c r="EQ251" s="103">
        <f>EQ238-EQ240</f>
        <v>1044</v>
      </c>
      <c r="ER251" s="103">
        <f t="shared" ref="ER251" si="1255">ER238-ER240</f>
        <v>1066.6820561833347</v>
      </c>
      <c r="ES251" s="103">
        <f t="shared" ref="ES251:EU251" si="1256">ES238-ES240</f>
        <v>1013.9889163375215</v>
      </c>
      <c r="ET251" s="103">
        <f t="shared" si="1256"/>
        <v>1068.8364046500651</v>
      </c>
      <c r="EU251" s="282">
        <f t="shared" si="1256"/>
        <v>4193.5073771709212</v>
      </c>
      <c r="EV251" s="103"/>
      <c r="EW251" s="103"/>
      <c r="EX251" s="103"/>
      <c r="EY251" s="103"/>
      <c r="EZ251" s="282">
        <f>EZ238-EZ240</f>
        <v>4363.34960424577</v>
      </c>
      <c r="FA251" s="103"/>
      <c r="FB251" s="103"/>
      <c r="FC251" s="103"/>
      <c r="FD251" s="103"/>
      <c r="FE251" s="282">
        <f>FE238-FE240</f>
        <v>4701.3357320504529</v>
      </c>
      <c r="FG251" s="494"/>
      <c r="FH251" s="1925"/>
      <c r="FI251" s="1925"/>
      <c r="FJ251" s="1925"/>
      <c r="FL251" s="1347"/>
      <c r="FM251" s="103">
        <f t="shared" si="1164"/>
        <v>1044</v>
      </c>
      <c r="FN251" s="769">
        <f t="shared" si="1165"/>
        <v>879</v>
      </c>
      <c r="FO251" s="1740">
        <v>897.15098271350007</v>
      </c>
      <c r="FP251" s="1770">
        <f>+FM251/FN251-1</f>
        <v>0.18771331058020468</v>
      </c>
      <c r="FQ251" s="1544">
        <f>+FM251/FO251-1</f>
        <v>0.16368372784070773</v>
      </c>
      <c r="FR251" s="1619"/>
      <c r="FS251" s="1619"/>
      <c r="FT251" s="355"/>
      <c r="FU251" s="355"/>
      <c r="FV251" s="355"/>
      <c r="FW251" s="355"/>
      <c r="FX251" s="355"/>
      <c r="FY251" s="355"/>
      <c r="FZ251" s="494"/>
      <c r="GA251"/>
      <c r="GB251"/>
      <c r="GC251"/>
      <c r="GD251"/>
      <c r="GE251"/>
      <c r="GF251"/>
      <c r="GG251"/>
      <c r="GH251"/>
      <c r="GI251"/>
      <c r="GJ251"/>
      <c r="GK251"/>
      <c r="GL251"/>
      <c r="GM251"/>
      <c r="GN251"/>
      <c r="GO251"/>
      <c r="GP251"/>
      <c r="GQ251"/>
      <c r="GR251"/>
      <c r="GS251"/>
      <c r="GT251"/>
      <c r="GU251"/>
      <c r="GV251"/>
      <c r="GW251"/>
      <c r="GX251"/>
      <c r="GY251"/>
      <c r="GZ251"/>
      <c r="HA251"/>
      <c r="HB251"/>
      <c r="HC251"/>
      <c r="HD251"/>
      <c r="HE251"/>
      <c r="HF251"/>
      <c r="HG251"/>
      <c r="HH251"/>
      <c r="HI251"/>
      <c r="HJ251"/>
      <c r="HK251"/>
      <c r="HL251"/>
      <c r="HM251"/>
      <c r="HN251"/>
      <c r="HO251"/>
      <c r="HP251"/>
      <c r="HQ251"/>
      <c r="HR251"/>
      <c r="HS251"/>
      <c r="HT251"/>
      <c r="HU251"/>
      <c r="HV251"/>
      <c r="HW251"/>
      <c r="HX251"/>
      <c r="HY251"/>
      <c r="HZ251"/>
      <c r="IA251"/>
      <c r="IB251"/>
      <c r="IC251"/>
      <c r="ID251"/>
      <c r="IE251"/>
      <c r="IF251"/>
      <c r="IG251"/>
      <c r="IH251"/>
      <c r="II251"/>
      <c r="IJ251"/>
      <c r="IK251"/>
      <c r="IL251"/>
      <c r="IM251"/>
      <c r="IN251"/>
      <c r="IO251"/>
      <c r="IP251"/>
      <c r="IQ251"/>
      <c r="IR251"/>
      <c r="IS251"/>
      <c r="IT251"/>
      <c r="IU251"/>
      <c r="IV251"/>
      <c r="IW251"/>
      <c r="IX251"/>
    </row>
    <row r="252" spans="1:258" s="227" customFormat="1" x14ac:dyDescent="0.2">
      <c r="A252" s="383" t="s">
        <v>465</v>
      </c>
      <c r="B252" s="10"/>
      <c r="C252" s="10"/>
      <c r="D252" s="10"/>
      <c r="E252" s="10"/>
      <c r="F252" s="9"/>
      <c r="G252" s="10"/>
      <c r="H252" s="10"/>
      <c r="I252" s="10"/>
      <c r="J252" s="10"/>
      <c r="K252" s="9"/>
      <c r="L252" s="10"/>
      <c r="M252" s="10"/>
      <c r="N252" s="10"/>
      <c r="O252" s="10"/>
      <c r="P252" s="9"/>
      <c r="Q252" s="10"/>
      <c r="R252" s="10"/>
      <c r="S252" s="10"/>
      <c r="T252" s="10"/>
      <c r="U252" s="9"/>
      <c r="V252" s="10">
        <f t="shared" ref="V252:AV252" si="1257">V251/Q251-1</f>
        <v>-1.3333333333333308E-2</v>
      </c>
      <c r="W252" s="10">
        <f t="shared" si="1257"/>
        <v>9.5550111104780289E-2</v>
      </c>
      <c r="X252" s="10">
        <f t="shared" si="1257"/>
        <v>4.4372730939892246E-3</v>
      </c>
      <c r="Y252" s="10">
        <f t="shared" si="1257"/>
        <v>0.11568700861100756</v>
      </c>
      <c r="Z252" s="9">
        <f t="shared" si="1257"/>
        <v>5.860275565095785E-2</v>
      </c>
      <c r="AA252" s="10">
        <f t="shared" si="1257"/>
        <v>0.2432432432432432</v>
      </c>
      <c r="AB252" s="10">
        <f t="shared" si="1257"/>
        <v>0.10150375939849621</v>
      </c>
      <c r="AC252" s="10">
        <f t="shared" si="1257"/>
        <v>0.34136546184738958</v>
      </c>
      <c r="AD252" s="10">
        <f t="shared" si="1257"/>
        <v>0.20134228187919456</v>
      </c>
      <c r="AE252" s="9">
        <f t="shared" si="1257"/>
        <v>0.21644120707596248</v>
      </c>
      <c r="AF252" s="10">
        <f t="shared" si="1257"/>
        <v>0.41847826086956519</v>
      </c>
      <c r="AG252" s="10">
        <f t="shared" si="1257"/>
        <v>0.12627986348122877</v>
      </c>
      <c r="AH252" s="10">
        <f t="shared" si="1257"/>
        <v>-8.9820359281437279E-3</v>
      </c>
      <c r="AI252" s="10">
        <f t="shared" si="1257"/>
        <v>5.5865921787709993E-3</v>
      </c>
      <c r="AJ252" s="9">
        <f t="shared" si="1257"/>
        <v>9.6663815226689431E-2</v>
      </c>
      <c r="AK252" s="10">
        <f t="shared" si="1257"/>
        <v>6.5134099616858343E-2</v>
      </c>
      <c r="AL252" s="10">
        <f t="shared" si="1257"/>
        <v>0.1515151515151516</v>
      </c>
      <c r="AM252" s="10">
        <f t="shared" si="1257"/>
        <v>9.3655589123867067E-2</v>
      </c>
      <c r="AN252" s="10">
        <f t="shared" si="1257"/>
        <v>8.3333333333333259E-2</v>
      </c>
      <c r="AO252" s="9">
        <f t="shared" si="1257"/>
        <v>9.9843993759750393E-2</v>
      </c>
      <c r="AP252" s="10">
        <f t="shared" si="1257"/>
        <v>0.15827338129496393</v>
      </c>
      <c r="AQ252" s="10">
        <f t="shared" si="1257"/>
        <v>9.3684210526316702E-2</v>
      </c>
      <c r="AR252" s="10">
        <f t="shared" si="1257"/>
        <v>1.1049723756906049E-2</v>
      </c>
      <c r="AS252" s="10">
        <f t="shared" si="1257"/>
        <v>5.1282051282051322E-2</v>
      </c>
      <c r="AT252" s="9">
        <f t="shared" si="1257"/>
        <v>7.3475177304963557E-2</v>
      </c>
      <c r="AU252" s="10">
        <f t="shared" si="1257"/>
        <v>-0.13664596273291929</v>
      </c>
      <c r="AV252" s="10">
        <f t="shared" si="1257"/>
        <v>-0.19153031761309025</v>
      </c>
      <c r="AW252" s="10">
        <f t="shared" ref="AW252:CB252" si="1258">AW251/AR251-1</f>
        <v>-0.34426229508196726</v>
      </c>
      <c r="AX252" s="10">
        <f t="shared" si="1258"/>
        <v>-0.32682926829268288</v>
      </c>
      <c r="AY252" s="9">
        <f t="shared" si="1258"/>
        <v>-0.25343551797040098</v>
      </c>
      <c r="AZ252" s="10">
        <f t="shared" si="1258"/>
        <v>-7.194244604316502E-3</v>
      </c>
      <c r="BA252" s="10">
        <f t="shared" si="1258"/>
        <v>-0.18333333333333302</v>
      </c>
      <c r="BB252" s="10">
        <f t="shared" si="1258"/>
        <v>0.31666666666666665</v>
      </c>
      <c r="BC252" s="10">
        <f t="shared" si="1258"/>
        <v>-0.43260869565217419</v>
      </c>
      <c r="BD252" s="9">
        <f t="shared" si="1258"/>
        <v>-9.4690265486725655E-2</v>
      </c>
      <c r="BE252" s="10">
        <f t="shared" si="1258"/>
        <v>-0.34782608695652173</v>
      </c>
      <c r="BF252" s="10">
        <f t="shared" si="1258"/>
        <v>-0.26749271137026265</v>
      </c>
      <c r="BG252" s="10">
        <f t="shared" si="1258"/>
        <v>-0.29113924050632911</v>
      </c>
      <c r="BH252" s="10">
        <f t="shared" si="1258"/>
        <v>0.39208173690932391</v>
      </c>
      <c r="BI252" s="9">
        <f t="shared" si="1258"/>
        <v>-0.19550342130987297</v>
      </c>
      <c r="BJ252" s="10">
        <f>BJ251/BE251-1</f>
        <v>5.0000000000000044E-2</v>
      </c>
      <c r="BK252" s="10">
        <f>BK251/BF251-1</f>
        <v>0.31840796019900508</v>
      </c>
      <c r="BL252" s="10">
        <f>BL251/BG251-1</f>
        <v>0.2589285714285714</v>
      </c>
      <c r="BM252" s="10">
        <f>BM251/BH251-1</f>
        <v>0.28899082568807333</v>
      </c>
      <c r="BN252" s="9">
        <f>BN251/BI251-1</f>
        <v>0.23572296476306187</v>
      </c>
      <c r="BO252" s="10">
        <f t="shared" si="1258"/>
        <v>0.12169312169312163</v>
      </c>
      <c r="BP252" s="10">
        <f t="shared" si="1258"/>
        <v>0.16981132075471694</v>
      </c>
      <c r="BQ252" s="10">
        <f t="shared" si="1258"/>
        <v>-2.1276595744680882E-2</v>
      </c>
      <c r="BR252" s="10">
        <f t="shared" si="1258"/>
        <v>0.13167259786476859</v>
      </c>
      <c r="BS252" s="9">
        <f t="shared" si="1258"/>
        <v>9.7345132743362761E-2</v>
      </c>
      <c r="BT252" s="10">
        <f t="shared" si="1258"/>
        <v>-0.16509433962264153</v>
      </c>
      <c r="BU252" s="10">
        <f t="shared" si="1258"/>
        <v>-7.7419354838709653E-2</v>
      </c>
      <c r="BV252" s="10">
        <f t="shared" si="1258"/>
        <v>-7.9710144927536253E-2</v>
      </c>
      <c r="BW252" s="10">
        <f t="shared" si="1258"/>
        <v>-0.12893081761006286</v>
      </c>
      <c r="BX252" s="9">
        <f t="shared" si="1258"/>
        <v>-0.10931899641577059</v>
      </c>
      <c r="BY252" s="10">
        <f t="shared" si="1258"/>
        <v>0.23728813559322037</v>
      </c>
      <c r="BZ252" s="10">
        <f t="shared" si="1258"/>
        <v>6.9930069930070005E-2</v>
      </c>
      <c r="CA252" s="10">
        <f t="shared" si="1258"/>
        <v>5.1181102362204633E-2</v>
      </c>
      <c r="CB252" s="10">
        <f t="shared" si="1258"/>
        <v>0.14440433212996395</v>
      </c>
      <c r="CC252" s="9">
        <f t="shared" ref="CC252:DU252" si="1259">CC251/BX251-1</f>
        <v>0.11569416498993967</v>
      </c>
      <c r="CD252" s="10">
        <f t="shared" si="1259"/>
        <v>0.61643835616438358</v>
      </c>
      <c r="CE252" s="10">
        <f t="shared" si="1259"/>
        <v>0.35294117647058831</v>
      </c>
      <c r="CF252" s="10">
        <f t="shared" si="1259"/>
        <v>0.32209737827715346</v>
      </c>
      <c r="CG252" s="10">
        <f t="shared" si="1259"/>
        <v>0.2996845425867507</v>
      </c>
      <c r="CH252" s="9">
        <f t="shared" si="1259"/>
        <v>0.38232642019837693</v>
      </c>
      <c r="CI252" s="10">
        <f t="shared" si="1259"/>
        <v>0.40112994350282483</v>
      </c>
      <c r="CJ252" s="10">
        <f t="shared" si="1259"/>
        <v>0.2560386473429952</v>
      </c>
      <c r="CK252" s="10">
        <f t="shared" si="1259"/>
        <v>0.34277620396600561</v>
      </c>
      <c r="CL252" s="10">
        <f t="shared" si="1259"/>
        <v>0.16504854368932032</v>
      </c>
      <c r="CM252" s="9">
        <f t="shared" si="1259"/>
        <v>0.28506196999347688</v>
      </c>
      <c r="CN252" s="10">
        <f t="shared" si="1259"/>
        <v>-5.6451612903225756E-2</v>
      </c>
      <c r="CO252" s="10">
        <f t="shared" si="1259"/>
        <v>0.17884615384615388</v>
      </c>
      <c r="CP252" s="10">
        <f t="shared" si="1259"/>
        <v>0.18354430379746844</v>
      </c>
      <c r="CQ252" s="10">
        <f t="shared" si="1259"/>
        <v>0.24374999999999991</v>
      </c>
      <c r="CR252" s="9">
        <f t="shared" si="1259"/>
        <v>0.13654822335025374</v>
      </c>
      <c r="CS252" s="10">
        <f t="shared" si="1259"/>
        <v>0.33333333333333326</v>
      </c>
      <c r="CT252" s="10">
        <f t="shared" si="1259"/>
        <v>0.16965742251223492</v>
      </c>
      <c r="CU252" s="10">
        <f t="shared" si="1259"/>
        <v>0.30659536541889487</v>
      </c>
      <c r="CV252" s="10">
        <f t="shared" si="1259"/>
        <v>0.1591289782244556</v>
      </c>
      <c r="CW252" s="9">
        <f t="shared" si="1259"/>
        <v>0.23537293434569007</v>
      </c>
      <c r="CX252" s="10">
        <f t="shared" si="1259"/>
        <v>-0.16346153846153844</v>
      </c>
      <c r="CY252" s="10">
        <f t="shared" si="1259"/>
        <v>-0.18828451882845187</v>
      </c>
      <c r="CZ252" s="10">
        <f t="shared" si="1259"/>
        <v>-0.18417462482946789</v>
      </c>
      <c r="DA252" s="10">
        <f t="shared" si="1259"/>
        <v>-0.15751445086705207</v>
      </c>
      <c r="DB252" s="9">
        <f t="shared" si="1259"/>
        <v>-0.17389732465654373</v>
      </c>
      <c r="DC252" s="10">
        <f t="shared" si="1259"/>
        <v>0.21455938697318011</v>
      </c>
      <c r="DD252" s="10">
        <f t="shared" si="1259"/>
        <v>0.31958762886597936</v>
      </c>
      <c r="DE252" s="10">
        <f t="shared" si="1259"/>
        <v>0.37959866220735794</v>
      </c>
      <c r="DF252" s="10">
        <f t="shared" si="1259"/>
        <v>0.451114922813036</v>
      </c>
      <c r="DG252" s="9">
        <f t="shared" si="1259"/>
        <v>0.34485776805251644</v>
      </c>
      <c r="DH252" s="10">
        <f t="shared" si="1259"/>
        <v>0.24605678233438488</v>
      </c>
      <c r="DI252" s="10">
        <f t="shared" si="1259"/>
        <v>0.19791666666666674</v>
      </c>
      <c r="DJ252" s="10">
        <f t="shared" si="1259"/>
        <v>6.3030303030302992E-2</v>
      </c>
      <c r="DK252" s="10">
        <f t="shared" si="1259"/>
        <v>4.3735224586288313E-2</v>
      </c>
      <c r="DL252" s="9">
        <f>DL251/DG251-1</f>
        <v>0.12918971688903347</v>
      </c>
      <c r="DM252" s="10">
        <f t="shared" si="1259"/>
        <v>0.14936708860759484</v>
      </c>
      <c r="DN252" s="10">
        <f t="shared" si="1259"/>
        <v>-3.260869565217428E-3</v>
      </c>
      <c r="DO252" s="10">
        <f t="shared" si="1259"/>
        <v>-6.0433295324971548E-2</v>
      </c>
      <c r="DP252" s="10">
        <f t="shared" si="1259"/>
        <v>-7.7010192525481358E-2</v>
      </c>
      <c r="DQ252" s="9">
        <f t="shared" ref="DQ252:DV252" si="1260">DQ251/DL251-1</f>
        <v>-1.7291066282421053E-3</v>
      </c>
      <c r="DR252" s="10">
        <f t="shared" si="1259"/>
        <v>-8.8105726872246715E-2</v>
      </c>
      <c r="DS252" s="10">
        <f t="shared" si="1259"/>
        <v>-1.6357688113413316E-2</v>
      </c>
      <c r="DT252" s="10">
        <f t="shared" si="1260"/>
        <v>-2.3058252427184511E-2</v>
      </c>
      <c r="DU252" s="10">
        <f t="shared" si="1259"/>
        <v>-2.4539877300613355E-3</v>
      </c>
      <c r="DV252" s="9">
        <f t="shared" si="1260"/>
        <v>-3.3487297921478087E-2</v>
      </c>
      <c r="DW252" s="10">
        <f t="shared" ref="DW252:ED252" si="1261">DW251/DR251-1</f>
        <v>-0.17391304347826086</v>
      </c>
      <c r="DX252" s="10">
        <f t="shared" si="1261"/>
        <v>9.312638580931254E-2</v>
      </c>
      <c r="DY252" s="10">
        <f t="shared" si="1261"/>
        <v>0.19130434782608696</v>
      </c>
      <c r="DZ252" s="10">
        <f t="shared" si="1261"/>
        <v>0.10833232507671853</v>
      </c>
      <c r="EA252" s="9">
        <f t="shared" si="1261"/>
        <v>5.4382969022512828E-2</v>
      </c>
      <c r="EB252" s="10">
        <f t="shared" si="1261"/>
        <v>0.11842105263157898</v>
      </c>
      <c r="EC252" s="10">
        <f t="shared" si="1261"/>
        <v>-5.0709939148072536E-3</v>
      </c>
      <c r="ED252" s="10">
        <f t="shared" si="1261"/>
        <v>-2.7111574556829998E-2</v>
      </c>
      <c r="EE252" s="10">
        <f t="shared" ref="EE252:EI252" si="1262">EE251/DZ251-1</f>
        <v>-0.12215884407237942</v>
      </c>
      <c r="EF252" s="9">
        <f t="shared" si="1262"/>
        <v>-1.7017823767794593E-2</v>
      </c>
      <c r="EG252" s="10">
        <f t="shared" si="1262"/>
        <v>-7.9738562091503318E-2</v>
      </c>
      <c r="EH252" s="10">
        <f t="shared" si="1262"/>
        <v>-0.14373088685015289</v>
      </c>
      <c r="EI252" s="10">
        <f t="shared" si="1262"/>
        <v>-9.8606645230439494E-2</v>
      </c>
      <c r="EJ252" s="10">
        <f t="shared" ref="EJ252" si="1263">EJ251/EE251-1</f>
        <v>0.26927939317319849</v>
      </c>
      <c r="EK252" s="9">
        <f t="shared" ref="EK252:EQ252" si="1264">EK251/EF251-1</f>
        <v>-2.7089337175792538E-2</v>
      </c>
      <c r="EL252" s="10">
        <f t="shared" si="1264"/>
        <v>0.24857954545454541</v>
      </c>
      <c r="EM252" s="10">
        <f t="shared" si="1264"/>
        <v>0.27857142857142847</v>
      </c>
      <c r="EN252" s="10">
        <f t="shared" si="1264"/>
        <v>3.5671819262782511E-2</v>
      </c>
      <c r="EO252" s="10">
        <f t="shared" si="1264"/>
        <v>-1.9920318725099584E-3</v>
      </c>
      <c r="EP252" s="9">
        <f t="shared" si="1264"/>
        <v>0.1332938388625593</v>
      </c>
      <c r="EQ252" s="10">
        <f t="shared" si="1264"/>
        <v>0.18771331058020468</v>
      </c>
      <c r="ER252" s="10">
        <f t="shared" ref="ER252" si="1265">ER251/EM251-1</f>
        <v>-6.813727948477899E-3</v>
      </c>
      <c r="ES252" s="10">
        <f t="shared" ref="ES252:EU252" si="1266">ES251/EN251-1</f>
        <v>0.16416637926236688</v>
      </c>
      <c r="ET252" s="10">
        <f t="shared" si="1266"/>
        <v>6.6702998652759637E-2</v>
      </c>
      <c r="EU252" s="9">
        <f t="shared" si="1266"/>
        <v>9.6055247561662727E-2</v>
      </c>
      <c r="EV252" s="55"/>
      <c r="EW252" s="55"/>
      <c r="EX252" s="55"/>
      <c r="EY252" s="55"/>
      <c r="EZ252" s="9">
        <f>EZ251/EU251-1</f>
        <v>4.0501234837323707E-2</v>
      </c>
      <c r="FA252" s="55"/>
      <c r="FB252" s="55"/>
      <c r="FC252" s="55"/>
      <c r="FD252" s="55"/>
      <c r="FE252" s="9">
        <f>FE251/EZ251-1</f>
        <v>7.7460244642282294E-2</v>
      </c>
      <c r="FG252" s="699"/>
      <c r="FH252" s="809"/>
      <c r="FI252" s="809"/>
      <c r="FJ252" s="809"/>
      <c r="FL252" s="1371"/>
      <c r="FM252" s="10">
        <f t="shared" si="1164"/>
        <v>0.18771331058020468</v>
      </c>
      <c r="FN252" s="1418">
        <f t="shared" si="1165"/>
        <v>0.24857954545454541</v>
      </c>
      <c r="FO252" s="1750">
        <v>1.3729923970056568E-2</v>
      </c>
      <c r="FP252" s="1776"/>
      <c r="FQ252" s="1503">
        <f>+(FM252-FO252)*10000</f>
        <v>1739.8338661014811</v>
      </c>
      <c r="FR252" s="1297"/>
      <c r="FS252" s="1619"/>
      <c r="FT252" s="432"/>
      <c r="FU252" s="432"/>
      <c r="FV252" s="432"/>
      <c r="FW252" s="432"/>
      <c r="FX252" s="432"/>
      <c r="FY252" s="432"/>
      <c r="FZ252" s="699"/>
      <c r="GA252"/>
      <c r="GB252"/>
      <c r="GC252"/>
      <c r="GD252"/>
      <c r="GE252"/>
      <c r="GF252"/>
      <c r="GG252"/>
      <c r="GH252"/>
      <c r="GI252"/>
      <c r="GJ252"/>
      <c r="GK252"/>
      <c r="GL252"/>
      <c r="GM252"/>
      <c r="GN252"/>
      <c r="GO252"/>
      <c r="GP252"/>
      <c r="GQ252"/>
      <c r="GR252"/>
      <c r="GS252"/>
      <c r="GT252"/>
      <c r="GU252"/>
      <c r="GV252"/>
      <c r="GW252"/>
      <c r="GX252"/>
      <c r="GY252"/>
      <c r="GZ252"/>
      <c r="HA252"/>
      <c r="HB252"/>
      <c r="HC252"/>
      <c r="HD252"/>
      <c r="HE252"/>
      <c r="HF252"/>
      <c r="HG252"/>
      <c r="HH252"/>
      <c r="HI252"/>
      <c r="HJ252"/>
      <c r="HK252"/>
      <c r="HL252"/>
      <c r="HM252"/>
      <c r="HN252"/>
      <c r="HO252"/>
      <c r="HP252"/>
      <c r="HQ252"/>
      <c r="HR252"/>
      <c r="HS252"/>
      <c r="HT252"/>
      <c r="HU252"/>
      <c r="HV252"/>
      <c r="HW252"/>
      <c r="HX252"/>
      <c r="HY252"/>
      <c r="HZ252"/>
      <c r="IA252"/>
      <c r="IB252"/>
      <c r="IC252"/>
      <c r="ID252"/>
      <c r="IE252"/>
      <c r="IF252"/>
      <c r="IG252"/>
      <c r="IH252"/>
      <c r="II252"/>
      <c r="IJ252"/>
      <c r="IK252"/>
      <c r="IL252"/>
      <c r="IM252"/>
      <c r="IN252"/>
      <c r="IO252"/>
      <c r="IP252"/>
      <c r="IQ252"/>
      <c r="IR252"/>
      <c r="IS252"/>
      <c r="IT252"/>
      <c r="IU252"/>
      <c r="IV252"/>
      <c r="IW252"/>
      <c r="IX252"/>
    </row>
    <row r="253" spans="1:258" s="175" customFormat="1" x14ac:dyDescent="0.2">
      <c r="A253" s="607" t="s">
        <v>422</v>
      </c>
      <c r="B253" s="103"/>
      <c r="C253" s="103"/>
      <c r="D253" s="103"/>
      <c r="E253" s="103"/>
      <c r="F253" s="284"/>
      <c r="G253" s="103"/>
      <c r="H253" s="103"/>
      <c r="I253" s="103"/>
      <c r="J253" s="103"/>
      <c r="K253" s="284"/>
      <c r="L253" s="103"/>
      <c r="M253" s="103"/>
      <c r="N253" s="103"/>
      <c r="O253" s="103"/>
      <c r="P253" s="284"/>
      <c r="Q253" s="103">
        <f>Q251+Q214</f>
        <v>237</v>
      </c>
      <c r="R253" s="103">
        <f>R251+R214</f>
        <v>331.800395256917</v>
      </c>
      <c r="S253" s="103">
        <f>S251+S214</f>
        <v>335.90000000000009</v>
      </c>
      <c r="T253" s="103">
        <f>T251+T214</f>
        <v>346.09999999999991</v>
      </c>
      <c r="U253" s="284">
        <f>SUM(Q253:T253)</f>
        <v>1250.800395256917</v>
      </c>
      <c r="V253" s="103">
        <f>V251+V214</f>
        <v>239</v>
      </c>
      <c r="W253" s="103">
        <f>W251+W214</f>
        <v>357</v>
      </c>
      <c r="X253" s="103">
        <f>X251+X214</f>
        <v>340</v>
      </c>
      <c r="Y253" s="103">
        <f>Y251+Y214</f>
        <v>388</v>
      </c>
      <c r="Z253" s="284">
        <f>SUM(V253:Y253)</f>
        <v>1324</v>
      </c>
      <c r="AA253" s="103">
        <f>AA251+AA214</f>
        <v>274</v>
      </c>
      <c r="AB253" s="103">
        <f>AB251+AB214</f>
        <v>384</v>
      </c>
      <c r="AC253" s="103">
        <f>AC251+AC214</f>
        <v>425</v>
      </c>
      <c r="AD253" s="103">
        <f>AD251+AD214</f>
        <v>449</v>
      </c>
      <c r="AE253" s="284">
        <f>SUM(AA253:AD253)</f>
        <v>1532</v>
      </c>
      <c r="AF253" s="103">
        <f>AF251+AF214</f>
        <v>356</v>
      </c>
      <c r="AG253" s="103">
        <f>AG251+AG214</f>
        <v>426</v>
      </c>
      <c r="AH253" s="103">
        <f>AH251+AH214</f>
        <v>426</v>
      </c>
      <c r="AI253" s="103">
        <f>AI251+AI214</f>
        <v>455</v>
      </c>
      <c r="AJ253" s="284">
        <f>SUM(AF253:AI253)</f>
        <v>1663</v>
      </c>
      <c r="AK253" s="103">
        <f>AK251+AK214</f>
        <v>386</v>
      </c>
      <c r="AL253" s="103">
        <f>AL251+AL214</f>
        <v>487</v>
      </c>
      <c r="AM253" s="103">
        <f>AM251+AM214</f>
        <v>469</v>
      </c>
      <c r="AN253" s="103">
        <f>AN251+AN214</f>
        <v>499</v>
      </c>
      <c r="AO253" s="284">
        <f>SUM(AK253:AN253)</f>
        <v>1841</v>
      </c>
      <c r="AP253" s="103">
        <f>AP251+AP214</f>
        <v>433</v>
      </c>
      <c r="AQ253" s="103">
        <f>AQ251+AQ214</f>
        <v>527.60000000000036</v>
      </c>
      <c r="AR253" s="103">
        <f>AR251+AR214</f>
        <v>478</v>
      </c>
      <c r="AS253" s="103">
        <f>AS251+AS214</f>
        <v>518</v>
      </c>
      <c r="AT253" s="284">
        <f>SUM(AP253:AS253)</f>
        <v>1956.6000000000004</v>
      </c>
      <c r="AU253" s="103">
        <f>AU251+AU214</f>
        <v>395</v>
      </c>
      <c r="AV253" s="103">
        <f>AV251+AV214</f>
        <v>453</v>
      </c>
      <c r="AW253" s="103">
        <f>AW251+AW214</f>
        <v>357</v>
      </c>
      <c r="AX253" s="103">
        <f>AX251+AX214</f>
        <v>393</v>
      </c>
      <c r="AY253" s="284">
        <f>SUM(AU253:AX253)</f>
        <v>1598</v>
      </c>
      <c r="AZ253" s="103">
        <f>AZ251+AZ214</f>
        <v>405</v>
      </c>
      <c r="BA253" s="103">
        <f>BA251+BA214</f>
        <v>395.40000000000009</v>
      </c>
      <c r="BB253" s="103">
        <f>BB251+BB214</f>
        <v>438</v>
      </c>
      <c r="BC253" s="103">
        <f>BC251+BC214</f>
        <v>277.59999999999991</v>
      </c>
      <c r="BD253" s="284">
        <f>SUM(AZ253:BC253)</f>
        <v>1516</v>
      </c>
      <c r="BE253" s="103">
        <f>BE251+BE214</f>
        <v>311</v>
      </c>
      <c r="BF253" s="103">
        <f>BF251+BF214</f>
        <v>335</v>
      </c>
      <c r="BG253" s="103">
        <f>BG251+BG214</f>
        <v>365</v>
      </c>
      <c r="BH253" s="103">
        <f>BH251+BH214</f>
        <v>357</v>
      </c>
      <c r="BI253" s="284">
        <f>SUM(BE253:BH253)</f>
        <v>1368</v>
      </c>
      <c r="BJ253" s="103">
        <f>BJ251+BJ214</f>
        <v>336</v>
      </c>
      <c r="BK253" s="103">
        <f>BK251+BK214</f>
        <v>411</v>
      </c>
      <c r="BL253" s="103">
        <f>BL251+BL214</f>
        <v>428</v>
      </c>
      <c r="BM253" s="103">
        <f>BM251+BM214</f>
        <v>423</v>
      </c>
      <c r="BN253" s="284">
        <f>SUM(BJ253:BM253)</f>
        <v>1598</v>
      </c>
      <c r="BO253" s="103">
        <f>BO251+BO214</f>
        <v>357</v>
      </c>
      <c r="BP253" s="103">
        <f>BP251+BP214</f>
        <v>456</v>
      </c>
      <c r="BQ253" s="103">
        <f>BQ251+BQ214</f>
        <v>429</v>
      </c>
      <c r="BR253" s="103">
        <f>BR251+BR214</f>
        <v>479</v>
      </c>
      <c r="BS253" s="284">
        <f>SUM(BO253:BR253)</f>
        <v>1721</v>
      </c>
      <c r="BT253" s="103">
        <f>BT251+BT214</f>
        <v>330</v>
      </c>
      <c r="BU253" s="103">
        <f>BU251+BU214</f>
        <v>442</v>
      </c>
      <c r="BV253" s="103">
        <f>BV251+BV214</f>
        <v>406</v>
      </c>
      <c r="BW253" s="103">
        <f>BW251+BW214</f>
        <v>427</v>
      </c>
      <c r="BX253" s="284">
        <f>SUM(BT253:BW253)</f>
        <v>1605</v>
      </c>
      <c r="BY253" s="103">
        <f>BY251+BY214</f>
        <v>379</v>
      </c>
      <c r="BZ253" s="103">
        <f>BZ251+BZ214</f>
        <v>463</v>
      </c>
      <c r="CA253" s="103">
        <f>CA251+CA214</f>
        <v>437</v>
      </c>
      <c r="CB253" s="103">
        <f>CB251+CB214</f>
        <v>532</v>
      </c>
      <c r="CC253" s="284">
        <f>SUM(BY253:CB253)</f>
        <v>1811</v>
      </c>
      <c r="CD253" s="103">
        <f>CD251+CD214</f>
        <v>557</v>
      </c>
      <c r="CE253" s="103">
        <f>CE251+CE214</f>
        <v>617</v>
      </c>
      <c r="CF253" s="103">
        <f>CF251+CF214</f>
        <v>557</v>
      </c>
      <c r="CG253" s="103">
        <f>CG251+CG214</f>
        <v>620</v>
      </c>
      <c r="CH253" s="284">
        <f>SUM(CD253:CG253)</f>
        <v>2351</v>
      </c>
      <c r="CI253" s="103">
        <f>CI251+CI214</f>
        <v>707</v>
      </c>
      <c r="CJ253" s="103">
        <f>CJ251+CJ214</f>
        <v>736</v>
      </c>
      <c r="CK253" s="103">
        <f>CK251+CK214</f>
        <v>687</v>
      </c>
      <c r="CL253" s="103">
        <f>CL251+CL214</f>
        <v>696</v>
      </c>
      <c r="CM253" s="284">
        <f>SUM(CI253:CL253)</f>
        <v>2826</v>
      </c>
      <c r="CN253" s="103">
        <f>CN251+CN214</f>
        <v>689</v>
      </c>
      <c r="CO253" s="103">
        <f>CO251+CO214</f>
        <v>835</v>
      </c>
      <c r="CP253" s="103">
        <f>CP251+CP214</f>
        <v>781</v>
      </c>
      <c r="CQ253" s="103">
        <f>CQ251+CQ214</f>
        <v>817</v>
      </c>
      <c r="CR253" s="284">
        <f>SUM(CN253:CQ253)</f>
        <v>3122</v>
      </c>
      <c r="CS253" s="103">
        <f>CS251+CS214</f>
        <v>846</v>
      </c>
      <c r="CT253" s="103">
        <f>CT251+CT214</f>
        <v>944</v>
      </c>
      <c r="CU253" s="103">
        <f>CU251+CU214</f>
        <v>960</v>
      </c>
      <c r="CV253" s="103">
        <f>CV251+CV214</f>
        <v>920</v>
      </c>
      <c r="CW253" s="284">
        <f>SUM(CS253:CV253)</f>
        <v>3670</v>
      </c>
      <c r="CX253" s="103">
        <f>CX251+CX214</f>
        <v>746</v>
      </c>
      <c r="CY253" s="103">
        <f>CY251+CY214</f>
        <v>811</v>
      </c>
      <c r="CZ253" s="103">
        <f>CZ251+CZ214</f>
        <v>826</v>
      </c>
      <c r="DA253" s="103">
        <f>DA251+DA214</f>
        <v>810</v>
      </c>
      <c r="DB253" s="284">
        <f>SUM(CX253:DA253)</f>
        <v>3193</v>
      </c>
      <c r="DC253" s="103">
        <f>DC251+DC214</f>
        <v>863</v>
      </c>
      <c r="DD253" s="103">
        <f>DD251+DD214</f>
        <v>998</v>
      </c>
      <c r="DE253" s="103">
        <f>DE251+DE214</f>
        <v>1057</v>
      </c>
      <c r="DF253" s="103">
        <f>DF251+DF214</f>
        <v>1103</v>
      </c>
      <c r="DG253" s="284">
        <f>SUM(DC253:DF253)</f>
        <v>4021</v>
      </c>
      <c r="DH253" s="103">
        <f>DH251+DH214</f>
        <v>1033</v>
      </c>
      <c r="DI253" s="103">
        <f>DI251+DI214</f>
        <v>1166</v>
      </c>
      <c r="DJ253" s="103">
        <f>DJ251+DJ214</f>
        <v>1128</v>
      </c>
      <c r="DK253" s="103">
        <f>DK251+DK214</f>
        <v>1119</v>
      </c>
      <c r="DL253" s="284">
        <f>SUM(DH253:DK253)</f>
        <v>4446</v>
      </c>
      <c r="DM253" s="103">
        <f>DM251+DM214</f>
        <v>1165</v>
      </c>
      <c r="DN253" s="103">
        <f>DN251+DN214</f>
        <v>1180</v>
      </c>
      <c r="DO253" s="103">
        <f>DO251+DO214</f>
        <v>1092</v>
      </c>
      <c r="DP253" s="103">
        <f>DP251+DP214</f>
        <v>1086</v>
      </c>
      <c r="DQ253" s="284">
        <f>SUM(DM253:DP253)</f>
        <v>4523</v>
      </c>
      <c r="DR253" s="103">
        <f>DR251+DR214</f>
        <v>1098</v>
      </c>
      <c r="DS253" s="103">
        <f>DS251+DS214</f>
        <v>1178</v>
      </c>
      <c r="DT253" s="103">
        <f>DT251+DT214</f>
        <v>1082</v>
      </c>
      <c r="DU253" s="103">
        <f>DU251+DU214</f>
        <v>1094</v>
      </c>
      <c r="DV253" s="284">
        <f>SUM(DR253:DU253)</f>
        <v>4452</v>
      </c>
      <c r="DW253" s="103">
        <f>DW251+DW214</f>
        <v>967</v>
      </c>
      <c r="DX253" s="103">
        <f>DX251+DX214</f>
        <v>1273</v>
      </c>
      <c r="DY253" s="103">
        <f>DY251+DY214</f>
        <v>1250</v>
      </c>
      <c r="DZ253" s="103">
        <f>DZ251+DZ214</f>
        <v>1191.0741802873722</v>
      </c>
      <c r="EA253" s="284">
        <f>SUM(DW253:DZ253)</f>
        <v>4681.0741802873727</v>
      </c>
      <c r="EB253" s="103">
        <f>EB251+EB214</f>
        <v>1060</v>
      </c>
      <c r="EC253" s="103">
        <f>EC251+EC214</f>
        <v>1280</v>
      </c>
      <c r="ED253" s="103">
        <f>ED251+ED214</f>
        <v>1235</v>
      </c>
      <c r="EE253" s="103">
        <f>EE251+EE214</f>
        <v>1103</v>
      </c>
      <c r="EF253" s="284">
        <f>SUM(EB253:EE253)</f>
        <v>4678</v>
      </c>
      <c r="EG253" s="103">
        <f>EG251+EG214</f>
        <v>1017</v>
      </c>
      <c r="EH253" s="103">
        <f>EH251+EH214</f>
        <v>1159</v>
      </c>
      <c r="EI253" s="103">
        <f>EI251+EI214</f>
        <v>1162</v>
      </c>
      <c r="EJ253" s="103">
        <f>EJ251+EJ214</f>
        <v>1352</v>
      </c>
      <c r="EK253" s="284">
        <f>SUM(EG253:EJ253)</f>
        <v>4690</v>
      </c>
      <c r="EL253" s="103">
        <f>EL251+EL214</f>
        <v>1199</v>
      </c>
      <c r="EM253" s="103">
        <f>EM251+EM214</f>
        <v>1401</v>
      </c>
      <c r="EN253" s="103">
        <f>EN251+EN214</f>
        <v>1202</v>
      </c>
      <c r="EO253" s="103">
        <f>EO251+EO214</f>
        <v>1339</v>
      </c>
      <c r="EP253" s="284">
        <f>SUM(EL253:EO253)</f>
        <v>5141</v>
      </c>
      <c r="EQ253" s="103">
        <f>EQ251+EQ214</f>
        <v>1367</v>
      </c>
      <c r="ER253" s="103">
        <f>ER251+ER214</f>
        <v>1395.3170561833347</v>
      </c>
      <c r="ES253" s="103">
        <f>ES251+ES214</f>
        <v>1346.6439163375214</v>
      </c>
      <c r="ET253" s="103">
        <f>ET251+ET214</f>
        <v>1407.5214046500651</v>
      </c>
      <c r="EU253" s="284">
        <f>SUM(EQ253:ET253)</f>
        <v>5516.4823771709216</v>
      </c>
      <c r="EV253" s="103"/>
      <c r="EW253" s="103"/>
      <c r="EX253" s="103"/>
      <c r="EY253" s="103"/>
      <c r="EZ253" s="284">
        <f>EZ251+EZ214</f>
        <v>5699.5543542457699</v>
      </c>
      <c r="FA253" s="103"/>
      <c r="FB253" s="103"/>
      <c r="FC253" s="103"/>
      <c r="FD253" s="103"/>
      <c r="FE253" s="284">
        <f>FE251+FE214</f>
        <v>6057.5835533004529</v>
      </c>
      <c r="FG253" s="494"/>
      <c r="FH253" s="777"/>
      <c r="FI253" s="777"/>
      <c r="FJ253" s="777"/>
      <c r="FL253" s="1347"/>
      <c r="FM253" s="103">
        <f t="shared" si="1164"/>
        <v>1367</v>
      </c>
      <c r="FN253" s="769">
        <f t="shared" si="1165"/>
        <v>1199</v>
      </c>
      <c r="FO253" s="1740">
        <v>1218.7509827135</v>
      </c>
      <c r="FP253" s="1770">
        <f>+FM253/FN253-1</f>
        <v>0.14011676396997497</v>
      </c>
      <c r="FQ253" s="1544">
        <f>+FM253/FO253-1</f>
        <v>0.12164012123003953</v>
      </c>
      <c r="FR253" s="1619"/>
      <c r="FS253" s="1619"/>
      <c r="FT253" s="355"/>
      <c r="FU253" s="355"/>
      <c r="FV253" s="355"/>
      <c r="FW253" s="355"/>
      <c r="FX253" s="355"/>
      <c r="FY253" s="355"/>
      <c r="FZ253" s="494"/>
      <c r="GA253"/>
      <c r="GB253"/>
      <c r="GC253"/>
      <c r="GD253"/>
      <c r="GE253"/>
      <c r="GF253"/>
      <c r="GG253"/>
      <c r="GH253"/>
      <c r="GI253"/>
      <c r="GJ253"/>
      <c r="GK253"/>
      <c r="GL253"/>
      <c r="GM253"/>
      <c r="GN253"/>
      <c r="GO253"/>
      <c r="GP253"/>
      <c r="GQ253"/>
      <c r="GR253"/>
      <c r="GS253"/>
      <c r="GT253"/>
      <c r="GU253"/>
      <c r="GV253"/>
      <c r="GW253"/>
      <c r="GX253"/>
      <c r="GY253"/>
      <c r="GZ253"/>
      <c r="HA253"/>
      <c r="HB253"/>
      <c r="HC253"/>
      <c r="HD253"/>
      <c r="HE253"/>
      <c r="HF253"/>
      <c r="HG253"/>
      <c r="HH253"/>
      <c r="HI253"/>
      <c r="HJ253"/>
      <c r="HK253"/>
      <c r="HL253"/>
      <c r="HM253"/>
      <c r="HN253"/>
      <c r="HO253"/>
      <c r="HP253"/>
      <c r="HQ253"/>
      <c r="HR253"/>
      <c r="HS253"/>
      <c r="HT253"/>
      <c r="HU253"/>
      <c r="HV253"/>
      <c r="HW253"/>
      <c r="HX253"/>
      <c r="HY253"/>
      <c r="HZ253"/>
      <c r="IA253"/>
      <c r="IB253"/>
      <c r="IC253"/>
      <c r="ID253"/>
      <c r="IE253"/>
      <c r="IF253"/>
      <c r="IG253"/>
      <c r="IH253"/>
      <c r="II253"/>
      <c r="IJ253"/>
      <c r="IK253"/>
      <c r="IL253"/>
      <c r="IM253"/>
      <c r="IN253"/>
      <c r="IO253"/>
      <c r="IP253"/>
      <c r="IQ253"/>
      <c r="IR253"/>
      <c r="IS253"/>
      <c r="IT253"/>
      <c r="IU253"/>
      <c r="IV253"/>
      <c r="IW253"/>
      <c r="IX253"/>
    </row>
    <row r="254" spans="1:258" s="227" customFormat="1" x14ac:dyDescent="0.2">
      <c r="A254" s="383" t="s">
        <v>465</v>
      </c>
      <c r="B254" s="10"/>
      <c r="C254" s="10"/>
      <c r="D254" s="10"/>
      <c r="E254" s="10"/>
      <c r="F254" s="9"/>
      <c r="G254" s="10"/>
      <c r="H254" s="10"/>
      <c r="I254" s="10"/>
      <c r="J254" s="10"/>
      <c r="K254" s="9"/>
      <c r="L254" s="10"/>
      <c r="M254" s="10"/>
      <c r="N254" s="10"/>
      <c r="O254" s="10"/>
      <c r="P254" s="9"/>
      <c r="Q254" s="10"/>
      <c r="R254" s="10"/>
      <c r="S254" s="10"/>
      <c r="T254" s="10"/>
      <c r="U254" s="9"/>
      <c r="V254" s="10"/>
      <c r="W254" s="10"/>
      <c r="X254" s="10"/>
      <c r="Y254" s="10"/>
      <c r="Z254" s="9"/>
      <c r="AA254" s="10"/>
      <c r="AB254" s="10"/>
      <c r="AC254" s="10"/>
      <c r="AD254" s="10"/>
      <c r="AE254" s="9"/>
      <c r="AF254" s="10"/>
      <c r="AG254" s="10"/>
      <c r="AH254" s="10"/>
      <c r="AI254" s="10"/>
      <c r="AJ254" s="9"/>
      <c r="AK254" s="10"/>
      <c r="AL254" s="10"/>
      <c r="AM254" s="10"/>
      <c r="AN254" s="10"/>
      <c r="AO254" s="9"/>
      <c r="AP254" s="10">
        <f t="shared" ref="AP254:BU254" si="1267">AP253/AK253-1</f>
        <v>0.12176165803108807</v>
      </c>
      <c r="AQ254" s="10">
        <f t="shared" si="1267"/>
        <v>8.3367556468173287E-2</v>
      </c>
      <c r="AR254" s="10">
        <f t="shared" si="1267"/>
        <v>1.9189765458422103E-2</v>
      </c>
      <c r="AS254" s="10">
        <f t="shared" si="1267"/>
        <v>3.8076152304609145E-2</v>
      </c>
      <c r="AT254" s="9">
        <f t="shared" si="1267"/>
        <v>6.2791960890820508E-2</v>
      </c>
      <c r="AU254" s="10">
        <f t="shared" si="1267"/>
        <v>-8.775981524249421E-2</v>
      </c>
      <c r="AV254" s="10">
        <f t="shared" si="1267"/>
        <v>-0.14139499620925</v>
      </c>
      <c r="AW254" s="10">
        <f t="shared" si="1267"/>
        <v>-0.2531380753138075</v>
      </c>
      <c r="AX254" s="10">
        <f t="shared" si="1267"/>
        <v>-0.24131274131274127</v>
      </c>
      <c r="AY254" s="9">
        <f t="shared" si="1267"/>
        <v>-0.18327711335991015</v>
      </c>
      <c r="AZ254" s="10">
        <f t="shared" si="1267"/>
        <v>2.5316455696202445E-2</v>
      </c>
      <c r="BA254" s="10">
        <f t="shared" si="1267"/>
        <v>-0.12715231788079451</v>
      </c>
      <c r="BB254" s="10">
        <f t="shared" si="1267"/>
        <v>0.22689075630252109</v>
      </c>
      <c r="BC254" s="10">
        <f t="shared" si="1267"/>
        <v>-0.29363867684478395</v>
      </c>
      <c r="BD254" s="9">
        <f t="shared" si="1267"/>
        <v>-5.1314142678347885E-2</v>
      </c>
      <c r="BE254" s="10">
        <f t="shared" si="1267"/>
        <v>-0.23209876543209873</v>
      </c>
      <c r="BF254" s="10">
        <f t="shared" si="1267"/>
        <v>-0.1527567020738495</v>
      </c>
      <c r="BG254" s="10">
        <f t="shared" si="1267"/>
        <v>-0.16666666666666663</v>
      </c>
      <c r="BH254" s="10">
        <f t="shared" si="1267"/>
        <v>0.28602305475504375</v>
      </c>
      <c r="BI254" s="9">
        <f t="shared" si="1267"/>
        <v>-9.7625329815303474E-2</v>
      </c>
      <c r="BJ254" s="10">
        <f>BJ253/BE253-1</f>
        <v>8.0385852090032239E-2</v>
      </c>
      <c r="BK254" s="10">
        <f>BK253/BF253-1</f>
        <v>0.22686567164179094</v>
      </c>
      <c r="BL254" s="10">
        <f>BL253/BG253-1</f>
        <v>0.17260273972602747</v>
      </c>
      <c r="BM254" s="10">
        <f>BM253/BH253-1</f>
        <v>0.18487394957983194</v>
      </c>
      <c r="BN254" s="9">
        <f>BN253/BI253-1</f>
        <v>0.16812865497076013</v>
      </c>
      <c r="BO254" s="10">
        <f t="shared" si="1267"/>
        <v>6.25E-2</v>
      </c>
      <c r="BP254" s="10">
        <f t="shared" si="1267"/>
        <v>0.10948905109489049</v>
      </c>
      <c r="BQ254" s="10">
        <f t="shared" si="1267"/>
        <v>2.3364485981307581E-3</v>
      </c>
      <c r="BR254" s="10">
        <f t="shared" si="1267"/>
        <v>0.13238770685579193</v>
      </c>
      <c r="BS254" s="9">
        <f t="shared" si="1267"/>
        <v>7.6971214017521827E-2</v>
      </c>
      <c r="BT254" s="10">
        <f t="shared" si="1267"/>
        <v>-7.5630252100840289E-2</v>
      </c>
      <c r="BU254" s="10">
        <f t="shared" si="1267"/>
        <v>-3.0701754385964897E-2</v>
      </c>
      <c r="BV254" s="10">
        <f t="shared" ref="BV254:DU254" si="1268">BV253/BQ253-1</f>
        <v>-5.3613053613053574E-2</v>
      </c>
      <c r="BW254" s="10">
        <f t="shared" si="1268"/>
        <v>-0.10855949895615868</v>
      </c>
      <c r="BX254" s="9">
        <f t="shared" si="1268"/>
        <v>-6.7402672864613544E-2</v>
      </c>
      <c r="BY254" s="10">
        <f t="shared" si="1268"/>
        <v>0.14848484848484844</v>
      </c>
      <c r="BZ254" s="10">
        <f t="shared" si="1268"/>
        <v>4.7511312217194623E-2</v>
      </c>
      <c r="CA254" s="10">
        <f t="shared" si="1268"/>
        <v>7.6354679802955738E-2</v>
      </c>
      <c r="CB254" s="10">
        <f t="shared" si="1268"/>
        <v>0.24590163934426235</v>
      </c>
      <c r="CC254" s="9">
        <f t="shared" si="1268"/>
        <v>0.12834890965732093</v>
      </c>
      <c r="CD254" s="10">
        <f t="shared" si="1268"/>
        <v>0.46965699208443268</v>
      </c>
      <c r="CE254" s="10">
        <f t="shared" si="1268"/>
        <v>0.33261339092872566</v>
      </c>
      <c r="CF254" s="10">
        <f t="shared" si="1268"/>
        <v>0.27459954233409611</v>
      </c>
      <c r="CG254" s="10">
        <f t="shared" si="1268"/>
        <v>0.16541353383458657</v>
      </c>
      <c r="CH254" s="9">
        <f t="shared" si="1268"/>
        <v>0.29817780231916058</v>
      </c>
      <c r="CI254" s="10">
        <f t="shared" si="1268"/>
        <v>0.26929982046678647</v>
      </c>
      <c r="CJ254" s="10">
        <f t="shared" si="1268"/>
        <v>0.19286871961102103</v>
      </c>
      <c r="CK254" s="10">
        <f t="shared" si="1268"/>
        <v>0.23339317773788149</v>
      </c>
      <c r="CL254" s="10">
        <f t="shared" si="1268"/>
        <v>0.1225806451612903</v>
      </c>
      <c r="CM254" s="9">
        <f t="shared" si="1268"/>
        <v>0.20204168438962133</v>
      </c>
      <c r="CN254" s="10">
        <f t="shared" si="1268"/>
        <v>-2.5459688826025451E-2</v>
      </c>
      <c r="CO254" s="10">
        <f t="shared" si="1268"/>
        <v>0.13451086956521729</v>
      </c>
      <c r="CP254" s="10">
        <f t="shared" si="1268"/>
        <v>0.13682678311499274</v>
      </c>
      <c r="CQ254" s="10">
        <f t="shared" si="1268"/>
        <v>0.17385057471264376</v>
      </c>
      <c r="CR254" s="9">
        <f t="shared" si="1268"/>
        <v>0.10474168435951881</v>
      </c>
      <c r="CS254" s="10">
        <f t="shared" si="1268"/>
        <v>0.22786647314949193</v>
      </c>
      <c r="CT254" s="10">
        <f t="shared" si="1268"/>
        <v>0.13053892215568852</v>
      </c>
      <c r="CU254" s="10">
        <f t="shared" si="1268"/>
        <v>0.2291933418693981</v>
      </c>
      <c r="CV254" s="10">
        <f t="shared" si="1268"/>
        <v>0.12607099143206857</v>
      </c>
      <c r="CW254" s="9">
        <f t="shared" si="1268"/>
        <v>0.17552850736707248</v>
      </c>
      <c r="CX254" s="10">
        <f t="shared" si="1268"/>
        <v>-0.11820330969267134</v>
      </c>
      <c r="CY254" s="10">
        <f t="shared" si="1268"/>
        <v>-0.14088983050847459</v>
      </c>
      <c r="CZ254" s="10">
        <f t="shared" si="1268"/>
        <v>-0.13958333333333328</v>
      </c>
      <c r="DA254" s="10">
        <f t="shared" si="1268"/>
        <v>-0.11956521739130432</v>
      </c>
      <c r="DB254" s="9">
        <f>DB253/CW253-1</f>
        <v>-0.12997275204359671</v>
      </c>
      <c r="DC254" s="10">
        <f t="shared" si="1268"/>
        <v>0.15683646112600536</v>
      </c>
      <c r="DD254" s="10">
        <f t="shared" si="1268"/>
        <v>0.2305795314426633</v>
      </c>
      <c r="DE254" s="10">
        <f t="shared" si="1268"/>
        <v>0.27966101694915246</v>
      </c>
      <c r="DF254" s="10">
        <f t="shared" si="1268"/>
        <v>0.36172839506172849</v>
      </c>
      <c r="DG254" s="9">
        <f>DG253/DB253-1</f>
        <v>0.25931725649859061</v>
      </c>
      <c r="DH254" s="10">
        <f t="shared" si="1268"/>
        <v>0.19698725376593273</v>
      </c>
      <c r="DI254" s="10">
        <f t="shared" si="1268"/>
        <v>0.16833667334669333</v>
      </c>
      <c r="DJ254" s="10">
        <f t="shared" si="1268"/>
        <v>6.717123935666991E-2</v>
      </c>
      <c r="DK254" s="10">
        <f t="shared" si="1268"/>
        <v>1.4505893019038929E-2</v>
      </c>
      <c r="DL254" s="9">
        <f>DL253/DG253-1</f>
        <v>0.10569510072121369</v>
      </c>
      <c r="DM254" s="10">
        <f t="shared" si="1268"/>
        <v>0.12778315585672795</v>
      </c>
      <c r="DN254" s="10">
        <f t="shared" si="1268"/>
        <v>1.2006861063464935E-2</v>
      </c>
      <c r="DO254" s="10">
        <f t="shared" si="1268"/>
        <v>-3.1914893617021267E-2</v>
      </c>
      <c r="DP254" s="10">
        <f t="shared" si="1268"/>
        <v>-2.9490616621983934E-2</v>
      </c>
      <c r="DQ254" s="9">
        <f t="shared" ref="DQ254:DV254" si="1269">DQ253/DL253-1</f>
        <v>1.7318938371569947E-2</v>
      </c>
      <c r="DR254" s="10">
        <f t="shared" si="1268"/>
        <v>-5.7510729613733935E-2</v>
      </c>
      <c r="DS254" s="10">
        <f t="shared" si="1268"/>
        <v>-1.6949152542372614E-3</v>
      </c>
      <c r="DT254" s="10">
        <f t="shared" si="1269"/>
        <v>-9.157509157509125E-3</v>
      </c>
      <c r="DU254" s="10">
        <f t="shared" si="1268"/>
        <v>7.3664825046040328E-3</v>
      </c>
      <c r="DV254" s="9">
        <f t="shared" si="1269"/>
        <v>-1.5697545876630525E-2</v>
      </c>
      <c r="DW254" s="10">
        <f t="shared" ref="DW254:ED254" si="1270">DW253/DR253-1</f>
        <v>-0.11930783242258647</v>
      </c>
      <c r="DX254" s="10">
        <f t="shared" si="1270"/>
        <v>8.0645161290322509E-2</v>
      </c>
      <c r="DY254" s="10">
        <f t="shared" si="1270"/>
        <v>0.15526802218114599</v>
      </c>
      <c r="DZ254" s="10">
        <f t="shared" si="1270"/>
        <v>8.873325437602575E-2</v>
      </c>
      <c r="EA254" s="9">
        <f t="shared" si="1270"/>
        <v>5.145421839339015E-2</v>
      </c>
      <c r="EB254" s="10">
        <f t="shared" si="1270"/>
        <v>9.6173733195449751E-2</v>
      </c>
      <c r="EC254" s="10">
        <f t="shared" si="1270"/>
        <v>5.4988216810682999E-3</v>
      </c>
      <c r="ED254" s="10">
        <f t="shared" si="1270"/>
        <v>-1.2000000000000011E-2</v>
      </c>
      <c r="EE254" s="10">
        <f t="shared" ref="EE254:EI254" si="1271">EE253/DZ253-1</f>
        <v>-7.3945167937501943E-2</v>
      </c>
      <c r="EF254" s="9">
        <f t="shared" si="1271"/>
        <v>-6.5672539442307443E-4</v>
      </c>
      <c r="EG254" s="10">
        <f t="shared" si="1271"/>
        <v>-4.0566037735849103E-2</v>
      </c>
      <c r="EH254" s="10">
        <f t="shared" si="1271"/>
        <v>-9.4531249999999956E-2</v>
      </c>
      <c r="EI254" s="10">
        <f t="shared" si="1271"/>
        <v>-5.9109311740890735E-2</v>
      </c>
      <c r="EJ254" s="10">
        <f t="shared" ref="EJ254" si="1272">EJ253/EE253-1</f>
        <v>0.22574796010879417</v>
      </c>
      <c r="EK254" s="9">
        <f t="shared" ref="EK254:EQ254" si="1273">EK253/EF253-1</f>
        <v>2.5651988029071759E-3</v>
      </c>
      <c r="EL254" s="10">
        <f t="shared" si="1273"/>
        <v>0.17895771878072764</v>
      </c>
      <c r="EM254" s="10">
        <f t="shared" si="1273"/>
        <v>0.20880069025021575</v>
      </c>
      <c r="EN254" s="10">
        <f t="shared" si="1273"/>
        <v>3.4423407917383742E-2</v>
      </c>
      <c r="EO254" s="10">
        <f t="shared" si="1273"/>
        <v>-9.6153846153845812E-3</v>
      </c>
      <c r="EP254" s="9">
        <f t="shared" si="1273"/>
        <v>9.6162046908315535E-2</v>
      </c>
      <c r="EQ254" s="10">
        <f t="shared" si="1273"/>
        <v>0.14011676396997497</v>
      </c>
      <c r="ER254" s="10">
        <f t="shared" ref="ER254" si="1274">ER253/EM253-1</f>
        <v>-4.0563481917668121E-3</v>
      </c>
      <c r="ES254" s="10">
        <f t="shared" ref="ES254:EU254" si="1275">ES253/EN253-1</f>
        <v>0.120336036886457</v>
      </c>
      <c r="ET254" s="10">
        <f t="shared" si="1275"/>
        <v>5.1173565832759671E-2</v>
      </c>
      <c r="EU254" s="9">
        <f t="shared" si="1275"/>
        <v>7.3036836640910652E-2</v>
      </c>
      <c r="EV254" s="55"/>
      <c r="EW254" s="55"/>
      <c r="EX254" s="55"/>
      <c r="EY254" s="55"/>
      <c r="EZ254" s="9">
        <f>EZ253/EU253-1</f>
        <v>3.318636126392116E-2</v>
      </c>
      <c r="FA254" s="55"/>
      <c r="FB254" s="55"/>
      <c r="FC254" s="55"/>
      <c r="FD254" s="55"/>
      <c r="FE254" s="9">
        <f>FE253/EZ253-1</f>
        <v>6.2817051439815863E-2</v>
      </c>
      <c r="FG254" s="699"/>
      <c r="FH254" s="809"/>
      <c r="FI254" s="809"/>
      <c r="FJ254" s="809"/>
      <c r="FL254" s="1371"/>
      <c r="FM254" s="10">
        <f t="shared" si="1164"/>
        <v>0.14011676396997497</v>
      </c>
      <c r="FN254" s="1418">
        <f t="shared" si="1165"/>
        <v>0.17895771878072764</v>
      </c>
      <c r="FO254" s="1750">
        <v>1.1411603911618329E-2</v>
      </c>
      <c r="FP254" s="1776"/>
      <c r="FQ254" s="1503">
        <f>+(FM254-FO254)*10000</f>
        <v>1287.0516005835664</v>
      </c>
      <c r="FR254" s="1619"/>
      <c r="FS254" s="1619"/>
      <c r="FT254" s="432"/>
      <c r="FU254" s="354"/>
      <c r="FV254" s="865"/>
      <c r="FW254" s="432"/>
      <c r="FX254" s="432"/>
      <c r="FY254" s="432"/>
      <c r="FZ254" s="699"/>
      <c r="GA254"/>
      <c r="GB254"/>
      <c r="GC254"/>
      <c r="GD254"/>
      <c r="GE254"/>
      <c r="GF254"/>
      <c r="GG254"/>
      <c r="GH254"/>
      <c r="GI254"/>
      <c r="GJ254"/>
      <c r="GK254"/>
      <c r="GL254"/>
      <c r="GM254"/>
      <c r="GN254"/>
      <c r="GO254"/>
      <c r="GP254"/>
      <c r="GQ254"/>
      <c r="GR254"/>
      <c r="GS254"/>
      <c r="GT254"/>
      <c r="GU254"/>
      <c r="GV254"/>
      <c r="GW254"/>
      <c r="GX254"/>
      <c r="GY254"/>
      <c r="GZ254"/>
      <c r="HA254"/>
      <c r="HB254"/>
      <c r="HC254"/>
      <c r="HD254"/>
      <c r="HE254"/>
      <c r="HF254"/>
      <c r="HG254"/>
      <c r="HH254"/>
      <c r="HI254"/>
      <c r="HJ254"/>
      <c r="HK254"/>
      <c r="HL254"/>
      <c r="HM254"/>
      <c r="HN254"/>
      <c r="HO254"/>
      <c r="HP254"/>
      <c r="HQ254"/>
      <c r="HR254"/>
      <c r="HS254"/>
      <c r="HT254"/>
      <c r="HU254"/>
      <c r="HV254"/>
      <c r="HW254"/>
      <c r="HX254"/>
      <c r="HY254"/>
      <c r="HZ254"/>
      <c r="IA254"/>
      <c r="IB254"/>
      <c r="IC254"/>
      <c r="ID254"/>
      <c r="IE254"/>
      <c r="IF254"/>
      <c r="IG254"/>
      <c r="IH254"/>
      <c r="II254"/>
      <c r="IJ254"/>
      <c r="IK254"/>
      <c r="IL254"/>
      <c r="IM254"/>
      <c r="IN254"/>
      <c r="IO254"/>
      <c r="IP254"/>
      <c r="IQ254"/>
      <c r="IR254"/>
      <c r="IS254"/>
      <c r="IT254"/>
      <c r="IU254"/>
      <c r="IV254"/>
      <c r="IW254"/>
      <c r="IX254"/>
    </row>
    <row r="255" spans="1:258" s="425" customFormat="1" x14ac:dyDescent="0.2">
      <c r="A255" s="421" t="s">
        <v>418</v>
      </c>
      <c r="B255" s="422"/>
      <c r="C255" s="422"/>
      <c r="D255" s="422"/>
      <c r="E255" s="422"/>
      <c r="F255" s="423"/>
      <c r="G255" s="422"/>
      <c r="H255" s="422"/>
      <c r="I255" s="422"/>
      <c r="J255" s="422"/>
      <c r="K255" s="423"/>
      <c r="L255" s="422"/>
      <c r="M255" s="422"/>
      <c r="N255" s="422"/>
      <c r="O255" s="422"/>
      <c r="P255" s="423"/>
      <c r="Q255" s="422"/>
      <c r="R255" s="422"/>
      <c r="S255" s="422"/>
      <c r="T255" s="422"/>
      <c r="U255" s="423"/>
      <c r="V255" s="422"/>
      <c r="W255" s="422"/>
      <c r="X255" s="422"/>
      <c r="Y255" s="422"/>
      <c r="Z255" s="423"/>
      <c r="AA255" s="422"/>
      <c r="AB255" s="422"/>
      <c r="AC255" s="422"/>
      <c r="AD255" s="422"/>
      <c r="AE255" s="423"/>
      <c r="AF255" s="422"/>
      <c r="AG255" s="422"/>
      <c r="AH255" s="422"/>
      <c r="AI255" s="422"/>
      <c r="AJ255" s="423"/>
      <c r="AK255" s="422"/>
      <c r="AL255" s="422"/>
      <c r="AM255" s="422"/>
      <c r="AN255" s="422"/>
      <c r="AO255" s="423"/>
      <c r="AP255" s="422"/>
      <c r="AQ255" s="422"/>
      <c r="AR255" s="422"/>
      <c r="AS255" s="422"/>
      <c r="AT255" s="423"/>
      <c r="AU255" s="422"/>
      <c r="AV255" s="422"/>
      <c r="AW255" s="422"/>
      <c r="AX255" s="422"/>
      <c r="AY255" s="423"/>
      <c r="AZ255" s="422"/>
      <c r="BA255" s="422"/>
      <c r="BB255" s="422"/>
      <c r="BC255" s="422"/>
      <c r="BD255" s="423"/>
      <c r="BE255" s="422"/>
      <c r="BF255" s="422"/>
      <c r="BG255" s="422"/>
      <c r="BH255" s="422"/>
      <c r="BI255" s="423"/>
      <c r="BJ255" s="422"/>
      <c r="BK255" s="422"/>
      <c r="BL255" s="422"/>
      <c r="BM255" s="422"/>
      <c r="BN255" s="423"/>
      <c r="BO255" s="422"/>
      <c r="BP255" s="422"/>
      <c r="BQ255" s="422"/>
      <c r="BR255" s="422"/>
      <c r="BS255" s="423"/>
      <c r="BT255" s="422"/>
      <c r="BU255" s="422"/>
      <c r="BV255" s="422"/>
      <c r="BW255" s="422"/>
      <c r="BX255" s="423"/>
      <c r="BY255" s="422"/>
      <c r="BZ255" s="422"/>
      <c r="CA255" s="422"/>
      <c r="CB255" s="422"/>
      <c r="CC255" s="423"/>
      <c r="CD255" s="422"/>
      <c r="CE255" s="422"/>
      <c r="CF255" s="422"/>
      <c r="CG255" s="422"/>
      <c r="CH255" s="423"/>
      <c r="CI255" s="422"/>
      <c r="CJ255" s="422"/>
      <c r="CK255" s="422"/>
      <c r="CL255" s="422"/>
      <c r="CM255" s="423"/>
      <c r="CN255" s="422"/>
      <c r="CO255" s="422"/>
      <c r="CP255" s="422"/>
      <c r="CQ255" s="422"/>
      <c r="CR255" s="423"/>
      <c r="CS255" s="422"/>
      <c r="CT255" s="422"/>
      <c r="CU255" s="422"/>
      <c r="CV255" s="422"/>
      <c r="CW255" s="423"/>
      <c r="CX255" s="422"/>
      <c r="CY255" s="422"/>
      <c r="CZ255" s="422"/>
      <c r="DA255" s="422"/>
      <c r="DB255" s="423"/>
      <c r="DC255" s="422"/>
      <c r="DD255" s="422"/>
      <c r="DE255" s="422"/>
      <c r="DF255" s="422"/>
      <c r="DG255" s="423"/>
      <c r="DH255" s="422"/>
      <c r="DI255" s="422"/>
      <c r="DJ255" s="422"/>
      <c r="DK255" s="422"/>
      <c r="DL255" s="423"/>
      <c r="DM255" s="422"/>
      <c r="DN255" s="422"/>
      <c r="DO255" s="422"/>
      <c r="DP255" s="422"/>
      <c r="DQ255" s="423"/>
      <c r="DR255" s="422"/>
      <c r="DS255" s="422"/>
      <c r="DT255" s="422"/>
      <c r="DU255" s="422"/>
      <c r="DV255" s="423"/>
      <c r="DW255" s="422"/>
      <c r="DX255" s="422"/>
      <c r="DY255" s="422"/>
      <c r="DZ255" s="422"/>
      <c r="EA255" s="423"/>
      <c r="EB255" s="422"/>
      <c r="EC255" s="422"/>
      <c r="ED255" s="422"/>
      <c r="EE255" s="422"/>
      <c r="EF255" s="423"/>
      <c r="EG255" s="422"/>
      <c r="EH255" s="422"/>
      <c r="EI255" s="422"/>
      <c r="EJ255" s="422"/>
      <c r="EK255" s="423"/>
      <c r="EL255" s="422"/>
      <c r="EM255" s="422"/>
      <c r="EN255" s="422"/>
      <c r="EO255" s="422"/>
      <c r="EP255" s="423"/>
      <c r="EQ255" s="422"/>
      <c r="ER255" s="424"/>
      <c r="ES255" s="424"/>
      <c r="ET255" s="424"/>
      <c r="EU255" s="1145"/>
      <c r="EV255" s="424"/>
      <c r="EW255" s="424"/>
      <c r="EX255" s="424"/>
      <c r="EY255" s="424"/>
      <c r="EZ255" s="423"/>
      <c r="FA255" s="424"/>
      <c r="FB255" s="424"/>
      <c r="FC255" s="424"/>
      <c r="FD255" s="424"/>
      <c r="FE255" s="423"/>
      <c r="FG255" s="494"/>
      <c r="FH255" s="805"/>
      <c r="FI255" s="805"/>
      <c r="FJ255" s="805"/>
      <c r="FL255" s="1372"/>
      <c r="FM255" s="424"/>
      <c r="FN255" s="1453"/>
      <c r="FO255" s="1853"/>
      <c r="FP255" s="1777"/>
      <c r="FQ255" s="744"/>
      <c r="FR255" s="1618"/>
      <c r="FS255" s="1618"/>
      <c r="FT255" s="420"/>
      <c r="FU255" s="420"/>
      <c r="FV255" s="420"/>
      <c r="FW255" s="420"/>
      <c r="FX255" s="420"/>
      <c r="FY255" s="420"/>
      <c r="FZ255" s="494"/>
      <c r="GA255"/>
      <c r="GB255"/>
      <c r="GC255"/>
      <c r="GD255"/>
      <c r="GE255"/>
      <c r="GF255"/>
      <c r="GG255"/>
      <c r="GH255"/>
      <c r="GI255"/>
      <c r="GJ255"/>
      <c r="GK255"/>
      <c r="GL255"/>
      <c r="GM255"/>
      <c r="GN255"/>
      <c r="GO255"/>
      <c r="GP255"/>
      <c r="GQ255"/>
      <c r="GR255"/>
      <c r="GS255"/>
      <c r="GT255"/>
      <c r="GU255"/>
      <c r="GV255"/>
      <c r="GW255"/>
      <c r="GX255"/>
      <c r="GY255"/>
      <c r="GZ255"/>
      <c r="HA255"/>
      <c r="HB255"/>
      <c r="HC255"/>
      <c r="HD255"/>
      <c r="HE255"/>
      <c r="HF255"/>
      <c r="HG255"/>
      <c r="HH255"/>
      <c r="HI255"/>
      <c r="HJ255"/>
      <c r="HK255"/>
      <c r="HL255"/>
      <c r="HM255"/>
      <c r="HN255"/>
      <c r="HO255"/>
      <c r="HP255"/>
      <c r="HQ255"/>
      <c r="HR255"/>
      <c r="HS255"/>
      <c r="HT255"/>
      <c r="HU255"/>
      <c r="HV255"/>
      <c r="HW255"/>
      <c r="HX255"/>
      <c r="HY255"/>
      <c r="HZ255"/>
      <c r="IA255"/>
      <c r="IB255"/>
      <c r="IC255"/>
      <c r="ID255"/>
      <c r="IE255"/>
      <c r="IF255"/>
      <c r="IG255"/>
      <c r="IH255"/>
      <c r="II255"/>
      <c r="IJ255"/>
      <c r="IK255"/>
      <c r="IL255"/>
      <c r="IM255"/>
      <c r="IN255"/>
      <c r="IO255"/>
      <c r="IP255"/>
      <c r="IQ255"/>
      <c r="IR255"/>
      <c r="IS255"/>
      <c r="IT255"/>
      <c r="IU255"/>
      <c r="IV255"/>
      <c r="IW255"/>
      <c r="IX255"/>
    </row>
    <row r="256" spans="1:258" s="113" customFormat="1" x14ac:dyDescent="0.2">
      <c r="A256" s="109" t="s">
        <v>419</v>
      </c>
      <c r="B256" s="112"/>
      <c r="C256" s="112"/>
      <c r="D256" s="112"/>
      <c r="E256" s="112"/>
      <c r="F256" s="111"/>
      <c r="G256" s="112"/>
      <c r="H256" s="112"/>
      <c r="I256" s="112"/>
      <c r="J256" s="112"/>
      <c r="K256" s="111"/>
      <c r="L256" s="112"/>
      <c r="M256" s="112"/>
      <c r="N256" s="112"/>
      <c r="O256" s="112"/>
      <c r="P256" s="111"/>
      <c r="Q256" s="112">
        <f t="shared" ref="Q256:CB256" si="1276">Q268-Q257</f>
        <v>-56.6</v>
      </c>
      <c r="R256" s="112">
        <f t="shared" si="1276"/>
        <v>-49.5</v>
      </c>
      <c r="S256" s="112">
        <f t="shared" si="1276"/>
        <v>-56</v>
      </c>
      <c r="T256" s="112">
        <f t="shared" si="1276"/>
        <v>-51</v>
      </c>
      <c r="U256" s="111">
        <f t="shared" si="1276"/>
        <v>-213.1</v>
      </c>
      <c r="V256" s="112">
        <f t="shared" si="1276"/>
        <v>-66.600000000000009</v>
      </c>
      <c r="W256" s="112">
        <f t="shared" si="1276"/>
        <v>-33</v>
      </c>
      <c r="X256" s="112">
        <f t="shared" si="1276"/>
        <v>-70.5</v>
      </c>
      <c r="Y256" s="112">
        <f t="shared" si="1276"/>
        <v>-65</v>
      </c>
      <c r="Z256" s="111">
        <f t="shared" si="1276"/>
        <v>-280</v>
      </c>
      <c r="AA256" s="112">
        <f t="shared" si="1276"/>
        <v>-66</v>
      </c>
      <c r="AB256" s="112">
        <f t="shared" si="1276"/>
        <v>-42</v>
      </c>
      <c r="AC256" s="112">
        <f t="shared" si="1276"/>
        <v>-59</v>
      </c>
      <c r="AD256" s="112">
        <f t="shared" si="1276"/>
        <v>-65</v>
      </c>
      <c r="AE256" s="111">
        <f t="shared" si="1276"/>
        <v>-232</v>
      </c>
      <c r="AF256" s="112">
        <f t="shared" si="1276"/>
        <v>-64</v>
      </c>
      <c r="AG256" s="112">
        <f t="shared" si="1276"/>
        <v>-40</v>
      </c>
      <c r="AH256" s="112">
        <f t="shared" si="1276"/>
        <v>-10</v>
      </c>
      <c r="AI256" s="112">
        <f t="shared" si="1276"/>
        <v>-6</v>
      </c>
      <c r="AJ256" s="111">
        <f t="shared" si="1276"/>
        <v>-120</v>
      </c>
      <c r="AK256" s="112">
        <f t="shared" si="1276"/>
        <v>-54</v>
      </c>
      <c r="AL256" s="112">
        <f t="shared" si="1276"/>
        <v>-20</v>
      </c>
      <c r="AM256" s="112">
        <f t="shared" si="1276"/>
        <v>-19</v>
      </c>
      <c r="AN256" s="112">
        <f t="shared" si="1276"/>
        <v>-0.56799999999999784</v>
      </c>
      <c r="AO256" s="111">
        <f t="shared" si="1276"/>
        <v>-95.567999999999984</v>
      </c>
      <c r="AP256" s="112">
        <f t="shared" si="1276"/>
        <v>-64.525000000000006</v>
      </c>
      <c r="AQ256" s="112">
        <f t="shared" si="1276"/>
        <v>-32.524999999999999</v>
      </c>
      <c r="AR256" s="112">
        <f t="shared" si="1276"/>
        <v>-15</v>
      </c>
      <c r="AS256" s="112">
        <f t="shared" si="1276"/>
        <v>-20</v>
      </c>
      <c r="AT256" s="111">
        <f t="shared" si="1276"/>
        <v>-132.05000000000001</v>
      </c>
      <c r="AU256" s="112">
        <f t="shared" si="1276"/>
        <v>-65</v>
      </c>
      <c r="AV256" s="112">
        <f t="shared" si="1276"/>
        <v>-59</v>
      </c>
      <c r="AW256" s="112">
        <f t="shared" si="1276"/>
        <v>-52</v>
      </c>
      <c r="AX256" s="112">
        <f t="shared" si="1276"/>
        <v>-40</v>
      </c>
      <c r="AY256" s="111">
        <f t="shared" si="1276"/>
        <v>-216</v>
      </c>
      <c r="AZ256" s="112">
        <f t="shared" si="1276"/>
        <v>-65</v>
      </c>
      <c r="BA256" s="112">
        <f t="shared" si="1276"/>
        <v>-44</v>
      </c>
      <c r="BB256" s="112">
        <f t="shared" si="1276"/>
        <v>-116</v>
      </c>
      <c r="BC256" s="112">
        <f t="shared" si="1276"/>
        <v>-81</v>
      </c>
      <c r="BD256" s="111">
        <f t="shared" si="1276"/>
        <v>-306</v>
      </c>
      <c r="BE256" s="112">
        <f t="shared" si="1276"/>
        <v>-139</v>
      </c>
      <c r="BF256" s="112">
        <f t="shared" si="1276"/>
        <v>-115</v>
      </c>
      <c r="BG256" s="112">
        <f t="shared" si="1276"/>
        <v>-137</v>
      </c>
      <c r="BH256" s="112">
        <f t="shared" si="1276"/>
        <v>-137</v>
      </c>
      <c r="BI256" s="111">
        <f t="shared" si="1276"/>
        <v>-528</v>
      </c>
      <c r="BJ256" s="112">
        <f t="shared" si="1276"/>
        <v>-162</v>
      </c>
      <c r="BK256" s="112">
        <f t="shared" si="1276"/>
        <v>-98</v>
      </c>
      <c r="BL256" s="112">
        <f t="shared" si="1276"/>
        <v>-125</v>
      </c>
      <c r="BM256" s="112">
        <f t="shared" si="1276"/>
        <v>-124</v>
      </c>
      <c r="BN256" s="111">
        <f t="shared" si="1276"/>
        <v>-509</v>
      </c>
      <c r="BO256" s="112">
        <f t="shared" si="1276"/>
        <v>-105</v>
      </c>
      <c r="BP256" s="112">
        <f t="shared" si="1276"/>
        <v>-112</v>
      </c>
      <c r="BQ256" s="112">
        <f t="shared" si="1276"/>
        <v>-80</v>
      </c>
      <c r="BR256" s="112">
        <f t="shared" si="1276"/>
        <v>-107</v>
      </c>
      <c r="BS256" s="111">
        <f t="shared" si="1276"/>
        <v>-404</v>
      </c>
      <c r="BT256" s="112">
        <f t="shared" si="1276"/>
        <v>-113</v>
      </c>
      <c r="BU256" s="112">
        <f t="shared" si="1276"/>
        <v>-86</v>
      </c>
      <c r="BV256" s="112">
        <f t="shared" si="1276"/>
        <v>-82</v>
      </c>
      <c r="BW256" s="112">
        <f t="shared" si="1276"/>
        <v>-80</v>
      </c>
      <c r="BX256" s="111">
        <f t="shared" si="1276"/>
        <v>-361</v>
      </c>
      <c r="BY256" s="112">
        <f t="shared" si="1276"/>
        <v>-118</v>
      </c>
      <c r="BZ256" s="112">
        <f t="shared" si="1276"/>
        <v>-107</v>
      </c>
      <c r="CA256" s="112">
        <f t="shared" si="1276"/>
        <v>-97</v>
      </c>
      <c r="CB256" s="112">
        <f t="shared" si="1276"/>
        <v>-74</v>
      </c>
      <c r="CC256" s="111">
        <f t="shared" ref="CC256:DF256" si="1277">CC268-CC257</f>
        <v>-396</v>
      </c>
      <c r="CD256" s="112">
        <f t="shared" si="1277"/>
        <v>-116</v>
      </c>
      <c r="CE256" s="112">
        <f t="shared" si="1277"/>
        <v>-80</v>
      </c>
      <c r="CF256" s="112">
        <f t="shared" si="1277"/>
        <v>-89</v>
      </c>
      <c r="CG256" s="112">
        <f t="shared" si="1277"/>
        <v>-37</v>
      </c>
      <c r="CH256" s="111">
        <f t="shared" si="1277"/>
        <v>-322</v>
      </c>
      <c r="CI256" s="112">
        <f t="shared" si="1277"/>
        <v>-101</v>
      </c>
      <c r="CJ256" s="112">
        <f t="shared" si="1277"/>
        <v>-87</v>
      </c>
      <c r="CK256" s="112">
        <f t="shared" si="1277"/>
        <v>-72</v>
      </c>
      <c r="CL256" s="112">
        <f t="shared" si="1277"/>
        <v>-63</v>
      </c>
      <c r="CM256" s="111">
        <f t="shared" si="1277"/>
        <v>-323</v>
      </c>
      <c r="CN256" s="112">
        <f t="shared" si="1277"/>
        <v>-110</v>
      </c>
      <c r="CO256" s="112">
        <f t="shared" si="1277"/>
        <v>-90</v>
      </c>
      <c r="CP256" s="112">
        <f t="shared" si="1277"/>
        <v>-85</v>
      </c>
      <c r="CQ256" s="112">
        <f t="shared" si="1277"/>
        <v>-35</v>
      </c>
      <c r="CR256" s="111">
        <f t="shared" si="1277"/>
        <v>-320</v>
      </c>
      <c r="CS256" s="112">
        <f t="shared" si="1277"/>
        <v>-94</v>
      </c>
      <c r="CT256" s="112">
        <f t="shared" si="1277"/>
        <v>-127</v>
      </c>
      <c r="CU256" s="112">
        <f t="shared" si="1277"/>
        <v>-123</v>
      </c>
      <c r="CV256" s="112">
        <f t="shared" si="1277"/>
        <v>-130</v>
      </c>
      <c r="CW256" s="111">
        <f t="shared" si="1277"/>
        <v>-474</v>
      </c>
      <c r="CX256" s="112">
        <f t="shared" si="1277"/>
        <v>-150</v>
      </c>
      <c r="CY256" s="112">
        <f t="shared" si="1277"/>
        <v>-129</v>
      </c>
      <c r="CZ256" s="112">
        <f t="shared" si="1277"/>
        <v>-134</v>
      </c>
      <c r="DA256" s="112">
        <f t="shared" si="1277"/>
        <v>-123</v>
      </c>
      <c r="DB256" s="111">
        <f t="shared" si="1277"/>
        <v>-536</v>
      </c>
      <c r="DC256" s="112">
        <f t="shared" si="1277"/>
        <v>-131</v>
      </c>
      <c r="DD256" s="112">
        <f t="shared" si="1277"/>
        <v>-126</v>
      </c>
      <c r="DE256" s="112">
        <f t="shared" si="1277"/>
        <v>-123</v>
      </c>
      <c r="DF256" s="112">
        <f t="shared" si="1277"/>
        <v>-145</v>
      </c>
      <c r="DG256" s="111">
        <f t="shared" ref="DG256:DV256" si="1278">DG268-DG257</f>
        <v>-525</v>
      </c>
      <c r="DH256" s="112">
        <f t="shared" si="1278"/>
        <v>-135</v>
      </c>
      <c r="DI256" s="112">
        <f t="shared" si="1278"/>
        <v>-134</v>
      </c>
      <c r="DJ256" s="112">
        <f t="shared" si="1278"/>
        <v>-132</v>
      </c>
      <c r="DK256" s="112">
        <f t="shared" si="1278"/>
        <v>-129</v>
      </c>
      <c r="DL256" s="111">
        <f t="shared" si="1278"/>
        <v>-530</v>
      </c>
      <c r="DM256" s="112">
        <f t="shared" si="1278"/>
        <v>-140</v>
      </c>
      <c r="DN256" s="112">
        <f t="shared" si="1278"/>
        <v>-136</v>
      </c>
      <c r="DO256" s="112">
        <f t="shared" si="1278"/>
        <v>-132</v>
      </c>
      <c r="DP256" s="112">
        <f>DP268-DP257</f>
        <v>-85</v>
      </c>
      <c r="DQ256" s="111">
        <f t="shared" si="1278"/>
        <v>-493</v>
      </c>
      <c r="DR256" s="112">
        <f>DR268-DR257</f>
        <v>-150</v>
      </c>
      <c r="DS256" s="112">
        <f>DS268-DS257</f>
        <v>-131</v>
      </c>
      <c r="DT256" s="112">
        <f t="shared" si="1278"/>
        <v>-130</v>
      </c>
      <c r="DU256" s="112">
        <f>DU268-DU257</f>
        <v>-137</v>
      </c>
      <c r="DV256" s="111">
        <f t="shared" si="1278"/>
        <v>-548</v>
      </c>
      <c r="DW256" s="112">
        <f>DW268-DW257</f>
        <v>-132</v>
      </c>
      <c r="DX256" s="112">
        <f>DX268-DX257</f>
        <v>-129</v>
      </c>
      <c r="DY256" s="112">
        <f>DY268-DY257</f>
        <v>-162</v>
      </c>
      <c r="DZ256" s="112">
        <f>DZ268-DZ257</f>
        <v>-126</v>
      </c>
      <c r="EA256" s="111">
        <f>EA268-EA257</f>
        <v>-549</v>
      </c>
      <c r="EB256" s="112">
        <f t="shared" ref="EB256:EF256" si="1279">EB268-EB257</f>
        <v>-132</v>
      </c>
      <c r="EC256" s="112">
        <f t="shared" si="1279"/>
        <v>-130</v>
      </c>
      <c r="ED256" s="112">
        <f t="shared" si="1279"/>
        <v>-134</v>
      </c>
      <c r="EE256" s="112">
        <f t="shared" si="1279"/>
        <v>-50</v>
      </c>
      <c r="EF256" s="111">
        <f t="shared" si="1279"/>
        <v>-446</v>
      </c>
      <c r="EG256" s="112">
        <f>EG268-EG257</f>
        <v>-136</v>
      </c>
      <c r="EH256" s="112">
        <f>EH268-EH257</f>
        <v>-133</v>
      </c>
      <c r="EI256" s="112">
        <f>EI268-EI257</f>
        <v>-126</v>
      </c>
      <c r="EJ256" s="112">
        <f t="shared" ref="EJ256:EK256" si="1280">EJ268-EJ257</f>
        <v>-253</v>
      </c>
      <c r="EK256" s="111">
        <f t="shared" si="1280"/>
        <v>-648</v>
      </c>
      <c r="EL256" s="112">
        <f>EL268-EL257</f>
        <v>-124</v>
      </c>
      <c r="EM256" s="112">
        <f>EM268-EM257</f>
        <v>-125</v>
      </c>
      <c r="EN256" s="112">
        <f>EN268-EN257</f>
        <v>-120</v>
      </c>
      <c r="EO256" s="112">
        <f t="shared" ref="EO256:EP256" si="1281">EO268-EO257</f>
        <v>-132</v>
      </c>
      <c r="EP256" s="111">
        <f t="shared" si="1281"/>
        <v>-501</v>
      </c>
      <c r="EQ256" s="112">
        <f>EQ268-EQ257</f>
        <v>-132</v>
      </c>
      <c r="ER256" s="112">
        <f t="shared" ref="ER256" si="1282">ER268-ER257</f>
        <v>-133</v>
      </c>
      <c r="ES256" s="112">
        <f t="shared" ref="ES256:EU256" si="1283">ES268-ES257</f>
        <v>-134</v>
      </c>
      <c r="ET256" s="112">
        <f t="shared" si="1283"/>
        <v>-135</v>
      </c>
      <c r="EU256" s="111">
        <f t="shared" si="1283"/>
        <v>-534</v>
      </c>
      <c r="EV256" s="110"/>
      <c r="EW256" s="110"/>
      <c r="EX256" s="110"/>
      <c r="EY256" s="110"/>
      <c r="EZ256" s="111">
        <f>EZ268-EZ257</f>
        <v>-575.29883624472723</v>
      </c>
      <c r="FA256" s="110"/>
      <c r="FB256" s="110"/>
      <c r="FC256" s="110"/>
      <c r="FD256" s="110"/>
      <c r="FE256" s="111">
        <f>FE268-FE257</f>
        <v>-555.97886681442515</v>
      </c>
      <c r="FG256" s="494"/>
      <c r="FH256" s="778"/>
      <c r="FI256" s="778"/>
      <c r="FJ256" s="778"/>
      <c r="FL256" s="1347"/>
      <c r="FM256" s="1586">
        <f>+EQ256</f>
        <v>-132</v>
      </c>
      <c r="FN256" s="1477">
        <f>EL256</f>
        <v>-124</v>
      </c>
      <c r="FO256" s="1883">
        <v>-137.5</v>
      </c>
      <c r="FP256" s="1748">
        <f>+FM256/FN256-1</f>
        <v>6.4516129032258007E-2</v>
      </c>
      <c r="FQ256" s="1520">
        <f>+FM256/FO256-1</f>
        <v>-4.0000000000000036E-2</v>
      </c>
      <c r="FR256" s="1619"/>
      <c r="FS256" s="1619"/>
      <c r="FT256" s="355"/>
      <c r="FU256" s="355"/>
      <c r="FV256" s="355"/>
      <c r="FW256" s="355"/>
      <c r="FX256" s="355"/>
      <c r="FY256" s="355"/>
      <c r="FZ256" s="494"/>
      <c r="GA256"/>
      <c r="GB256"/>
      <c r="GC256"/>
      <c r="GD256"/>
      <c r="GE256"/>
      <c r="GF256"/>
      <c r="GG256"/>
      <c r="GH256"/>
      <c r="GI256"/>
      <c r="GJ256"/>
      <c r="GK256"/>
      <c r="GL256"/>
      <c r="GM256"/>
      <c r="GN256"/>
      <c r="GO256"/>
      <c r="GP256"/>
      <c r="GQ256"/>
      <c r="GR256"/>
      <c r="GS256"/>
      <c r="GT256"/>
      <c r="GU256"/>
      <c r="GV256"/>
      <c r="GW256"/>
      <c r="GX256"/>
      <c r="GY256"/>
      <c r="GZ256"/>
      <c r="HA256"/>
      <c r="HB256"/>
      <c r="HC256"/>
      <c r="HD256"/>
      <c r="HE256"/>
      <c r="HF256"/>
      <c r="HG256"/>
      <c r="HH256"/>
      <c r="HI256"/>
      <c r="HJ256"/>
      <c r="HK256"/>
      <c r="HL256"/>
      <c r="HM256"/>
      <c r="HN256"/>
      <c r="HO256"/>
      <c r="HP256"/>
      <c r="HQ256"/>
      <c r="HR256"/>
      <c r="HS256"/>
      <c r="HT256"/>
      <c r="HU256"/>
      <c r="HV256"/>
      <c r="HW256"/>
      <c r="HX256"/>
      <c r="HY256"/>
      <c r="HZ256"/>
      <c r="IA256"/>
      <c r="IB256"/>
      <c r="IC256"/>
      <c r="ID256"/>
      <c r="IE256"/>
      <c r="IF256"/>
      <c r="IG256"/>
      <c r="IH256"/>
      <c r="II256"/>
      <c r="IJ256"/>
      <c r="IK256"/>
      <c r="IL256"/>
      <c r="IM256"/>
      <c r="IN256"/>
      <c r="IO256"/>
      <c r="IP256"/>
      <c r="IQ256"/>
      <c r="IR256"/>
      <c r="IS256"/>
      <c r="IT256"/>
      <c r="IU256"/>
      <c r="IV256"/>
      <c r="IW256"/>
      <c r="IX256"/>
    </row>
    <row r="257" spans="1:258" s="360" customFormat="1" x14ac:dyDescent="0.2">
      <c r="A257" s="608" t="s">
        <v>530</v>
      </c>
      <c r="B257" s="356"/>
      <c r="C257" s="356"/>
      <c r="D257" s="356"/>
      <c r="E257" s="356"/>
      <c r="F257" s="357"/>
      <c r="G257" s="356"/>
      <c r="H257" s="356"/>
      <c r="I257" s="356"/>
      <c r="J257" s="356"/>
      <c r="K257" s="357"/>
      <c r="L257" s="356"/>
      <c r="M257" s="356"/>
      <c r="N257" s="356"/>
      <c r="O257" s="356"/>
      <c r="P257" s="357"/>
      <c r="Q257" s="356">
        <f t="shared" ref="Q257:BH257" si="1284">Q263-Q258</f>
        <v>68</v>
      </c>
      <c r="R257" s="356">
        <f t="shared" si="1284"/>
        <v>66</v>
      </c>
      <c r="S257" s="356">
        <f t="shared" si="1284"/>
        <v>71</v>
      </c>
      <c r="T257" s="356">
        <f t="shared" si="1284"/>
        <v>71</v>
      </c>
      <c r="U257" s="357">
        <f t="shared" si="1284"/>
        <v>276</v>
      </c>
      <c r="V257" s="356">
        <f t="shared" si="1284"/>
        <v>74</v>
      </c>
      <c r="W257" s="356">
        <f t="shared" si="1284"/>
        <v>75</v>
      </c>
      <c r="X257" s="356">
        <f t="shared" si="1284"/>
        <v>74</v>
      </c>
      <c r="Y257" s="356">
        <f t="shared" si="1284"/>
        <v>75</v>
      </c>
      <c r="Z257" s="357">
        <f t="shared" si="1284"/>
        <v>298</v>
      </c>
      <c r="AA257" s="356">
        <f t="shared" si="1284"/>
        <v>67</v>
      </c>
      <c r="AB257" s="356">
        <f t="shared" si="1284"/>
        <v>71</v>
      </c>
      <c r="AC257" s="356">
        <f t="shared" si="1284"/>
        <v>69</v>
      </c>
      <c r="AD257" s="356">
        <f t="shared" si="1284"/>
        <v>74</v>
      </c>
      <c r="AE257" s="357">
        <f t="shared" si="1284"/>
        <v>281</v>
      </c>
      <c r="AF257" s="356">
        <f t="shared" si="1284"/>
        <v>67</v>
      </c>
      <c r="AG257" s="356">
        <f t="shared" si="1284"/>
        <v>68</v>
      </c>
      <c r="AH257" s="356">
        <f t="shared" si="1284"/>
        <v>68</v>
      </c>
      <c r="AI257" s="356">
        <f t="shared" si="1284"/>
        <v>67</v>
      </c>
      <c r="AJ257" s="357">
        <f t="shared" si="1284"/>
        <v>270</v>
      </c>
      <c r="AK257" s="356">
        <f t="shared" si="1284"/>
        <v>60</v>
      </c>
      <c r="AL257" s="356">
        <f t="shared" si="1284"/>
        <v>71</v>
      </c>
      <c r="AM257" s="356">
        <f t="shared" si="1284"/>
        <v>57</v>
      </c>
      <c r="AN257" s="356">
        <f t="shared" si="1284"/>
        <v>51.567999999999998</v>
      </c>
      <c r="AO257" s="357">
        <f t="shared" si="1284"/>
        <v>239.56799999999998</v>
      </c>
      <c r="AP257" s="356">
        <f t="shared" si="1284"/>
        <v>54.524999999999999</v>
      </c>
      <c r="AQ257" s="356">
        <f t="shared" si="1284"/>
        <v>54.524999999999999</v>
      </c>
      <c r="AR257" s="356">
        <f t="shared" si="1284"/>
        <v>53</v>
      </c>
      <c r="AS257" s="356">
        <f t="shared" si="1284"/>
        <v>56</v>
      </c>
      <c r="AT257" s="357">
        <f t="shared" si="1284"/>
        <v>218.05</v>
      </c>
      <c r="AU257" s="356">
        <f t="shared" si="1284"/>
        <v>51</v>
      </c>
      <c r="AV257" s="356">
        <f t="shared" si="1284"/>
        <v>53</v>
      </c>
      <c r="AW257" s="356">
        <f t="shared" si="1284"/>
        <v>47</v>
      </c>
      <c r="AX257" s="356">
        <f t="shared" si="1284"/>
        <v>64</v>
      </c>
      <c r="AY257" s="357">
        <f t="shared" si="1284"/>
        <v>215</v>
      </c>
      <c r="AZ257" s="356">
        <f t="shared" si="1284"/>
        <v>58</v>
      </c>
      <c r="BA257" s="356">
        <f t="shared" si="1284"/>
        <v>54</v>
      </c>
      <c r="BB257" s="356">
        <f t="shared" si="1284"/>
        <v>133</v>
      </c>
      <c r="BC257" s="356">
        <f t="shared" si="1284"/>
        <v>128</v>
      </c>
      <c r="BD257" s="357">
        <f t="shared" si="1284"/>
        <v>373</v>
      </c>
      <c r="BE257" s="356">
        <f t="shared" si="1284"/>
        <v>134</v>
      </c>
      <c r="BF257" s="356">
        <f t="shared" si="1284"/>
        <v>139</v>
      </c>
      <c r="BG257" s="356">
        <f t="shared" si="1284"/>
        <v>140</v>
      </c>
      <c r="BH257" s="356">
        <f t="shared" si="1284"/>
        <v>130</v>
      </c>
      <c r="BI257" s="357">
        <f>SUM(BE257:BH257)</f>
        <v>543</v>
      </c>
      <c r="BJ257" s="356">
        <f>BJ263-BJ258</f>
        <v>120</v>
      </c>
      <c r="BK257" s="356">
        <f>BK263-BK258</f>
        <v>122</v>
      </c>
      <c r="BL257" s="356">
        <f>BL263-BL258</f>
        <v>118</v>
      </c>
      <c r="BM257" s="356">
        <f>BM263-BM258</f>
        <v>111</v>
      </c>
      <c r="BN257" s="357">
        <f>SUM(BJ257:BM257)</f>
        <v>471</v>
      </c>
      <c r="BO257" s="356">
        <f>BO263-BO258</f>
        <v>107</v>
      </c>
      <c r="BP257" s="356">
        <f>BP263-BP258</f>
        <v>108</v>
      </c>
      <c r="BQ257" s="356">
        <f>BQ263-BQ258</f>
        <v>101</v>
      </c>
      <c r="BR257" s="356">
        <f>BR263-BR258</f>
        <v>102</v>
      </c>
      <c r="BS257" s="357">
        <f>SUM(BO257:BR257)</f>
        <v>418</v>
      </c>
      <c r="BT257" s="356">
        <f>BT263-BT258</f>
        <v>99</v>
      </c>
      <c r="BU257" s="356">
        <f>BU263-BU258</f>
        <v>101</v>
      </c>
      <c r="BV257" s="356">
        <f>BV263-BV258</f>
        <v>95</v>
      </c>
      <c r="BW257" s="356">
        <f>BW263-BW258</f>
        <v>102</v>
      </c>
      <c r="BX257" s="357">
        <f>SUM(BT257:BW257)</f>
        <v>397</v>
      </c>
      <c r="BY257" s="356">
        <f>BY263-BY258</f>
        <v>105</v>
      </c>
      <c r="BZ257" s="356">
        <f>BZ263-BZ258</f>
        <v>104</v>
      </c>
      <c r="CA257" s="356">
        <f>CA263-CA258</f>
        <v>101</v>
      </c>
      <c r="CB257" s="356">
        <f>CB263-CB258</f>
        <v>104</v>
      </c>
      <c r="CC257" s="357">
        <f>SUM(BY257:CB257)</f>
        <v>414</v>
      </c>
      <c r="CD257" s="356">
        <f>CD263-CD258</f>
        <v>107</v>
      </c>
      <c r="CE257" s="356">
        <f>CE263-CE258</f>
        <v>95</v>
      </c>
      <c r="CF257" s="356">
        <f>CF263-CF258</f>
        <v>93</v>
      </c>
      <c r="CG257" s="356">
        <f>CG263-CG258</f>
        <v>91</v>
      </c>
      <c r="CH257" s="357">
        <f>SUM(CD257:CG257)</f>
        <v>386</v>
      </c>
      <c r="CI257" s="356">
        <f>CI263-CI258</f>
        <v>89</v>
      </c>
      <c r="CJ257" s="356">
        <f>CJ263-CJ258</f>
        <v>88</v>
      </c>
      <c r="CK257" s="356">
        <f>CK263-CK258</f>
        <v>87</v>
      </c>
      <c r="CL257" s="356">
        <f>CL263-CL258</f>
        <v>87</v>
      </c>
      <c r="CM257" s="357">
        <f>SUM(CI257:CL257)</f>
        <v>351</v>
      </c>
      <c r="CN257" s="356">
        <f>CN263-CN258</f>
        <v>86</v>
      </c>
      <c r="CO257" s="356">
        <f>CO263-CO258</f>
        <v>86</v>
      </c>
      <c r="CP257" s="356">
        <f>CP263-CP258</f>
        <v>89</v>
      </c>
      <c r="CQ257" s="356">
        <f>CQ263-CQ258</f>
        <v>101</v>
      </c>
      <c r="CR257" s="357">
        <f>SUM(CN257:CQ257)</f>
        <v>362</v>
      </c>
      <c r="CS257" s="356">
        <f>CS263-CS258</f>
        <v>111</v>
      </c>
      <c r="CT257" s="356">
        <f>CT263-CT258</f>
        <v>120</v>
      </c>
      <c r="CU257" s="356">
        <f>CU263-CU258</f>
        <v>121</v>
      </c>
      <c r="CV257" s="356">
        <f>CV263-CV258</f>
        <v>130</v>
      </c>
      <c r="CW257" s="357">
        <f>SUM(CS257:CV257)</f>
        <v>482</v>
      </c>
      <c r="CX257" s="356">
        <f>CX263-CX258</f>
        <v>137</v>
      </c>
      <c r="CY257" s="356">
        <f>CY263-CY258</f>
        <v>136</v>
      </c>
      <c r="CZ257" s="356">
        <f>CZ263-CZ258</f>
        <v>138</v>
      </c>
      <c r="DA257" s="356">
        <f>DA263-DA258</f>
        <v>136</v>
      </c>
      <c r="DB257" s="357">
        <f>SUM(CX257:DA257)</f>
        <v>547</v>
      </c>
      <c r="DC257" s="356">
        <f>DC263-DC258</f>
        <v>141</v>
      </c>
      <c r="DD257" s="356">
        <f>DD263-DD258</f>
        <v>133</v>
      </c>
      <c r="DE257" s="356">
        <f>DE263-DE258</f>
        <v>130</v>
      </c>
      <c r="DF257" s="356">
        <f>DF263-DF258</f>
        <v>147</v>
      </c>
      <c r="DG257" s="357">
        <f>SUM(DC257:DF257)</f>
        <v>551</v>
      </c>
      <c r="DH257" s="356">
        <f>DH263-DH258</f>
        <v>139</v>
      </c>
      <c r="DI257" s="356">
        <f>DI263-DI258</f>
        <v>133</v>
      </c>
      <c r="DJ257" s="356">
        <f>DJ263-DJ258</f>
        <v>137</v>
      </c>
      <c r="DK257" s="356">
        <f>DK263-DK258</f>
        <v>127</v>
      </c>
      <c r="DL257" s="357">
        <f>SUM(DH257:DK257)</f>
        <v>536</v>
      </c>
      <c r="DM257" s="356">
        <f>DM263-DM258</f>
        <v>136</v>
      </c>
      <c r="DN257" s="356">
        <f>DN263-DN258</f>
        <v>138</v>
      </c>
      <c r="DO257" s="356">
        <f>DO263-DO258</f>
        <v>137</v>
      </c>
      <c r="DP257" s="356">
        <f>DP263-DP258</f>
        <v>144</v>
      </c>
      <c r="DQ257" s="357">
        <f>SUM(DM257:DP257)</f>
        <v>555</v>
      </c>
      <c r="DR257" s="356">
        <f>DR263-DR258</f>
        <v>146</v>
      </c>
      <c r="DS257" s="356">
        <f>DS263-DS258</f>
        <v>140</v>
      </c>
      <c r="DT257" s="356">
        <f>DT263-DT258</f>
        <v>135</v>
      </c>
      <c r="DU257" s="356">
        <f>DU263-DU258</f>
        <v>137</v>
      </c>
      <c r="DV257" s="357">
        <f>SUM(DR257:DU257)</f>
        <v>558</v>
      </c>
      <c r="DW257" s="356">
        <f>DW263-DW258</f>
        <v>139</v>
      </c>
      <c r="DX257" s="356">
        <f>DX263-DX258</f>
        <v>134</v>
      </c>
      <c r="DY257" s="356">
        <f>DY263-DY258</f>
        <v>136</v>
      </c>
      <c r="DZ257" s="356">
        <f>DZ263-DZ258</f>
        <v>133</v>
      </c>
      <c r="EA257" s="357">
        <f>SUM(DW257:DZ257)</f>
        <v>542</v>
      </c>
      <c r="EB257" s="356">
        <f>EB263-EB258</f>
        <v>133</v>
      </c>
      <c r="EC257" s="356">
        <f>EC263-EC258</f>
        <v>133</v>
      </c>
      <c r="ED257" s="356">
        <f>ED263-ED258</f>
        <v>135</v>
      </c>
      <c r="EE257" s="356">
        <f>EE263-EE258</f>
        <v>139</v>
      </c>
      <c r="EF257" s="357">
        <f>SUM(EB257:EE257)</f>
        <v>540</v>
      </c>
      <c r="EG257" s="356">
        <f>EG263-EG258</f>
        <v>141.57065676543058</v>
      </c>
      <c r="EH257" s="356">
        <f>EH263-EH258</f>
        <v>140</v>
      </c>
      <c r="EI257" s="356">
        <f>EI263-EI258</f>
        <v>138</v>
      </c>
      <c r="EJ257" s="356">
        <f>EJ263-EJ258</f>
        <v>155</v>
      </c>
      <c r="EK257" s="357">
        <f>SUM(EG257:EJ257)</f>
        <v>574.57065676543061</v>
      </c>
      <c r="EL257" s="356">
        <f>EL263-EL258</f>
        <v>136</v>
      </c>
      <c r="EM257" s="356">
        <f>EM263-EM258</f>
        <v>136</v>
      </c>
      <c r="EN257" s="356">
        <f>EN263-EN258</f>
        <v>131</v>
      </c>
      <c r="EO257" s="356">
        <f>EO263-EO258</f>
        <v>139</v>
      </c>
      <c r="EP257" s="357">
        <f>SUM(EL257:EO257)</f>
        <v>542</v>
      </c>
      <c r="EQ257" s="356">
        <f>EQ263-EQ258</f>
        <v>148</v>
      </c>
      <c r="ER257" s="356">
        <f t="shared" ref="ER257" si="1285">ER263-ER258</f>
        <v>149</v>
      </c>
      <c r="ES257" s="356">
        <f t="shared" ref="ES257:ET257" si="1286">ES263-ES258</f>
        <v>150</v>
      </c>
      <c r="ET257" s="356">
        <f t="shared" si="1286"/>
        <v>151</v>
      </c>
      <c r="EU257" s="357">
        <f>SUM(EQ257:ET257)</f>
        <v>598</v>
      </c>
      <c r="EV257" s="358"/>
      <c r="EW257" s="358"/>
      <c r="EX257" s="358"/>
      <c r="EY257" s="358"/>
      <c r="EZ257" s="359">
        <f>EZ263-EZ258</f>
        <v>625.29883624472723</v>
      </c>
      <c r="FA257" s="358"/>
      <c r="FB257" s="358"/>
      <c r="FC257" s="358"/>
      <c r="FD257" s="358"/>
      <c r="FE257" s="359">
        <f>FE263-FE258</f>
        <v>605.97886681442515</v>
      </c>
      <c r="FG257" s="494"/>
      <c r="FH257" s="806"/>
      <c r="FI257" s="806"/>
      <c r="FJ257" s="806"/>
      <c r="FL257" s="1373"/>
      <c r="FM257" s="917">
        <f>+EQ257</f>
        <v>148</v>
      </c>
      <c r="FN257" s="1478">
        <f>EL257</f>
        <v>136</v>
      </c>
      <c r="FO257" s="1884">
        <v>142</v>
      </c>
      <c r="FP257" s="1770">
        <f>+FM257/FN257-1</f>
        <v>8.8235294117646967E-2</v>
      </c>
      <c r="FQ257" s="1544">
        <f>+FM257/FO257-1</f>
        <v>4.2253521126760507E-2</v>
      </c>
      <c r="FR257" s="1620"/>
      <c r="FS257" s="1620"/>
      <c r="FT257" s="1649" t="s">
        <v>766</v>
      </c>
      <c r="FU257" s="355"/>
      <c r="FV257" s="448"/>
      <c r="FW257" s="448"/>
      <c r="FX257" s="448"/>
      <c r="FY257" s="448"/>
      <c r="FZ257" s="494"/>
      <c r="GA257"/>
      <c r="GB257"/>
      <c r="GC257"/>
      <c r="GD257"/>
      <c r="GE257"/>
      <c r="GF257"/>
      <c r="GG257"/>
      <c r="GH257"/>
      <c r="GI257"/>
      <c r="GJ257"/>
      <c r="GK257"/>
      <c r="GL257"/>
      <c r="GM257"/>
      <c r="GN257"/>
      <c r="GO257"/>
      <c r="GP257"/>
      <c r="GQ257"/>
      <c r="GR257"/>
      <c r="GS257"/>
      <c r="GT257"/>
      <c r="GU257"/>
      <c r="GV257"/>
      <c r="GW257"/>
      <c r="GX257"/>
      <c r="GY257"/>
      <c r="GZ257"/>
      <c r="HA257"/>
      <c r="HB257"/>
      <c r="HC257"/>
      <c r="HD257"/>
      <c r="HE257"/>
      <c r="HF257"/>
      <c r="HG257"/>
      <c r="HH257"/>
      <c r="HI257"/>
      <c r="HJ257"/>
      <c r="HK257"/>
      <c r="HL257"/>
      <c r="HM257"/>
      <c r="HN257"/>
      <c r="HO257"/>
      <c r="HP257"/>
      <c r="HQ257"/>
      <c r="HR257"/>
      <c r="HS257"/>
      <c r="HT257"/>
      <c r="HU257"/>
      <c r="HV257"/>
      <c r="HW257"/>
      <c r="HX257"/>
      <c r="HY257"/>
      <c r="HZ257"/>
      <c r="IA257"/>
      <c r="IB257"/>
      <c r="IC257"/>
      <c r="ID257"/>
      <c r="IE257"/>
      <c r="IF257"/>
      <c r="IG257"/>
      <c r="IH257"/>
      <c r="II257"/>
      <c r="IJ257"/>
      <c r="IK257"/>
      <c r="IL257"/>
      <c r="IM257"/>
      <c r="IN257"/>
      <c r="IO257"/>
      <c r="IP257"/>
      <c r="IQ257"/>
      <c r="IR257"/>
      <c r="IS257"/>
      <c r="IT257"/>
      <c r="IU257"/>
      <c r="IV257"/>
      <c r="IW257"/>
      <c r="IX257"/>
    </row>
    <row r="258" spans="1:258" s="39" customFormat="1" x14ac:dyDescent="0.2">
      <c r="A258" s="609" t="s">
        <v>621</v>
      </c>
      <c r="B258" s="8"/>
      <c r="C258" s="8"/>
      <c r="D258" s="8"/>
      <c r="E258" s="8"/>
      <c r="F258" s="38"/>
      <c r="G258" s="8"/>
      <c r="H258" s="8"/>
      <c r="I258" s="8"/>
      <c r="J258" s="8"/>
      <c r="K258" s="38"/>
      <c r="L258" s="8"/>
      <c r="M258" s="8"/>
      <c r="N258" s="8"/>
      <c r="O258" s="8"/>
      <c r="P258" s="38"/>
      <c r="Q258" s="8"/>
      <c r="R258" s="8"/>
      <c r="S258" s="8"/>
      <c r="T258" s="8"/>
      <c r="U258" s="38"/>
      <c r="V258" s="8"/>
      <c r="W258" s="8"/>
      <c r="X258" s="8"/>
      <c r="Y258" s="8"/>
      <c r="Z258" s="38"/>
      <c r="AA258" s="8"/>
      <c r="AB258" s="8"/>
      <c r="AC258" s="8"/>
      <c r="AD258" s="8"/>
      <c r="AE258" s="38"/>
      <c r="AF258" s="8"/>
      <c r="AG258" s="8"/>
      <c r="AH258" s="8"/>
      <c r="AI258" s="8"/>
      <c r="AJ258" s="38"/>
      <c r="AK258" s="8"/>
      <c r="AL258" s="8"/>
      <c r="AM258" s="8"/>
      <c r="AN258" s="8"/>
      <c r="AO258" s="38"/>
      <c r="AP258" s="8"/>
      <c r="AQ258" s="8"/>
      <c r="AR258" s="8"/>
      <c r="AS258" s="8"/>
      <c r="AT258" s="38"/>
      <c r="AU258" s="8"/>
      <c r="AV258" s="8"/>
      <c r="AW258" s="8"/>
      <c r="AX258" s="8"/>
      <c r="AY258" s="38"/>
      <c r="AZ258" s="8"/>
      <c r="BA258" s="8"/>
      <c r="BB258" s="8"/>
      <c r="BC258" s="8"/>
      <c r="BD258" s="38"/>
      <c r="BE258" s="8"/>
      <c r="BF258" s="8"/>
      <c r="BG258" s="8"/>
      <c r="BH258" s="8"/>
      <c r="BI258" s="38"/>
      <c r="BJ258" s="8">
        <v>13</v>
      </c>
      <c r="BK258" s="8">
        <v>13</v>
      </c>
      <c r="BL258" s="8">
        <v>11</v>
      </c>
      <c r="BM258" s="8">
        <v>10</v>
      </c>
      <c r="BN258" s="38">
        <f>SUM(BJ258:BM258)</f>
        <v>47</v>
      </c>
      <c r="BO258" s="8">
        <v>7</v>
      </c>
      <c r="BP258" s="8">
        <v>8</v>
      </c>
      <c r="BQ258" s="8">
        <v>7</v>
      </c>
      <c r="BR258" s="8">
        <v>5</v>
      </c>
      <c r="BS258" s="38">
        <f>SUM(BO258:BR258)</f>
        <v>27</v>
      </c>
      <c r="BT258" s="8">
        <v>4</v>
      </c>
      <c r="BU258" s="8">
        <v>4</v>
      </c>
      <c r="BV258" s="8">
        <v>8</v>
      </c>
      <c r="BW258" s="8">
        <v>5</v>
      </c>
      <c r="BX258" s="38">
        <f>SUM(BT258:BW258)</f>
        <v>21</v>
      </c>
      <c r="BY258" s="8">
        <v>3</v>
      </c>
      <c r="BZ258" s="8">
        <v>5</v>
      </c>
      <c r="CA258" s="8">
        <v>5</v>
      </c>
      <c r="CB258" s="8">
        <v>8</v>
      </c>
      <c r="CC258" s="38">
        <f>SUM(BY258:CB258)</f>
        <v>21</v>
      </c>
      <c r="CD258" s="8">
        <v>7</v>
      </c>
      <c r="CE258" s="8">
        <v>15</v>
      </c>
      <c r="CF258" s="8">
        <v>7</v>
      </c>
      <c r="CG258" s="8">
        <v>8</v>
      </c>
      <c r="CH258" s="38">
        <f>SUM(CD258:CG258)</f>
        <v>37</v>
      </c>
      <c r="CI258" s="8">
        <v>9</v>
      </c>
      <c r="CJ258" s="8">
        <v>10</v>
      </c>
      <c r="CK258" s="8">
        <v>10</v>
      </c>
      <c r="CL258" s="8">
        <v>12</v>
      </c>
      <c r="CM258" s="38">
        <f>SUM(CI258:CL258)</f>
        <v>41</v>
      </c>
      <c r="CN258" s="8">
        <v>13</v>
      </c>
      <c r="CO258" s="8">
        <v>15</v>
      </c>
      <c r="CP258" s="8">
        <v>13</v>
      </c>
      <c r="CQ258" s="8">
        <v>14</v>
      </c>
      <c r="CR258" s="38">
        <f>SUM(CN258:CQ258)</f>
        <v>55</v>
      </c>
      <c r="CS258" s="8">
        <v>8</v>
      </c>
      <c r="CT258" s="8">
        <v>13</v>
      </c>
      <c r="CU258" s="8">
        <v>10</v>
      </c>
      <c r="CV258" s="8">
        <v>6</v>
      </c>
      <c r="CW258" s="38">
        <f>SUM(CS258:CV258)</f>
        <v>37</v>
      </c>
      <c r="CX258" s="8">
        <v>4</v>
      </c>
      <c r="CY258" s="8">
        <v>3</v>
      </c>
      <c r="CZ258" s="8">
        <v>2</v>
      </c>
      <c r="DA258" s="8">
        <v>2</v>
      </c>
      <c r="DB258" s="38">
        <f>SUM(CX258:DA258)</f>
        <v>11</v>
      </c>
      <c r="DC258" s="8">
        <v>1</v>
      </c>
      <c r="DD258" s="8">
        <v>2</v>
      </c>
      <c r="DE258" s="8">
        <v>1</v>
      </c>
      <c r="DF258" s="94">
        <v>2</v>
      </c>
      <c r="DG258" s="38">
        <f>SUM(DC258:DF258)</f>
        <v>6</v>
      </c>
      <c r="DH258" s="94">
        <v>1</v>
      </c>
      <c r="DI258" s="8">
        <v>1</v>
      </c>
      <c r="DJ258" s="8">
        <v>1</v>
      </c>
      <c r="DK258" s="94">
        <v>13</v>
      </c>
      <c r="DL258" s="38">
        <f>SUM(DH258:DK258)</f>
        <v>16</v>
      </c>
      <c r="DM258" s="94">
        <v>8</v>
      </c>
      <c r="DN258" s="8">
        <v>1</v>
      </c>
      <c r="DO258" s="8">
        <v>1</v>
      </c>
      <c r="DP258" s="94">
        <v>1</v>
      </c>
      <c r="DQ258" s="843">
        <f>SUM(DM258:DP258)</f>
        <v>11</v>
      </c>
      <c r="DR258" s="94">
        <v>1</v>
      </c>
      <c r="DS258" s="8">
        <v>1</v>
      </c>
      <c r="DT258" s="8">
        <v>1</v>
      </c>
      <c r="DU258" s="94">
        <v>2</v>
      </c>
      <c r="DV258" s="843">
        <f>SUM(DR258:DU258)</f>
        <v>5</v>
      </c>
      <c r="DW258" s="94">
        <v>1</v>
      </c>
      <c r="DX258" s="8">
        <v>1</v>
      </c>
      <c r="DY258" s="8">
        <v>1</v>
      </c>
      <c r="DZ258" s="94">
        <v>0</v>
      </c>
      <c r="EA258" s="843">
        <f>SUM(DW258:DZ258)</f>
        <v>3</v>
      </c>
      <c r="EB258" s="94">
        <v>1</v>
      </c>
      <c r="EC258" s="8">
        <v>1</v>
      </c>
      <c r="ED258" s="8">
        <v>1</v>
      </c>
      <c r="EE258" s="94">
        <v>1</v>
      </c>
      <c r="EF258" s="843">
        <f>SUM(EB258:EE258)</f>
        <v>4</v>
      </c>
      <c r="EG258" s="94">
        <v>1.429343234569421</v>
      </c>
      <c r="EH258" s="8">
        <v>1</v>
      </c>
      <c r="EI258" s="94">
        <v>1</v>
      </c>
      <c r="EJ258" s="94">
        <v>1</v>
      </c>
      <c r="EK258" s="843">
        <f>SUM(EG258:EJ258)</f>
        <v>4.429343234569421</v>
      </c>
      <c r="EL258" s="94">
        <v>1</v>
      </c>
      <c r="EM258" s="8">
        <v>1</v>
      </c>
      <c r="EN258" s="94">
        <v>1</v>
      </c>
      <c r="EO258" s="94">
        <v>1</v>
      </c>
      <c r="EP258" s="843">
        <f>SUM(EL258:EO258)</f>
        <v>4</v>
      </c>
      <c r="EQ258" s="94">
        <v>1</v>
      </c>
      <c r="ER258" s="1171">
        <f t="shared" ref="ER258" si="1287">+EQ258</f>
        <v>1</v>
      </c>
      <c r="ES258" s="1171">
        <f t="shared" ref="ES258:ET258" si="1288">+ER258</f>
        <v>1</v>
      </c>
      <c r="ET258" s="1171">
        <f t="shared" si="1288"/>
        <v>1</v>
      </c>
      <c r="EU258" s="843">
        <f>SUM(EQ258:ET258)</f>
        <v>4</v>
      </c>
      <c r="EV258" s="116"/>
      <c r="EW258" s="116"/>
      <c r="EX258" s="116"/>
      <c r="EY258" s="116"/>
      <c r="EZ258" s="117">
        <v>5.1061637552727115</v>
      </c>
      <c r="FA258" s="116"/>
      <c r="FB258" s="116"/>
      <c r="FC258" s="116"/>
      <c r="FD258" s="116"/>
      <c r="FE258" s="117">
        <v>6.4261331855748205</v>
      </c>
      <c r="FG258" s="494"/>
      <c r="FH258" s="807"/>
      <c r="FI258" s="807"/>
      <c r="FJ258" s="807"/>
      <c r="FL258" s="1374"/>
      <c r="FM258" s="1587">
        <f>+EQ258</f>
        <v>1</v>
      </c>
      <c r="FN258" s="1479">
        <f>EL258</f>
        <v>1</v>
      </c>
      <c r="FO258" s="1885">
        <v>1</v>
      </c>
      <c r="FP258" s="1770">
        <f>+FM258/FN258-1</f>
        <v>0</v>
      </c>
      <c r="FQ258" s="1544">
        <f>+FM258/FO258-1</f>
        <v>0</v>
      </c>
      <c r="FR258" s="1619"/>
      <c r="FS258" s="1619"/>
      <c r="FT258" s="1723" t="s">
        <v>805</v>
      </c>
      <c r="FU258" s="1724">
        <f>+EZ275*0.75+FE275*0.25</f>
        <v>3.6621932454180355</v>
      </c>
      <c r="FV258" s="355"/>
      <c r="FW258" s="355"/>
      <c r="FX258" s="355"/>
      <c r="FY258" s="355"/>
      <c r="FZ258" s="494"/>
      <c r="GA258"/>
      <c r="GB258"/>
      <c r="GC258"/>
      <c r="GD258"/>
      <c r="GE258"/>
      <c r="GF258"/>
      <c r="GG258"/>
      <c r="GH258"/>
      <c r="GI258"/>
      <c r="GJ258"/>
      <c r="GK258"/>
      <c r="GL258"/>
      <c r="GM258"/>
      <c r="GN258"/>
      <c r="GO258"/>
      <c r="GP258"/>
      <c r="GQ258"/>
      <c r="GR258"/>
      <c r="GS258"/>
      <c r="GT258"/>
      <c r="GU258"/>
      <c r="GV258"/>
      <c r="GW258"/>
      <c r="GX258"/>
      <c r="GY258"/>
      <c r="GZ258"/>
      <c r="HA258"/>
      <c r="HB258"/>
      <c r="HC258"/>
      <c r="HD258"/>
      <c r="HE258"/>
      <c r="HF258"/>
      <c r="HG258"/>
      <c r="HH258"/>
      <c r="HI258"/>
      <c r="HJ258"/>
      <c r="HK258"/>
      <c r="HL258"/>
      <c r="HM258"/>
      <c r="HN258"/>
      <c r="HO258"/>
      <c r="HP258"/>
      <c r="HQ258"/>
      <c r="HR258"/>
      <c r="HS258"/>
      <c r="HT258"/>
      <c r="HU258"/>
      <c r="HV258"/>
      <c r="HW258"/>
      <c r="HX258"/>
      <c r="HY258"/>
      <c r="HZ258"/>
      <c r="IA258"/>
      <c r="IB258"/>
      <c r="IC258"/>
      <c r="ID258"/>
      <c r="IE258"/>
      <c r="IF258"/>
      <c r="IG258"/>
      <c r="IH258"/>
      <c r="II258"/>
      <c r="IJ258"/>
      <c r="IK258"/>
      <c r="IL258"/>
      <c r="IM258"/>
      <c r="IN258"/>
      <c r="IO258"/>
      <c r="IP258"/>
      <c r="IQ258"/>
      <c r="IR258"/>
      <c r="IS258"/>
      <c r="IT258"/>
      <c r="IU258"/>
      <c r="IV258"/>
      <c r="IW258"/>
      <c r="IX258"/>
    </row>
    <row r="259" spans="1:258" s="289" customFormat="1" x14ac:dyDescent="0.2">
      <c r="A259" s="610" t="s">
        <v>609</v>
      </c>
      <c r="B259" s="285"/>
      <c r="C259" s="285"/>
      <c r="D259" s="285"/>
      <c r="E259" s="285"/>
      <c r="F259" s="286"/>
      <c r="G259" s="285"/>
      <c r="H259" s="285"/>
      <c r="I259" s="285"/>
      <c r="J259" s="285"/>
      <c r="K259" s="286"/>
      <c r="L259" s="285"/>
      <c r="M259" s="285"/>
      <c r="N259" s="285"/>
      <c r="O259" s="285"/>
      <c r="P259" s="286"/>
      <c r="Q259" s="285"/>
      <c r="R259" s="285"/>
      <c r="S259" s="285"/>
      <c r="T259" s="285"/>
      <c r="U259" s="286"/>
      <c r="V259" s="285"/>
      <c r="W259" s="285"/>
      <c r="X259" s="285"/>
      <c r="Y259" s="285"/>
      <c r="Z259" s="286"/>
      <c r="AA259" s="285"/>
      <c r="AB259" s="285"/>
      <c r="AC259" s="285"/>
      <c r="AD259" s="285"/>
      <c r="AE259" s="286"/>
      <c r="AF259" s="285"/>
      <c r="AG259" s="285"/>
      <c r="AH259" s="285"/>
      <c r="AI259" s="285"/>
      <c r="AJ259" s="286"/>
      <c r="AK259" s="285"/>
      <c r="AL259" s="285"/>
      <c r="AM259" s="285"/>
      <c r="AN259" s="285"/>
      <c r="AO259" s="286"/>
      <c r="AP259" s="285"/>
      <c r="AQ259" s="285"/>
      <c r="AR259" s="285"/>
      <c r="AS259" s="285"/>
      <c r="AT259" s="286"/>
      <c r="AU259" s="285"/>
      <c r="AV259" s="285"/>
      <c r="AW259" s="285"/>
      <c r="AX259" s="285"/>
      <c r="AY259" s="286"/>
      <c r="AZ259" s="285"/>
      <c r="BA259" s="285"/>
      <c r="BB259" s="285"/>
      <c r="BC259" s="285"/>
      <c r="BD259" s="286"/>
      <c r="BE259" s="285"/>
      <c r="BF259" s="285"/>
      <c r="BG259" s="285"/>
      <c r="BH259" s="285"/>
      <c r="BI259" s="286"/>
      <c r="BJ259" s="285"/>
      <c r="BK259" s="285"/>
      <c r="BL259" s="285"/>
      <c r="BM259" s="285"/>
      <c r="BN259" s="286"/>
      <c r="BO259" s="285"/>
      <c r="BP259" s="285"/>
      <c r="BQ259" s="285"/>
      <c r="BR259" s="285"/>
      <c r="BS259" s="286"/>
      <c r="BT259" s="285"/>
      <c r="BU259" s="285"/>
      <c r="BV259" s="285"/>
      <c r="BW259" s="285"/>
      <c r="BX259" s="286"/>
      <c r="BY259" s="285"/>
      <c r="BZ259" s="285"/>
      <c r="CA259" s="285"/>
      <c r="CB259" s="285"/>
      <c r="CC259" s="286"/>
      <c r="CD259" s="285"/>
      <c r="CE259" s="285"/>
      <c r="CF259" s="285"/>
      <c r="CG259" s="285"/>
      <c r="CH259" s="286"/>
      <c r="CI259" s="285"/>
      <c r="CJ259" s="285"/>
      <c r="CK259" s="285"/>
      <c r="CL259" s="285"/>
      <c r="CM259" s="286"/>
      <c r="CN259" s="285"/>
      <c r="CO259" s="285"/>
      <c r="CP259" s="285"/>
      <c r="CQ259" s="285"/>
      <c r="CR259" s="286"/>
      <c r="CS259" s="285"/>
      <c r="CT259" s="285"/>
      <c r="CU259" s="285"/>
      <c r="CV259" s="285"/>
      <c r="CW259" s="286"/>
      <c r="CX259" s="285"/>
      <c r="CY259" s="285"/>
      <c r="CZ259" s="285"/>
      <c r="DA259" s="285"/>
      <c r="DB259" s="286"/>
      <c r="DC259" s="285"/>
      <c r="DD259" s="285"/>
      <c r="DE259" s="285"/>
      <c r="DF259" s="285"/>
      <c r="DG259" s="286"/>
      <c r="DH259" s="285"/>
      <c r="DI259" s="285"/>
      <c r="DJ259" s="285"/>
      <c r="DK259" s="285"/>
      <c r="DL259" s="286"/>
      <c r="DM259" s="285"/>
      <c r="DN259" s="285"/>
      <c r="DO259" s="285"/>
      <c r="DP259" s="285"/>
      <c r="DQ259" s="287"/>
      <c r="DR259" s="285"/>
      <c r="DS259" s="285"/>
      <c r="DT259" s="285"/>
      <c r="DU259" s="285"/>
      <c r="DV259" s="287"/>
      <c r="DW259" s="285"/>
      <c r="DX259" s="285"/>
      <c r="DY259" s="285"/>
      <c r="DZ259" s="285"/>
      <c r="EA259" s="287"/>
      <c r="EB259" s="285"/>
      <c r="EC259" s="285"/>
      <c r="ED259" s="285"/>
      <c r="EE259" s="285"/>
      <c r="EF259" s="287"/>
      <c r="EG259" s="285"/>
      <c r="EH259" s="285"/>
      <c r="EI259" s="1699"/>
      <c r="EJ259" s="285"/>
      <c r="EK259" s="287"/>
      <c r="EL259" s="285"/>
      <c r="EM259" s="285"/>
      <c r="EN259" s="1699"/>
      <c r="EO259" s="285"/>
      <c r="EP259" s="287"/>
      <c r="EQ259" s="285"/>
      <c r="ER259" s="285"/>
      <c r="ES259" s="285"/>
      <c r="ET259" s="285"/>
      <c r="EU259" s="287">
        <f ca="1">EU260*EU261</f>
        <v>4.1303010115925849</v>
      </c>
      <c r="EV259" s="288"/>
      <c r="EW259" s="288"/>
      <c r="EX259" s="288"/>
      <c r="EY259" s="288"/>
      <c r="EZ259" s="287">
        <f ca="1">EZ260*EZ261</f>
        <v>5.1885216138610408</v>
      </c>
      <c r="FA259" s="288"/>
      <c r="FB259" s="288"/>
      <c r="FC259" s="288"/>
      <c r="FD259" s="288"/>
      <c r="FE259" s="287">
        <f ca="1">FE260*FE261</f>
        <v>6.4769485614079949</v>
      </c>
      <c r="FG259" s="494"/>
      <c r="FH259" s="808"/>
      <c r="FI259" s="808"/>
      <c r="FJ259" s="808"/>
      <c r="FL259" s="1375"/>
      <c r="FM259" s="1588"/>
      <c r="FN259" s="1480"/>
      <c r="FO259" s="1886"/>
      <c r="FP259" s="1778"/>
      <c r="FQ259" s="1603"/>
      <c r="FR259" s="1628"/>
      <c r="FS259" s="1628"/>
      <c r="FT259" s="1725" t="s">
        <v>804</v>
      </c>
      <c r="FU259" s="1726">
        <f ca="1">fair_value</f>
        <v>49</v>
      </c>
      <c r="FV259" s="355"/>
      <c r="FW259" s="449"/>
      <c r="FX259" s="449"/>
      <c r="FY259" s="449"/>
      <c r="FZ259" s="494"/>
      <c r="GA259"/>
      <c r="GB259"/>
      <c r="GC259"/>
      <c r="GD259"/>
      <c r="GE259"/>
      <c r="GF259"/>
      <c r="GG259"/>
      <c r="GH259"/>
      <c r="GI259"/>
      <c r="GJ259"/>
      <c r="GK259"/>
      <c r="GL259"/>
      <c r="GM259"/>
      <c r="GN259"/>
      <c r="GO259"/>
      <c r="GP259"/>
      <c r="GQ259"/>
      <c r="GR259"/>
      <c r="GS259"/>
      <c r="GT259"/>
      <c r="GU259"/>
      <c r="GV259"/>
      <c r="GW259"/>
      <c r="GX259"/>
      <c r="GY259"/>
      <c r="GZ259"/>
      <c r="HA259"/>
      <c r="HB259"/>
      <c r="HC259"/>
      <c r="HD259"/>
      <c r="HE259"/>
      <c r="HF259"/>
      <c r="HG259"/>
      <c r="HH259"/>
      <c r="HI259"/>
      <c r="HJ259"/>
      <c r="HK259"/>
      <c r="HL259"/>
      <c r="HM259"/>
      <c r="HN259"/>
      <c r="HO259"/>
      <c r="HP259"/>
      <c r="HQ259"/>
      <c r="HR259"/>
      <c r="HS259"/>
      <c r="HT259"/>
      <c r="HU259"/>
      <c r="HV259"/>
      <c r="HW259"/>
      <c r="HX259"/>
      <c r="HY259"/>
      <c r="HZ259"/>
      <c r="IA259"/>
      <c r="IB259"/>
      <c r="IC259"/>
      <c r="ID259"/>
      <c r="IE259"/>
      <c r="IF259"/>
      <c r="IG259"/>
      <c r="IH259"/>
      <c r="II259"/>
      <c r="IJ259"/>
      <c r="IK259"/>
      <c r="IL259"/>
      <c r="IM259"/>
      <c r="IN259"/>
      <c r="IO259"/>
      <c r="IP259"/>
      <c r="IQ259"/>
      <c r="IR259"/>
      <c r="IS259"/>
      <c r="IT259"/>
      <c r="IU259"/>
      <c r="IV259"/>
      <c r="IW259"/>
      <c r="IX259"/>
    </row>
    <row r="260" spans="1:258" s="227" customFormat="1" x14ac:dyDescent="0.2">
      <c r="A260" s="611" t="s">
        <v>608</v>
      </c>
      <c r="B260" s="10"/>
      <c r="C260" s="10"/>
      <c r="D260" s="10"/>
      <c r="E260" s="14"/>
      <c r="F260" s="290"/>
      <c r="G260" s="10"/>
      <c r="H260" s="10"/>
      <c r="I260" s="10"/>
      <c r="J260" s="14"/>
      <c r="K260" s="290"/>
      <c r="L260" s="10"/>
      <c r="M260" s="10"/>
      <c r="N260" s="10"/>
      <c r="O260" s="14"/>
      <c r="P260" s="290"/>
      <c r="Q260" s="10"/>
      <c r="R260" s="10"/>
      <c r="S260" s="10"/>
      <c r="T260" s="14"/>
      <c r="U260" s="290"/>
      <c r="V260" s="10"/>
      <c r="W260" s="10"/>
      <c r="X260" s="10"/>
      <c r="Y260" s="14"/>
      <c r="Z260" s="290"/>
      <c r="AA260" s="10"/>
      <c r="AB260" s="10"/>
      <c r="AC260" s="10"/>
      <c r="AD260" s="14"/>
      <c r="AE260" s="290"/>
      <c r="AF260" s="10"/>
      <c r="AG260" s="10"/>
      <c r="AH260" s="10"/>
      <c r="AI260" s="14"/>
      <c r="AJ260" s="290"/>
      <c r="AK260" s="10"/>
      <c r="AL260" s="10"/>
      <c r="AM260" s="10"/>
      <c r="AN260" s="14"/>
      <c r="AO260" s="290"/>
      <c r="AP260" s="10"/>
      <c r="AQ260" s="10"/>
      <c r="AR260" s="10"/>
      <c r="AS260" s="14"/>
      <c r="AT260" s="290"/>
      <c r="AU260" s="10"/>
      <c r="AV260" s="10"/>
      <c r="AW260" s="10"/>
      <c r="AX260" s="14"/>
      <c r="AY260" s="290"/>
      <c r="AZ260" s="10"/>
      <c r="BA260" s="10"/>
      <c r="BB260" s="10"/>
      <c r="BC260" s="14"/>
      <c r="BD260" s="290"/>
      <c r="BE260" s="10"/>
      <c r="BF260" s="10"/>
      <c r="BG260" s="10"/>
      <c r="BH260" s="14"/>
      <c r="BI260" s="290"/>
      <c r="BJ260" s="10"/>
      <c r="BK260" s="10"/>
      <c r="BL260" s="10"/>
      <c r="BM260" s="14"/>
      <c r="BN260" s="290"/>
      <c r="BO260" s="10">
        <f>(BO258/BO261)*4</f>
        <v>4.0028591851322376E-2</v>
      </c>
      <c r="BP260" s="10">
        <f>(BP258/BP261)*4</f>
        <v>4.2328042328042326E-2</v>
      </c>
      <c r="BQ260" s="10">
        <f>(BQ258/BQ261)*4</f>
        <v>4.856895056374675E-2</v>
      </c>
      <c r="BR260" s="14">
        <f>(BR258/BR261)*4</f>
        <v>5.8309037900874633E-2</v>
      </c>
      <c r="BS260" s="290">
        <f>BS258/BS261</f>
        <v>7.8717201166180764E-2</v>
      </c>
      <c r="BT260" s="10">
        <f>(BT258/BT261)*4</f>
        <v>5.7347670250896057E-2</v>
      </c>
      <c r="BU260" s="10">
        <f>(BU258/BU261)*4</f>
        <v>5.2892561983471073E-2</v>
      </c>
      <c r="BV260" s="10">
        <f>(BV258/BV261)*4</f>
        <v>6.1127029608404965E-2</v>
      </c>
      <c r="BW260" s="14">
        <f>(BW258/BW261)*4</f>
        <v>3.6231884057971016E-2</v>
      </c>
      <c r="BX260" s="290">
        <f>BX258/BX261</f>
        <v>3.8043478260869568E-2</v>
      </c>
      <c r="BY260" s="10">
        <f>(BY258/BY261)*4</f>
        <v>2.9447852760736196E-2</v>
      </c>
      <c r="BZ260" s="10">
        <f>(BZ258/BZ261)*4</f>
        <v>3.4042553191489362E-2</v>
      </c>
      <c r="CA260" s="10">
        <f>(CA258/CA261)*4</f>
        <v>2.9476787030213707E-2</v>
      </c>
      <c r="CB260" s="14">
        <f>(CB258/CB261)*4</f>
        <v>4.3010752688172046E-2</v>
      </c>
      <c r="CC260" s="290">
        <f>CC258/CC261</f>
        <v>2.8225806451612902E-2</v>
      </c>
      <c r="CD260" s="10">
        <f>(CD258/CD261)*4</f>
        <v>2.0879940343027592E-2</v>
      </c>
      <c r="CE260" s="10">
        <f>(CE258/CE261)*4</f>
        <v>5.1369863013698627E-2</v>
      </c>
      <c r="CF260" s="10">
        <f>(CF258/CF261)*4</f>
        <v>5.0770625566636446E-2</v>
      </c>
      <c r="CG260" s="14">
        <f>(CG258/CG261)*4</f>
        <v>5.3691275167785234E-2</v>
      </c>
      <c r="CH260" s="290">
        <f>CH258/CH261</f>
        <v>6.2080536912751678E-2</v>
      </c>
      <c r="CI260" s="10">
        <f>(CI258/CI261)*4</f>
        <v>5.4752851711026618E-2</v>
      </c>
      <c r="CJ260" s="10">
        <f>(CJ258/CJ261)*4</f>
        <v>5.7347670250896057E-2</v>
      </c>
      <c r="CK260" s="10">
        <f>(CK258/CK261)*4</f>
        <v>5.9612518628912071E-2</v>
      </c>
      <c r="CL260" s="14">
        <f>(CL258/CL261)*4</f>
        <v>6.1538461538461542E-2</v>
      </c>
      <c r="CM260" s="290">
        <f>CM258/CM261</f>
        <v>5.2564102564102565E-2</v>
      </c>
      <c r="CN260" s="10">
        <f>(CN258/CN261)*4</f>
        <v>5.6614044637996734E-2</v>
      </c>
      <c r="CO260" s="10">
        <f>(CO258/CO261)*4</f>
        <v>6.7911714770797965E-2</v>
      </c>
      <c r="CP260" s="10">
        <f>(CP258/CP261)*4</f>
        <v>5.033881897386254E-2</v>
      </c>
      <c r="CQ260" s="14">
        <f>(CQ258/CQ261)*4</f>
        <v>5.7435897435897436E-2</v>
      </c>
      <c r="CR260" s="290">
        <f>CR258/CR261</f>
        <v>5.6410256410256411E-2</v>
      </c>
      <c r="CS260" s="10">
        <f>(CS258/CS261)*4</f>
        <v>2.7199320016999574E-2</v>
      </c>
      <c r="CT260" s="10">
        <f>(CT258/CT261)*4</f>
        <v>3.3376123234916559E-2</v>
      </c>
      <c r="CU260" s="10">
        <f>(CU258/CU261)*4</f>
        <v>3.2679738562091505E-2</v>
      </c>
      <c r="CV260" s="14">
        <f>(CV258/CV261)*4</f>
        <v>2.7972027972027972E-2</v>
      </c>
      <c r="CW260" s="290">
        <f>CW258/CW261</f>
        <v>4.312354312354312E-2</v>
      </c>
      <c r="CX260" s="10">
        <f>(CX258/CX261)*4</f>
        <v>1.7075773745997867E-2</v>
      </c>
      <c r="CY260" s="10">
        <f>(CY258/CY261)*4</f>
        <v>1.0403120936280884E-2</v>
      </c>
      <c r="CZ260" s="10">
        <f>(CZ258/CZ261)*4</f>
        <v>6.4025610244097643E-3</v>
      </c>
      <c r="DA260" s="14">
        <f>(DA258/DA261)*4</f>
        <v>6.6362505184570713E-3</v>
      </c>
      <c r="DB260" s="290">
        <f>DB258/DB261</f>
        <v>9.1248444628784734E-3</v>
      </c>
      <c r="DC260" s="10">
        <f>(DC258/DC261)*4</f>
        <v>3.7383177570093459E-3</v>
      </c>
      <c r="DD260" s="10">
        <f>(DD258/DD261)*4</f>
        <v>9.2006900517538816E-3</v>
      </c>
      <c r="DE260" s="10">
        <f>(DE258/DE261)*4</f>
        <v>5.8608058608058608E-3</v>
      </c>
      <c r="DF260" s="14">
        <f>(DF258/DF261)*4</f>
        <v>7.91295746785361E-3</v>
      </c>
      <c r="DG260" s="290">
        <f>DG258/DG261</f>
        <v>5.9347181008902079E-3</v>
      </c>
      <c r="DH260" s="10">
        <f>(DH258/DH261)*4</f>
        <v>4.1322314049586778E-3</v>
      </c>
      <c r="DI260" s="10">
        <f>(DI258/DI261)*4</f>
        <v>4.2440318302387264E-3</v>
      </c>
      <c r="DJ260" s="10">
        <f>(DJ258/DJ261)*4</f>
        <v>4.1322314049586778E-3</v>
      </c>
      <c r="DK260" s="14">
        <f>(DK258/DK261)*4</f>
        <v>7.3033707865168537E-2</v>
      </c>
      <c r="DL260" s="290">
        <f>DL258/DL261</f>
        <v>2.247191011235955E-2</v>
      </c>
      <c r="DM260" s="10">
        <f>(DM258/DM261)*4</f>
        <v>4.1316978695932857E-2</v>
      </c>
      <c r="DN260" s="10">
        <f>(DN258/DN261)*4</f>
        <v>5.2219321148825066E-3</v>
      </c>
      <c r="DO260" s="14">
        <f>(DO258/DO261)*4</f>
        <v>5.3547523427041497E-3</v>
      </c>
      <c r="DP260" s="14">
        <f>(DP258/DP261)*4</f>
        <v>3.8113387327298712E-3</v>
      </c>
      <c r="DQ260" s="290">
        <f>DQ258/DQ261</f>
        <v>1.021355617455896E-2</v>
      </c>
      <c r="DR260" s="10">
        <f>(DR258/DR261)*4</f>
        <v>3.2719836400817996E-3</v>
      </c>
      <c r="DS260" s="10">
        <f>(DS258/DS261)*4</f>
        <v>3.8259206121472981E-3</v>
      </c>
      <c r="DT260" s="10">
        <f>(DT258/DT261)*4</f>
        <v>4.608294930875576E-3</v>
      </c>
      <c r="DU260" s="14">
        <f>(DU258/DU261)*4</f>
        <v>8.8987764182424916E-3</v>
      </c>
      <c r="DV260" s="290">
        <f>DV258/DV261</f>
        <v>4.0816326530612249E-3</v>
      </c>
      <c r="DW260" s="10">
        <f>(DW258/DW261)*4</f>
        <v>4.4395116537180911E-3</v>
      </c>
      <c r="DX260" s="10">
        <f>(DX258/DX261)*4</f>
        <v>5.2910052910052907E-3</v>
      </c>
      <c r="DY260" s="10">
        <f>(DY258/DY261)*4</f>
        <v>4.3407487791644059E-3</v>
      </c>
      <c r="DZ260" s="14">
        <f>(DZ258/DZ261)*4</f>
        <v>0</v>
      </c>
      <c r="EA260" s="290">
        <f>EA258/EA261</f>
        <v>2.9411764705882353E-3</v>
      </c>
      <c r="EB260" s="10">
        <f>(EB258/EB261)*4</f>
        <v>4.4969083754918494E-3</v>
      </c>
      <c r="EC260" s="921">
        <f>(EC258/EC261)*4</f>
        <v>4.1322314049586778E-3</v>
      </c>
      <c r="ED260" s="10">
        <f>(ED258/ED261)*4</f>
        <v>3.838771593090211E-3</v>
      </c>
      <c r="EE260" s="14">
        <f>(EE258/EE261)*4</f>
        <v>3.3277870216306157E-3</v>
      </c>
      <c r="EF260" s="290">
        <f>EF258/EF261</f>
        <v>3.3347228011671531E-3</v>
      </c>
      <c r="EG260" s="10">
        <f>(EG258/EG261)*4</f>
        <v>4.4947900458157898E-3</v>
      </c>
      <c r="EH260" s="921">
        <f>(EH258/EH261)*4</f>
        <v>4.1365046535677356E-3</v>
      </c>
      <c r="EI260" s="921">
        <f>(EI258/EI261)*4</f>
        <v>5.0536955148452302E-3</v>
      </c>
      <c r="EJ260" s="14">
        <f>(EJ258/EJ261)*4</f>
        <v>4.507042253521127E-3</v>
      </c>
      <c r="EK260" s="290">
        <f>EK258/EK261</f>
        <v>3.6040221599425719E-3</v>
      </c>
      <c r="EL260" s="10">
        <f>(EL258/EL261)*4</f>
        <v>3.5762181493071078E-3</v>
      </c>
      <c r="EM260" s="921">
        <f>(EM258/EM261)*4</f>
        <v>3.4572169403630079E-3</v>
      </c>
      <c r="EN260" s="921">
        <f>(EN258/EN261)*4</f>
        <v>4.4419766796224324E-3</v>
      </c>
      <c r="EO260" s="14">
        <f>(EO258/EO261)*4</f>
        <v>7.1237756010685662E-3</v>
      </c>
      <c r="EP260" s="290">
        <f>EP258/EP261</f>
        <v>5.5594162612925642E-3</v>
      </c>
      <c r="EQ260" s="10">
        <f>(EQ258/EQ261)*4</f>
        <v>3.3347228011671531E-3</v>
      </c>
      <c r="ER260" s="291"/>
      <c r="ES260" s="291"/>
      <c r="ET260" s="291"/>
      <c r="EU260" s="256">
        <v>7.0000000000000001E-3</v>
      </c>
      <c r="EV260" s="292"/>
      <c r="EW260" s="292"/>
      <c r="EX260" s="292"/>
      <c r="EY260" s="292"/>
      <c r="EZ260" s="256">
        <f>EU260-0.1%</f>
        <v>6.0000000000000001E-3</v>
      </c>
      <c r="FA260" s="292"/>
      <c r="FB260" s="292"/>
      <c r="FC260" s="292"/>
      <c r="FD260" s="292"/>
      <c r="FE260" s="256">
        <f>EZ260</f>
        <v>6.0000000000000001E-3</v>
      </c>
      <c r="FG260" s="494"/>
      <c r="FH260" s="809"/>
      <c r="FI260" s="809"/>
      <c r="FJ260" s="809"/>
      <c r="FL260" s="1371"/>
      <c r="FM260" s="1589"/>
      <c r="FN260" s="1418"/>
      <c r="FO260" s="1887"/>
      <c r="FP260" s="1779"/>
      <c r="FQ260" s="1604"/>
      <c r="FR260" s="1619"/>
      <c r="FS260" s="1619"/>
      <c r="FT260" s="1727" t="s">
        <v>730</v>
      </c>
      <c r="FU260" s="1728">
        <f ca="1">+FU259/FU258</f>
        <v>13.379960235934163</v>
      </c>
      <c r="FV260" s="432"/>
      <c r="FW260" s="432"/>
      <c r="FX260" s="432"/>
      <c r="FY260" s="432"/>
      <c r="FZ260" s="494"/>
      <c r="GA260"/>
      <c r="GB260"/>
      <c r="GC260"/>
      <c r="GD260"/>
      <c r="GE260"/>
      <c r="GF260"/>
      <c r="GG260"/>
      <c r="GH260"/>
      <c r="GI260"/>
      <c r="GJ260"/>
      <c r="GK260"/>
      <c r="GL260"/>
      <c r="GM260"/>
      <c r="GN260"/>
      <c r="GO260"/>
      <c r="GP260"/>
      <c r="GQ260"/>
      <c r="GR260"/>
      <c r="GS260"/>
      <c r="GT260"/>
      <c r="GU260"/>
      <c r="GV260"/>
      <c r="GW260"/>
      <c r="GX260"/>
      <c r="GY260"/>
      <c r="GZ260"/>
      <c r="HA260"/>
      <c r="HB260"/>
      <c r="HC260"/>
      <c r="HD260"/>
      <c r="HE260"/>
      <c r="HF260"/>
      <c r="HG260"/>
      <c r="HH260"/>
      <c r="HI260"/>
      <c r="HJ260"/>
      <c r="HK260"/>
      <c r="HL260"/>
      <c r="HM260"/>
      <c r="HN260"/>
      <c r="HO260"/>
      <c r="HP260"/>
      <c r="HQ260"/>
      <c r="HR260"/>
      <c r="HS260"/>
      <c r="HT260"/>
      <c r="HU260"/>
      <c r="HV260"/>
      <c r="HW260"/>
      <c r="HX260"/>
      <c r="HY260"/>
      <c r="HZ260"/>
      <c r="IA260"/>
      <c r="IB260"/>
      <c r="IC260"/>
      <c r="ID260"/>
      <c r="IE260"/>
      <c r="IF260"/>
      <c r="IG260"/>
      <c r="IH260"/>
      <c r="II260"/>
      <c r="IJ260"/>
      <c r="IK260"/>
      <c r="IL260"/>
      <c r="IM260"/>
      <c r="IN260"/>
      <c r="IO260"/>
      <c r="IP260"/>
      <c r="IQ260"/>
      <c r="IR260"/>
      <c r="IS260"/>
      <c r="IT260"/>
      <c r="IU260"/>
      <c r="IV260"/>
      <c r="IW260"/>
      <c r="IX260"/>
    </row>
    <row r="261" spans="1:258" s="39" customFormat="1" x14ac:dyDescent="0.2">
      <c r="A261" s="612" t="s">
        <v>440</v>
      </c>
      <c r="B261" s="63"/>
      <c r="C261" s="63"/>
      <c r="D261" s="63"/>
      <c r="E261" s="63"/>
      <c r="F261" s="64"/>
      <c r="G261" s="63"/>
      <c r="H261" s="63"/>
      <c r="I261" s="63"/>
      <c r="J261" s="63"/>
      <c r="K261" s="64"/>
      <c r="L261" s="63"/>
      <c r="M261" s="63"/>
      <c r="N261" s="63"/>
      <c r="O261" s="63"/>
      <c r="P261" s="64"/>
      <c r="Q261" s="63"/>
      <c r="R261" s="63"/>
      <c r="S261" s="63"/>
      <c r="T261" s="63"/>
      <c r="U261" s="64"/>
      <c r="V261" s="63"/>
      <c r="W261" s="63"/>
      <c r="X261" s="63"/>
      <c r="Y261" s="63"/>
      <c r="Z261" s="64"/>
      <c r="AA261" s="63"/>
      <c r="AB261" s="63"/>
      <c r="AC261" s="63"/>
      <c r="AD261" s="63"/>
      <c r="AE261" s="64"/>
      <c r="AF261" s="63"/>
      <c r="AG261" s="63"/>
      <c r="AH261" s="63"/>
      <c r="AI261" s="63"/>
      <c r="AJ261" s="64"/>
      <c r="AK261" s="63"/>
      <c r="AL261" s="63"/>
      <c r="AM261" s="63"/>
      <c r="AN261" s="63"/>
      <c r="AO261" s="64"/>
      <c r="AP261" s="63"/>
      <c r="AQ261" s="63"/>
      <c r="AR261" s="63"/>
      <c r="AS261" s="63"/>
      <c r="AT261" s="64"/>
      <c r="AU261" s="63"/>
      <c r="AV261" s="63"/>
      <c r="AW261" s="63"/>
      <c r="AX261" s="63"/>
      <c r="AY261" s="64"/>
      <c r="AZ261" s="63"/>
      <c r="BA261" s="63"/>
      <c r="BB261" s="63"/>
      <c r="BC261" s="63"/>
      <c r="BD261" s="64"/>
      <c r="BE261" s="63"/>
      <c r="BF261" s="63"/>
      <c r="BG261" s="63"/>
      <c r="BH261" s="63"/>
      <c r="BI261" s="64"/>
      <c r="BJ261" s="63"/>
      <c r="BK261" s="63"/>
      <c r="BL261" s="63"/>
      <c r="BM261" s="63"/>
      <c r="BN261" s="64">
        <f>BM261</f>
        <v>0</v>
      </c>
      <c r="BO261" s="63">
        <f>AVERAGE(BM262,BO262)</f>
        <v>699.5</v>
      </c>
      <c r="BP261" s="63">
        <f>AVERAGE(BO262:BP262)</f>
        <v>756</v>
      </c>
      <c r="BQ261" s="63">
        <f>AVERAGE(BP262:BQ262)</f>
        <v>576.5</v>
      </c>
      <c r="BR261" s="63">
        <f>AVERAGE(BQ262:BR262)</f>
        <v>343</v>
      </c>
      <c r="BS261" s="64">
        <f>BR261</f>
        <v>343</v>
      </c>
      <c r="BT261" s="63">
        <f>AVERAGE(BR262,BT262)</f>
        <v>279</v>
      </c>
      <c r="BU261" s="63">
        <f>AVERAGE(BT262:BU262)</f>
        <v>302.5</v>
      </c>
      <c r="BV261" s="63">
        <f>AVERAGE(BU262:BV262)</f>
        <v>523.5</v>
      </c>
      <c r="BW261" s="63">
        <f>AVERAGE(BV262:BW262)</f>
        <v>552</v>
      </c>
      <c r="BX261" s="64">
        <f>BW261</f>
        <v>552</v>
      </c>
      <c r="BY261" s="63">
        <f>AVERAGE(BW262,BY262)</f>
        <v>407.5</v>
      </c>
      <c r="BZ261" s="63">
        <f>AVERAGE(BY262:BZ262)</f>
        <v>587.5</v>
      </c>
      <c r="CA261" s="63">
        <f>AVERAGE(BZ262:CA262)</f>
        <v>678.5</v>
      </c>
      <c r="CB261" s="63">
        <f>AVERAGE(CA262:CB262)</f>
        <v>744</v>
      </c>
      <c r="CC261" s="64">
        <f>CB261</f>
        <v>744</v>
      </c>
      <c r="CD261" s="63">
        <f>AVERAGE(CB262,CD262)</f>
        <v>1341</v>
      </c>
      <c r="CE261" s="63">
        <f>AVERAGE(CD262:CE262)</f>
        <v>1168</v>
      </c>
      <c r="CF261" s="63">
        <f>AVERAGE(CE262:CF262)</f>
        <v>551.5</v>
      </c>
      <c r="CG261" s="63">
        <f>AVERAGE(CF262:CG262)</f>
        <v>596</v>
      </c>
      <c r="CH261" s="64">
        <f>CG261</f>
        <v>596</v>
      </c>
      <c r="CI261" s="63">
        <f>AVERAGE(CG262,CI262)</f>
        <v>657.5</v>
      </c>
      <c r="CJ261" s="63">
        <f>AVERAGE(CI262:CJ262)</f>
        <v>697.5</v>
      </c>
      <c r="CK261" s="63">
        <f>AVERAGE(CJ262:CK262)</f>
        <v>671</v>
      </c>
      <c r="CL261" s="63">
        <f>AVERAGE(CK262:CL262)</f>
        <v>780</v>
      </c>
      <c r="CM261" s="64">
        <f>CL261</f>
        <v>780</v>
      </c>
      <c r="CN261" s="63">
        <f>AVERAGE(CL262,CN262)</f>
        <v>918.5</v>
      </c>
      <c r="CO261" s="63">
        <f>AVERAGE(CN262:CO262)</f>
        <v>883.5</v>
      </c>
      <c r="CP261" s="63">
        <f>AVERAGE(CO262:CP262)</f>
        <v>1033</v>
      </c>
      <c r="CQ261" s="63">
        <f>AVERAGE(CP262:CQ262)</f>
        <v>975</v>
      </c>
      <c r="CR261" s="64">
        <f>CQ261</f>
        <v>975</v>
      </c>
      <c r="CS261" s="63">
        <f>AVERAGE(CQ262,CS262)</f>
        <v>1176.5</v>
      </c>
      <c r="CT261" s="63">
        <f>AVERAGE(CS262:CT262)</f>
        <v>1558</v>
      </c>
      <c r="CU261" s="63">
        <f>AVERAGE(CT262:CU262)</f>
        <v>1224</v>
      </c>
      <c r="CV261" s="63">
        <f>AVERAGE(CU262:CV262)</f>
        <v>858</v>
      </c>
      <c r="CW261" s="64">
        <f>CV261</f>
        <v>858</v>
      </c>
      <c r="CX261" s="63">
        <f>AVERAGE(CV262,CX262)</f>
        <v>937</v>
      </c>
      <c r="CY261" s="63">
        <f>AVERAGE(CX262:CY262)</f>
        <v>1153.5</v>
      </c>
      <c r="CZ261" s="63">
        <f>AVERAGE(CY262:CZ262)</f>
        <v>1249.5</v>
      </c>
      <c r="DA261" s="63">
        <f>AVERAGE(CZ262:DA262)</f>
        <v>1205.5</v>
      </c>
      <c r="DB261" s="64">
        <f>DA261</f>
        <v>1205.5</v>
      </c>
      <c r="DC261" s="63">
        <f>AVERAGE(DA262,DC262)</f>
        <v>1070</v>
      </c>
      <c r="DD261" s="63">
        <f>AVERAGE(DC262:DD262)</f>
        <v>869.5</v>
      </c>
      <c r="DE261" s="63">
        <f>AVERAGE(DD262:DE262)</f>
        <v>682.5</v>
      </c>
      <c r="DF261" s="63">
        <f>AVERAGE(DE262:DF262)</f>
        <v>1011</v>
      </c>
      <c r="DG261" s="64">
        <f>DF261</f>
        <v>1011</v>
      </c>
      <c r="DH261" s="63">
        <f>AVERAGE(DG262:DH262)</f>
        <v>968</v>
      </c>
      <c r="DI261" s="63">
        <f>AVERAGE(DH262:DI262)</f>
        <v>942.5</v>
      </c>
      <c r="DJ261" s="63">
        <f>AVERAGE(DI262:DJ262)</f>
        <v>968</v>
      </c>
      <c r="DK261" s="63">
        <f>AVERAGE(DJ262:DK262)</f>
        <v>712</v>
      </c>
      <c r="DL261" s="64">
        <f>DK261</f>
        <v>712</v>
      </c>
      <c r="DM261" s="63">
        <f>AVERAGE(DL262:DM262)</f>
        <v>774.5</v>
      </c>
      <c r="DN261" s="63">
        <f>AVERAGE(DM262:DN262)</f>
        <v>766</v>
      </c>
      <c r="DO261" s="63">
        <f>AVERAGE(DN262:DO262)</f>
        <v>747</v>
      </c>
      <c r="DP261" s="63">
        <f>AVERAGE(DO262:DP262)</f>
        <v>1049.5</v>
      </c>
      <c r="DQ261" s="64">
        <f>AVERAGE(DL262,DQ262)</f>
        <v>1077</v>
      </c>
      <c r="DR261" s="63">
        <f>AVERAGE(DQ262:DR262)</f>
        <v>1222.5</v>
      </c>
      <c r="DS261" s="63">
        <f>AVERAGE(DR262:DS262)</f>
        <v>1045.5</v>
      </c>
      <c r="DT261" s="63">
        <f>AVERAGE(DS262:DT262)</f>
        <v>868</v>
      </c>
      <c r="DU261" s="63">
        <f>AVERAGE(DT262:DU262)</f>
        <v>899</v>
      </c>
      <c r="DV261" s="64">
        <f>AVERAGE(DQ262,DV262)</f>
        <v>1225</v>
      </c>
      <c r="DW261" s="63">
        <f>AVERAGE(DV262:DW262)</f>
        <v>901</v>
      </c>
      <c r="DX261" s="63">
        <f>AVERAGE(DW262:DX262)</f>
        <v>756</v>
      </c>
      <c r="DY261" s="63">
        <f>AVERAGE(DX262:DY262)</f>
        <v>921.5</v>
      </c>
      <c r="DZ261" s="63">
        <f>AVERAGE(DY262:DZ262)</f>
        <v>1007.5</v>
      </c>
      <c r="EA261" s="64">
        <f>AVERAGE(DV262,EA262)</f>
        <v>1020</v>
      </c>
      <c r="EB261" s="63">
        <f>AVERAGE(EA262:EB262)</f>
        <v>889.5</v>
      </c>
      <c r="EC261" s="497">
        <f>AVERAGE(EB262:EC262)</f>
        <v>968</v>
      </c>
      <c r="ED261" s="63">
        <f>AVERAGE(EC262:ED262)</f>
        <v>1042</v>
      </c>
      <c r="EE261" s="63">
        <f>AVERAGE(ED262:EE262)</f>
        <v>1202</v>
      </c>
      <c r="EF261" s="64">
        <f>AVERAGE(EA262,EF262)</f>
        <v>1199.5</v>
      </c>
      <c r="EG261" s="63">
        <f>AVERAGE(EF262:EG262)</f>
        <v>1272</v>
      </c>
      <c r="EH261" s="497">
        <f>AVERAGE(EG262:EH262)</f>
        <v>967</v>
      </c>
      <c r="EI261" s="497">
        <f>AVERAGE(EH262:EI262)</f>
        <v>791.5</v>
      </c>
      <c r="EJ261" s="63">
        <f>AVERAGE(EI262:EJ262)</f>
        <v>887.5</v>
      </c>
      <c r="EK261" s="64">
        <f>AVERAGE(EF262,EK262)</f>
        <v>1229</v>
      </c>
      <c r="EL261" s="63">
        <f>AVERAGE(EK262:EL262)</f>
        <v>1118.5</v>
      </c>
      <c r="EM261" s="497">
        <f>AVERAGE(EL262:EM262)</f>
        <v>1157</v>
      </c>
      <c r="EN261" s="497">
        <f>AVERAGE(EM262:EN262)</f>
        <v>900.5</v>
      </c>
      <c r="EO261" s="63">
        <f>AVERAGE(EN262:EO262)</f>
        <v>561.5</v>
      </c>
      <c r="EP261" s="64">
        <f>AVERAGE(EK262,EP262)</f>
        <v>719.5</v>
      </c>
      <c r="EQ261" s="63">
        <f>AVERAGE(EP262:EQ262)</f>
        <v>1199.5</v>
      </c>
      <c r="ER261" s="63"/>
      <c r="ES261" s="63"/>
      <c r="ET261" s="63"/>
      <c r="EU261" s="64">
        <f ca="1">AVERAGE(EP262,EU262)</f>
        <v>590.04300165608356</v>
      </c>
      <c r="EV261" s="8"/>
      <c r="EW261" s="8"/>
      <c r="EX261" s="8"/>
      <c r="EY261" s="8"/>
      <c r="EZ261" s="64">
        <f ca="1">AVERAGE(EU262,EZ262)</f>
        <v>864.75360231017339</v>
      </c>
      <c r="FA261" s="8"/>
      <c r="FB261" s="8"/>
      <c r="FC261" s="8"/>
      <c r="FD261" s="8"/>
      <c r="FE261" s="64">
        <f ca="1">AVERAGE(EZ262,FE262)</f>
        <v>1079.4914269013325</v>
      </c>
      <c r="FG261" s="494"/>
      <c r="FH261" s="807"/>
      <c r="FI261" s="807"/>
      <c r="FJ261" s="807"/>
      <c r="FL261" s="1374"/>
      <c r="FM261" s="1549"/>
      <c r="FN261" s="1472"/>
      <c r="FO261" s="1888"/>
      <c r="FP261" s="1780"/>
      <c r="FQ261" s="1605"/>
      <c r="FR261" s="1619"/>
      <c r="FS261" s="1619"/>
      <c r="FT261" s="1731" t="s">
        <v>731</v>
      </c>
      <c r="FU261" s="2035">
        <v>55.5</v>
      </c>
      <c r="FV261" s="355"/>
      <c r="FW261" s="355"/>
      <c r="FX261" s="355"/>
      <c r="FY261" s="355"/>
      <c r="FZ261" s="494"/>
      <c r="GA261"/>
      <c r="GB261"/>
      <c r="GC261"/>
      <c r="GD261"/>
      <c r="GE261"/>
      <c r="GF261"/>
      <c r="GG261"/>
      <c r="GH261"/>
      <c r="GI261"/>
      <c r="GJ261"/>
      <c r="GK261"/>
      <c r="GL261"/>
      <c r="GM261"/>
      <c r="GN261"/>
      <c r="GO261"/>
      <c r="GP261"/>
      <c r="GQ261"/>
      <c r="GR261"/>
      <c r="GS261"/>
      <c r="GT261"/>
      <c r="GU261"/>
      <c r="GV261"/>
      <c r="GW261"/>
      <c r="GX261"/>
      <c r="GY261"/>
      <c r="GZ261"/>
      <c r="HA261"/>
      <c r="HB261"/>
      <c r="HC261"/>
      <c r="HD261"/>
      <c r="HE261"/>
      <c r="HF261"/>
      <c r="HG261"/>
      <c r="HH261"/>
      <c r="HI261"/>
      <c r="HJ261"/>
      <c r="HK261"/>
      <c r="HL261"/>
      <c r="HM261"/>
      <c r="HN261"/>
      <c r="HO261"/>
      <c r="HP261"/>
      <c r="HQ261"/>
      <c r="HR261"/>
      <c r="HS261"/>
      <c r="HT261"/>
      <c r="HU261"/>
      <c r="HV261"/>
      <c r="HW261"/>
      <c r="HX261"/>
      <c r="HY261"/>
      <c r="HZ261"/>
      <c r="IA261"/>
      <c r="IB261"/>
      <c r="IC261"/>
      <c r="ID261"/>
      <c r="IE261"/>
      <c r="IF261"/>
      <c r="IG261"/>
      <c r="IH261"/>
      <c r="II261"/>
      <c r="IJ261"/>
      <c r="IK261"/>
      <c r="IL261"/>
      <c r="IM261"/>
      <c r="IN261"/>
      <c r="IO261"/>
      <c r="IP261"/>
      <c r="IQ261"/>
      <c r="IR261"/>
      <c r="IS261"/>
      <c r="IT261"/>
      <c r="IU261"/>
      <c r="IV261"/>
      <c r="IW261"/>
      <c r="IX261"/>
    </row>
    <row r="262" spans="1:258" s="39" customFormat="1" x14ac:dyDescent="0.2">
      <c r="A262" s="612" t="s">
        <v>319</v>
      </c>
      <c r="B262" s="63"/>
      <c r="C262" s="63"/>
      <c r="D262" s="63"/>
      <c r="E262" s="63"/>
      <c r="F262" s="64"/>
      <c r="G262" s="63"/>
      <c r="H262" s="63"/>
      <c r="I262" s="63"/>
      <c r="J262" s="63"/>
      <c r="K262" s="64"/>
      <c r="L262" s="63"/>
      <c r="M262" s="63"/>
      <c r="N262" s="63"/>
      <c r="O262" s="63"/>
      <c r="P262" s="64"/>
      <c r="Q262" s="63"/>
      <c r="R262" s="63"/>
      <c r="S262" s="63"/>
      <c r="T262" s="63"/>
      <c r="U262" s="64"/>
      <c r="V262" s="63"/>
      <c r="W262" s="63"/>
      <c r="X262" s="63"/>
      <c r="Y262" s="63"/>
      <c r="Z262" s="64"/>
      <c r="AA262" s="63"/>
      <c r="AB262" s="63"/>
      <c r="AC262" s="63"/>
      <c r="AD262" s="63"/>
      <c r="AE262" s="64"/>
      <c r="AF262" s="63"/>
      <c r="AG262" s="63"/>
      <c r="AH262" s="63"/>
      <c r="AI262" s="63"/>
      <c r="AJ262" s="64"/>
      <c r="AK262" s="63"/>
      <c r="AL262" s="63"/>
      <c r="AM262" s="63"/>
      <c r="AN262" s="63"/>
      <c r="AO262" s="64"/>
      <c r="AP262" s="63"/>
      <c r="AQ262" s="63"/>
      <c r="AR262" s="63"/>
      <c r="AS262" s="63"/>
      <c r="AT262" s="64"/>
      <c r="AU262" s="63"/>
      <c r="AV262" s="63"/>
      <c r="AW262" s="63"/>
      <c r="AX262" s="63"/>
      <c r="AY262" s="64"/>
      <c r="AZ262" s="63"/>
      <c r="BA262" s="63"/>
      <c r="BB262" s="63"/>
      <c r="BC262" s="63"/>
      <c r="BD262" s="64"/>
      <c r="BE262" s="63"/>
      <c r="BF262" s="63"/>
      <c r="BG262" s="63"/>
      <c r="BH262" s="63"/>
      <c r="BI262" s="64"/>
      <c r="BJ262" s="63"/>
      <c r="BK262" s="63"/>
      <c r="BL262" s="63"/>
      <c r="BM262" s="63">
        <v>618</v>
      </c>
      <c r="BN262" s="64">
        <f>BM262</f>
        <v>618</v>
      </c>
      <c r="BO262" s="63">
        <v>781</v>
      </c>
      <c r="BP262" s="63">
        <v>731</v>
      </c>
      <c r="BQ262" s="63">
        <v>422</v>
      </c>
      <c r="BR262" s="63">
        <v>264</v>
      </c>
      <c r="BS262" s="64">
        <f>BR262</f>
        <v>264</v>
      </c>
      <c r="BT262" s="63">
        <v>294</v>
      </c>
      <c r="BU262" s="63">
        <v>311</v>
      </c>
      <c r="BV262" s="63">
        <v>736</v>
      </c>
      <c r="BW262" s="63">
        <v>368</v>
      </c>
      <c r="BX262" s="64">
        <f>BW262</f>
        <v>368</v>
      </c>
      <c r="BY262" s="63">
        <v>447</v>
      </c>
      <c r="BZ262" s="63">
        <v>728</v>
      </c>
      <c r="CA262" s="63">
        <v>629</v>
      </c>
      <c r="CB262" s="63">
        <v>859</v>
      </c>
      <c r="CC262" s="64">
        <f>CB262</f>
        <v>859</v>
      </c>
      <c r="CD262" s="63">
        <v>1823</v>
      </c>
      <c r="CE262" s="63">
        <v>513</v>
      </c>
      <c r="CF262" s="63">
        <v>590</v>
      </c>
      <c r="CG262" s="63">
        <v>602</v>
      </c>
      <c r="CH262" s="64">
        <f>CG262</f>
        <v>602</v>
      </c>
      <c r="CI262" s="63">
        <v>713</v>
      </c>
      <c r="CJ262" s="63">
        <v>682</v>
      </c>
      <c r="CK262" s="63">
        <v>660</v>
      </c>
      <c r="CL262" s="63">
        <v>900</v>
      </c>
      <c r="CM262" s="64">
        <f>CL262</f>
        <v>900</v>
      </c>
      <c r="CN262" s="63">
        <v>937</v>
      </c>
      <c r="CO262" s="63">
        <v>830</v>
      </c>
      <c r="CP262" s="63">
        <v>1236</v>
      </c>
      <c r="CQ262" s="63">
        <v>714</v>
      </c>
      <c r="CR262" s="64">
        <f>CQ262</f>
        <v>714</v>
      </c>
      <c r="CS262" s="63">
        <v>1639</v>
      </c>
      <c r="CT262" s="63">
        <v>1477</v>
      </c>
      <c r="CU262" s="63">
        <v>971</v>
      </c>
      <c r="CV262" s="63">
        <v>745</v>
      </c>
      <c r="CW262" s="64">
        <f>CV262</f>
        <v>745</v>
      </c>
      <c r="CX262" s="63">
        <v>1129</v>
      </c>
      <c r="CY262" s="63">
        <v>1178</v>
      </c>
      <c r="CZ262" s="63">
        <v>1321</v>
      </c>
      <c r="DA262" s="63">
        <v>1090</v>
      </c>
      <c r="DB262" s="64">
        <f>DA262</f>
        <v>1090</v>
      </c>
      <c r="DC262" s="63">
        <f t="shared" ref="DC262:DH262" si="1289">DC336+DC338</f>
        <v>1050</v>
      </c>
      <c r="DD262" s="63">
        <f t="shared" si="1289"/>
        <v>689</v>
      </c>
      <c r="DE262" s="63">
        <f t="shared" si="1289"/>
        <v>676</v>
      </c>
      <c r="DF262" s="63">
        <f t="shared" si="1289"/>
        <v>1346</v>
      </c>
      <c r="DG262" s="64">
        <f>DF262</f>
        <v>1346</v>
      </c>
      <c r="DH262" s="63">
        <f t="shared" si="1289"/>
        <v>590</v>
      </c>
      <c r="DI262" s="63">
        <f>DI336+DI338</f>
        <v>1295</v>
      </c>
      <c r="DJ262" s="63">
        <f>DJ336+DJ338</f>
        <v>641</v>
      </c>
      <c r="DK262" s="63">
        <f>DK336+DK338</f>
        <v>783</v>
      </c>
      <c r="DL262" s="64">
        <f>DK262</f>
        <v>783</v>
      </c>
      <c r="DM262" s="63">
        <f t="shared" ref="DM262:DR262" si="1290">DM336+DM338</f>
        <v>766</v>
      </c>
      <c r="DN262" s="63">
        <f t="shared" si="1290"/>
        <v>766</v>
      </c>
      <c r="DO262" s="63">
        <f t="shared" si="1290"/>
        <v>728</v>
      </c>
      <c r="DP262" s="63">
        <f t="shared" si="1290"/>
        <v>1371</v>
      </c>
      <c r="DQ262" s="64">
        <f t="shared" si="1290"/>
        <v>1371</v>
      </c>
      <c r="DR262" s="63">
        <f t="shared" si="1290"/>
        <v>1074</v>
      </c>
      <c r="DS262" s="63">
        <f t="shared" ref="DS262:DX262" si="1291">DS336+DS338</f>
        <v>1017</v>
      </c>
      <c r="DT262" s="63">
        <f t="shared" si="1291"/>
        <v>719</v>
      </c>
      <c r="DU262" s="63">
        <f t="shared" si="1291"/>
        <v>1079</v>
      </c>
      <c r="DV262" s="64">
        <f t="shared" si="1291"/>
        <v>1079</v>
      </c>
      <c r="DW262" s="63">
        <f t="shared" si="1291"/>
        <v>723</v>
      </c>
      <c r="DX262" s="63">
        <f t="shared" si="1291"/>
        <v>789</v>
      </c>
      <c r="DY262" s="63">
        <f t="shared" ref="DY262:ED262" si="1292">DY336+DY338</f>
        <v>1054</v>
      </c>
      <c r="DZ262" s="63">
        <f t="shared" si="1292"/>
        <v>961</v>
      </c>
      <c r="EA262" s="64">
        <f t="shared" si="1292"/>
        <v>961</v>
      </c>
      <c r="EB262" s="497">
        <f t="shared" si="1292"/>
        <v>818</v>
      </c>
      <c r="EC262" s="63">
        <f t="shared" si="1292"/>
        <v>1118</v>
      </c>
      <c r="ED262" s="63">
        <f t="shared" si="1292"/>
        <v>966</v>
      </c>
      <c r="EE262" s="63">
        <f>EE336+EE338</f>
        <v>1438</v>
      </c>
      <c r="EF262" s="64">
        <f>EF336+EF338</f>
        <v>1438</v>
      </c>
      <c r="EG262" s="497">
        <f t="shared" ref="EG262:EI262" si="1293">EG336+EG338</f>
        <v>1106</v>
      </c>
      <c r="EH262" s="63">
        <f t="shared" si="1293"/>
        <v>828</v>
      </c>
      <c r="EI262" s="497">
        <f t="shared" si="1293"/>
        <v>755</v>
      </c>
      <c r="EJ262" s="497">
        <f>EJ336+EJ338</f>
        <v>1020</v>
      </c>
      <c r="EK262" s="64">
        <f>EK336+EK338</f>
        <v>1020</v>
      </c>
      <c r="EL262" s="497">
        <f>EL336+EL338</f>
        <v>1217</v>
      </c>
      <c r="EM262" s="63">
        <f t="shared" ref="EM262:EN262" si="1294">EM336+EM338</f>
        <v>1097</v>
      </c>
      <c r="EN262" s="497">
        <f t="shared" si="1294"/>
        <v>704</v>
      </c>
      <c r="EO262" s="497">
        <f>EO336+EO338</f>
        <v>419</v>
      </c>
      <c r="EP262" s="64">
        <f>EP336+EP338</f>
        <v>419</v>
      </c>
      <c r="EQ262" s="497">
        <f>EQ336+EQ338</f>
        <v>1980</v>
      </c>
      <c r="ER262" s="63"/>
      <c r="ES262" s="63"/>
      <c r="ET262" s="63"/>
      <c r="EU262" s="64">
        <f ca="1">EU336+EU338</f>
        <v>761.08600331216712</v>
      </c>
      <c r="EV262" s="8"/>
      <c r="EW262" s="8"/>
      <c r="EX262" s="8"/>
      <c r="EY262" s="8"/>
      <c r="EZ262" s="64">
        <f ca="1">EZ336+EZ338</f>
        <v>968.42120130817966</v>
      </c>
      <c r="FA262" s="8"/>
      <c r="FB262" s="8"/>
      <c r="FC262" s="8"/>
      <c r="FD262" s="8"/>
      <c r="FE262" s="64">
        <f ca="1">FE336+FE338</f>
        <v>1190.5616524944853</v>
      </c>
      <c r="FG262" s="494"/>
      <c r="FH262" s="807"/>
      <c r="FI262" s="807"/>
      <c r="FJ262" s="807"/>
      <c r="FL262" s="1374"/>
      <c r="FM262" s="1549"/>
      <c r="FN262" s="1441"/>
      <c r="FO262" s="1888"/>
      <c r="FP262" s="1780"/>
      <c r="FQ262" s="1605"/>
      <c r="FR262" s="1619"/>
      <c r="FS262" s="1619"/>
      <c r="FT262" s="1729"/>
      <c r="FU262" s="1730">
        <f ca="1">+FU259/FU261-1</f>
        <v>-0.11711711711711714</v>
      </c>
      <c r="FV262" s="355"/>
      <c r="FW262" s="355"/>
      <c r="FX262" s="355"/>
      <c r="FY262" s="355"/>
      <c r="FZ262" s="494"/>
      <c r="GA262"/>
      <c r="GB262"/>
      <c r="GC262"/>
      <c r="GD262"/>
      <c r="GE262"/>
      <c r="GF262"/>
      <c r="GG262"/>
      <c r="GH262"/>
      <c r="GI262"/>
      <c r="GJ262"/>
      <c r="GK262"/>
      <c r="GL262"/>
      <c r="GM262"/>
      <c r="GN262"/>
      <c r="GO262"/>
      <c r="GP262"/>
      <c r="GQ262"/>
      <c r="GR262"/>
      <c r="GS262"/>
      <c r="GT262"/>
      <c r="GU262"/>
      <c r="GV262"/>
      <c r="GW262"/>
      <c r="GX262"/>
      <c r="GY262"/>
      <c r="GZ262"/>
      <c r="HA262"/>
      <c r="HB262"/>
      <c r="HC262"/>
      <c r="HD262"/>
      <c r="HE262"/>
      <c r="HF262"/>
      <c r="HG262"/>
      <c r="HH262"/>
      <c r="HI262"/>
      <c r="HJ262"/>
      <c r="HK262"/>
      <c r="HL262"/>
      <c r="HM262"/>
      <c r="HN262"/>
      <c r="HO262"/>
      <c r="HP262"/>
      <c r="HQ262"/>
      <c r="HR262"/>
      <c r="HS262"/>
      <c r="HT262"/>
      <c r="HU262"/>
      <c r="HV262"/>
      <c r="HW262"/>
      <c r="HX262"/>
      <c r="HY262"/>
      <c r="HZ262"/>
      <c r="IA262"/>
      <c r="IB262"/>
      <c r="IC262"/>
      <c r="ID262"/>
      <c r="IE262"/>
      <c r="IF262"/>
      <c r="IG262"/>
      <c r="IH262"/>
      <c r="II262"/>
      <c r="IJ262"/>
      <c r="IK262"/>
      <c r="IL262"/>
      <c r="IM262"/>
      <c r="IN262"/>
      <c r="IO262"/>
      <c r="IP262"/>
      <c r="IQ262"/>
      <c r="IR262"/>
      <c r="IS262"/>
      <c r="IT262"/>
      <c r="IU262"/>
      <c r="IV262"/>
      <c r="IW262"/>
      <c r="IX262"/>
    </row>
    <row r="263" spans="1:258" s="39" customFormat="1" x14ac:dyDescent="0.2">
      <c r="A263" s="609" t="s">
        <v>444</v>
      </c>
      <c r="B263" s="8"/>
      <c r="C263" s="8"/>
      <c r="D263" s="8"/>
      <c r="E263" s="8"/>
      <c r="F263" s="38"/>
      <c r="G263" s="8"/>
      <c r="H263" s="8"/>
      <c r="I263" s="8"/>
      <c r="J263" s="8"/>
      <c r="K263" s="38"/>
      <c r="L263" s="8"/>
      <c r="M263" s="8"/>
      <c r="N263" s="8"/>
      <c r="O263" s="8"/>
      <c r="P263" s="38"/>
      <c r="Q263" s="8">
        <v>68</v>
      </c>
      <c r="R263" s="8">
        <v>66</v>
      </c>
      <c r="S263" s="8">
        <v>71</v>
      </c>
      <c r="T263" s="8">
        <v>71</v>
      </c>
      <c r="U263" s="38">
        <v>276</v>
      </c>
      <c r="V263" s="8">
        <v>74</v>
      </c>
      <c r="W263" s="8">
        <v>75</v>
      </c>
      <c r="X263" s="8">
        <v>74</v>
      </c>
      <c r="Y263" s="8">
        <v>75</v>
      </c>
      <c r="Z263" s="38">
        <v>298</v>
      </c>
      <c r="AA263" s="8">
        <v>67</v>
      </c>
      <c r="AB263" s="8">
        <v>71</v>
      </c>
      <c r="AC263" s="8">
        <v>69</v>
      </c>
      <c r="AD263" s="8">
        <v>74</v>
      </c>
      <c r="AE263" s="38">
        <v>281</v>
      </c>
      <c r="AF263" s="8">
        <v>67</v>
      </c>
      <c r="AG263" s="8">
        <v>68</v>
      </c>
      <c r="AH263" s="8">
        <v>68</v>
      </c>
      <c r="AI263" s="8">
        <v>67</v>
      </c>
      <c r="AJ263" s="38">
        <v>270</v>
      </c>
      <c r="AK263" s="8">
        <v>60</v>
      </c>
      <c r="AL263" s="8">
        <v>71</v>
      </c>
      <c r="AM263" s="8">
        <v>57</v>
      </c>
      <c r="AN263" s="8">
        <v>51.567999999999998</v>
      </c>
      <c r="AO263" s="38">
        <v>239.56799999999998</v>
      </c>
      <c r="AP263" s="8">
        <v>54.524999999999999</v>
      </c>
      <c r="AQ263" s="8">
        <v>54.524999999999999</v>
      </c>
      <c r="AR263" s="8">
        <v>53</v>
      </c>
      <c r="AS263" s="8">
        <v>56</v>
      </c>
      <c r="AT263" s="38">
        <v>218.05</v>
      </c>
      <c r="AU263" s="8">
        <v>51</v>
      </c>
      <c r="AV263" s="8">
        <v>53</v>
      </c>
      <c r="AW263" s="8">
        <v>47</v>
      </c>
      <c r="AX263" s="8">
        <v>64</v>
      </c>
      <c r="AY263" s="38">
        <v>215</v>
      </c>
      <c r="AZ263" s="8">
        <v>58</v>
      </c>
      <c r="BA263" s="8">
        <v>54</v>
      </c>
      <c r="BB263" s="8">
        <v>133</v>
      </c>
      <c r="BC263" s="8">
        <v>128</v>
      </c>
      <c r="BD263" s="38">
        <v>373</v>
      </c>
      <c r="BE263" s="8">
        <v>134</v>
      </c>
      <c r="BF263" s="8">
        <v>139</v>
      </c>
      <c r="BG263" s="8">
        <v>140</v>
      </c>
      <c r="BH263" s="8">
        <v>130</v>
      </c>
      <c r="BI263" s="38">
        <f>SUM(BE263:BH263)</f>
        <v>543</v>
      </c>
      <c r="BJ263" s="8">
        <v>133</v>
      </c>
      <c r="BK263" s="8">
        <v>135</v>
      </c>
      <c r="BL263" s="8">
        <v>129</v>
      </c>
      <c r="BM263" s="8">
        <v>121</v>
      </c>
      <c r="BN263" s="38">
        <f>SUM(BJ263:BM263)</f>
        <v>518</v>
      </c>
      <c r="BO263" s="8">
        <v>114</v>
      </c>
      <c r="BP263" s="8">
        <v>116</v>
      </c>
      <c r="BQ263" s="8">
        <v>108</v>
      </c>
      <c r="BR263" s="8">
        <v>107</v>
      </c>
      <c r="BS263" s="38">
        <f>SUM(BO263:BR263)</f>
        <v>445</v>
      </c>
      <c r="BT263" s="8">
        <v>103</v>
      </c>
      <c r="BU263" s="8">
        <v>105</v>
      </c>
      <c r="BV263" s="8">
        <v>103</v>
      </c>
      <c r="BW263" s="8">
        <v>107</v>
      </c>
      <c r="BX263" s="38">
        <f>SUM(BT263:BW263)</f>
        <v>418</v>
      </c>
      <c r="BY263" s="8">
        <v>108</v>
      </c>
      <c r="BZ263" s="8">
        <v>109</v>
      </c>
      <c r="CA263" s="8">
        <v>106</v>
      </c>
      <c r="CB263" s="8">
        <v>112</v>
      </c>
      <c r="CC263" s="38">
        <f>SUM(BY263:CB263)</f>
        <v>435</v>
      </c>
      <c r="CD263" s="8">
        <v>114</v>
      </c>
      <c r="CE263" s="8">
        <v>110</v>
      </c>
      <c r="CF263" s="8">
        <v>100</v>
      </c>
      <c r="CG263" s="8">
        <v>99</v>
      </c>
      <c r="CH263" s="38">
        <f>SUM(CD263:CG263)</f>
        <v>423</v>
      </c>
      <c r="CI263" s="8">
        <v>98</v>
      </c>
      <c r="CJ263" s="8">
        <v>98</v>
      </c>
      <c r="CK263" s="8">
        <v>97</v>
      </c>
      <c r="CL263" s="8">
        <v>99</v>
      </c>
      <c r="CM263" s="38">
        <f>SUM(CI263:CL263)</f>
        <v>392</v>
      </c>
      <c r="CN263" s="8">
        <v>99</v>
      </c>
      <c r="CO263" s="8">
        <v>101</v>
      </c>
      <c r="CP263" s="8">
        <v>102</v>
      </c>
      <c r="CQ263" s="8">
        <v>115</v>
      </c>
      <c r="CR263" s="38">
        <f>SUM(CN263:CQ263)</f>
        <v>417</v>
      </c>
      <c r="CS263" s="8">
        <v>119</v>
      </c>
      <c r="CT263" s="8">
        <v>133</v>
      </c>
      <c r="CU263" s="8">
        <v>131</v>
      </c>
      <c r="CV263" s="8">
        <v>136</v>
      </c>
      <c r="CW263" s="38">
        <f>SUM(CS263:CV263)</f>
        <v>519</v>
      </c>
      <c r="CX263" s="8">
        <v>141</v>
      </c>
      <c r="CY263" s="8">
        <v>139</v>
      </c>
      <c r="CZ263" s="8">
        <v>140</v>
      </c>
      <c r="DA263" s="8">
        <v>138</v>
      </c>
      <c r="DB263" s="38">
        <f>SUM(CX263:DA263)</f>
        <v>558</v>
      </c>
      <c r="DC263" s="8">
        <v>142</v>
      </c>
      <c r="DD263" s="8">
        <v>135</v>
      </c>
      <c r="DE263" s="8">
        <v>131</v>
      </c>
      <c r="DF263" s="94">
        <v>149</v>
      </c>
      <c r="DG263" s="38">
        <f>SUM(DC263:DF263)</f>
        <v>557</v>
      </c>
      <c r="DH263" s="94">
        <v>140</v>
      </c>
      <c r="DI263" s="8">
        <v>134</v>
      </c>
      <c r="DJ263" s="8">
        <v>138</v>
      </c>
      <c r="DK263" s="94">
        <v>140</v>
      </c>
      <c r="DL263" s="38">
        <f>SUM(DH263:DK263)</f>
        <v>552</v>
      </c>
      <c r="DM263" s="94">
        <v>144</v>
      </c>
      <c r="DN263" s="8">
        <v>139</v>
      </c>
      <c r="DO263" s="8">
        <v>138</v>
      </c>
      <c r="DP263" s="94">
        <v>145</v>
      </c>
      <c r="DQ263" s="64">
        <f>SUM(DM263:DP263)</f>
        <v>566</v>
      </c>
      <c r="DR263" s="94">
        <v>147</v>
      </c>
      <c r="DS263" s="8">
        <v>141</v>
      </c>
      <c r="DT263" s="94">
        <v>136</v>
      </c>
      <c r="DU263" s="94">
        <v>139</v>
      </c>
      <c r="DV263" s="64">
        <f>SUM(DR263:DU263)</f>
        <v>563</v>
      </c>
      <c r="DW263" s="94">
        <v>140</v>
      </c>
      <c r="DX263" s="8">
        <v>135</v>
      </c>
      <c r="DY263" s="94">
        <v>137</v>
      </c>
      <c r="DZ263" s="94">
        <v>133</v>
      </c>
      <c r="EA263" s="64">
        <f>SUM(DW263:DZ263)</f>
        <v>545</v>
      </c>
      <c r="EB263" s="94">
        <v>134</v>
      </c>
      <c r="EC263" s="8">
        <v>134</v>
      </c>
      <c r="ED263" s="94">
        <v>136</v>
      </c>
      <c r="EE263" s="94">
        <v>140</v>
      </c>
      <c r="EF263" s="64">
        <f>SUM(EB263:EE263)</f>
        <v>544</v>
      </c>
      <c r="EG263" s="94">
        <v>143</v>
      </c>
      <c r="EH263" s="8">
        <v>141</v>
      </c>
      <c r="EI263" s="94">
        <v>139</v>
      </c>
      <c r="EJ263" s="94">
        <v>156</v>
      </c>
      <c r="EK263" s="64">
        <f>SUM(EG263:EJ263)</f>
        <v>579</v>
      </c>
      <c r="EL263" s="94">
        <v>137</v>
      </c>
      <c r="EM263" s="8">
        <v>137</v>
      </c>
      <c r="EN263" s="94">
        <v>132</v>
      </c>
      <c r="EO263" s="94">
        <v>140</v>
      </c>
      <c r="EP263" s="64">
        <f>SUM(EL263:EO263)</f>
        <v>546</v>
      </c>
      <c r="EQ263" s="94">
        <v>149</v>
      </c>
      <c r="ER263" s="672">
        <f>+EQ263+1</f>
        <v>150</v>
      </c>
      <c r="ES263" s="672">
        <f t="shared" ref="ES263:ET263" si="1295">+ER263+1</f>
        <v>151</v>
      </c>
      <c r="ET263" s="672">
        <f t="shared" si="1295"/>
        <v>152</v>
      </c>
      <c r="EU263" s="1658">
        <f>+SUM(EQ263:ET263)</f>
        <v>602</v>
      </c>
      <c r="EV263" s="116"/>
      <c r="EW263" s="116"/>
      <c r="EX263" s="116"/>
      <c r="EY263" s="116"/>
      <c r="EZ263" s="117">
        <v>630.40499999999997</v>
      </c>
      <c r="FA263" s="116"/>
      <c r="FB263" s="116"/>
      <c r="FC263" s="116"/>
      <c r="FD263" s="116"/>
      <c r="FE263" s="117">
        <v>612.40499999999997</v>
      </c>
      <c r="FG263" s="494"/>
      <c r="FH263" s="807"/>
      <c r="FI263" s="807"/>
      <c r="FJ263" s="807"/>
      <c r="FL263" s="1374"/>
      <c r="FM263" s="1590">
        <f>+EQ263</f>
        <v>149</v>
      </c>
      <c r="FN263" s="1479">
        <f>EL263</f>
        <v>137</v>
      </c>
      <c r="FO263" s="1889">
        <v>143</v>
      </c>
      <c r="FP263" s="1770">
        <f>+FM263/FN263-1</f>
        <v>8.7591240875912302E-2</v>
      </c>
      <c r="FQ263" s="1544">
        <f>+FM263/FO263-1</f>
        <v>4.195804195804187E-2</v>
      </c>
      <c r="FR263" s="1698" t="s">
        <v>764</v>
      </c>
      <c r="FS263" s="1619"/>
      <c r="FT263" s="1619"/>
      <c r="FU263" s="1619"/>
      <c r="FV263" s="1619"/>
      <c r="FW263" s="355"/>
      <c r="FX263" s="355"/>
      <c r="FY263" s="355"/>
      <c r="FZ263" s="494"/>
      <c r="GA263"/>
      <c r="GB263"/>
      <c r="GC263"/>
      <c r="GD263"/>
      <c r="GE263"/>
      <c r="GF263"/>
      <c r="GG263"/>
      <c r="GH263"/>
      <c r="GI263"/>
      <c r="GJ263"/>
      <c r="GK263"/>
      <c r="GL263"/>
      <c r="GM263"/>
      <c r="GN263"/>
      <c r="GO263"/>
      <c r="GP263"/>
      <c r="GQ263"/>
      <c r="GR263"/>
      <c r="GS263"/>
      <c r="GT263"/>
      <c r="GU263"/>
      <c r="GV263"/>
      <c r="GW263"/>
      <c r="GX263"/>
      <c r="GY263"/>
      <c r="GZ263"/>
      <c r="HA263"/>
      <c r="HB263"/>
      <c r="HC263"/>
      <c r="HD263"/>
      <c r="HE263"/>
      <c r="HF263"/>
      <c r="HG263"/>
      <c r="HH263"/>
      <c r="HI263"/>
      <c r="HJ263"/>
      <c r="HK263"/>
      <c r="HL263"/>
      <c r="HM263"/>
      <c r="HN263"/>
      <c r="HO263"/>
      <c r="HP263"/>
      <c r="HQ263"/>
      <c r="HR263"/>
      <c r="HS263"/>
      <c r="HT263"/>
      <c r="HU263"/>
      <c r="HV263"/>
      <c r="HW263"/>
      <c r="HX263"/>
      <c r="HY263"/>
      <c r="HZ263"/>
      <c r="IA263"/>
      <c r="IB263"/>
      <c r="IC263"/>
      <c r="ID263"/>
      <c r="IE263"/>
      <c r="IF263"/>
      <c r="IG263"/>
      <c r="IH263"/>
      <c r="II263"/>
      <c r="IJ263"/>
      <c r="IK263"/>
      <c r="IL263"/>
      <c r="IM263"/>
      <c r="IN263"/>
      <c r="IO263"/>
      <c r="IP263"/>
      <c r="IQ263"/>
      <c r="IR263"/>
      <c r="IS263"/>
      <c r="IT263"/>
      <c r="IU263"/>
      <c r="IV263"/>
      <c r="IW263"/>
      <c r="IX263"/>
    </row>
    <row r="264" spans="1:258" s="289" customFormat="1" x14ac:dyDescent="0.2">
      <c r="A264" s="610" t="s">
        <v>611</v>
      </c>
      <c r="B264" s="285"/>
      <c r="C264" s="285"/>
      <c r="D264" s="285"/>
      <c r="E264" s="285"/>
      <c r="F264" s="287"/>
      <c r="G264" s="285"/>
      <c r="H264" s="285"/>
      <c r="I264" s="285"/>
      <c r="J264" s="285"/>
      <c r="K264" s="287"/>
      <c r="L264" s="285"/>
      <c r="M264" s="285"/>
      <c r="N264" s="285"/>
      <c r="O264" s="285"/>
      <c r="P264" s="287"/>
      <c r="Q264" s="285"/>
      <c r="R264" s="285"/>
      <c r="S264" s="285"/>
      <c r="T264" s="285"/>
      <c r="U264" s="287"/>
      <c r="V264" s="285"/>
      <c r="W264" s="285"/>
      <c r="X264" s="285"/>
      <c r="Y264" s="285"/>
      <c r="Z264" s="287"/>
      <c r="AA264" s="285"/>
      <c r="AB264" s="285"/>
      <c r="AC264" s="285"/>
      <c r="AD264" s="285"/>
      <c r="AE264" s="287"/>
      <c r="AF264" s="285"/>
      <c r="AG264" s="285"/>
      <c r="AH264" s="285"/>
      <c r="AI264" s="285"/>
      <c r="AJ264" s="287"/>
      <c r="AK264" s="285"/>
      <c r="AL264" s="285"/>
      <c r="AM264" s="285"/>
      <c r="AN264" s="285"/>
      <c r="AO264" s="287"/>
      <c r="AP264" s="285"/>
      <c r="AQ264" s="285"/>
      <c r="AR264" s="285"/>
      <c r="AS264" s="285"/>
      <c r="AT264" s="287"/>
      <c r="AU264" s="285"/>
      <c r="AV264" s="285"/>
      <c r="AW264" s="285"/>
      <c r="AX264" s="285"/>
      <c r="AY264" s="287"/>
      <c r="AZ264" s="285"/>
      <c r="BA264" s="285"/>
      <c r="BB264" s="285"/>
      <c r="BC264" s="285"/>
      <c r="BD264" s="287"/>
      <c r="BE264" s="285"/>
      <c r="BF264" s="285"/>
      <c r="BG264" s="285"/>
      <c r="BH264" s="285"/>
      <c r="BI264" s="287"/>
      <c r="BJ264" s="285"/>
      <c r="BK264" s="285"/>
      <c r="BL264" s="285"/>
      <c r="BM264" s="285"/>
      <c r="BN264" s="287"/>
      <c r="BO264" s="285"/>
      <c r="BP264" s="285"/>
      <c r="BQ264" s="285"/>
      <c r="BR264" s="285"/>
      <c r="BS264" s="287"/>
      <c r="BT264" s="285"/>
      <c r="BU264" s="285"/>
      <c r="BV264" s="285"/>
      <c r="BW264" s="285"/>
      <c r="BX264" s="287"/>
      <c r="BY264" s="285"/>
      <c r="BZ264" s="285"/>
      <c r="CA264" s="285"/>
      <c r="CB264" s="285"/>
      <c r="CC264" s="287"/>
      <c r="CD264" s="285"/>
      <c r="CE264" s="285"/>
      <c r="CF264" s="285"/>
      <c r="CG264" s="285"/>
      <c r="CH264" s="287"/>
      <c r="CI264" s="285"/>
      <c r="CJ264" s="285"/>
      <c r="CK264" s="285"/>
      <c r="CL264" s="285"/>
      <c r="CM264" s="287"/>
      <c r="CN264" s="285"/>
      <c r="CO264" s="285"/>
      <c r="CP264" s="285"/>
      <c r="CQ264" s="285"/>
      <c r="CR264" s="287"/>
      <c r="CS264" s="285"/>
      <c r="CT264" s="285"/>
      <c r="CU264" s="285"/>
      <c r="CV264" s="285"/>
      <c r="CW264" s="287"/>
      <c r="CX264" s="285"/>
      <c r="CY264" s="285"/>
      <c r="CZ264" s="285"/>
      <c r="DA264" s="285"/>
      <c r="DB264" s="287"/>
      <c r="DC264" s="285"/>
      <c r="DD264" s="285"/>
      <c r="DE264" s="285"/>
      <c r="DF264" s="285"/>
      <c r="DG264" s="287"/>
      <c r="DH264" s="285"/>
      <c r="DI264" s="285"/>
      <c r="DJ264" s="285"/>
      <c r="DK264" s="285"/>
      <c r="DL264" s="287"/>
      <c r="DM264" s="285"/>
      <c r="DN264" s="285"/>
      <c r="DO264" s="285"/>
      <c r="DP264" s="285"/>
      <c r="DQ264" s="287"/>
      <c r="DR264" s="285"/>
      <c r="DS264" s="285"/>
      <c r="DT264" s="285"/>
      <c r="DU264" s="285"/>
      <c r="DV264" s="287"/>
      <c r="DW264" s="285"/>
      <c r="DX264" s="285"/>
      <c r="DY264" s="285"/>
      <c r="DZ264" s="285"/>
      <c r="EA264" s="287"/>
      <c r="EB264" s="285"/>
      <c r="EC264" s="285"/>
      <c r="ED264" s="285"/>
      <c r="EE264" s="285"/>
      <c r="EF264" s="287"/>
      <c r="EG264" s="285"/>
      <c r="EH264" s="285"/>
      <c r="EI264" s="1699"/>
      <c r="EJ264" s="285"/>
      <c r="EK264" s="287"/>
      <c r="EL264" s="285"/>
      <c r="EM264" s="285"/>
      <c r="EN264" s="1699"/>
      <c r="EO264" s="285"/>
      <c r="EP264" s="287"/>
      <c r="EQ264" s="285"/>
      <c r="ER264" s="285"/>
      <c r="ES264" s="285"/>
      <c r="ET264" s="285"/>
      <c r="EU264" s="287">
        <f>EU265*EU266</f>
        <v>600.26850000000002</v>
      </c>
      <c r="EV264" s="288"/>
      <c r="EW264" s="288"/>
      <c r="EX264" s="288"/>
      <c r="EY264" s="288"/>
      <c r="EZ264" s="287">
        <f>EZ265*EZ266</f>
        <v>630.40499999999997</v>
      </c>
      <c r="FA264" s="288"/>
      <c r="FB264" s="288"/>
      <c r="FC264" s="288"/>
      <c r="FD264" s="288"/>
      <c r="FE264" s="287">
        <f>FE265*FE266</f>
        <v>612.40499999999997</v>
      </c>
      <c r="FG264" s="494"/>
      <c r="FH264" s="808"/>
      <c r="FI264" s="808"/>
      <c r="FJ264" s="808"/>
      <c r="FL264" s="1375"/>
      <c r="FM264" s="1588"/>
      <c r="FN264" s="1480"/>
      <c r="FO264" s="1886"/>
      <c r="FP264" s="1778"/>
      <c r="FQ264" s="1603"/>
      <c r="FR264" s="1630"/>
      <c r="FS264" s="1629" t="s">
        <v>765</v>
      </c>
      <c r="FT264" s="449"/>
      <c r="FU264" s="355"/>
      <c r="FV264" s="355"/>
      <c r="FW264" s="449"/>
      <c r="FX264" s="449"/>
      <c r="FY264" s="449"/>
      <c r="FZ264" s="494"/>
      <c r="GA264"/>
      <c r="GB264"/>
      <c r="GC264"/>
      <c r="GD264"/>
      <c r="GE264"/>
      <c r="GF264"/>
      <c r="GG264"/>
      <c r="GH264"/>
      <c r="GI264"/>
      <c r="GJ264"/>
      <c r="GK264"/>
      <c r="GL264"/>
      <c r="GM264"/>
      <c r="GN264"/>
      <c r="GO264"/>
      <c r="GP264"/>
      <c r="GQ264"/>
      <c r="GR264"/>
      <c r="GS264"/>
      <c r="GT264"/>
      <c r="GU264"/>
      <c r="GV264"/>
      <c r="GW264"/>
      <c r="GX264"/>
      <c r="GY264"/>
      <c r="GZ264"/>
      <c r="HA264"/>
      <c r="HB264"/>
      <c r="HC264"/>
      <c r="HD264"/>
      <c r="HE264"/>
      <c r="HF264"/>
      <c r="HG264"/>
      <c r="HH264"/>
      <c r="HI264"/>
      <c r="HJ264"/>
      <c r="HK264"/>
      <c r="HL264"/>
      <c r="HM264"/>
      <c r="HN264"/>
      <c r="HO264"/>
      <c r="HP264"/>
      <c r="HQ264"/>
      <c r="HR264"/>
      <c r="HS264"/>
      <c r="HT264"/>
      <c r="HU264"/>
      <c r="HV264"/>
      <c r="HW264"/>
      <c r="HX264"/>
      <c r="HY264"/>
      <c r="HZ264"/>
      <c r="IA264"/>
      <c r="IB264"/>
      <c r="IC264"/>
      <c r="ID264"/>
      <c r="IE264"/>
      <c r="IF264"/>
      <c r="IG264"/>
      <c r="IH264"/>
      <c r="II264"/>
      <c r="IJ264"/>
      <c r="IK264"/>
      <c r="IL264"/>
      <c r="IM264"/>
      <c r="IN264"/>
      <c r="IO264"/>
      <c r="IP264"/>
      <c r="IQ264"/>
      <c r="IR264"/>
      <c r="IS264"/>
      <c r="IT264"/>
      <c r="IU264"/>
      <c r="IV264"/>
      <c r="IW264"/>
      <c r="IX264"/>
    </row>
    <row r="265" spans="1:258" s="227" customFormat="1" x14ac:dyDescent="0.2">
      <c r="A265" s="611" t="s">
        <v>608</v>
      </c>
      <c r="B265" s="10"/>
      <c r="C265" s="10"/>
      <c r="D265" s="10"/>
      <c r="E265" s="14"/>
      <c r="F265" s="290"/>
      <c r="G265" s="10"/>
      <c r="H265" s="10"/>
      <c r="I265" s="10"/>
      <c r="J265" s="14"/>
      <c r="K265" s="290"/>
      <c r="L265" s="10"/>
      <c r="M265" s="10"/>
      <c r="N265" s="10"/>
      <c r="O265" s="14"/>
      <c r="P265" s="290"/>
      <c r="Q265" s="10"/>
      <c r="R265" s="10"/>
      <c r="S265" s="10"/>
      <c r="T265" s="14"/>
      <c r="U265" s="290"/>
      <c r="V265" s="10"/>
      <c r="W265" s="10"/>
      <c r="X265" s="10"/>
      <c r="Y265" s="14"/>
      <c r="Z265" s="290"/>
      <c r="AA265" s="10"/>
      <c r="AB265" s="10"/>
      <c r="AC265" s="10"/>
      <c r="AD265" s="14"/>
      <c r="AE265" s="290"/>
      <c r="AF265" s="10"/>
      <c r="AG265" s="10"/>
      <c r="AH265" s="10"/>
      <c r="AI265" s="14"/>
      <c r="AJ265" s="290"/>
      <c r="AK265" s="10"/>
      <c r="AL265" s="10"/>
      <c r="AM265" s="10"/>
      <c r="AN265" s="14"/>
      <c r="AO265" s="290"/>
      <c r="AP265" s="10"/>
      <c r="AQ265" s="10"/>
      <c r="AR265" s="10"/>
      <c r="AS265" s="14"/>
      <c r="AT265" s="290"/>
      <c r="AU265" s="10"/>
      <c r="AV265" s="10"/>
      <c r="AW265" s="10"/>
      <c r="AX265" s="14"/>
      <c r="AY265" s="290"/>
      <c r="AZ265" s="10"/>
      <c r="BA265" s="10"/>
      <c r="BB265" s="10"/>
      <c r="BC265" s="14"/>
      <c r="BD265" s="290"/>
      <c r="BE265" s="10"/>
      <c r="BF265" s="10"/>
      <c r="BG265" s="10"/>
      <c r="BH265" s="14"/>
      <c r="BI265" s="290"/>
      <c r="BJ265" s="10"/>
      <c r="BK265" s="10"/>
      <c r="BL265" s="10"/>
      <c r="BM265" s="14"/>
      <c r="BN265" s="290"/>
      <c r="BO265" s="10">
        <f>(BO263/BO266)*4</f>
        <v>6.3241106719367585E-2</v>
      </c>
      <c r="BP265" s="10">
        <f>(BP263/BP266)*4</f>
        <v>6.3758158708347654E-2</v>
      </c>
      <c r="BQ265" s="10">
        <f>(BQ263/BQ266)*4</f>
        <v>5.9668508287292817E-2</v>
      </c>
      <c r="BR265" s="14">
        <f>(BR263/BR266)*4</f>
        <v>5.8398144358029744E-2</v>
      </c>
      <c r="BS265" s="290">
        <f>BS263/BS266</f>
        <v>6.0717696820848682E-2</v>
      </c>
      <c r="BT265" s="10">
        <f>(BT263/BT266)*4</f>
        <v>5.6969026548672565E-2</v>
      </c>
      <c r="BU265" s="10">
        <f>(BU263/BU266)*4</f>
        <v>5.7779612051176231E-2</v>
      </c>
      <c r="BV265" s="10">
        <f>(BV263/BV266)*4</f>
        <v>5.3933760963476893E-2</v>
      </c>
      <c r="BW265" s="14">
        <f>(BW263/BW266)*4</f>
        <v>5.6696251159093922E-2</v>
      </c>
      <c r="BX265" s="290">
        <f>BX263/BX266</f>
        <v>5.5371572393694529E-2</v>
      </c>
      <c r="BY265" s="10">
        <f>(BY263/BY266)*4</f>
        <v>5.8130929152930097E-2</v>
      </c>
      <c r="BZ265" s="10">
        <f>(BZ263/BZ266)*4</f>
        <v>5.7127882599580709E-2</v>
      </c>
      <c r="CA265" s="10">
        <f>(CA263/CA266)*4</f>
        <v>5.6177542232527328E-2</v>
      </c>
      <c r="CB265" s="14">
        <f>(CB263/CB266)*4</f>
        <v>6.0902664491571508E-2</v>
      </c>
      <c r="CC265" s="290">
        <f>CC263/CC266</f>
        <v>5.9135399673735725E-2</v>
      </c>
      <c r="CD265" s="10">
        <f>(CD263/CD266)*4</f>
        <v>6.310545253252145E-2</v>
      </c>
      <c r="CE265" s="10">
        <f>(CE263/CE266)*4</f>
        <v>6.6986374362487625E-2</v>
      </c>
      <c r="CF265" s="10">
        <f>(CF263/CF266)*4</f>
        <v>6.6544668108467805E-2</v>
      </c>
      <c r="CG265" s="14">
        <f>(CG263/CG266)*4</f>
        <v>6.5808059825508927E-2</v>
      </c>
      <c r="CH265" s="290">
        <f>CH263/CH266</f>
        <v>7.029497299543E-2</v>
      </c>
      <c r="CI265" s="10">
        <f>(CI263/CI266)*4</f>
        <v>6.5382370110916521E-2</v>
      </c>
      <c r="CJ265" s="10">
        <f>(CJ263/CJ266)*4</f>
        <v>6.584915168822443E-2</v>
      </c>
      <c r="CK265" s="10">
        <f>(CK263/CK266)*4</f>
        <v>6.492637215528782E-2</v>
      </c>
      <c r="CL265" s="14">
        <f>(CL263/CL266)*4</f>
        <v>6.6170941599131089E-2</v>
      </c>
      <c r="CM265" s="290">
        <f>CM263/CM266</f>
        <v>6.550254824964491E-2</v>
      </c>
      <c r="CN265" s="10">
        <f>(CN263/CN266)*4</f>
        <v>6.6582597730138721E-2</v>
      </c>
      <c r="CO265" s="10">
        <f>(CO263/CO266)*4</f>
        <v>6.7773863445730581E-2</v>
      </c>
      <c r="CP265" s="10">
        <f>(CP263/CP266)*4</f>
        <v>6.324600837079522E-2</v>
      </c>
      <c r="CQ265" s="14">
        <f>(CQ263/CQ266)*4</f>
        <v>6.4935064935064929E-2</v>
      </c>
      <c r="CR265" s="290">
        <f>CR263/CR266</f>
        <v>5.8865047995482776E-2</v>
      </c>
      <c r="CS265" s="10">
        <f>(CS263/CS266)*4</f>
        <v>6.1558357581635949E-2</v>
      </c>
      <c r="CT265" s="10">
        <f>(CT263/CT266)*4</f>
        <v>6.5719579987646701E-2</v>
      </c>
      <c r="CU265" s="10">
        <f>(CU263/CU266)*4</f>
        <v>6.5953429830081817E-2</v>
      </c>
      <c r="CV265" s="14">
        <f>(CV263/CV266)*4</f>
        <v>6.9114470842332618E-2</v>
      </c>
      <c r="CW265" s="290">
        <f>CW263/CW266</f>
        <v>6.5938254351416592E-2</v>
      </c>
      <c r="CX265" s="10">
        <f>(CX263/CX266)*4</f>
        <v>6.9884145963694938E-2</v>
      </c>
      <c r="CY265" s="10">
        <f>(CY263/CY266)*4</f>
        <v>6.7149758454106284E-2</v>
      </c>
      <c r="CZ265" s="10">
        <f>(CZ263/CZ266)*4</f>
        <v>6.7990044314939602E-2</v>
      </c>
      <c r="DA265" s="14">
        <f>(DA263/DA266)*4</f>
        <v>6.8022181146025873E-2</v>
      </c>
      <c r="DB265" s="290">
        <f>DB263/DB266</f>
        <v>6.8761552680221813E-2</v>
      </c>
      <c r="DC265" s="10">
        <f>(DC263/DC266)*4</f>
        <v>7.1013314996561855E-2</v>
      </c>
      <c r="DD265" s="10">
        <f>(DD263/DD266)*4</f>
        <v>6.7826414620360487E-2</v>
      </c>
      <c r="DE265" s="10">
        <f>(DE263/DE266)*4</f>
        <v>6.6178327860570846E-2</v>
      </c>
      <c r="DF265" s="14">
        <f>(DF263/DF266)*4</f>
        <v>7.1954605819147657E-2</v>
      </c>
      <c r="DG265" s="290">
        <f>DG263/DG266</f>
        <v>6.7246166847760469E-2</v>
      </c>
      <c r="DH265" s="10">
        <f>(DH263/DH266)*4</f>
        <v>6.6650797429183534E-2</v>
      </c>
      <c r="DI265" s="10">
        <f>(DI263/DI266)*4</f>
        <v>6.3733650416171225E-2</v>
      </c>
      <c r="DJ265" s="10">
        <f>(DJ263/DJ266)*4</f>
        <v>6.3689858082381451E-2</v>
      </c>
      <c r="DK265" s="14">
        <f>(DK263/DK266)*4</f>
        <v>6.2587314892428053E-2</v>
      </c>
      <c r="DL265" s="290">
        <f>DL263/DL266</f>
        <v>6.1658754537838589E-2</v>
      </c>
      <c r="DM265" s="10">
        <f>(DM263/DM266)*4</f>
        <v>6.272459980398562E-2</v>
      </c>
      <c r="DN265" s="10">
        <f>(DN263/DN266)*4</f>
        <v>6.0931506849315066E-2</v>
      </c>
      <c r="DO265" s="10">
        <f>(DO263/DO266)*4</f>
        <v>6.069936221684627E-2</v>
      </c>
      <c r="DP265" s="14">
        <f>(DP263/DP266)*4</f>
        <v>6.1391902619740674E-2</v>
      </c>
      <c r="DQ265" s="290">
        <f>DQ263/DQ266</f>
        <v>5.9350914905887904E-2</v>
      </c>
      <c r="DR265" s="10">
        <f>(DR263/DR266)*4</f>
        <v>6.1090909090909092E-2</v>
      </c>
      <c r="DS265" s="10">
        <f>(DS263/DS266)*4</f>
        <v>6.0022348746873837E-2</v>
      </c>
      <c r="DT265" s="10">
        <f>(DT263/DT266)*4</f>
        <v>5.904699880603495E-2</v>
      </c>
      <c r="DU265" s="14">
        <f>(DU263/DU266)*4</f>
        <v>5.976566698914329E-2</v>
      </c>
      <c r="DV265" s="290">
        <f>DV263/DV266</f>
        <v>5.8080156806107182E-2</v>
      </c>
      <c r="DW265" s="10">
        <f>(DW263/DW266)*4</f>
        <v>5.9256124014602403E-2</v>
      </c>
      <c r="DX265" s="10">
        <f>(DX263/DX266)*4</f>
        <v>5.7893326186009113E-2</v>
      </c>
      <c r="DY265" s="10">
        <f>(DY263/DY266)*4</f>
        <v>5.7909753777871713E-2</v>
      </c>
      <c r="DZ265" s="14">
        <f>(DZ263/DZ266)*4</f>
        <v>5.496151660726277E-2</v>
      </c>
      <c r="EA265" s="290">
        <f>EA263/EA266</f>
        <v>5.6485464061771261E-2</v>
      </c>
      <c r="EB265" s="10">
        <f>(EB263/EB266)*4</f>
        <v>5.5022327157008673E-2</v>
      </c>
      <c r="EC265" s="10">
        <f>(EC263/EC266)*4</f>
        <v>5.3961542333635357E-2</v>
      </c>
      <c r="ED265" s="10">
        <f>(ED263/ED266)*4</f>
        <v>5.3778854233601896E-2</v>
      </c>
      <c r="EE265" s="14">
        <f>(EE263/EE266)*4</f>
        <v>5.4260936970108038E-2</v>
      </c>
      <c r="EF265" s="290">
        <f>EF263/EF266</f>
        <v>5.3656852591606255E-2</v>
      </c>
      <c r="EG265" s="10">
        <f>(EG263/EG266)*4</f>
        <v>5.4292629680603673E-2</v>
      </c>
      <c r="EH265" s="10">
        <f>(EH263/EH266)*4</f>
        <v>5.3528211455416884E-2</v>
      </c>
      <c r="EI265" s="921">
        <f>(EI263/EI266)*4</f>
        <v>5.2811550151975681E-2</v>
      </c>
      <c r="EJ265" s="14">
        <f>(EJ263/EJ266)*4</f>
        <v>5.7216211259856958E-2</v>
      </c>
      <c r="EK265" s="290">
        <f>EK263/EK266</f>
        <v>5.3051126992853213E-2</v>
      </c>
      <c r="EL265" s="10">
        <f>(EL263/EL266)*4</f>
        <v>4.8523486961526544E-2</v>
      </c>
      <c r="EM265" s="10">
        <f>(EM263/EM266)*4</f>
        <v>4.7406894761884165E-2</v>
      </c>
      <c r="EN265" s="921">
        <f>(EN263/EN266)*4</f>
        <v>4.4685172647257958E-2</v>
      </c>
      <c r="EO265" s="14">
        <f>(EO263/EO266)*4</f>
        <v>4.7425474254742549E-2</v>
      </c>
      <c r="EP265" s="290">
        <f>EP263/EP266</f>
        <v>4.7268634750238077E-2</v>
      </c>
      <c r="EQ265" s="10">
        <f>(EQ263/EQ266)*4</f>
        <v>4.6569776527582436E-2</v>
      </c>
      <c r="ER265" s="291"/>
      <c r="ES265" s="291"/>
      <c r="ET265" s="291"/>
      <c r="EU265" s="256">
        <v>4.65E-2</v>
      </c>
      <c r="EV265" s="292"/>
      <c r="EW265" s="292"/>
      <c r="EX265" s="292"/>
      <c r="EY265" s="292"/>
      <c r="EZ265" s="256">
        <f>+EU265-0.15%</f>
        <v>4.4999999999999998E-2</v>
      </c>
      <c r="FA265" s="292"/>
      <c r="FB265" s="292"/>
      <c r="FC265" s="292"/>
      <c r="FD265" s="292"/>
      <c r="FE265" s="256">
        <f>+EZ265</f>
        <v>4.4999999999999998E-2</v>
      </c>
      <c r="FG265" s="494"/>
      <c r="FH265" s="809"/>
      <c r="FI265" s="809"/>
      <c r="FJ265" s="809"/>
      <c r="FL265" s="1371"/>
      <c r="FM265" s="1589"/>
      <c r="FN265" s="1418"/>
      <c r="FO265" s="1887"/>
      <c r="FP265" s="1779"/>
      <c r="FQ265" s="1604"/>
      <c r="FR265" s="1619"/>
      <c r="FS265" s="1619"/>
      <c r="FT265" s="997"/>
      <c r="FU265" s="432"/>
      <c r="FV265" s="432"/>
      <c r="FW265" s="432"/>
      <c r="FX265" s="432"/>
      <c r="FY265" s="432"/>
      <c r="FZ265" s="494"/>
      <c r="GA265"/>
      <c r="GB265"/>
      <c r="GC265"/>
      <c r="GD265"/>
      <c r="GE265"/>
      <c r="GF265"/>
      <c r="GG265"/>
      <c r="GH265"/>
      <c r="GI265"/>
      <c r="GJ265"/>
      <c r="GK265"/>
      <c r="GL265"/>
      <c r="GM265"/>
      <c r="GN265"/>
      <c r="GO265"/>
      <c r="GP265"/>
      <c r="GQ265"/>
      <c r="GR265"/>
      <c r="GS265"/>
      <c r="GT265"/>
      <c r="GU265"/>
      <c r="GV265"/>
      <c r="GW265"/>
      <c r="GX265"/>
      <c r="GY265"/>
      <c r="GZ265"/>
      <c r="HA265"/>
      <c r="HB265"/>
      <c r="HC265"/>
      <c r="HD265"/>
      <c r="HE265"/>
      <c r="HF265"/>
      <c r="HG265"/>
      <c r="HH265"/>
      <c r="HI265"/>
      <c r="HJ265"/>
      <c r="HK265"/>
      <c r="HL265"/>
      <c r="HM265"/>
      <c r="HN265"/>
      <c r="HO265"/>
      <c r="HP265"/>
      <c r="HQ265"/>
      <c r="HR265"/>
      <c r="HS265"/>
      <c r="HT265"/>
      <c r="HU265"/>
      <c r="HV265"/>
      <c r="HW265"/>
      <c r="HX265"/>
      <c r="HY265"/>
      <c r="HZ265"/>
      <c r="IA265"/>
      <c r="IB265"/>
      <c r="IC265"/>
      <c r="ID265"/>
      <c r="IE265"/>
      <c r="IF265"/>
      <c r="IG265"/>
      <c r="IH265"/>
      <c r="II265"/>
      <c r="IJ265"/>
      <c r="IK265"/>
      <c r="IL265"/>
      <c r="IM265"/>
      <c r="IN265"/>
      <c r="IO265"/>
      <c r="IP265"/>
      <c r="IQ265"/>
      <c r="IR265"/>
      <c r="IS265"/>
      <c r="IT265"/>
      <c r="IU265"/>
      <c r="IV265"/>
      <c r="IW265"/>
      <c r="IX265"/>
    </row>
    <row r="266" spans="1:258" s="39" customFormat="1" x14ac:dyDescent="0.2">
      <c r="A266" s="612" t="s">
        <v>610</v>
      </c>
      <c r="B266" s="63"/>
      <c r="C266" s="63"/>
      <c r="D266" s="63"/>
      <c r="E266" s="63"/>
      <c r="F266" s="64"/>
      <c r="G266" s="63"/>
      <c r="H266" s="63"/>
      <c r="I266" s="63"/>
      <c r="J266" s="63"/>
      <c r="K266" s="64"/>
      <c r="L266" s="63"/>
      <c r="M266" s="63"/>
      <c r="N266" s="63"/>
      <c r="O266" s="63"/>
      <c r="P266" s="64"/>
      <c r="Q266" s="63"/>
      <c r="R266" s="63"/>
      <c r="S266" s="63"/>
      <c r="T266" s="63"/>
      <c r="U266" s="64"/>
      <c r="V266" s="63"/>
      <c r="W266" s="63"/>
      <c r="X266" s="63"/>
      <c r="Y266" s="63"/>
      <c r="Z266" s="64"/>
      <c r="AA266" s="63"/>
      <c r="AB266" s="63"/>
      <c r="AC266" s="63"/>
      <c r="AD266" s="63"/>
      <c r="AE266" s="64"/>
      <c r="AF266" s="63"/>
      <c r="AG266" s="63"/>
      <c r="AH266" s="63"/>
      <c r="AI266" s="63"/>
      <c r="AJ266" s="64"/>
      <c r="AK266" s="63"/>
      <c r="AL266" s="63"/>
      <c r="AM266" s="63"/>
      <c r="AN266" s="63"/>
      <c r="AO266" s="64"/>
      <c r="AP266" s="63"/>
      <c r="AQ266" s="63"/>
      <c r="AR266" s="63"/>
      <c r="AS266" s="63"/>
      <c r="AT266" s="64"/>
      <c r="AU266" s="63"/>
      <c r="AV266" s="63"/>
      <c r="AW266" s="63"/>
      <c r="AX266" s="63"/>
      <c r="AY266" s="64"/>
      <c r="AZ266" s="63"/>
      <c r="BA266" s="63"/>
      <c r="BB266" s="63"/>
      <c r="BC266" s="63"/>
      <c r="BD266" s="64"/>
      <c r="BE266" s="63"/>
      <c r="BF266" s="63"/>
      <c r="BG266" s="63"/>
      <c r="BH266" s="63"/>
      <c r="BI266" s="64"/>
      <c r="BJ266" s="63"/>
      <c r="BK266" s="63"/>
      <c r="BL266" s="63"/>
      <c r="BM266" s="63"/>
      <c r="BN266" s="64">
        <f>BM266</f>
        <v>0</v>
      </c>
      <c r="BO266" s="63">
        <f>AVERAGE(BM267,BO267)</f>
        <v>7210.5</v>
      </c>
      <c r="BP266" s="63">
        <f>AVERAGE(BO267:BP267)</f>
        <v>7277.5</v>
      </c>
      <c r="BQ266" s="63">
        <f>AVERAGE(BP267:BQ267)</f>
        <v>7240</v>
      </c>
      <c r="BR266" s="63">
        <f>AVERAGE(BQ267:BR267)</f>
        <v>7329</v>
      </c>
      <c r="BS266" s="64">
        <f>BR266</f>
        <v>7329</v>
      </c>
      <c r="BT266" s="63">
        <f>AVERAGE(BR267,BT267)</f>
        <v>7232</v>
      </c>
      <c r="BU266" s="63">
        <f>AVERAGE(BT267:BU267)</f>
        <v>7269</v>
      </c>
      <c r="BV266" s="63">
        <f>AVERAGE(BU267:BV267)</f>
        <v>7639</v>
      </c>
      <c r="BW266" s="63">
        <f>AVERAGE(BV267:BW267)</f>
        <v>7549</v>
      </c>
      <c r="BX266" s="64">
        <f>BW266</f>
        <v>7549</v>
      </c>
      <c r="BY266" s="63">
        <f>AVERAGE(BW267,BY267)</f>
        <v>7431.5</v>
      </c>
      <c r="BZ266" s="63">
        <f>AVERAGE(BY267:BZ267)</f>
        <v>7632</v>
      </c>
      <c r="CA266" s="63">
        <f>AVERAGE(BZ267:CA267)</f>
        <v>7547.5</v>
      </c>
      <c r="CB266" s="63">
        <f>AVERAGE(CA267:CB267)</f>
        <v>7356</v>
      </c>
      <c r="CC266" s="64">
        <f>CB266</f>
        <v>7356</v>
      </c>
      <c r="CD266" s="63">
        <f>AVERAGE(CB267,CD267)</f>
        <v>7226</v>
      </c>
      <c r="CE266" s="63">
        <f>AVERAGE(CD267:CE267)</f>
        <v>6568.5</v>
      </c>
      <c r="CF266" s="63">
        <f>AVERAGE(CE267:CF267)</f>
        <v>6011</v>
      </c>
      <c r="CG266" s="63">
        <f>AVERAGE(CF267:CG267)</f>
        <v>6017.5</v>
      </c>
      <c r="CH266" s="64">
        <f>CG266</f>
        <v>6017.5</v>
      </c>
      <c r="CI266" s="63">
        <f>AVERAGE(CG267,CI267)</f>
        <v>5995.5</v>
      </c>
      <c r="CJ266" s="63">
        <f>AVERAGE(CI267:CJ267)</f>
        <v>5953</v>
      </c>
      <c r="CK266" s="63">
        <f>AVERAGE(CJ267:CK267)</f>
        <v>5976</v>
      </c>
      <c r="CL266" s="63">
        <f>AVERAGE(CK267:CL267)</f>
        <v>5984.5</v>
      </c>
      <c r="CM266" s="64">
        <f>CL266</f>
        <v>5984.5</v>
      </c>
      <c r="CN266" s="63">
        <f>AVERAGE(CL267,CN267)</f>
        <v>5947.5</v>
      </c>
      <c r="CO266" s="63">
        <f>AVERAGE(CN267:CO267)</f>
        <v>5961</v>
      </c>
      <c r="CP266" s="63">
        <f>AVERAGE(CO267:CP267)</f>
        <v>6451</v>
      </c>
      <c r="CQ266" s="63">
        <f>AVERAGE(CP267:CQ267)</f>
        <v>7084</v>
      </c>
      <c r="CR266" s="64">
        <f>CQ266</f>
        <v>7084</v>
      </c>
      <c r="CS266" s="63">
        <f>AVERAGE(CQ267,CS267)</f>
        <v>7732.5</v>
      </c>
      <c r="CT266" s="63">
        <f>AVERAGE(CS267:CT267)</f>
        <v>8095</v>
      </c>
      <c r="CU266" s="63">
        <f>AVERAGE(CT267:CU267)</f>
        <v>7945</v>
      </c>
      <c r="CV266" s="63">
        <f>AVERAGE(CU267:CV267)</f>
        <v>7871</v>
      </c>
      <c r="CW266" s="64">
        <f>CV266</f>
        <v>7871</v>
      </c>
      <c r="CX266" s="63">
        <f>AVERAGE(CV267,CX267)</f>
        <v>8070.5</v>
      </c>
      <c r="CY266" s="63">
        <f>AVERAGE(CX267:CY267)</f>
        <v>8280</v>
      </c>
      <c r="CZ266" s="63">
        <f>AVERAGE(CY267:CZ267)</f>
        <v>8236.5</v>
      </c>
      <c r="DA266" s="63">
        <f>AVERAGE(CZ267:DA267)</f>
        <v>8115</v>
      </c>
      <c r="DB266" s="64">
        <f>DA266</f>
        <v>8115</v>
      </c>
      <c r="DC266" s="63">
        <f>AVERAGE(DA267,DC267)</f>
        <v>7998.5</v>
      </c>
      <c r="DD266" s="63">
        <f>AVERAGE(DC267:DD267)</f>
        <v>7961.5</v>
      </c>
      <c r="DE266" s="63">
        <f>AVERAGE(DD267:DE267)</f>
        <v>7918</v>
      </c>
      <c r="DF266" s="63">
        <f>AVERAGE(DE267:DF267)</f>
        <v>8283</v>
      </c>
      <c r="DG266" s="64">
        <f>DF266</f>
        <v>8283</v>
      </c>
      <c r="DH266" s="63">
        <f>AVERAGE(DF267,DH267)</f>
        <v>8402</v>
      </c>
      <c r="DI266" s="63">
        <f>AVERAGE(DH267:DI267)</f>
        <v>8410</v>
      </c>
      <c r="DJ266" s="63">
        <f>AVERAGE(DI267:DJ267)</f>
        <v>8667</v>
      </c>
      <c r="DK266" s="63">
        <f>AVERAGE(DJ267:DK267)</f>
        <v>8947.5</v>
      </c>
      <c r="DL266" s="64">
        <f>AVERAGE(DG267,DL267)</f>
        <v>8952.5</v>
      </c>
      <c r="DM266" s="63">
        <f>AVERAGE(DK267,DM267)</f>
        <v>9183</v>
      </c>
      <c r="DN266" s="63">
        <f>AVERAGE(DM267:DN267)</f>
        <v>9125</v>
      </c>
      <c r="DO266" s="63">
        <f>AVERAGE(DN267:DO267)</f>
        <v>9094</v>
      </c>
      <c r="DP266" s="63">
        <f>AVERAGE(DO267:DP267)</f>
        <v>9447.5</v>
      </c>
      <c r="DQ266" s="64">
        <f>AVERAGE(DL267,DQ267)</f>
        <v>9536.5</v>
      </c>
      <c r="DR266" s="63">
        <f>AVERAGE(DP267,DR267)</f>
        <v>9625</v>
      </c>
      <c r="DS266" s="63">
        <f>AVERAGE(DR267:DS267)</f>
        <v>9396.5</v>
      </c>
      <c r="DT266" s="63">
        <f>AVERAGE(DS267:DT267)</f>
        <v>9213</v>
      </c>
      <c r="DU266" s="63">
        <f>AVERAGE(DT267:DU267)</f>
        <v>9303</v>
      </c>
      <c r="DV266" s="64">
        <f>AVERAGE(DQ267,DV267)</f>
        <v>9693.5</v>
      </c>
      <c r="DW266" s="63">
        <f>AVERAGE(DU267,DW267)</f>
        <v>9450.5</v>
      </c>
      <c r="DX266" s="63">
        <f>AVERAGE(DW267:DX267)</f>
        <v>9327.5</v>
      </c>
      <c r="DY266" s="63">
        <f>AVERAGE(DX267:DY267)</f>
        <v>9463</v>
      </c>
      <c r="DZ266" s="63">
        <f>AVERAGE(DY267:DZ267)</f>
        <v>9679.5</v>
      </c>
      <c r="EA266" s="64">
        <f>AVERAGE(DV267,EA267)</f>
        <v>9648.5</v>
      </c>
      <c r="EB266" s="63">
        <f>AVERAGE(DZ267,EB267)</f>
        <v>9741.5</v>
      </c>
      <c r="EC266" s="63">
        <f>AVERAGE(EB267:EC267)</f>
        <v>9933</v>
      </c>
      <c r="ED266" s="63">
        <f>AVERAGE(EC267:ED267)</f>
        <v>10115.5</v>
      </c>
      <c r="EE266" s="63">
        <f>AVERAGE(ED267:EE267)</f>
        <v>10320.5</v>
      </c>
      <c r="EF266" s="64">
        <f>AVERAGE(EA267,EF267)</f>
        <v>10138.5</v>
      </c>
      <c r="EG266" s="63">
        <f>AVERAGE(EE267,EG267)</f>
        <v>10535.5</v>
      </c>
      <c r="EH266" s="63">
        <f>AVERAGE(EG267:EH267)</f>
        <v>10536.5</v>
      </c>
      <c r="EI266" s="497">
        <f>AVERAGE(EH267:EI267)</f>
        <v>10528</v>
      </c>
      <c r="EJ266" s="63">
        <f>AVERAGE(EI267:EJ267)</f>
        <v>10906</v>
      </c>
      <c r="EK266" s="64">
        <f>AVERAGE(EF267,EK267)</f>
        <v>10914</v>
      </c>
      <c r="EL266" s="63">
        <f>AVERAGE(EJ267,EL267)</f>
        <v>11293.5</v>
      </c>
      <c r="EM266" s="63">
        <f>AVERAGE(EL267:EM267)</f>
        <v>11559.5</v>
      </c>
      <c r="EN266" s="497">
        <f>AVERAGE(EM267:EN267)</f>
        <v>11816</v>
      </c>
      <c r="EO266" s="63">
        <f>AVERAGE(EN267:EO267)</f>
        <v>11808</v>
      </c>
      <c r="EP266" s="64">
        <f>AVERAGE(EK267,EP267)</f>
        <v>11551</v>
      </c>
      <c r="EQ266" s="63">
        <f>AVERAGE(EO267,EQ267)</f>
        <v>12798</v>
      </c>
      <c r="ER266" s="63"/>
      <c r="ES266" s="63"/>
      <c r="ET266" s="63"/>
      <c r="EU266" s="64">
        <f>AVERAGE(EP267,EU267)</f>
        <v>12909</v>
      </c>
      <c r="EV266" s="8"/>
      <c r="EW266" s="8"/>
      <c r="EX266" s="8"/>
      <c r="EY266" s="8"/>
      <c r="EZ266" s="64">
        <f>AVERAGE(EU267,EZ267)</f>
        <v>14009</v>
      </c>
      <c r="FA266" s="8"/>
      <c r="FB266" s="8"/>
      <c r="FC266" s="8"/>
      <c r="FD266" s="8"/>
      <c r="FE266" s="64">
        <f>AVERAGE(EZ267,FE267)</f>
        <v>13609</v>
      </c>
      <c r="FG266" s="494"/>
      <c r="FH266" s="807"/>
      <c r="FI266" s="807"/>
      <c r="FJ266" s="807"/>
      <c r="FL266" s="1374"/>
      <c r="FM266" s="1549"/>
      <c r="FN266" s="1472"/>
      <c r="FO266" s="1888"/>
      <c r="FP266" s="1780"/>
      <c r="FQ266" s="1605"/>
      <c r="FR266" s="1619"/>
      <c r="FS266" s="1619"/>
      <c r="FT266" s="355"/>
      <c r="FU266" s="355"/>
      <c r="FV266" s="866"/>
      <c r="FW266" s="355"/>
      <c r="FX266" s="355"/>
      <c r="FY266" s="355"/>
      <c r="FZ266" s="494"/>
      <c r="GA266"/>
      <c r="GB266"/>
      <c r="GC266"/>
      <c r="GD266"/>
      <c r="GE266"/>
      <c r="GF266"/>
      <c r="GG266"/>
      <c r="GH266"/>
      <c r="GI266"/>
      <c r="GJ266"/>
      <c r="GK266"/>
      <c r="GL266"/>
      <c r="GM266"/>
      <c r="GN266"/>
      <c r="GO266"/>
      <c r="GP266"/>
      <c r="GQ266"/>
      <c r="GR266"/>
      <c r="GS266"/>
      <c r="GT266"/>
      <c r="GU266"/>
      <c r="GV266"/>
      <c r="GW266"/>
      <c r="GX266"/>
      <c r="GY266"/>
      <c r="GZ266"/>
      <c r="HA266"/>
      <c r="HB266"/>
      <c r="HC266"/>
      <c r="HD266"/>
      <c r="HE266"/>
      <c r="HF266"/>
      <c r="HG266"/>
      <c r="HH266"/>
      <c r="HI266"/>
      <c r="HJ266"/>
      <c r="HK266"/>
      <c r="HL266"/>
      <c r="HM266"/>
      <c r="HN266"/>
      <c r="HO266"/>
      <c r="HP266"/>
      <c r="HQ266"/>
      <c r="HR266"/>
      <c r="HS266"/>
      <c r="HT266"/>
      <c r="HU266"/>
      <c r="HV266"/>
      <c r="HW266"/>
      <c r="HX266"/>
      <c r="HY266"/>
      <c r="HZ266"/>
      <c r="IA266"/>
      <c r="IB266"/>
      <c r="IC266"/>
      <c r="ID266"/>
      <c r="IE266"/>
      <c r="IF266"/>
      <c r="IG266"/>
      <c r="IH266"/>
      <c r="II266"/>
      <c r="IJ266"/>
      <c r="IK266"/>
      <c r="IL266"/>
      <c r="IM266"/>
      <c r="IN266"/>
      <c r="IO266"/>
      <c r="IP266"/>
      <c r="IQ266"/>
      <c r="IR266"/>
      <c r="IS266"/>
      <c r="IT266"/>
      <c r="IU266"/>
      <c r="IV266"/>
      <c r="IW266"/>
      <c r="IX266"/>
    </row>
    <row r="267" spans="1:258" s="39" customFormat="1" x14ac:dyDescent="0.2">
      <c r="A267" s="612" t="s">
        <v>471</v>
      </c>
      <c r="B267" s="8"/>
      <c r="C267" s="8"/>
      <c r="D267" s="8"/>
      <c r="E267" s="8"/>
      <c r="F267" s="64"/>
      <c r="G267" s="8"/>
      <c r="H267" s="8"/>
      <c r="I267" s="8"/>
      <c r="J267" s="8"/>
      <c r="K267" s="64"/>
      <c r="L267" s="8"/>
      <c r="M267" s="8"/>
      <c r="N267" s="8"/>
      <c r="O267" s="8"/>
      <c r="P267" s="64"/>
      <c r="Q267" s="8"/>
      <c r="R267" s="8"/>
      <c r="S267" s="8"/>
      <c r="T267" s="8"/>
      <c r="U267" s="64"/>
      <c r="V267" s="8"/>
      <c r="W267" s="8"/>
      <c r="X267" s="8"/>
      <c r="Y267" s="8"/>
      <c r="Z267" s="64"/>
      <c r="AA267" s="8"/>
      <c r="AB267" s="8"/>
      <c r="AC267" s="8"/>
      <c r="AD267" s="8"/>
      <c r="AE267" s="64"/>
      <c r="AF267" s="8"/>
      <c r="AG267" s="8"/>
      <c r="AH267" s="8"/>
      <c r="AI267" s="8"/>
      <c r="AJ267" s="64"/>
      <c r="AK267" s="8"/>
      <c r="AL267" s="8"/>
      <c r="AM267" s="8"/>
      <c r="AN267" s="8"/>
      <c r="AO267" s="64"/>
      <c r="AP267" s="8"/>
      <c r="AQ267" s="8"/>
      <c r="AR267" s="8"/>
      <c r="AS267" s="8"/>
      <c r="AT267" s="64"/>
      <c r="AU267" s="8"/>
      <c r="AV267" s="8"/>
      <c r="AW267" s="8"/>
      <c r="AX267" s="8"/>
      <c r="AY267" s="64"/>
      <c r="AZ267" s="8"/>
      <c r="BA267" s="8"/>
      <c r="BB267" s="8"/>
      <c r="BC267" s="8"/>
      <c r="BD267" s="64"/>
      <c r="BE267" s="8"/>
      <c r="BF267" s="8"/>
      <c r="BG267" s="8"/>
      <c r="BH267" s="8"/>
      <c r="BI267" s="64"/>
      <c r="BJ267" s="8"/>
      <c r="BK267" s="8"/>
      <c r="BL267" s="8"/>
      <c r="BM267" s="8">
        <v>7108</v>
      </c>
      <c r="BN267" s="64">
        <f>BM267</f>
        <v>7108</v>
      </c>
      <c r="BO267" s="8">
        <v>7313</v>
      </c>
      <c r="BP267" s="8">
        <v>7242</v>
      </c>
      <c r="BQ267" s="8">
        <v>7238</v>
      </c>
      <c r="BR267" s="8">
        <v>7420</v>
      </c>
      <c r="BS267" s="64">
        <f>BR267</f>
        <v>7420</v>
      </c>
      <c r="BT267" s="8">
        <v>7044</v>
      </c>
      <c r="BU267" s="8">
        <v>7494</v>
      </c>
      <c r="BV267" s="8">
        <v>7784</v>
      </c>
      <c r="BW267" s="8">
        <v>7314</v>
      </c>
      <c r="BX267" s="64">
        <f>BW267</f>
        <v>7314</v>
      </c>
      <c r="BY267" s="8">
        <v>7549</v>
      </c>
      <c r="BZ267" s="8">
        <v>7715</v>
      </c>
      <c r="CA267" s="8">
        <v>7380</v>
      </c>
      <c r="CB267" s="8">
        <v>7332</v>
      </c>
      <c r="CC267" s="64">
        <f>CB267</f>
        <v>7332</v>
      </c>
      <c r="CD267" s="8">
        <v>7120</v>
      </c>
      <c r="CE267" s="8">
        <v>6017</v>
      </c>
      <c r="CF267" s="8">
        <v>6005</v>
      </c>
      <c r="CG267" s="8">
        <v>6030</v>
      </c>
      <c r="CH267" s="64">
        <f>CG267</f>
        <v>6030</v>
      </c>
      <c r="CI267" s="8">
        <v>5961</v>
      </c>
      <c r="CJ267" s="8">
        <v>5945</v>
      </c>
      <c r="CK267" s="8">
        <v>6007</v>
      </c>
      <c r="CL267" s="8">
        <v>5962</v>
      </c>
      <c r="CM267" s="64">
        <f>CL267</f>
        <v>5962</v>
      </c>
      <c r="CN267" s="8">
        <v>5933</v>
      </c>
      <c r="CO267" s="8">
        <v>5989</v>
      </c>
      <c r="CP267" s="8">
        <v>6913</v>
      </c>
      <c r="CQ267" s="8">
        <v>7255</v>
      </c>
      <c r="CR267" s="64">
        <f>CQ267</f>
        <v>7255</v>
      </c>
      <c r="CS267" s="8">
        <v>8210</v>
      </c>
      <c r="CT267" s="8">
        <v>7980</v>
      </c>
      <c r="CU267" s="8">
        <v>7910</v>
      </c>
      <c r="CV267" s="8">
        <v>7832</v>
      </c>
      <c r="CW267" s="64">
        <f>CV267</f>
        <v>7832</v>
      </c>
      <c r="CX267" s="8">
        <v>8309</v>
      </c>
      <c r="CY267" s="8">
        <v>8251</v>
      </c>
      <c r="CZ267" s="8">
        <v>8222</v>
      </c>
      <c r="DA267" s="8">
        <v>8008</v>
      </c>
      <c r="DB267" s="64">
        <f>DA267</f>
        <v>8008</v>
      </c>
      <c r="DC267" s="8">
        <f>DC347+DC351</f>
        <v>7989</v>
      </c>
      <c r="DD267" s="8">
        <f>DD347+DD351</f>
        <v>7934</v>
      </c>
      <c r="DE267" s="8">
        <f>DE347+DE351</f>
        <v>7902</v>
      </c>
      <c r="DF267" s="8">
        <f>DF347+DF351</f>
        <v>8664</v>
      </c>
      <c r="DG267" s="64">
        <f>DF267</f>
        <v>8664</v>
      </c>
      <c r="DH267" s="8">
        <f t="shared" ref="DH267:DV267" si="1296">DH347+DH351</f>
        <v>8140</v>
      </c>
      <c r="DI267" s="8">
        <f t="shared" si="1296"/>
        <v>8680</v>
      </c>
      <c r="DJ267" s="8">
        <f t="shared" si="1296"/>
        <v>8654</v>
      </c>
      <c r="DK267" s="8">
        <f t="shared" si="1296"/>
        <v>9241</v>
      </c>
      <c r="DL267" s="64">
        <f t="shared" si="1296"/>
        <v>9241</v>
      </c>
      <c r="DM267" s="8">
        <f t="shared" si="1296"/>
        <v>9125</v>
      </c>
      <c r="DN267" s="8">
        <f t="shared" si="1296"/>
        <v>9125</v>
      </c>
      <c r="DO267" s="8">
        <f t="shared" si="1296"/>
        <v>9063</v>
      </c>
      <c r="DP267" s="8">
        <f t="shared" si="1296"/>
        <v>9832</v>
      </c>
      <c r="DQ267" s="64">
        <f t="shared" si="1296"/>
        <v>9832</v>
      </c>
      <c r="DR267" s="8">
        <f t="shared" si="1296"/>
        <v>9418</v>
      </c>
      <c r="DS267" s="8">
        <f t="shared" si="1296"/>
        <v>9375</v>
      </c>
      <c r="DT267" s="8">
        <f t="shared" si="1296"/>
        <v>9051</v>
      </c>
      <c r="DU267" s="8">
        <f t="shared" si="1296"/>
        <v>9555</v>
      </c>
      <c r="DV267" s="64">
        <f t="shared" si="1296"/>
        <v>9555</v>
      </c>
      <c r="DW267" s="8">
        <f t="shared" ref="DW267:EB267" si="1297">DW347+DW351</f>
        <v>9346</v>
      </c>
      <c r="DX267" s="8">
        <f t="shared" si="1297"/>
        <v>9309</v>
      </c>
      <c r="DY267" s="8">
        <f t="shared" si="1297"/>
        <v>9617</v>
      </c>
      <c r="DZ267" s="8">
        <f t="shared" si="1297"/>
        <v>9742</v>
      </c>
      <c r="EA267" s="64">
        <f t="shared" si="1297"/>
        <v>9742</v>
      </c>
      <c r="EB267" s="8">
        <f t="shared" si="1297"/>
        <v>9741</v>
      </c>
      <c r="EC267" s="8">
        <f t="shared" ref="EC267:EH267" si="1298">EC347+EC351</f>
        <v>10125</v>
      </c>
      <c r="ED267" s="8">
        <f t="shared" si="1298"/>
        <v>10106</v>
      </c>
      <c r="EE267" s="8">
        <f t="shared" si="1298"/>
        <v>10535</v>
      </c>
      <c r="EF267" s="64">
        <f t="shared" si="1298"/>
        <v>10535</v>
      </c>
      <c r="EG267" s="8">
        <f t="shared" si="1298"/>
        <v>10536</v>
      </c>
      <c r="EH267" s="8">
        <f t="shared" si="1298"/>
        <v>10537</v>
      </c>
      <c r="EI267" s="94">
        <f>EI347+EI351</f>
        <v>10519</v>
      </c>
      <c r="EJ267" s="8">
        <f>EJ347+EJ351</f>
        <v>11293</v>
      </c>
      <c r="EK267" s="64">
        <f t="shared" ref="EK267" si="1299">EK347+EK351</f>
        <v>11293</v>
      </c>
      <c r="EL267" s="8">
        <f>EL347+EL351</f>
        <v>11294</v>
      </c>
      <c r="EM267" s="8">
        <f t="shared" ref="EM267" si="1300">EM347+EM351</f>
        <v>11825</v>
      </c>
      <c r="EN267" s="94">
        <f>EN347+EN351</f>
        <v>11807</v>
      </c>
      <c r="EO267" s="8">
        <f>EO347+EO351</f>
        <v>11809</v>
      </c>
      <c r="EP267" s="64">
        <f t="shared" ref="EP267" si="1301">EP347+EP351</f>
        <v>11809</v>
      </c>
      <c r="EQ267" s="8">
        <f>EQ347+EQ351</f>
        <v>13787</v>
      </c>
      <c r="ER267" s="63"/>
      <c r="ES267" s="63"/>
      <c r="ET267" s="63"/>
      <c r="EU267" s="64">
        <f>EU347+EU351</f>
        <v>14009</v>
      </c>
      <c r="EV267" s="8"/>
      <c r="EW267" s="8"/>
      <c r="EX267" s="8"/>
      <c r="EY267" s="8"/>
      <c r="EZ267" s="64">
        <f>EZ347+EZ351</f>
        <v>14009</v>
      </c>
      <c r="FA267" s="8"/>
      <c r="FB267" s="8"/>
      <c r="FC267" s="8"/>
      <c r="FD267" s="8"/>
      <c r="FE267" s="64">
        <f>FE347+FE351</f>
        <v>13209</v>
      </c>
      <c r="FG267" s="494"/>
      <c r="FH267" s="807"/>
      <c r="FI267" s="807"/>
      <c r="FJ267" s="807"/>
      <c r="FL267" s="1374"/>
      <c r="FM267" s="1549"/>
      <c r="FN267" s="1428"/>
      <c r="FO267" s="1888"/>
      <c r="FP267" s="1780"/>
      <c r="FQ267" s="1605"/>
      <c r="FR267" s="1619"/>
      <c r="FS267" s="1619"/>
      <c r="FT267" s="355"/>
      <c r="FU267" s="355"/>
      <c r="FV267" s="355"/>
      <c r="FW267" s="355"/>
      <c r="FX267" s="355"/>
      <c r="FY267" s="355"/>
      <c r="FZ267" s="494"/>
      <c r="GA267"/>
      <c r="GB267"/>
      <c r="GC267"/>
      <c r="GD267"/>
      <c r="GE267"/>
      <c r="GF267"/>
      <c r="GG267"/>
      <c r="GH267"/>
      <c r="GI267"/>
      <c r="GJ267"/>
      <c r="GK267"/>
      <c r="GL267"/>
      <c r="GM267"/>
      <c r="GN267"/>
      <c r="GO267"/>
      <c r="GP267"/>
      <c r="GQ267"/>
      <c r="GR267"/>
      <c r="GS267"/>
      <c r="GT267"/>
      <c r="GU267"/>
      <c r="GV267"/>
      <c r="GW267"/>
      <c r="GX267"/>
      <c r="GY267"/>
      <c r="GZ267"/>
      <c r="HA267"/>
      <c r="HB267"/>
      <c r="HC267"/>
      <c r="HD267"/>
      <c r="HE267"/>
      <c r="HF267"/>
      <c r="HG267"/>
      <c r="HH267"/>
      <c r="HI267"/>
      <c r="HJ267"/>
      <c r="HK267"/>
      <c r="HL267"/>
      <c r="HM267"/>
      <c r="HN267"/>
      <c r="HO267"/>
      <c r="HP267"/>
      <c r="HQ267"/>
      <c r="HR267"/>
      <c r="HS267"/>
      <c r="HT267"/>
      <c r="HU267"/>
      <c r="HV267"/>
      <c r="HW267"/>
      <c r="HX267"/>
      <c r="HY267"/>
      <c r="HZ267"/>
      <c r="IA267"/>
      <c r="IB267"/>
      <c r="IC267"/>
      <c r="ID267"/>
      <c r="IE267"/>
      <c r="IF267"/>
      <c r="IG267"/>
      <c r="IH267"/>
      <c r="II267"/>
      <c r="IJ267"/>
      <c r="IK267"/>
      <c r="IL267"/>
      <c r="IM267"/>
      <c r="IN267"/>
      <c r="IO267"/>
      <c r="IP267"/>
      <c r="IQ267"/>
      <c r="IR267"/>
      <c r="IS267"/>
      <c r="IT267"/>
      <c r="IU267"/>
      <c r="IV267"/>
      <c r="IW267"/>
      <c r="IX267"/>
    </row>
    <row r="268" spans="1:258" s="362" customFormat="1" x14ac:dyDescent="0.2">
      <c r="A268" s="613" t="s">
        <v>123</v>
      </c>
      <c r="B268" s="356"/>
      <c r="C268" s="356"/>
      <c r="D268" s="356"/>
      <c r="E268" s="356"/>
      <c r="F268" s="357"/>
      <c r="G268" s="356"/>
      <c r="H268" s="356"/>
      <c r="I268" s="356"/>
      <c r="J268" s="356"/>
      <c r="K268" s="357"/>
      <c r="L268" s="356"/>
      <c r="M268" s="356"/>
      <c r="N268" s="356"/>
      <c r="O268" s="356"/>
      <c r="P268" s="357"/>
      <c r="Q268" s="356">
        <v>11.4</v>
      </c>
      <c r="R268" s="356">
        <v>16.5</v>
      </c>
      <c r="S268" s="356">
        <v>15</v>
      </c>
      <c r="T268" s="356">
        <v>20</v>
      </c>
      <c r="U268" s="357">
        <v>62.9</v>
      </c>
      <c r="V268" s="356">
        <v>7.3999999999999915</v>
      </c>
      <c r="W268" s="356">
        <v>42</v>
      </c>
      <c r="X268" s="356">
        <v>3.5</v>
      </c>
      <c r="Y268" s="356">
        <v>10</v>
      </c>
      <c r="Z268" s="357">
        <v>18</v>
      </c>
      <c r="AA268" s="356">
        <v>1</v>
      </c>
      <c r="AB268" s="356">
        <v>29</v>
      </c>
      <c r="AC268" s="356">
        <v>10</v>
      </c>
      <c r="AD268" s="356">
        <v>9</v>
      </c>
      <c r="AE268" s="357">
        <v>49</v>
      </c>
      <c r="AF268" s="356">
        <v>3</v>
      </c>
      <c r="AG268" s="356">
        <v>28</v>
      </c>
      <c r="AH268" s="356">
        <v>58</v>
      </c>
      <c r="AI268" s="356">
        <v>61</v>
      </c>
      <c r="AJ268" s="357">
        <v>150</v>
      </c>
      <c r="AK268" s="356">
        <v>6</v>
      </c>
      <c r="AL268" s="356">
        <v>51</v>
      </c>
      <c r="AM268" s="356">
        <v>38</v>
      </c>
      <c r="AN268" s="356">
        <v>51</v>
      </c>
      <c r="AO268" s="357">
        <v>144</v>
      </c>
      <c r="AP268" s="356">
        <v>-10</v>
      </c>
      <c r="AQ268" s="356">
        <v>22</v>
      </c>
      <c r="AR268" s="356">
        <v>38</v>
      </c>
      <c r="AS268" s="356">
        <v>36</v>
      </c>
      <c r="AT268" s="357">
        <v>86</v>
      </c>
      <c r="AU268" s="356">
        <v>-14</v>
      </c>
      <c r="AV268" s="356">
        <v>-6</v>
      </c>
      <c r="AW268" s="356">
        <v>-5</v>
      </c>
      <c r="AX268" s="356">
        <v>24</v>
      </c>
      <c r="AY268" s="357">
        <v>-1</v>
      </c>
      <c r="AZ268" s="356">
        <v>-7</v>
      </c>
      <c r="BA268" s="356">
        <v>10</v>
      </c>
      <c r="BB268" s="356">
        <v>17</v>
      </c>
      <c r="BC268" s="356">
        <v>47</v>
      </c>
      <c r="BD268" s="357">
        <v>67</v>
      </c>
      <c r="BE268" s="356">
        <v>-5</v>
      </c>
      <c r="BF268" s="356">
        <v>24</v>
      </c>
      <c r="BG268" s="356">
        <v>3</v>
      </c>
      <c r="BH268" s="356">
        <v>-7</v>
      </c>
      <c r="BI268" s="357">
        <f>SUM(BE268:BH268)</f>
        <v>15</v>
      </c>
      <c r="BJ268" s="356">
        <v>-42</v>
      </c>
      <c r="BK268" s="356">
        <v>24</v>
      </c>
      <c r="BL268" s="356">
        <v>-7</v>
      </c>
      <c r="BM268" s="356">
        <v>-13</v>
      </c>
      <c r="BN268" s="357">
        <f>SUM(BJ268:BM268)</f>
        <v>-38</v>
      </c>
      <c r="BO268" s="356">
        <v>2</v>
      </c>
      <c r="BP268" s="356">
        <v>-4</v>
      </c>
      <c r="BQ268" s="356">
        <v>21</v>
      </c>
      <c r="BR268" s="356">
        <v>-5</v>
      </c>
      <c r="BS268" s="357">
        <f>SUM(BO268:BR268)</f>
        <v>14</v>
      </c>
      <c r="BT268" s="356">
        <v>-14</v>
      </c>
      <c r="BU268" s="356">
        <v>15</v>
      </c>
      <c r="BV268" s="356">
        <v>13</v>
      </c>
      <c r="BW268" s="356">
        <v>22</v>
      </c>
      <c r="BX268" s="357">
        <f>SUM(BT268:BW268)</f>
        <v>36</v>
      </c>
      <c r="BY268" s="356">
        <v>-13</v>
      </c>
      <c r="BZ268" s="356">
        <v>-3</v>
      </c>
      <c r="CA268" s="356">
        <v>4</v>
      </c>
      <c r="CB268" s="356">
        <v>30</v>
      </c>
      <c r="CC268" s="357">
        <f>SUM(BY268:CB268)</f>
        <v>18</v>
      </c>
      <c r="CD268" s="356">
        <v>-9</v>
      </c>
      <c r="CE268" s="356">
        <v>15</v>
      </c>
      <c r="CF268" s="356">
        <v>4</v>
      </c>
      <c r="CG268" s="356">
        <v>54</v>
      </c>
      <c r="CH268" s="357">
        <f>SUM(CD268:CG268)</f>
        <v>64</v>
      </c>
      <c r="CI268" s="356">
        <v>-12</v>
      </c>
      <c r="CJ268" s="356">
        <v>1</v>
      </c>
      <c r="CK268" s="356">
        <v>15</v>
      </c>
      <c r="CL268" s="356">
        <v>24</v>
      </c>
      <c r="CM268" s="357">
        <f>SUM(CI268:CL268)</f>
        <v>28</v>
      </c>
      <c r="CN268" s="356">
        <v>-24</v>
      </c>
      <c r="CO268" s="356">
        <v>-4</v>
      </c>
      <c r="CP268" s="356">
        <v>4</v>
      </c>
      <c r="CQ268" s="356">
        <v>66</v>
      </c>
      <c r="CR268" s="357">
        <f>SUM(CN268:CQ268)</f>
        <v>42</v>
      </c>
      <c r="CS268" s="356">
        <v>17</v>
      </c>
      <c r="CT268" s="356">
        <v>-7</v>
      </c>
      <c r="CU268" s="356">
        <v>-2</v>
      </c>
      <c r="CV268" s="356">
        <v>0</v>
      </c>
      <c r="CW268" s="357">
        <f>SUM(CS268:CV268)</f>
        <v>8</v>
      </c>
      <c r="CX268" s="356">
        <v>-13</v>
      </c>
      <c r="CY268" s="356">
        <v>7</v>
      </c>
      <c r="CZ268" s="356">
        <v>4</v>
      </c>
      <c r="DA268" s="356">
        <v>13</v>
      </c>
      <c r="DB268" s="357">
        <f>SUM(CX268:DA268)</f>
        <v>11</v>
      </c>
      <c r="DC268" s="356">
        <v>10</v>
      </c>
      <c r="DD268" s="356">
        <v>7</v>
      </c>
      <c r="DE268" s="356">
        <v>7</v>
      </c>
      <c r="DF268" s="356">
        <v>2</v>
      </c>
      <c r="DG268" s="357">
        <f>SUM(DC268:DF268)</f>
        <v>26</v>
      </c>
      <c r="DH268" s="361">
        <v>4</v>
      </c>
      <c r="DI268" s="356">
        <v>-1</v>
      </c>
      <c r="DJ268" s="356">
        <v>5</v>
      </c>
      <c r="DK268" s="356">
        <v>-2</v>
      </c>
      <c r="DL268" s="357">
        <f>SUM(DH268:DK268)</f>
        <v>6</v>
      </c>
      <c r="DM268" s="361">
        <v>-4</v>
      </c>
      <c r="DN268" s="356">
        <v>2</v>
      </c>
      <c r="DO268" s="356">
        <v>5</v>
      </c>
      <c r="DP268" s="356">
        <v>59</v>
      </c>
      <c r="DQ268" s="357">
        <f>SUM(DM268:DP268)</f>
        <v>62</v>
      </c>
      <c r="DR268" s="361">
        <v>-4</v>
      </c>
      <c r="DS268" s="356">
        <v>9</v>
      </c>
      <c r="DT268" s="917">
        <v>5</v>
      </c>
      <c r="DU268" s="356">
        <v>0</v>
      </c>
      <c r="DV268" s="357">
        <f>SUM(DR268:DU268)</f>
        <v>10</v>
      </c>
      <c r="DW268" s="361">
        <v>7</v>
      </c>
      <c r="DX268" s="356">
        <v>5</v>
      </c>
      <c r="DY268" s="917">
        <v>-26</v>
      </c>
      <c r="DZ268" s="356">
        <v>7</v>
      </c>
      <c r="EA268" s="357">
        <f>SUM(DW268:DZ268)</f>
        <v>-7</v>
      </c>
      <c r="EB268" s="361">
        <v>1</v>
      </c>
      <c r="EC268" s="361">
        <v>3</v>
      </c>
      <c r="ED268" s="917">
        <v>1</v>
      </c>
      <c r="EE268" s="356">
        <v>89</v>
      </c>
      <c r="EF268" s="357">
        <f>SUM(EB268:EE268)</f>
        <v>94</v>
      </c>
      <c r="EG268" s="361">
        <v>5.570656765430579</v>
      </c>
      <c r="EH268" s="361">
        <v>7</v>
      </c>
      <c r="EI268" s="1710">
        <v>12</v>
      </c>
      <c r="EJ268" s="356">
        <f>17-115</f>
        <v>-98</v>
      </c>
      <c r="EK268" s="357">
        <f>SUM(EG268:EJ268)</f>
        <v>-73.429343234569416</v>
      </c>
      <c r="EL268" s="361">
        <f>6+6</f>
        <v>12</v>
      </c>
      <c r="EM268" s="361">
        <f>5+6</f>
        <v>11</v>
      </c>
      <c r="EN268" s="1710">
        <f>5+6</f>
        <v>11</v>
      </c>
      <c r="EO268" s="361">
        <f>1+6</f>
        <v>7</v>
      </c>
      <c r="EP268" s="2055">
        <f>SUM(EL268:EO268)</f>
        <v>41</v>
      </c>
      <c r="EQ268" s="361">
        <v>16</v>
      </c>
      <c r="ER268" s="2056">
        <f>+EQ268</f>
        <v>16</v>
      </c>
      <c r="ES268" s="2056">
        <f t="shared" ref="ES268:ET268" si="1302">+ER268</f>
        <v>16</v>
      </c>
      <c r="ET268" s="2056">
        <f t="shared" si="1302"/>
        <v>16</v>
      </c>
      <c r="EU268" s="2055">
        <f>SUM(EQ268:ET268)</f>
        <v>64</v>
      </c>
      <c r="EV268" s="2057"/>
      <c r="EW268" s="2058"/>
      <c r="EX268" s="2058"/>
      <c r="EY268" s="2058"/>
      <c r="EZ268" s="2059">
        <v>50</v>
      </c>
      <c r="FA268" s="2057"/>
      <c r="FB268" s="2058"/>
      <c r="FC268" s="2058"/>
      <c r="FD268" s="2058"/>
      <c r="FE268" s="2059">
        <f>+EZ268</f>
        <v>50</v>
      </c>
      <c r="FG268" s="494"/>
      <c r="FH268" s="810"/>
      <c r="FI268" s="810"/>
      <c r="FJ268" s="810"/>
      <c r="FK268" s="1321"/>
      <c r="FL268" s="1376"/>
      <c r="FM268" s="1591">
        <f>+EQ268</f>
        <v>16</v>
      </c>
      <c r="FN268" s="1481">
        <f t="shared" ref="FN268:FN279" si="1303">EL268</f>
        <v>12</v>
      </c>
      <c r="FO268" s="1890">
        <v>4.5</v>
      </c>
      <c r="FP268" s="1770"/>
      <c r="FQ268" s="1544"/>
      <c r="FR268" s="1297"/>
      <c r="FS268" s="1643"/>
      <c r="FT268" s="713"/>
      <c r="FU268" s="713"/>
      <c r="FV268" s="713"/>
      <c r="FW268" s="713"/>
      <c r="FX268" s="713"/>
      <c r="FY268" s="713"/>
      <c r="FZ268" s="494"/>
      <c r="GA268"/>
      <c r="GB268"/>
      <c r="GC268"/>
      <c r="GD268"/>
      <c r="GE268"/>
      <c r="GF268"/>
      <c r="GG268"/>
      <c r="GH268"/>
      <c r="GI268"/>
      <c r="GJ268"/>
      <c r="GK268"/>
      <c r="GL268"/>
      <c r="GM268"/>
      <c r="GN268"/>
      <c r="GO268"/>
      <c r="GP268"/>
      <c r="GQ268"/>
      <c r="GR268"/>
      <c r="GS268"/>
      <c r="GT268"/>
      <c r="GU268"/>
      <c r="GV268"/>
      <c r="GW268"/>
      <c r="GX268"/>
      <c r="GY268"/>
      <c r="GZ268"/>
      <c r="HA268"/>
      <c r="HB268"/>
      <c r="HC268"/>
      <c r="HD268"/>
      <c r="HE268"/>
      <c r="HF268"/>
      <c r="HG268"/>
      <c r="HH268"/>
      <c r="HI268"/>
      <c r="HJ268"/>
      <c r="HK268"/>
      <c r="HL268"/>
      <c r="HM268"/>
      <c r="HN268"/>
      <c r="HO268"/>
      <c r="HP268"/>
      <c r="HQ268"/>
      <c r="HR268"/>
      <c r="HS268"/>
      <c r="HT268"/>
      <c r="HU268"/>
      <c r="HV268"/>
      <c r="HW268"/>
      <c r="HX268"/>
      <c r="HY268"/>
      <c r="HZ268"/>
      <c r="IA268"/>
      <c r="IB268"/>
      <c r="IC268"/>
      <c r="ID268"/>
      <c r="IE268"/>
      <c r="IF268"/>
      <c r="IG268"/>
      <c r="IH268"/>
      <c r="II268"/>
      <c r="IJ268"/>
      <c r="IK268"/>
      <c r="IL268"/>
      <c r="IM268"/>
      <c r="IN268"/>
      <c r="IO268"/>
      <c r="IP268"/>
      <c r="IQ268"/>
      <c r="IR268"/>
      <c r="IS268"/>
      <c r="IT268"/>
      <c r="IU268"/>
      <c r="IV268"/>
      <c r="IW268"/>
      <c r="IX268"/>
    </row>
    <row r="269" spans="1:258" s="71" customFormat="1" x14ac:dyDescent="0.2">
      <c r="A269" s="68" t="s">
        <v>93</v>
      </c>
      <c r="B269" s="412"/>
      <c r="C269" s="412"/>
      <c r="D269" s="412"/>
      <c r="E269" s="412"/>
      <c r="F269" s="413"/>
      <c r="G269" s="412"/>
      <c r="H269" s="412"/>
      <c r="I269" s="412"/>
      <c r="J269" s="412"/>
      <c r="K269" s="413"/>
      <c r="L269" s="412"/>
      <c r="M269" s="412"/>
      <c r="N269" s="412"/>
      <c r="O269" s="412"/>
      <c r="P269" s="413"/>
      <c r="Q269" s="412"/>
      <c r="R269" s="412"/>
      <c r="S269" s="412"/>
      <c r="T269" s="412"/>
      <c r="U269" s="413"/>
      <c r="V269" s="412"/>
      <c r="W269" s="412"/>
      <c r="X269" s="412"/>
      <c r="Y269" s="412"/>
      <c r="Z269" s="413"/>
      <c r="AA269" s="412"/>
      <c r="AB269" s="412"/>
      <c r="AC269" s="412"/>
      <c r="AD269" s="412"/>
      <c r="AE269" s="413"/>
      <c r="AF269" s="412"/>
      <c r="AG269" s="412"/>
      <c r="AH269" s="412"/>
      <c r="AI269" s="412"/>
      <c r="AJ269" s="413"/>
      <c r="AK269" s="412"/>
      <c r="AL269" s="412"/>
      <c r="AM269" s="412"/>
      <c r="AN269" s="412"/>
      <c r="AO269" s="413"/>
      <c r="AP269" s="412"/>
      <c r="AQ269" s="412"/>
      <c r="AR269" s="412"/>
      <c r="AS269" s="412"/>
      <c r="AT269" s="413"/>
      <c r="AU269" s="412"/>
      <c r="AV269" s="412"/>
      <c r="AW269" s="412"/>
      <c r="AX269" s="412"/>
      <c r="AY269" s="413"/>
      <c r="AZ269" s="412"/>
      <c r="BA269" s="412"/>
      <c r="BB269" s="412"/>
      <c r="BC269" s="412"/>
      <c r="BD269" s="413"/>
      <c r="BE269" s="412"/>
      <c r="BF269" s="412"/>
      <c r="BG269" s="412"/>
      <c r="BH269" s="412"/>
      <c r="BI269" s="413"/>
      <c r="BJ269" s="412"/>
      <c r="BK269" s="412"/>
      <c r="BL269" s="412"/>
      <c r="BM269" s="412"/>
      <c r="BN269" s="413"/>
      <c r="BO269" s="412"/>
      <c r="BP269" s="412"/>
      <c r="BQ269" s="412"/>
      <c r="BR269" s="412"/>
      <c r="BS269" s="413"/>
      <c r="BT269" s="412"/>
      <c r="BU269" s="412"/>
      <c r="BV269" s="412"/>
      <c r="BW269" s="412"/>
      <c r="BX269" s="413"/>
      <c r="BY269" s="412"/>
      <c r="BZ269" s="412"/>
      <c r="CA269" s="412"/>
      <c r="CB269" s="412"/>
      <c r="CC269" s="413"/>
      <c r="CD269" s="412"/>
      <c r="CE269" s="412"/>
      <c r="CF269" s="412"/>
      <c r="CG269" s="412"/>
      <c r="CH269" s="413"/>
      <c r="CI269" s="412"/>
      <c r="CJ269" s="412"/>
      <c r="CK269" s="412"/>
      <c r="CL269" s="412"/>
      <c r="CM269" s="413"/>
      <c r="CN269" s="412"/>
      <c r="CO269" s="412"/>
      <c r="CP269" s="412"/>
      <c r="CQ269" s="412"/>
      <c r="CR269" s="413"/>
      <c r="CS269" s="412"/>
      <c r="CT269" s="412"/>
      <c r="CU269" s="412"/>
      <c r="CV269" s="412"/>
      <c r="CW269" s="413"/>
      <c r="CX269" s="412"/>
      <c r="CY269" s="412"/>
      <c r="CZ269" s="412"/>
      <c r="DA269" s="412"/>
      <c r="DB269" s="413"/>
      <c r="DC269" s="412"/>
      <c r="DD269" s="412"/>
      <c r="DE269" s="412"/>
      <c r="DF269" s="412"/>
      <c r="DG269" s="413"/>
      <c r="DH269" s="1018"/>
      <c r="DI269" s="1018"/>
      <c r="DJ269" s="1018"/>
      <c r="DK269" s="1018"/>
      <c r="DL269" s="413"/>
      <c r="DM269" s="1018"/>
      <c r="DN269" s="1018"/>
      <c r="DO269" s="1018"/>
      <c r="DP269" s="1018"/>
      <c r="DQ269" s="413"/>
      <c r="DR269" s="1018"/>
      <c r="DS269" s="1018"/>
      <c r="DT269" s="1018"/>
      <c r="DU269" s="1018"/>
      <c r="DV269" s="413"/>
      <c r="DW269" s="412"/>
      <c r="DX269" s="1018"/>
      <c r="DY269" s="1018"/>
      <c r="DZ269" s="1018"/>
      <c r="EA269" s="413"/>
      <c r="EB269" s="412"/>
      <c r="EC269" s="1018"/>
      <c r="ED269" s="1018"/>
      <c r="EE269" s="1018"/>
      <c r="EF269" s="413"/>
      <c r="EG269" s="412"/>
      <c r="EH269" s="1018"/>
      <c r="EI269" s="1018"/>
      <c r="EJ269" s="1912"/>
      <c r="EK269" s="413"/>
      <c r="EL269" s="412"/>
      <c r="EM269" s="1018"/>
      <c r="EN269" s="1018"/>
      <c r="EO269" s="1912"/>
      <c r="EP269" s="413"/>
      <c r="EQ269" s="412"/>
      <c r="ER269" s="412"/>
      <c r="ES269" s="412"/>
      <c r="ET269" s="412"/>
      <c r="EU269" s="1647"/>
      <c r="EV269" s="69"/>
      <c r="EW269" s="69"/>
      <c r="EX269" s="69"/>
      <c r="EY269" s="69"/>
      <c r="EZ269" s="413"/>
      <c r="FA269" s="69"/>
      <c r="FB269" s="69"/>
      <c r="FC269" s="69"/>
      <c r="FD269" s="69"/>
      <c r="FE269" s="413"/>
      <c r="FF269" s="70"/>
      <c r="FG269" s="494"/>
      <c r="FH269" s="799"/>
      <c r="FI269" s="799"/>
      <c r="FJ269" s="799"/>
      <c r="FK269" s="70"/>
      <c r="FL269" s="1346"/>
      <c r="FM269" s="1592"/>
      <c r="FN269" s="1482">
        <f t="shared" si="1303"/>
        <v>0</v>
      </c>
      <c r="FO269" s="1801"/>
      <c r="FP269" s="1768"/>
      <c r="FQ269" s="741"/>
      <c r="FR269" s="1619"/>
      <c r="FS269" s="1619"/>
      <c r="FT269" s="354"/>
      <c r="FU269" s="354"/>
      <c r="FV269" s="354"/>
      <c r="FW269" s="354"/>
      <c r="FX269" s="354"/>
      <c r="FY269" s="354"/>
      <c r="FZ269" s="494"/>
      <c r="GA269"/>
      <c r="GB269"/>
      <c r="GC269"/>
      <c r="GD269"/>
      <c r="GE269"/>
      <c r="GF269"/>
      <c r="GG269"/>
      <c r="GH269"/>
      <c r="GI269"/>
      <c r="GJ269"/>
      <c r="GK269"/>
      <c r="GL269"/>
      <c r="GM269"/>
      <c r="GN269"/>
      <c r="GO269"/>
      <c r="GP269"/>
      <c r="GQ269"/>
      <c r="GR269"/>
      <c r="GS269"/>
      <c r="GT269"/>
      <c r="GU269"/>
      <c r="GV269"/>
      <c r="GW269"/>
      <c r="GX269"/>
      <c r="GY269"/>
      <c r="GZ269"/>
      <c r="HA269"/>
      <c r="HB269"/>
      <c r="HC269"/>
      <c r="HD269"/>
      <c r="HE269"/>
      <c r="HF269"/>
      <c r="HG269"/>
      <c r="HH269"/>
      <c r="HI269"/>
      <c r="HJ269"/>
      <c r="HK269"/>
      <c r="HL269"/>
      <c r="HM269"/>
      <c r="HN269"/>
      <c r="HO269"/>
      <c r="HP269"/>
      <c r="HQ269"/>
      <c r="HR269"/>
      <c r="HS269"/>
      <c r="HT269"/>
      <c r="HU269"/>
      <c r="HV269"/>
      <c r="HW269"/>
      <c r="HX269"/>
      <c r="HY269"/>
      <c r="HZ269"/>
      <c r="IA269"/>
      <c r="IB269"/>
      <c r="IC269"/>
      <c r="ID269"/>
      <c r="IE269"/>
      <c r="IF269"/>
      <c r="IG269"/>
      <c r="IH269"/>
      <c r="II269"/>
      <c r="IJ269"/>
      <c r="IK269"/>
      <c r="IL269"/>
      <c r="IM269"/>
      <c r="IN269"/>
      <c r="IO269"/>
      <c r="IP269"/>
      <c r="IQ269"/>
      <c r="IR269"/>
      <c r="IS269"/>
      <c r="IT269"/>
      <c r="IU269"/>
      <c r="IV269"/>
      <c r="IW269"/>
      <c r="IX269"/>
    </row>
    <row r="270" spans="1:258" s="296" customFormat="1" x14ac:dyDescent="0.2">
      <c r="A270" s="614" t="s">
        <v>445</v>
      </c>
      <c r="B270" s="293"/>
      <c r="C270" s="293"/>
      <c r="D270" s="293"/>
      <c r="E270" s="293"/>
      <c r="F270" s="294"/>
      <c r="G270" s="293"/>
      <c r="H270" s="293"/>
      <c r="I270" s="293"/>
      <c r="J270" s="293"/>
      <c r="K270" s="294"/>
      <c r="L270" s="293"/>
      <c r="M270" s="293"/>
      <c r="N270" s="293"/>
      <c r="O270" s="293"/>
      <c r="P270" s="294"/>
      <c r="Q270" s="293">
        <f t="shared" ref="Q270:AV270" si="1304">Q251+Q256</f>
        <v>93.4</v>
      </c>
      <c r="R270" s="293">
        <f t="shared" si="1304"/>
        <v>193.300395256917</v>
      </c>
      <c r="S270" s="293">
        <f t="shared" si="1304"/>
        <v>191.90000000000009</v>
      </c>
      <c r="T270" s="293">
        <f t="shared" si="1304"/>
        <v>216.09999999999991</v>
      </c>
      <c r="U270" s="294">
        <f t="shared" si="1304"/>
        <v>694.70039525691607</v>
      </c>
      <c r="V270" s="293">
        <f t="shared" si="1304"/>
        <v>81.399999999999991</v>
      </c>
      <c r="W270" s="293">
        <f t="shared" si="1304"/>
        <v>233</v>
      </c>
      <c r="X270" s="293">
        <f t="shared" si="1304"/>
        <v>178.5</v>
      </c>
      <c r="Y270" s="293">
        <f t="shared" si="1304"/>
        <v>233</v>
      </c>
      <c r="Z270" s="294">
        <f t="shared" si="1304"/>
        <v>681</v>
      </c>
      <c r="AA270" s="293">
        <f t="shared" si="1304"/>
        <v>118</v>
      </c>
      <c r="AB270" s="293">
        <f t="shared" si="1304"/>
        <v>251</v>
      </c>
      <c r="AC270" s="293">
        <f t="shared" si="1304"/>
        <v>275</v>
      </c>
      <c r="AD270" s="293">
        <f t="shared" si="1304"/>
        <v>293</v>
      </c>
      <c r="AE270" s="294">
        <f t="shared" si="1304"/>
        <v>937</v>
      </c>
      <c r="AF270" s="293">
        <f t="shared" si="1304"/>
        <v>197</v>
      </c>
      <c r="AG270" s="293">
        <f t="shared" si="1304"/>
        <v>290</v>
      </c>
      <c r="AH270" s="293">
        <f t="shared" si="1304"/>
        <v>321</v>
      </c>
      <c r="AI270" s="293">
        <f t="shared" si="1304"/>
        <v>354</v>
      </c>
      <c r="AJ270" s="294">
        <f t="shared" si="1304"/>
        <v>1162</v>
      </c>
      <c r="AK270" s="293">
        <f t="shared" si="1304"/>
        <v>224</v>
      </c>
      <c r="AL270" s="293">
        <f t="shared" si="1304"/>
        <v>360</v>
      </c>
      <c r="AM270" s="293">
        <f t="shared" si="1304"/>
        <v>343</v>
      </c>
      <c r="AN270" s="293">
        <f t="shared" si="1304"/>
        <v>389.43200000000002</v>
      </c>
      <c r="AO270" s="294">
        <f t="shared" si="1304"/>
        <v>1314.432</v>
      </c>
      <c r="AP270" s="293">
        <f t="shared" si="1304"/>
        <v>257.47500000000002</v>
      </c>
      <c r="AQ270" s="293">
        <f t="shared" si="1304"/>
        <v>383.07500000000039</v>
      </c>
      <c r="AR270" s="293">
        <f t="shared" si="1304"/>
        <v>351</v>
      </c>
      <c r="AS270" s="293">
        <f t="shared" si="1304"/>
        <v>390</v>
      </c>
      <c r="AT270" s="294">
        <f t="shared" si="1304"/>
        <v>1381.5499999999986</v>
      </c>
      <c r="AU270" s="293">
        <f t="shared" si="1304"/>
        <v>213</v>
      </c>
      <c r="AV270" s="293">
        <f t="shared" si="1304"/>
        <v>277</v>
      </c>
      <c r="AW270" s="293">
        <f t="shared" ref="AW270:CB270" si="1305">AW251+AW256</f>
        <v>188</v>
      </c>
      <c r="AX270" s="293">
        <f t="shared" si="1305"/>
        <v>236</v>
      </c>
      <c r="AY270" s="294">
        <f t="shared" si="1305"/>
        <v>914</v>
      </c>
      <c r="AZ270" s="293">
        <f t="shared" si="1305"/>
        <v>211</v>
      </c>
      <c r="BA270" s="293">
        <f t="shared" si="1305"/>
        <v>230.40000000000009</v>
      </c>
      <c r="BB270" s="293">
        <f t="shared" si="1305"/>
        <v>200</v>
      </c>
      <c r="BC270" s="293">
        <f t="shared" si="1305"/>
        <v>75.599999999999909</v>
      </c>
      <c r="BD270" s="294">
        <f t="shared" si="1305"/>
        <v>717</v>
      </c>
      <c r="BE270" s="293">
        <f t="shared" si="1305"/>
        <v>41</v>
      </c>
      <c r="BF270" s="293">
        <f t="shared" si="1305"/>
        <v>86</v>
      </c>
      <c r="BG270" s="293">
        <f t="shared" si="1305"/>
        <v>87</v>
      </c>
      <c r="BH270" s="293">
        <f t="shared" si="1305"/>
        <v>81</v>
      </c>
      <c r="BI270" s="294">
        <f t="shared" si="1305"/>
        <v>295</v>
      </c>
      <c r="BJ270" s="293">
        <f t="shared" si="1305"/>
        <v>27</v>
      </c>
      <c r="BK270" s="293">
        <f t="shared" si="1305"/>
        <v>167</v>
      </c>
      <c r="BL270" s="293">
        <f t="shared" si="1305"/>
        <v>157</v>
      </c>
      <c r="BM270" s="293">
        <f t="shared" si="1305"/>
        <v>157</v>
      </c>
      <c r="BN270" s="294">
        <f t="shared" si="1305"/>
        <v>508</v>
      </c>
      <c r="BO270" s="293">
        <f t="shared" si="1305"/>
        <v>107</v>
      </c>
      <c r="BP270" s="293">
        <f t="shared" si="1305"/>
        <v>198</v>
      </c>
      <c r="BQ270" s="293">
        <f t="shared" si="1305"/>
        <v>196</v>
      </c>
      <c r="BR270" s="293">
        <f t="shared" si="1305"/>
        <v>211</v>
      </c>
      <c r="BS270" s="294">
        <f t="shared" si="1305"/>
        <v>712</v>
      </c>
      <c r="BT270" s="293">
        <f t="shared" si="1305"/>
        <v>64</v>
      </c>
      <c r="BU270" s="293">
        <f t="shared" si="1305"/>
        <v>200</v>
      </c>
      <c r="BV270" s="293">
        <f t="shared" si="1305"/>
        <v>172</v>
      </c>
      <c r="BW270" s="293">
        <f t="shared" si="1305"/>
        <v>197</v>
      </c>
      <c r="BX270" s="294">
        <f t="shared" si="1305"/>
        <v>633</v>
      </c>
      <c r="BY270" s="293">
        <f t="shared" si="1305"/>
        <v>101</v>
      </c>
      <c r="BZ270" s="293">
        <f t="shared" si="1305"/>
        <v>199</v>
      </c>
      <c r="CA270" s="293">
        <f t="shared" si="1305"/>
        <v>170</v>
      </c>
      <c r="CB270" s="293">
        <f t="shared" si="1305"/>
        <v>243</v>
      </c>
      <c r="CC270" s="294">
        <f t="shared" ref="CC270:DH270" si="1306">CC251+CC256</f>
        <v>713</v>
      </c>
      <c r="CD270" s="293">
        <f t="shared" si="1306"/>
        <v>238</v>
      </c>
      <c r="CE270" s="293">
        <f t="shared" si="1306"/>
        <v>334</v>
      </c>
      <c r="CF270" s="293">
        <f t="shared" si="1306"/>
        <v>264</v>
      </c>
      <c r="CG270" s="293">
        <f t="shared" si="1306"/>
        <v>375</v>
      </c>
      <c r="CH270" s="294">
        <f t="shared" si="1306"/>
        <v>1211</v>
      </c>
      <c r="CI270" s="293">
        <f t="shared" si="1306"/>
        <v>395</v>
      </c>
      <c r="CJ270" s="293">
        <f t="shared" si="1306"/>
        <v>433</v>
      </c>
      <c r="CK270" s="293">
        <f t="shared" si="1306"/>
        <v>402</v>
      </c>
      <c r="CL270" s="293">
        <f t="shared" si="1306"/>
        <v>417</v>
      </c>
      <c r="CM270" s="294">
        <f t="shared" si="1306"/>
        <v>1647</v>
      </c>
      <c r="CN270" s="293">
        <f t="shared" si="1306"/>
        <v>358</v>
      </c>
      <c r="CO270" s="293">
        <f t="shared" si="1306"/>
        <v>523</v>
      </c>
      <c r="CP270" s="293">
        <f t="shared" si="1306"/>
        <v>476</v>
      </c>
      <c r="CQ270" s="293">
        <f t="shared" si="1306"/>
        <v>562</v>
      </c>
      <c r="CR270" s="294">
        <f t="shared" si="1306"/>
        <v>1919</v>
      </c>
      <c r="CS270" s="293">
        <f t="shared" si="1306"/>
        <v>530</v>
      </c>
      <c r="CT270" s="293">
        <f t="shared" si="1306"/>
        <v>590</v>
      </c>
      <c r="CU270" s="293">
        <f t="shared" si="1306"/>
        <v>610</v>
      </c>
      <c r="CV270" s="293">
        <f t="shared" si="1306"/>
        <v>562</v>
      </c>
      <c r="CW270" s="294">
        <f t="shared" si="1306"/>
        <v>2292</v>
      </c>
      <c r="CX270" s="293">
        <f t="shared" si="1306"/>
        <v>372</v>
      </c>
      <c r="CY270" s="293">
        <f t="shared" si="1306"/>
        <v>453</v>
      </c>
      <c r="CZ270" s="293">
        <f t="shared" si="1306"/>
        <v>464</v>
      </c>
      <c r="DA270" s="293">
        <f t="shared" si="1306"/>
        <v>460</v>
      </c>
      <c r="DB270" s="294">
        <f t="shared" si="1306"/>
        <v>1749</v>
      </c>
      <c r="DC270" s="293">
        <f t="shared" si="1306"/>
        <v>503</v>
      </c>
      <c r="DD270" s="293">
        <f t="shared" si="1306"/>
        <v>642</v>
      </c>
      <c r="DE270" s="293">
        <f t="shared" si="1306"/>
        <v>702</v>
      </c>
      <c r="DF270" s="293">
        <f t="shared" si="1306"/>
        <v>701</v>
      </c>
      <c r="DG270" s="294">
        <f t="shared" si="1306"/>
        <v>2548</v>
      </c>
      <c r="DH270" s="293">
        <f t="shared" si="1306"/>
        <v>655</v>
      </c>
      <c r="DI270" s="293">
        <f t="shared" ref="DI270:DQ270" si="1307">DI251+DI256</f>
        <v>786</v>
      </c>
      <c r="DJ270" s="293">
        <f t="shared" si="1307"/>
        <v>745</v>
      </c>
      <c r="DK270" s="293">
        <f t="shared" si="1307"/>
        <v>754</v>
      </c>
      <c r="DL270" s="294">
        <f t="shared" si="1307"/>
        <v>2940</v>
      </c>
      <c r="DM270" s="293">
        <f t="shared" si="1307"/>
        <v>768</v>
      </c>
      <c r="DN270" s="293">
        <f>DN251+DN256</f>
        <v>781</v>
      </c>
      <c r="DO270" s="293">
        <f>DO251+DO256</f>
        <v>692</v>
      </c>
      <c r="DP270" s="293">
        <f>DP251+DP256</f>
        <v>730</v>
      </c>
      <c r="DQ270" s="294">
        <f t="shared" si="1307"/>
        <v>2971</v>
      </c>
      <c r="DR270" s="293">
        <f t="shared" ref="DR270:EA270" si="1308">DR251+DR256</f>
        <v>678</v>
      </c>
      <c r="DS270" s="293">
        <f t="shared" si="1308"/>
        <v>771</v>
      </c>
      <c r="DT270" s="293">
        <f t="shared" si="1308"/>
        <v>675</v>
      </c>
      <c r="DU270" s="293">
        <f>DU251+DU256</f>
        <v>676</v>
      </c>
      <c r="DV270" s="294">
        <f t="shared" si="1308"/>
        <v>2800</v>
      </c>
      <c r="DW270" s="293">
        <f>DW251+DW256</f>
        <v>552</v>
      </c>
      <c r="DX270" s="293">
        <f>DX251+DX256</f>
        <v>857</v>
      </c>
      <c r="DY270" s="293">
        <f>DY251+DY256</f>
        <v>797</v>
      </c>
      <c r="DZ270" s="293">
        <f>DZ251+DZ256</f>
        <v>775.0741802873722</v>
      </c>
      <c r="EA270" s="294">
        <f t="shared" si="1308"/>
        <v>2981.0741802873727</v>
      </c>
      <c r="EB270" s="293">
        <f t="shared" ref="EB270:EF270" si="1309">EB251+EB256</f>
        <v>633</v>
      </c>
      <c r="EC270" s="293">
        <f t="shared" si="1309"/>
        <v>851</v>
      </c>
      <c r="ED270" s="293">
        <f t="shared" si="1309"/>
        <v>799</v>
      </c>
      <c r="EE270" s="293">
        <f t="shared" si="1309"/>
        <v>741</v>
      </c>
      <c r="EF270" s="294">
        <f t="shared" si="1309"/>
        <v>3024</v>
      </c>
      <c r="EG270" s="293">
        <f>EG251+EG256</f>
        <v>568</v>
      </c>
      <c r="EH270" s="293">
        <f>EH251+EH256</f>
        <v>707</v>
      </c>
      <c r="EI270" s="293">
        <f>EI251+EI256</f>
        <v>715</v>
      </c>
      <c r="EJ270" s="293">
        <f t="shared" ref="EJ270:EK270" si="1310">EJ251+EJ256</f>
        <v>751</v>
      </c>
      <c r="EK270" s="294">
        <f t="shared" si="1310"/>
        <v>2728</v>
      </c>
      <c r="EL270" s="293">
        <f>EL251+EL256</f>
        <v>755</v>
      </c>
      <c r="EM270" s="293">
        <f>EM251+EM256</f>
        <v>949</v>
      </c>
      <c r="EN270" s="293">
        <f>EN251+EN256</f>
        <v>751</v>
      </c>
      <c r="EO270" s="293">
        <f t="shared" ref="EO270:EP270" si="1311">EO251+EO256</f>
        <v>870</v>
      </c>
      <c r="EP270" s="294">
        <f t="shared" si="1311"/>
        <v>3325</v>
      </c>
      <c r="EQ270" s="293">
        <f>EQ251+EQ256</f>
        <v>912</v>
      </c>
      <c r="ER270" s="293">
        <f t="shared" ref="ER270" si="1312">ER251+ER256</f>
        <v>933.68205618333468</v>
      </c>
      <c r="ES270" s="293">
        <f t="shared" ref="ES270:EU270" si="1313">ES251+ES256</f>
        <v>879.98891633752146</v>
      </c>
      <c r="ET270" s="293">
        <f t="shared" si="1313"/>
        <v>933.83640465006511</v>
      </c>
      <c r="EU270" s="294">
        <f t="shared" si="1313"/>
        <v>3659.5073771709212</v>
      </c>
      <c r="EV270" s="295"/>
      <c r="EW270" s="8"/>
      <c r="EX270" s="8"/>
      <c r="EY270" s="8"/>
      <c r="EZ270" s="294">
        <f>EZ251+EZ256</f>
        <v>3788.0507680010428</v>
      </c>
      <c r="FA270" s="295"/>
      <c r="FB270" s="8"/>
      <c r="FC270" s="8"/>
      <c r="FD270" s="8"/>
      <c r="FE270" s="294">
        <f>FE251+FE256</f>
        <v>4145.3568652360282</v>
      </c>
      <c r="FG270" s="494"/>
      <c r="FH270" s="807"/>
      <c r="FI270" s="807"/>
      <c r="FJ270" s="807"/>
      <c r="FK270" s="39"/>
      <c r="FL270" s="1374"/>
      <c r="FM270" s="1593">
        <f t="shared" ref="FM270:FM279" si="1314">+EQ270</f>
        <v>912</v>
      </c>
      <c r="FN270" s="1483">
        <f t="shared" si="1303"/>
        <v>755</v>
      </c>
      <c r="FO270" s="1891">
        <v>759.65098271350007</v>
      </c>
      <c r="FP270" s="1781">
        <f>+FM270/FN270-1</f>
        <v>0.20794701986754971</v>
      </c>
      <c r="FQ270" s="1601">
        <f>+FM270/FO270-1</f>
        <v>0.20055133311656337</v>
      </c>
      <c r="FR270" s="1619"/>
      <c r="FS270" s="1619"/>
      <c r="FT270" s="355"/>
      <c r="FU270" s="355"/>
      <c r="FV270" s="355"/>
      <c r="FW270" s="355"/>
      <c r="FX270" s="355"/>
      <c r="FY270" s="355"/>
      <c r="FZ270" s="494"/>
      <c r="GA270"/>
      <c r="GB270"/>
      <c r="GC270"/>
      <c r="GD270"/>
      <c r="GE270"/>
      <c r="GF270"/>
      <c r="GG270"/>
      <c r="GH270"/>
      <c r="GI270"/>
      <c r="GJ270"/>
      <c r="GK270"/>
      <c r="GL270"/>
      <c r="GM270"/>
      <c r="GN270"/>
      <c r="GO270"/>
      <c r="GP270"/>
      <c r="GQ270"/>
      <c r="GR270"/>
      <c r="GS270"/>
      <c r="GT270"/>
      <c r="GU270"/>
      <c r="GV270"/>
      <c r="GW270"/>
      <c r="GX270"/>
      <c r="GY270"/>
      <c r="GZ270"/>
      <c r="HA270"/>
      <c r="HB270"/>
      <c r="HC270"/>
      <c r="HD270"/>
      <c r="HE270"/>
      <c r="HF270"/>
      <c r="HG270"/>
      <c r="HH270"/>
      <c r="HI270"/>
      <c r="HJ270"/>
      <c r="HK270"/>
      <c r="HL270"/>
      <c r="HM270"/>
      <c r="HN270"/>
      <c r="HO270"/>
      <c r="HP270"/>
      <c r="HQ270"/>
      <c r="HR270"/>
      <c r="HS270"/>
      <c r="HT270"/>
      <c r="HU270"/>
      <c r="HV270"/>
      <c r="HW270"/>
      <c r="HX270"/>
      <c r="HY270"/>
      <c r="HZ270"/>
      <c r="IA270"/>
      <c r="IB270"/>
      <c r="IC270"/>
      <c r="ID270"/>
      <c r="IE270"/>
      <c r="IF270"/>
      <c r="IG270"/>
      <c r="IH270"/>
      <c r="II270"/>
      <c r="IJ270"/>
      <c r="IK270"/>
      <c r="IL270"/>
      <c r="IM270"/>
      <c r="IN270"/>
      <c r="IO270"/>
      <c r="IP270"/>
      <c r="IQ270"/>
      <c r="IR270"/>
      <c r="IS270"/>
      <c r="IT270"/>
      <c r="IU270"/>
      <c r="IV270"/>
      <c r="IW270"/>
      <c r="IX270"/>
    </row>
    <row r="271" spans="1:258" s="698" customFormat="1" x14ac:dyDescent="0.2">
      <c r="A271" s="694" t="s">
        <v>446</v>
      </c>
      <c r="B271" s="695"/>
      <c r="C271" s="695"/>
      <c r="D271" s="695"/>
      <c r="E271" s="695"/>
      <c r="F271" s="696"/>
      <c r="G271" s="695"/>
      <c r="H271" s="695"/>
      <c r="I271" s="695"/>
      <c r="J271" s="695"/>
      <c r="K271" s="696"/>
      <c r="L271" s="695"/>
      <c r="M271" s="695"/>
      <c r="N271" s="695"/>
      <c r="O271" s="695"/>
      <c r="P271" s="696"/>
      <c r="Q271" s="695">
        <f>+Q272/Q270</f>
        <v>0.3361884368308351</v>
      </c>
      <c r="R271" s="695">
        <f>+R272/R270</f>
        <v>0.32</v>
      </c>
      <c r="S271" s="695">
        <f>+S272/S270</f>
        <v>0.33350703491401756</v>
      </c>
      <c r="T271" s="695">
        <f>+T272/T270</f>
        <v>0.2961591855622398</v>
      </c>
      <c r="U271" s="696">
        <f>U272/U270</f>
        <v>0.31849143601017799</v>
      </c>
      <c r="V271" s="695">
        <f>+V272/V270</f>
        <v>0.36499999999999994</v>
      </c>
      <c r="W271" s="695">
        <f>+W272/W270</f>
        <v>0.33999999999999997</v>
      </c>
      <c r="X271" s="695">
        <f>+X272/X270</f>
        <v>0.34200000000000003</v>
      </c>
      <c r="Y271" s="695">
        <f>+Y272/Y270</f>
        <v>0.35193133047210301</v>
      </c>
      <c r="Z271" s="696">
        <f>Z272/Z270</f>
        <v>0.37001174743024962</v>
      </c>
      <c r="AA271" s="695">
        <f>+AA272/AA270</f>
        <v>0.3728813559322034</v>
      </c>
      <c r="AB271" s="695">
        <f>+AB272/AB270</f>
        <v>0.35458167330677293</v>
      </c>
      <c r="AC271" s="695">
        <f>+AC272/AC270</f>
        <v>0.35636363636363638</v>
      </c>
      <c r="AD271" s="695">
        <f>+AD272/AD270</f>
        <v>0.32600000000000001</v>
      </c>
      <c r="AE271" s="696">
        <f>AE272/AE270</f>
        <v>0.34847171824973322</v>
      </c>
      <c r="AF271" s="695">
        <f>+AF272/AF270</f>
        <v>0.38578680203045684</v>
      </c>
      <c r="AG271" s="695">
        <f>+AG272/AG270</f>
        <v>0.36700000000000005</v>
      </c>
      <c r="AH271" s="695">
        <f>+AH272/AH270</f>
        <v>0.37071651090342678</v>
      </c>
      <c r="AI271" s="695">
        <f>+AI272/AI270</f>
        <v>0.36449999999999999</v>
      </c>
      <c r="AJ271" s="696">
        <f>AJ272/AJ270</f>
        <v>0.37045008605851976</v>
      </c>
      <c r="AK271" s="695">
        <f>+AK272/AK270</f>
        <v>0.3482142857142857</v>
      </c>
      <c r="AL271" s="695">
        <f>+AL272/AL270</f>
        <v>0.35</v>
      </c>
      <c r="AM271" s="695">
        <f>+AM272/AM270</f>
        <v>0.35276967930029157</v>
      </c>
      <c r="AN271" s="695">
        <f>+AN272/AN270</f>
        <v>0.35528277634961442</v>
      </c>
      <c r="AO271" s="696">
        <f>AO272/AO270</f>
        <v>0.35251613028242085</v>
      </c>
      <c r="AP271" s="695">
        <f>+AP272/AP270</f>
        <v>0.35499999999999998</v>
      </c>
      <c r="AQ271" s="695">
        <f>+AQ272/AQ270</f>
        <v>0.35500000000000004</v>
      </c>
      <c r="AR271" s="695">
        <f>+AR272/AR270</f>
        <v>0.34</v>
      </c>
      <c r="AS271" s="695">
        <f>+AS272/AS270</f>
        <v>0.35161290322580646</v>
      </c>
      <c r="AT271" s="696">
        <f>AT272/AT270</f>
        <v>0.3502329139430822</v>
      </c>
      <c r="AU271" s="695">
        <f>+AU272/AU270</f>
        <v>0.36000000000000004</v>
      </c>
      <c r="AV271" s="695">
        <f>+AV272/AV270</f>
        <v>0.32</v>
      </c>
      <c r="AW271" s="695">
        <f>+AW272/AW270</f>
        <v>0.36000000000000004</v>
      </c>
      <c r="AX271" s="695">
        <f>+AX272/AX270</f>
        <v>0.35499999999999998</v>
      </c>
      <c r="AY271" s="696">
        <f>AY272/AY270</f>
        <v>0.34658643326039384</v>
      </c>
      <c r="AZ271" s="695">
        <f>+AZ272/AZ270</f>
        <v>0.35</v>
      </c>
      <c r="BA271" s="695">
        <f>+BA272/BA270</f>
        <v>0.34999999999999987</v>
      </c>
      <c r="BB271" s="695">
        <f>+BB272/BB270</f>
        <v>0.38500000000000001</v>
      </c>
      <c r="BC271" s="695">
        <f>+BC272/BC270</f>
        <v>0.42857142857142905</v>
      </c>
      <c r="BD271" s="696">
        <f>BD272/BD270</f>
        <v>0.36804741980474198</v>
      </c>
      <c r="BE271" s="695">
        <f>+BE272/BE270</f>
        <v>0.29268292682926828</v>
      </c>
      <c r="BF271" s="695">
        <f>+BF272/BF270</f>
        <v>0.37209302325581395</v>
      </c>
      <c r="BG271" s="695">
        <f>+BG272/BG270</f>
        <v>0.32183908045977011</v>
      </c>
      <c r="BH271" s="695">
        <f>+BH272/BH270</f>
        <v>0.33333333333333331</v>
      </c>
      <c r="BI271" s="696">
        <f>BI272/BI270</f>
        <v>0.33559322033898303</v>
      </c>
      <c r="BJ271" s="695">
        <f>+BJ272/BJ270</f>
        <v>0.24074074074074073</v>
      </c>
      <c r="BK271" s="695">
        <f>+BK272/BK270</f>
        <v>0.3532934131736527</v>
      </c>
      <c r="BL271" s="695">
        <f>+BL272/BL270</f>
        <v>0.36305732484076431</v>
      </c>
      <c r="BM271" s="695">
        <f>+BM272/BM270</f>
        <v>0.3503184713375796</v>
      </c>
      <c r="BN271" s="696">
        <f>BN272/BN270</f>
        <v>0.34940944881889763</v>
      </c>
      <c r="BO271" s="695">
        <f>+BO272/BO270</f>
        <v>0.3644859813084112</v>
      </c>
      <c r="BP271" s="695">
        <f>+BP272/BP270</f>
        <v>0.35404040404040399</v>
      </c>
      <c r="BQ271" s="695">
        <f>+BQ272/BQ270</f>
        <v>0.34948979591836737</v>
      </c>
      <c r="BR271" s="695">
        <f>+BR272/BR270</f>
        <v>0.35071090047393366</v>
      </c>
      <c r="BS271" s="696">
        <f>BS272/BS270</f>
        <v>0.35337078651685394</v>
      </c>
      <c r="BT271" s="695">
        <f>+BT272/BT270</f>
        <v>0.34375</v>
      </c>
      <c r="BU271" s="695">
        <f>+BU272/BU270</f>
        <v>0.36</v>
      </c>
      <c r="BV271" s="695">
        <f>+BV272/BV270</f>
        <v>0.30988372093023253</v>
      </c>
      <c r="BW271" s="695">
        <f>+BW272/BW270</f>
        <v>0.32487309644670048</v>
      </c>
      <c r="BX271" s="696">
        <f>BX272/BX270</f>
        <v>0.33380726698262247</v>
      </c>
      <c r="BY271" s="695">
        <f>+BY272/BY270</f>
        <v>0.34653465346534651</v>
      </c>
      <c r="BZ271" s="695">
        <f>+BZ272/BZ270</f>
        <v>0.35326633165829147</v>
      </c>
      <c r="CA271" s="695">
        <f>+CA272/CA270</f>
        <v>0.36176470588235293</v>
      </c>
      <c r="CB271" s="695">
        <f>+CB272/CB270</f>
        <v>0.34567901234567899</v>
      </c>
      <c r="CC271" s="696">
        <f>CC272/CC270</f>
        <v>0.35175315568022442</v>
      </c>
      <c r="CD271" s="695">
        <f>+CD272/CD270</f>
        <v>0.35294117647058826</v>
      </c>
      <c r="CE271" s="695">
        <f>+CE272/CE270</f>
        <v>0.38023952095808383</v>
      </c>
      <c r="CF271" s="695">
        <f>+CF272/CF270</f>
        <v>0.37878787878787878</v>
      </c>
      <c r="CG271" s="695">
        <f>+CG272/CG270</f>
        <v>0.36799999999999999</v>
      </c>
      <c r="CH271" s="696">
        <f>CH272/CH270</f>
        <v>0.37076796036333609</v>
      </c>
      <c r="CI271" s="695">
        <f>+CI272/CI270</f>
        <v>0.379746835443038</v>
      </c>
      <c r="CJ271" s="695">
        <f>+CJ272/CJ270</f>
        <v>0.3725173210161663</v>
      </c>
      <c r="CK271" s="695">
        <f>+CK272/CK270</f>
        <v>0.37810945273631841</v>
      </c>
      <c r="CL271" s="695">
        <f>+CL272/CL270</f>
        <v>0.36930455635491605</v>
      </c>
      <c r="CM271" s="696">
        <f>CM272/CM270</f>
        <v>0.37480267152398294</v>
      </c>
      <c r="CN271" s="695">
        <f>+CN272/CN270</f>
        <v>0.36033519553072624</v>
      </c>
      <c r="CO271" s="695">
        <f>+CO272/CO270</f>
        <v>0.3632887189292543</v>
      </c>
      <c r="CP271" s="695">
        <f>+CP272/CP270</f>
        <v>0.36267209011264079</v>
      </c>
      <c r="CQ271" s="695">
        <f>+CQ272/CQ270</f>
        <v>0.35964912280701755</v>
      </c>
      <c r="CR271" s="696">
        <f>CR272/CR270</f>
        <v>0.3615188754096722</v>
      </c>
      <c r="CS271" s="695">
        <f>+CS272/CS270</f>
        <v>0.37402806687705636</v>
      </c>
      <c r="CT271" s="695">
        <f>+CT272/CT270</f>
        <v>0.37728813559322033</v>
      </c>
      <c r="CU271" s="695">
        <f>+CU272/CU270</f>
        <v>0.3737704918032787</v>
      </c>
      <c r="CV271" s="695">
        <f>+CV272/CV270</f>
        <v>0.34647686832740215</v>
      </c>
      <c r="CW271" s="696">
        <f>CW272/CW270</f>
        <v>0.36804313937383942</v>
      </c>
      <c r="CX271" s="695">
        <f>+CX272/CX270</f>
        <v>0.33870967741935482</v>
      </c>
      <c r="CY271" s="695">
        <f>+CY272/CY270</f>
        <v>0.37086092715231789</v>
      </c>
      <c r="CZ271" s="695">
        <f>+CZ272/CZ270</f>
        <v>0.36853448275862066</v>
      </c>
      <c r="DA271" s="695">
        <f>+DA272/DA270</f>
        <v>0.33695652173913043</v>
      </c>
      <c r="DB271" s="696">
        <f>DB272/DB270</f>
        <v>0.35448827901658092</v>
      </c>
      <c r="DC271" s="695">
        <f>+DC272/DC270</f>
        <v>0.39165009940357853</v>
      </c>
      <c r="DD271" s="695">
        <f>+DD272/DD270</f>
        <v>0.35514018691588783</v>
      </c>
      <c r="DE271" s="695">
        <f>+DE272/DE270</f>
        <v>0.41025641025641024</v>
      </c>
      <c r="DF271" s="695">
        <f>+DF272/DF270</f>
        <v>0.38659058487874465</v>
      </c>
      <c r="DG271" s="696">
        <f>DG272/DG270</f>
        <v>0.38618524332810045</v>
      </c>
      <c r="DH271" s="695">
        <f>+DH272/DH270</f>
        <v>0.38106870229007633</v>
      </c>
      <c r="DI271" s="695">
        <f>+DI272/DI270</f>
        <v>0.361323155216285</v>
      </c>
      <c r="DJ271" s="695">
        <f>+DJ272/DJ270</f>
        <v>0.37785234899328857</v>
      </c>
      <c r="DK271" s="695">
        <f>+DK272/DK270</f>
        <v>0.3580000000000001</v>
      </c>
      <c r="DL271" s="696">
        <f>DL272/DL270</f>
        <v>0.36905850340136059</v>
      </c>
      <c r="DM271" s="695">
        <f>+DM272/DM270</f>
        <v>0.37300000000000016</v>
      </c>
      <c r="DN271" s="695">
        <f>+DN272/DN270</f>
        <v>0.36491677336747758</v>
      </c>
      <c r="DO271" s="695">
        <f>+DO272/DO270</f>
        <v>0.3680000000000001</v>
      </c>
      <c r="DP271" s="695">
        <f>+DP272/DP270</f>
        <v>0.38200000000000001</v>
      </c>
      <c r="DQ271" s="696">
        <f>DQ272/DQ270</f>
        <v>0.37192191181420403</v>
      </c>
      <c r="DR271" s="695">
        <f>+DR272/DR270</f>
        <v>0.37994100294985256</v>
      </c>
      <c r="DS271" s="695">
        <f>+DS272/DS270</f>
        <v>0.38</v>
      </c>
      <c r="DT271" s="695">
        <f>+DT272/DT270</f>
        <v>0.375</v>
      </c>
      <c r="DU271" s="695">
        <f>+DU272/DU270</f>
        <v>0.36686390532544377</v>
      </c>
      <c r="DV271" s="696">
        <f>DV272/DV270</f>
        <v>0.37560892857142852</v>
      </c>
      <c r="DW271" s="695">
        <f>+DW272/DW270</f>
        <v>0.3769927536231884</v>
      </c>
      <c r="DX271" s="695">
        <f>+DX272/DX270</f>
        <v>0.37766627771295214</v>
      </c>
      <c r="DY271" s="695">
        <f>+DY272/DY270</f>
        <v>0.38143036386449186</v>
      </c>
      <c r="DZ271" s="695">
        <f>+DZ272/DZ270</f>
        <v>0.36641654079445929</v>
      </c>
      <c r="EA271" s="696">
        <f>EA272/EA270</f>
        <v>0.37562299100254398</v>
      </c>
      <c r="EB271" s="695">
        <f>+EB272/EB270</f>
        <v>0.37714497748093062</v>
      </c>
      <c r="EC271" s="695">
        <f>+EC272/EC270</f>
        <v>0.37566520984000479</v>
      </c>
      <c r="ED271" s="695">
        <f>+ED272/ED270</f>
        <v>0.36545682102628285</v>
      </c>
      <c r="EE271" s="695">
        <f>+EE272/EE270</f>
        <v>0.37112010796221323</v>
      </c>
      <c r="EF271" s="696">
        <f>EF272/EF270</f>
        <v>0.37216397629605596</v>
      </c>
      <c r="EG271" s="695">
        <f>+EG272/EG270</f>
        <v>0.37323943661971831</v>
      </c>
      <c r="EH271" s="695">
        <f>+EH272/EH270</f>
        <v>0.37057991513437055</v>
      </c>
      <c r="EI271" s="695">
        <f>+EI272/EI270</f>
        <v>0.36363636363636365</v>
      </c>
      <c r="EJ271" s="695">
        <f>+EJ272/EJ270</f>
        <v>0.39014647137150466</v>
      </c>
      <c r="EK271" s="696">
        <f>EK272/EK270</f>
        <v>0.37646627565982405</v>
      </c>
      <c r="EL271" s="695">
        <f>+EL272/EL270</f>
        <v>0.378</v>
      </c>
      <c r="EM271" s="695">
        <f>+EM272/EM270</f>
        <v>0.37723919915700738</v>
      </c>
      <c r="EN271" s="695">
        <f>+EN272/EN270</f>
        <v>0.38348868175765644</v>
      </c>
      <c r="EO271" s="695">
        <f>+EO272/EO270</f>
        <v>0.3413793103448276</v>
      </c>
      <c r="EP271" s="696">
        <f>EP272/EP270</f>
        <v>0.36944060150375935</v>
      </c>
      <c r="EQ271" s="695">
        <f>+EQ272/EQ270</f>
        <v>0.23793859649122806</v>
      </c>
      <c r="ER271" s="1918">
        <v>0.25</v>
      </c>
      <c r="ES271" s="1918">
        <f t="shared" ref="ES271:ET271" si="1315">+ER271</f>
        <v>0.25</v>
      </c>
      <c r="ET271" s="1918">
        <f t="shared" si="1315"/>
        <v>0.25</v>
      </c>
      <c r="EU271" s="696">
        <f>EU272/EU270</f>
        <v>0.24699413093996717</v>
      </c>
      <c r="EV271" s="503"/>
      <c r="EW271" s="503"/>
      <c r="EX271" s="503"/>
      <c r="EY271" s="503"/>
      <c r="EZ271" s="697">
        <v>0.25</v>
      </c>
      <c r="FA271" s="503"/>
      <c r="FB271" s="503"/>
      <c r="FC271" s="503"/>
      <c r="FD271" s="503"/>
      <c r="FE271" s="697">
        <f>EZ271</f>
        <v>0.25</v>
      </c>
      <c r="FG271" s="699"/>
      <c r="FH271" s="809"/>
      <c r="FI271" s="2039">
        <f>(4.25*15.5)/(1.08)^2</f>
        <v>56.477194787379965</v>
      </c>
      <c r="FJ271" s="809"/>
      <c r="FK271" s="227"/>
      <c r="FL271" s="1371"/>
      <c r="FM271" s="1594">
        <f t="shared" si="1314"/>
        <v>0.23793859649122806</v>
      </c>
      <c r="FN271" s="1484">
        <f t="shared" si="1303"/>
        <v>0.378</v>
      </c>
      <c r="FO271" s="1892">
        <v>0.25</v>
      </c>
      <c r="FP271" s="1735">
        <f>+(FM271-FN271)*10000</f>
        <v>-1400.6140350877195</v>
      </c>
      <c r="FQ271" s="1503">
        <f>+(FM271-FO271)*10000</f>
        <v>-120.6140350877194</v>
      </c>
      <c r="FR271" s="1614" t="s">
        <v>826</v>
      </c>
      <c r="FS271" s="1619"/>
      <c r="FT271" s="432"/>
      <c r="FU271" s="432"/>
      <c r="FV271" s="432"/>
      <c r="FW271" s="432"/>
      <c r="FX271" s="432"/>
      <c r="FY271" s="432"/>
      <c r="FZ271" s="699"/>
      <c r="GA271"/>
      <c r="GB271"/>
      <c r="GC271"/>
      <c r="GD271"/>
      <c r="GE271"/>
      <c r="GF271"/>
      <c r="GG271"/>
      <c r="GH271"/>
      <c r="GI271"/>
      <c r="GJ271"/>
      <c r="GK271"/>
      <c r="GL271"/>
      <c r="GM271"/>
      <c r="GN271"/>
      <c r="GO271"/>
      <c r="GP271"/>
      <c r="GQ271"/>
      <c r="GR271"/>
      <c r="GS271"/>
      <c r="GT271"/>
      <c r="GU271"/>
      <c r="GV271"/>
      <c r="GW271"/>
      <c r="GX271"/>
      <c r="GY271"/>
      <c r="GZ271"/>
      <c r="HA271"/>
      <c r="HB271"/>
      <c r="HC271"/>
      <c r="HD271"/>
      <c r="HE271"/>
      <c r="HF271"/>
      <c r="HG271"/>
      <c r="HH271"/>
      <c r="HI271"/>
      <c r="HJ271"/>
      <c r="HK271"/>
      <c r="HL271"/>
      <c r="HM271"/>
      <c r="HN271"/>
      <c r="HO271"/>
      <c r="HP271"/>
      <c r="HQ271"/>
      <c r="HR271"/>
      <c r="HS271"/>
      <c r="HT271"/>
      <c r="HU271"/>
      <c r="HV271"/>
      <c r="HW271"/>
      <c r="HX271"/>
      <c r="HY271"/>
      <c r="HZ271"/>
      <c r="IA271"/>
      <c r="IB271"/>
      <c r="IC271"/>
      <c r="ID271"/>
      <c r="IE271"/>
      <c r="IF271"/>
      <c r="IG271"/>
      <c r="IH271"/>
      <c r="II271"/>
      <c r="IJ271"/>
      <c r="IK271"/>
      <c r="IL271"/>
      <c r="IM271"/>
      <c r="IN271"/>
      <c r="IO271"/>
      <c r="IP271"/>
      <c r="IQ271"/>
      <c r="IR271"/>
      <c r="IS271"/>
      <c r="IT271"/>
      <c r="IU271"/>
      <c r="IV271"/>
      <c r="IW271"/>
      <c r="IX271"/>
    </row>
    <row r="272" spans="1:258" s="296" customFormat="1" x14ac:dyDescent="0.2">
      <c r="A272" s="563" t="s">
        <v>447</v>
      </c>
      <c r="B272" s="297"/>
      <c r="C272" s="297"/>
      <c r="D272" s="297"/>
      <c r="E272" s="297"/>
      <c r="F272" s="294"/>
      <c r="G272" s="297"/>
      <c r="H272" s="297"/>
      <c r="I272" s="297"/>
      <c r="J272" s="297"/>
      <c r="K272" s="294"/>
      <c r="L272" s="297"/>
      <c r="M272" s="297"/>
      <c r="N272" s="297"/>
      <c r="O272" s="297"/>
      <c r="P272" s="294"/>
      <c r="Q272" s="297">
        <v>31.4</v>
      </c>
      <c r="R272" s="297">
        <v>61.85612648221344</v>
      </c>
      <c r="S272" s="297">
        <v>64</v>
      </c>
      <c r="T272" s="297">
        <v>64</v>
      </c>
      <c r="U272" s="294">
        <v>221.25612648221343</v>
      </c>
      <c r="V272" s="297">
        <v>29.710999999999991</v>
      </c>
      <c r="W272" s="297">
        <v>79.22</v>
      </c>
      <c r="X272" s="297">
        <v>61.047000000000004</v>
      </c>
      <c r="Y272" s="297">
        <v>82</v>
      </c>
      <c r="Z272" s="294">
        <v>251.97799999999998</v>
      </c>
      <c r="AA272" s="297">
        <v>44</v>
      </c>
      <c r="AB272" s="297">
        <v>89</v>
      </c>
      <c r="AC272" s="297">
        <v>98</v>
      </c>
      <c r="AD272" s="297">
        <v>95.518000000000001</v>
      </c>
      <c r="AE272" s="294">
        <v>326.51800000000003</v>
      </c>
      <c r="AF272" s="297">
        <v>76</v>
      </c>
      <c r="AG272" s="297">
        <v>106.43</v>
      </c>
      <c r="AH272" s="297">
        <v>119</v>
      </c>
      <c r="AI272" s="297">
        <v>129.03299999999999</v>
      </c>
      <c r="AJ272" s="294">
        <v>430.46299999999997</v>
      </c>
      <c r="AK272" s="297">
        <v>78</v>
      </c>
      <c r="AL272" s="297">
        <v>126</v>
      </c>
      <c r="AM272" s="297">
        <v>121</v>
      </c>
      <c r="AN272" s="297">
        <v>138.35848215938304</v>
      </c>
      <c r="AO272" s="294">
        <v>463.35848215938302</v>
      </c>
      <c r="AP272" s="297">
        <v>91.403625000000005</v>
      </c>
      <c r="AQ272" s="297">
        <v>135.99162500000014</v>
      </c>
      <c r="AR272" s="297">
        <v>119.34</v>
      </c>
      <c r="AS272" s="297">
        <v>137.12903225806451</v>
      </c>
      <c r="AT272" s="294">
        <v>483.86428225806469</v>
      </c>
      <c r="AU272" s="297">
        <v>76.680000000000007</v>
      </c>
      <c r="AV272" s="297">
        <v>88.64</v>
      </c>
      <c r="AW272" s="297">
        <v>67.680000000000007</v>
      </c>
      <c r="AX272" s="297">
        <v>83.78</v>
      </c>
      <c r="AY272" s="294">
        <v>316.77999999999997</v>
      </c>
      <c r="AZ272" s="297">
        <v>73.849999999999994</v>
      </c>
      <c r="BA272" s="297">
        <v>80.64</v>
      </c>
      <c r="BB272" s="297">
        <v>77</v>
      </c>
      <c r="BC272" s="297">
        <v>32.4</v>
      </c>
      <c r="BD272" s="294">
        <v>263.89</v>
      </c>
      <c r="BE272" s="297">
        <v>12</v>
      </c>
      <c r="BF272" s="297">
        <v>32</v>
      </c>
      <c r="BG272" s="297">
        <v>28</v>
      </c>
      <c r="BH272" s="297">
        <v>27</v>
      </c>
      <c r="BI272" s="294">
        <f>SUM(BE272:BH272)</f>
        <v>99</v>
      </c>
      <c r="BJ272" s="297">
        <v>6.5</v>
      </c>
      <c r="BK272" s="297">
        <v>59</v>
      </c>
      <c r="BL272" s="297">
        <v>57</v>
      </c>
      <c r="BM272" s="297">
        <v>55</v>
      </c>
      <c r="BN272" s="294">
        <f>SUM(BJ272:BM272)</f>
        <v>177.5</v>
      </c>
      <c r="BO272" s="297">
        <v>39</v>
      </c>
      <c r="BP272" s="297">
        <v>70.099999999999994</v>
      </c>
      <c r="BQ272" s="297">
        <v>68.5</v>
      </c>
      <c r="BR272" s="297">
        <v>74</v>
      </c>
      <c r="BS272" s="294">
        <f>SUM(BO272:BR272)</f>
        <v>251.6</v>
      </c>
      <c r="BT272" s="297">
        <v>22</v>
      </c>
      <c r="BU272" s="297">
        <v>72</v>
      </c>
      <c r="BV272" s="297">
        <v>53.3</v>
      </c>
      <c r="BW272" s="297">
        <v>64</v>
      </c>
      <c r="BX272" s="294">
        <f>SUM(BT272:BW272)</f>
        <v>211.3</v>
      </c>
      <c r="BY272" s="297">
        <v>35</v>
      </c>
      <c r="BZ272" s="297">
        <v>70.3</v>
      </c>
      <c r="CA272" s="297">
        <v>61.5</v>
      </c>
      <c r="CB272" s="297">
        <v>84</v>
      </c>
      <c r="CC272" s="294">
        <f>SUM(BY272:CB272)</f>
        <v>250.8</v>
      </c>
      <c r="CD272" s="297">
        <v>84</v>
      </c>
      <c r="CE272" s="297">
        <v>127</v>
      </c>
      <c r="CF272" s="297">
        <v>100</v>
      </c>
      <c r="CG272" s="297">
        <v>138</v>
      </c>
      <c r="CH272" s="294">
        <f>SUM(CD272:CG272)</f>
        <v>449</v>
      </c>
      <c r="CI272" s="297">
        <v>150</v>
      </c>
      <c r="CJ272" s="297">
        <v>161.30000000000001</v>
      </c>
      <c r="CK272" s="297">
        <v>152</v>
      </c>
      <c r="CL272" s="297">
        <v>154</v>
      </c>
      <c r="CM272" s="294">
        <f>SUM(CI272:CL272)</f>
        <v>617.29999999999995</v>
      </c>
      <c r="CN272" s="297">
        <v>129</v>
      </c>
      <c r="CO272" s="297">
        <v>190</v>
      </c>
      <c r="CP272" s="297">
        <v>172.63191489361702</v>
      </c>
      <c r="CQ272" s="297">
        <v>202.12280701754386</v>
      </c>
      <c r="CR272" s="294">
        <f>SUM(CN272:CQ272)</f>
        <v>693.75472191116091</v>
      </c>
      <c r="CS272" s="297">
        <v>198.23487544483987</v>
      </c>
      <c r="CT272" s="297">
        <v>222.6</v>
      </c>
      <c r="CU272" s="297">
        <v>228</v>
      </c>
      <c r="CV272" s="297">
        <v>194.72</v>
      </c>
      <c r="CW272" s="294">
        <f>SUM(CS272:CV272)</f>
        <v>843.55487544483992</v>
      </c>
      <c r="CX272" s="297">
        <v>126</v>
      </c>
      <c r="CY272" s="297">
        <v>168</v>
      </c>
      <c r="CZ272" s="297">
        <v>171</v>
      </c>
      <c r="DA272" s="297">
        <v>155</v>
      </c>
      <c r="DB272" s="294">
        <f>SUM(CX272:DA272)</f>
        <v>620</v>
      </c>
      <c r="DC272" s="297">
        <v>197</v>
      </c>
      <c r="DD272" s="297">
        <v>228</v>
      </c>
      <c r="DE272" s="297">
        <v>288</v>
      </c>
      <c r="DF272" s="297">
        <v>271</v>
      </c>
      <c r="DG272" s="294">
        <f>SUM(DC272:DF272)</f>
        <v>984</v>
      </c>
      <c r="DH272" s="297">
        <v>249.6</v>
      </c>
      <c r="DI272" s="297">
        <v>284</v>
      </c>
      <c r="DJ272" s="297">
        <v>281.5</v>
      </c>
      <c r="DK272" s="297">
        <v>269.93200000000007</v>
      </c>
      <c r="DL272" s="294">
        <f>SUM(DH272:DK272)</f>
        <v>1085.0320000000002</v>
      </c>
      <c r="DM272" s="297">
        <v>286.46400000000011</v>
      </c>
      <c r="DN272" s="297">
        <v>285</v>
      </c>
      <c r="DO272" s="297">
        <v>254.65600000000006</v>
      </c>
      <c r="DP272" s="297">
        <v>278.86</v>
      </c>
      <c r="DQ272" s="294">
        <f>SUM(DM272:DP272)</f>
        <v>1104.9800000000002</v>
      </c>
      <c r="DR272" s="297">
        <v>257.60000000000002</v>
      </c>
      <c r="DS272" s="297">
        <v>292.98</v>
      </c>
      <c r="DT272" s="297">
        <v>253.125</v>
      </c>
      <c r="DU272" s="297">
        <v>248</v>
      </c>
      <c r="DV272" s="294">
        <f>SUM(DR272:DU272)</f>
        <v>1051.7049999999999</v>
      </c>
      <c r="DW272" s="297">
        <f>208+21-0.38*55</f>
        <v>208.1</v>
      </c>
      <c r="DX272" s="297">
        <f>321+0.38*18-0.38*11</f>
        <v>323.65999999999997</v>
      </c>
      <c r="DY272" s="297">
        <v>304</v>
      </c>
      <c r="DZ272" s="297">
        <v>284</v>
      </c>
      <c r="EA272" s="294">
        <f>SUM(DW272:DZ272)</f>
        <v>1119.76</v>
      </c>
      <c r="EB272" s="297">
        <v>238.73277074542909</v>
      </c>
      <c r="EC272" s="297">
        <v>319.69109357384406</v>
      </c>
      <c r="ED272" s="297">
        <v>292</v>
      </c>
      <c r="EE272" s="297">
        <v>275</v>
      </c>
      <c r="EF272" s="294">
        <f>SUM(EB272:EE272)</f>
        <v>1125.4238643192732</v>
      </c>
      <c r="EG272" s="297">
        <v>212</v>
      </c>
      <c r="EH272" s="297">
        <v>262</v>
      </c>
      <c r="EI272" s="297">
        <v>260</v>
      </c>
      <c r="EJ272" s="297">
        <v>293</v>
      </c>
      <c r="EK272" s="294">
        <f>SUM(EG272:EJ272)</f>
        <v>1027</v>
      </c>
      <c r="EL272" s="297">
        <v>285.39</v>
      </c>
      <c r="EM272" s="297">
        <v>358</v>
      </c>
      <c r="EN272" s="297">
        <v>288</v>
      </c>
      <c r="EO272" s="297">
        <v>297</v>
      </c>
      <c r="EP272" s="294">
        <f>SUM(EL272:EO272)</f>
        <v>1228.3899999999999</v>
      </c>
      <c r="EQ272" s="297">
        <v>217</v>
      </c>
      <c r="ER272" s="297">
        <f t="shared" ref="ER272" si="1316">ER270*ER271</f>
        <v>233.42051404583367</v>
      </c>
      <c r="ES272" s="297">
        <f t="shared" ref="ES272:ET272" si="1317">ES270*ES271</f>
        <v>219.99722908438036</v>
      </c>
      <c r="ET272" s="297">
        <f t="shared" si="1317"/>
        <v>233.45910116251628</v>
      </c>
      <c r="EU272" s="294">
        <f>SUM(EQ272:ET272)</f>
        <v>903.87684429273031</v>
      </c>
      <c r="EV272" s="8"/>
      <c r="EW272" s="8"/>
      <c r="EX272" s="8"/>
      <c r="EY272" s="8"/>
      <c r="EZ272" s="294">
        <f>EZ270*EZ271</f>
        <v>947.0126920002607</v>
      </c>
      <c r="FA272" s="8"/>
      <c r="FB272" s="8"/>
      <c r="FC272" s="8"/>
      <c r="FD272" s="8"/>
      <c r="FE272" s="294">
        <f>FE270*FE271</f>
        <v>1036.339216309007</v>
      </c>
      <c r="FG272" s="494"/>
      <c r="FH272" s="807"/>
      <c r="FI272" s="807"/>
      <c r="FJ272" s="807"/>
      <c r="FK272" s="39"/>
      <c r="FL272" s="1374"/>
      <c r="FM272" s="1593">
        <f t="shared" si="1314"/>
        <v>217</v>
      </c>
      <c r="FN272" s="1485">
        <f t="shared" si="1303"/>
        <v>285.39</v>
      </c>
      <c r="FO272" s="1893">
        <v>189.91274567837502</v>
      </c>
      <c r="FP272" s="1781">
        <f>+FM272/FN272-1</f>
        <v>-0.2396369879813588</v>
      </c>
      <c r="FQ272" s="1601">
        <f>+FM272/FO272-1</f>
        <v>0.14262999686971178</v>
      </c>
      <c r="FR272" s="1619"/>
      <c r="FS272" s="1615"/>
      <c r="FT272" s="355"/>
      <c r="FU272" s="355"/>
      <c r="FV272" s="355"/>
      <c r="FW272" s="355"/>
      <c r="FX272" s="355"/>
      <c r="FY272" s="355"/>
      <c r="FZ272" s="494"/>
      <c r="GA272"/>
      <c r="GB272"/>
      <c r="GC272"/>
      <c r="GD272"/>
      <c r="GE272"/>
      <c r="GF272"/>
      <c r="GG272"/>
      <c r="GH272"/>
      <c r="GI272"/>
      <c r="GJ272"/>
      <c r="GK272"/>
      <c r="GL272"/>
      <c r="GM272"/>
      <c r="GN272"/>
      <c r="GO272"/>
      <c r="GP272"/>
      <c r="GQ272"/>
      <c r="GR272"/>
      <c r="GS272"/>
      <c r="GT272"/>
      <c r="GU272"/>
      <c r="GV272"/>
      <c r="GW272"/>
      <c r="GX272"/>
      <c r="GY272"/>
      <c r="GZ272"/>
      <c r="HA272"/>
      <c r="HB272"/>
      <c r="HC272"/>
      <c r="HD272"/>
      <c r="HE272"/>
      <c r="HF272"/>
      <c r="HG272"/>
      <c r="HH272"/>
      <c r="HI272"/>
      <c r="HJ272"/>
      <c r="HK272"/>
      <c r="HL272"/>
      <c r="HM272"/>
      <c r="HN272"/>
      <c r="HO272"/>
      <c r="HP272"/>
      <c r="HQ272"/>
      <c r="HR272"/>
      <c r="HS272"/>
      <c r="HT272"/>
      <c r="HU272"/>
      <c r="HV272"/>
      <c r="HW272"/>
      <c r="HX272"/>
      <c r="HY272"/>
      <c r="HZ272"/>
      <c r="IA272"/>
      <c r="IB272"/>
      <c r="IC272"/>
      <c r="ID272"/>
      <c r="IE272"/>
      <c r="IF272"/>
      <c r="IG272"/>
      <c r="IH272"/>
      <c r="II272"/>
      <c r="IJ272"/>
      <c r="IK272"/>
      <c r="IL272"/>
      <c r="IM272"/>
      <c r="IN272"/>
      <c r="IO272"/>
      <c r="IP272"/>
      <c r="IQ272"/>
      <c r="IR272"/>
      <c r="IS272"/>
      <c r="IT272"/>
      <c r="IU272"/>
      <c r="IV272"/>
      <c r="IW272"/>
      <c r="IX272"/>
    </row>
    <row r="273" spans="1:258" s="120" customFormat="1" ht="13.5" customHeight="1" x14ac:dyDescent="0.2">
      <c r="A273" s="615" t="s">
        <v>92</v>
      </c>
      <c r="B273" s="114"/>
      <c r="C273" s="114"/>
      <c r="D273" s="114"/>
      <c r="E273" s="114"/>
      <c r="F273" s="115"/>
      <c r="G273" s="114"/>
      <c r="H273" s="114"/>
      <c r="I273" s="114"/>
      <c r="J273" s="114"/>
      <c r="K273" s="115"/>
      <c r="L273" s="114"/>
      <c r="M273" s="114"/>
      <c r="N273" s="114"/>
      <c r="O273" s="114"/>
      <c r="P273" s="115"/>
      <c r="Q273" s="114">
        <f t="shared" ref="Q273:AV273" si="1318">Q270-Q272</f>
        <v>62.000000000000007</v>
      </c>
      <c r="R273" s="114">
        <f t="shared" si="1318"/>
        <v>131.44426877470357</v>
      </c>
      <c r="S273" s="114">
        <f t="shared" si="1318"/>
        <v>127.90000000000009</v>
      </c>
      <c r="T273" s="114">
        <f t="shared" si="1318"/>
        <v>152.09999999999991</v>
      </c>
      <c r="U273" s="115">
        <f t="shared" si="1318"/>
        <v>473.44426877470266</v>
      </c>
      <c r="V273" s="114">
        <f t="shared" si="1318"/>
        <v>51.689</v>
      </c>
      <c r="W273" s="114">
        <f t="shared" si="1318"/>
        <v>153.78</v>
      </c>
      <c r="X273" s="114">
        <f t="shared" si="1318"/>
        <v>117.453</v>
      </c>
      <c r="Y273" s="114">
        <f t="shared" si="1318"/>
        <v>151</v>
      </c>
      <c r="Z273" s="115">
        <f t="shared" si="1318"/>
        <v>429.02200000000005</v>
      </c>
      <c r="AA273" s="114">
        <f t="shared" si="1318"/>
        <v>74</v>
      </c>
      <c r="AB273" s="114">
        <f t="shared" si="1318"/>
        <v>162</v>
      </c>
      <c r="AC273" s="114">
        <f t="shared" si="1318"/>
        <v>177</v>
      </c>
      <c r="AD273" s="114">
        <f t="shared" si="1318"/>
        <v>197.482</v>
      </c>
      <c r="AE273" s="115">
        <f t="shared" si="1318"/>
        <v>610.48199999999997</v>
      </c>
      <c r="AF273" s="114">
        <f t="shared" si="1318"/>
        <v>121</v>
      </c>
      <c r="AG273" s="114">
        <f t="shared" si="1318"/>
        <v>183.57</v>
      </c>
      <c r="AH273" s="114">
        <f t="shared" si="1318"/>
        <v>202</v>
      </c>
      <c r="AI273" s="114">
        <f t="shared" si="1318"/>
        <v>224.96700000000001</v>
      </c>
      <c r="AJ273" s="115">
        <f t="shared" si="1318"/>
        <v>731.53700000000003</v>
      </c>
      <c r="AK273" s="114">
        <f t="shared" si="1318"/>
        <v>146</v>
      </c>
      <c r="AL273" s="114">
        <f t="shared" si="1318"/>
        <v>234</v>
      </c>
      <c r="AM273" s="114">
        <f t="shared" si="1318"/>
        <v>222</v>
      </c>
      <c r="AN273" s="114">
        <f t="shared" si="1318"/>
        <v>251.07351784061697</v>
      </c>
      <c r="AO273" s="115">
        <f t="shared" si="1318"/>
        <v>851.073517840617</v>
      </c>
      <c r="AP273" s="114">
        <f t="shared" si="1318"/>
        <v>166.07137500000002</v>
      </c>
      <c r="AQ273" s="114">
        <f t="shared" si="1318"/>
        <v>247.08337500000025</v>
      </c>
      <c r="AR273" s="114">
        <f t="shared" si="1318"/>
        <v>231.66</v>
      </c>
      <c r="AS273" s="114">
        <f t="shared" si="1318"/>
        <v>252.87096774193549</v>
      </c>
      <c r="AT273" s="115">
        <f t="shared" si="1318"/>
        <v>897.6857177419339</v>
      </c>
      <c r="AU273" s="114">
        <f t="shared" si="1318"/>
        <v>136.32</v>
      </c>
      <c r="AV273" s="114">
        <f t="shared" si="1318"/>
        <v>188.36</v>
      </c>
      <c r="AW273" s="114">
        <f t="shared" ref="AW273:CB273" si="1319">AW270-AW272</f>
        <v>120.32</v>
      </c>
      <c r="AX273" s="114">
        <f t="shared" si="1319"/>
        <v>152.22</v>
      </c>
      <c r="AY273" s="115">
        <f t="shared" si="1319"/>
        <v>597.22</v>
      </c>
      <c r="AZ273" s="114">
        <f t="shared" si="1319"/>
        <v>137.15</v>
      </c>
      <c r="BA273" s="114">
        <f t="shared" si="1319"/>
        <v>149.7600000000001</v>
      </c>
      <c r="BB273" s="114">
        <f t="shared" si="1319"/>
        <v>123</v>
      </c>
      <c r="BC273" s="114">
        <f t="shared" si="1319"/>
        <v>43.19999999999991</v>
      </c>
      <c r="BD273" s="115">
        <f t="shared" si="1319"/>
        <v>453.11</v>
      </c>
      <c r="BE273" s="114">
        <f t="shared" si="1319"/>
        <v>29</v>
      </c>
      <c r="BF273" s="114">
        <f t="shared" si="1319"/>
        <v>54</v>
      </c>
      <c r="BG273" s="114">
        <f t="shared" si="1319"/>
        <v>59</v>
      </c>
      <c r="BH273" s="114">
        <f t="shared" si="1319"/>
        <v>54</v>
      </c>
      <c r="BI273" s="115">
        <f t="shared" si="1319"/>
        <v>196</v>
      </c>
      <c r="BJ273" s="114">
        <f t="shared" si="1319"/>
        <v>20.5</v>
      </c>
      <c r="BK273" s="114">
        <f t="shared" si="1319"/>
        <v>108</v>
      </c>
      <c r="BL273" s="114">
        <f t="shared" si="1319"/>
        <v>100</v>
      </c>
      <c r="BM273" s="114">
        <f t="shared" si="1319"/>
        <v>102</v>
      </c>
      <c r="BN273" s="115">
        <f t="shared" si="1319"/>
        <v>330.5</v>
      </c>
      <c r="BO273" s="114">
        <f t="shared" si="1319"/>
        <v>68</v>
      </c>
      <c r="BP273" s="114">
        <f t="shared" si="1319"/>
        <v>127.9</v>
      </c>
      <c r="BQ273" s="114">
        <f t="shared" si="1319"/>
        <v>127.5</v>
      </c>
      <c r="BR273" s="114">
        <f t="shared" si="1319"/>
        <v>137</v>
      </c>
      <c r="BS273" s="115">
        <f t="shared" si="1319"/>
        <v>460.4</v>
      </c>
      <c r="BT273" s="114">
        <f t="shared" si="1319"/>
        <v>42</v>
      </c>
      <c r="BU273" s="114">
        <f t="shared" si="1319"/>
        <v>128</v>
      </c>
      <c r="BV273" s="114">
        <f t="shared" si="1319"/>
        <v>118.7</v>
      </c>
      <c r="BW273" s="114">
        <f t="shared" si="1319"/>
        <v>133</v>
      </c>
      <c r="BX273" s="115">
        <f t="shared" si="1319"/>
        <v>421.7</v>
      </c>
      <c r="BY273" s="114">
        <f t="shared" si="1319"/>
        <v>66</v>
      </c>
      <c r="BZ273" s="114">
        <f t="shared" si="1319"/>
        <v>128.69999999999999</v>
      </c>
      <c r="CA273" s="114">
        <f t="shared" si="1319"/>
        <v>108.5</v>
      </c>
      <c r="CB273" s="114">
        <f t="shared" si="1319"/>
        <v>159</v>
      </c>
      <c r="CC273" s="115">
        <f t="shared" ref="CC273:DG273" si="1320">CC270-CC272</f>
        <v>462.2</v>
      </c>
      <c r="CD273" s="114">
        <f t="shared" si="1320"/>
        <v>154</v>
      </c>
      <c r="CE273" s="114">
        <f t="shared" si="1320"/>
        <v>207</v>
      </c>
      <c r="CF273" s="114">
        <f t="shared" si="1320"/>
        <v>164</v>
      </c>
      <c r="CG273" s="114">
        <f t="shared" si="1320"/>
        <v>237</v>
      </c>
      <c r="CH273" s="115">
        <f t="shared" si="1320"/>
        <v>762</v>
      </c>
      <c r="CI273" s="114">
        <f t="shared" si="1320"/>
        <v>245</v>
      </c>
      <c r="CJ273" s="114">
        <f t="shared" si="1320"/>
        <v>271.7</v>
      </c>
      <c r="CK273" s="114">
        <f t="shared" si="1320"/>
        <v>250</v>
      </c>
      <c r="CL273" s="114">
        <f t="shared" si="1320"/>
        <v>263</v>
      </c>
      <c r="CM273" s="115">
        <f t="shared" si="1320"/>
        <v>1029.7</v>
      </c>
      <c r="CN273" s="114">
        <f t="shared" si="1320"/>
        <v>229</v>
      </c>
      <c r="CO273" s="114">
        <f t="shared" si="1320"/>
        <v>333</v>
      </c>
      <c r="CP273" s="114">
        <f t="shared" si="1320"/>
        <v>303.36808510638298</v>
      </c>
      <c r="CQ273" s="114">
        <f t="shared" si="1320"/>
        <v>359.87719298245611</v>
      </c>
      <c r="CR273" s="115">
        <f t="shared" si="1320"/>
        <v>1225.2452780888391</v>
      </c>
      <c r="CS273" s="114">
        <f t="shared" si="1320"/>
        <v>331.76512455516013</v>
      </c>
      <c r="CT273" s="114">
        <f t="shared" si="1320"/>
        <v>367.4</v>
      </c>
      <c r="CU273" s="114">
        <f t="shared" si="1320"/>
        <v>382</v>
      </c>
      <c r="CV273" s="114">
        <f t="shared" si="1320"/>
        <v>367.28</v>
      </c>
      <c r="CW273" s="115">
        <f t="shared" si="1320"/>
        <v>1448.44512455516</v>
      </c>
      <c r="CX273" s="114">
        <f t="shared" si="1320"/>
        <v>246</v>
      </c>
      <c r="CY273" s="114">
        <f t="shared" si="1320"/>
        <v>285</v>
      </c>
      <c r="CZ273" s="114">
        <f t="shared" si="1320"/>
        <v>293</v>
      </c>
      <c r="DA273" s="114">
        <f t="shared" si="1320"/>
        <v>305</v>
      </c>
      <c r="DB273" s="115">
        <f t="shared" si="1320"/>
        <v>1129</v>
      </c>
      <c r="DC273" s="114">
        <f t="shared" si="1320"/>
        <v>306</v>
      </c>
      <c r="DD273" s="114">
        <f>DD270-DD272</f>
        <v>414</v>
      </c>
      <c r="DE273" s="114">
        <f>DE270-DE272</f>
        <v>414</v>
      </c>
      <c r="DF273" s="114">
        <f>DF270-DF272</f>
        <v>430</v>
      </c>
      <c r="DG273" s="115">
        <f t="shared" si="1320"/>
        <v>1564</v>
      </c>
      <c r="DH273" s="114">
        <f t="shared" ref="DH273:DS273" si="1321">DH270-DH272</f>
        <v>405.4</v>
      </c>
      <c r="DI273" s="114">
        <f t="shared" si="1321"/>
        <v>502</v>
      </c>
      <c r="DJ273" s="114">
        <f t="shared" si="1321"/>
        <v>463.5</v>
      </c>
      <c r="DK273" s="114">
        <f>DK270-DK272</f>
        <v>484.06799999999993</v>
      </c>
      <c r="DL273" s="115">
        <f t="shared" si="1321"/>
        <v>1854.9679999999998</v>
      </c>
      <c r="DM273" s="114">
        <f t="shared" si="1321"/>
        <v>481.53599999999989</v>
      </c>
      <c r="DN273" s="114">
        <f t="shared" si="1321"/>
        <v>496</v>
      </c>
      <c r="DO273" s="114">
        <f t="shared" si="1321"/>
        <v>437.34399999999994</v>
      </c>
      <c r="DP273" s="114">
        <f>DP270-DP272</f>
        <v>451.14</v>
      </c>
      <c r="DQ273" s="115">
        <f t="shared" si="1321"/>
        <v>1866.0199999999998</v>
      </c>
      <c r="DR273" s="114">
        <f t="shared" si="1321"/>
        <v>420.4</v>
      </c>
      <c r="DS273" s="114">
        <f t="shared" si="1321"/>
        <v>478.02</v>
      </c>
      <c r="DT273" s="114">
        <f t="shared" ref="DT273:EA273" si="1322">DT270-DT272</f>
        <v>421.875</v>
      </c>
      <c r="DU273" s="114">
        <f t="shared" si="1322"/>
        <v>428</v>
      </c>
      <c r="DV273" s="115">
        <f t="shared" si="1322"/>
        <v>1748.2950000000001</v>
      </c>
      <c r="DW273" s="114">
        <f t="shared" si="1322"/>
        <v>343.9</v>
      </c>
      <c r="DX273" s="114">
        <f t="shared" si="1322"/>
        <v>533.34</v>
      </c>
      <c r="DY273" s="114">
        <f t="shared" si="1322"/>
        <v>493</v>
      </c>
      <c r="DZ273" s="114">
        <f t="shared" si="1322"/>
        <v>491.0741802873722</v>
      </c>
      <c r="EA273" s="115">
        <f t="shared" si="1322"/>
        <v>1861.3141802873727</v>
      </c>
      <c r="EB273" s="114">
        <f t="shared" ref="EB273:EF273" si="1323">EB270-EB272</f>
        <v>394.26722925457091</v>
      </c>
      <c r="EC273" s="114">
        <f t="shared" si="1323"/>
        <v>531.308906426156</v>
      </c>
      <c r="ED273" s="114">
        <f t="shared" si="1323"/>
        <v>507</v>
      </c>
      <c r="EE273" s="114">
        <f t="shared" si="1323"/>
        <v>466</v>
      </c>
      <c r="EF273" s="115">
        <f t="shared" si="1323"/>
        <v>1898.5761356807268</v>
      </c>
      <c r="EG273" s="114">
        <f>EG270-EG272</f>
        <v>356</v>
      </c>
      <c r="EH273" s="114">
        <f>EH270-EH272</f>
        <v>445</v>
      </c>
      <c r="EI273" s="114">
        <f>EI270-EI272</f>
        <v>455</v>
      </c>
      <c r="EJ273" s="114">
        <f t="shared" ref="EJ273:EK273" si="1324">EJ270-EJ272</f>
        <v>458</v>
      </c>
      <c r="EK273" s="115">
        <f t="shared" si="1324"/>
        <v>1701</v>
      </c>
      <c r="EL273" s="114">
        <f>EL270-EL272</f>
        <v>469.61</v>
      </c>
      <c r="EM273" s="114">
        <f>EM270-EM272</f>
        <v>591</v>
      </c>
      <c r="EN273" s="114">
        <f>EN270-EN272</f>
        <v>463</v>
      </c>
      <c r="EO273" s="114">
        <f t="shared" ref="EO273:EP273" si="1325">EO270-EO272</f>
        <v>573</v>
      </c>
      <c r="EP273" s="115">
        <f t="shared" si="1325"/>
        <v>2096.61</v>
      </c>
      <c r="EQ273" s="114">
        <f>EQ270-EQ272</f>
        <v>695</v>
      </c>
      <c r="ER273" s="114">
        <f t="shared" ref="ER273" si="1326">ER270-ER272</f>
        <v>700.26154213750101</v>
      </c>
      <c r="ES273" s="114">
        <f t="shared" ref="ES273:EU273" si="1327">ES270-ES272</f>
        <v>659.99168725314109</v>
      </c>
      <c r="ET273" s="114">
        <f t="shared" si="1327"/>
        <v>700.37730348754883</v>
      </c>
      <c r="EU273" s="115">
        <f t="shared" si="1327"/>
        <v>2755.6305328781909</v>
      </c>
      <c r="EV273" s="116"/>
      <c r="EW273" s="116"/>
      <c r="EX273" s="116"/>
      <c r="EY273" s="116"/>
      <c r="EZ273" s="115">
        <f>EZ270-EZ272</f>
        <v>2841.038076000782</v>
      </c>
      <c r="FA273" s="116"/>
      <c r="FB273" s="116"/>
      <c r="FC273" s="116"/>
      <c r="FD273" s="116"/>
      <c r="FE273" s="115">
        <f>FE270-FE272</f>
        <v>3109.0176489270211</v>
      </c>
      <c r="FG273" s="494"/>
      <c r="FH273" s="811">
        <f>47/EU275</f>
        <v>14.614643165358709</v>
      </c>
      <c r="FI273" s="2039">
        <f>+FE275*14/(1.075^2)</f>
        <v>48.49860218903202</v>
      </c>
      <c r="FJ273" s="2039">
        <f>55*(1.075^2)/4.15</f>
        <v>15.315512048192769</v>
      </c>
      <c r="FL273" s="1377"/>
      <c r="FM273" s="1595">
        <f t="shared" si="1314"/>
        <v>695</v>
      </c>
      <c r="FN273" s="1486">
        <f t="shared" si="1303"/>
        <v>469.61</v>
      </c>
      <c r="FO273" s="1894">
        <v>569.73823703512505</v>
      </c>
      <c r="FP273" s="1781">
        <f>+FM273/FN273-1</f>
        <v>0.47995144907476406</v>
      </c>
      <c r="FQ273" s="1601">
        <f>+FM273/FO273-1</f>
        <v>0.21985844519884745</v>
      </c>
      <c r="FR273" s="1297"/>
      <c r="FS273" s="1297"/>
      <c r="FT273" s="1021"/>
      <c r="FU273" s="1162"/>
      <c r="FV273" s="409"/>
      <c r="FW273" s="1297"/>
      <c r="FX273" s="1297"/>
      <c r="FY273" s="409"/>
      <c r="FZ273" s="494"/>
      <c r="GA273"/>
      <c r="GB273"/>
      <c r="GC273"/>
      <c r="GD273"/>
      <c r="GE273"/>
      <c r="GF273"/>
      <c r="GG273"/>
      <c r="GH273"/>
      <c r="GI273"/>
      <c r="GJ273"/>
      <c r="GK273"/>
      <c r="GL273"/>
      <c r="GM273"/>
      <c r="GN273"/>
      <c r="GO273"/>
      <c r="GP273"/>
      <c r="GQ273"/>
      <c r="GR273"/>
      <c r="GS273"/>
      <c r="GT273"/>
      <c r="GU273"/>
      <c r="GV273"/>
      <c r="GW273"/>
      <c r="GX273"/>
      <c r="GY273"/>
      <c r="GZ273"/>
      <c r="HA273"/>
      <c r="HB273"/>
      <c r="HC273"/>
      <c r="HD273"/>
      <c r="HE273"/>
      <c r="HF273"/>
      <c r="HG273"/>
      <c r="HH273"/>
      <c r="HI273"/>
      <c r="HJ273"/>
      <c r="HK273"/>
      <c r="HL273"/>
      <c r="HM273"/>
      <c r="HN273"/>
      <c r="HO273"/>
      <c r="HP273"/>
      <c r="HQ273"/>
      <c r="HR273"/>
      <c r="HS273"/>
      <c r="HT273"/>
      <c r="HU273"/>
      <c r="HV273"/>
      <c r="HW273"/>
      <c r="HX273"/>
      <c r="HY273"/>
      <c r="HZ273"/>
      <c r="IA273"/>
      <c r="IB273"/>
      <c r="IC273"/>
      <c r="ID273"/>
      <c r="IE273"/>
      <c r="IF273"/>
      <c r="IG273"/>
      <c r="IH273"/>
      <c r="II273"/>
      <c r="IJ273"/>
      <c r="IK273"/>
      <c r="IL273"/>
      <c r="IM273"/>
      <c r="IN273"/>
      <c r="IO273"/>
      <c r="IP273"/>
      <c r="IQ273"/>
      <c r="IR273"/>
      <c r="IS273"/>
      <c r="IT273"/>
      <c r="IU273"/>
      <c r="IV273"/>
      <c r="IW273"/>
      <c r="IX273"/>
    </row>
    <row r="274" spans="1:258" s="42" customFormat="1" x14ac:dyDescent="0.2">
      <c r="A274" s="166" t="s">
        <v>465</v>
      </c>
      <c r="B274" s="298"/>
      <c r="C274" s="298"/>
      <c r="D274" s="298"/>
      <c r="E274" s="298"/>
      <c r="F274" s="118"/>
      <c r="G274" s="298"/>
      <c r="H274" s="298"/>
      <c r="I274" s="298"/>
      <c r="J274" s="298"/>
      <c r="K274" s="118"/>
      <c r="L274" s="298"/>
      <c r="M274" s="298"/>
      <c r="N274" s="298"/>
      <c r="O274" s="298"/>
      <c r="P274" s="118"/>
      <c r="Q274" s="298"/>
      <c r="R274" s="298"/>
      <c r="S274" s="298"/>
      <c r="T274" s="298"/>
      <c r="U274" s="118"/>
      <c r="V274" s="298">
        <f t="shared" ref="V274:AV274" si="1328">V273/Q273-1</f>
        <v>-0.16630645161290336</v>
      </c>
      <c r="W274" s="298">
        <f t="shared" si="1328"/>
        <v>0.16992548578576705</v>
      </c>
      <c r="X274" s="298">
        <f t="shared" si="1328"/>
        <v>-8.1681000781861468E-2</v>
      </c>
      <c r="Y274" s="298">
        <f t="shared" si="1328"/>
        <v>-7.2320841551605231E-3</v>
      </c>
      <c r="Z274" s="118">
        <f t="shared" si="1328"/>
        <v>-9.3827873108844773E-2</v>
      </c>
      <c r="AA274" s="298">
        <f t="shared" si="1328"/>
        <v>0.43163922691481749</v>
      </c>
      <c r="AB274" s="298">
        <f t="shared" si="1328"/>
        <v>5.3452984783456836E-2</v>
      </c>
      <c r="AC274" s="298">
        <f t="shared" si="1328"/>
        <v>0.50698577303261727</v>
      </c>
      <c r="AD274" s="298">
        <f t="shared" si="1328"/>
        <v>0.30782781456953634</v>
      </c>
      <c r="AE274" s="118">
        <f t="shared" si="1328"/>
        <v>0.42296199262508649</v>
      </c>
      <c r="AF274" s="298">
        <f t="shared" si="1328"/>
        <v>0.63513513513513509</v>
      </c>
      <c r="AG274" s="298">
        <f t="shared" si="1328"/>
        <v>0.13314814814814802</v>
      </c>
      <c r="AH274" s="298">
        <f t="shared" si="1328"/>
        <v>0.14124293785310726</v>
      </c>
      <c r="AI274" s="298">
        <f t="shared" si="1328"/>
        <v>0.13917724147010868</v>
      </c>
      <c r="AJ274" s="118">
        <f t="shared" si="1328"/>
        <v>0.1982941347984053</v>
      </c>
      <c r="AK274" s="298">
        <f t="shared" si="1328"/>
        <v>0.20661157024793386</v>
      </c>
      <c r="AL274" s="298">
        <f t="shared" si="1328"/>
        <v>0.27471809119137114</v>
      </c>
      <c r="AM274" s="298">
        <f t="shared" si="1328"/>
        <v>9.9009900990099098E-2</v>
      </c>
      <c r="AN274" s="298">
        <f t="shared" si="1328"/>
        <v>0.11604598825879786</v>
      </c>
      <c r="AO274" s="118">
        <f t="shared" si="1328"/>
        <v>0.16340460952845448</v>
      </c>
      <c r="AP274" s="298">
        <f t="shared" si="1328"/>
        <v>0.13747517123287678</v>
      </c>
      <c r="AQ274" s="298">
        <f t="shared" si="1328"/>
        <v>5.5911858974360129E-2</v>
      </c>
      <c r="AR274" s="298">
        <f t="shared" si="1328"/>
        <v>4.3513513513513402E-2</v>
      </c>
      <c r="AS274" s="298">
        <f t="shared" si="1328"/>
        <v>7.1590580989093766E-3</v>
      </c>
      <c r="AT274" s="118">
        <f t="shared" si="1328"/>
        <v>5.4768711426462335E-2</v>
      </c>
      <c r="AU274" s="298">
        <f t="shared" si="1328"/>
        <v>-0.17914812230584598</v>
      </c>
      <c r="AV274" s="298">
        <f t="shared" si="1328"/>
        <v>-0.23766623310856172</v>
      </c>
      <c r="AW274" s="298">
        <f t="shared" ref="AW274:CB274" si="1329">AW273/AR273-1</f>
        <v>-0.480618147284814</v>
      </c>
      <c r="AX274" s="298">
        <f t="shared" si="1329"/>
        <v>-0.39803291236127059</v>
      </c>
      <c r="AY274" s="118">
        <f t="shared" si="1329"/>
        <v>-0.33471148287591623</v>
      </c>
      <c r="AZ274" s="298">
        <f t="shared" si="1329"/>
        <v>6.088615023474242E-3</v>
      </c>
      <c r="BA274" s="298">
        <f t="shared" si="1329"/>
        <v>-0.20492673603737477</v>
      </c>
      <c r="BB274" s="298">
        <f t="shared" si="1329"/>
        <v>2.2273936170212894E-2</v>
      </c>
      <c r="BC274" s="298">
        <f t="shared" si="1329"/>
        <v>-0.71620023649980347</v>
      </c>
      <c r="BD274" s="118">
        <f t="shared" si="1329"/>
        <v>-0.2413013629818157</v>
      </c>
      <c r="BE274" s="298">
        <f t="shared" si="1329"/>
        <v>-0.78855267954794028</v>
      </c>
      <c r="BF274" s="298">
        <f t="shared" si="1329"/>
        <v>-0.63942307692307709</v>
      </c>
      <c r="BG274" s="298">
        <f t="shared" si="1329"/>
        <v>-0.52032520325203246</v>
      </c>
      <c r="BH274" s="298">
        <f t="shared" si="1329"/>
        <v>0.25000000000000266</v>
      </c>
      <c r="BI274" s="118">
        <f t="shared" si="1329"/>
        <v>-0.56743395643441996</v>
      </c>
      <c r="BJ274" s="298">
        <f>BJ273/BE273-1</f>
        <v>-0.2931034482758621</v>
      </c>
      <c r="BK274" s="298">
        <f>BK273/BF273-1</f>
        <v>1</v>
      </c>
      <c r="BL274" s="298">
        <f>BL273/BG273-1</f>
        <v>0.69491525423728806</v>
      </c>
      <c r="BM274" s="298">
        <f>BM273/BH273-1</f>
        <v>0.88888888888888884</v>
      </c>
      <c r="BN274" s="118">
        <f>BN273/BI273-1</f>
        <v>0.68622448979591844</v>
      </c>
      <c r="BO274" s="298">
        <f t="shared" si="1329"/>
        <v>2.3170731707317072</v>
      </c>
      <c r="BP274" s="298">
        <f t="shared" si="1329"/>
        <v>0.18425925925925934</v>
      </c>
      <c r="BQ274" s="298">
        <f t="shared" si="1329"/>
        <v>0.27499999999999991</v>
      </c>
      <c r="BR274" s="298">
        <f t="shared" si="1329"/>
        <v>0.34313725490196068</v>
      </c>
      <c r="BS274" s="118">
        <f t="shared" si="1329"/>
        <v>0.39304084720121013</v>
      </c>
      <c r="BT274" s="298">
        <f t="shared" si="1329"/>
        <v>-0.38235294117647056</v>
      </c>
      <c r="BU274" s="298">
        <f t="shared" si="1329"/>
        <v>7.8186082877240715E-4</v>
      </c>
      <c r="BV274" s="298">
        <f t="shared" si="1329"/>
        <v>-6.901960784313721E-2</v>
      </c>
      <c r="BW274" s="298">
        <f t="shared" si="1329"/>
        <v>-2.9197080291970767E-2</v>
      </c>
      <c r="BX274" s="118">
        <f t="shared" si="1329"/>
        <v>-8.4057341442224098E-2</v>
      </c>
      <c r="BY274" s="298">
        <f t="shared" si="1329"/>
        <v>0.5714285714285714</v>
      </c>
      <c r="BZ274" s="298">
        <f t="shared" si="1329"/>
        <v>5.4687499999999112E-3</v>
      </c>
      <c r="CA274" s="298">
        <f t="shared" si="1329"/>
        <v>-8.5930918281381663E-2</v>
      </c>
      <c r="CB274" s="298">
        <f t="shared" si="1329"/>
        <v>0.19548872180451138</v>
      </c>
      <c r="CC274" s="118">
        <f t="shared" ref="CC274:DG274" si="1330">CC273/BX273-1</f>
        <v>9.6039838747925099E-2</v>
      </c>
      <c r="CD274" s="298">
        <f t="shared" si="1330"/>
        <v>1.3333333333333335</v>
      </c>
      <c r="CE274" s="298">
        <f t="shared" si="1330"/>
        <v>0.60839160839160855</v>
      </c>
      <c r="CF274" s="298">
        <f t="shared" si="1330"/>
        <v>0.51152073732718883</v>
      </c>
      <c r="CG274" s="298">
        <f t="shared" si="1330"/>
        <v>0.49056603773584895</v>
      </c>
      <c r="CH274" s="118">
        <f t="shared" si="1330"/>
        <v>0.64863695369969721</v>
      </c>
      <c r="CI274" s="298">
        <f t="shared" si="1330"/>
        <v>0.59090909090909083</v>
      </c>
      <c r="CJ274" s="298">
        <f t="shared" si="1330"/>
        <v>0.31256038647342987</v>
      </c>
      <c r="CK274" s="298">
        <f t="shared" si="1330"/>
        <v>0.52439024390243905</v>
      </c>
      <c r="CL274" s="298">
        <f t="shared" si="1330"/>
        <v>0.10970464135021096</v>
      </c>
      <c r="CM274" s="118">
        <f t="shared" si="1330"/>
        <v>0.35131233595800526</v>
      </c>
      <c r="CN274" s="298">
        <f t="shared" si="1330"/>
        <v>-6.5306122448979598E-2</v>
      </c>
      <c r="CO274" s="298">
        <f t="shared" si="1330"/>
        <v>0.22561648877438367</v>
      </c>
      <c r="CP274" s="298">
        <f t="shared" si="1330"/>
        <v>0.21347234042553187</v>
      </c>
      <c r="CQ274" s="298">
        <f t="shared" si="1330"/>
        <v>0.36835434594089778</v>
      </c>
      <c r="CR274" s="118">
        <f t="shared" si="1330"/>
        <v>0.18990509671636313</v>
      </c>
      <c r="CS274" s="298">
        <f t="shared" si="1330"/>
        <v>0.44875600242428004</v>
      </c>
      <c r="CT274" s="298">
        <f t="shared" si="1330"/>
        <v>0.10330330330330328</v>
      </c>
      <c r="CU274" s="298">
        <f t="shared" si="1330"/>
        <v>0.25919639788754623</v>
      </c>
      <c r="CV274" s="298">
        <f t="shared" si="1330"/>
        <v>2.057037000926254E-2</v>
      </c>
      <c r="CW274" s="118">
        <f t="shared" si="1330"/>
        <v>0.18216748144867134</v>
      </c>
      <c r="CX274" s="298">
        <f t="shared" si="1330"/>
        <v>-0.25851157402441372</v>
      </c>
      <c r="CY274" s="298">
        <f t="shared" si="1330"/>
        <v>-0.22427871529667931</v>
      </c>
      <c r="CZ274" s="298">
        <f t="shared" si="1330"/>
        <v>-0.23298429319371727</v>
      </c>
      <c r="DA274" s="298">
        <f t="shared" si="1330"/>
        <v>-0.16957089958614679</v>
      </c>
      <c r="DB274" s="118">
        <f t="shared" si="1330"/>
        <v>-0.22054347737424052</v>
      </c>
      <c r="DC274" s="298">
        <f t="shared" si="1330"/>
        <v>0.24390243902439024</v>
      </c>
      <c r="DD274" s="298">
        <f>DD273/CY273-1</f>
        <v>0.4526315789473685</v>
      </c>
      <c r="DE274" s="298">
        <f>DE273/CZ273-1</f>
        <v>0.41296928327645044</v>
      </c>
      <c r="DF274" s="298">
        <f>DF273/DA273-1</f>
        <v>0.4098360655737705</v>
      </c>
      <c r="DG274" s="118">
        <f t="shared" si="1330"/>
        <v>0.38529672276350757</v>
      </c>
      <c r="DH274" s="298">
        <f t="shared" ref="DH274:DO274" si="1331">DH273/DC273-1</f>
        <v>0.3248366013071895</v>
      </c>
      <c r="DI274" s="298">
        <f t="shared" si="1331"/>
        <v>0.21256038647343001</v>
      </c>
      <c r="DJ274" s="298">
        <f t="shared" si="1331"/>
        <v>0.11956521739130443</v>
      </c>
      <c r="DK274" s="298">
        <f>DK273/DF273-1</f>
        <v>0.12573953488372069</v>
      </c>
      <c r="DL274" s="118">
        <f t="shared" si="1331"/>
        <v>0.18604092071611245</v>
      </c>
      <c r="DM274" s="298">
        <f t="shared" si="1331"/>
        <v>0.18780463739516495</v>
      </c>
      <c r="DN274" s="298">
        <f t="shared" si="1331"/>
        <v>-1.195219123505975E-2</v>
      </c>
      <c r="DO274" s="298">
        <f t="shared" si="1331"/>
        <v>-5.6431499460625756E-2</v>
      </c>
      <c r="DP274" s="298">
        <f>DP273/DK273-1</f>
        <v>-6.8023500830461714E-2</v>
      </c>
      <c r="DQ274" s="118">
        <f t="shared" ref="DQ274:DY274" si="1332">DQ273/DL273-1</f>
        <v>5.9580542629307232E-3</v>
      </c>
      <c r="DR274" s="298">
        <f t="shared" si="1332"/>
        <v>-0.12696039340776166</v>
      </c>
      <c r="DS274" s="298">
        <f t="shared" si="1332"/>
        <v>-3.6250000000000004E-2</v>
      </c>
      <c r="DT274" s="298">
        <f t="shared" si="1332"/>
        <v>-3.5370326333503899E-2</v>
      </c>
      <c r="DU274" s="298">
        <f>DU273/DP273-1</f>
        <v>-5.1292281775058735E-2</v>
      </c>
      <c r="DV274" s="118">
        <f t="shared" si="1332"/>
        <v>-6.3088820055519079E-2</v>
      </c>
      <c r="DW274" s="298">
        <f>DW273/DR273-1</f>
        <v>-0.18196955280685068</v>
      </c>
      <c r="DX274" s="298">
        <f t="shared" si="1332"/>
        <v>0.11572737542362255</v>
      </c>
      <c r="DY274" s="298">
        <f t="shared" si="1332"/>
        <v>0.16859259259259263</v>
      </c>
      <c r="DZ274" s="298">
        <f>DZ273/DU273-1</f>
        <v>0.14736958011068269</v>
      </c>
      <c r="EA274" s="118">
        <f>EA273/DV273-1</f>
        <v>6.464537179787877E-2</v>
      </c>
      <c r="EB274" s="298">
        <f t="shared" ref="EB274:EI274" si="1333">EB273/DW273-1</f>
        <v>0.14645893938520183</v>
      </c>
      <c r="EC274" s="298">
        <f t="shared" si="1333"/>
        <v>-3.8082528477969557E-3</v>
      </c>
      <c r="ED274" s="298">
        <f t="shared" si="1333"/>
        <v>2.8397565922920975E-2</v>
      </c>
      <c r="EE274" s="298">
        <f t="shared" si="1333"/>
        <v>-5.1059862835181047E-2</v>
      </c>
      <c r="EF274" s="118">
        <f t="shared" si="1333"/>
        <v>2.0019164839544246E-2</v>
      </c>
      <c r="EG274" s="298">
        <f t="shared" si="1333"/>
        <v>-9.7059117307115805E-2</v>
      </c>
      <c r="EH274" s="298">
        <f t="shared" si="1333"/>
        <v>-0.16244581143333736</v>
      </c>
      <c r="EI274" s="298">
        <f t="shared" si="1333"/>
        <v>-0.10256410256410253</v>
      </c>
      <c r="EJ274" s="298">
        <f t="shared" ref="EJ274" si="1334">EJ273/EE273-1</f>
        <v>-1.7167381974248941E-2</v>
      </c>
      <c r="EK274" s="118">
        <f t="shared" ref="EK274:EQ274" si="1335">EK273/EF273-1</f>
        <v>-0.10406542669930208</v>
      </c>
      <c r="EL274" s="298">
        <f t="shared" si="1335"/>
        <v>0.31912921348314605</v>
      </c>
      <c r="EM274" s="298">
        <f t="shared" si="1335"/>
        <v>0.32808988764044944</v>
      </c>
      <c r="EN274" s="298">
        <f t="shared" si="1335"/>
        <v>1.758241758241752E-2</v>
      </c>
      <c r="EO274" s="298">
        <f t="shared" si="1335"/>
        <v>0.25109170305676853</v>
      </c>
      <c r="EP274" s="118">
        <f t="shared" si="1335"/>
        <v>0.23257495590828925</v>
      </c>
      <c r="EQ274" s="298">
        <f t="shared" si="1335"/>
        <v>0.47995144907476406</v>
      </c>
      <c r="ER274" s="298">
        <f t="shared" ref="ER274" si="1336">ER273/EM273-1</f>
        <v>0.18487570581641455</v>
      </c>
      <c r="ES274" s="298">
        <f t="shared" ref="ES274:EU274" si="1337">ES273/EN273-1</f>
        <v>0.42546800702622267</v>
      </c>
      <c r="ET274" s="298">
        <f t="shared" si="1337"/>
        <v>0.22229895896605378</v>
      </c>
      <c r="EU274" s="118">
        <f t="shared" si="1337"/>
        <v>0.3143267144953954</v>
      </c>
      <c r="EV274" s="6"/>
      <c r="EW274" s="6"/>
      <c r="EX274" s="6"/>
      <c r="EY274" s="6"/>
      <c r="EZ274" s="118">
        <f>EZ273/EU273-1</f>
        <v>3.0993829580406418E-2</v>
      </c>
      <c r="FA274" s="6"/>
      <c r="FB274" s="6"/>
      <c r="FC274" s="6"/>
      <c r="FD274" s="6"/>
      <c r="FE274" s="118">
        <f>FE273/EZ273-1</f>
        <v>9.4324527076899756E-2</v>
      </c>
      <c r="FG274" s="494"/>
      <c r="FH274" s="804"/>
      <c r="FI274" s="804"/>
      <c r="FJ274" s="804"/>
      <c r="FL274" s="1378"/>
      <c r="FM274" s="1596">
        <f t="shared" si="1314"/>
        <v>0.47995144907476406</v>
      </c>
      <c r="FN274" s="1487">
        <f t="shared" si="1303"/>
        <v>0.31912921348314605</v>
      </c>
      <c r="FO274" s="1895">
        <v>0.21321572588983417</v>
      </c>
      <c r="FP274" s="1782"/>
      <c r="FQ274" s="734"/>
      <c r="FR274" s="1619"/>
      <c r="FS274" s="1297"/>
      <c r="FT274" s="1021"/>
      <c r="FU274" s="1162"/>
      <c r="FV274" s="433"/>
      <c r="FW274" s="997"/>
      <c r="FX274" s="997"/>
      <c r="FY274" s="433"/>
      <c r="FZ274" s="494"/>
      <c r="GA274"/>
      <c r="GB274"/>
      <c r="GC274"/>
      <c r="GD274"/>
      <c r="GE274"/>
      <c r="GF274"/>
      <c r="GG274"/>
      <c r="GH274"/>
      <c r="GI274"/>
      <c r="GJ274"/>
      <c r="GK274"/>
      <c r="GL274"/>
      <c r="GM274"/>
      <c r="GN274"/>
      <c r="GO274"/>
      <c r="GP274"/>
      <c r="GQ274"/>
      <c r="GR274"/>
      <c r="GS274"/>
      <c r="GT274"/>
      <c r="GU274"/>
      <c r="GV274"/>
      <c r="GW274"/>
      <c r="GX274"/>
      <c r="GY274"/>
      <c r="GZ274"/>
      <c r="HA274"/>
      <c r="HB274"/>
      <c r="HC274"/>
      <c r="HD274"/>
      <c r="HE274"/>
      <c r="HF274"/>
      <c r="HG274"/>
      <c r="HH274"/>
      <c r="HI274"/>
      <c r="HJ274"/>
      <c r="HK274"/>
      <c r="HL274"/>
      <c r="HM274"/>
      <c r="HN274"/>
      <c r="HO274"/>
      <c r="HP274"/>
      <c r="HQ274"/>
      <c r="HR274"/>
      <c r="HS274"/>
      <c r="HT274"/>
      <c r="HU274"/>
      <c r="HV274"/>
      <c r="HW274"/>
      <c r="HX274"/>
      <c r="HY274"/>
      <c r="HZ274"/>
      <c r="IA274"/>
      <c r="IB274"/>
      <c r="IC274"/>
      <c r="ID274"/>
      <c r="IE274"/>
      <c r="IF274"/>
      <c r="IG274"/>
      <c r="IH274"/>
      <c r="II274"/>
      <c r="IJ274"/>
      <c r="IK274"/>
      <c r="IL274"/>
      <c r="IM274"/>
      <c r="IN274"/>
      <c r="IO274"/>
      <c r="IP274"/>
      <c r="IQ274"/>
      <c r="IR274"/>
      <c r="IS274"/>
      <c r="IT274"/>
      <c r="IU274"/>
      <c r="IV274"/>
      <c r="IW274"/>
      <c r="IX274"/>
    </row>
    <row r="275" spans="1:258" s="1295" customFormat="1" x14ac:dyDescent="0.2">
      <c r="A275" s="1291" t="s">
        <v>636</v>
      </c>
      <c r="B275" s="1292"/>
      <c r="C275" s="1292"/>
      <c r="D275" s="1292"/>
      <c r="E275" s="1292"/>
      <c r="F275" s="1293"/>
      <c r="G275" s="1292"/>
      <c r="H275" s="1292"/>
      <c r="I275" s="1292"/>
      <c r="J275" s="1292"/>
      <c r="K275" s="1293"/>
      <c r="L275" s="1292"/>
      <c r="M275" s="1292"/>
      <c r="N275" s="1292"/>
      <c r="O275" s="1292"/>
      <c r="P275" s="1293"/>
      <c r="Q275" s="1292">
        <f>Q273/Q278</f>
        <v>5.0355902523967794E-2</v>
      </c>
      <c r="R275" s="1292">
        <f>R273/R278</f>
        <v>0.10646743450870047</v>
      </c>
      <c r="S275" s="1292">
        <f>S273/S278</f>
        <v>0.10342574532845566</v>
      </c>
      <c r="T275" s="1292">
        <f>T273/T278</f>
        <v>0.12288406724448833</v>
      </c>
      <c r="U275" s="1293">
        <f>U273/U278</f>
        <v>0.38333861145835829</v>
      </c>
      <c r="V275" s="1292">
        <f t="shared" ref="V275:CG275" si="1338">V273/V278</f>
        <v>4.1551711941143175E-2</v>
      </c>
      <c r="W275" s="1292">
        <f t="shared" si="1338"/>
        <v>0.12333381454212984</v>
      </c>
      <c r="X275" s="1292">
        <f t="shared" si="1338"/>
        <v>9.4116600638486092E-2</v>
      </c>
      <c r="Y275" s="1292">
        <f t="shared" si="1338"/>
        <v>0.12088897428507382</v>
      </c>
      <c r="Z275" s="1293">
        <f t="shared" si="1338"/>
        <v>0.34405296058830848</v>
      </c>
      <c r="AA275" s="1292">
        <f t="shared" si="1338"/>
        <v>5.9038282337022428E-2</v>
      </c>
      <c r="AB275" s="1292">
        <f t="shared" si="1338"/>
        <v>0.128934902200489</v>
      </c>
      <c r="AC275" s="1292">
        <f t="shared" si="1338"/>
        <v>0.14081952188192165</v>
      </c>
      <c r="AD275" s="1292">
        <f t="shared" si="1338"/>
        <v>0.15714781357626223</v>
      </c>
      <c r="AE275" s="1293">
        <f t="shared" si="1338"/>
        <v>0.48610440922837306</v>
      </c>
      <c r="AF275" s="1292">
        <f t="shared" si="1338"/>
        <v>9.5921208258419668E-2</v>
      </c>
      <c r="AG275" s="1292">
        <f t="shared" si="1338"/>
        <v>0.1454632764063748</v>
      </c>
      <c r="AH275" s="1292">
        <f t="shared" si="1338"/>
        <v>0.16000963226301149</v>
      </c>
      <c r="AI275" s="1292">
        <f t="shared" si="1338"/>
        <v>0.17812621737436699</v>
      </c>
      <c r="AJ275" s="1293">
        <f t="shared" si="1338"/>
        <v>0.57957204948177865</v>
      </c>
      <c r="AK275" s="1292">
        <f t="shared" si="1338"/>
        <v>0.11410225750534954</v>
      </c>
      <c r="AL275" s="1292">
        <f t="shared" si="1338"/>
        <v>0.1819165609373834</v>
      </c>
      <c r="AM275" s="1292">
        <f t="shared" si="1338"/>
        <v>0.17002973222614873</v>
      </c>
      <c r="AN275" s="1292">
        <f t="shared" si="1338"/>
        <v>0.19075606771651843</v>
      </c>
      <c r="AO275" s="1293">
        <f t="shared" si="1338"/>
        <v>0.6562223883896583</v>
      </c>
      <c r="AP275" s="1292">
        <f t="shared" si="1338"/>
        <v>0.12610168159494112</v>
      </c>
      <c r="AQ275" s="1292">
        <f t="shared" si="1338"/>
        <v>0.18691674420715809</v>
      </c>
      <c r="AR275" s="1292">
        <f t="shared" si="1338"/>
        <v>0.17412206132379665</v>
      </c>
      <c r="AS275" s="1292">
        <f t="shared" si="1338"/>
        <v>0.19017201506354495</v>
      </c>
      <c r="AT275" s="1293">
        <f t="shared" si="1338"/>
        <v>0.67762702047099777</v>
      </c>
      <c r="AU275" s="1292">
        <f t="shared" si="1338"/>
        <v>0.10252152410519286</v>
      </c>
      <c r="AV275" s="1292">
        <f t="shared" si="1338"/>
        <v>0.1416794536209646</v>
      </c>
      <c r="AW275" s="1292">
        <f t="shared" si="1338"/>
        <v>9.4165230552985937E-2</v>
      </c>
      <c r="AX275" s="1292">
        <f t="shared" si="1338"/>
        <v>0.11933488558056399</v>
      </c>
      <c r="AY275" s="1293">
        <f t="shared" si="1338"/>
        <v>0.45830043150318589</v>
      </c>
      <c r="AZ275" s="1292">
        <f t="shared" si="1338"/>
        <v>0.10799654789014985</v>
      </c>
      <c r="BA275" s="1292">
        <f t="shared" si="1338"/>
        <v>0.11709678781367733</v>
      </c>
      <c r="BB275" s="1292">
        <f t="shared" si="1338"/>
        <v>9.7253190379050239E-2</v>
      </c>
      <c r="BC275" s="1292">
        <f t="shared" si="1338"/>
        <v>3.4122899309011211E-2</v>
      </c>
      <c r="BD275" s="1293">
        <f t="shared" si="1338"/>
        <v>0.35680467245526359</v>
      </c>
      <c r="BE275" s="1292">
        <f t="shared" si="1338"/>
        <v>2.2797129133944927E-2</v>
      </c>
      <c r="BF275" s="1292">
        <f t="shared" si="1338"/>
        <v>4.2611417018999953E-2</v>
      </c>
      <c r="BG275" s="1292">
        <f t="shared" si="1338"/>
        <v>4.6547442099715668E-2</v>
      </c>
      <c r="BH275" s="1292">
        <f t="shared" si="1338"/>
        <v>4.2689434364994665E-2</v>
      </c>
      <c r="BI275" s="1293">
        <f t="shared" si="1338"/>
        <v>0.154579313581094</v>
      </c>
      <c r="BJ275" s="1292">
        <f t="shared" si="1338"/>
        <v>1.6124186121873677E-2</v>
      </c>
      <c r="BK275" s="1292">
        <f t="shared" si="1338"/>
        <v>8.4720234957451609E-2</v>
      </c>
      <c r="BL275" s="1292">
        <f t="shared" si="1338"/>
        <v>7.8402225368764858E-2</v>
      </c>
      <c r="BM275" s="1292">
        <f t="shared" si="1338"/>
        <v>7.9925152445474587E-2</v>
      </c>
      <c r="BN275" s="1293">
        <f t="shared" si="1338"/>
        <v>0.25932582347718652</v>
      </c>
      <c r="BO275" s="1292">
        <f t="shared" si="1338"/>
        <v>5.316071735697421E-2</v>
      </c>
      <c r="BP275" s="1292">
        <f t="shared" si="1338"/>
        <v>9.9824701891752243E-2</v>
      </c>
      <c r="BQ275" s="1292">
        <f t="shared" si="1338"/>
        <v>9.9469651224295866E-2</v>
      </c>
      <c r="BR275" s="1292">
        <f t="shared" si="1338"/>
        <v>0.10685260579967866</v>
      </c>
      <c r="BS275" s="1293">
        <f t="shared" si="1338"/>
        <v>0.3593839889905478</v>
      </c>
      <c r="BT275" s="1292">
        <f t="shared" si="1338"/>
        <v>3.2685231878373584E-2</v>
      </c>
      <c r="BU275" s="1292">
        <f t="shared" si="1338"/>
        <v>9.9550312572426747E-2</v>
      </c>
      <c r="BV275" s="1292">
        <f t="shared" si="1338"/>
        <v>9.2464926425338656E-2</v>
      </c>
      <c r="BW275" s="1292">
        <f t="shared" si="1338"/>
        <v>0.10322464476751947</v>
      </c>
      <c r="BX275" s="1293">
        <f t="shared" si="1338"/>
        <v>0.3279830945208857</v>
      </c>
      <c r="BY275" s="1292">
        <f t="shared" si="1338"/>
        <v>5.1126645348404859E-2</v>
      </c>
      <c r="BZ275" s="1292">
        <f t="shared" si="1338"/>
        <v>9.9698348586328533E-2</v>
      </c>
      <c r="CA275" s="1292">
        <f t="shared" si="1338"/>
        <v>8.4010059527127881E-2</v>
      </c>
      <c r="CB275" s="1292">
        <f t="shared" si="1338"/>
        <v>0.11758285153944795</v>
      </c>
      <c r="CC275" s="1293">
        <f t="shared" si="1338"/>
        <v>0.35379967222626646</v>
      </c>
      <c r="CD275" s="1292">
        <f t="shared" si="1338"/>
        <v>0.11344583624314536</v>
      </c>
      <c r="CE275" s="1292">
        <f t="shared" si="1338"/>
        <v>0.15167968767173876</v>
      </c>
      <c r="CF275" s="1292">
        <f t="shared" si="1338"/>
        <v>0.11966103822002747</v>
      </c>
      <c r="CG275" s="1292">
        <f t="shared" si="1338"/>
        <v>0.17176004035273859</v>
      </c>
      <c r="CH275" s="1293">
        <f t="shared" ref="CH275:DL275" si="1339">CH273/CH278</f>
        <v>0.55696013788052545</v>
      </c>
      <c r="CI275" s="1292">
        <f t="shared" si="1339"/>
        <v>0.17586778188375213</v>
      </c>
      <c r="CJ275" s="1292">
        <f t="shared" si="1339"/>
        <v>0.1926106146384067</v>
      </c>
      <c r="CK275" s="1292">
        <f t="shared" si="1339"/>
        <v>0.17896476756413918</v>
      </c>
      <c r="CL275" s="1292">
        <f t="shared" si="1339"/>
        <v>0.18913080372681168</v>
      </c>
      <c r="CM275" s="1293">
        <f t="shared" si="1339"/>
        <v>0.73665694604293708</v>
      </c>
      <c r="CN275" s="1292">
        <f t="shared" si="1339"/>
        <v>0.16480416371602444</v>
      </c>
      <c r="CO275" s="1292">
        <f t="shared" si="1339"/>
        <v>0.24187064060855526</v>
      </c>
      <c r="CP275" s="1292">
        <f t="shared" si="1339"/>
        <v>0.22696251590280059</v>
      </c>
      <c r="CQ275" s="1292">
        <f t="shared" si="1339"/>
        <v>0.28194151084666635</v>
      </c>
      <c r="CR275" s="1293">
        <f t="shared" si="1339"/>
        <v>0.91107039609414131</v>
      </c>
      <c r="CS275" s="1292">
        <f t="shared" si="1339"/>
        <v>0.26635927321969732</v>
      </c>
      <c r="CT275" s="1292">
        <f t="shared" si="1339"/>
        <v>0.29503641780497403</v>
      </c>
      <c r="CU275" s="1292">
        <f t="shared" si="1339"/>
        <v>0.3117339261174274</v>
      </c>
      <c r="CV275" s="1292">
        <f t="shared" si="1339"/>
        <v>0.30942000598149111</v>
      </c>
      <c r="CW275" s="1293">
        <f t="shared" si="1339"/>
        <v>1.1816267211574751</v>
      </c>
      <c r="CX275" s="1292">
        <f t="shared" si="1339"/>
        <v>0.20806849005711736</v>
      </c>
      <c r="CY275" s="1292">
        <f t="shared" si="1339"/>
        <v>0.24028125553279209</v>
      </c>
      <c r="CZ275" s="1292">
        <f t="shared" si="1339"/>
        <v>0.24642577495859963</v>
      </c>
      <c r="DA275" s="1292">
        <f t="shared" si="1339"/>
        <v>0.25612667605517891</v>
      </c>
      <c r="DB275" s="1293">
        <f t="shared" si="1339"/>
        <v>0.95109144904342247</v>
      </c>
      <c r="DC275" s="1292">
        <f t="shared" si="1339"/>
        <v>0.25867119087651491</v>
      </c>
      <c r="DD275" s="1292">
        <f t="shared" si="1339"/>
        <v>0.35715117588142581</v>
      </c>
      <c r="DE275" s="1292">
        <f t="shared" si="1339"/>
        <v>0.3614249571789997</v>
      </c>
      <c r="DF275" s="1292">
        <f t="shared" si="1339"/>
        <v>0.3810729063367107</v>
      </c>
      <c r="DG275" s="1293">
        <f t="shared" si="1339"/>
        <v>1.3552856682656698</v>
      </c>
      <c r="DH275" s="1292">
        <f t="shared" si="1339"/>
        <v>0.36366637422651371</v>
      </c>
      <c r="DI275" s="1292">
        <f>DI273/DI278</f>
        <v>0.45266005410279531</v>
      </c>
      <c r="DJ275" s="1292">
        <f>DJ273/DJ278</f>
        <v>0.43036211699164345</v>
      </c>
      <c r="DK275" s="1292">
        <f>DK273/DK278</f>
        <v>0.45839772727272721</v>
      </c>
      <c r="DL275" s="1293">
        <f t="shared" si="1339"/>
        <v>1.703071871331848</v>
      </c>
      <c r="DM275" s="1292">
        <f t="shared" ref="DM275:DU275" si="1340">DM273/DM278</f>
        <v>0.45904289799809334</v>
      </c>
      <c r="DN275" s="1292">
        <f t="shared" si="1340"/>
        <v>0.47555129434324067</v>
      </c>
      <c r="DO275" s="1292">
        <f t="shared" si="1340"/>
        <v>0.42052307692307689</v>
      </c>
      <c r="DP275" s="1292">
        <f t="shared" si="1340"/>
        <v>0.43885214007782097</v>
      </c>
      <c r="DQ275" s="1293">
        <f t="shared" si="1340"/>
        <v>1.7942499999999997</v>
      </c>
      <c r="DR275" s="1292">
        <f t="shared" si="1340"/>
        <v>0.41094819159335289</v>
      </c>
      <c r="DS275" s="1292">
        <f t="shared" si="1340"/>
        <v>0.46727272727272723</v>
      </c>
      <c r="DT275" s="1292">
        <f t="shared" si="1340"/>
        <v>0.41461916461916459</v>
      </c>
      <c r="DU275" s="1292">
        <f t="shared" si="1340"/>
        <v>0.42250740375123397</v>
      </c>
      <c r="DV275" s="1293">
        <f t="shared" ref="DV275:EA275" si="1341">DV273/DV278</f>
        <v>1.715486324052496</v>
      </c>
      <c r="DW275" s="1292">
        <f t="shared" si="1341"/>
        <v>0.34133995037220843</v>
      </c>
      <c r="DX275" s="1292">
        <f t="shared" si="1341"/>
        <v>0.53174476570289131</v>
      </c>
      <c r="DY275" s="1292">
        <f t="shared" si="1341"/>
        <v>0.49349349349349347</v>
      </c>
      <c r="DZ275" s="1292">
        <f t="shared" si="1341"/>
        <v>0.49353397724875459</v>
      </c>
      <c r="EA275" s="1293">
        <f t="shared" si="1341"/>
        <v>1.8592151486284214</v>
      </c>
      <c r="EB275" s="1292">
        <f t="shared" ref="EB275:EF275" si="1342">EB273/EB278</f>
        <v>0.39744680368404323</v>
      </c>
      <c r="EC275" s="1292">
        <f t="shared" si="1342"/>
        <v>0.53721830781208901</v>
      </c>
      <c r="ED275" s="1292">
        <f t="shared" si="1342"/>
        <v>0.5162932790224033</v>
      </c>
      <c r="EE275" s="1292">
        <f t="shared" si="1342"/>
        <v>0.47893114080164439</v>
      </c>
      <c r="EF275" s="1293">
        <f t="shared" si="1342"/>
        <v>1.9294472923584622</v>
      </c>
      <c r="EG275" s="1292">
        <f>EG273/EG278</f>
        <v>0.36967808930425755</v>
      </c>
      <c r="EH275" s="1292">
        <f>EH273/EH278</f>
        <v>0.46743697478991597</v>
      </c>
      <c r="EI275" s="1292">
        <f>EI273/EI278</f>
        <v>0.48250265111346763</v>
      </c>
      <c r="EJ275" s="1292">
        <f t="shared" ref="EJ275:EK275" si="1343">EJ273/EJ278</f>
        <v>0.48983957219251339</v>
      </c>
      <c r="EK275" s="1293">
        <f t="shared" si="1343"/>
        <v>1.7938307408383865</v>
      </c>
      <c r="EL275" s="1292">
        <f>EL273/EL278</f>
        <v>0.50550053821313246</v>
      </c>
      <c r="EM275" s="1292">
        <f>EM273/EM278</f>
        <v>0.63961038961038963</v>
      </c>
      <c r="EN275" s="1292">
        <f>EN273/EN278</f>
        <v>0.51103752759381893</v>
      </c>
      <c r="EO275" s="1292">
        <f t="shared" ref="EO275:EP275" si="1344">EO273/EO278</f>
        <v>0.6395089285714286</v>
      </c>
      <c r="EP275" s="1293">
        <f t="shared" si="1344"/>
        <v>2.294511627906977</v>
      </c>
      <c r="EQ275" s="1292">
        <f>EQ273/EQ278</f>
        <v>0.78265765765765771</v>
      </c>
      <c r="ER275" s="1292">
        <f t="shared" ref="ER275" si="1345">ER273/ER278</f>
        <v>0.80776729088083077</v>
      </c>
      <c r="ES275" s="1292">
        <f t="shared" ref="ES275:ET275" si="1346">ES273/ES278</f>
        <v>0.77983622642557215</v>
      </c>
      <c r="ET275" s="1292">
        <f t="shared" si="1346"/>
        <v>0.84768784803204844</v>
      </c>
      <c r="EU275" s="1293">
        <f>EU273/EU278</f>
        <v>3.21595262150531</v>
      </c>
      <c r="EV275" s="1294"/>
      <c r="EW275" s="1294"/>
      <c r="EX275" s="1294"/>
      <c r="EY275" s="1294"/>
      <c r="EZ275" s="1293">
        <f>EZ273/EZ278</f>
        <v>3.5484910616359486</v>
      </c>
      <c r="FA275" s="1294"/>
      <c r="FB275" s="1294"/>
      <c r="FC275" s="1294"/>
      <c r="FD275" s="1294"/>
      <c r="FE275" s="1293">
        <f>FE273/FE278</f>
        <v>4.0032997967642947</v>
      </c>
      <c r="FF275" s="42"/>
      <c r="FG275" s="494"/>
      <c r="FH275" s="809">
        <f>+EU275/3.09-1</f>
        <v>4.0761366182948233E-2</v>
      </c>
      <c r="FI275" s="809">
        <f>+EZ275/3.64-1</f>
        <v>-2.5139818231882272E-2</v>
      </c>
      <c r="FJ275" s="809">
        <f>+FE275/4.23-1</f>
        <v>-5.3593428660923315E-2</v>
      </c>
      <c r="FK275" s="809"/>
      <c r="FL275" s="1379"/>
      <c r="FM275" s="1597">
        <f t="shared" si="1314"/>
        <v>0.78265765765765771</v>
      </c>
      <c r="FN275" s="1488">
        <f t="shared" si="1303"/>
        <v>0.50550053821313246</v>
      </c>
      <c r="FO275" s="1896">
        <v>0.64555184580665914</v>
      </c>
      <c r="FP275" s="1602">
        <f>+FM275/FN275-1</f>
        <v>0.54828254075501781</v>
      </c>
      <c r="FQ275" s="1602">
        <f>+FM275/FO275-1</f>
        <v>0.21238543850753921</v>
      </c>
      <c r="FR275" s="1656"/>
      <c r="FS275" s="1644"/>
      <c r="FT275" s="1330"/>
      <c r="FU275" s="1331"/>
      <c r="FV275" s="1332"/>
      <c r="FW275" s="1333"/>
      <c r="FX275" s="1333"/>
      <c r="FY275" s="1332"/>
      <c r="FZ275" s="494"/>
      <c r="GA275"/>
      <c r="GB275"/>
      <c r="GC275"/>
      <c r="GD275"/>
      <c r="GE275"/>
      <c r="GF275"/>
      <c r="GG275"/>
      <c r="GH275"/>
      <c r="GI275"/>
      <c r="GJ275"/>
      <c r="GK275"/>
      <c r="GL275"/>
      <c r="GM275"/>
      <c r="GN275"/>
      <c r="GO275"/>
      <c r="GP275"/>
      <c r="GQ275"/>
      <c r="GR275"/>
      <c r="GS275"/>
      <c r="GT275"/>
      <c r="GU275"/>
      <c r="GV275"/>
      <c r="GW275"/>
      <c r="GX275"/>
      <c r="GY275"/>
      <c r="GZ275"/>
      <c r="HA275"/>
      <c r="HB275"/>
      <c r="HC275"/>
      <c r="HD275"/>
      <c r="HE275"/>
      <c r="HF275"/>
      <c r="HG275"/>
      <c r="HH275"/>
      <c r="HI275"/>
      <c r="HJ275"/>
      <c r="HK275"/>
      <c r="HL275"/>
      <c r="HM275"/>
      <c r="HN275"/>
      <c r="HO275"/>
      <c r="HP275"/>
      <c r="HQ275"/>
      <c r="HR275"/>
      <c r="HS275"/>
      <c r="HT275"/>
      <c r="HU275"/>
      <c r="HV275"/>
      <c r="HW275"/>
      <c r="HX275"/>
      <c r="HY275"/>
      <c r="HZ275"/>
      <c r="IA275"/>
      <c r="IB275"/>
      <c r="IC275"/>
      <c r="ID275"/>
      <c r="IE275"/>
      <c r="IF275"/>
      <c r="IG275"/>
      <c r="IH275"/>
      <c r="II275"/>
      <c r="IJ275"/>
      <c r="IK275"/>
      <c r="IL275"/>
      <c r="IM275"/>
      <c r="IN275"/>
      <c r="IO275"/>
      <c r="IP275"/>
      <c r="IQ275"/>
      <c r="IR275"/>
      <c r="IS275"/>
      <c r="IT275"/>
      <c r="IU275"/>
      <c r="IV275"/>
      <c r="IW275"/>
      <c r="IX275"/>
    </row>
    <row r="276" spans="1:258" s="703" customFormat="1" x14ac:dyDescent="0.2">
      <c r="A276" s="383" t="s">
        <v>465</v>
      </c>
      <c r="B276" s="700"/>
      <c r="C276" s="700"/>
      <c r="D276" s="700"/>
      <c r="E276" s="700"/>
      <c r="F276" s="696"/>
      <c r="G276" s="700"/>
      <c r="H276" s="700"/>
      <c r="I276" s="700"/>
      <c r="J276" s="700"/>
      <c r="K276" s="696"/>
      <c r="L276" s="700"/>
      <c r="M276" s="700"/>
      <c r="N276" s="700"/>
      <c r="O276" s="700"/>
      <c r="P276" s="696"/>
      <c r="Q276" s="700"/>
      <c r="R276" s="700"/>
      <c r="S276" s="700"/>
      <c r="T276" s="700"/>
      <c r="U276" s="696"/>
      <c r="V276" s="700">
        <f t="shared" ref="V276:AY276" si="1347">+V275/Q275-1</f>
        <v>-0.17483929671668785</v>
      </c>
      <c r="W276" s="700">
        <f t="shared" si="1347"/>
        <v>0.15841820657424655</v>
      </c>
      <c r="X276" s="700">
        <f t="shared" si="1347"/>
        <v>-9.0008001976741192E-2</v>
      </c>
      <c r="Y276" s="700">
        <f t="shared" si="1347"/>
        <v>-1.6235570681796374E-2</v>
      </c>
      <c r="Z276" s="696">
        <f t="shared" si="1347"/>
        <v>-0.10248289552829815</v>
      </c>
      <c r="AA276" s="700">
        <f t="shared" si="1347"/>
        <v>0.42083874716518266</v>
      </c>
      <c r="AB276" s="700">
        <f t="shared" si="1347"/>
        <v>4.5414047065299057E-2</v>
      </c>
      <c r="AC276" s="700">
        <f t="shared" si="1347"/>
        <v>0.4962240553377768</v>
      </c>
      <c r="AD276" s="700">
        <f t="shared" si="1347"/>
        <v>0.2999350396148186</v>
      </c>
      <c r="AE276" s="696">
        <f t="shared" si="1347"/>
        <v>0.41287669316132525</v>
      </c>
      <c r="AF276" s="700">
        <f t="shared" si="1347"/>
        <v>0.6247289802716407</v>
      </c>
      <c r="AG276" s="700">
        <f t="shared" si="1347"/>
        <v>0.12819162169281961</v>
      </c>
      <c r="AH276" s="700">
        <f t="shared" si="1347"/>
        <v>0.13627450316995748</v>
      </c>
      <c r="AI276" s="700">
        <f t="shared" si="1347"/>
        <v>0.1334947227116472</v>
      </c>
      <c r="AJ276" s="696">
        <f t="shared" si="1347"/>
        <v>0.19227893941915308</v>
      </c>
      <c r="AK276" s="700">
        <f t="shared" si="1347"/>
        <v>0.18954149532758824</v>
      </c>
      <c r="AL276" s="700">
        <f t="shared" si="1347"/>
        <v>0.25060128873469445</v>
      </c>
      <c r="AM276" s="700">
        <f t="shared" si="1347"/>
        <v>6.2621854831007795E-2</v>
      </c>
      <c r="AN276" s="700">
        <f t="shared" si="1347"/>
        <v>7.0903938388852339E-2</v>
      </c>
      <c r="AO276" s="696">
        <f t="shared" si="1347"/>
        <v>0.13225333929822214</v>
      </c>
      <c r="AP276" s="700">
        <f t="shared" si="1347"/>
        <v>0.10516377459954285</v>
      </c>
      <c r="AQ276" s="700">
        <f t="shared" si="1347"/>
        <v>2.7486135643778997E-2</v>
      </c>
      <c r="AR276" s="700">
        <f t="shared" si="1347"/>
        <v>2.4068314665137036E-2</v>
      </c>
      <c r="AS276" s="700">
        <f t="shared" si="1347"/>
        <v>-3.0617775883357012E-3</v>
      </c>
      <c r="AT276" s="696">
        <f t="shared" si="1347"/>
        <v>3.2617954614236E-2</v>
      </c>
      <c r="AU276" s="700">
        <f t="shared" si="1347"/>
        <v>-0.18699320414688458</v>
      </c>
      <c r="AV276" s="700">
        <f t="shared" si="1347"/>
        <v>-0.24201839582684703</v>
      </c>
      <c r="AW276" s="700">
        <f t="shared" si="1347"/>
        <v>-0.45919988634940023</v>
      </c>
      <c r="AX276" s="700">
        <f t="shared" si="1347"/>
        <v>-0.37248976648489063</v>
      </c>
      <c r="AY276" s="696">
        <f t="shared" si="1347"/>
        <v>-0.32366859989639241</v>
      </c>
      <c r="AZ276" s="700"/>
      <c r="BA276" s="700"/>
      <c r="BB276" s="700"/>
      <c r="BC276" s="700"/>
      <c r="BD276" s="696"/>
      <c r="BE276" s="700"/>
      <c r="BF276" s="700"/>
      <c r="BG276" s="700"/>
      <c r="BH276" s="700"/>
      <c r="BI276" s="696">
        <f t="shared" ref="BI276:CN276" si="1348">+BI275/BD275-1</f>
        <v>-0.56676768687642332</v>
      </c>
      <c r="BJ276" s="700">
        <f>+BJ275/BE275-1</f>
        <v>-0.29270979573192124</v>
      </c>
      <c r="BK276" s="700">
        <f>+BK275/BF275-1</f>
        <v>0.98820506062203495</v>
      </c>
      <c r="BL276" s="700">
        <f>+BL275/BG275-1</f>
        <v>0.6843508865816661</v>
      </c>
      <c r="BM276" s="700">
        <f>+BM275/BH275-1</f>
        <v>0.87224669603524219</v>
      </c>
      <c r="BN276" s="696">
        <f>+BN275/BI275-1</f>
        <v>0.67762307562027924</v>
      </c>
      <c r="BO276" s="700">
        <f t="shared" si="1348"/>
        <v>2.2969550807192483</v>
      </c>
      <c r="BP276" s="700">
        <f t="shared" si="1348"/>
        <v>0.17828641459606942</v>
      </c>
      <c r="BQ276" s="700">
        <f t="shared" si="1348"/>
        <v>0.2687095392565757</v>
      </c>
      <c r="BR276" s="700">
        <f t="shared" si="1348"/>
        <v>0.33690837652857963</v>
      </c>
      <c r="BS276" s="696">
        <f t="shared" si="1348"/>
        <v>0.38583957498611254</v>
      </c>
      <c r="BT276" s="700">
        <f t="shared" si="1348"/>
        <v>-0.38516194845731189</v>
      </c>
      <c r="BU276" s="700">
        <f t="shared" si="1348"/>
        <v>-2.7487116327483685E-3</v>
      </c>
      <c r="BV276" s="700">
        <f t="shared" si="1348"/>
        <v>-7.042072343414707E-2</v>
      </c>
      <c r="BW276" s="700">
        <f t="shared" si="1348"/>
        <v>-3.3952948596880139E-2</v>
      </c>
      <c r="BX276" s="696">
        <f t="shared" si="1348"/>
        <v>-8.7374216524954806E-2</v>
      </c>
      <c r="BY276" s="700">
        <f t="shared" si="1348"/>
        <v>0.56421241062796823</v>
      </c>
      <c r="BZ276" s="700">
        <f t="shared" si="1348"/>
        <v>1.4870472033332582E-3</v>
      </c>
      <c r="CA276" s="700">
        <f t="shared" si="1348"/>
        <v>-9.1438637601012007E-2</v>
      </c>
      <c r="CB276" s="700">
        <f t="shared" si="1348"/>
        <v>0.13909669347146458</v>
      </c>
      <c r="CC276" s="696">
        <f t="shared" si="1348"/>
        <v>7.8713135331238249E-2</v>
      </c>
      <c r="CD276" s="700">
        <f t="shared" si="1348"/>
        <v>1.2189180508532007</v>
      </c>
      <c r="CE276" s="700">
        <f t="shared" si="1348"/>
        <v>0.52138615957514811</v>
      </c>
      <c r="CF276" s="700">
        <f t="shared" si="1348"/>
        <v>0.42436559256796436</v>
      </c>
      <c r="CG276" s="700">
        <f t="shared" si="1348"/>
        <v>0.46075756884595287</v>
      </c>
      <c r="CH276" s="696">
        <f t="shared" si="1348"/>
        <v>0.57422457283773642</v>
      </c>
      <c r="CI276" s="700">
        <f t="shared" si="1348"/>
        <v>0.55023566935343071</v>
      </c>
      <c r="CJ276" s="700">
        <f t="shared" si="1348"/>
        <v>0.26985107627100069</v>
      </c>
      <c r="CK276" s="700">
        <f t="shared" si="1348"/>
        <v>0.49559765004768397</v>
      </c>
      <c r="CL276" s="700">
        <f t="shared" si="1348"/>
        <v>0.10113390366233754</v>
      </c>
      <c r="CM276" s="696">
        <f t="shared" si="1348"/>
        <v>0.32263854437812345</v>
      </c>
      <c r="CN276" s="700">
        <f t="shared" si="1348"/>
        <v>-6.2908726369453438E-2</v>
      </c>
      <c r="CO276" s="700">
        <f t="shared" ref="CO276:DG276" si="1349">+CO275/CJ275-1</f>
        <v>0.25574927977165629</v>
      </c>
      <c r="CP276" s="700">
        <f t="shared" si="1349"/>
        <v>0.26819663440995156</v>
      </c>
      <c r="CQ276" s="700">
        <f t="shared" si="1349"/>
        <v>0.49072232175312003</v>
      </c>
      <c r="CR276" s="696">
        <f t="shared" si="1349"/>
        <v>0.236763463628616</v>
      </c>
      <c r="CS276" s="700">
        <f t="shared" si="1349"/>
        <v>0.61621689169615546</v>
      </c>
      <c r="CT276" s="700">
        <f t="shared" si="1349"/>
        <v>0.21981079250731606</v>
      </c>
      <c r="CU276" s="700">
        <f t="shared" si="1349"/>
        <v>0.37350401178550197</v>
      </c>
      <c r="CV276" s="700">
        <f t="shared" si="1349"/>
        <v>9.7461686476415732E-2</v>
      </c>
      <c r="CW276" s="696">
        <f t="shared" si="1349"/>
        <v>0.2969653346472878</v>
      </c>
      <c r="CX276" s="700">
        <f t="shared" si="1349"/>
        <v>-0.21884270240706361</v>
      </c>
      <c r="CY276" s="700">
        <f t="shared" si="1349"/>
        <v>-0.18558780871714753</v>
      </c>
      <c r="CZ276" s="700">
        <f t="shared" si="1349"/>
        <v>-0.20949965880270205</v>
      </c>
      <c r="DA276" s="700">
        <f t="shared" si="1349"/>
        <v>-0.17223621257864008</v>
      </c>
      <c r="DB276" s="696">
        <f t="shared" si="1349"/>
        <v>-0.19509991436909058</v>
      </c>
      <c r="DC276" s="700">
        <f t="shared" si="1349"/>
        <v>0.24320213409299263</v>
      </c>
      <c r="DD276" s="700">
        <f>+DD275/CY275-1</f>
        <v>0.48638800429725593</v>
      </c>
      <c r="DE276" s="700">
        <f>+DE275/CZ275-1</f>
        <v>0.46666864389376617</v>
      </c>
      <c r="DF276" s="700">
        <f>+DF275/DA275-1</f>
        <v>0.48782982001692732</v>
      </c>
      <c r="DG276" s="696">
        <f t="shared" si="1349"/>
        <v>0.424979343078705</v>
      </c>
      <c r="DH276" s="700">
        <f t="shared" ref="DH276:DO276" si="1350">+DH275/DC275-1</f>
        <v>0.40590211455021152</v>
      </c>
      <c r="DI276" s="700">
        <f t="shared" si="1350"/>
        <v>0.2674186301799506</v>
      </c>
      <c r="DJ276" s="700">
        <f t="shared" si="1350"/>
        <v>0.19073713213031351</v>
      </c>
      <c r="DK276" s="700">
        <f>+DK275/DF275-1</f>
        <v>0.20291345737314992</v>
      </c>
      <c r="DL276" s="696">
        <f t="shared" si="1350"/>
        <v>0.25661468368601059</v>
      </c>
      <c r="DM276" s="700">
        <f t="shared" si="1350"/>
        <v>0.26226379597079075</v>
      </c>
      <c r="DN276" s="700">
        <f t="shared" si="1350"/>
        <v>5.0570488897716981E-2</v>
      </c>
      <c r="DO276" s="700">
        <f t="shared" si="1350"/>
        <v>-2.2862235499128802E-2</v>
      </c>
      <c r="DP276" s="700">
        <f>+DP275/DK275-1</f>
        <v>-4.2638926923120324E-2</v>
      </c>
      <c r="DQ276" s="696">
        <f t="shared" ref="DQ276:DY276" si="1351">+DQ275/DL275-1</f>
        <v>5.3537452061167556E-2</v>
      </c>
      <c r="DR276" s="700">
        <f t="shared" si="1351"/>
        <v>-0.10477170350414666</v>
      </c>
      <c r="DS276" s="700">
        <f t="shared" si="1351"/>
        <v>-1.7408357771261151E-2</v>
      </c>
      <c r="DT276" s="700">
        <f t="shared" si="1351"/>
        <v>-1.4039449028839468E-2</v>
      </c>
      <c r="DU276" s="700">
        <f>+DU275/DP275-1</f>
        <v>-3.7244289896110838E-2</v>
      </c>
      <c r="DV276" s="696">
        <f t="shared" si="1351"/>
        <v>-4.3897826917934313E-2</v>
      </c>
      <c r="DW276" s="700">
        <f>+DW275/DR275-1</f>
        <v>-0.16938446900387905</v>
      </c>
      <c r="DX276" s="700">
        <f t="shared" si="1351"/>
        <v>0.13797517951980631</v>
      </c>
      <c r="DY276" s="700">
        <f t="shared" si="1351"/>
        <v>0.19023319615912215</v>
      </c>
      <c r="DZ276" s="700">
        <f>+DZ275/DU275-1</f>
        <v>0.16810728727333735</v>
      </c>
      <c r="EA276" s="696">
        <f>+EA275/DV275-1</f>
        <v>8.378313633908463E-2</v>
      </c>
      <c r="EB276" s="700">
        <f t="shared" ref="EB276:EI276" si="1352">+EB275/DW275-1</f>
        <v>0.16437236031309554</v>
      </c>
      <c r="EC276" s="700">
        <f t="shared" si="1352"/>
        <v>1.0293551459716666E-2</v>
      </c>
      <c r="ED276" s="700">
        <f t="shared" si="1352"/>
        <v>4.6200782440934951E-2</v>
      </c>
      <c r="EE276" s="700">
        <f t="shared" si="1352"/>
        <v>-2.9588310268960361E-2</v>
      </c>
      <c r="EF276" s="696">
        <f t="shared" si="1352"/>
        <v>3.7775156781533648E-2</v>
      </c>
      <c r="EG276" s="700">
        <f t="shared" si="1352"/>
        <v>-6.9867751161639347E-2</v>
      </c>
      <c r="EH276" s="700">
        <f t="shared" si="1352"/>
        <v>-0.12989381040711201</v>
      </c>
      <c r="EI276" s="700">
        <f t="shared" si="1352"/>
        <v>-6.5448514016912873E-2</v>
      </c>
      <c r="EJ276" s="700">
        <f t="shared" ref="EJ276" si="1353">+EJ275/EE275-1</f>
        <v>2.2776617474925986E-2</v>
      </c>
      <c r="EK276" s="696">
        <f t="shared" ref="EK276:EQ276" si="1354">+EK275/EF275-1</f>
        <v>-7.028777207710335E-2</v>
      </c>
      <c r="EL276" s="700">
        <f t="shared" si="1354"/>
        <v>0.36740735477316444</v>
      </c>
      <c r="EM276" s="700">
        <f t="shared" si="1354"/>
        <v>0.3683350357507662</v>
      </c>
      <c r="EN276" s="700">
        <f t="shared" si="1354"/>
        <v>5.9139315430706052E-2</v>
      </c>
      <c r="EO276" s="700">
        <f t="shared" si="1354"/>
        <v>0.30554770352464122</v>
      </c>
      <c r="EP276" s="696">
        <f t="shared" si="1354"/>
        <v>0.27911266970181714</v>
      </c>
      <c r="EQ276" s="700">
        <f t="shared" si="1354"/>
        <v>0.54828254075501781</v>
      </c>
      <c r="ER276" s="700">
        <f t="shared" ref="ER276" si="1355">+ER275/EM275-1</f>
        <v>0.26290520604718726</v>
      </c>
      <c r="ES276" s="700">
        <f t="shared" ref="ES276:EU276" si="1356">+ES275/EN275-1</f>
        <v>0.52598622276796636</v>
      </c>
      <c r="ET276" s="700">
        <f t="shared" si="1356"/>
        <v>0.32552934002917167</v>
      </c>
      <c r="EU276" s="696">
        <f t="shared" si="1356"/>
        <v>0.40158480017765652</v>
      </c>
      <c r="EV276" s="701"/>
      <c r="EW276" s="701"/>
      <c r="EX276" s="701"/>
      <c r="EY276" s="701"/>
      <c r="EZ276" s="702">
        <f>+EZ275/EU275-1</f>
        <v>0.1034027796015804</v>
      </c>
      <c r="FA276" s="701"/>
      <c r="FB276" s="701"/>
      <c r="FC276" s="701"/>
      <c r="FD276" s="701"/>
      <c r="FE276" s="702">
        <f>+FE275/EZ275-1</f>
        <v>0.12816961554319573</v>
      </c>
      <c r="FG276" s="699"/>
      <c r="FH276" s="812"/>
      <c r="FI276" s="1923"/>
      <c r="FJ276" s="1923"/>
      <c r="FK276" s="2019"/>
      <c r="FL276" s="1380"/>
      <c r="FM276" s="1598">
        <f t="shared" si="1314"/>
        <v>0.54828254075501781</v>
      </c>
      <c r="FN276" s="1489">
        <f t="shared" si="1303"/>
        <v>0.36740735477316444</v>
      </c>
      <c r="FO276" s="1897">
        <v>0.27705471509206858</v>
      </c>
      <c r="FP276" s="1783"/>
      <c r="FQ276" s="1503">
        <f>+(FM276-FO276)*10000</f>
        <v>2712.2782566294923</v>
      </c>
      <c r="FR276" s="1614"/>
      <c r="FS276" s="1297"/>
      <c r="FT276" s="1021"/>
      <c r="FU276" s="1162"/>
      <c r="FV276" s="705"/>
      <c r="FW276" s="705"/>
      <c r="FX276" s="705"/>
      <c r="FY276" s="705"/>
      <c r="FZ276" s="699"/>
      <c r="GA276"/>
      <c r="GB276"/>
      <c r="GC276"/>
      <c r="GD276"/>
      <c r="GE276"/>
      <c r="GF276"/>
      <c r="GG276"/>
      <c r="GH276"/>
      <c r="GI276"/>
      <c r="GJ276"/>
      <c r="GK276"/>
      <c r="GL276"/>
      <c r="GM276"/>
      <c r="GN276"/>
      <c r="GO276"/>
      <c r="GP276"/>
      <c r="GQ276"/>
      <c r="GR276"/>
      <c r="GS276"/>
      <c r="GT276"/>
      <c r="GU276"/>
      <c r="GV276"/>
      <c r="GW276"/>
      <c r="GX276"/>
      <c r="GY276"/>
      <c r="GZ276"/>
      <c r="HA276"/>
      <c r="HB276"/>
      <c r="HC276"/>
      <c r="HD276"/>
      <c r="HE276"/>
      <c r="HF276"/>
      <c r="HG276"/>
      <c r="HH276"/>
      <c r="HI276"/>
      <c r="HJ276"/>
      <c r="HK276"/>
      <c r="HL276"/>
      <c r="HM276"/>
      <c r="HN276"/>
      <c r="HO276"/>
      <c r="HP276"/>
      <c r="HQ276"/>
      <c r="HR276"/>
      <c r="HS276"/>
      <c r="HT276"/>
      <c r="HU276"/>
      <c r="HV276"/>
      <c r="HW276"/>
      <c r="HX276"/>
      <c r="HY276"/>
      <c r="HZ276"/>
      <c r="IA276"/>
      <c r="IB276"/>
      <c r="IC276"/>
      <c r="ID276"/>
      <c r="IE276"/>
      <c r="IF276"/>
      <c r="IG276"/>
      <c r="IH276"/>
      <c r="II276"/>
      <c r="IJ276"/>
      <c r="IK276"/>
      <c r="IL276"/>
      <c r="IM276"/>
      <c r="IN276"/>
      <c r="IO276"/>
      <c r="IP276"/>
      <c r="IQ276"/>
      <c r="IR276"/>
      <c r="IS276"/>
      <c r="IT276"/>
      <c r="IU276"/>
      <c r="IV276"/>
      <c r="IW276"/>
      <c r="IX276"/>
    </row>
    <row r="277" spans="1:258" s="55" customFormat="1" x14ac:dyDescent="0.2">
      <c r="A277" s="383" t="s">
        <v>336</v>
      </c>
      <c r="F277" s="54"/>
      <c r="K277" s="54"/>
      <c r="P277" s="54"/>
      <c r="R277" s="55">
        <f>R275/Q275-1</f>
        <v>1.1142990031411983</v>
      </c>
      <c r="S277" s="55">
        <f>S275/R275-1</f>
        <v>-2.856919765448318E-2</v>
      </c>
      <c r="T277" s="55">
        <f>T275/S275-1</f>
        <v>0.18813808741950711</v>
      </c>
      <c r="U277" s="54"/>
      <c r="V277" s="55">
        <f>V275/T275-1</f>
        <v>-0.66186249468393243</v>
      </c>
      <c r="W277" s="55">
        <f>W275/V275-1</f>
        <v>1.9682005573399408</v>
      </c>
      <c r="X277" s="55">
        <f>X275/W275-1</f>
        <v>-0.23689540465533387</v>
      </c>
      <c r="Y277" s="55">
        <f>Y275/X275-1</f>
        <v>0.28445963267865837</v>
      </c>
      <c r="Z277" s="54"/>
      <c r="AA277" s="55">
        <f>AA275/Y275-1</f>
        <v>-0.51163220065213266</v>
      </c>
      <c r="AB277" s="55">
        <f>AB275/AA275-1</f>
        <v>1.1839202818344017</v>
      </c>
      <c r="AC277" s="55">
        <f>AC275/AB275-1</f>
        <v>9.217534956479434E-2</v>
      </c>
      <c r="AD277" s="55">
        <f>AD275/AC275-1</f>
        <v>0.11595190408352618</v>
      </c>
      <c r="AE277" s="54"/>
      <c r="AF277" s="55">
        <f>AF275/AD275-1</f>
        <v>-0.38961156330775115</v>
      </c>
      <c r="AG277" s="55">
        <f>AG275/AF275-1</f>
        <v>0.51648711528408509</v>
      </c>
      <c r="AH277" s="55">
        <f>AH275/AG275-1</f>
        <v>0.10000019397335125</v>
      </c>
      <c r="AI277" s="55">
        <f>AI275/AH275-1</f>
        <v>0.11322184080503894</v>
      </c>
      <c r="AJ277" s="54"/>
      <c r="AK277" s="55">
        <f>AK275/AI275-1</f>
        <v>-0.35943030067527126</v>
      </c>
      <c r="AL277" s="55">
        <f>AL275/AK275-1</f>
        <v>0.5943292000936482</v>
      </c>
      <c r="AM277" s="55">
        <f>AM275/AL275-1</f>
        <v>-6.5342202216136736E-2</v>
      </c>
      <c r="AN277" s="55">
        <f>AN275/AM275-1</f>
        <v>0.12189830107361788</v>
      </c>
      <c r="AO277" s="54"/>
      <c r="AP277" s="55">
        <f>AP275/AN275-1</f>
        <v>-0.33893750744358941</v>
      </c>
      <c r="AQ277" s="55">
        <f>AQ275/AP275-1</f>
        <v>0.48227003671183977</v>
      </c>
      <c r="AR277" s="55">
        <f>AR275/AQ275-1</f>
        <v>-6.8451239816060605E-2</v>
      </c>
      <c r="AS277" s="55">
        <f>AS275/AR275-1</f>
        <v>9.2176451494574652E-2</v>
      </c>
      <c r="AT277" s="54"/>
      <c r="AU277" s="55">
        <f>AU275/AS275-1</f>
        <v>-0.46090110013854646</v>
      </c>
      <c r="AV277" s="55">
        <f>AV275/AU275-1</f>
        <v>0.3819483748173067</v>
      </c>
      <c r="AW277" s="55">
        <f>AW275/AV275-1</f>
        <v>-0.33536424551081045</v>
      </c>
      <c r="AX277" s="55">
        <f>AX275/AW275-1</f>
        <v>0.26729244838853039</v>
      </c>
      <c r="AY277" s="54"/>
      <c r="AZ277" s="55">
        <f>AZ275/AX275-1</f>
        <v>-9.5012767098683226E-2</v>
      </c>
      <c r="BA277" s="55">
        <f>BA275/AZ275-1</f>
        <v>8.426417419178911E-2</v>
      </c>
      <c r="BB277" s="55">
        <f>BB275/BA275-1</f>
        <v>-0.16946320906942325</v>
      </c>
      <c r="BC277" s="55">
        <f>BC275/BB275-1</f>
        <v>-0.64913336851968428</v>
      </c>
      <c r="BD277" s="54"/>
      <c r="BE277" s="55">
        <f>BE275/BC275-1</f>
        <v>-0.33191113312213072</v>
      </c>
      <c r="BF277" s="55">
        <f>BF275/BE275-1</f>
        <v>0.86915715433447049</v>
      </c>
      <c r="BG277" s="55">
        <f>BG275/BF275-1</f>
        <v>9.2370199258116292E-2</v>
      </c>
      <c r="BH277" s="55">
        <f>BH275/BG275-1</f>
        <v>-8.2883345693974597E-2</v>
      </c>
      <c r="BI277" s="54"/>
      <c r="BJ277" s="55">
        <f>BJ275/BH275-1</f>
        <v>-0.6222909400951091</v>
      </c>
      <c r="BK277" s="55">
        <f>BK275/BJ275-1</f>
        <v>4.2542332566182806</v>
      </c>
      <c r="BL277" s="55">
        <f>BL275/BK275-1</f>
        <v>-7.4574977180596802E-2</v>
      </c>
      <c r="BM277" s="55">
        <f>BM275/BL275-1</f>
        <v>1.9424538902392596E-2</v>
      </c>
      <c r="BN277" s="54"/>
      <c r="BO277" s="55">
        <f>BO275/BM275-1</f>
        <v>-0.33486873993464361</v>
      </c>
      <c r="BP277" s="55">
        <f>BP275/BO275-1</f>
        <v>0.87779072320317608</v>
      </c>
      <c r="BQ277" s="55">
        <f>BQ275/BP275-1</f>
        <v>-3.5567415752604248E-3</v>
      </c>
      <c r="BR277" s="55">
        <f>BR275/BQ275-1</f>
        <v>7.4223187520129574E-2</v>
      </c>
      <c r="BS277" s="54"/>
      <c r="BT277" s="55">
        <f>BT275/BR275-1</f>
        <v>-0.6941091737187014</v>
      </c>
      <c r="BU277" s="55">
        <f>BU275/BT275-1</f>
        <v>2.0457275916801714</v>
      </c>
      <c r="BV277" s="55">
        <f>BV275/BU275-1</f>
        <v>-7.1173921648243876E-2</v>
      </c>
      <c r="BW277" s="55">
        <f>BW275/BV275-1</f>
        <v>0.11636540208431145</v>
      </c>
      <c r="BX277" s="54"/>
      <c r="BY277" s="55">
        <f>BY275/BW275-1</f>
        <v>-0.50470504922975234</v>
      </c>
      <c r="BZ277" s="55">
        <f>BZ275/BY275-1</f>
        <v>0.95002719045870476</v>
      </c>
      <c r="CA277" s="55">
        <f>CA275/BZ275-1</f>
        <v>-0.1573575619020029</v>
      </c>
      <c r="CB277" s="55">
        <f>CB275/CA275-1</f>
        <v>0.39962823739553466</v>
      </c>
      <c r="CC277" s="54"/>
      <c r="CD277" s="55">
        <f>CD275/CB275-1</f>
        <v>-3.5183832014098249E-2</v>
      </c>
      <c r="CE277" s="55">
        <f>CE275/CD275-1</f>
        <v>0.33702295910312507</v>
      </c>
      <c r="CF277" s="55">
        <f>CF275/CE275-1</f>
        <v>-0.21109385141275616</v>
      </c>
      <c r="CG277" s="55">
        <f>CG275/CF275-1</f>
        <v>0.43538818405464408</v>
      </c>
      <c r="CH277" s="54"/>
      <c r="CI277" s="55">
        <f>CI275/CG275-1</f>
        <v>2.3915583173930166E-2</v>
      </c>
      <c r="CJ277" s="55">
        <f>CJ275/CI275-1</f>
        <v>9.5201250481009136E-2</v>
      </c>
      <c r="CK277" s="55">
        <f>CK275/CJ275-1</f>
        <v>-7.0846807170442117E-2</v>
      </c>
      <c r="CL277" s="55">
        <f>CL275/CK275-1</f>
        <v>5.6804678937875774E-2</v>
      </c>
      <c r="CM277" s="54"/>
      <c r="CN277" s="55">
        <f>CN275/CL275-1</f>
        <v>-0.12862336293946941</v>
      </c>
      <c r="CO277" s="55">
        <f>CO275/CN275-1</f>
        <v>0.46762457425119908</v>
      </c>
      <c r="CP277" s="55">
        <f>CP275/CO275-1</f>
        <v>-6.1636768597649105E-2</v>
      </c>
      <c r="CQ277" s="55">
        <f>CQ275/CP275-1</f>
        <v>0.2422382159678349</v>
      </c>
      <c r="CR277" s="54"/>
      <c r="CS277" s="55">
        <f>CS275/CQ275-1</f>
        <v>-5.5267624764355539E-2</v>
      </c>
      <c r="CT277" s="55">
        <f>CT275/CS275-1</f>
        <v>0.10766339853173923</v>
      </c>
      <c r="CU277" s="55">
        <f>CU275/CT275-1</f>
        <v>5.65947364622994E-2</v>
      </c>
      <c r="CV277" s="55">
        <f>CV275/CU275-1</f>
        <v>-7.4227408121907423E-3</v>
      </c>
      <c r="CW277" s="54"/>
      <c r="CX277" s="55">
        <f>CX275/CV275-1</f>
        <v>-0.32755320911743635</v>
      </c>
      <c r="CY277" s="55">
        <f>CY275/CX275-1</f>
        <v>0.1548180864235229</v>
      </c>
      <c r="CZ277" s="55">
        <f>CZ275/CY275-1</f>
        <v>2.5572196267173997E-2</v>
      </c>
      <c r="DA277" s="55">
        <f>DA275/CZ275-1</f>
        <v>3.9366422194305972E-2</v>
      </c>
      <c r="DB277" s="54"/>
      <c r="DC277" s="55">
        <f>DC275/DA275-1</f>
        <v>9.9345951016356349E-3</v>
      </c>
      <c r="DD277" s="55">
        <f>DD275/DC275-1</f>
        <v>0.38071493261854394</v>
      </c>
      <c r="DE277" s="55">
        <f>DE275/DD275-1</f>
        <v>1.1966308908339718E-2</v>
      </c>
      <c r="DF277" s="55">
        <f>DF275/DE275-1</f>
        <v>5.436245828475017E-2</v>
      </c>
      <c r="DG277" s="54"/>
      <c r="DH277" s="55">
        <f>DH275/DF275-1</f>
        <v>-4.5677695319584877E-2</v>
      </c>
      <c r="DI277" s="55">
        <f>DI275/DH275-1</f>
        <v>0.24471242375807578</v>
      </c>
      <c r="DJ277" s="55">
        <f>DJ275/DI275-1</f>
        <v>-4.925978537105058E-2</v>
      </c>
      <c r="DK277" s="55">
        <f>DK275/DJ275-1</f>
        <v>6.5144233598116941E-2</v>
      </c>
      <c r="DL277" s="54"/>
      <c r="DM277" s="55">
        <f>DM275/DK275-1</f>
        <v>1.4074474784258051E-3</v>
      </c>
      <c r="DN277" s="55">
        <f>DN275/DM275-1</f>
        <v>3.5962644051658721E-2</v>
      </c>
      <c r="DO277" s="55">
        <f>DO275/DN275-1</f>
        <v>-0.11571457816377184</v>
      </c>
      <c r="DP277" s="55">
        <f>DP275/DO275-1</f>
        <v>4.3586343201081679E-2</v>
      </c>
      <c r="DQ277" s="54"/>
      <c r="DR277" s="55">
        <f>DR275/DP275-1</f>
        <v>-6.3583940776772652E-2</v>
      </c>
      <c r="DS277" s="55">
        <f>DS275/DR275-1</f>
        <v>0.13705994291151269</v>
      </c>
      <c r="DT277" s="55">
        <f>DT275/DS275-1</f>
        <v>-0.11268272163213799</v>
      </c>
      <c r="DU277" s="55">
        <f>DU275/DT275-1</f>
        <v>1.9025264158531785E-2</v>
      </c>
      <c r="DV277" s="54"/>
      <c r="DW277" s="55">
        <f>DW275/DU275-1</f>
        <v>-0.19210894923587118</v>
      </c>
      <c r="DX277" s="55">
        <f>DX275/DW275-1</f>
        <v>0.55781579367741485</v>
      </c>
      <c r="DY277" s="55">
        <f>DY275/DX275-1</f>
        <v>-7.1935399606303685E-2</v>
      </c>
      <c r="DZ277" s="55">
        <f>DZ275/DY275-1</f>
        <v>8.2035033480476471E-5</v>
      </c>
      <c r="EA277" s="54"/>
      <c r="EB277" s="55">
        <f>EB275/DZ275-1</f>
        <v>-0.19469211441197454</v>
      </c>
      <c r="EC277" s="55">
        <f>EC275/EB275-1</f>
        <v>0.35167348896120298</v>
      </c>
      <c r="ED277" s="55">
        <f>ED275/EC275-1</f>
        <v>-3.8950699344008521E-2</v>
      </c>
      <c r="EE277" s="55">
        <f>EE275/ED275-1</f>
        <v>-7.2366113871371263E-2</v>
      </c>
      <c r="EF277" s="54"/>
      <c r="EG277" s="55">
        <f>EG275/EE275-1</f>
        <v>-0.22811849593767686</v>
      </c>
      <c r="EH277" s="55">
        <f>EH275/EG275-1</f>
        <v>0.26444327731092421</v>
      </c>
      <c r="EI277" s="55">
        <f>EI275/EH275-1</f>
        <v>3.2230390696676769E-2</v>
      </c>
      <c r="EJ277" s="55">
        <f>EJ275/EI275-1</f>
        <v>1.5205970500088206E-2</v>
      </c>
      <c r="EK277" s="54"/>
      <c r="EL277" s="55">
        <f>EL275/EJ275-1</f>
        <v>3.1971622771351127E-2</v>
      </c>
      <c r="EM277" s="55">
        <f>EM275/EL275-1</f>
        <v>0.26530110506175753</v>
      </c>
      <c r="EN277" s="55">
        <f>EN275/EM275-1</f>
        <v>-0.20101746954875011</v>
      </c>
      <c r="EO277" s="55">
        <f>EO275/EN275-1</f>
        <v>0.25139328139463157</v>
      </c>
      <c r="EP277" s="54"/>
      <c r="EQ277" s="55">
        <f>EQ275/EO275-1</f>
        <v>0.22384164268981022</v>
      </c>
      <c r="ER277" s="55">
        <f t="shared" ref="ER277" si="1357">ER275/EQ275-1</f>
        <v>3.2082524175795157E-2</v>
      </c>
      <c r="ES277" s="55">
        <f t="shared" ref="ES277" si="1358">ES275/ER275-1</f>
        <v>-3.4578107792407775E-2</v>
      </c>
      <c r="ET277" s="55">
        <f>ET275/ES275-1</f>
        <v>8.7007527102810345E-2</v>
      </c>
      <c r="EU277" s="54"/>
      <c r="EZ277" s="54"/>
      <c r="FE277" s="54"/>
      <c r="FG277" s="490"/>
      <c r="FH277" s="766">
        <f>AVERAGE(CI277,CN277,CS277,CX277,DC277,DH277,DM277,DR277,DW277,EB277,EG277,EL277,EQ277)</f>
        <v>-7.2658038560614507E-2</v>
      </c>
      <c r="FI277" s="766">
        <f>AVERAGE(CJ277,CO277,CT277,CY277,DD277,DI277,DN277,DS277,DX277,EC277,EH277)</f>
        <v>0.25433543754334575</v>
      </c>
      <c r="FJ277" s="766">
        <f>AVERAGE(CK277,CP277,CU277,CZ277,DE277,DJ277,DO277,DT277,DY277,ED277,EI277)</f>
        <v>-3.5878466140988545E-2</v>
      </c>
      <c r="FK277" s="1408">
        <f>AVERAGE(CL277,CQ277,CV277,DA277,DF277,DK277,DP277,DU277,DZ277,EE277,EJ277,EO277)</f>
        <v>5.8951670715594623E-2</v>
      </c>
      <c r="FL277" s="1338"/>
      <c r="FM277" s="1523">
        <f t="shared" si="1314"/>
        <v>0.22384164268981022</v>
      </c>
      <c r="FN277" s="1416">
        <f t="shared" si="1303"/>
        <v>3.1971622771351127E-2</v>
      </c>
      <c r="FO277" s="1799">
        <v>9.4493086261195902E-3</v>
      </c>
      <c r="FP277" s="1741"/>
      <c r="FQ277" s="1503">
        <f>+(FM277-FO277)*10000</f>
        <v>2143.9233406369062</v>
      </c>
      <c r="FR277" s="1615"/>
      <c r="FS277" s="1615"/>
      <c r="FT277" s="1021"/>
      <c r="FU277" s="1162"/>
      <c r="FV277" s="436"/>
      <c r="FW277" s="445"/>
      <c r="FX277" s="432"/>
      <c r="FY277" s="432"/>
      <c r="FZ277" s="490"/>
      <c r="GA277"/>
      <c r="GB277"/>
      <c r="GC277"/>
      <c r="GD277"/>
      <c r="GE277"/>
      <c r="GF277"/>
      <c r="GG277"/>
      <c r="GH277"/>
      <c r="GI277"/>
      <c r="GJ277"/>
      <c r="GK277"/>
      <c r="GL277"/>
      <c r="GM277"/>
      <c r="GN277"/>
      <c r="GO277"/>
      <c r="GP277"/>
      <c r="GQ277"/>
      <c r="GR277"/>
      <c r="GS277"/>
      <c r="GT277"/>
      <c r="GU277"/>
      <c r="GV277"/>
      <c r="GW277"/>
      <c r="GX277"/>
      <c r="GY277"/>
      <c r="GZ277"/>
      <c r="HA277"/>
      <c r="HB277"/>
      <c r="HC277"/>
      <c r="HD277"/>
      <c r="HE277"/>
      <c r="HF277"/>
      <c r="HG277"/>
      <c r="HH277"/>
      <c r="HI277"/>
      <c r="HJ277"/>
      <c r="HK277"/>
      <c r="HL277"/>
      <c r="HM277"/>
      <c r="HN277"/>
      <c r="HO277"/>
      <c r="HP277"/>
      <c r="HQ277"/>
      <c r="HR277"/>
      <c r="HS277"/>
      <c r="HT277"/>
      <c r="HU277"/>
      <c r="HV277"/>
      <c r="HW277"/>
      <c r="HX277"/>
      <c r="HY277"/>
      <c r="HZ277"/>
      <c r="IA277"/>
      <c r="IB277"/>
      <c r="IC277"/>
      <c r="ID277"/>
      <c r="IE277"/>
      <c r="IF277"/>
      <c r="IG277"/>
      <c r="IH277"/>
      <c r="II277"/>
      <c r="IJ277"/>
      <c r="IK277"/>
      <c r="IL277"/>
      <c r="IM277"/>
      <c r="IN277"/>
      <c r="IO277"/>
      <c r="IP277"/>
      <c r="IQ277"/>
      <c r="IR277"/>
      <c r="IS277"/>
      <c r="IT277"/>
      <c r="IU277"/>
      <c r="IV277"/>
      <c r="IW277"/>
      <c r="IX277"/>
    </row>
    <row r="278" spans="1:258" s="312" customFormat="1" ht="12" customHeight="1" x14ac:dyDescent="0.2">
      <c r="A278" s="307" t="s">
        <v>598</v>
      </c>
      <c r="B278" s="308"/>
      <c r="C278" s="308"/>
      <c r="D278" s="308"/>
      <c r="E278" s="308"/>
      <c r="F278" s="309"/>
      <c r="G278" s="308"/>
      <c r="H278" s="308"/>
      <c r="I278" s="308"/>
      <c r="J278" s="308"/>
      <c r="K278" s="309"/>
      <c r="L278" s="308"/>
      <c r="M278" s="308"/>
      <c r="N278" s="308"/>
      <c r="O278" s="308"/>
      <c r="P278" s="309"/>
      <c r="Q278" s="308">
        <v>1231.2359999999999</v>
      </c>
      <c r="R278" s="308">
        <v>1234.596</v>
      </c>
      <c r="S278" s="308">
        <v>1236.636</v>
      </c>
      <c r="T278" s="308">
        <v>1237.752</v>
      </c>
      <c r="U278" s="309">
        <f>AVERAGE(Q278:T278)</f>
        <v>1235.0549999999998</v>
      </c>
      <c r="V278" s="308">
        <v>1243.9680000000001</v>
      </c>
      <c r="W278" s="308">
        <v>1246.8599999999999</v>
      </c>
      <c r="X278" s="308">
        <v>1247.952</v>
      </c>
      <c r="Y278" s="308">
        <v>1249.08</v>
      </c>
      <c r="Z278" s="309">
        <f>AVERAGE(V278:Y278)</f>
        <v>1246.9649999999999</v>
      </c>
      <c r="AA278" s="308">
        <v>1253.424</v>
      </c>
      <c r="AB278" s="308">
        <v>1256.4479999999999</v>
      </c>
      <c r="AC278" s="308">
        <v>1256.9279999999999</v>
      </c>
      <c r="AD278" s="308">
        <v>1256.664</v>
      </c>
      <c r="AE278" s="309">
        <f>AVERAGE(AA278:AD278)</f>
        <v>1255.866</v>
      </c>
      <c r="AF278" s="308">
        <v>1261.452</v>
      </c>
      <c r="AG278" s="308">
        <v>1261.9680000000001</v>
      </c>
      <c r="AH278" s="308">
        <v>1262.424</v>
      </c>
      <c r="AI278" s="308">
        <v>1262.9639999999999</v>
      </c>
      <c r="AJ278" s="309">
        <f>AVERAGE(AF278:AI278)</f>
        <v>1262.202</v>
      </c>
      <c r="AK278" s="308">
        <v>1279.5539999999999</v>
      </c>
      <c r="AL278" s="308">
        <v>1286.3039999999999</v>
      </c>
      <c r="AM278" s="308">
        <v>1305.654</v>
      </c>
      <c r="AN278" s="308">
        <v>1316.202</v>
      </c>
      <c r="AO278" s="309">
        <f>AVERAGE(AK278:AN278)</f>
        <v>1296.9285</v>
      </c>
      <c r="AP278" s="308">
        <v>1316.9639999999999</v>
      </c>
      <c r="AQ278" s="308">
        <v>1321.89</v>
      </c>
      <c r="AR278" s="308">
        <v>1330.4460000000001</v>
      </c>
      <c r="AS278" s="308">
        <v>1329.6960000000001</v>
      </c>
      <c r="AT278" s="309">
        <f>AVERAGE(AP278:AS278)</f>
        <v>1324.749</v>
      </c>
      <c r="AU278" s="308">
        <v>1329.672</v>
      </c>
      <c r="AV278" s="308">
        <v>1329.48</v>
      </c>
      <c r="AW278" s="308">
        <v>1277.7539999999999</v>
      </c>
      <c r="AX278" s="308">
        <v>1275.57</v>
      </c>
      <c r="AY278" s="309">
        <f>AVERAGE(AU278:AX278)</f>
        <v>1303.1189999999999</v>
      </c>
      <c r="AZ278" s="308">
        <v>1269.9479999999999</v>
      </c>
      <c r="BA278" s="308">
        <v>1278.942</v>
      </c>
      <c r="BB278" s="308">
        <v>1264.74</v>
      </c>
      <c r="BC278" s="308">
        <v>1266.0120000000002</v>
      </c>
      <c r="BD278" s="309">
        <f>AVERAGE(AZ278:BC278)</f>
        <v>1269.9105</v>
      </c>
      <c r="BE278" s="308">
        <v>1272.0899999999999</v>
      </c>
      <c r="BF278" s="308">
        <v>1267.2660000000001</v>
      </c>
      <c r="BG278" s="308">
        <v>1267.5239999999999</v>
      </c>
      <c r="BH278" s="308">
        <v>1264.95</v>
      </c>
      <c r="BI278" s="309">
        <f>AVERAGE(BE278:BH278)</f>
        <v>1267.9575</v>
      </c>
      <c r="BJ278" s="308">
        <v>1271.3820000000001</v>
      </c>
      <c r="BK278" s="308">
        <v>1274.7840000000001</v>
      </c>
      <c r="BL278" s="308">
        <v>1275.4740000000002</v>
      </c>
      <c r="BM278" s="308">
        <v>1276.194</v>
      </c>
      <c r="BN278" s="309">
        <f>AVERAGE(BJ278:BM278)</f>
        <v>1274.4585000000002</v>
      </c>
      <c r="BO278" s="308">
        <v>1279.1400000000001</v>
      </c>
      <c r="BP278" s="308">
        <v>1281.2460000000001</v>
      </c>
      <c r="BQ278" s="308">
        <v>1281.798</v>
      </c>
      <c r="BR278" s="308">
        <v>1282.1400000000001</v>
      </c>
      <c r="BS278" s="309">
        <f>AVERAGE(BO278:BR278)</f>
        <v>1281.0810000000001</v>
      </c>
      <c r="BT278" s="308">
        <v>1284.9839999999999</v>
      </c>
      <c r="BU278" s="308">
        <v>1285.7819999999999</v>
      </c>
      <c r="BV278" s="308">
        <v>1283.73</v>
      </c>
      <c r="BW278" s="308">
        <v>1288.452</v>
      </c>
      <c r="BX278" s="309">
        <f>AVERAGE(BT278:BW278)</f>
        <v>1285.7369999999999</v>
      </c>
      <c r="BY278" s="308">
        <v>1290.9119999999998</v>
      </c>
      <c r="BZ278" s="308">
        <v>1290.894</v>
      </c>
      <c r="CA278" s="308">
        <v>1291.5120000000002</v>
      </c>
      <c r="CB278" s="308">
        <v>1352.2379999999998</v>
      </c>
      <c r="CC278" s="309">
        <f>AVERAGE(BY278:CB278)</f>
        <v>1306.3889999999999</v>
      </c>
      <c r="CD278" s="308">
        <v>1357.4760000000001</v>
      </c>
      <c r="CE278" s="308">
        <v>1364.7180000000001</v>
      </c>
      <c r="CF278" s="308">
        <v>1370.538</v>
      </c>
      <c r="CG278" s="308">
        <v>1379.8320000000001</v>
      </c>
      <c r="CH278" s="309">
        <f>AVERAGE(CD278:CG278)</f>
        <v>1368.1410000000001</v>
      </c>
      <c r="CI278" s="308">
        <v>1393.0919999999999</v>
      </c>
      <c r="CJ278" s="308">
        <v>1410.6179999999999</v>
      </c>
      <c r="CK278" s="308">
        <v>1396.923</v>
      </c>
      <c r="CL278" s="308">
        <v>1390.5720000000001</v>
      </c>
      <c r="CM278" s="309">
        <f>AVERAGE(CI278:CL278)</f>
        <v>1397.80125</v>
      </c>
      <c r="CN278" s="308">
        <v>1389.528</v>
      </c>
      <c r="CO278" s="308">
        <v>1376.769</v>
      </c>
      <c r="CP278" s="308">
        <v>1336.644</v>
      </c>
      <c r="CQ278" s="308">
        <v>1276.425</v>
      </c>
      <c r="CR278" s="309">
        <f>AVERAGE(CN278:CQ278)</f>
        <v>1344.8415</v>
      </c>
      <c r="CS278" s="308">
        <v>1245.5550000000001</v>
      </c>
      <c r="CT278" s="308">
        <v>1245.27</v>
      </c>
      <c r="CU278" s="308">
        <v>1225.404</v>
      </c>
      <c r="CV278" s="308">
        <v>1186.9949999999999</v>
      </c>
      <c r="CW278" s="309">
        <f>AVERAGE(CS278:CV278)</f>
        <v>1225.806</v>
      </c>
      <c r="CX278" s="308">
        <v>1182.3029999999999</v>
      </c>
      <c r="CY278" s="308">
        <v>1186.1099999999999</v>
      </c>
      <c r="CZ278" s="308">
        <v>1188.999</v>
      </c>
      <c r="DA278" s="308">
        <v>1190.817</v>
      </c>
      <c r="DB278" s="309">
        <f>AVERAGE(CX278:DA278)</f>
        <v>1187.0572499999998</v>
      </c>
      <c r="DC278" s="308">
        <v>1182.9690000000001</v>
      </c>
      <c r="DD278" s="308">
        <v>1159.173</v>
      </c>
      <c r="DE278" s="308">
        <v>1145.4659999999999</v>
      </c>
      <c r="DF278" s="308">
        <v>1128.393</v>
      </c>
      <c r="DG278" s="309">
        <f>AVERAGE(DC278:DF278)</f>
        <v>1154.0002500000001</v>
      </c>
      <c r="DH278" s="308">
        <v>1114.758</v>
      </c>
      <c r="DI278" s="308">
        <v>1109</v>
      </c>
      <c r="DJ278" s="308">
        <v>1077</v>
      </c>
      <c r="DK278" s="308">
        <v>1056</v>
      </c>
      <c r="DL278" s="309">
        <f>AVERAGE(DH278:DK278)</f>
        <v>1089.1895</v>
      </c>
      <c r="DM278" s="308">
        <v>1049</v>
      </c>
      <c r="DN278" s="308">
        <v>1043</v>
      </c>
      <c r="DO278" s="308">
        <v>1040</v>
      </c>
      <c r="DP278" s="308">
        <v>1028</v>
      </c>
      <c r="DQ278" s="309">
        <f>AVERAGE(DM278:DP278)</f>
        <v>1040</v>
      </c>
      <c r="DR278" s="308">
        <v>1023</v>
      </c>
      <c r="DS278" s="308">
        <v>1023</v>
      </c>
      <c r="DT278" s="308">
        <v>1017.5</v>
      </c>
      <c r="DU278" s="308">
        <v>1013</v>
      </c>
      <c r="DV278" s="309">
        <f>AVERAGE(DR278:DU278)</f>
        <v>1019.125</v>
      </c>
      <c r="DW278" s="308">
        <v>1007.5</v>
      </c>
      <c r="DX278" s="308">
        <v>1003</v>
      </c>
      <c r="DY278" s="308">
        <v>999</v>
      </c>
      <c r="DZ278" s="308">
        <v>995.01595214356928</v>
      </c>
      <c r="EA278" s="309">
        <f>AVERAGE(DW278:DZ278)</f>
        <v>1001.1289880358923</v>
      </c>
      <c r="EB278" s="308">
        <v>992</v>
      </c>
      <c r="EC278" s="308">
        <v>989</v>
      </c>
      <c r="ED278" s="308">
        <v>982</v>
      </c>
      <c r="EE278" s="308">
        <v>973</v>
      </c>
      <c r="EF278" s="309">
        <f>AVERAGE(EB278:EE278)</f>
        <v>984</v>
      </c>
      <c r="EG278" s="308">
        <v>963</v>
      </c>
      <c r="EH278" s="308">
        <v>952</v>
      </c>
      <c r="EI278" s="308">
        <v>943</v>
      </c>
      <c r="EJ278" s="308">
        <v>935</v>
      </c>
      <c r="EK278" s="309">
        <f>AVERAGE(EG278:EJ278)</f>
        <v>948.25</v>
      </c>
      <c r="EL278" s="308">
        <v>929</v>
      </c>
      <c r="EM278" s="308">
        <v>924</v>
      </c>
      <c r="EN278" s="308">
        <v>906</v>
      </c>
      <c r="EO278" s="308">
        <v>896</v>
      </c>
      <c r="EP278" s="309">
        <f>AVERAGE(EL278:EO278)</f>
        <v>913.75</v>
      </c>
      <c r="EQ278" s="308">
        <v>888</v>
      </c>
      <c r="ER278" s="308">
        <f t="shared" ref="ER278" si="1359">EQ278*(1+(ER279/4))</f>
        <v>866.91</v>
      </c>
      <c r="ES278" s="308">
        <f t="shared" ref="ES278:ET278" si="1360">ER278*(1+(ES279/4))</f>
        <v>846.32088749999991</v>
      </c>
      <c r="ET278" s="308">
        <f t="shared" si="1360"/>
        <v>826.22076642187483</v>
      </c>
      <c r="EU278" s="309">
        <f>AVERAGE(EQ278:ET278)</f>
        <v>856.86291348046871</v>
      </c>
      <c r="EV278" s="308">
        <f>ET278*(1+(EV279/4))</f>
        <v>809.69635109343733</v>
      </c>
      <c r="EW278" s="308">
        <f t="shared" ref="EW278" si="1361">EV278*(1+(EW279/4))</f>
        <v>803.62362846023655</v>
      </c>
      <c r="EX278" s="308">
        <f t="shared" ref="EX278" si="1362">EW278*(1+(EX279/4))</f>
        <v>797.5964512467848</v>
      </c>
      <c r="EY278" s="308">
        <f t="shared" ref="EY278" si="1363">EX278*(1+(EY279/4))</f>
        <v>791.614477862434</v>
      </c>
      <c r="EZ278" s="309">
        <f>AVERAGE(EV278:EY278)</f>
        <v>800.63272716572317</v>
      </c>
      <c r="FA278" s="310"/>
      <c r="FB278" s="310"/>
      <c r="FC278" s="310"/>
      <c r="FD278" s="310"/>
      <c r="FE278" s="311">
        <f>EZ278*(1+(FE279))</f>
        <v>776.6137453507514</v>
      </c>
      <c r="FG278" s="494"/>
      <c r="FH278" s="813"/>
      <c r="FI278" s="813"/>
      <c r="FJ278" s="813"/>
      <c r="FL278" s="1381"/>
      <c r="FM278" s="1599">
        <f t="shared" si="1314"/>
        <v>888</v>
      </c>
      <c r="FN278" s="1490">
        <f t="shared" si="1303"/>
        <v>929</v>
      </c>
      <c r="FO278" s="1898">
        <v>882.56</v>
      </c>
      <c r="FP278" s="1770">
        <f>+FM278/FN278-1</f>
        <v>-4.413347685683533E-2</v>
      </c>
      <c r="FQ278" s="1544">
        <f>+FM278/FO278-1</f>
        <v>6.1638868745468312E-3</v>
      </c>
      <c r="FR278" s="1631"/>
      <c r="FS278" s="1615"/>
      <c r="FT278" s="450"/>
      <c r="FU278" s="450"/>
      <c r="FV278" s="450"/>
      <c r="FW278" s="450"/>
      <c r="FX278" s="450"/>
      <c r="FY278" s="450"/>
      <c r="FZ278" s="494"/>
      <c r="GA278"/>
      <c r="GB278"/>
      <c r="GC278"/>
      <c r="GD278"/>
      <c r="GE278"/>
      <c r="GF278"/>
      <c r="GG278"/>
      <c r="GH278"/>
      <c r="GI278"/>
      <c r="GJ278"/>
      <c r="GK278"/>
      <c r="GL278"/>
      <c r="GM278"/>
      <c r="GN278"/>
      <c r="GO278"/>
      <c r="GP278"/>
      <c r="GQ278"/>
      <c r="GR278"/>
      <c r="GS278"/>
      <c r="GT278"/>
      <c r="GU278"/>
      <c r="GV278"/>
      <c r="GW278"/>
      <c r="GX278"/>
      <c r="GY278"/>
      <c r="GZ278"/>
      <c r="HA278"/>
      <c r="HB278"/>
      <c r="HC278"/>
      <c r="HD278"/>
      <c r="HE278"/>
      <c r="HF278"/>
      <c r="HG278"/>
      <c r="HH278"/>
      <c r="HI278"/>
      <c r="HJ278"/>
      <c r="HK278"/>
      <c r="HL278"/>
      <c r="HM278"/>
      <c r="HN278"/>
      <c r="HO278"/>
      <c r="HP278"/>
      <c r="HQ278"/>
      <c r="HR278"/>
      <c r="HS278"/>
      <c r="HT278"/>
      <c r="HU278"/>
      <c r="HV278"/>
      <c r="HW278"/>
      <c r="HX278"/>
      <c r="HY278"/>
      <c r="HZ278"/>
      <c r="IA278"/>
      <c r="IB278"/>
      <c r="IC278"/>
      <c r="ID278"/>
      <c r="IE278"/>
      <c r="IF278"/>
      <c r="IG278"/>
      <c r="IH278"/>
      <c r="II278"/>
      <c r="IJ278"/>
      <c r="IK278"/>
      <c r="IL278"/>
      <c r="IM278"/>
      <c r="IN278"/>
      <c r="IO278"/>
      <c r="IP278"/>
      <c r="IQ278"/>
      <c r="IR278"/>
      <c r="IS278"/>
      <c r="IT278"/>
      <c r="IU278"/>
      <c r="IV278"/>
      <c r="IW278"/>
      <c r="IX278"/>
    </row>
    <row r="279" spans="1:258" s="125" customFormat="1" ht="12" customHeight="1" x14ac:dyDescent="0.2">
      <c r="A279" s="121" t="s">
        <v>105</v>
      </c>
      <c r="B279" s="233"/>
      <c r="C279" s="233"/>
      <c r="D279" s="233"/>
      <c r="E279" s="233"/>
      <c r="F279" s="234"/>
      <c r="G279" s="233"/>
      <c r="H279" s="233"/>
      <c r="I279" s="233"/>
      <c r="J279" s="233"/>
      <c r="K279" s="234"/>
      <c r="L279" s="233"/>
      <c r="M279" s="233"/>
      <c r="N279" s="233"/>
      <c r="O279" s="233"/>
      <c r="P279" s="234"/>
      <c r="Q279" s="233"/>
      <c r="R279" s="233"/>
      <c r="S279" s="233"/>
      <c r="T279" s="233"/>
      <c r="U279" s="234"/>
      <c r="V279" s="233"/>
      <c r="W279" s="233"/>
      <c r="X279" s="233"/>
      <c r="Y279" s="233"/>
      <c r="Z279" s="234"/>
      <c r="AA279" s="233"/>
      <c r="AB279" s="233"/>
      <c r="AC279" s="233"/>
      <c r="AD279" s="233"/>
      <c r="AE279" s="234"/>
      <c r="AF279" s="233"/>
      <c r="AG279" s="233"/>
      <c r="AH279" s="233"/>
      <c r="AI279" s="233"/>
      <c r="AJ279" s="234"/>
      <c r="AK279" s="233"/>
      <c r="AL279" s="233"/>
      <c r="AM279" s="233"/>
      <c r="AN279" s="233"/>
      <c r="AO279" s="234"/>
      <c r="AP279" s="233"/>
      <c r="AQ279" s="233"/>
      <c r="AR279" s="233"/>
      <c r="AS279" s="233"/>
      <c r="AT279" s="234"/>
      <c r="AU279" s="233"/>
      <c r="AV279" s="233"/>
      <c r="AW279" s="233"/>
      <c r="AX279" s="233"/>
      <c r="AY279" s="234"/>
      <c r="AZ279" s="233"/>
      <c r="BA279" s="233"/>
      <c r="BB279" s="233"/>
      <c r="BC279" s="233"/>
      <c r="BD279" s="234"/>
      <c r="BE279" s="233"/>
      <c r="BF279" s="233"/>
      <c r="BG279" s="233"/>
      <c r="BH279" s="233"/>
      <c r="BI279" s="234"/>
      <c r="BJ279" s="233"/>
      <c r="BK279" s="233"/>
      <c r="BL279" s="233"/>
      <c r="BM279" s="233"/>
      <c r="BN279" s="234">
        <f>(BN278/BI278-1)</f>
        <v>5.1271434570954177E-3</v>
      </c>
      <c r="BO279" s="233"/>
      <c r="BP279" s="233">
        <f>(BP278/BO278-1)*4</f>
        <v>6.5856747502230917E-3</v>
      </c>
      <c r="BQ279" s="233">
        <f>(BQ278/BP278-1)*4</f>
        <v>1.72332245329887E-3</v>
      </c>
      <c r="BR279" s="233">
        <f>(BR278/BQ278-1)*4</f>
        <v>1.0672508460771724E-3</v>
      </c>
      <c r="BS279" s="234">
        <f>(BS278/BN278-1)</f>
        <v>5.1963245566646332E-3</v>
      </c>
      <c r="BT279" s="233">
        <f>(BT278/BR278-1)*4</f>
        <v>8.8726660115110434E-3</v>
      </c>
      <c r="BU279" s="233">
        <f>(BU278/BT278-1)*4</f>
        <v>2.4840776227561534E-3</v>
      </c>
      <c r="BV279" s="233">
        <f>(BV278/BU278-1)*4</f>
        <v>-6.3836637937066953E-3</v>
      </c>
      <c r="BW279" s="233">
        <f>(BW278/BV278-1)*4</f>
        <v>1.4713374307681271E-2</v>
      </c>
      <c r="BX279" s="234">
        <f>(BX278/BS278-1)</f>
        <v>3.6344306097739754E-3</v>
      </c>
      <c r="BY279" s="233">
        <f>(BY278/BW278-1)*4</f>
        <v>7.6370714624989233E-3</v>
      </c>
      <c r="BZ279" s="233">
        <f>(BZ278/BY278-1)*4</f>
        <v>-5.5774522197626908E-5</v>
      </c>
      <c r="CA279" s="233">
        <f>(CA278/BZ278-1)*4</f>
        <v>1.9149519635233148E-3</v>
      </c>
      <c r="CB279" s="233">
        <f>(CB278/CA278-1)*4</f>
        <v>0.18807723040900814</v>
      </c>
      <c r="CC279" s="234">
        <f>(CC278/BX278-1)</f>
        <v>1.6062382897902072E-2</v>
      </c>
      <c r="CD279" s="233">
        <f>(CD278/CB278-1)*4</f>
        <v>1.5494313870783927E-2</v>
      </c>
      <c r="CE279" s="233">
        <f>(CE278/CD278-1)*4</f>
        <v>2.133960379410027E-2</v>
      </c>
      <c r="CF279" s="233">
        <f>(CF278/CE278-1)*4</f>
        <v>1.7058469222212658E-2</v>
      </c>
      <c r="CG279" s="233">
        <f>(CG278/CF278-1)*4</f>
        <v>2.7125114371145287E-2</v>
      </c>
      <c r="CH279" s="234">
        <f>(CH278/CC278-1)</f>
        <v>4.7269228384501316E-2</v>
      </c>
      <c r="CI279" s="233">
        <f>(CI278/CG278-1)*4</f>
        <v>3.8439462195396956E-2</v>
      </c>
      <c r="CJ279" s="233">
        <f>(CJ278/CI278-1)*4</f>
        <v>5.0322591759912605E-2</v>
      </c>
      <c r="CK279" s="233">
        <f>(CK278/CJ278-1)*4</f>
        <v>-3.8834042951386927E-2</v>
      </c>
      <c r="CL279" s="233">
        <f>(CL278/CK278-1)*4</f>
        <v>-1.8185683820797216E-2</v>
      </c>
      <c r="CM279" s="234">
        <f>(CM278/CH278-1)</f>
        <v>2.1679234815709769E-2</v>
      </c>
      <c r="CN279" s="233">
        <f>(CN278/CL278-1)*4</f>
        <v>-3.0030807466281395E-3</v>
      </c>
      <c r="CO279" s="233">
        <f>(CO278/CN278-1)*4</f>
        <v>-3.6729018774720679E-2</v>
      </c>
      <c r="CP279" s="233">
        <f>(CP278/CO278-1)*4</f>
        <v>-0.11657729074376322</v>
      </c>
      <c r="CQ279" s="233">
        <f>(CQ278/CP278-1)*4</f>
        <v>-0.18020953971289311</v>
      </c>
      <c r="CR279" s="234">
        <f>(CR278/CM278-1)</f>
        <v>-3.7887897152760419E-2</v>
      </c>
      <c r="CS279" s="233">
        <f>(CS278/CQ278-1)*4</f>
        <v>-9.6738938833068389E-2</v>
      </c>
      <c r="CT279" s="233">
        <f>(CT278/CS278-1)*4</f>
        <v>-9.1525464551978075E-4</v>
      </c>
      <c r="CU279" s="233">
        <f>(CU278/CT278-1)*4</f>
        <v>-6.3812667132429279E-2</v>
      </c>
      <c r="CV279" s="233">
        <f>(CV278/CU278-1)*4</f>
        <v>-0.12537579443187763</v>
      </c>
      <c r="CW279" s="234">
        <f>(CW278/CR278-1)</f>
        <v>-8.8512661157467254E-2</v>
      </c>
      <c r="CX279" s="233">
        <f>(CX278/CV278-1)*4</f>
        <v>-1.5811355565945817E-2</v>
      </c>
      <c r="CY279" s="233">
        <f>(CY278/CX278-1)*4</f>
        <v>1.2879947018658022E-2</v>
      </c>
      <c r="CZ279" s="233">
        <f>(CZ278/CY278-1)*4</f>
        <v>9.7427725927614617E-3</v>
      </c>
      <c r="DA279" s="233">
        <f>(DA278/CZ278-1)*4</f>
        <v>6.1160690631361092E-3</v>
      </c>
      <c r="DB279" s="234">
        <f>(DB278/CW278-1)</f>
        <v>-3.1610834014517919E-2</v>
      </c>
      <c r="DC279" s="233">
        <f>(DC278/DA278-1)*4</f>
        <v>-2.6361733163029921E-2</v>
      </c>
      <c r="DD279" s="233">
        <f>(DD278/DC278-1)*4</f>
        <v>-8.0461956315000638E-2</v>
      </c>
      <c r="DE279" s="233">
        <f>(DE278/DD278-1)*4</f>
        <v>-4.7299238336297122E-2</v>
      </c>
      <c r="DF279" s="233">
        <f>(DF278/DE278-1)*4</f>
        <v>-5.9619403805961646E-2</v>
      </c>
      <c r="DG279" s="234">
        <f>(DG278/DB278-1)</f>
        <v>-2.7847856537668969E-2</v>
      </c>
      <c r="DH279" s="233">
        <f>(DH278/DF278-1)*4</f>
        <v>-4.8334223980474711E-2</v>
      </c>
      <c r="DI279" s="233">
        <f>(DI278/DH278-1)*4</f>
        <v>-2.066098651007664E-2</v>
      </c>
      <c r="DJ279" s="233">
        <f>(DJ278/DI278-1)*4</f>
        <v>-0.11541929666366091</v>
      </c>
      <c r="DK279" s="233">
        <f>(DK278/DJ278-1)*4</f>
        <v>-7.7994428969359486E-2</v>
      </c>
      <c r="DL279" s="122">
        <f>(DL278/DG278-1)</f>
        <v>-5.6161816256105723E-2</v>
      </c>
      <c r="DM279" s="233">
        <f>(DM278/DK278-1)*4</f>
        <v>-2.6515151515151381E-2</v>
      </c>
      <c r="DN279" s="233">
        <f>(DN278/DM278-1)*4</f>
        <v>-2.2878932316491962E-2</v>
      </c>
      <c r="DO279" s="233">
        <f>(DO278/DN278-1)*4</f>
        <v>-1.1505273250239867E-2</v>
      </c>
      <c r="DP279" s="233">
        <f>(DP278/DO278-1)*4</f>
        <v>-4.615384615384599E-2</v>
      </c>
      <c r="DQ279" s="122">
        <f>(DQ278/DL278-1)</f>
        <v>-4.516156279508754E-2</v>
      </c>
      <c r="DR279" s="233">
        <f>(DR278/DP278-1)*4</f>
        <v>-1.9455252918287869E-2</v>
      </c>
      <c r="DS279" s="233">
        <f>(DS278/DR278-1)*4</f>
        <v>0</v>
      </c>
      <c r="DT279" s="918">
        <f>(DT278/DS278-1)*4</f>
        <v>-2.1505376344086002E-2</v>
      </c>
      <c r="DU279" s="233">
        <f>(DU278/DT278-1)*4</f>
        <v>-1.7690417690417792E-2</v>
      </c>
      <c r="DV279" s="122">
        <f>(DV278/DQ278-1)</f>
        <v>-2.0072115384615397E-2</v>
      </c>
      <c r="DW279" s="233">
        <f>(DW278/DU278-1)*4</f>
        <v>-2.1717670286278246E-2</v>
      </c>
      <c r="DX279" s="233">
        <f>(DX278/DW278-1)*4</f>
        <v>-1.7866004962779236E-2</v>
      </c>
      <c r="DY279" s="918">
        <f>(DY278/DX278-1)*4</f>
        <v>-1.5952143569291977E-2</v>
      </c>
      <c r="DZ279" s="233">
        <f>(DZ278/DY278-1)*4</f>
        <v>-1.5952143569291977E-2</v>
      </c>
      <c r="EA279" s="122">
        <f>(EA278/DV278-1)</f>
        <v>-1.7658297033344983E-2</v>
      </c>
      <c r="EB279" s="233">
        <f>(EB278/DZ278-1)*4</f>
        <v>-1.2124236348460382E-2</v>
      </c>
      <c r="EC279" s="233">
        <f>(EC278/EB278-1)*4</f>
        <v>-1.2096774193548487E-2</v>
      </c>
      <c r="ED279" s="918">
        <f>(ED278/EC278-1)*4</f>
        <v>-2.8311425682507441E-2</v>
      </c>
      <c r="EE279" s="233">
        <f>(EE278/ED278-1)*4</f>
        <v>-3.6659877800407248E-2</v>
      </c>
      <c r="EF279" s="122">
        <f>(EF278/EA278-1)</f>
        <v>-1.7109671421559391E-2</v>
      </c>
      <c r="EG279" s="233">
        <f>(EG278/EE278-1)*4</f>
        <v>-4.1109969167523186E-2</v>
      </c>
      <c r="EH279" s="233">
        <f>(EH278/EG278-1)*4</f>
        <v>-4.5690550363447713E-2</v>
      </c>
      <c r="EI279" s="918">
        <f>(EI278/EH278-1)*4</f>
        <v>-3.7815126050420034E-2</v>
      </c>
      <c r="EJ279" s="233">
        <f>(EJ278/EI278-1)*4</f>
        <v>-3.3934252386002228E-2</v>
      </c>
      <c r="EK279" s="122">
        <f>(EK278/EF278-1)</f>
        <v>-3.6331300813008172E-2</v>
      </c>
      <c r="EL279" s="233">
        <f>(EL278/EJ278-1)*4</f>
        <v>-2.5668449197861154E-2</v>
      </c>
      <c r="EM279" s="233">
        <f>(EM278/EL278-1)*4</f>
        <v>-2.1528525296017342E-2</v>
      </c>
      <c r="EN279" s="918">
        <f>(EN278/EM278-1)*4</f>
        <v>-7.7922077922077726E-2</v>
      </c>
      <c r="EO279" s="233">
        <f>(EO278/EN278-1)*4</f>
        <v>-4.415011037527572E-2</v>
      </c>
      <c r="EP279" s="122">
        <f>(EP278/EK278-1)</f>
        <v>-3.6382810440284685E-2</v>
      </c>
      <c r="EQ279" s="233">
        <f>(EQ278/EO278-1)*4</f>
        <v>-3.5714285714285587E-2</v>
      </c>
      <c r="ER279" s="1163">
        <v>-9.5000000000000001E-2</v>
      </c>
      <c r="ES279" s="1163">
        <f t="shared" ref="ES279:ET279" si="1364">+ER279</f>
        <v>-9.5000000000000001E-2</v>
      </c>
      <c r="ET279" s="1163">
        <f t="shared" si="1364"/>
        <v>-9.5000000000000001E-2</v>
      </c>
      <c r="EU279" s="122">
        <f>(EU278/EP278-1)</f>
        <v>-6.2256729433139535E-2</v>
      </c>
      <c r="EV279" s="1163">
        <v>-0.08</v>
      </c>
      <c r="EW279" s="1163">
        <v>-0.03</v>
      </c>
      <c r="EX279" s="1163">
        <f t="shared" ref="EX279:EY279" si="1365">+EW279</f>
        <v>-0.03</v>
      </c>
      <c r="EY279" s="1163">
        <f t="shared" si="1365"/>
        <v>-0.03</v>
      </c>
      <c r="EZ279" s="122">
        <f>(EZ278/EU278-1)</f>
        <v>-6.5623316670744503E-2</v>
      </c>
      <c r="FA279" s="123"/>
      <c r="FB279" s="123"/>
      <c r="FC279" s="123"/>
      <c r="FD279" s="123"/>
      <c r="FE279" s="124">
        <v>-0.03</v>
      </c>
      <c r="FG279" s="494"/>
      <c r="FH279" s="814"/>
      <c r="FI279" s="814"/>
      <c r="FJ279" s="814"/>
      <c r="FK279" s="257"/>
      <c r="FL279" s="1382"/>
      <c r="FM279" s="1600">
        <f t="shared" si="1314"/>
        <v>-3.5714285714285587E-2</v>
      </c>
      <c r="FN279" s="1491">
        <f t="shared" si="1303"/>
        <v>-2.5668449197861154E-2</v>
      </c>
      <c r="FO279" s="1899">
        <v>-0.06</v>
      </c>
      <c r="FP279" s="1784"/>
      <c r="FQ279" s="1982">
        <f>+(FM279-FO279)</f>
        <v>2.428571428571441E-2</v>
      </c>
      <c r="FR279" s="1615"/>
      <c r="FS279" s="1615"/>
      <c r="FT279" s="451"/>
      <c r="FU279" s="451"/>
      <c r="FV279" s="451"/>
      <c r="FW279" s="451"/>
      <c r="FX279" s="451"/>
      <c r="FY279" s="451"/>
      <c r="FZ279" s="494"/>
      <c r="GA279"/>
      <c r="GB279"/>
      <c r="GC279"/>
      <c r="GD279"/>
      <c r="GE279"/>
      <c r="GF279"/>
      <c r="GG279"/>
      <c r="GH279"/>
      <c r="GI279"/>
      <c r="GJ279"/>
      <c r="GK279"/>
      <c r="GL279"/>
      <c r="GM279"/>
      <c r="GN279"/>
      <c r="GO279"/>
      <c r="GP279"/>
      <c r="GQ279"/>
      <c r="GR279"/>
      <c r="GS279"/>
      <c r="GT279"/>
      <c r="GU279"/>
      <c r="GV279"/>
      <c r="GW279"/>
      <c r="GX279"/>
      <c r="GY279"/>
      <c r="GZ279"/>
      <c r="HA279"/>
      <c r="HB279"/>
      <c r="HC279"/>
      <c r="HD279"/>
      <c r="HE279"/>
      <c r="HF279"/>
      <c r="HG279"/>
      <c r="HH279"/>
      <c r="HI279"/>
      <c r="HJ279"/>
      <c r="HK279"/>
      <c r="HL279"/>
      <c r="HM279"/>
      <c r="HN279"/>
      <c r="HO279"/>
      <c r="HP279"/>
      <c r="HQ279"/>
      <c r="HR279"/>
      <c r="HS279"/>
      <c r="HT279"/>
      <c r="HU279"/>
      <c r="HV279"/>
      <c r="HW279"/>
      <c r="HX279"/>
      <c r="HY279"/>
      <c r="HZ279"/>
      <c r="IA279"/>
      <c r="IB279"/>
      <c r="IC279"/>
      <c r="ID279"/>
      <c r="IE279"/>
      <c r="IF279"/>
      <c r="IG279"/>
      <c r="IH279"/>
      <c r="II279"/>
      <c r="IJ279"/>
      <c r="IK279"/>
      <c r="IL279"/>
      <c r="IM279"/>
      <c r="IN279"/>
      <c r="IO279"/>
      <c r="IP279"/>
      <c r="IQ279"/>
      <c r="IR279"/>
      <c r="IS279"/>
      <c r="IT279"/>
      <c r="IU279"/>
      <c r="IV279"/>
      <c r="IW279"/>
      <c r="IX279"/>
    </row>
    <row r="280" spans="1:258" s="371" customFormat="1" ht="12" customHeight="1" x14ac:dyDescent="0.2">
      <c r="A280" s="366"/>
      <c r="B280" s="367"/>
      <c r="C280" s="367"/>
      <c r="D280" s="367"/>
      <c r="E280" s="368"/>
      <c r="F280" s="369"/>
      <c r="G280" s="367"/>
      <c r="H280" s="367"/>
      <c r="I280" s="367"/>
      <c r="J280" s="368"/>
      <c r="K280" s="369"/>
      <c r="L280" s="367"/>
      <c r="M280" s="367"/>
      <c r="N280" s="367"/>
      <c r="O280" s="368"/>
      <c r="P280" s="369"/>
      <c r="Q280" s="367"/>
      <c r="R280" s="367"/>
      <c r="S280" s="367"/>
      <c r="T280" s="367"/>
      <c r="U280" s="369"/>
      <c r="V280" s="367"/>
      <c r="W280" s="367"/>
      <c r="X280" s="367"/>
      <c r="Y280" s="367"/>
      <c r="Z280" s="369"/>
      <c r="AA280" s="367"/>
      <c r="AB280" s="367"/>
      <c r="AC280" s="367"/>
      <c r="AD280" s="367"/>
      <c r="AE280" s="369"/>
      <c r="AF280" s="367"/>
      <c r="AG280" s="367"/>
      <c r="AH280" s="367"/>
      <c r="AI280" s="367"/>
      <c r="AJ280" s="369"/>
      <c r="AK280" s="367"/>
      <c r="AL280" s="367"/>
      <c r="AM280" s="367"/>
      <c r="AN280" s="367"/>
      <c r="AO280" s="369"/>
      <c r="AP280" s="367"/>
      <c r="AQ280" s="367"/>
      <c r="AR280" s="367"/>
      <c r="AS280" s="367"/>
      <c r="AT280" s="369"/>
      <c r="AU280" s="367"/>
      <c r="AV280" s="367"/>
      <c r="AW280" s="367"/>
      <c r="AX280" s="367"/>
      <c r="AY280" s="369"/>
      <c r="AZ280" s="367"/>
      <c r="BA280" s="367"/>
      <c r="BB280" s="367"/>
      <c r="BC280" s="367"/>
      <c r="BD280" s="369"/>
      <c r="BE280" s="367"/>
      <c r="BF280" s="367"/>
      <c r="BG280" s="367"/>
      <c r="BH280" s="367"/>
      <c r="BI280" s="369"/>
      <c r="BJ280" s="367"/>
      <c r="BK280" s="367"/>
      <c r="BL280" s="367"/>
      <c r="BM280" s="367"/>
      <c r="BN280" s="369"/>
      <c r="BO280" s="367"/>
      <c r="BP280" s="367"/>
      <c r="BQ280" s="367"/>
      <c r="BR280" s="367"/>
      <c r="BS280" s="369"/>
      <c r="BT280" s="367"/>
      <c r="BU280" s="367"/>
      <c r="BV280" s="367"/>
      <c r="BW280" s="367"/>
      <c r="BX280" s="369"/>
      <c r="BY280" s="367"/>
      <c r="BZ280" s="367"/>
      <c r="CA280" s="367"/>
      <c r="CB280" s="367"/>
      <c r="CC280" s="369"/>
      <c r="CD280" s="710"/>
      <c r="CE280" s="367"/>
      <c r="CF280" s="367"/>
      <c r="CG280" s="367"/>
      <c r="CH280" s="369"/>
      <c r="CI280" s="710"/>
      <c r="CJ280" s="367"/>
      <c r="CK280" s="367"/>
      <c r="CL280" s="367"/>
      <c r="CM280" s="369"/>
      <c r="CN280" s="710"/>
      <c r="CO280" s="367"/>
      <c r="CP280" s="367"/>
      <c r="CQ280" s="367"/>
      <c r="CR280" s="369"/>
      <c r="CS280" s="710"/>
      <c r="CT280" s="367"/>
      <c r="CU280" s="367"/>
      <c r="CV280" s="367"/>
      <c r="CW280" s="369"/>
      <c r="CX280" s="710"/>
      <c r="CY280" s="367"/>
      <c r="CZ280" s="367"/>
      <c r="DA280" s="367"/>
      <c r="DB280" s="369"/>
      <c r="DC280" s="710"/>
      <c r="DD280" s="367"/>
      <c r="DE280" s="367"/>
      <c r="DF280" s="367"/>
      <c r="DG280" s="369"/>
      <c r="DH280" s="710"/>
      <c r="DI280" s="367"/>
      <c r="DJ280" s="367"/>
      <c r="DK280" s="367"/>
      <c r="DL280" s="369"/>
      <c r="DM280" s="710"/>
      <c r="DN280" s="367"/>
      <c r="DO280" s="367"/>
      <c r="DP280" s="367"/>
      <c r="DQ280" s="369"/>
      <c r="DR280" s="710"/>
      <c r="DS280" s="367"/>
      <c r="DT280" s="858"/>
      <c r="DU280" s="367"/>
      <c r="DV280" s="369"/>
      <c r="DW280" s="710"/>
      <c r="DX280" s="367"/>
      <c r="DY280" s="858"/>
      <c r="DZ280" s="367"/>
      <c r="EA280" s="369"/>
      <c r="EB280" s="710"/>
      <c r="EC280" s="367"/>
      <c r="ED280" s="858"/>
      <c r="EE280" s="367"/>
      <c r="EF280" s="369"/>
      <c r="EG280" s="710"/>
      <c r="EH280" s="367"/>
      <c r="EI280" s="858"/>
      <c r="EJ280" s="367"/>
      <c r="EK280" s="369"/>
      <c r="EL280" s="710"/>
      <c r="EM280" s="367"/>
      <c r="EN280" s="858"/>
      <c r="EO280" s="367"/>
      <c r="EP280" s="369"/>
      <c r="EQ280" s="710"/>
      <c r="ER280" s="370"/>
      <c r="ES280" s="370"/>
      <c r="ET280" s="370"/>
      <c r="EU280" s="369"/>
      <c r="EV280" s="370"/>
      <c r="EW280" s="370"/>
      <c r="EX280" s="370"/>
      <c r="EY280" s="370"/>
      <c r="EZ280" s="369"/>
      <c r="FA280" s="370"/>
      <c r="FB280" s="370"/>
      <c r="FC280" s="370"/>
      <c r="FD280" s="370"/>
      <c r="FE280" s="369"/>
      <c r="FG280" s="494"/>
      <c r="FH280" s="815"/>
      <c r="FI280" s="838"/>
      <c r="FJ280" s="838"/>
      <c r="FK280" s="1322"/>
      <c r="FL280" s="1383"/>
      <c r="FM280" s="370"/>
      <c r="FN280" s="1492"/>
      <c r="FO280" s="1900"/>
      <c r="FP280" s="1785"/>
      <c r="FQ280" s="746"/>
      <c r="FR280" s="1297"/>
      <c r="FS280" s="1297"/>
      <c r="FT280" s="451"/>
      <c r="FU280" s="451"/>
      <c r="FV280" s="451"/>
      <c r="FW280" s="451"/>
      <c r="FX280" s="451"/>
      <c r="FY280" s="451"/>
      <c r="FZ280" s="494"/>
      <c r="GA280"/>
      <c r="GB280"/>
      <c r="GC280"/>
      <c r="GD280"/>
      <c r="GE280"/>
      <c r="GF280"/>
      <c r="GG280"/>
      <c r="GH280"/>
      <c r="GI280"/>
      <c r="GJ280"/>
      <c r="GK280"/>
      <c r="GL280"/>
      <c r="GM280"/>
      <c r="GN280"/>
      <c r="GO280"/>
      <c r="GP280"/>
      <c r="GQ280"/>
      <c r="GR280"/>
      <c r="GS280"/>
      <c r="GT280"/>
      <c r="GU280"/>
      <c r="GV280"/>
      <c r="GW280"/>
      <c r="GX280"/>
      <c r="GY280"/>
      <c r="GZ280"/>
      <c r="HA280"/>
      <c r="HB280"/>
      <c r="HC280"/>
      <c r="HD280"/>
      <c r="HE280"/>
      <c r="HF280"/>
      <c r="HG280"/>
      <c r="HH280"/>
      <c r="HI280"/>
      <c r="HJ280"/>
      <c r="HK280"/>
      <c r="HL280"/>
      <c r="HM280"/>
      <c r="HN280"/>
      <c r="HO280"/>
      <c r="HP280"/>
      <c r="HQ280"/>
      <c r="HR280"/>
      <c r="HS280"/>
      <c r="HT280"/>
      <c r="HU280"/>
      <c r="HV280"/>
      <c r="HW280"/>
      <c r="HX280"/>
      <c r="HY280"/>
      <c r="HZ280"/>
      <c r="IA280"/>
      <c r="IB280"/>
      <c r="IC280"/>
      <c r="ID280"/>
      <c r="IE280"/>
      <c r="IF280"/>
      <c r="IG280"/>
      <c r="IH280"/>
      <c r="II280"/>
      <c r="IJ280"/>
      <c r="IK280"/>
      <c r="IL280"/>
      <c r="IM280"/>
      <c r="IN280"/>
      <c r="IO280"/>
      <c r="IP280"/>
      <c r="IQ280"/>
      <c r="IR280"/>
      <c r="IS280"/>
      <c r="IT280"/>
      <c r="IU280"/>
      <c r="IV280"/>
      <c r="IW280"/>
      <c r="IX280"/>
    </row>
    <row r="281" spans="1:258" s="257" customFormat="1" ht="12" customHeight="1" x14ac:dyDescent="0.2">
      <c r="A281" s="252" t="s">
        <v>504</v>
      </c>
      <c r="B281" s="253"/>
      <c r="C281" s="254"/>
      <c r="D281" s="254"/>
      <c r="E281" s="255"/>
      <c r="F281" s="256"/>
      <c r="G281" s="253"/>
      <c r="H281" s="254"/>
      <c r="I281" s="254"/>
      <c r="J281" s="255"/>
      <c r="K281" s="256"/>
      <c r="L281" s="253"/>
      <c r="M281" s="254"/>
      <c r="N281" s="254"/>
      <c r="O281" s="255"/>
      <c r="P281" s="256"/>
      <c r="Q281" s="253"/>
      <c r="R281" s="254"/>
      <c r="S281" s="254"/>
      <c r="T281" s="255"/>
      <c r="U281" s="256"/>
      <c r="V281" s="253"/>
      <c r="W281" s="254"/>
      <c r="X281" s="254"/>
      <c r="Y281" s="255"/>
      <c r="Z281" s="256"/>
      <c r="AA281" s="253"/>
      <c r="AB281" s="254"/>
      <c r="AC281" s="254"/>
      <c r="AD281" s="255"/>
      <c r="AE281" s="256"/>
      <c r="AF281" s="253"/>
      <c r="AG281" s="254"/>
      <c r="AH281" s="254"/>
      <c r="AI281" s="255"/>
      <c r="AJ281" s="256"/>
      <c r="AK281" s="253"/>
      <c r="AL281" s="254"/>
      <c r="AM281" s="254"/>
      <c r="AN281" s="255"/>
      <c r="AO281" s="256"/>
      <c r="AP281" s="253"/>
      <c r="AQ281" s="254"/>
      <c r="AR281" s="254"/>
      <c r="AS281" s="255"/>
      <c r="AT281" s="256"/>
      <c r="AU281" s="253"/>
      <c r="AV281" s="254"/>
      <c r="AW281" s="254"/>
      <c r="AX281" s="255"/>
      <c r="AY281" s="256"/>
      <c r="AZ281" s="253"/>
      <c r="BA281" s="254"/>
      <c r="BB281" s="254"/>
      <c r="BC281" s="255"/>
      <c r="BD281" s="256"/>
      <c r="BE281" s="253"/>
      <c r="BF281" s="254"/>
      <c r="BG281" s="254"/>
      <c r="BH281" s="255"/>
      <c r="BI281" s="256"/>
      <c r="BJ281" s="253"/>
      <c r="BK281" s="254"/>
      <c r="BL281" s="254"/>
      <c r="BM281" s="255"/>
      <c r="BN281" s="256"/>
      <c r="BO281" s="253"/>
      <c r="BP281" s="254"/>
      <c r="BQ281" s="254"/>
      <c r="BR281" s="255"/>
      <c r="BS281" s="256"/>
      <c r="BT281" s="253"/>
      <c r="BU281" s="254"/>
      <c r="BV281" s="254"/>
      <c r="BW281" s="255"/>
      <c r="BX281" s="256"/>
      <c r="BY281" s="253"/>
      <c r="BZ281" s="254"/>
      <c r="CA281" s="254"/>
      <c r="CB281" s="255"/>
      <c r="CC281" s="256"/>
      <c r="CD281" s="253"/>
      <c r="CE281" s="254"/>
      <c r="CF281" s="254"/>
      <c r="CG281" s="255"/>
      <c r="CH281" s="256"/>
      <c r="CI281" s="253"/>
      <c r="CJ281" s="254"/>
      <c r="CK281" s="254"/>
      <c r="CL281" s="255"/>
      <c r="CM281" s="256"/>
      <c r="CN281" s="253"/>
      <c r="CO281" s="254"/>
      <c r="CP281" s="254"/>
      <c r="CQ281" s="255"/>
      <c r="CR281" s="256"/>
      <c r="CS281" s="253"/>
      <c r="CT281" s="254"/>
      <c r="CU281" s="254"/>
      <c r="CV281" s="255"/>
      <c r="CW281" s="256"/>
      <c r="CX281" s="253"/>
      <c r="CY281" s="254"/>
      <c r="CZ281" s="254"/>
      <c r="DA281" s="255"/>
      <c r="DB281" s="256"/>
      <c r="DC281" s="253"/>
      <c r="DD281" s="254"/>
      <c r="DE281" s="254"/>
      <c r="DF281" s="254"/>
      <c r="DG281" s="256"/>
      <c r="DH281" s="254"/>
      <c r="DI281" s="254"/>
      <c r="DJ281" s="254"/>
      <c r="DK281" s="254"/>
      <c r="DL281" s="256"/>
      <c r="DM281" s="254"/>
      <c r="DN281" s="254"/>
      <c r="DO281" s="254"/>
      <c r="DP281" s="254"/>
      <c r="DQ281" s="256"/>
      <c r="DR281" s="253"/>
      <c r="DS281" s="253"/>
      <c r="DT281" s="253"/>
      <c r="DU281" s="254"/>
      <c r="DV281" s="256"/>
      <c r="DW281" s="253"/>
      <c r="DX281" s="253"/>
      <c r="DY281" s="253"/>
      <c r="DZ281" s="254"/>
      <c r="EA281" s="256"/>
      <c r="EB281" s="253"/>
      <c r="EC281" s="253"/>
      <c r="ED281" s="253"/>
      <c r="EE281" s="254"/>
      <c r="EF281" s="256"/>
      <c r="EG281" s="253"/>
      <c r="EH281" s="253"/>
      <c r="EI281" s="253"/>
      <c r="EJ281" s="254"/>
      <c r="EK281" s="256"/>
      <c r="EL281" s="253"/>
      <c r="EM281" s="253"/>
      <c r="EN281" s="253"/>
      <c r="EO281" s="254"/>
      <c r="EP281" s="256"/>
      <c r="EQ281" s="253"/>
      <c r="ER281" s="123"/>
      <c r="ES281" s="123"/>
      <c r="ET281" s="123"/>
      <c r="EU281" s="256"/>
      <c r="EV281" s="123"/>
      <c r="EW281" s="123"/>
      <c r="EX281" s="123"/>
      <c r="EY281" s="123"/>
      <c r="EZ281" s="256"/>
      <c r="FA281" s="123"/>
      <c r="FB281" s="123"/>
      <c r="FC281" s="123"/>
      <c r="FD281" s="123"/>
      <c r="FE281" s="256"/>
      <c r="FG281" s="494"/>
      <c r="FH281" s="814"/>
      <c r="FI281" s="816"/>
      <c r="FJ281" s="1925"/>
      <c r="FL281" s="1382"/>
      <c r="FM281" s="123"/>
      <c r="FN281" s="1493"/>
      <c r="FO281" s="1901"/>
      <c r="FP281" s="1784"/>
      <c r="FQ281" s="745"/>
      <c r="FR281" s="1297"/>
      <c r="FS281" s="1297"/>
      <c r="FT281" s="451"/>
      <c r="FU281" s="451"/>
      <c r="FV281" s="451"/>
      <c r="FW281" s="451"/>
      <c r="FX281" s="451"/>
      <c r="FY281" s="451"/>
      <c r="FZ281" s="494"/>
      <c r="GA281"/>
      <c r="GB281"/>
      <c r="GC281"/>
      <c r="GD281"/>
      <c r="GE281"/>
      <c r="GF281"/>
      <c r="GG281"/>
      <c r="GH281"/>
      <c r="GI281"/>
      <c r="GJ281"/>
      <c r="GK281"/>
      <c r="GL281"/>
      <c r="GM281"/>
      <c r="GN281"/>
      <c r="GO281"/>
      <c r="GP281"/>
      <c r="GQ281"/>
      <c r="GR281"/>
      <c r="GS281"/>
      <c r="GT281"/>
      <c r="GU281"/>
      <c r="GV281"/>
      <c r="GW281"/>
      <c r="GX281"/>
      <c r="GY281"/>
      <c r="GZ281"/>
      <c r="HA281"/>
      <c r="HB281"/>
      <c r="HC281"/>
      <c r="HD281"/>
      <c r="HE281"/>
      <c r="HF281"/>
      <c r="HG281"/>
      <c r="HH281"/>
      <c r="HI281"/>
      <c r="HJ281"/>
      <c r="HK281"/>
      <c r="HL281"/>
      <c r="HM281"/>
      <c r="HN281"/>
      <c r="HO281"/>
      <c r="HP281"/>
      <c r="HQ281"/>
      <c r="HR281"/>
      <c r="HS281"/>
      <c r="HT281"/>
      <c r="HU281"/>
      <c r="HV281"/>
      <c r="HW281"/>
      <c r="HX281"/>
      <c r="HY281"/>
      <c r="HZ281"/>
      <c r="IA281"/>
      <c r="IB281"/>
      <c r="IC281"/>
      <c r="ID281"/>
      <c r="IE281"/>
      <c r="IF281"/>
      <c r="IG281"/>
      <c r="IH281"/>
      <c r="II281"/>
      <c r="IJ281"/>
      <c r="IK281"/>
      <c r="IL281"/>
      <c r="IM281"/>
      <c r="IN281"/>
      <c r="IO281"/>
      <c r="IP281"/>
      <c r="IQ281"/>
      <c r="IR281"/>
      <c r="IS281"/>
      <c r="IT281"/>
      <c r="IU281"/>
      <c r="IV281"/>
      <c r="IW281"/>
      <c r="IX281"/>
    </row>
    <row r="282" spans="1:258" s="176" customFormat="1" x14ac:dyDescent="0.2">
      <c r="A282" s="258" t="s">
        <v>95</v>
      </c>
      <c r="F282" s="259"/>
      <c r="K282" s="259"/>
      <c r="P282" s="259"/>
      <c r="U282" s="259">
        <f t="shared" ref="U282:U287" si="1366">SUM(Q282:T282)</f>
        <v>0</v>
      </c>
      <c r="Z282" s="259">
        <f t="shared" ref="Z282:Z287" si="1367">SUM(V282:Y282)</f>
        <v>0</v>
      </c>
      <c r="AE282" s="259">
        <f t="shared" ref="AE282:AE287" si="1368">SUM(AA282:AD282)</f>
        <v>0</v>
      </c>
      <c r="AJ282" s="259">
        <f t="shared" ref="AJ282:AJ287" si="1369">SUM(AF282:AI282)</f>
        <v>0</v>
      </c>
      <c r="AO282" s="259">
        <f t="shared" ref="AO282:AO287" si="1370">SUM(AK282:AN282)</f>
        <v>0</v>
      </c>
      <c r="AT282" s="259">
        <f t="shared" ref="AT282:AT287" si="1371">SUM(AP282:AS282)</f>
        <v>0</v>
      </c>
      <c r="AY282" s="259">
        <f t="shared" ref="AY282:AY287" si="1372">SUM(AU282:AX282)</f>
        <v>0</v>
      </c>
      <c r="BD282" s="259">
        <f t="shared" ref="BD282:BD287" si="1373">SUM(AZ282:BC282)</f>
        <v>0</v>
      </c>
      <c r="BI282" s="259">
        <v>24</v>
      </c>
      <c r="BJ282" s="176">
        <v>-83</v>
      </c>
      <c r="BM282" s="176">
        <v>-60</v>
      </c>
      <c r="BN282" s="259">
        <f t="shared" ref="BN282:BN287" si="1374">SUM(BJ282:BM282)</f>
        <v>-143</v>
      </c>
      <c r="BO282" s="176">
        <f>43/(1-BO$685)</f>
        <v>43</v>
      </c>
      <c r="BP282" s="176">
        <v>11</v>
      </c>
      <c r="BS282" s="259">
        <f t="shared" ref="BS282:BS287" si="1375">SUM(BO282:BR282)</f>
        <v>54</v>
      </c>
      <c r="BT282" s="176">
        <f>56.6/(1-BT$271)</f>
        <v>86.247619047619054</v>
      </c>
      <c r="BV282" s="176">
        <f>-145/(1-BV$271)</f>
        <v>-210.10951979780958</v>
      </c>
      <c r="BW282" s="176">
        <v>-34.4</v>
      </c>
      <c r="BX282" s="259">
        <f t="shared" ref="BX282:BX288" si="1376">SUM(BT282:BW282)</f>
        <v>-158.26190075019053</v>
      </c>
      <c r="BY282" s="176">
        <v>-53</v>
      </c>
      <c r="BZ282" s="176">
        <v>-15</v>
      </c>
      <c r="CA282" s="176">
        <v>-3</v>
      </c>
      <c r="CC282" s="259">
        <f t="shared" ref="CC282:CC287" si="1377">SUM(BY282:CB282)</f>
        <v>-71</v>
      </c>
      <c r="CD282" s="176">
        <v>683</v>
      </c>
      <c r="CE282" s="176">
        <v>-192</v>
      </c>
      <c r="CH282" s="259">
        <f t="shared" ref="CH282:CH287" si="1378">SUM(CD282:CG282)</f>
        <v>491</v>
      </c>
      <c r="CJ282" s="176">
        <v>126</v>
      </c>
      <c r="CK282" s="176">
        <v>15</v>
      </c>
      <c r="CL282" s="176">
        <v>27</v>
      </c>
      <c r="CM282" s="259">
        <f t="shared" ref="CM282:CM287" si="1379">SUM(CI282:CL282)</f>
        <v>168</v>
      </c>
      <c r="CN282" s="176">
        <v>18</v>
      </c>
      <c r="CP282" s="176">
        <v>1</v>
      </c>
      <c r="CQ282" s="176">
        <v>8</v>
      </c>
      <c r="CR282" s="259">
        <f t="shared" ref="CR282:CR287" si="1380">SUM(CN282:CQ282)</f>
        <v>27</v>
      </c>
      <c r="CS282" s="176">
        <v>30</v>
      </c>
      <c r="CW282" s="259">
        <f t="shared" ref="CW282:CW287" si="1381">SUM(CS282:CV282)</f>
        <v>30</v>
      </c>
      <c r="DB282" s="259">
        <f t="shared" ref="DB282:DB287" si="1382">SUM(CX282:DA282)</f>
        <v>0</v>
      </c>
      <c r="DG282" s="259">
        <f t="shared" ref="DG282:DG287" si="1383">SUM(DC282:DF282)</f>
        <v>0</v>
      </c>
      <c r="DL282" s="259">
        <f t="shared" ref="DL282:DL287" si="1384">SUM(DH282:DK282)</f>
        <v>0</v>
      </c>
      <c r="DQ282" s="259">
        <f t="shared" ref="DQ282:DQ287" si="1385">SUM(DM282:DP282)</f>
        <v>0</v>
      </c>
      <c r="DV282" s="259">
        <f t="shared" ref="DV282:DV287" si="1386">SUM(DR282:DU282)</f>
        <v>0</v>
      </c>
      <c r="EA282" s="259">
        <f t="shared" ref="EA282:EA287" si="1387">SUM(DW282:DZ282)</f>
        <v>0</v>
      </c>
      <c r="EF282" s="259">
        <f t="shared" ref="EF282:EF287" si="1388">SUM(EB282:EE282)</f>
        <v>0</v>
      </c>
      <c r="EK282" s="259">
        <f t="shared" ref="EK282:EK287" si="1389">SUM(EG282:EJ282)</f>
        <v>0</v>
      </c>
      <c r="EP282" s="259">
        <f t="shared" ref="EP282:EP287" si="1390">SUM(EL282:EO282)</f>
        <v>0</v>
      </c>
      <c r="EU282" s="259">
        <f t="shared" ref="EU282:EU287" si="1391">SUM(EQ282:ET282)</f>
        <v>0</v>
      </c>
      <c r="EW282" s="177"/>
      <c r="EZ282" s="259"/>
      <c r="FB282" s="177"/>
      <c r="FE282" s="259"/>
      <c r="FG282" s="494"/>
      <c r="FH282" s="816"/>
      <c r="FI282" s="816"/>
      <c r="FJ282" s="1925"/>
      <c r="FL282" s="1384"/>
      <c r="FN282" s="816"/>
      <c r="FO282" s="1786"/>
      <c r="FP282" s="1786"/>
      <c r="FQ282" s="747"/>
      <c r="FR282" s="1621"/>
      <c r="FS282" s="1621"/>
      <c r="FT282" s="452"/>
      <c r="FU282" s="452"/>
      <c r="FV282" s="452"/>
      <c r="FW282" s="452"/>
      <c r="FX282" s="452"/>
      <c r="FY282" s="452"/>
      <c r="FZ282" s="494"/>
      <c r="GA282"/>
      <c r="GB282"/>
      <c r="GC282"/>
      <c r="GD282"/>
      <c r="GE282"/>
      <c r="GF282"/>
      <c r="GG282"/>
      <c r="GH282"/>
      <c r="GI282"/>
      <c r="GJ282"/>
      <c r="GK282"/>
      <c r="GL282"/>
      <c r="GM282"/>
      <c r="GN282"/>
      <c r="GO282"/>
      <c r="GP282"/>
      <c r="GQ282"/>
      <c r="GR282"/>
      <c r="GS282"/>
      <c r="GT282"/>
      <c r="GU282"/>
      <c r="GV282"/>
      <c r="GW282"/>
      <c r="GX282"/>
      <c r="GY282"/>
      <c r="GZ282"/>
      <c r="HA282"/>
      <c r="HB282"/>
      <c r="HC282"/>
      <c r="HD282"/>
      <c r="HE282"/>
      <c r="HF282"/>
      <c r="HG282"/>
      <c r="HH282"/>
      <c r="HI282"/>
      <c r="HJ282"/>
      <c r="HK282"/>
      <c r="HL282"/>
      <c r="HM282"/>
      <c r="HN282"/>
      <c r="HO282"/>
      <c r="HP282"/>
      <c r="HQ282"/>
      <c r="HR282"/>
      <c r="HS282"/>
      <c r="HT282"/>
      <c r="HU282"/>
      <c r="HV282"/>
      <c r="HW282"/>
      <c r="HX282"/>
      <c r="HY282"/>
      <c r="HZ282"/>
      <c r="IA282"/>
      <c r="IB282"/>
      <c r="IC282"/>
      <c r="ID282"/>
      <c r="IE282"/>
      <c r="IF282"/>
      <c r="IG282"/>
      <c r="IH282"/>
      <c r="II282"/>
      <c r="IJ282"/>
      <c r="IK282"/>
      <c r="IL282"/>
      <c r="IM282"/>
      <c r="IN282"/>
      <c r="IO282"/>
      <c r="IP282"/>
      <c r="IQ282"/>
      <c r="IR282"/>
      <c r="IS282"/>
      <c r="IT282"/>
      <c r="IU282"/>
      <c r="IV282"/>
      <c r="IW282"/>
      <c r="IX282"/>
    </row>
    <row r="283" spans="1:258" s="176" customFormat="1" x14ac:dyDescent="0.2">
      <c r="A283" s="258" t="s">
        <v>253</v>
      </c>
      <c r="F283" s="259"/>
      <c r="K283" s="259"/>
      <c r="P283" s="259"/>
      <c r="U283" s="259">
        <f t="shared" si="1366"/>
        <v>0</v>
      </c>
      <c r="Z283" s="259">
        <f t="shared" si="1367"/>
        <v>0</v>
      </c>
      <c r="AE283" s="259">
        <f t="shared" si="1368"/>
        <v>0</v>
      </c>
      <c r="AJ283" s="259">
        <f t="shared" si="1369"/>
        <v>0</v>
      </c>
      <c r="AO283" s="259">
        <f t="shared" si="1370"/>
        <v>0</v>
      </c>
      <c r="AT283" s="259">
        <f t="shared" si="1371"/>
        <v>0</v>
      </c>
      <c r="AY283" s="259">
        <f t="shared" si="1372"/>
        <v>0</v>
      </c>
      <c r="BD283" s="259">
        <f t="shared" si="1373"/>
        <v>0</v>
      </c>
      <c r="BI283" s="259">
        <v>570</v>
      </c>
      <c r="BJ283" s="176">
        <v>14</v>
      </c>
      <c r="BN283" s="259">
        <f t="shared" si="1374"/>
        <v>14</v>
      </c>
      <c r="BS283" s="259">
        <f t="shared" si="1375"/>
        <v>0</v>
      </c>
      <c r="BV283" s="176">
        <f>(-67/(1-BV$271))-10</f>
        <v>-107.08508845829823</v>
      </c>
      <c r="BW283" s="176">
        <v>21.5</v>
      </c>
      <c r="BX283" s="259">
        <f t="shared" si="1376"/>
        <v>-85.58508845829823</v>
      </c>
      <c r="CC283" s="259">
        <f t="shared" si="1377"/>
        <v>0</v>
      </c>
      <c r="CE283" s="176">
        <f>71+17</f>
        <v>88</v>
      </c>
      <c r="CH283" s="259">
        <f t="shared" si="1378"/>
        <v>88</v>
      </c>
      <c r="CJ283" s="176">
        <v>41</v>
      </c>
      <c r="CK283" s="176">
        <v>69</v>
      </c>
      <c r="CL283" s="176">
        <f>41+26</f>
        <v>67</v>
      </c>
      <c r="CM283" s="259">
        <f t="shared" si="1379"/>
        <v>177</v>
      </c>
      <c r="CR283" s="259">
        <f t="shared" si="1380"/>
        <v>0</v>
      </c>
      <c r="CS283" s="176">
        <v>2</v>
      </c>
      <c r="CV283" s="176">
        <v>-165.52</v>
      </c>
      <c r="CW283" s="259">
        <f t="shared" si="1381"/>
        <v>-163.52000000000001</v>
      </c>
      <c r="DB283" s="259">
        <f t="shared" si="1382"/>
        <v>0</v>
      </c>
      <c r="DG283" s="259">
        <f t="shared" si="1383"/>
        <v>0</v>
      </c>
      <c r="DL283" s="259">
        <f t="shared" si="1384"/>
        <v>0</v>
      </c>
      <c r="DQ283" s="259">
        <f t="shared" si="1385"/>
        <v>0</v>
      </c>
      <c r="DV283" s="259">
        <f t="shared" si="1386"/>
        <v>0</v>
      </c>
      <c r="EA283" s="259">
        <f t="shared" si="1387"/>
        <v>0</v>
      </c>
      <c r="EF283" s="259">
        <f t="shared" si="1388"/>
        <v>0</v>
      </c>
      <c r="EK283" s="259">
        <f t="shared" si="1389"/>
        <v>0</v>
      </c>
      <c r="EP283" s="259">
        <f t="shared" si="1390"/>
        <v>0</v>
      </c>
      <c r="EU283" s="259">
        <f t="shared" si="1391"/>
        <v>0</v>
      </c>
      <c r="EW283" s="177"/>
      <c r="EZ283" s="259"/>
      <c r="FB283" s="177"/>
      <c r="FE283" s="259"/>
      <c r="FG283" s="494"/>
      <c r="FH283" s="816"/>
      <c r="FI283" s="816"/>
      <c r="FJ283" s="1925"/>
      <c r="FL283" s="1384"/>
      <c r="FN283" s="816"/>
      <c r="FO283" s="1786"/>
      <c r="FP283" s="1786"/>
      <c r="FQ283" s="747"/>
      <c r="FR283" s="1621"/>
      <c r="FS283" s="1621"/>
      <c r="FT283" s="452"/>
      <c r="FU283" s="452"/>
      <c r="FV283" s="452"/>
      <c r="FW283" s="452"/>
      <c r="FX283" s="452"/>
      <c r="FY283" s="452"/>
      <c r="FZ283" s="494"/>
      <c r="GA283"/>
      <c r="GB283"/>
      <c r="GC283"/>
      <c r="GD283"/>
      <c r="GE283"/>
      <c r="GF283"/>
      <c r="GG283"/>
      <c r="GH283"/>
      <c r="GI283"/>
      <c r="GJ283"/>
      <c r="GK283"/>
      <c r="GL283"/>
      <c r="GM283"/>
      <c r="GN283"/>
      <c r="GO283"/>
      <c r="GP283"/>
      <c r="GQ283"/>
      <c r="GR283"/>
      <c r="GS283"/>
      <c r="GT283"/>
      <c r="GU283"/>
      <c r="GV283"/>
      <c r="GW283"/>
      <c r="GX283"/>
      <c r="GY283"/>
      <c r="GZ283"/>
      <c r="HA283"/>
      <c r="HB283"/>
      <c r="HC283"/>
      <c r="HD283"/>
      <c r="HE283"/>
      <c r="HF283"/>
      <c r="HG283"/>
      <c r="HH283"/>
      <c r="HI283"/>
      <c r="HJ283"/>
      <c r="HK283"/>
      <c r="HL283"/>
      <c r="HM283"/>
      <c r="HN283"/>
      <c r="HO283"/>
      <c r="HP283"/>
      <c r="HQ283"/>
      <c r="HR283"/>
      <c r="HS283"/>
      <c r="HT283"/>
      <c r="HU283"/>
      <c r="HV283"/>
      <c r="HW283"/>
      <c r="HX283"/>
      <c r="HY283"/>
      <c r="HZ283"/>
      <c r="IA283"/>
      <c r="IB283"/>
      <c r="IC283"/>
      <c r="ID283"/>
      <c r="IE283"/>
      <c r="IF283"/>
      <c r="IG283"/>
      <c r="IH283"/>
      <c r="II283"/>
      <c r="IJ283"/>
      <c r="IK283"/>
      <c r="IL283"/>
      <c r="IM283"/>
      <c r="IN283"/>
      <c r="IO283"/>
      <c r="IP283"/>
      <c r="IQ283"/>
      <c r="IR283"/>
      <c r="IS283"/>
      <c r="IT283"/>
      <c r="IU283"/>
      <c r="IV283"/>
      <c r="IW283"/>
      <c r="IX283"/>
    </row>
    <row r="284" spans="1:258" s="176" customFormat="1" x14ac:dyDescent="0.2">
      <c r="A284" s="258" t="s">
        <v>475</v>
      </c>
      <c r="F284" s="259"/>
      <c r="K284" s="259"/>
      <c r="P284" s="259"/>
      <c r="U284" s="259">
        <f t="shared" si="1366"/>
        <v>0</v>
      </c>
      <c r="Z284" s="259">
        <f t="shared" si="1367"/>
        <v>0</v>
      </c>
      <c r="AE284" s="259">
        <f t="shared" si="1368"/>
        <v>0</v>
      </c>
      <c r="AJ284" s="259">
        <f t="shared" si="1369"/>
        <v>0</v>
      </c>
      <c r="AO284" s="259">
        <f t="shared" si="1370"/>
        <v>0</v>
      </c>
      <c r="AT284" s="259">
        <f t="shared" si="1371"/>
        <v>0</v>
      </c>
      <c r="AY284" s="259">
        <f t="shared" si="1372"/>
        <v>0</v>
      </c>
      <c r="BD284" s="259">
        <f t="shared" si="1373"/>
        <v>0</v>
      </c>
      <c r="BI284" s="259">
        <f>SUM(BE284:BH284)</f>
        <v>0</v>
      </c>
      <c r="BN284" s="259">
        <f t="shared" si="1374"/>
        <v>0</v>
      </c>
      <c r="BS284" s="259">
        <f t="shared" si="1375"/>
        <v>0</v>
      </c>
      <c r="BX284" s="259">
        <f t="shared" si="1376"/>
        <v>0</v>
      </c>
      <c r="CC284" s="259">
        <f t="shared" si="1377"/>
        <v>0</v>
      </c>
      <c r="CH284" s="259">
        <f t="shared" si="1378"/>
        <v>0</v>
      </c>
      <c r="CM284" s="259">
        <f t="shared" si="1379"/>
        <v>0</v>
      </c>
      <c r="CR284" s="259">
        <f t="shared" si="1380"/>
        <v>0</v>
      </c>
      <c r="CW284" s="259">
        <f t="shared" si="1381"/>
        <v>0</v>
      </c>
      <c r="DB284" s="259">
        <f t="shared" si="1382"/>
        <v>0</v>
      </c>
      <c r="DG284" s="259">
        <f t="shared" si="1383"/>
        <v>0</v>
      </c>
      <c r="DL284" s="259">
        <f t="shared" si="1384"/>
        <v>0</v>
      </c>
      <c r="DQ284" s="259">
        <f t="shared" si="1385"/>
        <v>0</v>
      </c>
      <c r="DV284" s="259">
        <f t="shared" si="1386"/>
        <v>0</v>
      </c>
      <c r="EA284" s="259">
        <f t="shared" si="1387"/>
        <v>0</v>
      </c>
      <c r="EF284" s="259">
        <f t="shared" si="1388"/>
        <v>0</v>
      </c>
      <c r="EK284" s="259">
        <f t="shared" si="1389"/>
        <v>0</v>
      </c>
      <c r="EP284" s="259">
        <f t="shared" si="1390"/>
        <v>0</v>
      </c>
      <c r="EU284" s="259">
        <f t="shared" si="1391"/>
        <v>0</v>
      </c>
      <c r="EW284" s="177"/>
      <c r="EZ284" s="259"/>
      <c r="FB284" s="177"/>
      <c r="FE284" s="259"/>
      <c r="FG284" s="494"/>
      <c r="FH284" s="816"/>
      <c r="FI284" s="816"/>
      <c r="FJ284" s="1925"/>
      <c r="FL284" s="1384"/>
      <c r="FN284" s="816"/>
      <c r="FO284" s="1786"/>
      <c r="FP284" s="1786"/>
      <c r="FQ284" s="747"/>
      <c r="FR284" s="1621"/>
      <c r="FS284" s="1621"/>
      <c r="FT284" s="452"/>
      <c r="FU284" s="452"/>
      <c r="FV284" s="452"/>
      <c r="FW284" s="452"/>
      <c r="FX284" s="452"/>
      <c r="FY284" s="452"/>
      <c r="FZ284" s="494"/>
      <c r="GA284"/>
      <c r="GB284"/>
      <c r="GC284"/>
      <c r="GD284"/>
      <c r="GE284"/>
      <c r="GF284"/>
      <c r="GG284"/>
      <c r="GH284"/>
      <c r="GI284"/>
      <c r="GJ284"/>
      <c r="GK284"/>
      <c r="GL284"/>
      <c r="GM284"/>
      <c r="GN284"/>
      <c r="GO284"/>
      <c r="GP284"/>
      <c r="GQ284"/>
      <c r="GR284"/>
      <c r="GS284"/>
      <c r="GT284"/>
      <c r="GU284"/>
      <c r="GV284"/>
      <c r="GW284"/>
      <c r="GX284"/>
      <c r="GY284"/>
      <c r="GZ284"/>
      <c r="HA284"/>
      <c r="HB284"/>
      <c r="HC284"/>
      <c r="HD284"/>
      <c r="HE284"/>
      <c r="HF284"/>
      <c r="HG284"/>
      <c r="HH284"/>
      <c r="HI284"/>
      <c r="HJ284"/>
      <c r="HK284"/>
      <c r="HL284"/>
      <c r="HM284"/>
      <c r="HN284"/>
      <c r="HO284"/>
      <c r="HP284"/>
      <c r="HQ284"/>
      <c r="HR284"/>
      <c r="HS284"/>
      <c r="HT284"/>
      <c r="HU284"/>
      <c r="HV284"/>
      <c r="HW284"/>
      <c r="HX284"/>
      <c r="HY284"/>
      <c r="HZ284"/>
      <c r="IA284"/>
      <c r="IB284"/>
      <c r="IC284"/>
      <c r="ID284"/>
      <c r="IE284"/>
      <c r="IF284"/>
      <c r="IG284"/>
      <c r="IH284"/>
      <c r="II284"/>
      <c r="IJ284"/>
      <c r="IK284"/>
      <c r="IL284"/>
      <c r="IM284"/>
      <c r="IN284"/>
      <c r="IO284"/>
      <c r="IP284"/>
      <c r="IQ284"/>
      <c r="IR284"/>
      <c r="IS284"/>
      <c r="IT284"/>
      <c r="IU284"/>
      <c r="IV284"/>
      <c r="IW284"/>
      <c r="IX284"/>
    </row>
    <row r="285" spans="1:258" s="176" customFormat="1" x14ac:dyDescent="0.2">
      <c r="A285" s="258" t="s">
        <v>119</v>
      </c>
      <c r="F285" s="259"/>
      <c r="K285" s="259"/>
      <c r="P285" s="259"/>
      <c r="U285" s="259">
        <f t="shared" si="1366"/>
        <v>0</v>
      </c>
      <c r="Z285" s="259">
        <f t="shared" si="1367"/>
        <v>0</v>
      </c>
      <c r="AE285" s="259">
        <f t="shared" si="1368"/>
        <v>0</v>
      </c>
      <c r="AJ285" s="259">
        <f t="shared" si="1369"/>
        <v>0</v>
      </c>
      <c r="AO285" s="259">
        <f t="shared" si="1370"/>
        <v>0</v>
      </c>
      <c r="AT285" s="259">
        <f t="shared" si="1371"/>
        <v>0</v>
      </c>
      <c r="AY285" s="259">
        <f t="shared" si="1372"/>
        <v>0</v>
      </c>
      <c r="BD285" s="259">
        <f t="shared" si="1373"/>
        <v>0</v>
      </c>
      <c r="BI285" s="259">
        <v>369</v>
      </c>
      <c r="BJ285" s="176">
        <f>14</f>
        <v>14</v>
      </c>
      <c r="BM285" s="176">
        <v>-37</v>
      </c>
      <c r="BN285" s="259">
        <f t="shared" si="1374"/>
        <v>-23</v>
      </c>
      <c r="BO285" s="176">
        <v>-43</v>
      </c>
      <c r="BP285" s="176">
        <f>BP282*(1-BP271)</f>
        <v>7.105555555555557</v>
      </c>
      <c r="BS285" s="259">
        <f t="shared" si="1375"/>
        <v>-35.894444444444446</v>
      </c>
      <c r="BT285" s="176">
        <v>56.5</v>
      </c>
      <c r="BV285" s="176">
        <f>-145-67.4-6.7</f>
        <v>-219.1</v>
      </c>
      <c r="BW285" s="176">
        <f>-21.4+13.5</f>
        <v>-7.8999999999999986</v>
      </c>
      <c r="BX285" s="259">
        <f t="shared" si="1376"/>
        <v>-170.5</v>
      </c>
      <c r="BY285" s="176">
        <v>-37</v>
      </c>
      <c r="BZ285" s="176">
        <v>-9.4</v>
      </c>
      <c r="CA285" s="176">
        <v>14</v>
      </c>
      <c r="CB285" s="176">
        <v>-92.5</v>
      </c>
      <c r="CC285" s="259">
        <f t="shared" si="1377"/>
        <v>-124.9</v>
      </c>
      <c r="CD285" s="176">
        <v>426</v>
      </c>
      <c r="CE285" s="176">
        <f>(-123+71)+17*(1-CE271)</f>
        <v>-41.464071856287426</v>
      </c>
      <c r="CG285" s="176">
        <f>SUM(CG282:CG284)*(1-CG259)</f>
        <v>0</v>
      </c>
      <c r="CH285" s="259">
        <f t="shared" si="1378"/>
        <v>384.53592814371257</v>
      </c>
      <c r="CJ285" s="176">
        <f>78+41-0.7</f>
        <v>118.3</v>
      </c>
      <c r="CK285" s="176">
        <f>9.3+69</f>
        <v>78.3</v>
      </c>
      <c r="CL285" s="176">
        <f>17+41+26</f>
        <v>84</v>
      </c>
      <c r="CM285" s="259">
        <f t="shared" si="1379"/>
        <v>280.60000000000002</v>
      </c>
      <c r="CN285" s="176">
        <v>11</v>
      </c>
      <c r="CP285" s="176">
        <v>109</v>
      </c>
      <c r="CQ285" s="176">
        <f>CQ282*(1-36%)</f>
        <v>5.12</v>
      </c>
      <c r="CR285" s="259">
        <f t="shared" si="1380"/>
        <v>125.12</v>
      </c>
      <c r="CS285" s="176">
        <f>351-CS273</f>
        <v>19.234875444839872</v>
      </c>
      <c r="CT285" s="176">
        <v>17.600000000000001</v>
      </c>
      <c r="CV285" s="176">
        <v>-107.8</v>
      </c>
      <c r="CW285" s="259">
        <f t="shared" si="1381"/>
        <v>-70.965124555160116</v>
      </c>
      <c r="DB285" s="259">
        <f t="shared" si="1382"/>
        <v>0</v>
      </c>
      <c r="DG285" s="259">
        <f t="shared" si="1383"/>
        <v>0</v>
      </c>
      <c r="DL285" s="259">
        <f t="shared" si="1384"/>
        <v>0</v>
      </c>
      <c r="DQ285" s="259">
        <f t="shared" si="1385"/>
        <v>0</v>
      </c>
      <c r="DR285" s="176">
        <v>38</v>
      </c>
      <c r="DS285" s="176">
        <v>43</v>
      </c>
      <c r="DT285" s="176">
        <v>35</v>
      </c>
      <c r="DV285" s="259">
        <f t="shared" si="1386"/>
        <v>116</v>
      </c>
      <c r="DW285" s="176">
        <v>55</v>
      </c>
      <c r="DX285" s="176">
        <v>-4</v>
      </c>
      <c r="DY285" s="176">
        <v>16.490000000000087</v>
      </c>
      <c r="DZ285" s="176">
        <v>0</v>
      </c>
      <c r="EA285" s="259">
        <f t="shared" si="1387"/>
        <v>67.490000000000094</v>
      </c>
      <c r="EB285" s="176">
        <v>52</v>
      </c>
      <c r="EC285" s="176">
        <v>22.2</v>
      </c>
      <c r="ED285" s="176">
        <v>0</v>
      </c>
      <c r="EE285" s="176">
        <v>0</v>
      </c>
      <c r="EF285" s="259">
        <f t="shared" si="1388"/>
        <v>74.2</v>
      </c>
      <c r="EG285" s="176">
        <v>0</v>
      </c>
      <c r="EH285" s="176">
        <v>0</v>
      </c>
      <c r="EI285" s="176">
        <v>0</v>
      </c>
      <c r="EJ285" s="176">
        <v>0</v>
      </c>
      <c r="EK285" s="259">
        <f t="shared" si="1389"/>
        <v>0</v>
      </c>
      <c r="EL285" s="176">
        <v>0</v>
      </c>
      <c r="EM285" s="176">
        <v>0</v>
      </c>
      <c r="EN285" s="176">
        <v>0</v>
      </c>
      <c r="EO285" s="176">
        <v>0</v>
      </c>
      <c r="EP285" s="259">
        <f t="shared" si="1390"/>
        <v>0</v>
      </c>
      <c r="EQ285" s="176">
        <v>0</v>
      </c>
      <c r="EU285" s="259">
        <f t="shared" si="1391"/>
        <v>0</v>
      </c>
      <c r="EW285" s="177"/>
      <c r="EZ285" s="259"/>
      <c r="FB285" s="177"/>
      <c r="FE285" s="259"/>
      <c r="FG285" s="494"/>
      <c r="FH285" s="816"/>
      <c r="FI285" s="816"/>
      <c r="FJ285" s="816"/>
      <c r="FL285" s="1384"/>
      <c r="FM285" s="176">
        <f>+EQ285</f>
        <v>0</v>
      </c>
      <c r="FN285" s="816">
        <f>EL285</f>
        <v>0</v>
      </c>
      <c r="FO285" s="1786"/>
      <c r="FP285" s="1786"/>
      <c r="FQ285" s="747"/>
      <c r="FR285" s="1621"/>
      <c r="FS285" s="1621"/>
      <c r="FT285" s="452"/>
      <c r="FU285" s="452"/>
      <c r="FV285" s="452"/>
      <c r="FW285" s="452"/>
      <c r="FX285" s="452"/>
      <c r="FY285" s="452"/>
      <c r="FZ285" s="494"/>
      <c r="GA285"/>
      <c r="GB285"/>
      <c r="GC285"/>
      <c r="GD285"/>
      <c r="GE285"/>
      <c r="GF285"/>
      <c r="GG285"/>
      <c r="GH285"/>
      <c r="GI285"/>
      <c r="GJ285"/>
      <c r="GK285"/>
      <c r="GL285"/>
      <c r="GM285"/>
      <c r="GN285"/>
      <c r="GO285"/>
      <c r="GP285"/>
      <c r="GQ285"/>
      <c r="GR285"/>
      <c r="GS285"/>
      <c r="GT285"/>
      <c r="GU285"/>
      <c r="GV285"/>
      <c r="GW285"/>
      <c r="GX285"/>
      <c r="GY285"/>
      <c r="GZ285"/>
      <c r="HA285"/>
      <c r="HB285"/>
      <c r="HC285"/>
      <c r="HD285"/>
      <c r="HE285"/>
      <c r="HF285"/>
      <c r="HG285"/>
      <c r="HH285"/>
      <c r="HI285"/>
      <c r="HJ285"/>
      <c r="HK285"/>
      <c r="HL285"/>
      <c r="HM285"/>
      <c r="HN285"/>
      <c r="HO285"/>
      <c r="HP285"/>
      <c r="HQ285"/>
      <c r="HR285"/>
      <c r="HS285"/>
      <c r="HT285"/>
      <c r="HU285"/>
      <c r="HV285"/>
      <c r="HW285"/>
      <c r="HX285"/>
      <c r="HY285"/>
      <c r="HZ285"/>
      <c r="IA285"/>
      <c r="IB285"/>
      <c r="IC285"/>
      <c r="ID285"/>
      <c r="IE285"/>
      <c r="IF285"/>
      <c r="IG285"/>
      <c r="IH285"/>
      <c r="II285"/>
      <c r="IJ285"/>
      <c r="IK285"/>
      <c r="IL285"/>
      <c r="IM285"/>
      <c r="IN285"/>
      <c r="IO285"/>
      <c r="IP285"/>
      <c r="IQ285"/>
      <c r="IR285"/>
      <c r="IS285"/>
      <c r="IT285"/>
      <c r="IU285"/>
      <c r="IV285"/>
      <c r="IW285"/>
      <c r="IX285"/>
    </row>
    <row r="286" spans="1:258" s="176" customFormat="1" x14ac:dyDescent="0.2">
      <c r="A286" s="258" t="s">
        <v>545</v>
      </c>
      <c r="F286" s="259"/>
      <c r="K286" s="259"/>
      <c r="P286" s="259"/>
      <c r="Q286" s="176">
        <f>Q273+Q285</f>
        <v>62.000000000000007</v>
      </c>
      <c r="R286" s="176">
        <f>R273+R285</f>
        <v>131.44426877470357</v>
      </c>
      <c r="S286" s="176">
        <f>S273+S285</f>
        <v>127.90000000000009</v>
      </c>
      <c r="T286" s="176">
        <f>T273+T285</f>
        <v>152.09999999999991</v>
      </c>
      <c r="U286" s="259">
        <f t="shared" si="1366"/>
        <v>473.44426877470357</v>
      </c>
      <c r="V286" s="176">
        <f>V273+V285</f>
        <v>51.689</v>
      </c>
      <c r="W286" s="176">
        <f>W273+W285</f>
        <v>153.78</v>
      </c>
      <c r="X286" s="176">
        <f>X273+X285</f>
        <v>117.453</v>
      </c>
      <c r="Y286" s="176">
        <f>Y273+Y285</f>
        <v>151</v>
      </c>
      <c r="Z286" s="259">
        <f t="shared" si="1367"/>
        <v>473.92200000000003</v>
      </c>
      <c r="AA286" s="176">
        <f>AA273+AA285</f>
        <v>74</v>
      </c>
      <c r="AB286" s="176">
        <f>AB273+AB285</f>
        <v>162</v>
      </c>
      <c r="AC286" s="176">
        <f>AC273+AC285</f>
        <v>177</v>
      </c>
      <c r="AD286" s="176">
        <f>AD273+AD285</f>
        <v>197.482</v>
      </c>
      <c r="AE286" s="259">
        <f t="shared" si="1368"/>
        <v>610.48199999999997</v>
      </c>
      <c r="AF286" s="176">
        <f>AF273+AF285</f>
        <v>121</v>
      </c>
      <c r="AG286" s="176">
        <f>AG273+AG285</f>
        <v>183.57</v>
      </c>
      <c r="AH286" s="176">
        <f>AH273+AH285</f>
        <v>202</v>
      </c>
      <c r="AI286" s="176">
        <f>AI273+AI285</f>
        <v>224.96700000000001</v>
      </c>
      <c r="AJ286" s="259">
        <f t="shared" si="1369"/>
        <v>731.53700000000003</v>
      </c>
      <c r="AK286" s="176">
        <f>AK273+AK285</f>
        <v>146</v>
      </c>
      <c r="AL286" s="176">
        <f>AL273+AL285</f>
        <v>234</v>
      </c>
      <c r="AM286" s="176">
        <f>AM273+AM285</f>
        <v>222</v>
      </c>
      <c r="AN286" s="176">
        <f>AN273+AN285</f>
        <v>251.07351784061697</v>
      </c>
      <c r="AO286" s="259">
        <f t="shared" si="1370"/>
        <v>853.073517840617</v>
      </c>
      <c r="AP286" s="176">
        <f>AP273+AP285</f>
        <v>166.07137500000002</v>
      </c>
      <c r="AQ286" s="176">
        <f>AQ273+AQ285</f>
        <v>247.08337500000025</v>
      </c>
      <c r="AR286" s="176">
        <f>AR273+AR285</f>
        <v>231.66</v>
      </c>
      <c r="AS286" s="176">
        <f>AS273+AS285</f>
        <v>252.87096774193549</v>
      </c>
      <c r="AT286" s="259">
        <f t="shared" si="1371"/>
        <v>897.68571774193572</v>
      </c>
      <c r="AU286" s="176">
        <f>AU273+AU285</f>
        <v>136.32</v>
      </c>
      <c r="AV286" s="176">
        <f>AV273+AV285</f>
        <v>188.36</v>
      </c>
      <c r="AW286" s="176">
        <f>AW273+AW285</f>
        <v>120.32</v>
      </c>
      <c r="AX286" s="176">
        <f>AX273+AX285</f>
        <v>152.22</v>
      </c>
      <c r="AY286" s="259">
        <f t="shared" si="1372"/>
        <v>597.22</v>
      </c>
      <c r="AZ286" s="176">
        <f>AZ273+AZ285</f>
        <v>137.15</v>
      </c>
      <c r="BA286" s="176">
        <f>BA273+BA285</f>
        <v>149.7600000000001</v>
      </c>
      <c r="BB286" s="176">
        <f>BB273+BB285</f>
        <v>123</v>
      </c>
      <c r="BC286" s="176">
        <f>BC273+BC285</f>
        <v>43.19999999999991</v>
      </c>
      <c r="BD286" s="259">
        <f t="shared" si="1373"/>
        <v>453.11</v>
      </c>
      <c r="BE286" s="176">
        <f t="shared" ref="BE286:BM286" si="1392">BE273+BE285</f>
        <v>29</v>
      </c>
      <c r="BF286" s="176">
        <f t="shared" si="1392"/>
        <v>54</v>
      </c>
      <c r="BG286" s="176">
        <f t="shared" si="1392"/>
        <v>59</v>
      </c>
      <c r="BH286" s="176">
        <f t="shared" si="1392"/>
        <v>54</v>
      </c>
      <c r="BI286" s="259">
        <f t="shared" si="1392"/>
        <v>565</v>
      </c>
      <c r="BJ286" s="176">
        <f t="shared" si="1392"/>
        <v>34.5</v>
      </c>
      <c r="BK286" s="176">
        <f t="shared" si="1392"/>
        <v>108</v>
      </c>
      <c r="BL286" s="176">
        <f t="shared" si="1392"/>
        <v>100</v>
      </c>
      <c r="BM286" s="176">
        <f t="shared" si="1392"/>
        <v>65</v>
      </c>
      <c r="BN286" s="259">
        <f t="shared" si="1374"/>
        <v>307.5</v>
      </c>
      <c r="BO286" s="176">
        <f>BO273+BO285</f>
        <v>25</v>
      </c>
      <c r="BP286" s="176">
        <f>BP273+BP285</f>
        <v>135.00555555555556</v>
      </c>
      <c r="BQ286" s="176">
        <f>BQ273+BQ285</f>
        <v>127.5</v>
      </c>
      <c r="BR286" s="176">
        <f>BR273+BR285</f>
        <v>137</v>
      </c>
      <c r="BS286" s="259">
        <f t="shared" si="1375"/>
        <v>424.50555555555559</v>
      </c>
      <c r="BT286" s="176">
        <f>BT273+BT285</f>
        <v>98.5</v>
      </c>
      <c r="BU286" s="176">
        <f>BU273+BU285</f>
        <v>128</v>
      </c>
      <c r="BV286" s="176">
        <f>BV273+BV285</f>
        <v>-100.39999999999999</v>
      </c>
      <c r="BW286" s="176">
        <f>BW273+BW285</f>
        <v>125.1</v>
      </c>
      <c r="BX286" s="259">
        <f t="shared" si="1376"/>
        <v>251.2</v>
      </c>
      <c r="BY286" s="176">
        <f>BY273+BY285</f>
        <v>29</v>
      </c>
      <c r="BZ286" s="176">
        <f>BZ273+BZ285</f>
        <v>119.29999999999998</v>
      </c>
      <c r="CA286" s="176">
        <f>CA273+CA285</f>
        <v>122.5</v>
      </c>
      <c r="CB286" s="176">
        <f>CB273+CB285</f>
        <v>66.5</v>
      </c>
      <c r="CC286" s="259">
        <f t="shared" si="1377"/>
        <v>337.29999999999995</v>
      </c>
      <c r="CD286" s="176">
        <f>CD273+CD285</f>
        <v>580</v>
      </c>
      <c r="CE286" s="176">
        <f>CE273+CE285</f>
        <v>165.53592814371257</v>
      </c>
      <c r="CF286" s="176">
        <f>CF273+CF285</f>
        <v>164</v>
      </c>
      <c r="CG286" s="176">
        <f>CG273+CG285</f>
        <v>237</v>
      </c>
      <c r="CH286" s="259">
        <f t="shared" si="1378"/>
        <v>1146.5359281437127</v>
      </c>
      <c r="CI286" s="176">
        <f>CI273+CI285</f>
        <v>245</v>
      </c>
      <c r="CJ286" s="176">
        <f>CJ273+CJ285</f>
        <v>390</v>
      </c>
      <c r="CK286" s="176">
        <f>CK273+CK285</f>
        <v>328.3</v>
      </c>
      <c r="CL286" s="176">
        <f>CL273+CL285</f>
        <v>347</v>
      </c>
      <c r="CM286" s="259">
        <f t="shared" si="1379"/>
        <v>1310.3</v>
      </c>
      <c r="CN286" s="176">
        <f>CN273+CN285</f>
        <v>240</v>
      </c>
      <c r="CO286" s="176">
        <f>CO273+CO285</f>
        <v>333</v>
      </c>
      <c r="CP286" s="176">
        <f>CP273+CP285</f>
        <v>412.36808510638298</v>
      </c>
      <c r="CQ286" s="176">
        <f>CQ273+CQ285</f>
        <v>364.99719298245611</v>
      </c>
      <c r="CR286" s="259">
        <f t="shared" si="1380"/>
        <v>1350.3652780888392</v>
      </c>
      <c r="CS286" s="176">
        <f>CS273+CS285</f>
        <v>351</v>
      </c>
      <c r="CT286" s="176">
        <f>CT273+CT285</f>
        <v>385</v>
      </c>
      <c r="CU286" s="176">
        <f>CU273+CU285</f>
        <v>382</v>
      </c>
      <c r="CV286" s="176">
        <f>CV273+CV285</f>
        <v>259.47999999999996</v>
      </c>
      <c r="CW286" s="259">
        <f t="shared" si="1381"/>
        <v>1377.48</v>
      </c>
      <c r="CX286" s="176">
        <f>CX273+CX285</f>
        <v>246</v>
      </c>
      <c r="CY286" s="176">
        <f>CY273+CY285</f>
        <v>285</v>
      </c>
      <c r="CZ286" s="176">
        <f>CZ273+CZ285</f>
        <v>293</v>
      </c>
      <c r="DA286" s="176">
        <f>DA273+DA285</f>
        <v>305</v>
      </c>
      <c r="DB286" s="259">
        <f t="shared" si="1382"/>
        <v>1129</v>
      </c>
      <c r="DC286" s="176">
        <f>DC273+DC285</f>
        <v>306</v>
      </c>
      <c r="DD286" s="176">
        <f>DD273+DD285</f>
        <v>414</v>
      </c>
      <c r="DE286" s="176">
        <f>DE273+DE285</f>
        <v>414</v>
      </c>
      <c r="DF286" s="176">
        <f>DF273+DF285</f>
        <v>430</v>
      </c>
      <c r="DG286" s="259">
        <f t="shared" si="1383"/>
        <v>1564</v>
      </c>
      <c r="DH286" s="176">
        <f>DH273+DH285</f>
        <v>405.4</v>
      </c>
      <c r="DI286" s="176">
        <f>DI273+DI285</f>
        <v>502</v>
      </c>
      <c r="DJ286" s="176">
        <f>DJ273+DJ285</f>
        <v>463.5</v>
      </c>
      <c r="DK286" s="176">
        <f>DK273+DK285</f>
        <v>484.06799999999993</v>
      </c>
      <c r="DL286" s="259">
        <f>SUM(DH286:DK286)</f>
        <v>1854.9680000000001</v>
      </c>
      <c r="DM286" s="176">
        <f>DM273+DM285</f>
        <v>481.53599999999989</v>
      </c>
      <c r="DN286" s="176">
        <f>DN273+DN285</f>
        <v>496</v>
      </c>
      <c r="DO286" s="176">
        <f>DO273+DO285</f>
        <v>437.34399999999994</v>
      </c>
      <c r="DP286" s="176">
        <f>DP273+DP285</f>
        <v>451.14</v>
      </c>
      <c r="DQ286" s="259">
        <f t="shared" si="1385"/>
        <v>1866.0199999999995</v>
      </c>
      <c r="DR286" s="176">
        <f>DR273+DR285</f>
        <v>458.4</v>
      </c>
      <c r="DS286" s="176">
        <f>DS273+DS285</f>
        <v>521.02</v>
      </c>
      <c r="DT286" s="176">
        <f>DT273+DT285</f>
        <v>456.875</v>
      </c>
      <c r="DU286" s="176">
        <f>DU273+DU285</f>
        <v>428</v>
      </c>
      <c r="DV286" s="259">
        <f t="shared" si="1386"/>
        <v>1864.2950000000001</v>
      </c>
      <c r="DW286" s="176">
        <f>DW273+DW285</f>
        <v>398.9</v>
      </c>
      <c r="DX286" s="176">
        <f>DX273+DX285</f>
        <v>529.34</v>
      </c>
      <c r="DY286" s="176">
        <f>DY273+DY285</f>
        <v>509.49000000000007</v>
      </c>
      <c r="DZ286" s="176">
        <f>DZ273+DZ285</f>
        <v>491.0741802873722</v>
      </c>
      <c r="EA286" s="259">
        <f t="shared" si="1387"/>
        <v>1928.8041802873722</v>
      </c>
      <c r="EB286" s="176">
        <f>EB273+EB285</f>
        <v>446.26722925457091</v>
      </c>
      <c r="EC286" s="176">
        <f>EC273+EC285</f>
        <v>553.50890642615605</v>
      </c>
      <c r="ED286" s="176">
        <f>ED273+ED285</f>
        <v>507</v>
      </c>
      <c r="EE286" s="176">
        <f>EE273+EE285</f>
        <v>466</v>
      </c>
      <c r="EF286" s="259">
        <f t="shared" si="1388"/>
        <v>1972.7761356807268</v>
      </c>
      <c r="EG286" s="176">
        <f>EG273+EG285</f>
        <v>356</v>
      </c>
      <c r="EH286" s="176">
        <f>EH273+EH285</f>
        <v>445</v>
      </c>
      <c r="EI286" s="176">
        <f>EI273+EI285</f>
        <v>455</v>
      </c>
      <c r="EJ286" s="176">
        <f>EJ273+EJ285</f>
        <v>458</v>
      </c>
      <c r="EK286" s="259">
        <f t="shared" si="1389"/>
        <v>1714</v>
      </c>
      <c r="EL286" s="176">
        <f>EL273+EL285</f>
        <v>469.61</v>
      </c>
      <c r="EM286" s="176">
        <f>EM273+EM285</f>
        <v>591</v>
      </c>
      <c r="EN286" s="176">
        <f>EN273+EN285</f>
        <v>463</v>
      </c>
      <c r="EO286" s="176">
        <f>EO273+EO285</f>
        <v>573</v>
      </c>
      <c r="EP286" s="259">
        <f t="shared" si="1390"/>
        <v>2096.61</v>
      </c>
      <c r="EQ286" s="176">
        <f>EQ273+EQ285</f>
        <v>695</v>
      </c>
      <c r="ER286" s="176">
        <f t="shared" ref="ER286" si="1393">ER273+ER285</f>
        <v>700.26154213750101</v>
      </c>
      <c r="ES286" s="176">
        <f t="shared" ref="ES286:ET286" si="1394">ES273+ES285</f>
        <v>659.99168725314109</v>
      </c>
      <c r="ET286" s="176">
        <f t="shared" si="1394"/>
        <v>700.37730348754883</v>
      </c>
      <c r="EU286" s="259">
        <f t="shared" si="1391"/>
        <v>2755.6305328781909</v>
      </c>
      <c r="EW286" s="177"/>
      <c r="EZ286" s="259">
        <f>EZ273+EZ285</f>
        <v>2841.038076000782</v>
      </c>
      <c r="FB286" s="177"/>
      <c r="FE286" s="259">
        <f>FE273+FE285</f>
        <v>3109.0176489270211</v>
      </c>
      <c r="FG286" s="494"/>
      <c r="FH286" s="816"/>
      <c r="FI286" s="816"/>
      <c r="FJ286" s="816"/>
      <c r="FL286" s="1384"/>
      <c r="FM286" s="176">
        <f>+EQ286</f>
        <v>695</v>
      </c>
      <c r="FN286" s="816">
        <f>EL286</f>
        <v>469.61</v>
      </c>
      <c r="FO286" s="1786">
        <v>569.73823703512505</v>
      </c>
      <c r="FP286" s="1786"/>
      <c r="FQ286" s="747"/>
      <c r="FR286" s="1621"/>
      <c r="FS286" s="1621"/>
      <c r="FT286" s="452"/>
      <c r="FU286" s="452"/>
      <c r="FV286" s="452"/>
      <c r="FW286" s="452"/>
      <c r="FX286" s="452"/>
      <c r="FY286" s="452"/>
      <c r="FZ286" s="494"/>
      <c r="GA286"/>
      <c r="GB286"/>
      <c r="GC286"/>
      <c r="GD286"/>
      <c r="GE286"/>
      <c r="GF286"/>
      <c r="GG286"/>
      <c r="GH286"/>
      <c r="GI286"/>
      <c r="GJ286"/>
      <c r="GK286"/>
      <c r="GL286"/>
      <c r="GM286"/>
      <c r="GN286"/>
      <c r="GO286"/>
      <c r="GP286"/>
      <c r="GQ286"/>
      <c r="GR286"/>
      <c r="GS286"/>
      <c r="GT286"/>
      <c r="GU286"/>
      <c r="GV286"/>
      <c r="GW286"/>
      <c r="GX286"/>
      <c r="GY286"/>
      <c r="GZ286"/>
      <c r="HA286"/>
      <c r="HB286"/>
      <c r="HC286"/>
      <c r="HD286"/>
      <c r="HE286"/>
      <c r="HF286"/>
      <c r="HG286"/>
      <c r="HH286"/>
      <c r="HI286"/>
      <c r="HJ286"/>
      <c r="HK286"/>
      <c r="HL286"/>
      <c r="HM286"/>
      <c r="HN286"/>
      <c r="HO286"/>
      <c r="HP286"/>
      <c r="HQ286"/>
      <c r="HR286"/>
      <c r="HS286"/>
      <c r="HT286"/>
      <c r="HU286"/>
      <c r="HV286"/>
      <c r="HW286"/>
      <c r="HX286"/>
      <c r="HY286"/>
      <c r="HZ286"/>
      <c r="IA286"/>
      <c r="IB286"/>
      <c r="IC286"/>
      <c r="ID286"/>
      <c r="IE286"/>
      <c r="IF286"/>
      <c r="IG286"/>
      <c r="IH286"/>
      <c r="II286"/>
      <c r="IJ286"/>
      <c r="IK286"/>
      <c r="IL286"/>
      <c r="IM286"/>
      <c r="IN286"/>
      <c r="IO286"/>
      <c r="IP286"/>
      <c r="IQ286"/>
      <c r="IR286"/>
      <c r="IS286"/>
      <c r="IT286"/>
      <c r="IU286"/>
      <c r="IV286"/>
      <c r="IW286"/>
      <c r="IX286"/>
    </row>
    <row r="287" spans="1:258" s="169" customFormat="1" x14ac:dyDescent="0.2">
      <c r="A287" s="260" t="s">
        <v>452</v>
      </c>
      <c r="B287" s="261"/>
      <c r="C287" s="261"/>
      <c r="D287" s="261"/>
      <c r="E287" s="261"/>
      <c r="F287" s="167"/>
      <c r="G287" s="261"/>
      <c r="H287" s="261"/>
      <c r="I287" s="261"/>
      <c r="J287" s="261"/>
      <c r="K287" s="167"/>
      <c r="L287" s="261"/>
      <c r="M287" s="261"/>
      <c r="N287" s="261"/>
      <c r="O287" s="261"/>
      <c r="P287" s="167"/>
      <c r="Q287" s="261">
        <f>Q285/Q278</f>
        <v>0</v>
      </c>
      <c r="R287" s="261">
        <f>R285/R278</f>
        <v>0</v>
      </c>
      <c r="S287" s="261">
        <f>S285/S278</f>
        <v>0</v>
      </c>
      <c r="T287" s="261">
        <f>T285/T278</f>
        <v>0</v>
      </c>
      <c r="U287" s="167">
        <f t="shared" si="1366"/>
        <v>0</v>
      </c>
      <c r="V287" s="261">
        <f>V285/V278</f>
        <v>0</v>
      </c>
      <c r="W287" s="261">
        <f>W285/W278</f>
        <v>0</v>
      </c>
      <c r="X287" s="261">
        <f>X285/X278</f>
        <v>0</v>
      </c>
      <c r="Y287" s="261">
        <f>Y285/Y278</f>
        <v>0</v>
      </c>
      <c r="Z287" s="167">
        <f t="shared" si="1367"/>
        <v>0</v>
      </c>
      <c r="AA287" s="261">
        <f>AA285/AA278</f>
        <v>0</v>
      </c>
      <c r="AB287" s="261">
        <f>AB285/AB278</f>
        <v>0</v>
      </c>
      <c r="AC287" s="261">
        <f>AC285/AC278</f>
        <v>0</v>
      </c>
      <c r="AD287" s="261">
        <f>AD285/AD278</f>
        <v>0</v>
      </c>
      <c r="AE287" s="167">
        <f t="shared" si="1368"/>
        <v>0</v>
      </c>
      <c r="AF287" s="261">
        <f>AF285/AF278</f>
        <v>0</v>
      </c>
      <c r="AG287" s="261">
        <f>AG285/AG278</f>
        <v>0</v>
      </c>
      <c r="AH287" s="261">
        <f>AH285/AH278</f>
        <v>0</v>
      </c>
      <c r="AI287" s="261">
        <f>AI285/AI278</f>
        <v>0</v>
      </c>
      <c r="AJ287" s="167">
        <f t="shared" si="1369"/>
        <v>0</v>
      </c>
      <c r="AK287" s="261">
        <f>AK285/AK278</f>
        <v>0</v>
      </c>
      <c r="AL287" s="261">
        <f>AL285/AL278</f>
        <v>0</v>
      </c>
      <c r="AM287" s="261">
        <f>AM285/AM278</f>
        <v>0</v>
      </c>
      <c r="AN287" s="261">
        <f>AN285/AN278</f>
        <v>0</v>
      </c>
      <c r="AO287" s="167">
        <f t="shared" si="1370"/>
        <v>0</v>
      </c>
      <c r="AP287" s="261">
        <f>AP285/AP278</f>
        <v>0</v>
      </c>
      <c r="AQ287" s="261">
        <f>AQ285/AQ278</f>
        <v>0</v>
      </c>
      <c r="AR287" s="261">
        <f>AR285/AR278</f>
        <v>0</v>
      </c>
      <c r="AS287" s="261">
        <f>AS285/AS278</f>
        <v>0</v>
      </c>
      <c r="AT287" s="167">
        <f t="shared" si="1371"/>
        <v>0</v>
      </c>
      <c r="AU287" s="261">
        <f>AU285/AU278</f>
        <v>0</v>
      </c>
      <c r="AV287" s="261">
        <f>AV285/AV278</f>
        <v>0</v>
      </c>
      <c r="AW287" s="261">
        <f>AW285/AW278</f>
        <v>0</v>
      </c>
      <c r="AX287" s="261">
        <f>AX285/AX278</f>
        <v>0</v>
      </c>
      <c r="AY287" s="167">
        <f t="shared" si="1372"/>
        <v>0</v>
      </c>
      <c r="AZ287" s="261">
        <f>AZ285/AZ278</f>
        <v>0</v>
      </c>
      <c r="BA287" s="261">
        <f>BA285/BA278</f>
        <v>0</v>
      </c>
      <c r="BB287" s="261">
        <f>BB285/BB278</f>
        <v>0</v>
      </c>
      <c r="BC287" s="261">
        <f>BC285/BC278</f>
        <v>0</v>
      </c>
      <c r="BD287" s="167">
        <f t="shared" si="1373"/>
        <v>0</v>
      </c>
      <c r="BE287" s="261">
        <f t="shared" ref="BE287:BM287" si="1395">BE285/BE278</f>
        <v>0</v>
      </c>
      <c r="BF287" s="261">
        <f t="shared" si="1395"/>
        <v>0</v>
      </c>
      <c r="BG287" s="261">
        <f t="shared" si="1395"/>
        <v>0</v>
      </c>
      <c r="BH287" s="261">
        <f t="shared" si="1395"/>
        <v>0</v>
      </c>
      <c r="BI287" s="167">
        <f t="shared" si="1395"/>
        <v>0.29101921791542695</v>
      </c>
      <c r="BJ287" s="261">
        <f t="shared" si="1395"/>
        <v>1.1011639302742999E-2</v>
      </c>
      <c r="BK287" s="261">
        <f t="shared" si="1395"/>
        <v>0</v>
      </c>
      <c r="BL287" s="261">
        <f t="shared" si="1395"/>
        <v>0</v>
      </c>
      <c r="BM287" s="261">
        <f t="shared" si="1395"/>
        <v>-2.8992457259632939E-2</v>
      </c>
      <c r="BN287" s="167">
        <f t="shared" si="1374"/>
        <v>-1.7980817956889938E-2</v>
      </c>
      <c r="BO287" s="261">
        <f>BO285/BO278</f>
        <v>-3.3616335975733692E-2</v>
      </c>
      <c r="BP287" s="261">
        <f>BP285/BP278</f>
        <v>5.5458167717640141E-3</v>
      </c>
      <c r="BQ287" s="261">
        <f>BQ285/BQ278</f>
        <v>0</v>
      </c>
      <c r="BR287" s="261">
        <f>BR285/BR278</f>
        <v>0</v>
      </c>
      <c r="BS287" s="167">
        <f t="shared" si="1375"/>
        <v>-2.8070519203969677E-2</v>
      </c>
      <c r="BT287" s="261">
        <f>BT285/BT278</f>
        <v>4.3969419074478752E-2</v>
      </c>
      <c r="BU287" s="261">
        <f>BU285/BU278</f>
        <v>0</v>
      </c>
      <c r="BV287" s="261">
        <f>BV285/BV278</f>
        <v>-0.17067451878510279</v>
      </c>
      <c r="BW287" s="261">
        <f>BW285/BW278</f>
        <v>-6.13138867416093E-3</v>
      </c>
      <c r="BX287" s="167">
        <f t="shared" si="1376"/>
        <v>-0.13283648838478498</v>
      </c>
      <c r="BY287" s="261">
        <f>BY285/BY278</f>
        <v>-2.866190724077242E-2</v>
      </c>
      <c r="BZ287" s="261">
        <f>BZ285/BZ278</f>
        <v>-7.2817752658235306E-3</v>
      </c>
      <c r="CA287" s="261">
        <f>CA285/CA278</f>
        <v>1.0840007680919727E-2</v>
      </c>
      <c r="CB287" s="261">
        <f>CB285/CB278</f>
        <v>-6.8405118033955575E-2</v>
      </c>
      <c r="CC287" s="167">
        <f t="shared" si="1377"/>
        <v>-9.350879285963179E-2</v>
      </c>
      <c r="CD287" s="261">
        <f>CD285/CD278</f>
        <v>0.31381770285441507</v>
      </c>
      <c r="CE287" s="261">
        <f>CE285/CE278</f>
        <v>-3.0382886322513094E-2</v>
      </c>
      <c r="CF287" s="261">
        <f>CF285/CF278</f>
        <v>0</v>
      </c>
      <c r="CG287" s="261">
        <f>CG285/CG278</f>
        <v>0</v>
      </c>
      <c r="CH287" s="167">
        <f t="shared" si="1378"/>
        <v>0.283434816531902</v>
      </c>
      <c r="CI287" s="261">
        <f>CI285/CI278</f>
        <v>0</v>
      </c>
      <c r="CJ287" s="261">
        <f>CJ285/CJ278</f>
        <v>8.3863951828205802E-2</v>
      </c>
      <c r="CK287" s="261">
        <f>CK285/CK278</f>
        <v>5.6051765201088392E-2</v>
      </c>
      <c r="CL287" s="261">
        <f>CL285/CL278</f>
        <v>6.0406796627574838E-2</v>
      </c>
      <c r="CM287" s="167">
        <f t="shared" si="1379"/>
        <v>0.20032251365686904</v>
      </c>
      <c r="CN287" s="261">
        <f>CN285/CN278</f>
        <v>7.916357209066676E-3</v>
      </c>
      <c r="CO287" s="261">
        <f>CO285/CO278</f>
        <v>0</v>
      </c>
      <c r="CP287" s="261">
        <f>CP285/CP278</f>
        <v>8.1547517514012707E-2</v>
      </c>
      <c r="CQ287" s="261">
        <f>CQ285/CQ278</f>
        <v>4.0112031650899977E-3</v>
      </c>
      <c r="CR287" s="167">
        <f t="shared" si="1380"/>
        <v>9.3475077888169389E-2</v>
      </c>
      <c r="CS287" s="261">
        <f>CS285/CS278</f>
        <v>1.5442815006033351E-2</v>
      </c>
      <c r="CT287" s="261">
        <f>CT285/CT278</f>
        <v>1.4133481092453846E-2</v>
      </c>
      <c r="CU287" s="261">
        <f>CU285/CU278</f>
        <v>0</v>
      </c>
      <c r="CV287" s="261">
        <f>CV285/CV278</f>
        <v>-9.0817568734493412E-2</v>
      </c>
      <c r="CW287" s="167">
        <f t="shared" si="1381"/>
        <v>-6.1241272636006212E-2</v>
      </c>
      <c r="CX287" s="261">
        <f>CX285/CX278</f>
        <v>0</v>
      </c>
      <c r="CY287" s="261">
        <f>CY285/CY278</f>
        <v>0</v>
      </c>
      <c r="CZ287" s="261">
        <f>CZ285/CZ278</f>
        <v>0</v>
      </c>
      <c r="DA287" s="261">
        <f>DA285/DA278</f>
        <v>0</v>
      </c>
      <c r="DB287" s="167">
        <f t="shared" si="1382"/>
        <v>0</v>
      </c>
      <c r="DC287" s="261">
        <f>DC285/DC278</f>
        <v>0</v>
      </c>
      <c r="DD287" s="261">
        <f>DD285/DD278</f>
        <v>0</v>
      </c>
      <c r="DE287" s="261">
        <f>DE285/DE278</f>
        <v>0</v>
      </c>
      <c r="DF287" s="261">
        <f>DF285/DF278</f>
        <v>0</v>
      </c>
      <c r="DG287" s="167">
        <f t="shared" si="1383"/>
        <v>0</v>
      </c>
      <c r="DH287" s="261">
        <f>DH285/DH278</f>
        <v>0</v>
      </c>
      <c r="DI287" s="261">
        <f>DI285/DI278</f>
        <v>0</v>
      </c>
      <c r="DJ287" s="261">
        <f>DJ285/DJ278</f>
        <v>0</v>
      </c>
      <c r="DK287" s="261">
        <f>DK285/DK278</f>
        <v>0</v>
      </c>
      <c r="DL287" s="167">
        <f t="shared" si="1384"/>
        <v>0</v>
      </c>
      <c r="DM287" s="261">
        <f>DM285/DM278</f>
        <v>0</v>
      </c>
      <c r="DN287" s="261">
        <f>DN285/DN278</f>
        <v>0</v>
      </c>
      <c r="DO287" s="261">
        <f>DO285/DO278</f>
        <v>0</v>
      </c>
      <c r="DP287" s="261">
        <f>DP285/DP278</f>
        <v>0</v>
      </c>
      <c r="DQ287" s="167">
        <f t="shared" si="1385"/>
        <v>0</v>
      </c>
      <c r="DR287" s="261">
        <f>DR285/DR278</f>
        <v>3.7145650048875857E-2</v>
      </c>
      <c r="DS287" s="261">
        <f>DS285/DS278</f>
        <v>4.2033235581622676E-2</v>
      </c>
      <c r="DT287" s="261">
        <f>DT285/DT278</f>
        <v>3.4398034398034398E-2</v>
      </c>
      <c r="DU287" s="261">
        <f>DU285/DU278</f>
        <v>0</v>
      </c>
      <c r="DV287" s="167">
        <f t="shared" si="1386"/>
        <v>0.11357692002853292</v>
      </c>
      <c r="DW287" s="261">
        <f>DW285/DW278</f>
        <v>5.4590570719602979E-2</v>
      </c>
      <c r="DX287" s="261">
        <f>DX285/DX278</f>
        <v>-3.9880358923230306E-3</v>
      </c>
      <c r="DY287" s="261">
        <f>DY285/DY278</f>
        <v>1.6506506506506594E-2</v>
      </c>
      <c r="DZ287" s="261">
        <f>DZ285/DZ278</f>
        <v>0</v>
      </c>
      <c r="EA287" s="167">
        <f t="shared" si="1387"/>
        <v>6.7109041333786548E-2</v>
      </c>
      <c r="EB287" s="261">
        <f>EB285/EB278</f>
        <v>5.2419354838709679E-2</v>
      </c>
      <c r="EC287" s="261">
        <f>EC285/EC278</f>
        <v>2.2446916076845298E-2</v>
      </c>
      <c r="ED287" s="261">
        <f>ED285/ED278</f>
        <v>0</v>
      </c>
      <c r="EE287" s="261">
        <f>EE285/EE278</f>
        <v>0</v>
      </c>
      <c r="EF287" s="167">
        <f t="shared" si="1388"/>
        <v>7.4866270915554978E-2</v>
      </c>
      <c r="EG287" s="261">
        <f>EG285/EG278</f>
        <v>0</v>
      </c>
      <c r="EH287" s="261">
        <f>EH285/EH278</f>
        <v>0</v>
      </c>
      <c r="EI287" s="261">
        <f>EI285/EI278</f>
        <v>0</v>
      </c>
      <c r="EJ287" s="261">
        <f>EJ285/EJ278</f>
        <v>0</v>
      </c>
      <c r="EK287" s="167">
        <f t="shared" si="1389"/>
        <v>0</v>
      </c>
      <c r="EL287" s="261">
        <f>EL285/EL278</f>
        <v>0</v>
      </c>
      <c r="EM287" s="261">
        <f>EM285/EM278</f>
        <v>0</v>
      </c>
      <c r="EN287" s="261">
        <f>EN285/EN278</f>
        <v>0</v>
      </c>
      <c r="EO287" s="261">
        <f>EO285/EO278</f>
        <v>0</v>
      </c>
      <c r="EP287" s="167">
        <f t="shared" si="1390"/>
        <v>0</v>
      </c>
      <c r="EQ287" s="261">
        <f>EQ285/EQ278</f>
        <v>0</v>
      </c>
      <c r="ER287" s="261">
        <f t="shared" ref="ER287" si="1396">ER285/ER278</f>
        <v>0</v>
      </c>
      <c r="ES287" s="261">
        <f t="shared" ref="ES287:ET287" si="1397">ES285/ES278</f>
        <v>0</v>
      </c>
      <c r="ET287" s="261">
        <f t="shared" si="1397"/>
        <v>0</v>
      </c>
      <c r="EU287" s="167">
        <f t="shared" si="1391"/>
        <v>0</v>
      </c>
      <c r="EV287" s="262"/>
      <c r="EW287" s="261"/>
      <c r="EX287" s="261"/>
      <c r="EY287" s="261"/>
      <c r="EZ287" s="376">
        <f>EZ285/EZ278</f>
        <v>0</v>
      </c>
      <c r="FA287" s="262"/>
      <c r="FB287" s="261"/>
      <c r="FC287" s="261"/>
      <c r="FD287" s="261"/>
      <c r="FE287" s="376">
        <f>FE285/FE278</f>
        <v>0</v>
      </c>
      <c r="FG287" s="494"/>
      <c r="FH287" s="817"/>
      <c r="FI287" s="817"/>
      <c r="FJ287" s="817"/>
      <c r="FL287" s="1385"/>
      <c r="FM287" s="261">
        <f>+EQ287</f>
        <v>0</v>
      </c>
      <c r="FN287" s="1494">
        <f>EL287</f>
        <v>0</v>
      </c>
      <c r="FO287" s="1902">
        <v>0</v>
      </c>
      <c r="FP287" s="1787"/>
      <c r="FQ287" s="736"/>
      <c r="FR287" s="1621"/>
      <c r="FS287" s="1621"/>
      <c r="FT287" s="439"/>
      <c r="FU287" s="439"/>
      <c r="FV287" s="439"/>
      <c r="FW287" s="439"/>
      <c r="FX287" s="439"/>
      <c r="FY287" s="439"/>
      <c r="FZ287" s="494"/>
      <c r="GA287"/>
      <c r="GB287"/>
      <c r="GC287"/>
      <c r="GD287"/>
      <c r="GE287"/>
      <c r="GF287"/>
      <c r="GG287"/>
      <c r="GH287"/>
      <c r="GI287"/>
      <c r="GJ287"/>
      <c r="GK287"/>
      <c r="GL287"/>
      <c r="GM287"/>
      <c r="GN287"/>
      <c r="GO287"/>
      <c r="GP287"/>
      <c r="GQ287"/>
      <c r="GR287"/>
      <c r="GS287"/>
      <c r="GT287"/>
      <c r="GU287"/>
      <c r="GV287"/>
      <c r="GW287"/>
      <c r="GX287"/>
      <c r="GY287"/>
      <c r="GZ287"/>
      <c r="HA287"/>
      <c r="HB287"/>
      <c r="HC287"/>
      <c r="HD287"/>
      <c r="HE287"/>
      <c r="HF287"/>
      <c r="HG287"/>
      <c r="HH287"/>
      <c r="HI287"/>
      <c r="HJ287"/>
      <c r="HK287"/>
      <c r="HL287"/>
      <c r="HM287"/>
      <c r="HN287"/>
      <c r="HO287"/>
      <c r="HP287"/>
      <c r="HQ287"/>
      <c r="HR287"/>
      <c r="HS287"/>
      <c r="HT287"/>
      <c r="HU287"/>
      <c r="HV287"/>
      <c r="HW287"/>
      <c r="HX287"/>
      <c r="HY287"/>
      <c r="HZ287"/>
      <c r="IA287"/>
      <c r="IB287"/>
      <c r="IC287"/>
      <c r="ID287"/>
      <c r="IE287"/>
      <c r="IF287"/>
      <c r="IG287"/>
      <c r="IH287"/>
      <c r="II287"/>
      <c r="IJ287"/>
      <c r="IK287"/>
      <c r="IL287"/>
      <c r="IM287"/>
      <c r="IN287"/>
      <c r="IO287"/>
      <c r="IP287"/>
      <c r="IQ287"/>
      <c r="IR287"/>
      <c r="IS287"/>
      <c r="IT287"/>
      <c r="IU287"/>
      <c r="IV287"/>
      <c r="IW287"/>
      <c r="IX287"/>
    </row>
    <row r="288" spans="1:258" s="378" customFormat="1" ht="12.75" customHeight="1" x14ac:dyDescent="0.2">
      <c r="A288" s="1023" t="s">
        <v>637</v>
      </c>
      <c r="B288" s="1002"/>
      <c r="C288" s="1002"/>
      <c r="D288" s="1002"/>
      <c r="E288" s="1002"/>
      <c r="F288" s="1003"/>
      <c r="G288" s="1002"/>
      <c r="H288" s="1002"/>
      <c r="I288" s="1002"/>
      <c r="J288" s="1002"/>
      <c r="K288" s="1003"/>
      <c r="L288" s="1002"/>
      <c r="M288" s="1002"/>
      <c r="N288" s="1002"/>
      <c r="O288" s="1002"/>
      <c r="P288" s="1003"/>
      <c r="Q288" s="1002">
        <f t="shared" ref="Q288:AV288" si="1398">Q287+Q275</f>
        <v>5.0355902523967794E-2</v>
      </c>
      <c r="R288" s="1002">
        <f t="shared" si="1398"/>
        <v>0.10646743450870047</v>
      </c>
      <c r="S288" s="1002">
        <f t="shared" si="1398"/>
        <v>0.10342574532845566</v>
      </c>
      <c r="T288" s="1002">
        <f t="shared" si="1398"/>
        <v>0.12288406724448833</v>
      </c>
      <c r="U288" s="1003">
        <f t="shared" si="1398"/>
        <v>0.38333861145835829</v>
      </c>
      <c r="V288" s="1002">
        <f t="shared" si="1398"/>
        <v>4.1551711941143175E-2</v>
      </c>
      <c r="W288" s="1002">
        <f t="shared" si="1398"/>
        <v>0.12333381454212984</v>
      </c>
      <c r="X288" s="1002">
        <f t="shared" si="1398"/>
        <v>9.4116600638486092E-2</v>
      </c>
      <c r="Y288" s="1002">
        <f t="shared" si="1398"/>
        <v>0.12088897428507382</v>
      </c>
      <c r="Z288" s="1003">
        <f t="shared" si="1398"/>
        <v>0.34405296058830848</v>
      </c>
      <c r="AA288" s="1002">
        <f t="shared" si="1398"/>
        <v>5.9038282337022428E-2</v>
      </c>
      <c r="AB288" s="1002">
        <f t="shared" si="1398"/>
        <v>0.128934902200489</v>
      </c>
      <c r="AC288" s="1002">
        <f t="shared" si="1398"/>
        <v>0.14081952188192165</v>
      </c>
      <c r="AD288" s="1002">
        <f t="shared" si="1398"/>
        <v>0.15714781357626223</v>
      </c>
      <c r="AE288" s="1003">
        <f t="shared" si="1398"/>
        <v>0.48610440922837306</v>
      </c>
      <c r="AF288" s="1002">
        <f t="shared" si="1398"/>
        <v>9.5921208258419668E-2</v>
      </c>
      <c r="AG288" s="1002">
        <f t="shared" si="1398"/>
        <v>0.1454632764063748</v>
      </c>
      <c r="AH288" s="1002">
        <f t="shared" si="1398"/>
        <v>0.16000963226301149</v>
      </c>
      <c r="AI288" s="1002">
        <f t="shared" si="1398"/>
        <v>0.17812621737436699</v>
      </c>
      <c r="AJ288" s="1003">
        <f t="shared" si="1398"/>
        <v>0.57957204948177865</v>
      </c>
      <c r="AK288" s="1002">
        <f t="shared" si="1398"/>
        <v>0.11410225750534954</v>
      </c>
      <c r="AL288" s="1002">
        <f t="shared" si="1398"/>
        <v>0.1819165609373834</v>
      </c>
      <c r="AM288" s="1002">
        <f t="shared" si="1398"/>
        <v>0.17002973222614873</v>
      </c>
      <c r="AN288" s="1002">
        <f t="shared" si="1398"/>
        <v>0.19075606771651843</v>
      </c>
      <c r="AO288" s="1003">
        <f t="shared" si="1398"/>
        <v>0.6562223883896583</v>
      </c>
      <c r="AP288" s="1002">
        <f t="shared" si="1398"/>
        <v>0.12610168159494112</v>
      </c>
      <c r="AQ288" s="1002">
        <f t="shared" si="1398"/>
        <v>0.18691674420715809</v>
      </c>
      <c r="AR288" s="1002">
        <f t="shared" si="1398"/>
        <v>0.17412206132379665</v>
      </c>
      <c r="AS288" s="1002">
        <f t="shared" si="1398"/>
        <v>0.19017201506354495</v>
      </c>
      <c r="AT288" s="1003">
        <f t="shared" si="1398"/>
        <v>0.67762702047099777</v>
      </c>
      <c r="AU288" s="1002">
        <f t="shared" si="1398"/>
        <v>0.10252152410519286</v>
      </c>
      <c r="AV288" s="1002">
        <f t="shared" si="1398"/>
        <v>0.1416794536209646</v>
      </c>
      <c r="AW288" s="1002">
        <f t="shared" ref="AW288:BW288" si="1399">AW287+AW275</f>
        <v>9.4165230552985937E-2</v>
      </c>
      <c r="AX288" s="1002">
        <f t="shared" si="1399"/>
        <v>0.11933488558056399</v>
      </c>
      <c r="AY288" s="1003">
        <f t="shared" si="1399"/>
        <v>0.45830043150318589</v>
      </c>
      <c r="AZ288" s="1002">
        <f t="shared" si="1399"/>
        <v>0.10799654789014985</v>
      </c>
      <c r="BA288" s="1002">
        <f t="shared" si="1399"/>
        <v>0.11709678781367733</v>
      </c>
      <c r="BB288" s="1002">
        <f t="shared" si="1399"/>
        <v>9.7253190379050239E-2</v>
      </c>
      <c r="BC288" s="1002">
        <f t="shared" si="1399"/>
        <v>3.4122899309011211E-2</v>
      </c>
      <c r="BD288" s="1003">
        <f t="shared" si="1399"/>
        <v>0.35680467245526359</v>
      </c>
      <c r="BE288" s="1002">
        <f t="shared" si="1399"/>
        <v>2.2797129133944927E-2</v>
      </c>
      <c r="BF288" s="1002">
        <f t="shared" si="1399"/>
        <v>4.2611417018999953E-2</v>
      </c>
      <c r="BG288" s="1002">
        <f t="shared" si="1399"/>
        <v>4.6547442099715668E-2</v>
      </c>
      <c r="BH288" s="1002">
        <f t="shared" si="1399"/>
        <v>4.2689434364994665E-2</v>
      </c>
      <c r="BI288" s="1003">
        <f t="shared" si="1399"/>
        <v>0.44559853149652096</v>
      </c>
      <c r="BJ288" s="1002">
        <f t="shared" si="1399"/>
        <v>2.7135825424616677E-2</v>
      </c>
      <c r="BK288" s="1002">
        <f t="shared" si="1399"/>
        <v>8.4720234957451609E-2</v>
      </c>
      <c r="BL288" s="1002">
        <f t="shared" si="1399"/>
        <v>7.8402225368764858E-2</v>
      </c>
      <c r="BM288" s="1002">
        <f t="shared" si="1399"/>
        <v>5.0932695185841648E-2</v>
      </c>
      <c r="BN288" s="1003">
        <f t="shared" si="1399"/>
        <v>0.24134500552029658</v>
      </c>
      <c r="BO288" s="1002">
        <f t="shared" si="1399"/>
        <v>1.9544381381240518E-2</v>
      </c>
      <c r="BP288" s="1002">
        <f t="shared" si="1399"/>
        <v>0.10537051866351625</v>
      </c>
      <c r="BQ288" s="1002">
        <f t="shared" si="1399"/>
        <v>9.9469651224295866E-2</v>
      </c>
      <c r="BR288" s="1002">
        <f t="shared" si="1399"/>
        <v>0.10685260579967866</v>
      </c>
      <c r="BS288" s="1003">
        <f t="shared" si="1399"/>
        <v>0.33131346978657811</v>
      </c>
      <c r="BT288" s="1002">
        <f t="shared" si="1399"/>
        <v>7.6654650952852343E-2</v>
      </c>
      <c r="BU288" s="1002">
        <f t="shared" si="1399"/>
        <v>9.9550312572426747E-2</v>
      </c>
      <c r="BV288" s="1002">
        <f t="shared" si="1399"/>
        <v>-7.820959235976413E-2</v>
      </c>
      <c r="BW288" s="1002">
        <f t="shared" si="1399"/>
        <v>9.7093256093358532E-2</v>
      </c>
      <c r="BX288" s="1003">
        <f t="shared" si="1376"/>
        <v>0.19508862725887349</v>
      </c>
      <c r="BY288" s="1002">
        <f t="shared" ref="BY288:DX288" si="1400">BY287+BY275</f>
        <v>2.2464738107632439E-2</v>
      </c>
      <c r="BZ288" s="1002">
        <f t="shared" si="1400"/>
        <v>9.2416573320504999E-2</v>
      </c>
      <c r="CA288" s="1002">
        <f t="shared" si="1400"/>
        <v>9.4850067208047603E-2</v>
      </c>
      <c r="CB288" s="1002">
        <f t="shared" si="1400"/>
        <v>4.9177733505492371E-2</v>
      </c>
      <c r="CC288" s="1003">
        <f t="shared" si="1400"/>
        <v>0.26029087936663464</v>
      </c>
      <c r="CD288" s="1002">
        <f t="shared" si="1400"/>
        <v>0.42726353909756043</v>
      </c>
      <c r="CE288" s="1002">
        <f t="shared" si="1400"/>
        <v>0.12129680134922566</v>
      </c>
      <c r="CF288" s="1002">
        <f t="shared" si="1400"/>
        <v>0.11966103822002747</v>
      </c>
      <c r="CG288" s="1002">
        <f t="shared" si="1400"/>
        <v>0.17176004035273859</v>
      </c>
      <c r="CH288" s="1003">
        <f t="shared" si="1400"/>
        <v>0.8403949544124274</v>
      </c>
      <c r="CI288" s="1002">
        <f t="shared" si="1400"/>
        <v>0.17586778188375213</v>
      </c>
      <c r="CJ288" s="1002">
        <f t="shared" si="1400"/>
        <v>0.2764745664666125</v>
      </c>
      <c r="CK288" s="1002">
        <f t="shared" si="1400"/>
        <v>0.23501653276522758</v>
      </c>
      <c r="CL288" s="1002">
        <f t="shared" si="1400"/>
        <v>0.24953760035438652</v>
      </c>
      <c r="CM288" s="1003">
        <f t="shared" si="1400"/>
        <v>0.93697945969980612</v>
      </c>
      <c r="CN288" s="1002">
        <f t="shared" si="1400"/>
        <v>0.1727205209250911</v>
      </c>
      <c r="CO288" s="1002">
        <f t="shared" si="1400"/>
        <v>0.24187064060855526</v>
      </c>
      <c r="CP288" s="1002">
        <f t="shared" si="1400"/>
        <v>0.30851003341681327</v>
      </c>
      <c r="CQ288" s="1002">
        <f t="shared" si="1400"/>
        <v>0.28595271401175637</v>
      </c>
      <c r="CR288" s="1003">
        <f t="shared" si="1400"/>
        <v>1.0045454739823108</v>
      </c>
      <c r="CS288" s="1002">
        <f t="shared" si="1400"/>
        <v>0.28180208822573066</v>
      </c>
      <c r="CT288" s="1002">
        <f t="shared" si="1400"/>
        <v>0.30916989889742785</v>
      </c>
      <c r="CU288" s="1002">
        <f t="shared" si="1400"/>
        <v>0.3117339261174274</v>
      </c>
      <c r="CV288" s="1002">
        <f t="shared" si="1400"/>
        <v>0.21860243724699768</v>
      </c>
      <c r="CW288" s="1003">
        <f t="shared" si="1400"/>
        <v>1.1203854485214688</v>
      </c>
      <c r="CX288" s="1002">
        <f t="shared" si="1400"/>
        <v>0.20806849005711736</v>
      </c>
      <c r="CY288" s="1002">
        <f t="shared" si="1400"/>
        <v>0.24028125553279209</v>
      </c>
      <c r="CZ288" s="1002">
        <f t="shared" si="1400"/>
        <v>0.24642577495859963</v>
      </c>
      <c r="DA288" s="1002">
        <f t="shared" si="1400"/>
        <v>0.25612667605517891</v>
      </c>
      <c r="DB288" s="1003">
        <f t="shared" si="1400"/>
        <v>0.95109144904342247</v>
      </c>
      <c r="DC288" s="1002">
        <f t="shared" si="1400"/>
        <v>0.25867119087651491</v>
      </c>
      <c r="DD288" s="1002">
        <f t="shared" si="1400"/>
        <v>0.35715117588142581</v>
      </c>
      <c r="DE288" s="1002">
        <f t="shared" si="1400"/>
        <v>0.3614249571789997</v>
      </c>
      <c r="DF288" s="1002">
        <f t="shared" si="1400"/>
        <v>0.3810729063367107</v>
      </c>
      <c r="DG288" s="1003">
        <f t="shared" si="1400"/>
        <v>1.3552856682656698</v>
      </c>
      <c r="DH288" s="1002">
        <f t="shared" si="1400"/>
        <v>0.36366637422651371</v>
      </c>
      <c r="DI288" s="1002">
        <f t="shared" si="1400"/>
        <v>0.45266005410279531</v>
      </c>
      <c r="DJ288" s="1002">
        <f t="shared" si="1400"/>
        <v>0.43036211699164345</v>
      </c>
      <c r="DK288" s="1002">
        <f t="shared" si="1400"/>
        <v>0.45839772727272721</v>
      </c>
      <c r="DL288" s="1003">
        <f t="shared" si="1400"/>
        <v>1.703071871331848</v>
      </c>
      <c r="DM288" s="1002">
        <f t="shared" si="1400"/>
        <v>0.45904289799809334</v>
      </c>
      <c r="DN288" s="1002">
        <f t="shared" si="1400"/>
        <v>0.47555129434324067</v>
      </c>
      <c r="DO288" s="1002">
        <f t="shared" si="1400"/>
        <v>0.42052307692307689</v>
      </c>
      <c r="DP288" s="1002">
        <f t="shared" si="1400"/>
        <v>0.43885214007782097</v>
      </c>
      <c r="DQ288" s="1003">
        <f>DQ287+DQ275</f>
        <v>1.7942499999999997</v>
      </c>
      <c r="DR288" s="1002">
        <f t="shared" si="1400"/>
        <v>0.44809384164222876</v>
      </c>
      <c r="DS288" s="1002">
        <f t="shared" si="1400"/>
        <v>0.50930596285434993</v>
      </c>
      <c r="DT288" s="1002">
        <f t="shared" si="1400"/>
        <v>0.449017199017199</v>
      </c>
      <c r="DU288" s="1002">
        <f t="shared" si="1400"/>
        <v>0.42250740375123397</v>
      </c>
      <c r="DV288" s="1003">
        <f>DV287+DV275</f>
        <v>1.8290632440810288</v>
      </c>
      <c r="DW288" s="1002">
        <f t="shared" si="1400"/>
        <v>0.39593052109181143</v>
      </c>
      <c r="DX288" s="1002">
        <f t="shared" si="1400"/>
        <v>0.52775672981056831</v>
      </c>
      <c r="DY288" s="1002">
        <f>DY287+DY275</f>
        <v>0.51000000000000012</v>
      </c>
      <c r="DZ288" s="1002">
        <f>DZ287+DZ275</f>
        <v>0.49353397724875459</v>
      </c>
      <c r="EA288" s="1003">
        <f>EA287+EA275</f>
        <v>1.9263241899622079</v>
      </c>
      <c r="EB288" s="1002">
        <f>EB287+EB275</f>
        <v>0.44986615852275291</v>
      </c>
      <c r="EC288" s="1156">
        <f t="shared" ref="EC288:EF288" si="1401">EC287+EC275</f>
        <v>0.55966522388893436</v>
      </c>
      <c r="ED288" s="1002">
        <f t="shared" si="1401"/>
        <v>0.5162932790224033</v>
      </c>
      <c r="EE288" s="1002">
        <f t="shared" si="1401"/>
        <v>0.47893114080164439</v>
      </c>
      <c r="EF288" s="1003">
        <f t="shared" si="1401"/>
        <v>2.0043135632740174</v>
      </c>
      <c r="EG288" s="1002">
        <f>EG287+EG275</f>
        <v>0.36967808930425755</v>
      </c>
      <c r="EH288" s="1156">
        <f>EH287+EH275</f>
        <v>0.46743697478991597</v>
      </c>
      <c r="EI288" s="1002">
        <f>EI287+EI275</f>
        <v>0.48250265111346763</v>
      </c>
      <c r="EJ288" s="1002">
        <f t="shared" ref="EJ288:EK288" si="1402">EJ287+EJ275</f>
        <v>0.48983957219251339</v>
      </c>
      <c r="EK288" s="1003">
        <f t="shared" si="1402"/>
        <v>1.7938307408383865</v>
      </c>
      <c r="EL288" s="1002">
        <f>EL287+EL275</f>
        <v>0.50550053821313246</v>
      </c>
      <c r="EM288" s="1156">
        <f>EM287+EM275</f>
        <v>0.63961038961038963</v>
      </c>
      <c r="EN288" s="1002">
        <f>EN287+EN275</f>
        <v>0.51103752759381893</v>
      </c>
      <c r="EO288" s="1002">
        <f t="shared" ref="EO288:EP288" si="1403">EO287+EO275</f>
        <v>0.6395089285714286</v>
      </c>
      <c r="EP288" s="1003">
        <f t="shared" si="1403"/>
        <v>2.294511627906977</v>
      </c>
      <c r="EQ288" s="1002">
        <f>EQ287+EQ275</f>
        <v>0.78265765765765771</v>
      </c>
      <c r="ER288" s="1002">
        <f t="shared" ref="ER288" si="1404">ER287+ER275</f>
        <v>0.80776729088083077</v>
      </c>
      <c r="ES288" s="1002">
        <f t="shared" ref="ES288:EU288" si="1405">ES287+ES275</f>
        <v>0.77983622642557215</v>
      </c>
      <c r="ET288" s="1002">
        <f t="shared" si="1405"/>
        <v>0.84768784803204844</v>
      </c>
      <c r="EU288" s="1003">
        <f t="shared" si="1405"/>
        <v>3.21595262150531</v>
      </c>
      <c r="EV288" s="1004"/>
      <c r="EW288" s="1005"/>
      <c r="EX288" s="1005"/>
      <c r="EY288" s="1005"/>
      <c r="EZ288" s="1003">
        <f>EZ287+EZ275</f>
        <v>3.5484910616359486</v>
      </c>
      <c r="FA288" s="1004"/>
      <c r="FB288" s="1005"/>
      <c r="FC288" s="1005"/>
      <c r="FD288" s="1005"/>
      <c r="FE288" s="1003">
        <f>FE287+FE275</f>
        <v>4.0032997967642947</v>
      </c>
      <c r="FG288" s="494"/>
      <c r="FH288" s="777"/>
      <c r="FI288" s="786"/>
      <c r="FJ288" s="786"/>
      <c r="FL288" s="1354"/>
      <c r="FM288" s="1002">
        <f>+EQ288</f>
        <v>0.78265765765765771</v>
      </c>
      <c r="FN288" s="1495">
        <f>EL288</f>
        <v>0.50550053821313246</v>
      </c>
      <c r="FO288" s="1903">
        <v>0.64555184580665914</v>
      </c>
      <c r="FP288" s="1545">
        <f>+FM288/FN288-1</f>
        <v>0.54828254075501781</v>
      </c>
      <c r="FQ288" s="1545">
        <f>+FM288/FO288-1</f>
        <v>0.21238543850753921</v>
      </c>
      <c r="FR288" s="1625"/>
      <c r="FS288" s="1615"/>
      <c r="FT288" s="438"/>
      <c r="FU288" s="438"/>
      <c r="FV288" s="438"/>
      <c r="FW288" s="438"/>
      <c r="FX288" s="438"/>
      <c r="FY288" s="438"/>
      <c r="FZ288" s="494"/>
      <c r="GA288"/>
      <c r="GB288"/>
      <c r="GC288"/>
      <c r="GD288"/>
      <c r="GE288"/>
      <c r="GF288"/>
      <c r="GG288"/>
      <c r="GH288"/>
      <c r="GI288"/>
      <c r="GJ288"/>
      <c r="GK288"/>
      <c r="GL288"/>
      <c r="GM288"/>
      <c r="GN288"/>
      <c r="GO288"/>
      <c r="GP288"/>
      <c r="GQ288"/>
      <c r="GR288"/>
      <c r="GS288"/>
      <c r="GT288"/>
      <c r="GU288"/>
      <c r="GV288"/>
      <c r="GW288"/>
      <c r="GX288"/>
      <c r="GY288"/>
      <c r="GZ288"/>
      <c r="HA288"/>
      <c r="HB288"/>
      <c r="HC288"/>
      <c r="HD288"/>
      <c r="HE288"/>
      <c r="HF288"/>
      <c r="HG288"/>
      <c r="HH288"/>
      <c r="HI288"/>
      <c r="HJ288"/>
      <c r="HK288"/>
      <c r="HL288"/>
      <c r="HM288"/>
      <c r="HN288"/>
      <c r="HO288"/>
      <c r="HP288"/>
      <c r="HQ288"/>
      <c r="HR288"/>
      <c r="HS288"/>
      <c r="HT288"/>
      <c r="HU288"/>
      <c r="HV288"/>
      <c r="HW288"/>
      <c r="HX288"/>
      <c r="HY288"/>
      <c r="HZ288"/>
      <c r="IA288"/>
      <c r="IB288"/>
      <c r="IC288"/>
      <c r="ID288"/>
      <c r="IE288"/>
      <c r="IF288"/>
      <c r="IG288"/>
      <c r="IH288"/>
      <c r="II288"/>
      <c r="IJ288"/>
      <c r="IK288"/>
      <c r="IL288"/>
      <c r="IM288"/>
      <c r="IN288"/>
      <c r="IO288"/>
      <c r="IP288"/>
      <c r="IQ288"/>
      <c r="IR288"/>
      <c r="IS288"/>
      <c r="IT288"/>
      <c r="IU288"/>
      <c r="IV288"/>
      <c r="IW288"/>
      <c r="IX288"/>
    </row>
    <row r="289" spans="1:258" s="227" customFormat="1" x14ac:dyDescent="0.2">
      <c r="A289" s="685" t="s">
        <v>465</v>
      </c>
      <c r="B289" s="10"/>
      <c r="C289" s="10"/>
      <c r="D289" s="10"/>
      <c r="E289" s="10"/>
      <c r="F289" s="9"/>
      <c r="G289" s="10"/>
      <c r="H289" s="10"/>
      <c r="I289" s="10"/>
      <c r="J289" s="10"/>
      <c r="K289" s="9"/>
      <c r="L289" s="10"/>
      <c r="M289" s="10"/>
      <c r="N289" s="10"/>
      <c r="O289" s="10"/>
      <c r="P289" s="9"/>
      <c r="Q289" s="10"/>
      <c r="R289" s="10"/>
      <c r="S289" s="10"/>
      <c r="T289" s="10"/>
      <c r="U289" s="9"/>
      <c r="V289" s="10">
        <f t="shared" ref="V289:AV289" si="1406">V288/Q288-1</f>
        <v>-0.17483929671668785</v>
      </c>
      <c r="W289" s="10">
        <f t="shared" si="1406"/>
        <v>0.15841820657424655</v>
      </c>
      <c r="X289" s="10">
        <f t="shared" si="1406"/>
        <v>-9.0008001976741192E-2</v>
      </c>
      <c r="Y289" s="10">
        <f t="shared" si="1406"/>
        <v>-1.6235570681796374E-2</v>
      </c>
      <c r="Z289" s="9">
        <f t="shared" si="1406"/>
        <v>-0.10248289552829815</v>
      </c>
      <c r="AA289" s="10">
        <f t="shared" si="1406"/>
        <v>0.42083874716518266</v>
      </c>
      <c r="AB289" s="10">
        <f t="shared" si="1406"/>
        <v>4.5414047065299057E-2</v>
      </c>
      <c r="AC289" s="10">
        <f t="shared" si="1406"/>
        <v>0.4962240553377768</v>
      </c>
      <c r="AD289" s="10">
        <f t="shared" si="1406"/>
        <v>0.2999350396148186</v>
      </c>
      <c r="AE289" s="9">
        <f t="shared" si="1406"/>
        <v>0.41287669316132525</v>
      </c>
      <c r="AF289" s="10">
        <f t="shared" si="1406"/>
        <v>0.6247289802716407</v>
      </c>
      <c r="AG289" s="10">
        <f t="shared" si="1406"/>
        <v>0.12819162169281961</v>
      </c>
      <c r="AH289" s="10">
        <f t="shared" si="1406"/>
        <v>0.13627450316995748</v>
      </c>
      <c r="AI289" s="10">
        <f t="shared" si="1406"/>
        <v>0.1334947227116472</v>
      </c>
      <c r="AJ289" s="9">
        <f t="shared" si="1406"/>
        <v>0.19227893941915308</v>
      </c>
      <c r="AK289" s="10">
        <f t="shared" si="1406"/>
        <v>0.18954149532758824</v>
      </c>
      <c r="AL289" s="10">
        <f t="shared" si="1406"/>
        <v>0.25060128873469445</v>
      </c>
      <c r="AM289" s="10">
        <f t="shared" si="1406"/>
        <v>6.2621854831007795E-2</v>
      </c>
      <c r="AN289" s="10">
        <f t="shared" si="1406"/>
        <v>7.0903938388852339E-2</v>
      </c>
      <c r="AO289" s="9">
        <f t="shared" si="1406"/>
        <v>0.13225333929822214</v>
      </c>
      <c r="AP289" s="10">
        <f t="shared" si="1406"/>
        <v>0.10516377459954285</v>
      </c>
      <c r="AQ289" s="10">
        <f t="shared" si="1406"/>
        <v>2.7486135643778997E-2</v>
      </c>
      <c r="AR289" s="10">
        <f t="shared" si="1406"/>
        <v>2.4068314665137036E-2</v>
      </c>
      <c r="AS289" s="10">
        <f t="shared" si="1406"/>
        <v>-3.0617775883357012E-3</v>
      </c>
      <c r="AT289" s="9">
        <f t="shared" si="1406"/>
        <v>3.2617954614236E-2</v>
      </c>
      <c r="AU289" s="10">
        <f t="shared" si="1406"/>
        <v>-0.18699320414688458</v>
      </c>
      <c r="AV289" s="10">
        <f t="shared" si="1406"/>
        <v>-0.24201839582684703</v>
      </c>
      <c r="AW289" s="10">
        <f t="shared" ref="AW289:CB289" si="1407">AW288/AR288-1</f>
        <v>-0.45919988634940023</v>
      </c>
      <c r="AX289" s="10">
        <f t="shared" si="1407"/>
        <v>-0.37248976648489063</v>
      </c>
      <c r="AY289" s="9">
        <f t="shared" si="1407"/>
        <v>-0.32366859989639241</v>
      </c>
      <c r="AZ289" s="10">
        <f t="shared" si="1407"/>
        <v>5.3403651894009307E-2</v>
      </c>
      <c r="BA289" s="10">
        <f t="shared" si="1407"/>
        <v>-0.17350903874215484</v>
      </c>
      <c r="BB289" s="10">
        <f t="shared" si="1407"/>
        <v>3.2792993846351148E-2</v>
      </c>
      <c r="BC289" s="10">
        <f t="shared" si="1407"/>
        <v>-0.71405763584551685</v>
      </c>
      <c r="BD289" s="9">
        <f t="shared" si="1407"/>
        <v>-0.22146119023939159</v>
      </c>
      <c r="BE289" s="10">
        <f t="shared" si="1407"/>
        <v>-0.7889087236646366</v>
      </c>
      <c r="BF289" s="10">
        <f t="shared" si="1407"/>
        <v>-0.63610088872119519</v>
      </c>
      <c r="BG289" s="10">
        <f t="shared" si="1407"/>
        <v>-0.52137876486833834</v>
      </c>
      <c r="BH289" s="10">
        <f t="shared" si="1407"/>
        <v>0.25104944859480893</v>
      </c>
      <c r="BI289" s="9">
        <f t="shared" si="1407"/>
        <v>0.24885845364704529</v>
      </c>
      <c r="BJ289" s="10">
        <f>BJ288/BE288-1</f>
        <v>0.190317660841401</v>
      </c>
      <c r="BK289" s="10">
        <f>BK288/BF288-1</f>
        <v>0.98820506062203495</v>
      </c>
      <c r="BL289" s="10">
        <f>BL288/BG288-1</f>
        <v>0.6843508865816661</v>
      </c>
      <c r="BM289" s="10">
        <f>BM288/BH288-1</f>
        <v>0.19309838472834051</v>
      </c>
      <c r="BN289" s="9">
        <f>BN288/BI288-1</f>
        <v>-0.45838015958052836</v>
      </c>
      <c r="BO289" s="10">
        <f t="shared" si="1407"/>
        <v>-0.27975725538422225</v>
      </c>
      <c r="BP289" s="10">
        <f t="shared" si="1407"/>
        <v>0.24374677096251762</v>
      </c>
      <c r="BQ289" s="10">
        <f t="shared" si="1407"/>
        <v>0.2687095392565757</v>
      </c>
      <c r="BR289" s="10">
        <f t="shared" si="1407"/>
        <v>1.0979177600910019</v>
      </c>
      <c r="BS289" s="9">
        <f t="shared" si="1407"/>
        <v>0.37277947423161151</v>
      </c>
      <c r="BT289" s="10">
        <f t="shared" si="1407"/>
        <v>2.9220812087932626</v>
      </c>
      <c r="BU289" s="10">
        <f t="shared" si="1407"/>
        <v>-5.5235621546814162E-2</v>
      </c>
      <c r="BV289" s="10">
        <f t="shared" si="1407"/>
        <v>-1.7862658750396938</v>
      </c>
      <c r="BW289" s="10">
        <f t="shared" si="1407"/>
        <v>-9.1334690747892577E-2</v>
      </c>
      <c r="BX289" s="9">
        <f t="shared" si="1407"/>
        <v>-0.41116602538211455</v>
      </c>
      <c r="BY289" s="10">
        <f t="shared" si="1407"/>
        <v>-0.70693574586296481</v>
      </c>
      <c r="BZ289" s="10">
        <f t="shared" si="1407"/>
        <v>-7.1659636896987844E-2</v>
      </c>
      <c r="CA289" s="10">
        <f t="shared" si="1407"/>
        <v>-2.2127676969819419</v>
      </c>
      <c r="CB289" s="10">
        <f t="shared" si="1407"/>
        <v>-0.49350000726923526</v>
      </c>
      <c r="CC289" s="9">
        <f t="shared" ref="CC289:ED289" si="1408">CC288/BX288-1</f>
        <v>0.33421862167926797</v>
      </c>
      <c r="CD289" s="10">
        <f t="shared" si="1408"/>
        <v>18.019297578741718</v>
      </c>
      <c r="CE289" s="10">
        <f t="shared" si="1408"/>
        <v>0.31250052875865331</v>
      </c>
      <c r="CF289" s="10">
        <f t="shared" si="1408"/>
        <v>0.26158095341733989</v>
      </c>
      <c r="CG289" s="10">
        <f t="shared" si="1408"/>
        <v>2.4926383976918278</v>
      </c>
      <c r="CH289" s="9">
        <f t="shared" si="1408"/>
        <v>2.2286761505334303</v>
      </c>
      <c r="CI289" s="10">
        <f t="shared" si="1408"/>
        <v>-0.58838570158546832</v>
      </c>
      <c r="CJ289" s="10">
        <f t="shared" si="1408"/>
        <v>1.279322813060952</v>
      </c>
      <c r="CK289" s="10">
        <f t="shared" si="1408"/>
        <v>0.96401883404261879</v>
      </c>
      <c r="CL289" s="10">
        <f t="shared" si="1408"/>
        <v>0.45282686148605</v>
      </c>
      <c r="CM289" s="9">
        <f t="shared" si="1408"/>
        <v>0.11492751685415215</v>
      </c>
      <c r="CN289" s="10">
        <f t="shared" si="1408"/>
        <v>-1.7895608422134668E-2</v>
      </c>
      <c r="CO289" s="10">
        <f t="shared" si="1408"/>
        <v>-0.12516133509241278</v>
      </c>
      <c r="CP289" s="10">
        <f t="shared" si="1408"/>
        <v>0.31271630036769738</v>
      </c>
      <c r="CQ289" s="10">
        <f t="shared" si="1408"/>
        <v>0.14593036722984465</v>
      </c>
      <c r="CR289" s="9">
        <f t="shared" si="1408"/>
        <v>7.2110454058567974E-2</v>
      </c>
      <c r="CS289" s="10">
        <f t="shared" si="1408"/>
        <v>0.63154955020051284</v>
      </c>
      <c r="CT289" s="10">
        <f t="shared" si="1408"/>
        <v>0.27824484244778636</v>
      </c>
      <c r="CU289" s="10">
        <f t="shared" si="1408"/>
        <v>1.0449879587087763E-2</v>
      </c>
      <c r="CV289" s="10">
        <f t="shared" si="1408"/>
        <v>-0.23552941960183571</v>
      </c>
      <c r="CW289" s="9">
        <f t="shared" si="1408"/>
        <v>0.11531580952720311</v>
      </c>
      <c r="CX289" s="10">
        <f t="shared" si="1408"/>
        <v>-0.26165029021910868</v>
      </c>
      <c r="CY289" s="10">
        <f t="shared" si="1408"/>
        <v>-0.22281808031864936</v>
      </c>
      <c r="CZ289" s="10">
        <f t="shared" si="1408"/>
        <v>-0.20949965880270205</v>
      </c>
      <c r="DA289" s="10">
        <f t="shared" si="1408"/>
        <v>0.17165517128147489</v>
      </c>
      <c r="DB289" s="9">
        <f t="shared" si="1408"/>
        <v>-0.15110335438706146</v>
      </c>
      <c r="DC289" s="10">
        <f t="shared" si="1408"/>
        <v>0.24320213409299263</v>
      </c>
      <c r="DD289" s="10">
        <f t="shared" si="1408"/>
        <v>0.48638800429725593</v>
      </c>
      <c r="DE289" s="10">
        <f t="shared" si="1408"/>
        <v>0.46666864389376617</v>
      </c>
      <c r="DF289" s="10">
        <f t="shared" si="1408"/>
        <v>0.48782982001692732</v>
      </c>
      <c r="DG289" s="9">
        <f t="shared" si="1408"/>
        <v>0.424979343078705</v>
      </c>
      <c r="DH289" s="10">
        <f t="shared" si="1408"/>
        <v>0.40590211455021152</v>
      </c>
      <c r="DI289" s="10">
        <f t="shared" si="1408"/>
        <v>0.2674186301799506</v>
      </c>
      <c r="DJ289" s="10">
        <f t="shared" si="1408"/>
        <v>0.19073713213031351</v>
      </c>
      <c r="DK289" s="10">
        <f t="shared" si="1408"/>
        <v>0.20291345737314992</v>
      </c>
      <c r="DL289" s="9">
        <f>DL288/DG288-1</f>
        <v>0.25661468368601059</v>
      </c>
      <c r="DM289" s="10">
        <f t="shared" si="1408"/>
        <v>0.26226379597079075</v>
      </c>
      <c r="DN289" s="10">
        <f t="shared" si="1408"/>
        <v>5.0570488897716981E-2</v>
      </c>
      <c r="DO289" s="10">
        <f t="shared" si="1408"/>
        <v>-2.2862235499128802E-2</v>
      </c>
      <c r="DP289" s="10">
        <f t="shared" si="1408"/>
        <v>-4.2638926923120324E-2</v>
      </c>
      <c r="DQ289" s="9">
        <f t="shared" ref="DQ289:DV289" si="1409">DQ288/DL288-1</f>
        <v>5.3537452061167556E-2</v>
      </c>
      <c r="DR289" s="10">
        <f t="shared" si="1408"/>
        <v>-2.3851924087299636E-2</v>
      </c>
      <c r="DS289" s="10">
        <f t="shared" si="1408"/>
        <v>7.0980079147352715E-2</v>
      </c>
      <c r="DT289" s="10">
        <f t="shared" si="1409"/>
        <v>6.775875964432343E-2</v>
      </c>
      <c r="DU289" s="10">
        <f t="shared" si="1408"/>
        <v>-3.7244289896110838E-2</v>
      </c>
      <c r="DV289" s="9">
        <f t="shared" si="1409"/>
        <v>1.9402671913629099E-2</v>
      </c>
      <c r="DW289" s="10">
        <f t="shared" si="1408"/>
        <v>-0.11641159887233188</v>
      </c>
      <c r="DX289" s="10">
        <f t="shared" si="1408"/>
        <v>3.622727456952024E-2</v>
      </c>
      <c r="DY289" s="10">
        <f t="shared" si="1408"/>
        <v>0.13581395348837244</v>
      </c>
      <c r="DZ289" s="10">
        <f t="shared" si="1408"/>
        <v>0.16810728727333735</v>
      </c>
      <c r="EA289" s="9">
        <f>EA288/DV288-1</f>
        <v>5.3175277670644894E-2</v>
      </c>
      <c r="EB289" s="10">
        <f t="shared" si="1408"/>
        <v>0.13622500554443095</v>
      </c>
      <c r="EC289" s="10">
        <f t="shared" si="1408"/>
        <v>6.0460610497225176E-2</v>
      </c>
      <c r="ED289" s="10">
        <f t="shared" si="1408"/>
        <v>1.2339762789025821E-2</v>
      </c>
      <c r="EE289" s="10">
        <f t="shared" ref="EE289:EI289" si="1410">EE288/DZ288-1</f>
        <v>-2.9588310268960361E-2</v>
      </c>
      <c r="EF289" s="9">
        <f t="shared" si="1410"/>
        <v>4.0486110135667053E-2</v>
      </c>
      <c r="EG289" s="10">
        <f t="shared" si="1410"/>
        <v>-0.17824872509150891</v>
      </c>
      <c r="EH289" s="10">
        <f t="shared" si="1410"/>
        <v>-0.16479181689752642</v>
      </c>
      <c r="EI289" s="10">
        <f t="shared" si="1410"/>
        <v>-6.5448514016912873E-2</v>
      </c>
      <c r="EJ289" s="10">
        <f t="shared" ref="EJ289" si="1411">EJ288/EE288-1</f>
        <v>2.2776617474925986E-2</v>
      </c>
      <c r="EK289" s="9">
        <f t="shared" ref="EK289:EQ289" si="1412">EK288/EF288-1</f>
        <v>-0.10501491697327558</v>
      </c>
      <c r="EL289" s="10">
        <f t="shared" si="1412"/>
        <v>0.36740735477316444</v>
      </c>
      <c r="EM289" s="10">
        <f t="shared" si="1412"/>
        <v>0.3683350357507662</v>
      </c>
      <c r="EN289" s="10">
        <f t="shared" si="1412"/>
        <v>5.9139315430706052E-2</v>
      </c>
      <c r="EO289" s="10">
        <f t="shared" si="1412"/>
        <v>0.30554770352464122</v>
      </c>
      <c r="EP289" s="9">
        <f t="shared" si="1412"/>
        <v>0.27911266970181714</v>
      </c>
      <c r="EQ289" s="10">
        <f t="shared" si="1412"/>
        <v>0.54828254075501781</v>
      </c>
      <c r="ER289" s="10">
        <f t="shared" ref="ER289" si="1413">ER288/EM288-1</f>
        <v>0.26290520604718726</v>
      </c>
      <c r="ES289" s="10">
        <f t="shared" ref="ES289:EU289" si="1414">ES288/EN288-1</f>
        <v>0.52598622276796636</v>
      </c>
      <c r="ET289" s="10">
        <f t="shared" si="1414"/>
        <v>0.32552934002917167</v>
      </c>
      <c r="EU289" s="9">
        <f t="shared" si="1414"/>
        <v>0.40158480017765652</v>
      </c>
      <c r="EV289" s="1174"/>
      <c r="EW289" s="1175"/>
      <c r="EX289" s="632"/>
      <c r="EY289" s="1174"/>
      <c r="EZ289" s="1173">
        <f>EZ288/EU288-1</f>
        <v>0.1034027796015804</v>
      </c>
      <c r="FA289" s="1174"/>
      <c r="FB289" s="1175"/>
      <c r="FC289" s="632"/>
      <c r="FD289" s="1174"/>
      <c r="FE289" s="1173">
        <f>FE288/EZ288-1</f>
        <v>0.12816961554319573</v>
      </c>
      <c r="FF289" s="998"/>
      <c r="FG289" s="699"/>
      <c r="FH289" s="999"/>
      <c r="FI289" s="999"/>
      <c r="FJ289" s="999"/>
      <c r="FK289" s="998"/>
      <c r="FL289" s="1386"/>
      <c r="FM289" s="10">
        <f>+EQ289</f>
        <v>0.54828254075501781</v>
      </c>
      <c r="FN289" s="1418">
        <f>EL289</f>
        <v>0.36740735477316444</v>
      </c>
      <c r="FO289" s="1750">
        <v>0.27705471509206858</v>
      </c>
      <c r="FP289" s="1788"/>
      <c r="FQ289" s="1000"/>
      <c r="FR289" s="1625"/>
      <c r="FS289" s="1615"/>
      <c r="FT289" s="432"/>
      <c r="FU289" s="432"/>
      <c r="FV289" s="432"/>
      <c r="FW289" s="432"/>
      <c r="FX289" s="432"/>
      <c r="FY289" s="432"/>
      <c r="FZ289" s="699"/>
      <c r="GA289"/>
      <c r="GB289"/>
      <c r="GC289"/>
      <c r="GD289"/>
      <c r="GE289"/>
      <c r="GF289"/>
      <c r="GG289" s="1001"/>
      <c r="GH289" s="1001"/>
      <c r="GI289" s="1001"/>
      <c r="GJ289" s="1001"/>
      <c r="GK289" s="1001"/>
      <c r="GL289" s="1001"/>
      <c r="GM289" s="1001"/>
      <c r="GN289" s="1001"/>
      <c r="GO289" s="1001"/>
      <c r="GP289" s="1001"/>
      <c r="GQ289" s="1001"/>
      <c r="GR289" s="1001"/>
      <c r="GS289" s="1001"/>
      <c r="GT289" s="1001"/>
      <c r="GU289" s="1001"/>
      <c r="GV289" s="1001"/>
      <c r="GW289" s="1001"/>
      <c r="GX289" s="1001"/>
      <c r="GY289" s="1001"/>
      <c r="GZ289" s="1001"/>
      <c r="HA289" s="1001"/>
      <c r="HB289" s="1001"/>
      <c r="HC289" s="1001"/>
      <c r="HD289" s="1001"/>
      <c r="HE289" s="1001"/>
      <c r="HF289" s="1001"/>
      <c r="HG289" s="1001"/>
      <c r="HH289" s="1001"/>
      <c r="HI289" s="1001"/>
      <c r="HJ289" s="1001"/>
      <c r="HK289" s="1001"/>
      <c r="HL289" s="1001"/>
      <c r="HM289" s="1001"/>
      <c r="HN289" s="1001"/>
      <c r="HO289" s="1001"/>
      <c r="HP289" s="1001"/>
      <c r="HQ289" s="1001"/>
      <c r="HR289" s="1001"/>
      <c r="HS289" s="1001"/>
      <c r="HT289" s="1001"/>
      <c r="HU289" s="1001"/>
      <c r="HV289" s="1001"/>
      <c r="HW289" s="1001"/>
      <c r="HX289" s="1001"/>
      <c r="HY289" s="1001"/>
      <c r="HZ289" s="1001"/>
      <c r="IA289" s="1001"/>
      <c r="IB289" s="1001"/>
      <c r="IC289" s="1001"/>
      <c r="ID289" s="1001"/>
      <c r="IE289" s="1001"/>
      <c r="IF289" s="1001"/>
      <c r="IG289" s="1001"/>
      <c r="IH289" s="1001"/>
      <c r="II289" s="1001"/>
      <c r="IJ289" s="1001"/>
      <c r="IK289" s="1001"/>
      <c r="IL289" s="1001"/>
      <c r="IM289" s="1001"/>
      <c r="IN289" s="1001"/>
      <c r="IO289" s="1001"/>
      <c r="IP289" s="1001"/>
      <c r="IQ289" s="1001"/>
      <c r="IR289" s="1001"/>
      <c r="IS289" s="1001"/>
      <c r="IT289" s="1001"/>
      <c r="IU289" s="1001"/>
      <c r="IV289" s="1001"/>
      <c r="IW289" s="1001"/>
      <c r="IX289" s="1001"/>
    </row>
    <row r="290" spans="1:258" s="264" customFormat="1" x14ac:dyDescent="0.2">
      <c r="A290" s="263" t="s">
        <v>546</v>
      </c>
      <c r="B290" s="126"/>
      <c r="C290" s="126"/>
      <c r="D290" s="126"/>
      <c r="E290" s="126"/>
      <c r="F290" s="127"/>
      <c r="G290" s="126"/>
      <c r="H290" s="126"/>
      <c r="I290" s="126"/>
      <c r="J290" s="126"/>
      <c r="K290" s="127"/>
      <c r="L290" s="126"/>
      <c r="M290" s="126"/>
      <c r="N290" s="126"/>
      <c r="O290" s="126"/>
      <c r="P290" s="127"/>
      <c r="Q290" s="126"/>
      <c r="R290" s="126"/>
      <c r="S290" s="126"/>
      <c r="T290" s="126"/>
      <c r="U290" s="127"/>
      <c r="V290" s="126"/>
      <c r="W290" s="126"/>
      <c r="X290" s="126"/>
      <c r="Y290" s="126"/>
      <c r="Z290" s="127">
        <v>0.13166666666666668</v>
      </c>
      <c r="AA290" s="126"/>
      <c r="AB290" s="126"/>
      <c r="AC290" s="126"/>
      <c r="AD290" s="126"/>
      <c r="AE290" s="127">
        <v>0.14666666666666667</v>
      </c>
      <c r="AF290" s="126"/>
      <c r="AG290" s="126"/>
      <c r="AH290" s="126"/>
      <c r="AI290" s="126"/>
      <c r="AJ290" s="127">
        <v>0.15333333333333335</v>
      </c>
      <c r="AK290" s="126"/>
      <c r="AL290" s="126"/>
      <c r="AM290" s="126"/>
      <c r="AN290" s="126"/>
      <c r="AO290" s="127">
        <v>0.17333333333333334</v>
      </c>
      <c r="AP290" s="126"/>
      <c r="AQ290" s="126"/>
      <c r="AR290" s="126"/>
      <c r="AS290" s="126"/>
      <c r="AT290" s="127">
        <v>0.18666666666666668</v>
      </c>
      <c r="AU290" s="126">
        <v>0.05</v>
      </c>
      <c r="AV290" s="126">
        <v>0.05</v>
      </c>
      <c r="AW290" s="126">
        <v>0.05</v>
      </c>
      <c r="AX290" s="126">
        <v>0.05</v>
      </c>
      <c r="AY290" s="127">
        <f>SUM(AU290:AX290)</f>
        <v>0.2</v>
      </c>
      <c r="AZ290" s="126">
        <v>0.05</v>
      </c>
      <c r="BA290" s="126">
        <v>0.05</v>
      </c>
      <c r="BB290" s="126">
        <v>0.05</v>
      </c>
      <c r="BC290" s="126">
        <v>0.05</v>
      </c>
      <c r="BD290" s="127">
        <f>SUM(AZ290:BC290)</f>
        <v>0.2</v>
      </c>
      <c r="BE290" s="126">
        <v>0.05</v>
      </c>
      <c r="BF290" s="126">
        <v>0.05</v>
      </c>
      <c r="BG290" s="126">
        <v>0.05</v>
      </c>
      <c r="BH290" s="126">
        <v>0.05</v>
      </c>
      <c r="BI290" s="127">
        <f>SUM(BE290:BH290)</f>
        <v>0.2</v>
      </c>
      <c r="BJ290" s="126">
        <v>0.05</v>
      </c>
      <c r="BK290" s="126">
        <v>0.05</v>
      </c>
      <c r="BL290" s="126">
        <v>1.6666666666666666E-2</v>
      </c>
      <c r="BM290" s="126">
        <v>1.6666666666666666E-2</v>
      </c>
      <c r="BN290" s="127">
        <f>SUM(BJ290:BM290)</f>
        <v>0.13333333333333333</v>
      </c>
      <c r="BO290" s="126">
        <v>1.6666666666666666E-2</v>
      </c>
      <c r="BP290" s="126">
        <v>1.6666666666666666E-2</v>
      </c>
      <c r="BQ290" s="126">
        <v>1.6666666666666666E-2</v>
      </c>
      <c r="BR290" s="126">
        <v>1.6666666666666666E-2</v>
      </c>
      <c r="BS290" s="127">
        <f>SUM(BO290:BR290)</f>
        <v>6.6666666666666666E-2</v>
      </c>
      <c r="BT290" s="126">
        <v>1.6666666666666666E-2</v>
      </c>
      <c r="BU290" s="126">
        <v>1.6666666666666666E-2</v>
      </c>
      <c r="BV290" s="126">
        <v>1.6666666666666666E-2</v>
      </c>
      <c r="BW290" s="126">
        <v>1.6666666666666666E-2</v>
      </c>
      <c r="BX290" s="127">
        <f>SUM(BT290:BW290)</f>
        <v>6.6666666666666666E-2</v>
      </c>
      <c r="BY290" s="126">
        <v>1.6666666666666666E-2</v>
      </c>
      <c r="BZ290" s="126">
        <v>1.6666666666666666E-2</v>
      </c>
      <c r="CA290" s="126">
        <v>1.6666666666666666E-2</v>
      </c>
      <c r="CB290" s="126">
        <v>1.6666666666666666E-2</v>
      </c>
      <c r="CC290" s="127">
        <f>SUM(BY290:CB290)</f>
        <v>6.6666666666666666E-2</v>
      </c>
      <c r="CD290" s="126">
        <v>1.6666666666666666E-2</v>
      </c>
      <c r="CE290" s="126">
        <v>1.6666666666666666E-2</v>
      </c>
      <c r="CF290" s="126">
        <v>1.6666666666666666E-2</v>
      </c>
      <c r="CG290" s="126">
        <v>2.1666666666666667E-2</v>
      </c>
      <c r="CH290" s="127">
        <f>SUM(CD290:CG290)</f>
        <v>7.166666666666667E-2</v>
      </c>
      <c r="CI290" s="126">
        <v>2.1666666666666667E-2</v>
      </c>
      <c r="CJ290" s="126">
        <v>2.1666666666666667E-2</v>
      </c>
      <c r="CK290" s="126">
        <v>3.3333333333333333E-2</v>
      </c>
      <c r="CL290" s="126">
        <v>3.3333333333333333E-2</v>
      </c>
      <c r="CM290" s="127">
        <f>SUM(CI290:CL290)</f>
        <v>0.10999999999999999</v>
      </c>
      <c r="CN290" s="126">
        <v>0.04</v>
      </c>
      <c r="CO290" s="126">
        <v>0.04</v>
      </c>
      <c r="CP290" s="126">
        <v>0.05</v>
      </c>
      <c r="CQ290" s="126">
        <v>0.05</v>
      </c>
      <c r="CR290" s="127">
        <f>SUM(CN290:CQ290)</f>
        <v>0.18</v>
      </c>
      <c r="CS290" s="126">
        <v>0.05</v>
      </c>
      <c r="CT290" s="126">
        <v>0.06</v>
      </c>
      <c r="CU290" s="126">
        <v>7.3333333333333334E-2</v>
      </c>
      <c r="CV290" s="126">
        <v>7.3333333333333334E-2</v>
      </c>
      <c r="CW290" s="127">
        <f>SUM(CS290:CV290)</f>
        <v>0.25666666666666671</v>
      </c>
      <c r="CX290" s="126">
        <v>7.3333333333333334E-2</v>
      </c>
      <c r="CY290" s="126">
        <v>7.3333333333333334E-2</v>
      </c>
      <c r="CZ290" s="126">
        <v>7.3333333333333334E-2</v>
      </c>
      <c r="DA290" s="126">
        <v>7.3333333333333334E-2</v>
      </c>
      <c r="DB290" s="127">
        <f>SUM(CX290:DA290)</f>
        <v>0.29333333333333333</v>
      </c>
      <c r="DC290" s="126">
        <v>0.08</v>
      </c>
      <c r="DD290" s="126">
        <v>0.08</v>
      </c>
      <c r="DE290" s="126">
        <v>0.08</v>
      </c>
      <c r="DF290" s="126">
        <v>8.666666666666667E-2</v>
      </c>
      <c r="DG290" s="127">
        <f>SUM(DC290:DF290)</f>
        <v>0.32666666666666666</v>
      </c>
      <c r="DH290" s="126">
        <v>8.666666666666667E-2</v>
      </c>
      <c r="DI290" s="126">
        <v>0.12</v>
      </c>
      <c r="DJ290" s="126">
        <v>0.12</v>
      </c>
      <c r="DK290" s="126">
        <v>0.12</v>
      </c>
      <c r="DL290" s="127">
        <f>SUM(DH290:DK290)</f>
        <v>0.44666666666666666</v>
      </c>
      <c r="DM290" s="126">
        <v>0.12</v>
      </c>
      <c r="DN290" s="126">
        <v>0.14000000000000001</v>
      </c>
      <c r="DO290" s="126">
        <v>0.14000000000000001</v>
      </c>
      <c r="DP290" s="126">
        <v>0.14000000000000001</v>
      </c>
      <c r="DQ290" s="127">
        <f>SUM(DM290:DP290)</f>
        <v>0.54</v>
      </c>
      <c r="DR290" s="126">
        <v>0.14000000000000001</v>
      </c>
      <c r="DS290" s="126">
        <v>0.15</v>
      </c>
      <c r="DT290" s="377">
        <v>0.15</v>
      </c>
      <c r="DU290" s="126">
        <v>0.15</v>
      </c>
      <c r="DV290" s="127">
        <f>SUM(DR290:DU290)</f>
        <v>0.59000000000000008</v>
      </c>
      <c r="DW290" s="126">
        <v>0.15</v>
      </c>
      <c r="DX290" s="126">
        <v>0.16</v>
      </c>
      <c r="DY290" s="377">
        <v>0.16</v>
      </c>
      <c r="DZ290" s="126">
        <v>0.16</v>
      </c>
      <c r="EA290" s="127">
        <f>SUM(DW290:DZ290)</f>
        <v>0.63</v>
      </c>
      <c r="EB290" s="126">
        <v>0.16</v>
      </c>
      <c r="EC290" s="126">
        <v>0.18</v>
      </c>
      <c r="ED290" s="377">
        <v>0.18</v>
      </c>
      <c r="EE290" s="126">
        <v>0.18</v>
      </c>
      <c r="EF290" s="127">
        <f>SUM(EB290:EE290)</f>
        <v>0.7</v>
      </c>
      <c r="EG290" s="126">
        <v>0.18</v>
      </c>
      <c r="EH290" s="126">
        <v>0.18</v>
      </c>
      <c r="EI290" s="377">
        <v>0.18</v>
      </c>
      <c r="EJ290" s="126">
        <v>0.18</v>
      </c>
      <c r="EK290" s="127">
        <f>SUM(EG290:EJ290)</f>
        <v>0.72</v>
      </c>
      <c r="EL290" s="126">
        <v>0.18</v>
      </c>
      <c r="EM290" s="126">
        <v>0.2</v>
      </c>
      <c r="EN290" s="377">
        <v>0.2</v>
      </c>
      <c r="EO290" s="126">
        <v>0.2</v>
      </c>
      <c r="EP290" s="127">
        <f>SUM(EL290:EO290)</f>
        <v>0.78</v>
      </c>
      <c r="EQ290" s="126">
        <v>0.22</v>
      </c>
      <c r="ER290" s="128">
        <v>0.22</v>
      </c>
      <c r="ES290" s="128">
        <v>0.22</v>
      </c>
      <c r="ET290" s="128">
        <v>0.22</v>
      </c>
      <c r="EU290" s="127">
        <f>SUM(EQ290:ET290)</f>
        <v>0.88</v>
      </c>
      <c r="EV290" s="126"/>
      <c r="EW290" s="126"/>
      <c r="EX290" s="126"/>
      <c r="EY290" s="126"/>
      <c r="EZ290" s="127">
        <f>EZ292*EZ275</f>
        <v>0.97099444604939078</v>
      </c>
      <c r="FA290" s="126"/>
      <c r="FB290" s="126"/>
      <c r="FC290" s="126"/>
      <c r="FD290" s="126"/>
      <c r="FE290" s="127">
        <f>FE292*FE275</f>
        <v>1.0954464308941196</v>
      </c>
      <c r="FG290" s="494"/>
      <c r="FH290" s="818"/>
      <c r="FI290" s="818"/>
      <c r="FJ290" s="818"/>
      <c r="FK290" s="961"/>
      <c r="FL290" s="1387"/>
      <c r="FM290" s="128"/>
      <c r="FN290" s="1496"/>
      <c r="FO290" s="1904">
        <v>0.22</v>
      </c>
      <c r="FP290" s="1789"/>
      <c r="FQ290" s="748"/>
      <c r="FR290" s="1615"/>
      <c r="FS290" s="1631"/>
      <c r="FT290" s="704"/>
      <c r="FU290" s="714"/>
      <c r="FV290" s="714"/>
      <c r="FW290" s="714"/>
      <c r="FX290" s="714"/>
      <c r="FY290" s="714"/>
      <c r="FZ290" s="494"/>
      <c r="GA290"/>
      <c r="GB290"/>
      <c r="GC290"/>
      <c r="GD290"/>
      <c r="GE290"/>
      <c r="GF290"/>
      <c r="GG290"/>
      <c r="GH290"/>
      <c r="GI290"/>
      <c r="GJ290"/>
      <c r="GK290"/>
      <c r="GL290"/>
      <c r="GM290"/>
      <c r="GN290"/>
      <c r="GO290"/>
      <c r="GP290"/>
      <c r="GQ290"/>
      <c r="GR290"/>
      <c r="GS290"/>
      <c r="GT290"/>
      <c r="GU290"/>
      <c r="GV290"/>
      <c r="GW290"/>
      <c r="GX290"/>
      <c r="GY290"/>
      <c r="GZ290"/>
      <c r="HA290"/>
      <c r="HB290"/>
      <c r="HC290"/>
      <c r="HD290"/>
      <c r="HE290"/>
      <c r="HF290"/>
      <c r="HG290"/>
      <c r="HH290"/>
      <c r="HI290"/>
      <c r="HJ290"/>
      <c r="HK290"/>
      <c r="HL290"/>
      <c r="HM290"/>
      <c r="HN290"/>
      <c r="HO290"/>
      <c r="HP290"/>
      <c r="HQ290"/>
      <c r="HR290"/>
      <c r="HS290"/>
      <c r="HT290"/>
      <c r="HU290"/>
      <c r="HV290"/>
      <c r="HW290"/>
      <c r="HX290"/>
      <c r="HY290"/>
      <c r="HZ290"/>
      <c r="IA290"/>
      <c r="IB290"/>
      <c r="IC290"/>
      <c r="ID290"/>
      <c r="IE290"/>
      <c r="IF290"/>
      <c r="IG290"/>
      <c r="IH290"/>
      <c r="II290"/>
      <c r="IJ290"/>
      <c r="IK290"/>
      <c r="IL290"/>
      <c r="IM290"/>
      <c r="IN290"/>
      <c r="IO290"/>
      <c r="IP290"/>
      <c r="IQ290"/>
      <c r="IR290"/>
      <c r="IS290"/>
      <c r="IT290"/>
      <c r="IU290"/>
      <c r="IV290"/>
      <c r="IW290"/>
      <c r="IX290"/>
    </row>
    <row r="291" spans="1:258" s="42" customFormat="1" x14ac:dyDescent="0.2">
      <c r="A291" s="3" t="s">
        <v>465</v>
      </c>
      <c r="B291" s="6"/>
      <c r="C291" s="6"/>
      <c r="D291" s="6"/>
      <c r="E291" s="6"/>
      <c r="F291" s="4"/>
      <c r="G291" s="6"/>
      <c r="H291" s="6"/>
      <c r="I291" s="6"/>
      <c r="J291" s="6"/>
      <c r="K291" s="4"/>
      <c r="L291" s="6"/>
      <c r="M291" s="6"/>
      <c r="N291" s="6"/>
      <c r="O291" s="6"/>
      <c r="P291" s="4"/>
      <c r="Q291" s="6"/>
      <c r="R291" s="6"/>
      <c r="S291" s="6"/>
      <c r="T291" s="6"/>
      <c r="U291" s="4"/>
      <c r="V291" s="6"/>
      <c r="W291" s="6"/>
      <c r="X291" s="6"/>
      <c r="Y291" s="6"/>
      <c r="Z291" s="4"/>
      <c r="AA291" s="6"/>
      <c r="AB291" s="6"/>
      <c r="AC291" s="6"/>
      <c r="AD291" s="6"/>
      <c r="AE291" s="4"/>
      <c r="AF291" s="6"/>
      <c r="AG291" s="6"/>
      <c r="AH291" s="6"/>
      <c r="AI291" s="6"/>
      <c r="AJ291" s="4"/>
      <c r="AK291" s="6"/>
      <c r="AL291" s="6"/>
      <c r="AM291" s="6"/>
      <c r="AN291" s="6"/>
      <c r="AO291" s="4"/>
      <c r="AP291" s="6"/>
      <c r="AQ291" s="6"/>
      <c r="AR291" s="6"/>
      <c r="AS291" s="6"/>
      <c r="AT291" s="4"/>
      <c r="AU291" s="6"/>
      <c r="AV291" s="6"/>
      <c r="AW291" s="6"/>
      <c r="AX291" s="6"/>
      <c r="AY291" s="4"/>
      <c r="AZ291" s="6"/>
      <c r="BA291" s="6"/>
      <c r="BB291" s="6"/>
      <c r="BC291" s="6"/>
      <c r="BD291" s="4"/>
      <c r="BE291" s="6"/>
      <c r="BF291" s="6"/>
      <c r="BG291" s="6"/>
      <c r="BH291" s="6"/>
      <c r="BI291" s="4"/>
      <c r="BJ291" s="6"/>
      <c r="BK291" s="6"/>
      <c r="BL291" s="6"/>
      <c r="BM291" s="6"/>
      <c r="BN291" s="4"/>
      <c r="BO291" s="6"/>
      <c r="BP291" s="6"/>
      <c r="BQ291" s="6"/>
      <c r="BR291" s="6"/>
      <c r="BS291" s="4"/>
      <c r="BT291" s="6"/>
      <c r="BU291" s="6"/>
      <c r="BV291" s="6"/>
      <c r="BW291" s="6"/>
      <c r="BX291" s="4">
        <f>BX290/BS290-1</f>
        <v>0</v>
      </c>
      <c r="BY291" s="6"/>
      <c r="BZ291" s="6"/>
      <c r="CA291" s="6"/>
      <c r="CB291" s="6"/>
      <c r="CC291" s="4">
        <f t="shared" ref="CC291:ED291" si="1415">CC290/BX290-1</f>
        <v>0</v>
      </c>
      <c r="CD291" s="6">
        <f t="shared" si="1415"/>
        <v>0</v>
      </c>
      <c r="CE291" s="6">
        <f t="shared" si="1415"/>
        <v>0</v>
      </c>
      <c r="CF291" s="6">
        <f t="shared" si="1415"/>
        <v>0</v>
      </c>
      <c r="CG291" s="6">
        <f t="shared" si="1415"/>
        <v>0.30000000000000004</v>
      </c>
      <c r="CH291" s="4">
        <f t="shared" si="1415"/>
        <v>7.5000000000000178E-2</v>
      </c>
      <c r="CI291" s="6">
        <f t="shared" si="1415"/>
        <v>0.30000000000000004</v>
      </c>
      <c r="CJ291" s="6">
        <f t="shared" si="1415"/>
        <v>0.30000000000000004</v>
      </c>
      <c r="CK291" s="6">
        <f t="shared" si="1415"/>
        <v>1</v>
      </c>
      <c r="CL291" s="6">
        <f t="shared" si="1415"/>
        <v>0.53846153846153832</v>
      </c>
      <c r="CM291" s="4">
        <f t="shared" si="1415"/>
        <v>0.5348837209302324</v>
      </c>
      <c r="CN291" s="6">
        <f t="shared" si="1415"/>
        <v>0.84615384615384603</v>
      </c>
      <c r="CO291" s="6">
        <f t="shared" si="1415"/>
        <v>0.84615384615384603</v>
      </c>
      <c r="CP291" s="6">
        <f t="shared" si="1415"/>
        <v>0.5</v>
      </c>
      <c r="CQ291" s="6">
        <f t="shared" si="1415"/>
        <v>0.5</v>
      </c>
      <c r="CR291" s="4">
        <f t="shared" si="1415"/>
        <v>0.63636363636363646</v>
      </c>
      <c r="CS291" s="6">
        <f t="shared" si="1415"/>
        <v>0.25</v>
      </c>
      <c r="CT291" s="6">
        <f t="shared" si="1415"/>
        <v>0.5</v>
      </c>
      <c r="CU291" s="6">
        <f t="shared" si="1415"/>
        <v>0.46666666666666656</v>
      </c>
      <c r="CV291" s="6">
        <f t="shared" si="1415"/>
        <v>0.46666666666666656</v>
      </c>
      <c r="CW291" s="4">
        <f t="shared" si="1415"/>
        <v>0.42592592592592626</v>
      </c>
      <c r="CX291" s="6">
        <f t="shared" si="1415"/>
        <v>0.46666666666666656</v>
      </c>
      <c r="CY291" s="6">
        <f t="shared" si="1415"/>
        <v>0.22222222222222232</v>
      </c>
      <c r="CZ291" s="6">
        <f t="shared" si="1415"/>
        <v>0</v>
      </c>
      <c r="DA291" s="6">
        <f t="shared" si="1415"/>
        <v>0</v>
      </c>
      <c r="DB291" s="4">
        <f t="shared" si="1415"/>
        <v>0.14285714285714257</v>
      </c>
      <c r="DC291" s="6">
        <f t="shared" si="1415"/>
        <v>9.0909090909090828E-2</v>
      </c>
      <c r="DD291" s="6">
        <f t="shared" si="1415"/>
        <v>9.0909090909090828E-2</v>
      </c>
      <c r="DE291" s="6">
        <f t="shared" si="1415"/>
        <v>9.0909090909090828E-2</v>
      </c>
      <c r="DF291" s="6">
        <f t="shared" si="1415"/>
        <v>0.18181818181818188</v>
      </c>
      <c r="DG291" s="4">
        <f t="shared" si="1415"/>
        <v>0.11363636363636354</v>
      </c>
      <c r="DH291" s="6">
        <f t="shared" si="1415"/>
        <v>8.3333333333333259E-2</v>
      </c>
      <c r="DI291" s="6">
        <f t="shared" si="1415"/>
        <v>0.5</v>
      </c>
      <c r="DJ291" s="6">
        <f t="shared" si="1415"/>
        <v>0.5</v>
      </c>
      <c r="DK291" s="6">
        <f t="shared" si="1415"/>
        <v>0.38461538461538458</v>
      </c>
      <c r="DL291" s="4">
        <f>DL290/DG290-1</f>
        <v>0.36734693877551017</v>
      </c>
      <c r="DM291" s="6">
        <f t="shared" si="1415"/>
        <v>0.38461538461538458</v>
      </c>
      <c r="DN291" s="6">
        <f t="shared" si="1415"/>
        <v>0.16666666666666674</v>
      </c>
      <c r="DO291" s="6">
        <f t="shared" si="1415"/>
        <v>0.16666666666666674</v>
      </c>
      <c r="DP291" s="6">
        <f t="shared" si="1415"/>
        <v>0.16666666666666674</v>
      </c>
      <c r="DQ291" s="4">
        <f t="shared" ref="DQ291:DV291" si="1416">DQ290/DL290-1</f>
        <v>0.20895522388059717</v>
      </c>
      <c r="DR291" s="6">
        <f t="shared" si="1415"/>
        <v>0.16666666666666674</v>
      </c>
      <c r="DS291" s="6">
        <f t="shared" si="1415"/>
        <v>7.1428571428571397E-2</v>
      </c>
      <c r="DT291" s="6">
        <f t="shared" si="1416"/>
        <v>7.1428571428571397E-2</v>
      </c>
      <c r="DU291" s="6">
        <f t="shared" si="1415"/>
        <v>7.1428571428571397E-2</v>
      </c>
      <c r="DV291" s="4">
        <f t="shared" si="1416"/>
        <v>9.259259259259256E-2</v>
      </c>
      <c r="DW291" s="6">
        <f t="shared" si="1415"/>
        <v>7.1428571428571397E-2</v>
      </c>
      <c r="DX291" s="6">
        <f t="shared" si="1415"/>
        <v>6.6666666666666652E-2</v>
      </c>
      <c r="DY291" s="6">
        <f t="shared" si="1415"/>
        <v>6.6666666666666652E-2</v>
      </c>
      <c r="DZ291" s="6">
        <f t="shared" si="1415"/>
        <v>6.6666666666666652E-2</v>
      </c>
      <c r="EA291" s="4">
        <f>EA290/DV290-1</f>
        <v>6.7796610169491345E-2</v>
      </c>
      <c r="EB291" s="6">
        <f t="shared" si="1415"/>
        <v>6.6666666666666652E-2</v>
      </c>
      <c r="EC291" s="6">
        <f t="shared" si="1415"/>
        <v>0.125</v>
      </c>
      <c r="ED291" s="6">
        <f t="shared" si="1415"/>
        <v>0.125</v>
      </c>
      <c r="EE291" s="6">
        <f t="shared" ref="EE291:EI291" si="1417">EE290/DZ290-1</f>
        <v>0.125</v>
      </c>
      <c r="EF291" s="4">
        <f t="shared" si="1417"/>
        <v>0.11111111111111094</v>
      </c>
      <c r="EG291" s="6">
        <f t="shared" si="1417"/>
        <v>0.125</v>
      </c>
      <c r="EH291" s="6">
        <f t="shared" si="1417"/>
        <v>0</v>
      </c>
      <c r="EI291" s="6">
        <f t="shared" si="1417"/>
        <v>0</v>
      </c>
      <c r="EJ291" s="6">
        <f t="shared" ref="EJ291" si="1418">EJ290/EE290-1</f>
        <v>0</v>
      </c>
      <c r="EK291" s="4">
        <f t="shared" ref="EK291:EQ291" si="1419">EK290/EF290-1</f>
        <v>2.8571428571428692E-2</v>
      </c>
      <c r="EL291" s="6">
        <f t="shared" si="1419"/>
        <v>0</v>
      </c>
      <c r="EM291" s="6">
        <f t="shared" si="1419"/>
        <v>0.11111111111111116</v>
      </c>
      <c r="EN291" s="6">
        <f t="shared" si="1419"/>
        <v>0.11111111111111116</v>
      </c>
      <c r="EO291" s="6">
        <f t="shared" si="1419"/>
        <v>0.11111111111111116</v>
      </c>
      <c r="EP291" s="4">
        <f t="shared" si="1419"/>
        <v>8.3333333333333481E-2</v>
      </c>
      <c r="EQ291" s="6">
        <f t="shared" si="1419"/>
        <v>0.22222222222222232</v>
      </c>
      <c r="ER291" s="6">
        <f t="shared" ref="ER291" si="1420">ER290/EM290-1</f>
        <v>9.9999999999999867E-2</v>
      </c>
      <c r="ES291" s="6">
        <f t="shared" ref="ES291:EU291" si="1421">ES290/EN290-1</f>
        <v>9.9999999999999867E-2</v>
      </c>
      <c r="ET291" s="6">
        <f t="shared" si="1421"/>
        <v>9.9999999999999867E-2</v>
      </c>
      <c r="EU291" s="4">
        <f t="shared" si="1421"/>
        <v>0.12820512820512819</v>
      </c>
      <c r="EV291" s="6"/>
      <c r="EW291" s="6"/>
      <c r="EX291" s="6"/>
      <c r="EY291" s="6"/>
      <c r="EZ291" s="4">
        <f>EZ290/EU290-1</f>
        <v>0.1034027796015804</v>
      </c>
      <c r="FA291" s="6"/>
      <c r="FB291" s="6"/>
      <c r="FC291" s="6"/>
      <c r="FD291" s="6"/>
      <c r="FE291" s="4">
        <f>FE290/EZ290-1</f>
        <v>0.12816961554319595</v>
      </c>
      <c r="FG291" s="494"/>
      <c r="FH291" s="804"/>
      <c r="FI291" s="804"/>
      <c r="FJ291" s="804"/>
      <c r="FL291" s="1378"/>
      <c r="FM291" s="6"/>
      <c r="FN291" s="1497"/>
      <c r="FO291" s="1905">
        <v>0.22222222222222232</v>
      </c>
      <c r="FP291" s="1782"/>
      <c r="FQ291" s="734"/>
      <c r="FR291" s="1619"/>
      <c r="FS291" s="1619"/>
      <c r="FT291" s="704"/>
      <c r="FU291" s="433"/>
      <c r="FV291" s="433"/>
      <c r="FW291" s="433"/>
      <c r="FX291" s="433"/>
      <c r="FY291" s="433"/>
      <c r="FZ291" s="494"/>
      <c r="GA291"/>
      <c r="GB291"/>
      <c r="GC291"/>
      <c r="GD291"/>
      <c r="GE291"/>
      <c r="GF291"/>
      <c r="GG291"/>
      <c r="GH291"/>
      <c r="GI291"/>
      <c r="GJ291"/>
      <c r="GK291"/>
      <c r="GL291"/>
      <c r="GM291"/>
      <c r="GN291"/>
      <c r="GO291"/>
      <c r="GP291"/>
      <c r="GQ291"/>
      <c r="GR291"/>
      <c r="GS291"/>
      <c r="GT291"/>
      <c r="GU291"/>
      <c r="GV291"/>
      <c r="GW291"/>
      <c r="GX291"/>
      <c r="GY291"/>
      <c r="GZ291"/>
      <c r="HA291"/>
      <c r="HB291"/>
      <c r="HC291"/>
      <c r="HD291"/>
      <c r="HE291"/>
      <c r="HF291"/>
      <c r="HG291"/>
      <c r="HH291"/>
      <c r="HI291"/>
      <c r="HJ291"/>
      <c r="HK291"/>
      <c r="HL291"/>
      <c r="HM291"/>
      <c r="HN291"/>
      <c r="HO291"/>
      <c r="HP291"/>
      <c r="HQ291"/>
      <c r="HR291"/>
      <c r="HS291"/>
      <c r="HT291"/>
      <c r="HU291"/>
      <c r="HV291"/>
      <c r="HW291"/>
      <c r="HX291"/>
      <c r="HY291"/>
      <c r="HZ291"/>
      <c r="IA291"/>
      <c r="IB291"/>
      <c r="IC291"/>
      <c r="ID291"/>
      <c r="IE291"/>
      <c r="IF291"/>
      <c r="IG291"/>
      <c r="IH291"/>
      <c r="II291"/>
      <c r="IJ291"/>
      <c r="IK291"/>
      <c r="IL291"/>
      <c r="IM291"/>
      <c r="IN291"/>
      <c r="IO291"/>
      <c r="IP291"/>
      <c r="IQ291"/>
      <c r="IR291"/>
      <c r="IS291"/>
      <c r="IT291"/>
      <c r="IU291"/>
      <c r="IV291"/>
      <c r="IW291"/>
      <c r="IX291"/>
    </row>
    <row r="292" spans="1:258" s="42" customFormat="1" x14ac:dyDescent="0.2">
      <c r="A292" s="3" t="s">
        <v>601</v>
      </c>
      <c r="B292" s="6"/>
      <c r="C292" s="6"/>
      <c r="D292" s="6"/>
      <c r="E292" s="6"/>
      <c r="F292" s="4"/>
      <c r="G292" s="6"/>
      <c r="H292" s="6"/>
      <c r="I292" s="6"/>
      <c r="J292" s="6"/>
      <c r="K292" s="4"/>
      <c r="L292" s="6"/>
      <c r="M292" s="6"/>
      <c r="N292" s="6"/>
      <c r="O292" s="6"/>
      <c r="P292" s="4"/>
      <c r="Q292" s="6"/>
      <c r="R292" s="6"/>
      <c r="S292" s="6"/>
      <c r="T292" s="6"/>
      <c r="U292" s="4"/>
      <c r="V292" s="6"/>
      <c r="W292" s="6"/>
      <c r="X292" s="6"/>
      <c r="Y292" s="6"/>
      <c r="Z292" s="4"/>
      <c r="AA292" s="6"/>
      <c r="AB292" s="6"/>
      <c r="AC292" s="6"/>
      <c r="AD292" s="6"/>
      <c r="AE292" s="4"/>
      <c r="AF292" s="6"/>
      <c r="AG292" s="6"/>
      <c r="AH292" s="6"/>
      <c r="AI292" s="6"/>
      <c r="AJ292" s="4"/>
      <c r="AK292" s="6"/>
      <c r="AL292" s="6"/>
      <c r="AM292" s="6"/>
      <c r="AN292" s="6"/>
      <c r="AO292" s="4"/>
      <c r="AP292" s="6"/>
      <c r="AQ292" s="6"/>
      <c r="AR292" s="6"/>
      <c r="AS292" s="6"/>
      <c r="AT292" s="4"/>
      <c r="AU292" s="6"/>
      <c r="AV292" s="6"/>
      <c r="AW292" s="6"/>
      <c r="AX292" s="6"/>
      <c r="AY292" s="4"/>
      <c r="AZ292" s="6"/>
      <c r="BA292" s="6"/>
      <c r="BB292" s="6"/>
      <c r="BC292" s="6"/>
      <c r="BD292" s="4"/>
      <c r="BE292" s="6"/>
      <c r="BF292" s="6"/>
      <c r="BG292" s="6"/>
      <c r="BH292" s="6"/>
      <c r="BI292" s="4"/>
      <c r="BJ292" s="6"/>
      <c r="BK292" s="6"/>
      <c r="BL292" s="6"/>
      <c r="BM292" s="6"/>
      <c r="BN292" s="4"/>
      <c r="BO292" s="6"/>
      <c r="BP292" s="6"/>
      <c r="BQ292" s="6"/>
      <c r="BR292" s="6"/>
      <c r="BS292" s="4"/>
      <c r="BT292" s="6"/>
      <c r="BU292" s="6"/>
      <c r="BV292" s="6"/>
      <c r="BW292" s="6"/>
      <c r="BX292" s="4">
        <f t="shared" ref="BX292:DL292" si="1422">BX290/BX275</f>
        <v>0.20326250889257766</v>
      </c>
      <c r="BY292" s="6">
        <f t="shared" si="1422"/>
        <v>0.32598787878787872</v>
      </c>
      <c r="BZ292" s="6">
        <f t="shared" si="1422"/>
        <v>0.1671709401709402</v>
      </c>
      <c r="CA292" s="6">
        <f t="shared" si="1422"/>
        <v>0.19838894009216593</v>
      </c>
      <c r="CB292" s="6">
        <f t="shared" si="1422"/>
        <v>0.14174402515723269</v>
      </c>
      <c r="CC292" s="4">
        <f t="shared" si="1422"/>
        <v>0.18843054954565122</v>
      </c>
      <c r="CD292" s="6">
        <f t="shared" si="1422"/>
        <v>0.14691298701298702</v>
      </c>
      <c r="CE292" s="6">
        <f t="shared" si="1422"/>
        <v>0.10988067632850243</v>
      </c>
      <c r="CF292" s="6">
        <f t="shared" si="1422"/>
        <v>0.13928231707317074</v>
      </c>
      <c r="CG292" s="6">
        <f t="shared" si="1422"/>
        <v>0.12614497890295359</v>
      </c>
      <c r="CH292" s="4">
        <f t="shared" si="1422"/>
        <v>0.12867467847769029</v>
      </c>
      <c r="CI292" s="6">
        <f t="shared" si="1422"/>
        <v>0.12319861224489795</v>
      </c>
      <c r="CJ292" s="6">
        <f t="shared" si="1422"/>
        <v>0.11248947368421054</v>
      </c>
      <c r="CK292" s="6">
        <f t="shared" si="1422"/>
        <v>0.18625640000000002</v>
      </c>
      <c r="CL292" s="6">
        <f t="shared" si="1422"/>
        <v>0.17624486692015212</v>
      </c>
      <c r="CM292" s="4">
        <f t="shared" si="1422"/>
        <v>0.14932323735068465</v>
      </c>
      <c r="CN292" s="6">
        <f t="shared" si="1422"/>
        <v>0.24271231441048036</v>
      </c>
      <c r="CO292" s="6">
        <f t="shared" si="1422"/>
        <v>0.16537765765765766</v>
      </c>
      <c r="CP292" s="6">
        <f t="shared" si="1422"/>
        <v>0.22030069503376981</v>
      </c>
      <c r="CQ292" s="6">
        <f t="shared" si="1422"/>
        <v>0.17734174669721642</v>
      </c>
      <c r="CR292" s="4">
        <f t="shared" si="1422"/>
        <v>0.19756980445383773</v>
      </c>
      <c r="CS292" s="6">
        <f t="shared" si="1422"/>
        <v>0.18771638545041086</v>
      </c>
      <c r="CT292" s="6">
        <f t="shared" si="1422"/>
        <v>0.20336472509526402</v>
      </c>
      <c r="CU292" s="6">
        <f t="shared" si="1422"/>
        <v>0.23524335078534031</v>
      </c>
      <c r="CV292" s="6">
        <f t="shared" si="1422"/>
        <v>0.23700255935526027</v>
      </c>
      <c r="CW292" s="4">
        <f t="shared" si="1422"/>
        <v>0.21721467708113956</v>
      </c>
      <c r="CX292" s="6">
        <f t="shared" si="1422"/>
        <v>0.35244804878048774</v>
      </c>
      <c r="CY292" s="6">
        <f t="shared" si="1422"/>
        <v>0.30519789473684206</v>
      </c>
      <c r="CZ292" s="6">
        <f t="shared" si="1422"/>
        <v>0.29758791808873719</v>
      </c>
      <c r="DA292" s="6">
        <f t="shared" si="1422"/>
        <v>0.28631665573770493</v>
      </c>
      <c r="DB292" s="4">
        <f t="shared" si="1422"/>
        <v>0.30841759078830816</v>
      </c>
      <c r="DC292" s="6">
        <f t="shared" si="1422"/>
        <v>0.30927294117647064</v>
      </c>
      <c r="DD292" s="6">
        <f t="shared" si="1422"/>
        <v>0.22399478260869565</v>
      </c>
      <c r="DE292" s="6">
        <f t="shared" si="1422"/>
        <v>0.22134608695652172</v>
      </c>
      <c r="DF292" s="6">
        <f t="shared" si="1422"/>
        <v>0.2274280465116279</v>
      </c>
      <c r="DG292" s="4">
        <f t="shared" si="1422"/>
        <v>0.2410315952685422</v>
      </c>
      <c r="DH292" s="6">
        <f t="shared" si="1422"/>
        <v>0.23831366551554023</v>
      </c>
      <c r="DI292" s="6">
        <f>DI290/DI275</f>
        <v>0.2650996015936255</v>
      </c>
      <c r="DJ292" s="6">
        <f>DJ290/DJ275</f>
        <v>0.27883495145631065</v>
      </c>
      <c r="DK292" s="6">
        <f>DK290/DK275</f>
        <v>0.2617814026128561</v>
      </c>
      <c r="DL292" s="4">
        <f t="shared" si="1422"/>
        <v>0.26227117844261105</v>
      </c>
      <c r="DM292" s="6">
        <f t="shared" ref="DM292:DV292" si="1423">DM290/DM275</f>
        <v>0.26141347687400324</v>
      </c>
      <c r="DN292" s="6">
        <f t="shared" si="1423"/>
        <v>0.29439516129032262</v>
      </c>
      <c r="DO292" s="6">
        <f>DO290/DO275</f>
        <v>0.33291870929977324</v>
      </c>
      <c r="DP292" s="6">
        <f>DP290/DP275</f>
        <v>0.31901405328722798</v>
      </c>
      <c r="DQ292" s="4">
        <f t="shared" si="1423"/>
        <v>0.30096140448655434</v>
      </c>
      <c r="DR292" s="6">
        <f>DR290/DR275</f>
        <v>0.34067554709800191</v>
      </c>
      <c r="DS292" s="6">
        <f>DS290/DS275</f>
        <v>0.321011673151751</v>
      </c>
      <c r="DT292" s="6">
        <f t="shared" si="1423"/>
        <v>0.36177777777777781</v>
      </c>
      <c r="DU292" s="6">
        <f>DU290/DU275</f>
        <v>0.35502336448598126</v>
      </c>
      <c r="DV292" s="4">
        <f t="shared" si="1423"/>
        <v>0.34392579627580017</v>
      </c>
      <c r="DW292" s="6">
        <f>DW290/DW275</f>
        <v>0.43944460599011337</v>
      </c>
      <c r="DX292" s="6">
        <f>DX290/DX275</f>
        <v>0.30089623879701505</v>
      </c>
      <c r="DY292" s="6">
        <f>DY290/DY275</f>
        <v>0.32421906693711972</v>
      </c>
      <c r="DZ292" s="6">
        <f>DZ290/DZ275</f>
        <v>0.32419247179684174</v>
      </c>
      <c r="EA292" s="4">
        <f>EA290/EA275</f>
        <v>0.33885266073954007</v>
      </c>
      <c r="EB292" s="6">
        <f t="shared" ref="EB292:EF292" si="1424">EB290/EB275</f>
        <v>0.40256959803655784</v>
      </c>
      <c r="EC292" s="6">
        <f t="shared" si="1424"/>
        <v>0.33505931831154445</v>
      </c>
      <c r="ED292" s="6">
        <f t="shared" si="1424"/>
        <v>0.34863905325443784</v>
      </c>
      <c r="EE292" s="6">
        <f t="shared" si="1424"/>
        <v>0.37583690987124463</v>
      </c>
      <c r="EF292" s="4">
        <f t="shared" si="1424"/>
        <v>0.36279819758349247</v>
      </c>
      <c r="EG292" s="6">
        <f>EG290/EG275</f>
        <v>0.48691011235955051</v>
      </c>
      <c r="EH292" s="6">
        <f>EH290/EH275</f>
        <v>0.38507865168539324</v>
      </c>
      <c r="EI292" s="6">
        <f>EI290/EI275</f>
        <v>0.37305494505494508</v>
      </c>
      <c r="EJ292" s="6">
        <f t="shared" ref="EJ292:EK292" si="1425">EJ290/EJ275</f>
        <v>0.36746724890829691</v>
      </c>
      <c r="EK292" s="4">
        <f t="shared" si="1425"/>
        <v>0.40137566137566139</v>
      </c>
      <c r="EL292" s="6">
        <f>EL290/EL275</f>
        <v>0.35608270692702448</v>
      </c>
      <c r="EM292" s="6">
        <f>EM290/EM275</f>
        <v>0.31269035532994927</v>
      </c>
      <c r="EN292" s="6">
        <f>EN290/EN275</f>
        <v>0.39136069114470851</v>
      </c>
      <c r="EO292" s="6">
        <f t="shared" ref="EO292:EP292" si="1426">EO290/EO275</f>
        <v>0.31273996509598606</v>
      </c>
      <c r="EP292" s="4">
        <f t="shared" si="1426"/>
        <v>0.33994162004378492</v>
      </c>
      <c r="EQ292" s="6">
        <f>EQ290/EQ275</f>
        <v>0.28109352517985609</v>
      </c>
      <c r="ER292" s="6">
        <f t="shared" ref="ER292" si="1427">ER290/ER275</f>
        <v>0.27235566788065996</v>
      </c>
      <c r="ES292" s="6">
        <f t="shared" ref="ES292:EU292" si="1428">ES290/ES275</f>
        <v>0.2821105157019746</v>
      </c>
      <c r="ET292" s="6">
        <f t="shared" si="1428"/>
        <v>0.25952949604119191</v>
      </c>
      <c r="EU292" s="4">
        <f t="shared" si="1428"/>
        <v>0.27363587203224815</v>
      </c>
      <c r="EV292" s="196"/>
      <c r="EW292" s="196"/>
      <c r="EX292" s="196"/>
      <c r="EY292" s="196"/>
      <c r="EZ292" s="226">
        <f>+EU292</f>
        <v>0.27363587203224815</v>
      </c>
      <c r="FA292" s="196"/>
      <c r="FB292" s="196"/>
      <c r="FC292" s="196"/>
      <c r="FD292" s="196"/>
      <c r="FE292" s="226">
        <f>+EZ292</f>
        <v>0.27363587203224815</v>
      </c>
      <c r="FG292" s="494"/>
      <c r="FH292" s="804"/>
      <c r="FI292" s="804"/>
      <c r="FJ292" s="804"/>
      <c r="FL292" s="1378"/>
      <c r="FM292" s="6"/>
      <c r="FN292" s="1497"/>
      <c r="FO292" s="1905">
        <v>0.34079369678680982</v>
      </c>
      <c r="FP292" s="1782"/>
      <c r="FQ292" s="734"/>
      <c r="FR292" s="1615" t="s">
        <v>663</v>
      </c>
      <c r="FS292" s="1619"/>
      <c r="FT292" s="433"/>
      <c r="FU292" s="433"/>
      <c r="FV292" s="433"/>
      <c r="FW292" s="433"/>
      <c r="FX292" s="433"/>
      <c r="FY292" s="433"/>
      <c r="FZ292" s="494"/>
      <c r="GA292"/>
      <c r="GB292"/>
      <c r="GC292"/>
      <c r="GD292"/>
      <c r="GE292"/>
      <c r="GF292"/>
      <c r="GG292"/>
      <c r="GH292"/>
      <c r="GI292"/>
      <c r="GJ292"/>
      <c r="GK292"/>
      <c r="GL292"/>
      <c r="GM292"/>
      <c r="GN292"/>
      <c r="GO292"/>
      <c r="GP292"/>
      <c r="GQ292"/>
      <c r="GR292"/>
      <c r="GS292"/>
      <c r="GT292"/>
      <c r="GU292"/>
      <c r="GV292"/>
      <c r="GW292"/>
      <c r="GX292"/>
      <c r="GY292"/>
      <c r="GZ292"/>
      <c r="HA292"/>
      <c r="HB292"/>
      <c r="HC292"/>
      <c r="HD292"/>
      <c r="HE292"/>
      <c r="HF292"/>
      <c r="HG292"/>
      <c r="HH292"/>
      <c r="HI292"/>
      <c r="HJ292"/>
      <c r="HK292"/>
      <c r="HL292"/>
      <c r="HM292"/>
      <c r="HN292"/>
      <c r="HO292"/>
      <c r="HP292"/>
      <c r="HQ292"/>
      <c r="HR292"/>
      <c r="HS292"/>
      <c r="HT292"/>
      <c r="HU292"/>
      <c r="HV292"/>
      <c r="HW292"/>
      <c r="HX292"/>
      <c r="HY292"/>
      <c r="HZ292"/>
      <c r="IA292"/>
      <c r="IB292"/>
      <c r="IC292"/>
      <c r="ID292"/>
      <c r="IE292"/>
      <c r="IF292"/>
      <c r="IG292"/>
      <c r="IH292"/>
      <c r="II292"/>
      <c r="IJ292"/>
      <c r="IK292"/>
      <c r="IL292"/>
      <c r="IM292"/>
      <c r="IN292"/>
      <c r="IO292"/>
      <c r="IP292"/>
      <c r="IQ292"/>
      <c r="IR292"/>
      <c r="IS292"/>
      <c r="IT292"/>
      <c r="IU292"/>
      <c r="IV292"/>
      <c r="IW292"/>
      <c r="IX292"/>
    </row>
    <row r="293" spans="1:258" s="45" customFormat="1" x14ac:dyDescent="0.2">
      <c r="A293" s="265" t="s">
        <v>600</v>
      </c>
      <c r="B293" s="228"/>
      <c r="C293" s="228"/>
      <c r="D293" s="228"/>
      <c r="E293" s="228"/>
      <c r="F293" s="266"/>
      <c r="G293" s="228"/>
      <c r="H293" s="228"/>
      <c r="I293" s="228"/>
      <c r="J293" s="228"/>
      <c r="K293" s="266"/>
      <c r="L293" s="228"/>
      <c r="M293" s="228"/>
      <c r="N293" s="228"/>
      <c r="O293" s="228"/>
      <c r="P293" s="266"/>
      <c r="Q293" s="228"/>
      <c r="R293" s="228"/>
      <c r="S293" s="228"/>
      <c r="T293" s="228"/>
      <c r="U293" s="266"/>
      <c r="V293" s="228"/>
      <c r="W293" s="228"/>
      <c r="X293" s="228"/>
      <c r="Y293" s="228"/>
      <c r="Z293" s="266"/>
      <c r="AA293" s="228"/>
      <c r="AB293" s="228"/>
      <c r="AC293" s="228"/>
      <c r="AD293" s="228"/>
      <c r="AE293" s="266"/>
      <c r="AF293" s="228"/>
      <c r="AG293" s="228"/>
      <c r="AH293" s="228"/>
      <c r="AI293" s="228"/>
      <c r="AJ293" s="266"/>
      <c r="AK293" s="228"/>
      <c r="AL293" s="228"/>
      <c r="AM293" s="228"/>
      <c r="AN293" s="228"/>
      <c r="AO293" s="266"/>
      <c r="AP293" s="228"/>
      <c r="AQ293" s="228"/>
      <c r="AR293" s="228"/>
      <c r="AS293" s="228"/>
      <c r="AT293" s="266"/>
      <c r="AU293" s="228"/>
      <c r="AV293" s="228"/>
      <c r="AW293" s="228"/>
      <c r="AX293" s="228"/>
      <c r="AY293" s="266"/>
      <c r="AZ293" s="228"/>
      <c r="BA293" s="228"/>
      <c r="BB293" s="228"/>
      <c r="BC293" s="228"/>
      <c r="BD293" s="266"/>
      <c r="BE293" s="228"/>
      <c r="BF293" s="228"/>
      <c r="BG293" s="228"/>
      <c r="BH293" s="228"/>
      <c r="BI293" s="266"/>
      <c r="BJ293" s="228"/>
      <c r="BK293" s="228"/>
      <c r="BL293" s="228"/>
      <c r="BM293" s="228"/>
      <c r="BN293" s="266"/>
      <c r="BO293" s="228"/>
      <c r="BP293" s="228"/>
      <c r="BQ293" s="228"/>
      <c r="BR293" s="228"/>
      <c r="BS293" s="266"/>
      <c r="BT293" s="228"/>
      <c r="BU293" s="228"/>
      <c r="BV293" s="228"/>
      <c r="BW293" s="228"/>
      <c r="BX293" s="266"/>
      <c r="BY293" s="228"/>
      <c r="BZ293" s="228"/>
      <c r="CA293" s="228"/>
      <c r="CB293" s="228"/>
      <c r="CC293" s="266"/>
      <c r="CD293" s="228"/>
      <c r="CE293" s="228"/>
      <c r="CF293" s="228"/>
      <c r="CG293" s="228"/>
      <c r="CH293" s="266"/>
      <c r="CI293" s="228"/>
      <c r="CJ293" s="228"/>
      <c r="CK293" s="228"/>
      <c r="CL293" s="228"/>
      <c r="CM293" s="266"/>
      <c r="CN293" s="228"/>
      <c r="CO293" s="228"/>
      <c r="CP293" s="228"/>
      <c r="CQ293" s="228"/>
      <c r="CR293" s="266"/>
      <c r="CS293" s="228"/>
      <c r="CT293" s="228"/>
      <c r="CU293" s="228"/>
      <c r="CV293" s="228"/>
      <c r="CW293" s="266"/>
      <c r="CX293" s="228"/>
      <c r="CY293" s="228"/>
      <c r="CZ293" s="228"/>
      <c r="DA293" s="228"/>
      <c r="DB293" s="266"/>
      <c r="DC293" s="228"/>
      <c r="DD293" s="228"/>
      <c r="DE293" s="228"/>
      <c r="DF293" s="228"/>
      <c r="DG293" s="266"/>
      <c r="DH293" s="228"/>
      <c r="DI293" s="228"/>
      <c r="DJ293" s="228"/>
      <c r="DK293" s="228"/>
      <c r="DL293" s="266"/>
      <c r="DM293" s="228"/>
      <c r="DN293" s="228"/>
      <c r="DO293" s="228"/>
      <c r="DP293" s="228"/>
      <c r="DQ293" s="266"/>
      <c r="DR293" s="228"/>
      <c r="DS293" s="228"/>
      <c r="DT293" s="228"/>
      <c r="DU293" s="228"/>
      <c r="DV293" s="266"/>
      <c r="DW293" s="228"/>
      <c r="DX293" s="228"/>
      <c r="DY293" s="228"/>
      <c r="DZ293" s="228"/>
      <c r="EA293" s="266"/>
      <c r="EB293" s="228"/>
      <c r="EC293" s="228"/>
      <c r="ED293" s="228"/>
      <c r="EE293" s="228"/>
      <c r="EF293" s="266"/>
      <c r="EG293" s="228"/>
      <c r="EH293" s="228"/>
      <c r="EI293" s="228"/>
      <c r="EJ293" s="228"/>
      <c r="EK293" s="266"/>
      <c r="EL293" s="228"/>
      <c r="EM293" s="228"/>
      <c r="EN293" s="228"/>
      <c r="EO293" s="228"/>
      <c r="EP293" s="266"/>
      <c r="EQ293" s="228"/>
      <c r="ER293" s="228"/>
      <c r="ES293" s="228"/>
      <c r="ET293" s="228"/>
      <c r="EU293" s="266"/>
      <c r="EV293" s="59"/>
      <c r="EW293" s="59"/>
      <c r="EX293" s="59"/>
      <c r="EY293" s="59"/>
      <c r="EZ293" s="167"/>
      <c r="FA293" s="59"/>
      <c r="FB293" s="59"/>
      <c r="FC293" s="59"/>
      <c r="FD293" s="59"/>
      <c r="FE293" s="167"/>
      <c r="FG293" s="494"/>
      <c r="FH293" s="819"/>
      <c r="FI293" s="819"/>
      <c r="FJ293" s="819"/>
      <c r="FL293" s="1388"/>
      <c r="FM293" s="228"/>
      <c r="FN293" s="764"/>
      <c r="FO293" s="1906"/>
      <c r="FP293" s="1790"/>
      <c r="FQ293" s="735"/>
      <c r="FR293" s="1619"/>
      <c r="FS293" s="1619" t="s">
        <v>44</v>
      </c>
      <c r="FT293" s="205"/>
      <c r="FU293" s="205"/>
      <c r="FV293" s="205"/>
      <c r="FW293" s="205"/>
      <c r="FX293" s="205"/>
      <c r="FY293" s="205"/>
      <c r="FZ293" s="494"/>
      <c r="GA293"/>
      <c r="GB293"/>
      <c r="GC293"/>
      <c r="GD293"/>
      <c r="GE293"/>
      <c r="GF293"/>
      <c r="GG293"/>
      <c r="GH293"/>
      <c r="GI293"/>
      <c r="GJ293"/>
      <c r="GK293"/>
      <c r="GL293"/>
      <c r="GM293"/>
      <c r="GN293"/>
      <c r="GO293"/>
      <c r="GP293"/>
      <c r="GQ293"/>
      <c r="GR293"/>
      <c r="GS293"/>
      <c r="GT293"/>
      <c r="GU293"/>
      <c r="GV293"/>
      <c r="GW293"/>
      <c r="GX293"/>
      <c r="GY293"/>
      <c r="GZ293"/>
      <c r="HA293"/>
      <c r="HB293"/>
      <c r="HC293"/>
      <c r="HD293"/>
      <c r="HE293"/>
      <c r="HF293"/>
      <c r="HG293"/>
      <c r="HH293"/>
      <c r="HI293"/>
      <c r="HJ293"/>
      <c r="HK293"/>
      <c r="HL293"/>
      <c r="HM293"/>
      <c r="HN293"/>
      <c r="HO293"/>
      <c r="HP293"/>
      <c r="HQ293"/>
      <c r="HR293"/>
      <c r="HS293"/>
      <c r="HT293"/>
      <c r="HU293"/>
      <c r="HV293"/>
      <c r="HW293"/>
      <c r="HX293"/>
      <c r="HY293"/>
      <c r="HZ293"/>
      <c r="IA293"/>
      <c r="IB293"/>
      <c r="IC293"/>
      <c r="ID293"/>
      <c r="IE293"/>
      <c r="IF293"/>
      <c r="IG293"/>
      <c r="IH293"/>
      <c r="II293"/>
      <c r="IJ293"/>
      <c r="IK293"/>
      <c r="IL293"/>
      <c r="IM293"/>
      <c r="IN293"/>
      <c r="IO293"/>
      <c r="IP293"/>
      <c r="IQ293"/>
      <c r="IR293"/>
      <c r="IS293"/>
      <c r="IT293"/>
      <c r="IU293"/>
      <c r="IV293"/>
      <c r="IW293"/>
      <c r="IX293"/>
    </row>
    <row r="294" spans="1:258" s="219" customFormat="1" x14ac:dyDescent="0.2">
      <c r="A294" s="216" t="s">
        <v>529</v>
      </c>
      <c r="B294" s="217"/>
      <c r="C294" s="217"/>
      <c r="D294" s="217"/>
      <c r="E294" s="217"/>
      <c r="F294" s="218"/>
      <c r="G294" s="217"/>
      <c r="H294" s="217"/>
      <c r="I294" s="217"/>
      <c r="J294" s="217"/>
      <c r="K294" s="218"/>
      <c r="L294" s="217"/>
      <c r="M294" s="217"/>
      <c r="N294" s="217"/>
      <c r="O294" s="217"/>
      <c r="P294" s="218"/>
      <c r="Q294" s="217"/>
      <c r="R294" s="217"/>
      <c r="S294" s="217"/>
      <c r="T294" s="217"/>
      <c r="U294" s="218"/>
      <c r="V294" s="217"/>
      <c r="W294" s="217"/>
      <c r="X294" s="217"/>
      <c r="Y294" s="217"/>
      <c r="Z294" s="218"/>
      <c r="AA294" s="217"/>
      <c r="AB294" s="217"/>
      <c r="AC294" s="217"/>
      <c r="AD294" s="217"/>
      <c r="AE294" s="218"/>
      <c r="AF294" s="217"/>
      <c r="AG294" s="217"/>
      <c r="AH294" s="217"/>
      <c r="AI294" s="217"/>
      <c r="AJ294" s="218"/>
      <c r="AK294" s="217"/>
      <c r="AL294" s="217"/>
      <c r="AM294" s="217"/>
      <c r="AN294" s="217"/>
      <c r="AO294" s="218"/>
      <c r="AP294" s="217"/>
      <c r="AQ294" s="217"/>
      <c r="AR294" s="217"/>
      <c r="AS294" s="217"/>
      <c r="AT294" s="218"/>
      <c r="AU294" s="217"/>
      <c r="AV294" s="217"/>
      <c r="AW294" s="217"/>
      <c r="AX294" s="217"/>
      <c r="AY294" s="218"/>
      <c r="AZ294" s="217"/>
      <c r="BA294" s="217"/>
      <c r="BB294" s="217"/>
      <c r="BC294" s="217"/>
      <c r="BD294" s="218"/>
      <c r="BE294" s="217"/>
      <c r="BF294" s="217"/>
      <c r="BG294" s="217"/>
      <c r="BH294" s="217"/>
      <c r="BI294" s="218"/>
      <c r="BJ294" s="217"/>
      <c r="BK294" s="217"/>
      <c r="BL294" s="217"/>
      <c r="BM294" s="217"/>
      <c r="BN294" s="218"/>
      <c r="BO294" s="217">
        <f ca="1">MarketData!H16</f>
        <v>6.4361114385181439</v>
      </c>
      <c r="BP294" s="217">
        <f ca="1">MarketData!I16</f>
        <v>5.8677782314071081</v>
      </c>
      <c r="BQ294" s="217">
        <f ca="1">MarketData!J16</f>
        <v>5.3211108078513893</v>
      </c>
      <c r="BR294" s="217">
        <f ca="1">MarketData!K16</f>
        <v>4.6422225157034491</v>
      </c>
      <c r="BS294" s="218">
        <f ca="1">MarketData!L16</f>
        <v>5.5668057483700224</v>
      </c>
      <c r="BT294" s="217">
        <f ca="1">MarketData!M16</f>
        <v>4.6338886245921893</v>
      </c>
      <c r="BU294" s="217">
        <f ca="1">MarketData!N16</f>
        <v>5.2677787380739529</v>
      </c>
      <c r="BV294" s="217">
        <f ca="1">MarketData!O16</f>
        <v>5.1572228752590625</v>
      </c>
      <c r="BW294" s="217">
        <f ca="1">MarketData!P16</f>
        <v>5.6472225059255967</v>
      </c>
      <c r="BX294" s="218">
        <f ca="1">MarketData!M16</f>
        <v>4.6338886245921893</v>
      </c>
      <c r="BY294" s="217">
        <f ca="1">MarketData!R16</f>
        <v>5.1877786056294788</v>
      </c>
      <c r="BZ294" s="217">
        <f ca="1">MarketData!S16</f>
        <v>5.2850000204440706</v>
      </c>
      <c r="CA294" s="217">
        <f ca="1">MarketData!T16</f>
        <v>5.3377776456292123</v>
      </c>
      <c r="CB294" s="217">
        <f ca="1">MarketData!U16</f>
        <v>6.3727781994070627</v>
      </c>
      <c r="CC294" s="218">
        <f ca="1">MarketData!V16</f>
        <v>5.5458336177774559</v>
      </c>
      <c r="CD294" s="217">
        <f ca="1">MarketData!W16</f>
        <v>6.8294450434070768</v>
      </c>
      <c r="CE294" s="217">
        <f ca="1">MarketData!X16</f>
        <v>6.9094443425179959</v>
      </c>
      <c r="CF294" s="217">
        <f ca="1">MarketData!Y16</f>
        <v>7.5527787918515799</v>
      </c>
      <c r="CG294" s="217">
        <f ca="1">MarketData!Z16</f>
        <v>8.0677791514071959</v>
      </c>
      <c r="CH294" s="218">
        <f ca="1">MarketData!AA16</f>
        <v>7.3398618322959628</v>
      </c>
      <c r="CI294" s="217">
        <f ca="1">MarketData!AB16</f>
        <v>9.3727789994070605</v>
      </c>
      <c r="CJ294" s="217">
        <f ca="1">MarketData!AC16</f>
        <v>11.436112771851475</v>
      </c>
      <c r="CK294" s="217">
        <f ca="1">MarketData!AD16</f>
        <v>10.376664176740627</v>
      </c>
      <c r="CL294" s="217">
        <f ca="1">MarketData!AE16</f>
        <v>11.773330666666654</v>
      </c>
      <c r="CM294" s="218">
        <f ca="1">MarketData!AF16</f>
        <v>10.739721653666454</v>
      </c>
      <c r="CN294" s="217">
        <f ca="1">MarketData!AG16</f>
        <v>12.717775111111097</v>
      </c>
      <c r="CO294" s="217">
        <f ca="1">MarketData!AH16</f>
        <v>14.854441555555539</v>
      </c>
      <c r="CP294" s="217">
        <f ca="1">MarketData!AI16</f>
        <v>14.57110944444443</v>
      </c>
      <c r="CQ294" s="217">
        <f ca="1">MarketData!AJ16</f>
        <v>14.527776222222213</v>
      </c>
      <c r="CR294" s="218">
        <f ca="1">MarketData!AK16</f>
        <v>14.16777558333332</v>
      </c>
      <c r="CS294" s="217">
        <f ca="1">MarketData!AL16</f>
        <v>17.005552777777762</v>
      </c>
      <c r="CT294" s="217">
        <f ca="1">MarketData!AM16</f>
        <v>21.646665888888865</v>
      </c>
      <c r="CU294" s="217">
        <f ca="1">MarketData!AN16</f>
        <v>20.758885888888866</v>
      </c>
      <c r="CV294" s="217">
        <f ca="1">MarketData!AO16</f>
        <v>12.825551444444431</v>
      </c>
      <c r="CW294" s="218">
        <f ca="1">MarketData!AP16</f>
        <v>18.059163999999981</v>
      </c>
      <c r="CX294" s="217">
        <f ca="1">MarketData!AQ16</f>
        <v>8.8322195555555449</v>
      </c>
      <c r="CY294" s="217">
        <f ca="1">MarketData!AR16</f>
        <v>10.664442444444434</v>
      </c>
      <c r="CZ294" s="217">
        <f ca="1">MarketData!AS16</f>
        <v>13.831109111111097</v>
      </c>
      <c r="DA294" s="217">
        <f ca="1">MarketData!AT16</f>
        <v>15.349997777777764</v>
      </c>
      <c r="DB294" s="218">
        <f ca="1">MarketData!AU16</f>
        <v>12.169442222222211</v>
      </c>
      <c r="DC294" s="217">
        <f ca="1">MarketData!AV16</f>
        <v>15.691107999999986</v>
      </c>
      <c r="DD294" s="217">
        <f ca="1">MarketData!AW16</f>
        <v>17.547775333333316</v>
      </c>
      <c r="DE294" s="217">
        <f ca="1">MarketData!AX16</f>
        <v>17.547775444444429</v>
      </c>
      <c r="DF294" s="217">
        <f ca="1">MarketData!AY16</f>
        <v>20.763331222222202</v>
      </c>
      <c r="DG294" s="218">
        <f ca="1">MarketData!AZ16</f>
        <v>17.887497499999984</v>
      </c>
      <c r="DH294" s="217">
        <f ca="1">MarketData!BA16</f>
        <v>24.873330111111084</v>
      </c>
      <c r="DI294" s="217">
        <f ca="1">MarketData!BB16</f>
        <v>26.29443711111109</v>
      </c>
      <c r="DJ294" s="217">
        <f ca="1">MarketData!BC16</f>
        <v>21.726659999999999</v>
      </c>
      <c r="DK294" s="217">
        <f ca="1">MarketData!BD16</f>
        <v>21.373839692307691</v>
      </c>
      <c r="DL294" s="218">
        <f ca="1">AVERAGE(DH294:DK294)</f>
        <v>23.567066728632469</v>
      </c>
      <c r="DM294" s="217">
        <f ca="1">MarketData!BF16</f>
        <v>22.021531923076925</v>
      </c>
      <c r="DN294" s="217">
        <f ca="1">MarketData!BG16</f>
        <v>21.640761769230771</v>
      </c>
      <c r="DO294" s="217">
        <f ca="1">MarketData!BH16</f>
        <v>22.505377461538462</v>
      </c>
      <c r="DP294" s="217">
        <f ca="1">MarketData!BI16</f>
        <v>20.189223538461537</v>
      </c>
      <c r="DQ294" s="218">
        <f ca="1">AVERAGE(DM294:DP294)</f>
        <v>21.589223673076923</v>
      </c>
      <c r="DR294" s="217">
        <f ca="1">MarketData!BK16</f>
        <v>22.523837153846156</v>
      </c>
      <c r="DS294" s="217">
        <f ca="1">MarketData!BL16</f>
        <v>24.604610076923077</v>
      </c>
      <c r="DT294" s="217">
        <f ca="1">MarketData!BM16</f>
        <v>25.257684999999999</v>
      </c>
      <c r="DU294" s="217">
        <f ca="1">MarketData!BN16</f>
        <v>26.916146923076919</v>
      </c>
      <c r="DV294" s="218">
        <f ca="1">AVERAGE(DR294:DU294)</f>
        <v>24.825569788461539</v>
      </c>
      <c r="DW294" s="217">
        <f ca="1">MarketData!BP16</f>
        <v>27.849993615384619</v>
      </c>
      <c r="DX294" s="217">
        <f ca="1">MarketData!BQ16</f>
        <v>29.236916615384612</v>
      </c>
      <c r="DY294" s="217">
        <f ca="1">MarketData!BR16</f>
        <v>30.940763538461535</v>
      </c>
      <c r="DZ294" s="217">
        <f ca="1">MarketData!BS16</f>
        <v>35.167686307692307</v>
      </c>
      <c r="EA294" s="218">
        <f ca="1">AVERAGE(DW294:DZ294)</f>
        <v>30.79884001923077</v>
      </c>
      <c r="EB294" s="217">
        <f ca="1">MarketData!BU16</f>
        <v>34.648462615384616</v>
      </c>
      <c r="EC294" s="217">
        <f ca="1">MarketData!BV16</f>
        <v>34.963077692307692</v>
      </c>
      <c r="ED294" s="217">
        <f ca="1">MarketData!BW16</f>
        <v>29.527694307692311</v>
      </c>
      <c r="EE294" s="217">
        <f ca="1">MarketData!BX16</f>
        <v>27.382308230769233</v>
      </c>
      <c r="EF294" s="218">
        <f ca="1">AVERAGE(EB294:EE294)</f>
        <v>31.630385711538466</v>
      </c>
      <c r="EG294" s="217">
        <f ca="1">MarketData!BZ16</f>
        <v>27.224614615384617</v>
      </c>
      <c r="EH294" s="217">
        <f ca="1">MarketData!CA16</f>
        <v>26.154615461538462</v>
      </c>
      <c r="EI294" s="217">
        <f ca="1">MarketData!CB16</f>
        <v>28.201539692307691</v>
      </c>
      <c r="EJ294" s="217">
        <f ca="1">MarketData!CC16</f>
        <v>33.405767999999995</v>
      </c>
      <c r="EK294" s="218">
        <f ca="1">AVERAGE(EG294:EJ294)</f>
        <v>28.746634442307691</v>
      </c>
      <c r="EL294" s="217">
        <f ca="1">MarketData!CE16</f>
        <v>42.366923307692304</v>
      </c>
      <c r="EM294" s="217">
        <f ca="1">MarketData!CF16</f>
        <v>51.074616307692295</v>
      </c>
      <c r="EN294" s="217">
        <f ca="1">MarketData!CG16</f>
        <v>55.658462923076925</v>
      </c>
      <c r="EO294" s="217">
        <f ca="1">MarketData!CH16</f>
        <v>48.844615461538453</v>
      </c>
      <c r="EP294" s="218">
        <f ca="1">AVERAGE(EL294:EO294)</f>
        <v>49.486154499999998</v>
      </c>
      <c r="EQ294" s="217">
        <f ca="1">MarketData!CJ16</f>
        <v>64.754616846153837</v>
      </c>
      <c r="ER294" s="217">
        <f ca="1">MarketData!CK16</f>
        <v>51.849231076923054</v>
      </c>
      <c r="ES294" s="627">
        <f t="shared" ref="ES294" ca="1" si="1429">AVERAGE(ER297,ES297)</f>
        <v>56.41</v>
      </c>
      <c r="ET294" s="627">
        <f t="shared" ref="ET294" ca="1" si="1430">AVERAGE(ES297,ET297)</f>
        <v>56.41</v>
      </c>
      <c r="EU294" s="218">
        <f ca="1">ET294</f>
        <v>56.41</v>
      </c>
      <c r="EV294" s="627">
        <f t="shared" ref="EV294" ca="1" si="1431">AVERAGE(EU297,EV297)</f>
        <v>56.41</v>
      </c>
      <c r="EW294" s="627">
        <f t="shared" ref="EW294" ca="1" si="1432">AVERAGE(EV297,EW297)</f>
        <v>56.41</v>
      </c>
      <c r="EX294" s="627">
        <f t="shared" ref="EX294" ca="1" si="1433">AVERAGE(EW297,EX297)</f>
        <v>56.41</v>
      </c>
      <c r="EY294" s="627">
        <f t="shared" ref="EY294" ca="1" si="1434">AVERAGE(EX297,EY297)</f>
        <v>56.41</v>
      </c>
      <c r="EZ294" s="218">
        <f ca="1">EY294</f>
        <v>56.41</v>
      </c>
      <c r="FA294" s="496"/>
      <c r="FB294" s="496"/>
      <c r="FC294" s="496"/>
      <c r="FD294" s="496"/>
      <c r="FE294" s="495">
        <f ca="1">AVERAGE(EZ297,FE297)</f>
        <v>56.41</v>
      </c>
      <c r="FG294" s="494"/>
      <c r="FH294" s="820"/>
      <c r="FI294" s="820"/>
      <c r="FJ294" s="820"/>
      <c r="FL294" s="1389"/>
      <c r="FM294" s="627"/>
      <c r="FN294" s="1498"/>
      <c r="FO294" s="1907">
        <v>64.70077123076922</v>
      </c>
      <c r="FP294" s="1791"/>
      <c r="FQ294" s="749"/>
      <c r="FR294" s="1620"/>
      <c r="FS294" s="1620"/>
      <c r="FT294" s="448"/>
      <c r="FU294" s="448"/>
      <c r="FV294" s="448"/>
      <c r="FW294" s="448"/>
      <c r="FX294" s="448"/>
      <c r="FY294" s="448"/>
      <c r="FZ294" s="494"/>
      <c r="GA294"/>
      <c r="GB294"/>
      <c r="GC294"/>
      <c r="GD294"/>
      <c r="GE294"/>
      <c r="GF294"/>
      <c r="GG294"/>
      <c r="GH294"/>
      <c r="GI294"/>
      <c r="GJ294"/>
      <c r="GK294"/>
      <c r="GL294"/>
      <c r="GM294"/>
      <c r="GN294"/>
      <c r="GO294"/>
      <c r="GP294"/>
      <c r="GQ294"/>
      <c r="GR294"/>
      <c r="GS294"/>
      <c r="GT294"/>
      <c r="GU294"/>
      <c r="GV294"/>
      <c r="GW294"/>
      <c r="GX294"/>
      <c r="GY294"/>
      <c r="GZ294"/>
      <c r="HA294"/>
      <c r="HB294"/>
      <c r="HC294"/>
      <c r="HD294"/>
      <c r="HE294"/>
      <c r="HF294"/>
      <c r="HG294"/>
      <c r="HH294"/>
      <c r="HI294"/>
      <c r="HJ294"/>
      <c r="HK294"/>
      <c r="HL294"/>
      <c r="HM294"/>
      <c r="HN294"/>
      <c r="HO294"/>
      <c r="HP294"/>
      <c r="HQ294"/>
      <c r="HR294"/>
      <c r="HS294"/>
      <c r="HT294"/>
      <c r="HU294"/>
      <c r="HV294"/>
      <c r="HW294"/>
      <c r="HX294"/>
      <c r="HY294"/>
      <c r="HZ294"/>
      <c r="IA294"/>
      <c r="IB294"/>
      <c r="IC294"/>
      <c r="ID294"/>
      <c r="IE294"/>
      <c r="IF294"/>
      <c r="IG294"/>
      <c r="IH294"/>
      <c r="II294"/>
      <c r="IJ294"/>
      <c r="IK294"/>
      <c r="IL294"/>
      <c r="IM294"/>
      <c r="IN294"/>
      <c r="IO294"/>
      <c r="IP294"/>
      <c r="IQ294"/>
      <c r="IR294"/>
      <c r="IS294"/>
      <c r="IT294"/>
      <c r="IU294"/>
      <c r="IV294"/>
      <c r="IW294"/>
      <c r="IX294"/>
    </row>
    <row r="295" spans="1:258" s="271" customFormat="1" ht="12.75" customHeight="1" x14ac:dyDescent="0.2">
      <c r="A295" s="267" t="s">
        <v>425</v>
      </c>
      <c r="B295" s="268"/>
      <c r="C295" s="268"/>
      <c r="D295" s="268"/>
      <c r="E295" s="268"/>
      <c r="F295" s="269"/>
      <c r="G295" s="268"/>
      <c r="H295" s="268"/>
      <c r="I295" s="268"/>
      <c r="J295" s="268"/>
      <c r="K295" s="269"/>
      <c r="L295" s="268"/>
      <c r="M295" s="268"/>
      <c r="N295" s="268"/>
      <c r="O295" s="268"/>
      <c r="P295" s="269"/>
      <c r="Q295" s="268"/>
      <c r="R295" s="268"/>
      <c r="S295" s="268"/>
      <c r="T295" s="268"/>
      <c r="U295" s="269"/>
      <c r="V295" s="268"/>
      <c r="W295" s="268"/>
      <c r="X295" s="268"/>
      <c r="Y295" s="268"/>
      <c r="Z295" s="269"/>
      <c r="AA295" s="268"/>
      <c r="AB295" s="268"/>
      <c r="AC295" s="268"/>
      <c r="AD295" s="268"/>
      <c r="AE295" s="269"/>
      <c r="AF295" s="268"/>
      <c r="AG295" s="268"/>
      <c r="AH295" s="268"/>
      <c r="AI295" s="268"/>
      <c r="AJ295" s="269"/>
      <c r="AK295" s="268"/>
      <c r="AL295" s="268"/>
      <c r="AM295" s="268"/>
      <c r="AN295" s="268"/>
      <c r="AO295" s="269"/>
      <c r="AP295" s="268"/>
      <c r="AQ295" s="268"/>
      <c r="AR295" s="268"/>
      <c r="AS295" s="268"/>
      <c r="AT295" s="269"/>
      <c r="AU295" s="268"/>
      <c r="AV295" s="268"/>
      <c r="AW295" s="268"/>
      <c r="AX295" s="268"/>
      <c r="AY295" s="269"/>
      <c r="AZ295" s="268"/>
      <c r="BA295" s="268"/>
      <c r="BB295" s="268"/>
      <c r="BC295" s="268"/>
      <c r="BD295" s="269"/>
      <c r="BE295" s="268"/>
      <c r="BF295" s="268"/>
      <c r="BG295" s="268"/>
      <c r="BH295" s="268"/>
      <c r="BI295" s="269"/>
      <c r="BJ295" s="268"/>
      <c r="BK295" s="268"/>
      <c r="BL295" s="268"/>
      <c r="BM295" s="268"/>
      <c r="BN295" s="269"/>
      <c r="BO295" s="268"/>
      <c r="BP295" s="268">
        <f ca="1">BP294/BO294-1</f>
        <v>-8.8303817070309987E-2</v>
      </c>
      <c r="BQ295" s="268">
        <f ca="1">BQ294/BP294-1</f>
        <v>-9.3164295240351414E-2</v>
      </c>
      <c r="BR295" s="268">
        <f ca="1">BR294/BQ294-1</f>
        <v>-0.12758394189916678</v>
      </c>
      <c r="BS295" s="269"/>
      <c r="BT295" s="268">
        <f ca="1">BT294/BR294-1</f>
        <v>-1.7952373207161809E-3</v>
      </c>
      <c r="BU295" s="268">
        <f ca="1">BU294/BT294-1</f>
        <v>0.13679442145365539</v>
      </c>
      <c r="BV295" s="268">
        <f ca="1">BV294/BU294-1</f>
        <v>-2.0987188018324554E-2</v>
      </c>
      <c r="BW295" s="268">
        <f ca="1">BW294/BV294-1</f>
        <v>9.5012304590757157E-2</v>
      </c>
      <c r="BX295" s="269"/>
      <c r="BY295" s="268">
        <f ca="1">BY294/BW294-1</f>
        <v>-8.1357499162469038E-2</v>
      </c>
      <c r="BZ295" s="268">
        <f ca="1">BZ294/BY294-1</f>
        <v>1.8740471058092734E-2</v>
      </c>
      <c r="CA295" s="268">
        <f ca="1">CA294/BZ294-1</f>
        <v>9.9863055782367649E-3</v>
      </c>
      <c r="CB295" s="268">
        <f ca="1">CB294/CA294-1</f>
        <v>0.19390102445075641</v>
      </c>
      <c r="CC295" s="269"/>
      <c r="CD295" s="268">
        <f ca="1">CD294/CB294-1</f>
        <v>7.1658989174062881E-2</v>
      </c>
      <c r="CE295" s="268">
        <f ca="1">CE294/CD294-1</f>
        <v>1.1713879913002323E-2</v>
      </c>
      <c r="CF295" s="268">
        <f ca="1">CF294/CE294-1</f>
        <v>9.3109433616066273E-2</v>
      </c>
      <c r="CG295" s="268">
        <f ca="1">CG294/CF294-1</f>
        <v>6.8186871845264507E-2</v>
      </c>
      <c r="CH295" s="269"/>
      <c r="CI295" s="268">
        <f ca="1">CI294/CG294-1</f>
        <v>0.16175453287813957</v>
      </c>
      <c r="CJ295" s="268">
        <f ca="1">CJ294/CI294-1</f>
        <v>0.22014108863283188</v>
      </c>
      <c r="CK295" s="268">
        <f ca="1">CK294/CJ294-1</f>
        <v>-9.2640621533441325E-2</v>
      </c>
      <c r="CL295" s="268">
        <f ca="1">CL294/CK294-1</f>
        <v>0.13459686717593367</v>
      </c>
      <c r="CM295" s="269"/>
      <c r="CN295" s="268">
        <f ca="1">CN294/CL294-1</f>
        <v>8.0218968717018058E-2</v>
      </c>
      <c r="CO295" s="268">
        <f ca="1">CO294/CN294-1</f>
        <v>0.16800630816137851</v>
      </c>
      <c r="CP295" s="268">
        <f ca="1">CP294/CO294-1</f>
        <v>-1.9073898540813428E-2</v>
      </c>
      <c r="CQ295" s="268">
        <f ca="1">CQ294/CP294-1</f>
        <v>-2.9739137151796324E-3</v>
      </c>
      <c r="CR295" s="269"/>
      <c r="CS295" s="268">
        <f ca="1">CS294/CQ294-1</f>
        <v>0.17055442743986182</v>
      </c>
      <c r="CT295" s="268">
        <f ca="1">CT294/CS294-1</f>
        <v>0.27291750946055338</v>
      </c>
      <c r="CU295" s="268">
        <f ca="1">CU294/CT294-1</f>
        <v>-4.1012320537348601E-2</v>
      </c>
      <c r="CV295" s="268">
        <f ca="1">CV294/CU294-1</f>
        <v>-0.38216571384935116</v>
      </c>
      <c r="CW295" s="269"/>
      <c r="CX295" s="268">
        <f ca="1">CX294/CV294-1</f>
        <v>-0.31135751988415705</v>
      </c>
      <c r="CY295" s="268">
        <f ca="1">CY294/CX294-1</f>
        <v>0.20744761578491389</v>
      </c>
      <c r="CZ295" s="268">
        <f ca="1">CZ294/CY294-1</f>
        <v>0.2969369175334915</v>
      </c>
      <c r="DA295" s="268">
        <f ca="1">DA294/CZ294-1</f>
        <v>0.10981683785911867</v>
      </c>
      <c r="DB295" s="269"/>
      <c r="DC295" s="268">
        <f ca="1">DC294/DA294-1</f>
        <v>2.2222167531258386E-2</v>
      </c>
      <c r="DD295" s="268">
        <f ca="1">DD294/DC294-1</f>
        <v>0.11832608209269435</v>
      </c>
      <c r="DE295" s="268">
        <f ca="1">DE294/DD294-1</f>
        <v>6.3319200993561253E-9</v>
      </c>
      <c r="DF295" s="268">
        <f ca="1">DF294/DE294-1</f>
        <v>0.18324577881441995</v>
      </c>
      <c r="DG295" s="269"/>
      <c r="DH295" s="268">
        <f ca="1">DH294/DF294-1</f>
        <v>0.1979450621338692</v>
      </c>
      <c r="DI295" s="268">
        <f ca="1">DI294/DH294-1</f>
        <v>5.7133765107117318E-2</v>
      </c>
      <c r="DJ295" s="268">
        <f ca="1">DJ294/DI294-1</f>
        <v>-0.17371648199994794</v>
      </c>
      <c r="DK295" s="268">
        <f ca="1">DK294/DJ294-1</f>
        <v>-1.6239049522214111E-2</v>
      </c>
      <c r="DL295" s="269"/>
      <c r="DM295" s="268">
        <f ca="1">DM294/DK294-1</f>
        <v>3.0303035865022254E-2</v>
      </c>
      <c r="DN295" s="268">
        <f ca="1">DN294/DM294-1</f>
        <v>-1.7290811337567935E-2</v>
      </c>
      <c r="DO295" s="268">
        <f ca="1">DO294/DN294-1</f>
        <v>3.9953108006438809E-2</v>
      </c>
      <c r="DP295" s="268">
        <f ca="1">DP294/DO294-1</f>
        <v>-0.10291557771182536</v>
      </c>
      <c r="DQ295" s="269"/>
      <c r="DR295" s="268">
        <f ca="1">DR294/DP294-1</f>
        <v>0.11563662222754911</v>
      </c>
      <c r="DS295" s="268">
        <f ca="1">DS294/DR294-1</f>
        <v>9.2380925544101267E-2</v>
      </c>
      <c r="DT295" s="268">
        <f ca="1">DT294/DS294-1</f>
        <v>2.6542786942575836E-2</v>
      </c>
      <c r="DU295" s="268">
        <f ca="1">DU294/DT294-1</f>
        <v>6.5661675766283345E-2</v>
      </c>
      <c r="DV295" s="269"/>
      <c r="DW295" s="268">
        <f ca="1">DW294/DU294-1</f>
        <v>3.4694664692406452E-2</v>
      </c>
      <c r="DX295" s="268">
        <f ca="1">DX294/DW294-1</f>
        <v>4.9799760070100785E-2</v>
      </c>
      <c r="DY295" s="268">
        <f ca="1">DY294/DX294-1</f>
        <v>5.82772439888668E-2</v>
      </c>
      <c r="DZ295" s="268">
        <f ca="1">DZ294/DY294-1</f>
        <v>0.13661339559304708</v>
      </c>
      <c r="EA295" s="269"/>
      <c r="EB295" s="268">
        <f ca="1">EB294/DZ294-1</f>
        <v>-1.4764226675728742E-2</v>
      </c>
      <c r="EC295" s="268">
        <f ca="1">EC294/EB294-1</f>
        <v>9.0802030790071431E-3</v>
      </c>
      <c r="ED295" s="268">
        <f ca="1">ED294/EC294-1</f>
        <v>-0.15546066717722717</v>
      </c>
      <c r="EE295" s="268">
        <f ca="1">EE294/ED294-1</f>
        <v>-7.2656742330341029E-2</v>
      </c>
      <c r="EF295" s="269"/>
      <c r="EG295" s="268">
        <f ca="1">EG294/EE294-1</f>
        <v>-5.7589599114736822E-3</v>
      </c>
      <c r="EH295" s="268">
        <f ca="1">EH294/EG294-1</f>
        <v>-3.930263729946426E-2</v>
      </c>
      <c r="EI295" s="268">
        <f ca="1">EI294/EH294-1</f>
        <v>7.8262447933112211E-2</v>
      </c>
      <c r="EJ295" s="268">
        <f ca="1">EJ294/EI294-1</f>
        <v>0.18453702756916557</v>
      </c>
      <c r="EK295" s="269"/>
      <c r="EL295" s="268">
        <f ca="1">EL294/EJ294-1</f>
        <v>0.26825173747516629</v>
      </c>
      <c r="EM295" s="268">
        <f ca="1">EM294/EL294-1</f>
        <v>0.20553045442454843</v>
      </c>
      <c r="EN295" s="268">
        <f ca="1">EN294/EM294-1</f>
        <v>8.974803819905075E-2</v>
      </c>
      <c r="EO295" s="268">
        <f ca="1">EO294/EN294-1</f>
        <v>-0.12242248714190307</v>
      </c>
      <c r="EP295" s="269"/>
      <c r="EQ295" s="268">
        <f ca="1">EQ294/EO294-1</f>
        <v>0.3257268223790879</v>
      </c>
      <c r="ER295" s="268">
        <f ca="1">ER294/EQ294-1</f>
        <v>-0.19929676674470675</v>
      </c>
      <c r="ES295" s="268">
        <f ca="1">ES294/ER294-1</f>
        <v>8.7962132289109984E-2</v>
      </c>
      <c r="ET295" s="268">
        <f t="shared" ref="ET295" ca="1" si="1435">ET294/ES294-1</f>
        <v>0</v>
      </c>
      <c r="EU295" s="269"/>
      <c r="EV295" s="268">
        <f t="shared" ref="EV295:EY295" ca="1" si="1436">EV294/EU294-1</f>
        <v>0</v>
      </c>
      <c r="EW295" s="268">
        <f t="shared" ca="1" si="1436"/>
        <v>0</v>
      </c>
      <c r="EX295" s="268">
        <f t="shared" ca="1" si="1436"/>
        <v>0</v>
      </c>
      <c r="EY295" s="268">
        <f t="shared" ca="1" si="1436"/>
        <v>0</v>
      </c>
      <c r="EZ295" s="269"/>
      <c r="FA295" s="129"/>
      <c r="FB295" s="129"/>
      <c r="FC295" s="129"/>
      <c r="FD295" s="129"/>
      <c r="FE295" s="270"/>
      <c r="FG295" s="494"/>
      <c r="FH295" s="821"/>
      <c r="FI295" s="821"/>
      <c r="FJ295" s="821"/>
      <c r="FL295" s="1390"/>
      <c r="FM295" s="268"/>
      <c r="FN295" s="1499"/>
      <c r="FO295" s="1908">
        <v>0.32462443647890571</v>
      </c>
      <c r="FP295" s="1792"/>
      <c r="FQ295" s="750"/>
      <c r="FR295" s="1632"/>
      <c r="FS295" s="1632"/>
      <c r="FT295" s="453"/>
      <c r="FU295" s="453"/>
      <c r="FV295" s="453"/>
      <c r="FW295" s="453"/>
      <c r="FX295" s="453"/>
      <c r="FY295" s="453"/>
      <c r="FZ295" s="494"/>
      <c r="GA295"/>
      <c r="GB295"/>
      <c r="GC295"/>
      <c r="GD295"/>
      <c r="GE295"/>
      <c r="GF295"/>
      <c r="GG295"/>
      <c r="GH295"/>
      <c r="GI295"/>
      <c r="GJ295"/>
      <c r="GK295"/>
      <c r="GL295"/>
      <c r="GM295"/>
      <c r="GN295"/>
      <c r="GO295"/>
      <c r="GP295"/>
      <c r="GQ295"/>
      <c r="GR295"/>
      <c r="GS295"/>
      <c r="GT295"/>
      <c r="GU295"/>
      <c r="GV295"/>
      <c r="GW295"/>
      <c r="GX295"/>
      <c r="GY295"/>
      <c r="GZ295"/>
      <c r="HA295"/>
      <c r="HB295"/>
      <c r="HC295"/>
      <c r="HD295"/>
      <c r="HE295"/>
      <c r="HF295"/>
      <c r="HG295"/>
      <c r="HH295"/>
      <c r="HI295"/>
      <c r="HJ295"/>
      <c r="HK295"/>
      <c r="HL295"/>
      <c r="HM295"/>
      <c r="HN295"/>
      <c r="HO295"/>
      <c r="HP295"/>
      <c r="HQ295"/>
      <c r="HR295"/>
      <c r="HS295"/>
      <c r="HT295"/>
      <c r="HU295"/>
      <c r="HV295"/>
      <c r="HW295"/>
      <c r="HX295"/>
      <c r="HY295"/>
      <c r="HZ295"/>
      <c r="IA295"/>
      <c r="IB295"/>
      <c r="IC295"/>
      <c r="ID295"/>
      <c r="IE295"/>
      <c r="IF295"/>
      <c r="IG295"/>
      <c r="IH295"/>
      <c r="II295"/>
      <c r="IJ295"/>
      <c r="IK295"/>
      <c r="IL295"/>
      <c r="IM295"/>
      <c r="IN295"/>
      <c r="IO295"/>
      <c r="IP295"/>
      <c r="IQ295"/>
      <c r="IR295"/>
      <c r="IS295"/>
      <c r="IT295"/>
      <c r="IU295"/>
      <c r="IV295"/>
      <c r="IW295"/>
      <c r="IX295"/>
    </row>
    <row r="296" spans="1:258" s="155" customFormat="1" ht="12.75" customHeight="1" x14ac:dyDescent="0.2">
      <c r="A296" s="3" t="s">
        <v>465</v>
      </c>
      <c r="B296" s="268"/>
      <c r="C296" s="268"/>
      <c r="D296" s="268"/>
      <c r="E296" s="268"/>
      <c r="F296" s="270"/>
      <c r="G296" s="268"/>
      <c r="H296" s="268"/>
      <c r="I296" s="268"/>
      <c r="J296" s="268"/>
      <c r="K296" s="270"/>
      <c r="L296" s="268"/>
      <c r="M296" s="268"/>
      <c r="N296" s="268"/>
      <c r="O296" s="268"/>
      <c r="P296" s="270"/>
      <c r="Q296" s="268"/>
      <c r="R296" s="268"/>
      <c r="S296" s="268"/>
      <c r="T296" s="268"/>
      <c r="U296" s="270"/>
      <c r="V296" s="268"/>
      <c r="W296" s="268"/>
      <c r="X296" s="268"/>
      <c r="Y296" s="268"/>
      <c r="Z296" s="270"/>
      <c r="AA296" s="268"/>
      <c r="AB296" s="268"/>
      <c r="AC296" s="268"/>
      <c r="AD296" s="268"/>
      <c r="AE296" s="270"/>
      <c r="AF296" s="268"/>
      <c r="AG296" s="268"/>
      <c r="AH296" s="268"/>
      <c r="AI296" s="268"/>
      <c r="AJ296" s="270"/>
      <c r="AK296" s="268"/>
      <c r="AL296" s="268"/>
      <c r="AM296" s="268"/>
      <c r="AN296" s="268"/>
      <c r="AO296" s="270"/>
      <c r="AP296" s="268"/>
      <c r="AQ296" s="268"/>
      <c r="AR296" s="268"/>
      <c r="AS296" s="268"/>
      <c r="AT296" s="270"/>
      <c r="AU296" s="268"/>
      <c r="AV296" s="268"/>
      <c r="AW296" s="268"/>
      <c r="AX296" s="268"/>
      <c r="AY296" s="270"/>
      <c r="AZ296" s="268"/>
      <c r="BA296" s="268"/>
      <c r="BB296" s="268"/>
      <c r="BC296" s="268"/>
      <c r="BD296" s="270"/>
      <c r="BE296" s="268"/>
      <c r="BF296" s="268"/>
      <c r="BG296" s="268"/>
      <c r="BH296" s="268"/>
      <c r="BI296" s="270"/>
      <c r="BJ296" s="268"/>
      <c r="BK296" s="268"/>
      <c r="BL296" s="268"/>
      <c r="BM296" s="268"/>
      <c r="BN296" s="270"/>
      <c r="BO296" s="268"/>
      <c r="BP296" s="268"/>
      <c r="BQ296" s="268"/>
      <c r="BR296" s="268"/>
      <c r="BS296" s="270"/>
      <c r="BT296" s="268">
        <f t="shared" ref="BT296:ED296" ca="1" si="1437">BT294/BO294-1</f>
        <v>-0.28001734139347034</v>
      </c>
      <c r="BU296" s="268">
        <f t="shared" ca="1" si="1437"/>
        <v>-0.10225326685348735</v>
      </c>
      <c r="BV296" s="268">
        <f t="shared" ca="1" si="1437"/>
        <v>-3.0799571463632658E-2</v>
      </c>
      <c r="BW296" s="268">
        <f t="shared" ca="1" si="1437"/>
        <v>0.2164911282952271</v>
      </c>
      <c r="BX296" s="270">
        <f t="shared" ca="1" si="1437"/>
        <v>-0.1675857153900141</v>
      </c>
      <c r="BY296" s="268">
        <f t="shared" ca="1" si="1437"/>
        <v>0.11953027487492429</v>
      </c>
      <c r="BZ296" s="268">
        <f t="shared" ca="1" si="1437"/>
        <v>3.269173446038609E-3</v>
      </c>
      <c r="CA296" s="268">
        <f t="shared" ca="1" si="1437"/>
        <v>3.5010077077787694E-2</v>
      </c>
      <c r="CB296" s="268">
        <f t="shared" ca="1" si="1437"/>
        <v>0.12848009667055704</v>
      </c>
      <c r="CC296" s="270">
        <f t="shared" ca="1" si="1437"/>
        <v>0.19679907461425517</v>
      </c>
      <c r="CD296" s="268">
        <f t="shared" ca="1" si="1437"/>
        <v>0.3164488237790557</v>
      </c>
      <c r="CE296" s="268">
        <f t="shared" ca="1" si="1437"/>
        <v>0.30736883931694514</v>
      </c>
      <c r="CF296" s="268">
        <f t="shared" ca="1" si="1437"/>
        <v>0.41496691943249076</v>
      </c>
      <c r="CG296" s="268">
        <f t="shared" ca="1" si="1437"/>
        <v>0.26597519934992242</v>
      </c>
      <c r="CH296" s="270">
        <f t="shared" ca="1" si="1437"/>
        <v>0.32349117160090368</v>
      </c>
      <c r="CI296" s="268">
        <f t="shared" ca="1" si="1437"/>
        <v>0.37240711944160609</v>
      </c>
      <c r="CJ296" s="268">
        <f t="shared" ca="1" si="1437"/>
        <v>0.6551421800271473</v>
      </c>
      <c r="CK296" s="268">
        <f t="shared" ca="1" si="1437"/>
        <v>0.37388694448930981</v>
      </c>
      <c r="CL296" s="268">
        <f t="shared" ca="1" si="1437"/>
        <v>0.45930254729557496</v>
      </c>
      <c r="CM296" s="270">
        <f t="shared" ca="1" si="1437"/>
        <v>0.46320488028955031</v>
      </c>
      <c r="CN296" s="268">
        <f t="shared" ca="1" si="1437"/>
        <v>0.35688413350145631</v>
      </c>
      <c r="CO296" s="268">
        <f t="shared" ca="1" si="1437"/>
        <v>0.29890652985845345</v>
      </c>
      <c r="CP296" s="268">
        <f t="shared" ca="1" si="1437"/>
        <v>0.4042190434480557</v>
      </c>
      <c r="CQ296" s="268">
        <f t="shared" ca="1" si="1437"/>
        <v>0.2339563572570087</v>
      </c>
      <c r="CR296" s="270">
        <f t="shared" ca="1" si="1437"/>
        <v>0.31919392701360705</v>
      </c>
      <c r="CS296" s="268">
        <f t="shared" ca="1" si="1437"/>
        <v>0.33714841072481128</v>
      </c>
      <c r="CT296" s="268">
        <f t="shared" ca="1" si="1437"/>
        <v>0.45725208234388615</v>
      </c>
      <c r="CU296" s="268">
        <f t="shared" ca="1" si="1437"/>
        <v>0.42466062505649971</v>
      </c>
      <c r="CV296" s="268">
        <f t="shared" ca="1" si="1437"/>
        <v>-0.1171703605383182</v>
      </c>
      <c r="CW296" s="270">
        <f t="shared" ca="1" si="1437"/>
        <v>0.27466474138991948</v>
      </c>
      <c r="CX296" s="268">
        <f t="shared" ca="1" si="1437"/>
        <v>-0.48062731797244673</v>
      </c>
      <c r="CY296" s="268">
        <f t="shared" ca="1" si="1437"/>
        <v>-0.50734018350981036</v>
      </c>
      <c r="CZ296" s="268">
        <f t="shared" ca="1" si="1437"/>
        <v>-0.33372584708343345</v>
      </c>
      <c r="DA296" s="268">
        <f t="shared" ca="1" si="1437"/>
        <v>0.19682945753001779</v>
      </c>
      <c r="DB296" s="270">
        <f t="shared" ca="1" si="1437"/>
        <v>-0.32613479659289746</v>
      </c>
      <c r="DC296" s="268">
        <f t="shared" ca="1" si="1437"/>
        <v>0.77657585404227625</v>
      </c>
      <c r="DD296" s="268">
        <f t="shared" ca="1" si="1437"/>
        <v>0.6454470474895484</v>
      </c>
      <c r="DE296" s="268">
        <f t="shared" ca="1" si="1437"/>
        <v>0.26871788108067074</v>
      </c>
      <c r="DF296" s="268">
        <f t="shared" ca="1" si="1437"/>
        <v>0.35266021030187611</v>
      </c>
      <c r="DG296" s="270">
        <f t="shared" ca="1" si="1437"/>
        <v>0.46986995569412571</v>
      </c>
      <c r="DH296" s="268">
        <f t="shared" ca="1" si="1437"/>
        <v>0.58518634318947438</v>
      </c>
      <c r="DI296" s="268">
        <f t="shared" ca="1" si="1437"/>
        <v>0.49844847062538089</v>
      </c>
      <c r="DJ296" s="268">
        <f t="shared" ca="1" si="1437"/>
        <v>0.2381432660103131</v>
      </c>
      <c r="DK296" s="268">
        <f t="shared" ca="1" si="1437"/>
        <v>2.9403204310110231E-2</v>
      </c>
      <c r="DL296" s="270">
        <f ca="1">DL294/DG294-1</f>
        <v>0.31751614381120041</v>
      </c>
      <c r="DM296" s="268">
        <f t="shared" ca="1" si="1437"/>
        <v>-0.11465285007254589</v>
      </c>
      <c r="DN296" s="268">
        <f t="shared" ca="1" si="1437"/>
        <v>-0.17698326540383869</v>
      </c>
      <c r="DO296" s="268">
        <f t="shared" ca="1" si="1437"/>
        <v>3.5841563385189623E-2</v>
      </c>
      <c r="DP296" s="268">
        <f t="shared" ca="1" si="1437"/>
        <v>-5.5423647360492212E-2</v>
      </c>
      <c r="DQ296" s="270">
        <f ca="1">DQ294/DL294-1</f>
        <v>-8.3924023228253208E-2</v>
      </c>
      <c r="DR296" s="268">
        <f t="shared" ca="1" si="1437"/>
        <v>2.2809731517490439E-2</v>
      </c>
      <c r="DS296" s="268">
        <f t="shared" ca="1" si="1437"/>
        <v>0.13695674576051009</v>
      </c>
      <c r="DT296" s="268">
        <f t="shared" ca="1" si="1437"/>
        <v>0.1222955510595285</v>
      </c>
      <c r="DU296" s="268">
        <f t="shared" ca="1" si="1437"/>
        <v>0.33319376407915025</v>
      </c>
      <c r="DV296" s="270">
        <f ca="1">DV294/DQ294-1</f>
        <v>0.14990562719587452</v>
      </c>
      <c r="DW296" s="268">
        <f t="shared" ca="1" si="1437"/>
        <v>0.23646754436905404</v>
      </c>
      <c r="DX296" s="268">
        <f t="shared" ca="1" si="1437"/>
        <v>0.18826986178521987</v>
      </c>
      <c r="DY296" s="268">
        <f t="shared" ca="1" si="1437"/>
        <v>0.22500393596885604</v>
      </c>
      <c r="DZ296" s="268">
        <f t="shared" ca="1" si="1437"/>
        <v>0.30656465831447877</v>
      </c>
      <c r="EA296" s="270">
        <f ca="1">EA294/DV294-1</f>
        <v>0.24060959251559644</v>
      </c>
      <c r="EB296" s="268">
        <f t="shared" ca="1" si="1437"/>
        <v>0.24411025344883575</v>
      </c>
      <c r="EC296" s="268">
        <f t="shared" ca="1" si="1437"/>
        <v>0.19585379512660195</v>
      </c>
      <c r="ED296" s="268">
        <f t="shared" ca="1" si="1437"/>
        <v>-4.5670147377348314E-2</v>
      </c>
      <c r="EE296" s="268">
        <f t="shared" ref="EE296:EI296" ca="1" si="1438">EE294/DZ294-1</f>
        <v>-0.22137873981263767</v>
      </c>
      <c r="EF296" s="270">
        <f t="shared" ca="1" si="1438"/>
        <v>2.6999253601384998E-2</v>
      </c>
      <c r="EG296" s="268">
        <f t="shared" ca="1" si="1438"/>
        <v>-0.21426197411436265</v>
      </c>
      <c r="EH296" s="268">
        <f t="shared" ca="1" si="1438"/>
        <v>-0.25193612268027532</v>
      </c>
      <c r="EI296" s="268">
        <f t="shared" ca="1" si="1438"/>
        <v>-4.4912230584801982E-2</v>
      </c>
      <c r="EJ296" s="268">
        <f t="shared" ref="EJ296" ca="1" si="1439">EJ294/EE294-1</f>
        <v>0.21997633356790058</v>
      </c>
      <c r="EK296" s="270">
        <f t="shared" ref="EK296:ER296" ca="1" si="1440">EK294/EF294-1</f>
        <v>-9.1170284660133327E-2</v>
      </c>
      <c r="EL296" s="268">
        <f t="shared" ca="1" si="1440"/>
        <v>0.55619919349568225</v>
      </c>
      <c r="EM296" s="268">
        <f t="shared" ca="1" si="1440"/>
        <v>0.95279553556426078</v>
      </c>
      <c r="EN296" s="268">
        <f t="shared" ca="1" si="1440"/>
        <v>0.9735966025379259</v>
      </c>
      <c r="EO296" s="268">
        <f t="shared" ca="1" si="1440"/>
        <v>0.46216112922590069</v>
      </c>
      <c r="EP296" s="270">
        <f t="shared" ca="1" si="1440"/>
        <v>0.72145906677579763</v>
      </c>
      <c r="EQ296" s="268">
        <f t="shared" ca="1" si="1440"/>
        <v>0.52842386915541573</v>
      </c>
      <c r="ER296" s="268">
        <f t="shared" ca="1" si="1440"/>
        <v>1.5166335554323007E-2</v>
      </c>
      <c r="ES296" s="268">
        <f t="shared" ref="ES296:EU296" ca="1" si="1441">ES294/EN294-1</f>
        <v>1.3502655974559241E-2</v>
      </c>
      <c r="ET296" s="268">
        <f t="shared" ca="1" si="1441"/>
        <v>0.15488676626840747</v>
      </c>
      <c r="EU296" s="270">
        <f t="shared" ca="1" si="1441"/>
        <v>0.13991480182603389</v>
      </c>
      <c r="EV296" s="268">
        <f t="shared" ref="EV296" ca="1" si="1442">EV294/EQ294-1</f>
        <v>-0.1288652030167865</v>
      </c>
      <c r="EW296" s="268">
        <f t="shared" ref="EW296" ca="1" si="1443">EW294/ER294-1</f>
        <v>8.7962132289109984E-2</v>
      </c>
      <c r="EX296" s="268">
        <f t="shared" ref="EX296" ca="1" si="1444">EX294/ES294-1</f>
        <v>0</v>
      </c>
      <c r="EY296" s="268">
        <f t="shared" ref="EY296:EZ296" ca="1" si="1445">EY294/ET294-1</f>
        <v>0</v>
      </c>
      <c r="EZ296" s="270">
        <f t="shared" ca="1" si="1445"/>
        <v>0</v>
      </c>
      <c r="FA296" s="272"/>
      <c r="FB296" s="272"/>
      <c r="FC296" s="272"/>
      <c r="FD296" s="272"/>
      <c r="FE296" s="273">
        <f ca="1">FE294/EZ294-1</f>
        <v>0</v>
      </c>
      <c r="FG296" s="494"/>
      <c r="FH296" s="822"/>
      <c r="FI296" s="822"/>
      <c r="FJ296" s="822"/>
      <c r="FL296" s="1391"/>
      <c r="FM296" s="268"/>
      <c r="FN296" s="1499"/>
      <c r="FO296" s="1908">
        <v>0.52715293392621443</v>
      </c>
      <c r="FP296" s="1793"/>
      <c r="FQ296" s="751"/>
      <c r="FR296" s="1632"/>
      <c r="FS296" s="1632"/>
      <c r="FT296" s="454"/>
      <c r="FU296" s="454"/>
      <c r="FV296" s="454"/>
      <c r="FW296" s="454"/>
      <c r="FX296" s="454"/>
      <c r="FY296" s="454"/>
      <c r="FZ296" s="494"/>
      <c r="GA296"/>
      <c r="GB296"/>
      <c r="GC296"/>
      <c r="GD296"/>
      <c r="GE296"/>
      <c r="GF296"/>
      <c r="GG296"/>
      <c r="GH296"/>
      <c r="GI296"/>
      <c r="GJ296"/>
      <c r="GK296"/>
      <c r="GL296"/>
      <c r="GM296"/>
      <c r="GN296"/>
      <c r="GO296"/>
      <c r="GP296"/>
      <c r="GQ296"/>
      <c r="GR296"/>
      <c r="GS296"/>
      <c r="GT296"/>
      <c r="GU296"/>
      <c r="GV296"/>
      <c r="GW296"/>
      <c r="GX296"/>
      <c r="GY296"/>
      <c r="GZ296"/>
      <c r="HA296"/>
      <c r="HB296"/>
      <c r="HC296"/>
      <c r="HD296"/>
      <c r="HE296"/>
      <c r="HF296"/>
      <c r="HG296"/>
      <c r="HH296"/>
      <c r="HI296"/>
      <c r="HJ296"/>
      <c r="HK296"/>
      <c r="HL296"/>
      <c r="HM296"/>
      <c r="HN296"/>
      <c r="HO296"/>
      <c r="HP296"/>
      <c r="HQ296"/>
      <c r="HR296"/>
      <c r="HS296"/>
      <c r="HT296"/>
      <c r="HU296"/>
      <c r="HV296"/>
      <c r="HW296"/>
      <c r="HX296"/>
      <c r="HY296"/>
      <c r="HZ296"/>
      <c r="IA296"/>
      <c r="IB296"/>
      <c r="IC296"/>
      <c r="ID296"/>
      <c r="IE296"/>
      <c r="IF296"/>
      <c r="IG296"/>
      <c r="IH296"/>
      <c r="II296"/>
      <c r="IJ296"/>
      <c r="IK296"/>
      <c r="IL296"/>
      <c r="IM296"/>
      <c r="IN296"/>
      <c r="IO296"/>
      <c r="IP296"/>
      <c r="IQ296"/>
      <c r="IR296"/>
      <c r="IS296"/>
      <c r="IT296"/>
      <c r="IU296"/>
      <c r="IV296"/>
      <c r="IW296"/>
      <c r="IX296"/>
    </row>
    <row r="297" spans="1:258" s="222" customFormat="1" ht="12" customHeight="1" x14ac:dyDescent="0.2">
      <c r="A297" s="274" t="s">
        <v>595</v>
      </c>
      <c r="B297" s="275"/>
      <c r="C297" s="275"/>
      <c r="D297" s="275"/>
      <c r="E297" s="275"/>
      <c r="F297" s="276"/>
      <c r="G297" s="275"/>
      <c r="H297" s="275"/>
      <c r="I297" s="275"/>
      <c r="J297" s="275"/>
      <c r="K297" s="276"/>
      <c r="L297" s="275"/>
      <c r="M297" s="275"/>
      <c r="N297" s="275"/>
      <c r="O297" s="275"/>
      <c r="P297" s="276"/>
      <c r="Q297" s="275"/>
      <c r="R297" s="275"/>
      <c r="S297" s="275"/>
      <c r="T297" s="275"/>
      <c r="U297" s="276"/>
      <c r="V297" s="275"/>
      <c r="W297" s="275"/>
      <c r="X297" s="275"/>
      <c r="Y297" s="275"/>
      <c r="Z297" s="276"/>
      <c r="AA297" s="275"/>
      <c r="AB297" s="275"/>
      <c r="AC297" s="275"/>
      <c r="AD297" s="275"/>
      <c r="AE297" s="276"/>
      <c r="AF297" s="275"/>
      <c r="AG297" s="275"/>
      <c r="AH297" s="275"/>
      <c r="AI297" s="275"/>
      <c r="AJ297" s="276"/>
      <c r="AK297" s="275"/>
      <c r="AL297" s="275"/>
      <c r="AM297" s="275"/>
      <c r="AN297" s="275"/>
      <c r="AO297" s="276"/>
      <c r="AP297" s="275"/>
      <c r="AQ297" s="275"/>
      <c r="AR297" s="275"/>
      <c r="AS297" s="275"/>
      <c r="AT297" s="276"/>
      <c r="AU297" s="275"/>
      <c r="AV297" s="275"/>
      <c r="AW297" s="275"/>
      <c r="AX297" s="275"/>
      <c r="AY297" s="276"/>
      <c r="AZ297" s="275"/>
      <c r="BA297" s="275"/>
      <c r="BB297" s="275"/>
      <c r="BC297" s="275"/>
      <c r="BD297" s="276"/>
      <c r="BE297" s="275"/>
      <c r="BF297" s="275"/>
      <c r="BG297" s="275"/>
      <c r="BH297" s="275"/>
      <c r="BI297" s="276"/>
      <c r="BJ297" s="275"/>
      <c r="BK297" s="275"/>
      <c r="BL297" s="275"/>
      <c r="BM297" s="275"/>
      <c r="BN297" s="276"/>
      <c r="BO297" s="275">
        <f ca="1">MarketData!H32</f>
        <v>6.3516658604437737</v>
      </c>
      <c r="BP297" s="275">
        <f ca="1">MarketData!I32</f>
        <v>5.841666224443907</v>
      </c>
      <c r="BQ297" s="275">
        <f ca="1">MarketData!J32</f>
        <v>4.3966661724439975</v>
      </c>
      <c r="BR297" s="275">
        <f ca="1">MarketData!K32</f>
        <v>4.7183342582221304</v>
      </c>
      <c r="BS297" s="276">
        <f ca="1">MarketData!L32</f>
        <v>4.7183342582221304</v>
      </c>
      <c r="BT297" s="275">
        <f ca="1">MarketData!M32</f>
        <v>4.7533327675550634</v>
      </c>
      <c r="BU297" s="275">
        <f ca="1">MarketData!N32</f>
        <v>5.0150006706664856</v>
      </c>
      <c r="BV297" s="275">
        <f ca="1">MarketData!O32</f>
        <v>4.8750012999999965</v>
      </c>
      <c r="BW297" s="275">
        <f ca="1">MarketData!P32</f>
        <v>5.9899994306660851</v>
      </c>
      <c r="BX297" s="276">
        <f ca="1">MarketData!M32</f>
        <v>4.7533327675550634</v>
      </c>
      <c r="BY297" s="275">
        <f ca="1">MarketData!R32</f>
        <v>5.0483335128885747</v>
      </c>
      <c r="BZ297" s="275">
        <f ca="1">MarketData!S32</f>
        <v>5.4616662897772859</v>
      </c>
      <c r="CA297" s="275">
        <f ca="1">MarketData!T32</f>
        <v>5.5333343088887528</v>
      </c>
      <c r="CB297" s="275">
        <f ca="1">MarketData!U32</f>
        <v>6.6799996146660847</v>
      </c>
      <c r="CC297" s="276">
        <f ca="1">MarketData!V32</f>
        <v>6.6799996146660847</v>
      </c>
      <c r="CD297" s="275">
        <f ca="1">MarketData!W32</f>
        <v>6.9416675177775069</v>
      </c>
      <c r="CE297" s="275">
        <f ca="1">MarketData!X32</f>
        <v>7.1099998959994615</v>
      </c>
      <c r="CF297" s="275">
        <f ca="1">MarketData!Y32</f>
        <v>7.7466680657775946</v>
      </c>
      <c r="CG297" s="275">
        <f ca="1">MarketData!Z32</f>
        <v>8.4616670897772845</v>
      </c>
      <c r="CH297" s="276">
        <f ca="1">MarketData!AA32</f>
        <v>8.4616670897772845</v>
      </c>
      <c r="CI297" s="275">
        <f ca="1">MarketData!AB32</f>
        <v>9.9666673244439039</v>
      </c>
      <c r="CJ297" s="275">
        <f ca="1">MarketData!AC32</f>
        <v>11.740000963999416</v>
      </c>
      <c r="CK297" s="275">
        <f ca="1">MarketData!AD32</f>
        <v>10.94332899999999</v>
      </c>
      <c r="CL297" s="275">
        <f ca="1">MarketData!AE32</f>
        <v>11.476664333333323</v>
      </c>
      <c r="CM297" s="276">
        <f ca="1">MarketData!AF32</f>
        <v>11.476664333333323</v>
      </c>
      <c r="CN297" s="275">
        <f ca="1">MarketData!AG32</f>
        <v>13.349995999999985</v>
      </c>
      <c r="CO297" s="275">
        <f ca="1">MarketData!AH32</f>
        <v>15.026662333333318</v>
      </c>
      <c r="CP297" s="275">
        <f ca="1">MarketData!AI32</f>
        <v>14.243331999999985</v>
      </c>
      <c r="CQ297" s="275">
        <f ca="1">MarketData!AJ32</f>
        <v>14.659998666666651</v>
      </c>
      <c r="CR297" s="276">
        <f ca="1">MarketData!AK32</f>
        <v>14.659998666666651</v>
      </c>
      <c r="CS297" s="275">
        <f ca="1">MarketData!AL32</f>
        <v>18.689997666666645</v>
      </c>
      <c r="CT297" s="275">
        <f ca="1">MarketData!AM32</f>
        <v>20.936665999999978</v>
      </c>
      <c r="CU297" s="275">
        <f ca="1">MarketData!AN32</f>
        <v>18.189997666666645</v>
      </c>
      <c r="CV297" s="275">
        <f ca="1">MarketData!AO32</f>
        <v>10.823328666666654</v>
      </c>
      <c r="CW297" s="276">
        <f ca="1">MarketData!AP32</f>
        <v>10.823328666666654</v>
      </c>
      <c r="CX297" s="275">
        <f ca="1">MarketData!AQ32</f>
        <v>8.616663666666657</v>
      </c>
      <c r="CY297" s="275">
        <f ca="1">MarketData!AR32</f>
        <v>11.543329999999987</v>
      </c>
      <c r="CZ297" s="275">
        <f ca="1">MarketData!AS32</f>
        <v>13.953328666666652</v>
      </c>
      <c r="DA297" s="275">
        <f ca="1">MarketData!AT32</f>
        <v>16.163330333333317</v>
      </c>
      <c r="DB297" s="276">
        <f ca="1">MarketData!AU32</f>
        <v>16.163330333333317</v>
      </c>
      <c r="DC297" s="275">
        <f ca="1">MarketData!AV32</f>
        <v>16.966664666666649</v>
      </c>
      <c r="DD297" s="275">
        <f ca="1">MarketData!AW32</f>
        <v>16.543329999999983</v>
      </c>
      <c r="DE297" s="275">
        <f ca="1">MarketData!AX32</f>
        <v>18.439997666666645</v>
      </c>
      <c r="DF297" s="275">
        <f ca="1">MarketData!AY32</f>
        <v>21.536661999999978</v>
      </c>
      <c r="DG297" s="276">
        <f ca="1">MarketData!AZ32</f>
        <v>21.536661999999978</v>
      </c>
      <c r="DH297" s="275">
        <f ca="1">MarketData!BA32</f>
        <v>26.199996999999975</v>
      </c>
      <c r="DI297" s="275">
        <f ca="1">MarketData!BB32</f>
        <v>26.219985999999999</v>
      </c>
      <c r="DJ297" s="275">
        <f ca="1">MarketData!BC32</f>
        <v>18.669999000000001</v>
      </c>
      <c r="DK297" s="275">
        <f ca="1">MarketData!BD32</f>
        <v>21.059998</v>
      </c>
      <c r="DL297" s="276">
        <f ca="1">DK297</f>
        <v>21.059998</v>
      </c>
      <c r="DM297" s="275">
        <f ca="1">MarketData!BF32</f>
        <v>21.51999</v>
      </c>
      <c r="DN297" s="275">
        <f ca="1">MarketData!BG32</f>
        <v>22.359985999999999</v>
      </c>
      <c r="DO297" s="275">
        <f ca="1">MarketData!BH32</f>
        <v>20.75</v>
      </c>
      <c r="DP297" s="275">
        <f ca="1">MarketData!BI32</f>
        <v>19.429993</v>
      </c>
      <c r="DQ297" s="276">
        <f ca="1">DP297</f>
        <v>19.429993</v>
      </c>
      <c r="DR297" s="275">
        <f ca="1">MarketData!BK32</f>
        <v>24.629989999999999</v>
      </c>
      <c r="DS297" s="275">
        <f ca="1">MarketData!BL32</f>
        <v>23.14</v>
      </c>
      <c r="DT297" s="275">
        <f ca="1">MarketData!BM32</f>
        <v>25.849990999999999</v>
      </c>
      <c r="DU297" s="275">
        <f ca="1">MarketData!BN32</f>
        <v>28.289994</v>
      </c>
      <c r="DV297" s="276">
        <f ca="1">DU297</f>
        <v>28.289994</v>
      </c>
      <c r="DW297" s="275">
        <f ca="1">MarketData!BP32</f>
        <v>28.579986999999999</v>
      </c>
      <c r="DX297" s="275">
        <f ca="1">MarketData!BQ32</f>
        <v>30.76999</v>
      </c>
      <c r="DY297" s="275">
        <f ca="1">MarketData!BR32</f>
        <v>32.319992999999997</v>
      </c>
      <c r="DZ297" s="275">
        <f ca="1">MarketData!BS32</f>
        <v>36.679993000000003</v>
      </c>
      <c r="EA297" s="276">
        <f ca="1">DZ297</f>
        <v>36.679993000000003</v>
      </c>
      <c r="EB297" s="275">
        <f ca="1">MarketData!BU32</f>
        <v>33.199997000000003</v>
      </c>
      <c r="EC297" s="275">
        <f ca="1">MarketData!BV32</f>
        <v>33.669998999999997</v>
      </c>
      <c r="ED297" s="275">
        <f ca="1">MarketData!BW32</f>
        <v>26.520005000000001</v>
      </c>
      <c r="EE297" s="275">
        <f ca="1">MarketData!BX32</f>
        <v>26.130005000000001</v>
      </c>
      <c r="EF297" s="276">
        <f ca="1">EE297</f>
        <v>26.130005000000001</v>
      </c>
      <c r="EG297" s="275">
        <f ca="1">MarketData!BZ32</f>
        <v>26.169999000000001</v>
      </c>
      <c r="EH297" s="275">
        <f ca="1">MarketData!CA32</f>
        <v>25.699997</v>
      </c>
      <c r="EI297" s="275">
        <f ca="1">MarketData!CB32</f>
        <v>29.64</v>
      </c>
      <c r="EJ297" s="275">
        <f ca="1">MarketData!CC32</f>
        <v>36.649994</v>
      </c>
      <c r="EK297" s="276">
        <f ca="1">EJ297</f>
        <v>36.649994</v>
      </c>
      <c r="EL297" s="275">
        <f ca="1">MarketData!CE32</f>
        <v>46.32</v>
      </c>
      <c r="EM297" s="275">
        <f ca="1">MarketData!CF32</f>
        <v>52.649994</v>
      </c>
      <c r="EN297" s="275">
        <f ca="1">MarketData!CG32</f>
        <v>53.100006999999998</v>
      </c>
      <c r="EO297" s="275">
        <f ca="1">MarketData!CH32</f>
        <v>55</v>
      </c>
      <c r="EP297" s="276">
        <f ca="1">EO297</f>
        <v>55</v>
      </c>
      <c r="EQ297" s="275">
        <f ca="1">MarketData!CJ32</f>
        <v>54.270004999999998</v>
      </c>
      <c r="ER297" s="275">
        <f ca="1">MarketData!CK32</f>
        <v>56.41</v>
      </c>
      <c r="ES297" s="275">
        <f t="shared" ref="ES297" ca="1" si="1446">ER297</f>
        <v>56.41</v>
      </c>
      <c r="ET297" s="275">
        <f ca="1">ES297</f>
        <v>56.41</v>
      </c>
      <c r="EU297" s="276">
        <f ca="1">ET297</f>
        <v>56.41</v>
      </c>
      <c r="EV297" s="275">
        <f t="shared" ref="EV297" ca="1" si="1447">EU297</f>
        <v>56.41</v>
      </c>
      <c r="EW297" s="275">
        <f t="shared" ref="EW297" ca="1" si="1448">EV297</f>
        <v>56.41</v>
      </c>
      <c r="EX297" s="275">
        <f t="shared" ref="EX297" ca="1" si="1449">EW297</f>
        <v>56.41</v>
      </c>
      <c r="EY297" s="275">
        <f t="shared" ref="EY297" ca="1" si="1450">EX297</f>
        <v>56.41</v>
      </c>
      <c r="EZ297" s="276">
        <f ca="1">EY297</f>
        <v>56.41</v>
      </c>
      <c r="FA297" s="277"/>
      <c r="FB297" s="277"/>
      <c r="FC297" s="277"/>
      <c r="FD297" s="277"/>
      <c r="FE297" s="278">
        <f ca="1">EZ297</f>
        <v>56.41</v>
      </c>
      <c r="FG297" s="494"/>
      <c r="FH297" s="823"/>
      <c r="FI297" s="823"/>
      <c r="FJ297" s="823"/>
      <c r="FL297" s="1392"/>
      <c r="FM297" s="275"/>
      <c r="FN297" s="1500"/>
      <c r="FO297" s="1909">
        <v>54.270004999999998</v>
      </c>
      <c r="FP297" s="1794"/>
      <c r="FQ297" s="752"/>
      <c r="FR297" s="1633"/>
      <c r="FS297" s="1633"/>
      <c r="FT297" s="455"/>
      <c r="FU297" s="455"/>
      <c r="FV297" s="455"/>
      <c r="FW297" s="455"/>
      <c r="FX297" s="455"/>
      <c r="FY297" s="455"/>
      <c r="FZ297" s="494"/>
      <c r="GA297"/>
      <c r="GB297"/>
      <c r="GC297"/>
      <c r="GD297"/>
      <c r="GE297"/>
      <c r="GF297"/>
      <c r="GG297"/>
      <c r="GH297"/>
      <c r="GI297"/>
      <c r="GJ297"/>
      <c r="GK297"/>
      <c r="GL297"/>
      <c r="GM297"/>
      <c r="GN297"/>
      <c r="GO297"/>
      <c r="GP297"/>
      <c r="GQ297"/>
      <c r="GR297"/>
      <c r="GS297"/>
      <c r="GT297"/>
      <c r="GU297"/>
      <c r="GV297"/>
      <c r="GW297"/>
      <c r="GX297"/>
      <c r="GY297"/>
      <c r="GZ297"/>
      <c r="HA297"/>
      <c r="HB297"/>
      <c r="HC297"/>
      <c r="HD297"/>
      <c r="HE297"/>
      <c r="HF297"/>
      <c r="HG297"/>
      <c r="HH297"/>
      <c r="HI297"/>
      <c r="HJ297"/>
      <c r="HK297"/>
      <c r="HL297"/>
      <c r="HM297"/>
      <c r="HN297"/>
      <c r="HO297"/>
      <c r="HP297"/>
      <c r="HQ297"/>
      <c r="HR297"/>
      <c r="HS297"/>
      <c r="HT297"/>
      <c r="HU297"/>
      <c r="HV297"/>
      <c r="HW297"/>
      <c r="HX297"/>
      <c r="HY297"/>
      <c r="HZ297"/>
      <c r="IA297"/>
      <c r="IB297"/>
      <c r="IC297"/>
      <c r="ID297"/>
      <c r="IE297"/>
      <c r="IF297"/>
      <c r="IG297"/>
      <c r="IH297"/>
      <c r="II297"/>
      <c r="IJ297"/>
      <c r="IK297"/>
      <c r="IL297"/>
      <c r="IM297"/>
      <c r="IN297"/>
      <c r="IO297"/>
      <c r="IP297"/>
      <c r="IQ297"/>
      <c r="IR297"/>
      <c r="IS297"/>
      <c r="IT297"/>
      <c r="IU297"/>
      <c r="IV297"/>
      <c r="IW297"/>
      <c r="IX297"/>
    </row>
    <row r="298" spans="1:258" s="280" customFormat="1" ht="12" customHeight="1" x14ac:dyDescent="0.2">
      <c r="A298" s="279" t="s">
        <v>596</v>
      </c>
      <c r="B298" s="131"/>
      <c r="C298" s="131"/>
      <c r="D298" s="131"/>
      <c r="E298" s="131"/>
      <c r="F298" s="130"/>
      <c r="G298" s="131"/>
      <c r="H298" s="131"/>
      <c r="I298" s="131"/>
      <c r="J298" s="131"/>
      <c r="K298" s="130"/>
      <c r="L298" s="131"/>
      <c r="M298" s="131"/>
      <c r="N298" s="131"/>
      <c r="O298" s="131"/>
      <c r="P298" s="130"/>
      <c r="Q298" s="131"/>
      <c r="R298" s="131"/>
      <c r="S298" s="131"/>
      <c r="T298" s="131"/>
      <c r="U298" s="130"/>
      <c r="V298" s="131"/>
      <c r="W298" s="131"/>
      <c r="X298" s="131"/>
      <c r="Y298" s="131"/>
      <c r="Z298" s="130"/>
      <c r="AA298" s="131"/>
      <c r="AB298" s="131"/>
      <c r="AC298" s="131"/>
      <c r="AD298" s="131"/>
      <c r="AE298" s="130"/>
      <c r="AF298" s="131"/>
      <c r="AG298" s="131"/>
      <c r="AH298" s="131"/>
      <c r="AI298" s="131"/>
      <c r="AJ298" s="130"/>
      <c r="AK298" s="131"/>
      <c r="AL298" s="131"/>
      <c r="AM298" s="131"/>
      <c r="AN298" s="131"/>
      <c r="AO298" s="130"/>
      <c r="AP298" s="131"/>
      <c r="AQ298" s="131"/>
      <c r="AR298" s="131"/>
      <c r="AS298" s="131"/>
      <c r="AT298" s="130"/>
      <c r="AU298" s="131"/>
      <c r="AV298" s="131"/>
      <c r="AW298" s="131"/>
      <c r="AX298" s="131"/>
      <c r="AY298" s="130"/>
      <c r="AZ298" s="131"/>
      <c r="BA298" s="131"/>
      <c r="BB298" s="131"/>
      <c r="BC298" s="131"/>
      <c r="BD298" s="130"/>
      <c r="BE298" s="131"/>
      <c r="BF298" s="131"/>
      <c r="BG298" s="131"/>
      <c r="BH298" s="131"/>
      <c r="BI298" s="130"/>
      <c r="BJ298" s="131"/>
      <c r="BK298" s="131"/>
      <c r="BL298" s="131"/>
      <c r="BM298" s="131"/>
      <c r="BN298" s="130"/>
      <c r="BO298" s="131">
        <f ca="1">BO297-BN297</f>
        <v>6.3516658604437737</v>
      </c>
      <c r="BP298" s="131">
        <f ca="1">BP297-BO297</f>
        <v>-0.50999963599986664</v>
      </c>
      <c r="BQ298" s="131">
        <f ca="1">BQ297-BP297</f>
        <v>-1.4450000519999096</v>
      </c>
      <c r="BR298" s="131">
        <f ca="1">BR297-BQ297</f>
        <v>0.32166808577813288</v>
      </c>
      <c r="BS298" s="130">
        <f ca="1">BS297-BN297</f>
        <v>4.7183342582221304</v>
      </c>
      <c r="BT298" s="131">
        <f ca="1">BT297-BS297</f>
        <v>3.4998509332933025E-2</v>
      </c>
      <c r="BU298" s="131">
        <f ca="1">BU297-BT297</f>
        <v>0.26166790311142218</v>
      </c>
      <c r="BV298" s="131">
        <f ca="1">BV297-BU297</f>
        <v>-0.13999937066648904</v>
      </c>
      <c r="BW298" s="131">
        <f ca="1">BW297-BV297</f>
        <v>1.1149981306660885</v>
      </c>
      <c r="BX298" s="130">
        <f ca="1">BX297-BS297</f>
        <v>3.4998509332933025E-2</v>
      </c>
      <c r="BY298" s="131">
        <f ca="1">BY297-BX297</f>
        <v>0.29500074533351128</v>
      </c>
      <c r="BZ298" s="131">
        <f ca="1">BZ297-BY297</f>
        <v>0.41333277688871117</v>
      </c>
      <c r="CA298" s="131">
        <f ca="1">CA297-BZ297</f>
        <v>7.1668019111466919E-2</v>
      </c>
      <c r="CB298" s="131">
        <f ca="1">CB297-CA297</f>
        <v>1.1466653057773319</v>
      </c>
      <c r="CC298" s="130">
        <f ca="1">CC297-BX297</f>
        <v>1.9266668471110213</v>
      </c>
      <c r="CD298" s="131">
        <f ca="1">CD297-CC297</f>
        <v>0.26166790311142218</v>
      </c>
      <c r="CE298" s="131">
        <f ca="1">CE297-CD297</f>
        <v>0.16833237822195457</v>
      </c>
      <c r="CF298" s="131">
        <f ca="1">CF297-CE297</f>
        <v>0.63666816977813312</v>
      </c>
      <c r="CG298" s="131">
        <f ca="1">CG297-CF297</f>
        <v>0.71499902399968995</v>
      </c>
      <c r="CH298" s="130">
        <f ca="1">CH297-CC297</f>
        <v>1.7816674751111998</v>
      </c>
      <c r="CI298" s="131">
        <f ca="1">CI297-CH297</f>
        <v>1.5050002346666194</v>
      </c>
      <c r="CJ298" s="131">
        <f ca="1">CJ297-CI297</f>
        <v>1.7733336395555117</v>
      </c>
      <c r="CK298" s="131">
        <f ca="1">CK297-CJ297</f>
        <v>-0.79667196399942597</v>
      </c>
      <c r="CL298" s="131">
        <f ca="1">CL297-CK297</f>
        <v>0.53333533333333349</v>
      </c>
      <c r="CM298" s="130">
        <f ca="1">CM297-CH297</f>
        <v>3.0149972435560386</v>
      </c>
      <c r="CN298" s="131">
        <f ca="1">CN297-CM297</f>
        <v>1.8733316666666617</v>
      </c>
      <c r="CO298" s="131">
        <f ca="1">CO297-CN297</f>
        <v>1.6766663333333334</v>
      </c>
      <c r="CP298" s="131">
        <f ca="1">CP297-CO297</f>
        <v>-0.78333033333333368</v>
      </c>
      <c r="CQ298" s="131">
        <f ca="1">CQ297-CP297</f>
        <v>0.41666666666666607</v>
      </c>
      <c r="CR298" s="130">
        <f ca="1">CR297-CM297</f>
        <v>3.1833343333333275</v>
      </c>
      <c r="CS298" s="131">
        <f ca="1">CS297-CR297</f>
        <v>4.0299989999999948</v>
      </c>
      <c r="CT298" s="131">
        <f ca="1">CT297-CS297</f>
        <v>2.2466683333333322</v>
      </c>
      <c r="CU298" s="131">
        <f ca="1">CU297-CT297</f>
        <v>-2.7466683333333322</v>
      </c>
      <c r="CV298" s="131">
        <f ca="1">CV297-CU297</f>
        <v>-7.366668999999991</v>
      </c>
      <c r="CW298" s="130">
        <f ca="1">CW297-CR297</f>
        <v>-3.8366699999999963</v>
      </c>
      <c r="CX298" s="131">
        <f ca="1">CX297-CW297</f>
        <v>-2.2066649999999974</v>
      </c>
      <c r="CY298" s="131">
        <f ca="1">CY297-CX297</f>
        <v>2.9266663333333298</v>
      </c>
      <c r="CZ298" s="131">
        <f ca="1">CZ297-CY297</f>
        <v>2.4099986666666648</v>
      </c>
      <c r="DA298" s="131">
        <f ca="1">DA297-CZ297</f>
        <v>2.2100016666666651</v>
      </c>
      <c r="DB298" s="130">
        <f ca="1">DB297-CW297</f>
        <v>5.3400016666666623</v>
      </c>
      <c r="DC298" s="131">
        <f ca="1">DC297-DB297</f>
        <v>0.80333433333333204</v>
      </c>
      <c r="DD298" s="131">
        <f ca="1">DD297-DC297</f>
        <v>-0.42333466666666553</v>
      </c>
      <c r="DE298" s="131">
        <f ca="1">DE297-DD297</f>
        <v>1.8966676666666622</v>
      </c>
      <c r="DF298" s="131">
        <f ca="1">DF297-DE297</f>
        <v>3.096664333333333</v>
      </c>
      <c r="DG298" s="130">
        <f ca="1">DG297-DB297</f>
        <v>5.3733316666666617</v>
      </c>
      <c r="DH298" s="131">
        <f ca="1">DH297-DG297</f>
        <v>4.6633349999999965</v>
      </c>
      <c r="DI298" s="131">
        <f ca="1">DI297-DH297</f>
        <v>1.9989000000023793E-2</v>
      </c>
      <c r="DJ298" s="131">
        <f ca="1">DJ297-DI297</f>
        <v>-7.549986999999998</v>
      </c>
      <c r="DK298" s="131">
        <f ca="1">DK297-DJ297</f>
        <v>2.3899989999999995</v>
      </c>
      <c r="DL298" s="130">
        <f ca="1">DL297-DG297</f>
        <v>-0.47666399999997822</v>
      </c>
      <c r="DM298" s="131">
        <f ca="1">DM297-DL297</f>
        <v>0.45999199999999973</v>
      </c>
      <c r="DN298" s="131">
        <f ca="1">DN297-DM297</f>
        <v>0.8399959999999993</v>
      </c>
      <c r="DO298" s="131">
        <f ca="1">DO297-DN297</f>
        <v>-1.6099859999999993</v>
      </c>
      <c r="DP298" s="131">
        <f ca="1">DP297-DO297</f>
        <v>-1.3200070000000004</v>
      </c>
      <c r="DQ298" s="130">
        <f ca="1">DQ297-DL297</f>
        <v>-1.6300050000000006</v>
      </c>
      <c r="DR298" s="131">
        <f ca="1">DR297-DQ297</f>
        <v>5.1999969999999998</v>
      </c>
      <c r="DS298" s="131">
        <f ca="1">DS297-DR297</f>
        <v>-1.4899899999999988</v>
      </c>
      <c r="DT298" s="131">
        <f ca="1">DT297-DS297</f>
        <v>2.7099909999999987</v>
      </c>
      <c r="DU298" s="131">
        <f ca="1">DU297-DT297</f>
        <v>2.4400030000000008</v>
      </c>
      <c r="DV298" s="130">
        <f ca="1">DV297-DQ297</f>
        <v>8.8600010000000005</v>
      </c>
      <c r="DW298" s="131">
        <f ca="1">DW297-DV297</f>
        <v>0.28999299999999906</v>
      </c>
      <c r="DX298" s="131">
        <f ca="1">DX297-DW297</f>
        <v>2.1900030000000008</v>
      </c>
      <c r="DY298" s="131">
        <f ca="1">DY297-DX297</f>
        <v>1.5500029999999967</v>
      </c>
      <c r="DZ298" s="131">
        <f ca="1">DZ297-DY297</f>
        <v>4.3600000000000065</v>
      </c>
      <c r="EA298" s="130">
        <f ca="1">EA297-DV297</f>
        <v>8.3899990000000031</v>
      </c>
      <c r="EB298" s="131">
        <f ca="1">EB297-EA297</f>
        <v>-3.4799959999999999</v>
      </c>
      <c r="EC298" s="131">
        <f ca="1">EC297-EB297</f>
        <v>0.47000199999999381</v>
      </c>
      <c r="ED298" s="131">
        <f ca="1">ED297-EC297</f>
        <v>-7.149993999999996</v>
      </c>
      <c r="EE298" s="131">
        <f ca="1">EE297-ED297</f>
        <v>-0.39000000000000057</v>
      </c>
      <c r="EF298" s="130">
        <f ca="1">EF297-EA297</f>
        <v>-10.549988000000003</v>
      </c>
      <c r="EG298" s="131">
        <f ca="1">EG297-EF297</f>
        <v>3.9994000000000085E-2</v>
      </c>
      <c r="EH298" s="131">
        <f ca="1">EH297-EG297</f>
        <v>-0.47000200000000092</v>
      </c>
      <c r="EI298" s="131">
        <f ca="1">EI297-EH297</f>
        <v>3.9400030000000008</v>
      </c>
      <c r="EJ298" s="131">
        <f ca="1">EJ297-EI297</f>
        <v>7.0099939999999989</v>
      </c>
      <c r="EK298" s="130">
        <f ca="1">EK297-EF297</f>
        <v>10.519988999999999</v>
      </c>
      <c r="EL298" s="131">
        <f ca="1">EL297-EK297</f>
        <v>9.6700060000000008</v>
      </c>
      <c r="EM298" s="131">
        <f ca="1">EM297-EL297</f>
        <v>6.3299939999999992</v>
      </c>
      <c r="EN298" s="131">
        <f ca="1">EN297-EM297</f>
        <v>0.45001299999999844</v>
      </c>
      <c r="EO298" s="131">
        <f ca="1">EO297-EN297</f>
        <v>1.899993000000002</v>
      </c>
      <c r="EP298" s="130">
        <f ca="1">EP297-EK297</f>
        <v>18.350006</v>
      </c>
      <c r="EQ298" s="131">
        <f ca="1">EQ297-EP297</f>
        <v>-0.72999500000000239</v>
      </c>
      <c r="ER298" s="131">
        <f ca="1">ER297-EQ297</f>
        <v>2.139994999999999</v>
      </c>
      <c r="ES298" s="131"/>
      <c r="ET298" s="131"/>
      <c r="EU298" s="130"/>
      <c r="EV298" s="93"/>
      <c r="EW298" s="93"/>
      <c r="EX298" s="93"/>
      <c r="EY298" s="93"/>
      <c r="EZ298" s="130"/>
      <c r="FA298" s="93"/>
      <c r="FB298" s="93"/>
      <c r="FC298" s="93"/>
      <c r="FD298" s="93"/>
      <c r="FE298" s="130"/>
      <c r="FG298" s="494"/>
      <c r="FH298" s="824"/>
      <c r="FI298" s="824"/>
      <c r="FJ298" s="824"/>
      <c r="FK298" s="1323"/>
      <c r="FL298" s="1393"/>
      <c r="FM298" s="131"/>
      <c r="FN298" s="1501"/>
      <c r="FO298" s="1910">
        <v>-0.72999500000000239</v>
      </c>
      <c r="FP298" s="1795"/>
      <c r="FQ298" s="753"/>
      <c r="FR298" s="1622"/>
      <c r="FS298" s="1622"/>
      <c r="FT298" s="715"/>
      <c r="FU298" s="715"/>
      <c r="FV298" s="715"/>
      <c r="FW298" s="715"/>
      <c r="FX298" s="715"/>
      <c r="FY298" s="715"/>
      <c r="FZ298" s="494"/>
      <c r="GA298"/>
      <c r="GB298"/>
      <c r="GC298"/>
      <c r="GD298"/>
      <c r="GE298"/>
      <c r="GF298"/>
      <c r="GG298"/>
      <c r="GH298"/>
      <c r="GI298"/>
      <c r="GJ298"/>
      <c r="GK298"/>
      <c r="GL298"/>
      <c r="GM298"/>
      <c r="GN298"/>
      <c r="GO298"/>
      <c r="GP298"/>
      <c r="GQ298"/>
      <c r="GR298"/>
      <c r="GS298"/>
      <c r="GT298"/>
      <c r="GU298"/>
      <c r="GV298"/>
      <c r="GW298"/>
      <c r="GX298"/>
      <c r="GY298"/>
      <c r="GZ298"/>
      <c r="HA298"/>
      <c r="HB298"/>
      <c r="HC298"/>
      <c r="HD298"/>
      <c r="HE298"/>
      <c r="HF298"/>
      <c r="HG298"/>
      <c r="HH298"/>
      <c r="HI298"/>
      <c r="HJ298"/>
      <c r="HK298"/>
      <c r="HL298"/>
      <c r="HM298"/>
      <c r="HN298"/>
      <c r="HO298"/>
      <c r="HP298"/>
      <c r="HQ298"/>
      <c r="HR298"/>
      <c r="HS298"/>
      <c r="HT298"/>
      <c r="HU298"/>
      <c r="HV298"/>
      <c r="HW298"/>
      <c r="HX298"/>
      <c r="HY298"/>
      <c r="HZ298"/>
      <c r="IA298"/>
      <c r="IB298"/>
      <c r="IC298"/>
      <c r="ID298"/>
      <c r="IE298"/>
      <c r="IF298"/>
      <c r="IG298"/>
      <c r="IH298"/>
      <c r="II298"/>
      <c r="IJ298"/>
      <c r="IK298"/>
      <c r="IL298"/>
      <c r="IM298"/>
      <c r="IN298"/>
      <c r="IO298"/>
      <c r="IP298"/>
      <c r="IQ298"/>
      <c r="IR298"/>
      <c r="IS298"/>
      <c r="IT298"/>
      <c r="IU298"/>
      <c r="IV298"/>
      <c r="IW298"/>
      <c r="IX298"/>
    </row>
    <row r="299" spans="1:258" s="281" customFormat="1" ht="12" customHeight="1" x14ac:dyDescent="0.2">
      <c r="A299" s="267" t="s">
        <v>426</v>
      </c>
      <c r="B299" s="268"/>
      <c r="C299" s="268"/>
      <c r="D299" s="268"/>
      <c r="E299" s="268"/>
      <c r="F299" s="270"/>
      <c r="G299" s="268"/>
      <c r="H299" s="268"/>
      <c r="I299" s="268"/>
      <c r="J299" s="268"/>
      <c r="K299" s="270"/>
      <c r="L299" s="268"/>
      <c r="M299" s="268"/>
      <c r="N299" s="268"/>
      <c r="O299" s="268"/>
      <c r="P299" s="270"/>
      <c r="Q299" s="268"/>
      <c r="R299" s="268"/>
      <c r="S299" s="268"/>
      <c r="T299" s="268"/>
      <c r="U299" s="270"/>
      <c r="V299" s="268"/>
      <c r="W299" s="268"/>
      <c r="X299" s="268"/>
      <c r="Y299" s="268"/>
      <c r="Z299" s="270"/>
      <c r="AA299" s="268"/>
      <c r="AB299" s="268"/>
      <c r="AC299" s="268"/>
      <c r="AD299" s="268"/>
      <c r="AE299" s="270"/>
      <c r="AF299" s="268"/>
      <c r="AG299" s="268"/>
      <c r="AH299" s="268"/>
      <c r="AI299" s="268"/>
      <c r="AJ299" s="270"/>
      <c r="AK299" s="268"/>
      <c r="AL299" s="268"/>
      <c r="AM299" s="268"/>
      <c r="AN299" s="268"/>
      <c r="AO299" s="270"/>
      <c r="AP299" s="268"/>
      <c r="AQ299" s="268"/>
      <c r="AR299" s="268"/>
      <c r="AS299" s="268"/>
      <c r="AT299" s="270"/>
      <c r="AU299" s="268"/>
      <c r="AV299" s="268"/>
      <c r="AW299" s="268"/>
      <c r="AX299" s="268"/>
      <c r="AY299" s="270"/>
      <c r="AZ299" s="268"/>
      <c r="BA299" s="268"/>
      <c r="BB299" s="268"/>
      <c r="BC299" s="268"/>
      <c r="BD299" s="270"/>
      <c r="BE299" s="268"/>
      <c r="BF299" s="268"/>
      <c r="BG299" s="268"/>
      <c r="BH299" s="268"/>
      <c r="BI299" s="270"/>
      <c r="BJ299" s="268"/>
      <c r="BK299" s="268"/>
      <c r="BL299" s="268"/>
      <c r="BM299" s="268"/>
      <c r="BN299" s="270"/>
      <c r="BO299" s="268"/>
      <c r="BP299" s="268">
        <f ca="1">BP298/BO297</f>
        <v>-8.0293839003085454E-2</v>
      </c>
      <c r="BQ299" s="268">
        <f ca="1">BQ298/BP297</f>
        <v>-0.24736094060859584</v>
      </c>
      <c r="BR299" s="268">
        <f ca="1">BR298/BQ297</f>
        <v>7.3161816968088253E-2</v>
      </c>
      <c r="BS299" s="270"/>
      <c r="BT299" s="268">
        <f ca="1">BT298/BS297</f>
        <v>7.41755615807526E-3</v>
      </c>
      <c r="BU299" s="268">
        <f ca="1">BU298/BT297</f>
        <v>5.5049355033061229E-2</v>
      </c>
      <c r="BV299" s="268">
        <f ca="1">BV298/BU297</f>
        <v>-2.7916122022748076E-2</v>
      </c>
      <c r="BW299" s="268">
        <f ca="1">BW298/BV297</f>
        <v>0.22871750427350437</v>
      </c>
      <c r="BX299" s="270">
        <f ca="1">BX298/BS297</f>
        <v>7.41755615807526E-3</v>
      </c>
      <c r="BY299" s="268">
        <f ca="1">BY298/BX297</f>
        <v>6.2061875269306808E-2</v>
      </c>
      <c r="BZ299" s="268">
        <f ca="1">BZ298/BY297</f>
        <v>8.1875093203223975E-2</v>
      </c>
      <c r="CA299" s="268">
        <f ca="1">CA298/BZ297</f>
        <v>1.3122006235644502E-2</v>
      </c>
      <c r="CB299" s="268">
        <f ca="1">CB298/CA297</f>
        <v>0.20722863318331008</v>
      </c>
      <c r="CC299" s="270">
        <f ca="1">CC298/BX297</f>
        <v>0.40532967947498166</v>
      </c>
      <c r="CD299" s="268">
        <f ca="1">CD298/CC297</f>
        <v>3.9171844042763804E-2</v>
      </c>
      <c r="CE299" s="268">
        <f ca="1">CE298/CD297</f>
        <v>2.424955931566268E-2</v>
      </c>
      <c r="CF299" s="268">
        <f ca="1">CF298/CE297</f>
        <v>8.9545454161871804E-2</v>
      </c>
      <c r="CG299" s="268">
        <f ca="1">CG298/CF297</f>
        <v>9.2297619819072474E-2</v>
      </c>
      <c r="CH299" s="270">
        <f ca="1">CH298/CC297</f>
        <v>0.26671670327637598</v>
      </c>
      <c r="CI299" s="268">
        <f ca="1">CI298/CH297</f>
        <v>0.17786096034017237</v>
      </c>
      <c r="CJ299" s="268">
        <f ca="1">CJ298/CI297</f>
        <v>0.17792644038657685</v>
      </c>
      <c r="CK299" s="268">
        <f ca="1">CK298/CJ297</f>
        <v>-6.7859616574343723E-2</v>
      </c>
      <c r="CL299" s="268">
        <f ca="1">CL298/CK297</f>
        <v>4.8736114333520812E-2</v>
      </c>
      <c r="CM299" s="270">
        <f ca="1">CM298/CH297</f>
        <v>0.35631243956625513</v>
      </c>
      <c r="CN299" s="268">
        <f ca="1">CN298/CM297</f>
        <v>0.16322962946870162</v>
      </c>
      <c r="CO299" s="268">
        <f ca="1">CO298/CN297</f>
        <v>0.12559302140115511</v>
      </c>
      <c r="CP299" s="268">
        <f ca="1">CP298/CO297</f>
        <v>-5.2129362858955648E-2</v>
      </c>
      <c r="CQ299" s="268">
        <f ca="1">CQ298/CP297</f>
        <v>2.9253454645771546E-2</v>
      </c>
      <c r="CR299" s="270">
        <f ca="1">CR298/CM297</f>
        <v>0.27737452633231702</v>
      </c>
      <c r="CS299" s="268">
        <f ca="1">CS298/CR297</f>
        <v>0.27489763755321844</v>
      </c>
      <c r="CT299" s="268">
        <f ca="1">CT298/CS297</f>
        <v>0.12020698843318929</v>
      </c>
      <c r="CU299" s="268">
        <f ca="1">CU298/CT297</f>
        <v>-0.13118938484920833</v>
      </c>
      <c r="CV299" s="268">
        <f ca="1">CV298/CU297</f>
        <v>-0.40498460390126856</v>
      </c>
      <c r="CW299" s="270">
        <f ca="1">CW298/CR297</f>
        <v>-0.26171011930060206</v>
      </c>
      <c r="CX299" s="268">
        <f ca="1">CX298/CW297</f>
        <v>-0.20388043899988131</v>
      </c>
      <c r="CY299" s="268">
        <f ca="1">CY298/CX297</f>
        <v>0.33965191709351078</v>
      </c>
      <c r="CZ299" s="268">
        <f ca="1">CZ298/CY297</f>
        <v>0.20877846051933607</v>
      </c>
      <c r="DA299" s="268">
        <f ca="1">DA298/CZ297</f>
        <v>0.15838526558513427</v>
      </c>
      <c r="DB299" s="270">
        <f ca="1">DB298/CW297</f>
        <v>0.49337886995085262</v>
      </c>
      <c r="DC299" s="268">
        <f ca="1">DC298/DB297</f>
        <v>4.9701040365216782E-2</v>
      </c>
      <c r="DD299" s="268">
        <f ca="1">DD298/DC297</f>
        <v>-2.4950965613080384E-2</v>
      </c>
      <c r="DE299" s="268">
        <f ca="1">DE298/DD297</f>
        <v>0.11464848169423351</v>
      </c>
      <c r="DF299" s="268">
        <f ca="1">DF298/DE297</f>
        <v>0.16793192652790123</v>
      </c>
      <c r="DG299" s="270">
        <f ca="1">DG298/DB297</f>
        <v>0.3324396368726899</v>
      </c>
      <c r="DH299" s="268">
        <f ca="1">DH298/DG297</f>
        <v>0.2165300732304756</v>
      </c>
      <c r="DI299" s="268">
        <f ca="1">DI298/DH297</f>
        <v>7.6293901865804844E-4</v>
      </c>
      <c r="DJ299" s="268">
        <f ca="1">DJ298/DI297</f>
        <v>-0.28794778914069591</v>
      </c>
      <c r="DK299" s="268">
        <f ca="1">DK298/DJ297</f>
        <v>0.12801280814208932</v>
      </c>
      <c r="DL299" s="270">
        <f ca="1">DL298/DG297</f>
        <v>-2.2132677756654149E-2</v>
      </c>
      <c r="DM299" s="268">
        <f ca="1">DM298/DL297</f>
        <v>2.1841977382903822E-2</v>
      </c>
      <c r="DN299" s="268">
        <f ca="1">DN298/DM297</f>
        <v>3.9033289513610334E-2</v>
      </c>
      <c r="DO299" s="268">
        <f ca="1">DO298/DN297</f>
        <v>-7.2002996781840536E-2</v>
      </c>
      <c r="DP299" s="268">
        <f ca="1">DP298/DO297</f>
        <v>-6.3614795180722911E-2</v>
      </c>
      <c r="DQ299" s="270">
        <f ca="1">DQ298/DL297</f>
        <v>-7.7398155498400359E-2</v>
      </c>
      <c r="DR299" s="268">
        <f ca="1">DR298/DQ297</f>
        <v>0.26762732235672959</v>
      </c>
      <c r="DS299" s="268">
        <f ca="1">DS298/DR297</f>
        <v>-6.0494949449837326E-2</v>
      </c>
      <c r="DT299" s="268">
        <f ca="1">DT298/DS297</f>
        <v>0.11711283491789104</v>
      </c>
      <c r="DU299" s="268">
        <f ca="1">DU298/DT297</f>
        <v>9.4390864584827164E-2</v>
      </c>
      <c r="DV299" s="270">
        <f ca="1">DV298/DQ297</f>
        <v>0.4559960984031235</v>
      </c>
      <c r="DW299" s="268">
        <f ca="1">DW298/DV297</f>
        <v>1.0250726811748318E-2</v>
      </c>
      <c r="DX299" s="268">
        <f ca="1">DX298/DW297</f>
        <v>7.662715171983811E-2</v>
      </c>
      <c r="DY299" s="268">
        <f ca="1">DY298/DX297</f>
        <v>5.0373854525139483E-2</v>
      </c>
      <c r="DZ299" s="268">
        <f ca="1">DZ298/DY297</f>
        <v>0.13490101931643386</v>
      </c>
      <c r="EA299" s="270">
        <f ca="1">EA298/DV297</f>
        <v>0.29657125413317525</v>
      </c>
      <c r="EB299" s="268">
        <f ca="1">EB298/EA297</f>
        <v>-9.4874500112363702E-2</v>
      </c>
      <c r="EC299" s="268">
        <f ca="1">EC298/EB297</f>
        <v>1.4156688026206562E-2</v>
      </c>
      <c r="ED299" s="268">
        <f ca="1">ED298/EC297</f>
        <v>-0.21235504046198506</v>
      </c>
      <c r="EE299" s="268">
        <f ca="1">EE298/ED297</f>
        <v>-1.4705879580339467E-2</v>
      </c>
      <c r="EF299" s="270">
        <f ca="1">EF298/EA297</f>
        <v>-0.28762241039686137</v>
      </c>
      <c r="EG299" s="268">
        <f ca="1">EG298/EF297</f>
        <v>1.530577586954158E-3</v>
      </c>
      <c r="EH299" s="268">
        <f ca="1">EH298/EG297</f>
        <v>-1.7959572715306595E-2</v>
      </c>
      <c r="EI299" s="268">
        <f ca="1">EI298/EH297</f>
        <v>0.15330752762344685</v>
      </c>
      <c r="EJ299" s="268">
        <f ca="1">EJ298/EI297</f>
        <v>0.23650452091767876</v>
      </c>
      <c r="EK299" s="270">
        <f ca="1">EK298/EF297</f>
        <v>0.40260187474131748</v>
      </c>
      <c r="EL299" s="268">
        <f ca="1">EL298/EJ297</f>
        <v>0.2638474101796579</v>
      </c>
      <c r="EM299" s="268">
        <f ca="1">EM298/EL297</f>
        <v>0.13665790155440413</v>
      </c>
      <c r="EN299" s="268">
        <f ca="1">EN298/EM297</f>
        <v>8.547256434635081E-3</v>
      </c>
      <c r="EO299" s="268">
        <f ca="1">EO298/EN297</f>
        <v>3.578140771243217E-2</v>
      </c>
      <c r="EP299" s="270">
        <f ca="1">EP298/EK297</f>
        <v>0.50068237391798753</v>
      </c>
      <c r="EQ299" s="268">
        <f ca="1">EQ298/EO297</f>
        <v>-1.3272636363636407E-2</v>
      </c>
      <c r="ER299" s="268">
        <f ca="1">ER298/EQ297</f>
        <v>3.9432371528250257E-2</v>
      </c>
      <c r="ES299" s="628"/>
      <c r="ET299" s="628"/>
      <c r="EU299" s="270"/>
      <c r="EV299" s="129"/>
      <c r="EW299" s="129"/>
      <c r="EX299" s="129"/>
      <c r="EY299" s="129"/>
      <c r="EZ299" s="684"/>
      <c r="FA299" s="129"/>
      <c r="FB299" s="129"/>
      <c r="FC299" s="129"/>
      <c r="FD299" s="129"/>
      <c r="FE299" s="684"/>
      <c r="FG299" s="494"/>
      <c r="FH299" s="825"/>
      <c r="FI299" s="825"/>
      <c r="FJ299" s="825"/>
      <c r="FK299" s="1324"/>
      <c r="FL299" s="1394"/>
      <c r="FM299" s="268"/>
      <c r="FN299" s="1499"/>
      <c r="FO299" s="1911">
        <v>-1.3272636363636407E-2</v>
      </c>
      <c r="FP299" s="1796"/>
      <c r="FQ299" s="754"/>
      <c r="FR299" s="1622"/>
      <c r="FS299" s="1622"/>
      <c r="FT299" s="716"/>
      <c r="FU299" s="716"/>
      <c r="FV299" s="716"/>
      <c r="FW299" s="716"/>
      <c r="FX299" s="716"/>
      <c r="FY299" s="716"/>
      <c r="FZ299" s="494"/>
      <c r="GA299"/>
      <c r="GB299"/>
      <c r="GC299"/>
      <c r="GD299"/>
      <c r="GE299"/>
      <c r="GF299"/>
      <c r="GG299"/>
      <c r="GH299"/>
      <c r="GI299"/>
      <c r="GJ299"/>
      <c r="GK299"/>
      <c r="GL299"/>
      <c r="GM299"/>
      <c r="GN299"/>
      <c r="GO299"/>
      <c r="GP299"/>
      <c r="GQ299"/>
      <c r="GR299"/>
      <c r="GS299"/>
      <c r="GT299"/>
      <c r="GU299"/>
      <c r="GV299"/>
      <c r="GW299"/>
      <c r="GX299"/>
      <c r="GY299"/>
      <c r="GZ299"/>
      <c r="HA299"/>
      <c r="HB299"/>
      <c r="HC299"/>
      <c r="HD299"/>
      <c r="HE299"/>
      <c r="HF299"/>
      <c r="HG299"/>
      <c r="HH299"/>
      <c r="HI299"/>
      <c r="HJ299"/>
      <c r="HK299"/>
      <c r="HL299"/>
      <c r="HM299"/>
      <c r="HN299"/>
      <c r="HO299"/>
      <c r="HP299"/>
      <c r="HQ299"/>
      <c r="HR299"/>
      <c r="HS299"/>
      <c r="HT299"/>
      <c r="HU299"/>
      <c r="HV299"/>
      <c r="HW299"/>
      <c r="HX299"/>
      <c r="HY299"/>
      <c r="HZ299"/>
      <c r="IA299"/>
      <c r="IB299"/>
      <c r="IC299"/>
      <c r="ID299"/>
      <c r="IE299"/>
      <c r="IF299"/>
      <c r="IG299"/>
      <c r="IH299"/>
      <c r="II299"/>
      <c r="IJ299"/>
      <c r="IK299"/>
      <c r="IL299"/>
      <c r="IM299"/>
      <c r="IN299"/>
      <c r="IO299"/>
      <c r="IP299"/>
      <c r="IQ299"/>
      <c r="IR299"/>
      <c r="IS299"/>
      <c r="IT299"/>
      <c r="IU299"/>
      <c r="IV299"/>
      <c r="IW299"/>
      <c r="IX299"/>
    </row>
    <row r="300" spans="1:258" s="155" customFormat="1" ht="12.6" customHeight="1" x14ac:dyDescent="0.2">
      <c r="A300" s="248"/>
      <c r="B300" s="236"/>
      <c r="C300" s="236"/>
      <c r="D300" s="236"/>
      <c r="E300" s="236"/>
      <c r="F300" s="238"/>
      <c r="G300" s="236"/>
      <c r="H300" s="236"/>
      <c r="I300" s="236"/>
      <c r="J300" s="236"/>
      <c r="K300" s="238"/>
      <c r="L300" s="236"/>
      <c r="M300" s="236"/>
      <c r="N300" s="236"/>
      <c r="O300" s="236"/>
      <c r="P300" s="238"/>
      <c r="Q300" s="236"/>
      <c r="R300" s="236"/>
      <c r="S300" s="236"/>
      <c r="T300" s="236"/>
      <c r="U300" s="238"/>
      <c r="V300" s="236"/>
      <c r="W300" s="236"/>
      <c r="X300" s="236"/>
      <c r="Y300" s="236"/>
      <c r="Z300" s="238"/>
      <c r="AA300" s="236"/>
      <c r="AB300" s="236"/>
      <c r="AC300" s="236"/>
      <c r="AD300" s="236"/>
      <c r="AE300" s="238"/>
      <c r="AF300" s="236"/>
      <c r="AG300" s="236"/>
      <c r="AH300" s="236"/>
      <c r="AI300" s="236"/>
      <c r="AJ300" s="238"/>
      <c r="AK300" s="236"/>
      <c r="AL300" s="236"/>
      <c r="AM300" s="236"/>
      <c r="AN300" s="236"/>
      <c r="AO300" s="238"/>
      <c r="AP300" s="236"/>
      <c r="AQ300" s="236"/>
      <c r="AR300" s="236"/>
      <c r="AS300" s="236"/>
      <c r="AT300" s="238"/>
      <c r="AU300" s="236"/>
      <c r="AV300" s="236"/>
      <c r="AW300" s="236"/>
      <c r="AX300" s="236"/>
      <c r="AY300" s="238"/>
      <c r="AZ300" s="236"/>
      <c r="BA300" s="236"/>
      <c r="BB300" s="236"/>
      <c r="BC300" s="236"/>
      <c r="BD300" s="238"/>
      <c r="BE300" s="236"/>
      <c r="BF300" s="236"/>
      <c r="BG300" s="236"/>
      <c r="BH300" s="236"/>
      <c r="BI300" s="238"/>
      <c r="BJ300" s="236"/>
      <c r="BK300" s="236"/>
      <c r="BL300" s="236"/>
      <c r="BM300" s="236"/>
      <c r="BN300" s="238"/>
      <c r="BO300" s="236"/>
      <c r="BP300" s="236"/>
      <c r="BQ300" s="236"/>
      <c r="BR300" s="236"/>
      <c r="BS300" s="238"/>
      <c r="BT300" s="236"/>
      <c r="BU300" s="236"/>
      <c r="BV300" s="236"/>
      <c r="BW300" s="236"/>
      <c r="BX300" s="238"/>
      <c r="BY300" s="236"/>
      <c r="BZ300" s="236"/>
      <c r="CA300" s="236"/>
      <c r="CB300" s="236"/>
      <c r="CC300" s="238"/>
      <c r="CD300" s="236"/>
      <c r="CE300" s="236"/>
      <c r="CF300" s="236"/>
      <c r="CG300" s="236"/>
      <c r="CH300" s="238"/>
      <c r="CI300" s="236"/>
      <c r="CJ300" s="236"/>
      <c r="CK300" s="236"/>
      <c r="CL300" s="236"/>
      <c r="CM300" s="238"/>
      <c r="CN300" s="236"/>
      <c r="CO300" s="236"/>
      <c r="CP300" s="236"/>
      <c r="CQ300" s="236"/>
      <c r="CR300" s="238"/>
      <c r="CS300" s="236"/>
      <c r="CT300" s="236"/>
      <c r="CU300" s="236"/>
      <c r="CV300" s="236"/>
      <c r="CW300" s="238"/>
      <c r="CX300" s="236"/>
      <c r="CY300" s="236"/>
      <c r="CZ300" s="236"/>
      <c r="DA300" s="236"/>
      <c r="DB300" s="238"/>
      <c r="DC300" s="236"/>
      <c r="DD300" s="236"/>
      <c r="DE300" s="236"/>
      <c r="DF300" s="236"/>
      <c r="DG300" s="238"/>
      <c r="DH300" s="236"/>
      <c r="DI300" s="236"/>
      <c r="DJ300" s="236"/>
      <c r="DK300" s="236"/>
      <c r="DL300" s="238"/>
      <c r="DM300" s="236"/>
      <c r="DN300" s="236"/>
      <c r="DO300" s="236"/>
      <c r="DP300" s="236"/>
      <c r="DQ300" s="238"/>
      <c r="DR300" s="236"/>
      <c r="DS300" s="236"/>
      <c r="DT300" s="236"/>
      <c r="DU300" s="236"/>
      <c r="DV300" s="238"/>
      <c r="DW300" s="236"/>
      <c r="DX300" s="246"/>
      <c r="DY300" s="236"/>
      <c r="DZ300" s="236"/>
      <c r="EA300" s="238"/>
      <c r="EB300" s="246"/>
      <c r="EC300" s="246"/>
      <c r="ED300" s="246"/>
      <c r="EE300" s="246"/>
      <c r="EF300" s="238"/>
      <c r="EG300" s="246"/>
      <c r="EH300" s="246"/>
      <c r="EI300" s="246"/>
      <c r="EJ300" s="246"/>
      <c r="EK300" s="238"/>
      <c r="EL300" s="246"/>
      <c r="EM300" s="246"/>
      <c r="EN300" s="246"/>
      <c r="EO300" s="246"/>
      <c r="EP300" s="238"/>
      <c r="EQ300" s="246"/>
      <c r="ER300" s="246"/>
      <c r="ES300" s="246"/>
      <c r="ET300" s="246"/>
      <c r="EU300" s="238"/>
      <c r="EV300" s="246"/>
      <c r="EW300" s="246"/>
      <c r="EX300" s="246"/>
      <c r="EY300" s="246"/>
      <c r="EZ300" s="238"/>
      <c r="FA300" s="246"/>
      <c r="FB300" s="246"/>
      <c r="FC300" s="246"/>
      <c r="FD300" s="246"/>
      <c r="FE300" s="238"/>
      <c r="FG300" s="494"/>
      <c r="FH300" s="822"/>
      <c r="FI300" s="822"/>
      <c r="FJ300" s="822"/>
      <c r="FL300" s="1391"/>
      <c r="FM300" s="246"/>
      <c r="FN300" s="1502"/>
      <c r="FO300" s="1793"/>
      <c r="FP300" s="1793"/>
      <c r="FQ300" s="751"/>
      <c r="FR300" s="1632"/>
      <c r="FS300" s="1632"/>
      <c r="FT300" s="454"/>
      <c r="FU300" s="454"/>
      <c r="FV300" s="454"/>
      <c r="FW300" s="454"/>
      <c r="FX300" s="454"/>
      <c r="FY300" s="454"/>
      <c r="FZ300" s="494"/>
      <c r="GA300"/>
      <c r="GB300"/>
      <c r="GC300"/>
      <c r="GD300"/>
      <c r="GE300"/>
      <c r="GF300"/>
      <c r="GG300"/>
      <c r="GH300"/>
      <c r="GI300"/>
      <c r="GJ300"/>
      <c r="GK300"/>
      <c r="GL300"/>
      <c r="GM300"/>
      <c r="GN300"/>
      <c r="GO300"/>
      <c r="GP300"/>
      <c r="GQ300"/>
      <c r="GR300"/>
      <c r="GS300"/>
      <c r="GT300"/>
      <c r="GU300"/>
      <c r="GV300"/>
      <c r="GW300"/>
      <c r="GX300"/>
      <c r="GY300"/>
      <c r="GZ300"/>
      <c r="HA300"/>
      <c r="HB300"/>
      <c r="HC300"/>
      <c r="HD300"/>
      <c r="HE300"/>
      <c r="HF300"/>
      <c r="HG300"/>
      <c r="HH300"/>
      <c r="HI300"/>
      <c r="HJ300"/>
      <c r="HK300"/>
      <c r="HL300"/>
      <c r="HM300"/>
      <c r="HN300"/>
      <c r="HO300"/>
      <c r="HP300"/>
      <c r="HQ300"/>
      <c r="HR300"/>
      <c r="HS300"/>
      <c r="HT300"/>
      <c r="HU300"/>
      <c r="HV300"/>
      <c r="HW300"/>
      <c r="HX300"/>
      <c r="HY300"/>
      <c r="HZ300"/>
      <c r="IA300"/>
      <c r="IB300"/>
      <c r="IC300"/>
      <c r="ID300"/>
      <c r="IE300"/>
      <c r="IF300"/>
      <c r="IG300"/>
      <c r="IH300"/>
      <c r="II300"/>
      <c r="IJ300"/>
      <c r="IK300"/>
      <c r="IL300"/>
      <c r="IM300"/>
      <c r="IN300"/>
      <c r="IO300"/>
      <c r="IP300"/>
      <c r="IQ300"/>
      <c r="IR300"/>
      <c r="IS300"/>
      <c r="IT300"/>
      <c r="IU300"/>
      <c r="IV300"/>
      <c r="IW300"/>
      <c r="IX300"/>
    </row>
    <row r="301" spans="1:258" s="136" customFormat="1" ht="12.6" customHeight="1" x14ac:dyDescent="0.2">
      <c r="A301" s="132" t="s">
        <v>459</v>
      </c>
      <c r="B301" s="134"/>
      <c r="C301" s="134"/>
      <c r="D301" s="134"/>
      <c r="E301" s="134"/>
      <c r="F301" s="133"/>
      <c r="G301" s="134"/>
      <c r="H301" s="134"/>
      <c r="I301" s="134"/>
      <c r="J301" s="134"/>
      <c r="K301" s="133"/>
      <c r="L301" s="134"/>
      <c r="M301" s="134"/>
      <c r="N301" s="134"/>
      <c r="O301" s="134"/>
      <c r="P301" s="133"/>
      <c r="Q301" s="134"/>
      <c r="R301" s="134"/>
      <c r="S301" s="134"/>
      <c r="T301" s="134"/>
      <c r="U301" s="133"/>
      <c r="V301" s="134"/>
      <c r="W301" s="134"/>
      <c r="X301" s="134"/>
      <c r="Y301" s="134"/>
      <c r="Z301" s="133"/>
      <c r="AA301" s="134"/>
      <c r="AB301" s="134"/>
      <c r="AC301" s="134"/>
      <c r="AD301" s="134"/>
      <c r="AE301" s="133"/>
      <c r="AF301" s="134"/>
      <c r="AG301" s="134"/>
      <c r="AH301" s="134"/>
      <c r="AI301" s="134"/>
      <c r="AJ301" s="133"/>
      <c r="AK301" s="134"/>
      <c r="AL301" s="134"/>
      <c r="AM301" s="134"/>
      <c r="AN301" s="134"/>
      <c r="AO301" s="133"/>
      <c r="AP301" s="134"/>
      <c r="AQ301" s="134"/>
      <c r="AR301" s="134"/>
      <c r="AS301" s="134"/>
      <c r="AT301" s="133"/>
      <c r="AU301" s="134"/>
      <c r="AV301" s="134"/>
      <c r="AW301" s="134"/>
      <c r="AX301" s="134"/>
      <c r="AY301" s="133"/>
      <c r="AZ301" s="134"/>
      <c r="BA301" s="134"/>
      <c r="BB301" s="134"/>
      <c r="BC301" s="134"/>
      <c r="BD301" s="133"/>
      <c r="BE301" s="134"/>
      <c r="BF301" s="134"/>
      <c r="BG301" s="134"/>
      <c r="BH301" s="134"/>
      <c r="BI301" s="133"/>
      <c r="BJ301" s="134"/>
      <c r="BK301" s="134"/>
      <c r="BL301" s="134"/>
      <c r="BM301" s="134"/>
      <c r="BN301" s="133"/>
      <c r="BO301" s="134"/>
      <c r="BP301" s="134"/>
      <c r="BQ301" s="134"/>
      <c r="BR301" s="134"/>
      <c r="BS301" s="133"/>
      <c r="BT301" s="134"/>
      <c r="BU301" s="134"/>
      <c r="BV301" s="134"/>
      <c r="BW301" s="134"/>
      <c r="BX301" s="133"/>
      <c r="BY301" s="134"/>
      <c r="BZ301" s="134"/>
      <c r="CA301" s="134"/>
      <c r="CB301" s="134"/>
      <c r="CC301" s="133"/>
      <c r="CD301" s="134"/>
      <c r="CE301" s="134"/>
      <c r="CF301" s="134"/>
      <c r="CG301" s="134"/>
      <c r="CH301" s="133"/>
      <c r="CI301" s="134"/>
      <c r="CJ301" s="134"/>
      <c r="CK301" s="134"/>
      <c r="CL301" s="134"/>
      <c r="CM301" s="133"/>
      <c r="CN301" s="134"/>
      <c r="CO301" s="134"/>
      <c r="CP301" s="134"/>
      <c r="CQ301" s="134"/>
      <c r="CR301" s="133"/>
      <c r="CS301" s="134"/>
      <c r="CT301" s="134"/>
      <c r="CU301" s="134"/>
      <c r="CV301" s="134"/>
      <c r="CW301" s="133"/>
      <c r="CX301" s="134"/>
      <c r="CY301" s="134"/>
      <c r="CZ301" s="134"/>
      <c r="DA301" s="134"/>
      <c r="DB301" s="133"/>
      <c r="DC301" s="134"/>
      <c r="DD301" s="134"/>
      <c r="DE301" s="134"/>
      <c r="DF301" s="134"/>
      <c r="DG301" s="133"/>
      <c r="DH301" s="134"/>
      <c r="DI301" s="134"/>
      <c r="DJ301" s="134"/>
      <c r="DK301" s="134"/>
      <c r="DL301" s="133"/>
      <c r="DM301" s="134"/>
      <c r="DN301" s="134"/>
      <c r="DO301" s="134"/>
      <c r="DP301" s="134"/>
      <c r="DQ301" s="133"/>
      <c r="DR301" s="134"/>
      <c r="DS301" s="134"/>
      <c r="DT301" s="134"/>
      <c r="DU301" s="134"/>
      <c r="DV301" s="133"/>
      <c r="DW301" s="134"/>
      <c r="DX301" s="135"/>
      <c r="DY301" s="135"/>
      <c r="DZ301" s="134"/>
      <c r="EA301" s="133"/>
      <c r="EB301" s="135"/>
      <c r="EC301" s="135"/>
      <c r="ED301" s="135"/>
      <c r="EE301" s="135"/>
      <c r="EF301" s="133"/>
      <c r="EG301" s="135"/>
      <c r="EH301" s="135"/>
      <c r="EI301" s="135"/>
      <c r="EJ301" s="135"/>
      <c r="EK301" s="133"/>
      <c r="EL301" s="135"/>
      <c r="EM301" s="135"/>
      <c r="EN301" s="135"/>
      <c r="EO301" s="135"/>
      <c r="EP301" s="133"/>
      <c r="EQ301" s="135"/>
      <c r="ER301" s="135"/>
      <c r="ES301" s="135"/>
      <c r="ET301" s="135"/>
      <c r="EU301" s="133"/>
      <c r="EV301" s="135"/>
      <c r="EW301" s="135"/>
      <c r="EX301" s="135"/>
      <c r="EY301" s="135"/>
      <c r="EZ301" s="133"/>
      <c r="FA301" s="135"/>
      <c r="FB301" s="135"/>
      <c r="FC301" s="135"/>
      <c r="FD301" s="135"/>
      <c r="FE301" s="133"/>
      <c r="FG301" s="494"/>
      <c r="FH301" s="826"/>
      <c r="FI301" s="826"/>
      <c r="FJ301" s="826"/>
      <c r="FR301" s="1632"/>
      <c r="FS301" s="1632"/>
      <c r="FT301" s="454"/>
      <c r="FU301" s="454"/>
      <c r="FV301" s="454"/>
      <c r="FW301" s="454"/>
      <c r="FX301" s="454"/>
      <c r="FY301" s="454"/>
      <c r="FZ301" s="494"/>
      <c r="GA301"/>
      <c r="GB301"/>
      <c r="GC301"/>
      <c r="GD301"/>
      <c r="GE301"/>
      <c r="GF301"/>
      <c r="GG301"/>
      <c r="GH301"/>
      <c r="GI301"/>
      <c r="GJ301"/>
      <c r="GK301"/>
      <c r="GL301"/>
      <c r="GM301"/>
      <c r="GN301"/>
      <c r="GO301"/>
      <c r="GP301"/>
      <c r="GQ301"/>
      <c r="GR301"/>
      <c r="GS301"/>
      <c r="GT301"/>
      <c r="GU301"/>
      <c r="GV301"/>
      <c r="GW301"/>
      <c r="GX301"/>
      <c r="GY301"/>
      <c r="GZ301"/>
      <c r="HA301"/>
      <c r="HB301"/>
      <c r="HC301"/>
      <c r="HD301"/>
      <c r="HE301"/>
      <c r="HF301"/>
      <c r="HG301"/>
      <c r="HH301"/>
      <c r="HI301"/>
      <c r="HJ301"/>
      <c r="HK301"/>
      <c r="HL301"/>
      <c r="HM301"/>
      <c r="HN301"/>
      <c r="HO301"/>
      <c r="HP301"/>
      <c r="HQ301"/>
      <c r="HR301"/>
      <c r="HS301"/>
      <c r="HT301"/>
      <c r="HU301"/>
      <c r="HV301"/>
      <c r="HW301"/>
      <c r="HX301"/>
      <c r="HY301"/>
      <c r="HZ301"/>
      <c r="IA301"/>
      <c r="IB301"/>
      <c r="IC301"/>
      <c r="ID301"/>
      <c r="IE301"/>
      <c r="IF301"/>
      <c r="IG301"/>
      <c r="IH301"/>
      <c r="II301"/>
      <c r="IJ301"/>
      <c r="IK301"/>
      <c r="IL301"/>
      <c r="IM301"/>
      <c r="IN301"/>
      <c r="IO301"/>
      <c r="IP301"/>
      <c r="IQ301"/>
      <c r="IR301"/>
      <c r="IS301"/>
      <c r="IT301"/>
      <c r="IU301"/>
      <c r="IV301"/>
      <c r="IW301"/>
      <c r="IX301"/>
    </row>
    <row r="302" spans="1:258" s="430" customFormat="1" ht="12.6" customHeight="1" x14ac:dyDescent="0.2">
      <c r="A302" s="426" t="s">
        <v>296</v>
      </c>
      <c r="B302" s="427"/>
      <c r="C302" s="427"/>
      <c r="D302" s="427"/>
      <c r="E302" s="427"/>
      <c r="F302" s="428"/>
      <c r="G302" s="427"/>
      <c r="H302" s="427"/>
      <c r="I302" s="427"/>
      <c r="J302" s="427"/>
      <c r="K302" s="428"/>
      <c r="L302" s="427"/>
      <c r="M302" s="427"/>
      <c r="N302" s="427"/>
      <c r="O302" s="427"/>
      <c r="P302" s="428"/>
      <c r="Q302" s="427"/>
      <c r="R302" s="427"/>
      <c r="S302" s="427"/>
      <c r="T302" s="427"/>
      <c r="U302" s="428"/>
      <c r="V302" s="427"/>
      <c r="W302" s="427"/>
      <c r="X302" s="427"/>
      <c r="Y302" s="427"/>
      <c r="Z302" s="428"/>
      <c r="AA302" s="427"/>
      <c r="AB302" s="427"/>
      <c r="AC302" s="427"/>
      <c r="AD302" s="427"/>
      <c r="AE302" s="428"/>
      <c r="AF302" s="427"/>
      <c r="AG302" s="427"/>
      <c r="AH302" s="427"/>
      <c r="AI302" s="427"/>
      <c r="AJ302" s="428"/>
      <c r="AK302" s="427"/>
      <c r="AL302" s="427"/>
      <c r="AM302" s="427"/>
      <c r="AN302" s="427"/>
      <c r="AO302" s="428"/>
      <c r="AP302" s="427"/>
      <c r="AQ302" s="427"/>
      <c r="AR302" s="427"/>
      <c r="AS302" s="427"/>
      <c r="AT302" s="428"/>
      <c r="AU302" s="427"/>
      <c r="AV302" s="427"/>
      <c r="AW302" s="427"/>
      <c r="AX302" s="427"/>
      <c r="AY302" s="428"/>
      <c r="AZ302" s="427"/>
      <c r="BA302" s="427"/>
      <c r="BB302" s="427"/>
      <c r="BC302" s="427"/>
      <c r="BD302" s="428"/>
      <c r="BE302" s="427"/>
      <c r="BF302" s="427"/>
      <c r="BG302" s="427"/>
      <c r="BH302" s="427"/>
      <c r="BI302" s="428"/>
      <c r="BJ302" s="427"/>
      <c r="BK302" s="427"/>
      <c r="BL302" s="427"/>
      <c r="BM302" s="427"/>
      <c r="BN302" s="428"/>
      <c r="BO302" s="427"/>
      <c r="BP302" s="427"/>
      <c r="BQ302" s="427"/>
      <c r="BR302" s="427"/>
      <c r="BS302" s="428"/>
      <c r="BT302" s="427"/>
      <c r="BU302" s="427"/>
      <c r="BV302" s="427"/>
      <c r="BW302" s="427"/>
      <c r="BX302" s="428"/>
      <c r="BY302" s="427"/>
      <c r="BZ302" s="427"/>
      <c r="CA302" s="427"/>
      <c r="CB302" s="427"/>
      <c r="CC302" s="428"/>
      <c r="CD302" s="427"/>
      <c r="CE302" s="427"/>
      <c r="CF302" s="427"/>
      <c r="CG302" s="427"/>
      <c r="CH302" s="428"/>
      <c r="CI302" s="427"/>
      <c r="CJ302" s="427"/>
      <c r="CK302" s="427"/>
      <c r="CL302" s="427"/>
      <c r="CM302" s="428"/>
      <c r="CN302" s="427"/>
      <c r="CO302" s="427"/>
      <c r="CP302" s="427"/>
      <c r="CQ302" s="427"/>
      <c r="CR302" s="428"/>
      <c r="CS302" s="427"/>
      <c r="CT302" s="427"/>
      <c r="CU302" s="427"/>
      <c r="CV302" s="427"/>
      <c r="CW302" s="428"/>
      <c r="CX302" s="427"/>
      <c r="CY302" s="427"/>
      <c r="CZ302" s="427"/>
      <c r="DA302" s="427"/>
      <c r="DB302" s="428"/>
      <c r="DC302" s="427"/>
      <c r="DD302" s="427"/>
      <c r="DE302" s="427"/>
      <c r="DF302" s="427"/>
      <c r="DG302" s="428"/>
      <c r="DH302" s="427"/>
      <c r="DI302" s="427"/>
      <c r="DJ302" s="427"/>
      <c r="DK302" s="427"/>
      <c r="DL302" s="428"/>
      <c r="DM302" s="427"/>
      <c r="DN302" s="427"/>
      <c r="DO302" s="427"/>
      <c r="DP302" s="427"/>
      <c r="DQ302" s="428"/>
      <c r="DR302" s="427"/>
      <c r="DS302" s="427"/>
      <c r="DT302" s="427"/>
      <c r="DU302" s="427"/>
      <c r="DV302" s="428"/>
      <c r="DW302" s="427"/>
      <c r="DX302" s="429"/>
      <c r="DY302" s="429"/>
      <c r="DZ302" s="427"/>
      <c r="EA302" s="428"/>
      <c r="EB302" s="429"/>
      <c r="EC302" s="429"/>
      <c r="ED302" s="429"/>
      <c r="EE302" s="429"/>
      <c r="EF302" s="428"/>
      <c r="EG302" s="429"/>
      <c r="EH302" s="429"/>
      <c r="EI302" s="429"/>
      <c r="EJ302" s="429"/>
      <c r="EK302" s="428"/>
      <c r="EL302" s="429"/>
      <c r="EM302" s="429"/>
      <c r="EN302" s="429"/>
      <c r="EO302" s="429"/>
      <c r="EP302" s="428"/>
      <c r="EQ302" s="429"/>
      <c r="ER302" s="429"/>
      <c r="ES302" s="429"/>
      <c r="ET302" s="429"/>
      <c r="EU302" s="428"/>
      <c r="EV302" s="429"/>
      <c r="EW302" s="429"/>
      <c r="EX302" s="429"/>
      <c r="EY302" s="429"/>
      <c r="EZ302" s="428"/>
      <c r="FA302" s="429"/>
      <c r="FB302" s="429"/>
      <c r="FC302" s="429"/>
      <c r="FD302" s="429"/>
      <c r="FE302" s="428"/>
      <c r="FG302" s="494"/>
      <c r="FH302" s="827"/>
      <c r="FI302" s="827"/>
      <c r="FJ302" s="827"/>
      <c r="FR302" s="1634"/>
      <c r="FS302" s="1634"/>
      <c r="FT302" s="456"/>
      <c r="FU302" s="456"/>
      <c r="FV302" s="456"/>
      <c r="FW302" s="456"/>
      <c r="FX302" s="456"/>
      <c r="FY302" s="456"/>
      <c r="FZ302" s="494"/>
      <c r="GA302"/>
      <c r="GB302"/>
      <c r="GC302"/>
      <c r="GD302"/>
      <c r="GE302"/>
      <c r="GF302"/>
      <c r="GG302"/>
      <c r="GH302"/>
      <c r="GI302"/>
      <c r="GJ302"/>
      <c r="GK302"/>
      <c r="GL302"/>
      <c r="GM302"/>
      <c r="GN302"/>
      <c r="GO302"/>
      <c r="GP302"/>
      <c r="GQ302"/>
      <c r="GR302"/>
      <c r="GS302"/>
      <c r="GT302"/>
      <c r="GU302"/>
      <c r="GV302"/>
      <c r="GW302"/>
      <c r="GX302"/>
      <c r="GY302"/>
      <c r="GZ302"/>
      <c r="HA302"/>
      <c r="HB302"/>
      <c r="HC302"/>
      <c r="HD302"/>
      <c r="HE302"/>
      <c r="HF302"/>
      <c r="HG302"/>
      <c r="HH302"/>
      <c r="HI302"/>
      <c r="HJ302"/>
      <c r="HK302"/>
      <c r="HL302"/>
      <c r="HM302"/>
      <c r="HN302"/>
      <c r="HO302"/>
      <c r="HP302"/>
      <c r="HQ302"/>
      <c r="HR302"/>
      <c r="HS302"/>
      <c r="HT302"/>
      <c r="HU302"/>
      <c r="HV302"/>
      <c r="HW302"/>
      <c r="HX302"/>
      <c r="HY302"/>
      <c r="HZ302"/>
      <c r="IA302"/>
      <c r="IB302"/>
      <c r="IC302"/>
      <c r="ID302"/>
      <c r="IE302"/>
      <c r="IF302"/>
      <c r="IG302"/>
      <c r="IH302"/>
      <c r="II302"/>
      <c r="IJ302"/>
      <c r="IK302"/>
      <c r="IL302"/>
      <c r="IM302"/>
      <c r="IN302"/>
      <c r="IO302"/>
      <c r="IP302"/>
      <c r="IQ302"/>
      <c r="IR302"/>
      <c r="IS302"/>
      <c r="IT302"/>
      <c r="IU302"/>
      <c r="IV302"/>
      <c r="IW302"/>
      <c r="IX302"/>
    </row>
    <row r="303" spans="1:258" s="139" customFormat="1" x14ac:dyDescent="0.2">
      <c r="A303" s="163" t="s">
        <v>450</v>
      </c>
      <c r="B303" s="138"/>
      <c r="C303" s="138"/>
      <c r="D303" s="138"/>
      <c r="E303" s="138"/>
      <c r="F303" s="137"/>
      <c r="G303" s="138"/>
      <c r="H303" s="138"/>
      <c r="I303" s="138"/>
      <c r="J303" s="138"/>
      <c r="K303" s="137"/>
      <c r="L303" s="138"/>
      <c r="M303" s="138"/>
      <c r="N303" s="138"/>
      <c r="O303" s="138"/>
      <c r="P303" s="137"/>
      <c r="Q303" s="138"/>
      <c r="R303" s="138"/>
      <c r="S303" s="138"/>
      <c r="T303" s="138"/>
      <c r="U303" s="137"/>
      <c r="V303" s="138"/>
      <c r="W303" s="138"/>
      <c r="X303" s="138"/>
      <c r="Y303" s="138"/>
      <c r="Z303" s="137"/>
      <c r="AA303" s="138"/>
      <c r="AB303" s="138"/>
      <c r="AC303" s="138"/>
      <c r="AD303" s="138"/>
      <c r="AE303" s="137"/>
      <c r="AF303" s="138"/>
      <c r="AG303" s="138"/>
      <c r="AH303" s="138"/>
      <c r="AI303" s="138"/>
      <c r="AJ303" s="137"/>
      <c r="AK303" s="138"/>
      <c r="AL303" s="138"/>
      <c r="AM303" s="138"/>
      <c r="AN303" s="138"/>
      <c r="AO303" s="137"/>
      <c r="AP303" s="138"/>
      <c r="AQ303" s="138"/>
      <c r="AR303" s="138"/>
      <c r="AS303" s="138"/>
      <c r="AT303" s="137">
        <v>799</v>
      </c>
      <c r="AU303" s="138"/>
      <c r="AV303" s="138"/>
      <c r="AW303" s="138"/>
      <c r="AX303" s="138"/>
      <c r="AY303" s="137">
        <v>537</v>
      </c>
      <c r="AZ303" s="138"/>
      <c r="BA303" s="138"/>
      <c r="BB303" s="138"/>
      <c r="BC303" s="138"/>
      <c r="BD303" s="137">
        <v>2</v>
      </c>
      <c r="BE303" s="138"/>
      <c r="BF303" s="138"/>
      <c r="BG303" s="138"/>
      <c r="BH303" s="138"/>
      <c r="BI303" s="137">
        <v>565</v>
      </c>
      <c r="BJ303" s="138"/>
      <c r="BK303" s="138"/>
      <c r="BL303" s="138"/>
      <c r="BM303" s="138"/>
      <c r="BN303" s="137">
        <v>293</v>
      </c>
      <c r="BO303" s="138"/>
      <c r="BP303" s="138"/>
      <c r="BQ303" s="138"/>
      <c r="BR303" s="138"/>
      <c r="BS303" s="137">
        <v>424</v>
      </c>
      <c r="BT303" s="138"/>
      <c r="BU303" s="138"/>
      <c r="BV303" s="138"/>
      <c r="BW303" s="138"/>
      <c r="BX303" s="137">
        <v>246</v>
      </c>
      <c r="BY303" s="138"/>
      <c r="BZ303" s="138"/>
      <c r="CA303" s="138"/>
      <c r="CB303" s="138"/>
      <c r="CC303" s="137">
        <v>339</v>
      </c>
      <c r="CD303" s="138"/>
      <c r="CE303" s="138"/>
      <c r="CF303" s="138"/>
      <c r="CG303" s="138"/>
      <c r="CH303" s="137">
        <v>1145</v>
      </c>
      <c r="CI303" s="138"/>
      <c r="CJ303" s="138"/>
      <c r="CK303" s="138"/>
      <c r="CL303" s="138"/>
      <c r="CM303" s="137">
        <v>1310</v>
      </c>
      <c r="CN303" s="138"/>
      <c r="CO303" s="138"/>
      <c r="CP303" s="138"/>
      <c r="CQ303" s="138"/>
      <c r="CR303" s="137">
        <v>1336</v>
      </c>
      <c r="CS303" s="138"/>
      <c r="CT303" s="138"/>
      <c r="CU303" s="138"/>
      <c r="CV303" s="138"/>
      <c r="CW303" s="137">
        <v>1365</v>
      </c>
      <c r="CX303" s="138"/>
      <c r="CY303" s="138"/>
      <c r="CZ303" s="138"/>
      <c r="DA303" s="138"/>
      <c r="DB303" s="137">
        <v>1143</v>
      </c>
      <c r="DC303" s="138"/>
      <c r="DD303" s="138"/>
      <c r="DE303" s="138"/>
      <c r="DF303" s="138"/>
      <c r="DG303" s="137">
        <v>1563</v>
      </c>
      <c r="DH303" s="138"/>
      <c r="DI303" s="138"/>
      <c r="DJ303" s="138"/>
      <c r="DK303" s="138"/>
      <c r="DL303" s="137">
        <v>1822</v>
      </c>
      <c r="DM303" s="138"/>
      <c r="DN303" s="138"/>
      <c r="DO303" s="138"/>
      <c r="DP303" s="138"/>
      <c r="DQ303" s="137">
        <v>1863</v>
      </c>
      <c r="DR303" s="138">
        <f>Model!DR286</f>
        <v>458.4</v>
      </c>
      <c r="DS303" s="138">
        <f>Model!DS286</f>
        <v>521.02</v>
      </c>
      <c r="DT303" s="138">
        <f>Model!DT286</f>
        <v>456.875</v>
      </c>
      <c r="DU303" s="138">
        <f>DV303-SUM(DR303:DT303)</f>
        <v>427.70499999999993</v>
      </c>
      <c r="DV303" s="137">
        <v>1864</v>
      </c>
      <c r="DW303" s="138">
        <f>Model!DW286</f>
        <v>398.9</v>
      </c>
      <c r="DX303" s="138">
        <f>Model!DX286</f>
        <v>529.34</v>
      </c>
      <c r="DY303" s="138">
        <f>Model!DY286</f>
        <v>509.49000000000007</v>
      </c>
      <c r="DZ303" s="138">
        <f>+EA303-SUM(DW303:DY303)</f>
        <v>489.27</v>
      </c>
      <c r="EA303" s="137">
        <v>1927</v>
      </c>
      <c r="EB303" s="138">
        <f>Model!EB286</f>
        <v>446.26722925457091</v>
      </c>
      <c r="EC303" s="138">
        <f>Model!EC286</f>
        <v>553.50890642615605</v>
      </c>
      <c r="ED303" s="138">
        <f>Model!ED286</f>
        <v>507</v>
      </c>
      <c r="EE303" s="138">
        <f>+EF303-SUM(EB303:ED303)</f>
        <v>461.22386431927316</v>
      </c>
      <c r="EF303" s="137">
        <v>1968</v>
      </c>
      <c r="EG303" s="138">
        <f>Model!EG286</f>
        <v>356</v>
      </c>
      <c r="EH303" s="138">
        <f>Model!EH286</f>
        <v>445</v>
      </c>
      <c r="EI303" s="138">
        <f>Model!EI286</f>
        <v>455</v>
      </c>
      <c r="EJ303" s="138">
        <f>+EK303-SUM(EG303:EI303)</f>
        <v>458</v>
      </c>
      <c r="EK303" s="137">
        <v>1714</v>
      </c>
      <c r="EL303" s="138">
        <v>362</v>
      </c>
      <c r="EM303" s="138">
        <f>Model!EM286</f>
        <v>591</v>
      </c>
      <c r="EN303" s="138">
        <f>Model!EN286</f>
        <v>463</v>
      </c>
      <c r="EO303" s="138">
        <f>+EP303-SUM(EL303:EN303)</f>
        <v>4055</v>
      </c>
      <c r="EP303" s="2021">
        <v>5471</v>
      </c>
      <c r="EQ303" s="138"/>
      <c r="ER303" s="138"/>
      <c r="ES303" s="138"/>
      <c r="ET303" s="138"/>
      <c r="EU303" s="137">
        <f>Model!EU286</f>
        <v>2755.6305328781909</v>
      </c>
      <c r="EV303" s="138"/>
      <c r="EW303" s="138"/>
      <c r="EX303" s="138"/>
      <c r="EY303" s="138"/>
      <c r="EZ303" s="137">
        <f>Model!EZ286</f>
        <v>2841.038076000782</v>
      </c>
      <c r="FA303" s="138"/>
      <c r="FB303" s="138"/>
      <c r="FC303" s="138"/>
      <c r="FD303" s="138"/>
      <c r="FE303" s="137">
        <f>Model!FE286</f>
        <v>3109.0176489270211</v>
      </c>
      <c r="FG303" s="494"/>
      <c r="FH303" s="828"/>
      <c r="FI303" s="828"/>
      <c r="FJ303" s="828"/>
      <c r="FK303" s="1325"/>
      <c r="FL303" s="1396"/>
      <c r="FM303"/>
      <c r="FN303"/>
      <c r="FO303"/>
      <c r="FP303"/>
      <c r="FQ303"/>
      <c r="FR303" s="1635"/>
      <c r="FS303" s="1635"/>
      <c r="FT303" s="717"/>
      <c r="FU303" s="717"/>
      <c r="FV303" s="717"/>
      <c r="FW303" s="717"/>
      <c r="FX303" s="717"/>
      <c r="FY303" s="717"/>
      <c r="FZ303" s="494"/>
      <c r="GA303"/>
      <c r="GB303"/>
      <c r="GC303"/>
      <c r="GD303"/>
      <c r="GE303"/>
      <c r="GF303"/>
      <c r="GG303"/>
      <c r="GH303"/>
      <c r="GI303"/>
      <c r="GJ303"/>
      <c r="GK303"/>
      <c r="GL303"/>
      <c r="GM303"/>
      <c r="GN303"/>
      <c r="GO303"/>
      <c r="GP303"/>
      <c r="GQ303"/>
      <c r="GR303"/>
      <c r="GS303"/>
      <c r="GT303"/>
      <c r="GU303"/>
      <c r="GV303"/>
      <c r="GW303"/>
      <c r="GX303"/>
      <c r="GY303"/>
      <c r="GZ303"/>
      <c r="HA303"/>
      <c r="HB303"/>
      <c r="HC303"/>
      <c r="HD303"/>
      <c r="HE303"/>
      <c r="HF303"/>
      <c r="HG303"/>
      <c r="HH303"/>
      <c r="HI303"/>
      <c r="HJ303"/>
      <c r="HK303"/>
      <c r="HL303"/>
      <c r="HM303"/>
      <c r="HN303"/>
      <c r="HO303"/>
      <c r="HP303"/>
      <c r="HQ303"/>
      <c r="HR303"/>
      <c r="HS303"/>
      <c r="HT303"/>
      <c r="HU303"/>
      <c r="HV303"/>
      <c r="HW303"/>
      <c r="HX303"/>
      <c r="HY303"/>
      <c r="HZ303"/>
      <c r="IA303"/>
      <c r="IB303"/>
      <c r="IC303"/>
      <c r="ID303"/>
      <c r="IE303"/>
      <c r="IF303"/>
      <c r="IG303"/>
      <c r="IH303"/>
      <c r="II303"/>
      <c r="IJ303"/>
      <c r="IK303"/>
      <c r="IL303"/>
      <c r="IM303"/>
      <c r="IN303"/>
      <c r="IO303"/>
      <c r="IP303"/>
      <c r="IQ303"/>
      <c r="IR303"/>
      <c r="IS303"/>
      <c r="IT303"/>
      <c r="IU303"/>
      <c r="IV303"/>
      <c r="IW303"/>
      <c r="IX303"/>
    </row>
    <row r="304" spans="1:258" s="139" customFormat="1" x14ac:dyDescent="0.2">
      <c r="A304" s="564" t="s">
        <v>234</v>
      </c>
      <c r="B304" s="138"/>
      <c r="C304" s="138"/>
      <c r="D304" s="138"/>
      <c r="E304" s="138"/>
      <c r="F304" s="137"/>
      <c r="G304" s="138"/>
      <c r="H304" s="138"/>
      <c r="I304" s="138"/>
      <c r="J304" s="138"/>
      <c r="K304" s="137"/>
      <c r="L304" s="138"/>
      <c r="M304" s="138"/>
      <c r="N304" s="138"/>
      <c r="O304" s="138"/>
      <c r="P304" s="137"/>
      <c r="Q304" s="138"/>
      <c r="R304" s="138"/>
      <c r="S304" s="138"/>
      <c r="T304" s="138"/>
      <c r="U304" s="137"/>
      <c r="V304" s="138"/>
      <c r="W304" s="138"/>
      <c r="X304" s="138"/>
      <c r="Y304" s="138"/>
      <c r="Z304" s="137"/>
      <c r="AA304" s="138"/>
      <c r="AB304" s="138"/>
      <c r="AC304" s="138"/>
      <c r="AD304" s="138"/>
      <c r="AE304" s="137"/>
      <c r="AF304" s="138"/>
      <c r="AG304" s="138"/>
      <c r="AH304" s="138"/>
      <c r="AI304" s="138"/>
      <c r="AJ304" s="137"/>
      <c r="AK304" s="138"/>
      <c r="AL304" s="138"/>
      <c r="AM304" s="138"/>
      <c r="AN304" s="138"/>
      <c r="AO304" s="137"/>
      <c r="AP304" s="138"/>
      <c r="AQ304" s="138"/>
      <c r="AR304" s="138"/>
      <c r="AS304" s="138"/>
      <c r="AT304" s="137">
        <v>646</v>
      </c>
      <c r="AU304" s="138"/>
      <c r="AV304" s="138"/>
      <c r="AW304" s="138"/>
      <c r="AX304" s="138"/>
      <c r="AY304" s="137">
        <v>630</v>
      </c>
      <c r="AZ304" s="138"/>
      <c r="BA304" s="138"/>
      <c r="BB304" s="138"/>
      <c r="BC304" s="138"/>
      <c r="BD304" s="137">
        <v>621</v>
      </c>
      <c r="BE304" s="138"/>
      <c r="BF304" s="138"/>
      <c r="BG304" s="138"/>
      <c r="BH304" s="138"/>
      <c r="BI304" s="137">
        <v>600</v>
      </c>
      <c r="BJ304" s="138"/>
      <c r="BK304" s="138"/>
      <c r="BL304" s="138"/>
      <c r="BM304" s="138"/>
      <c r="BN304" s="137">
        <v>622</v>
      </c>
      <c r="BO304" s="138"/>
      <c r="BP304" s="138"/>
      <c r="BQ304" s="138"/>
      <c r="BR304" s="138"/>
      <c r="BS304" s="137">
        <v>649</v>
      </c>
      <c r="BT304" s="138"/>
      <c r="BU304" s="138"/>
      <c r="BV304" s="138"/>
      <c r="BW304" s="138"/>
      <c r="BX304" s="137">
        <v>643</v>
      </c>
      <c r="BY304" s="138"/>
      <c r="BZ304" s="138"/>
      <c r="CA304" s="138"/>
      <c r="CB304" s="138"/>
      <c r="CC304" s="137">
        <v>730</v>
      </c>
      <c r="CD304" s="138"/>
      <c r="CE304" s="138"/>
      <c r="CF304" s="138"/>
      <c r="CG304" s="138"/>
      <c r="CH304" s="137">
        <v>833</v>
      </c>
      <c r="CI304" s="138"/>
      <c r="CJ304" s="138"/>
      <c r="CK304" s="138"/>
      <c r="CL304" s="138"/>
      <c r="CM304" s="137">
        <v>867</v>
      </c>
      <c r="CN304" s="138"/>
      <c r="CO304" s="138"/>
      <c r="CP304" s="138"/>
      <c r="CQ304" s="138"/>
      <c r="CR304" s="137">
        <v>890</v>
      </c>
      <c r="CS304" s="138"/>
      <c r="CT304" s="138"/>
      <c r="CU304" s="138"/>
      <c r="CV304" s="138"/>
      <c r="CW304" s="137">
        <v>918</v>
      </c>
      <c r="CX304" s="138"/>
      <c r="CY304" s="138"/>
      <c r="CZ304" s="138"/>
      <c r="DA304" s="138"/>
      <c r="DB304" s="137">
        <v>903</v>
      </c>
      <c r="DC304" s="138"/>
      <c r="DD304" s="138"/>
      <c r="DE304" s="138"/>
      <c r="DF304" s="138"/>
      <c r="DG304" s="137">
        <v>947</v>
      </c>
      <c r="DH304" s="138"/>
      <c r="DI304" s="138"/>
      <c r="DJ304" s="138"/>
      <c r="DK304" s="138"/>
      <c r="DL304" s="137">
        <v>976</v>
      </c>
      <c r="DM304" s="138"/>
      <c r="DN304" s="138"/>
      <c r="DO304" s="138"/>
      <c r="DP304" s="138"/>
      <c r="DQ304" s="137">
        <f>Model!DQ214</f>
        <v>1059</v>
      </c>
      <c r="DR304" s="138">
        <f>Model!DR214</f>
        <v>270</v>
      </c>
      <c r="DS304" s="138">
        <f>Model!DS214</f>
        <v>276</v>
      </c>
      <c r="DT304" s="138">
        <f>Model!DT214</f>
        <v>277</v>
      </c>
      <c r="DU304" s="138">
        <f>Model!DU214</f>
        <v>281</v>
      </c>
      <c r="DV304" s="137">
        <f>Model!DV214</f>
        <v>1104</v>
      </c>
      <c r="DW304" s="138">
        <f>Model!DW214</f>
        <v>283</v>
      </c>
      <c r="DX304" s="138">
        <f>Model!DX214</f>
        <v>287</v>
      </c>
      <c r="DY304" s="138">
        <f>Model!DY214</f>
        <v>291</v>
      </c>
      <c r="DZ304" s="138">
        <f>+EA304-SUM(DW304:DY304)</f>
        <v>290</v>
      </c>
      <c r="EA304" s="137">
        <f>Model!EA214</f>
        <v>1151</v>
      </c>
      <c r="EB304" s="138">
        <f>Model!EB214</f>
        <v>295</v>
      </c>
      <c r="EC304" s="138">
        <f>Model!EC214</f>
        <v>299</v>
      </c>
      <c r="ED304" s="138">
        <f>Model!ED214</f>
        <v>302</v>
      </c>
      <c r="EE304" s="138">
        <f>+EF304-SUM(EB304:ED304)</f>
        <v>312</v>
      </c>
      <c r="EF304" s="137">
        <f>Model!EF214</f>
        <v>1208</v>
      </c>
      <c r="EG304" s="138">
        <f>Model!EG214</f>
        <v>313</v>
      </c>
      <c r="EH304" s="138">
        <f>Model!EH214</f>
        <v>319</v>
      </c>
      <c r="EI304" s="138">
        <f>Model!EI214</f>
        <v>321</v>
      </c>
      <c r="EJ304" s="138">
        <f>+EK304-SUM(EG304:EI304)</f>
        <v>348</v>
      </c>
      <c r="EK304" s="137">
        <f>Model!EK214</f>
        <v>1301</v>
      </c>
      <c r="EL304" s="138">
        <f>Model!EL214</f>
        <v>320</v>
      </c>
      <c r="EM304" s="138">
        <f>Model!EM214</f>
        <v>327</v>
      </c>
      <c r="EN304" s="138">
        <f>Model!EN214</f>
        <v>331</v>
      </c>
      <c r="EO304" s="138">
        <f>+EP304-SUM(EL304:EN304)</f>
        <v>337</v>
      </c>
      <c r="EP304" s="2021">
        <f>Model!EP214</f>
        <v>1315</v>
      </c>
      <c r="EQ304" s="138"/>
      <c r="ER304" s="138"/>
      <c r="ES304" s="138"/>
      <c r="ET304" s="138"/>
      <c r="EU304" s="137">
        <f>Model!EU214</f>
        <v>1322.9749999999999</v>
      </c>
      <c r="EV304" s="138"/>
      <c r="EW304" s="138"/>
      <c r="EX304" s="138"/>
      <c r="EY304" s="138"/>
      <c r="EZ304" s="137">
        <f>Model!EZ214</f>
        <v>1336.2047499999999</v>
      </c>
      <c r="FA304" s="138"/>
      <c r="FB304" s="138"/>
      <c r="FC304" s="138"/>
      <c r="FD304" s="138"/>
      <c r="FE304" s="137">
        <f>Model!FE214</f>
        <v>1356.2478212499998</v>
      </c>
      <c r="FG304" s="494"/>
      <c r="FH304" s="828"/>
      <c r="FI304" s="828"/>
      <c r="FJ304" s="828"/>
      <c r="FK304" s="1325"/>
      <c r="FL304" s="1396"/>
      <c r="FM304"/>
      <c r="FN304"/>
      <c r="FO304"/>
      <c r="FP304"/>
      <c r="FQ304"/>
      <c r="FR304" s="1635"/>
      <c r="FS304" s="1635"/>
      <c r="FT304" s="717"/>
      <c r="FU304" s="717"/>
      <c r="FV304" s="717"/>
      <c r="FW304" s="717"/>
      <c r="FX304" s="717"/>
      <c r="FY304" s="717"/>
      <c r="FZ304" s="494"/>
      <c r="GA304"/>
      <c r="GB304"/>
      <c r="GC304"/>
      <c r="GD304"/>
      <c r="GE304"/>
      <c r="GF304"/>
      <c r="GG304"/>
      <c r="GH304"/>
      <c r="GI304"/>
      <c r="GJ304"/>
      <c r="GK304"/>
      <c r="GL304"/>
      <c r="GM304"/>
      <c r="GN304"/>
      <c r="GO304"/>
      <c r="GP304"/>
      <c r="GQ304"/>
      <c r="GR304"/>
      <c r="GS304"/>
      <c r="GT304"/>
      <c r="GU304"/>
      <c r="GV304"/>
      <c r="GW304"/>
      <c r="GX304"/>
      <c r="GY304"/>
      <c r="GZ304"/>
      <c r="HA304"/>
      <c r="HB304"/>
      <c r="HC304"/>
      <c r="HD304"/>
      <c r="HE304"/>
      <c r="HF304"/>
      <c r="HG304"/>
      <c r="HH304"/>
      <c r="HI304"/>
      <c r="HJ304"/>
      <c r="HK304"/>
      <c r="HL304"/>
      <c r="HM304"/>
      <c r="HN304"/>
      <c r="HO304"/>
      <c r="HP304"/>
      <c r="HQ304"/>
      <c r="HR304"/>
      <c r="HS304"/>
      <c r="HT304"/>
      <c r="HU304"/>
      <c r="HV304"/>
      <c r="HW304"/>
      <c r="HX304"/>
      <c r="HY304"/>
      <c r="HZ304"/>
      <c r="IA304"/>
      <c r="IB304"/>
      <c r="IC304"/>
      <c r="ID304"/>
      <c r="IE304"/>
      <c r="IF304"/>
      <c r="IG304"/>
      <c r="IH304"/>
      <c r="II304"/>
      <c r="IJ304"/>
      <c r="IK304"/>
      <c r="IL304"/>
      <c r="IM304"/>
      <c r="IN304"/>
      <c r="IO304"/>
      <c r="IP304"/>
      <c r="IQ304"/>
      <c r="IR304"/>
      <c r="IS304"/>
      <c r="IT304"/>
      <c r="IU304"/>
      <c r="IV304"/>
      <c r="IW304"/>
      <c r="IX304"/>
    </row>
    <row r="305" spans="1:258" s="139" customFormat="1" x14ac:dyDescent="0.2">
      <c r="A305" s="564" t="s">
        <v>32</v>
      </c>
      <c r="B305" s="138"/>
      <c r="C305" s="138"/>
      <c r="D305" s="138"/>
      <c r="E305" s="138"/>
      <c r="F305" s="140"/>
      <c r="G305" s="138"/>
      <c r="H305" s="138"/>
      <c r="I305" s="138"/>
      <c r="J305" s="138"/>
      <c r="K305" s="140"/>
      <c r="L305" s="138"/>
      <c r="M305" s="138"/>
      <c r="N305" s="138"/>
      <c r="O305" s="138"/>
      <c r="P305" s="140"/>
      <c r="Q305" s="138"/>
      <c r="R305" s="138"/>
      <c r="S305" s="138"/>
      <c r="T305" s="138"/>
      <c r="U305" s="140"/>
      <c r="V305" s="138"/>
      <c r="W305" s="138"/>
      <c r="X305" s="138"/>
      <c r="Y305" s="138"/>
      <c r="Z305" s="140"/>
      <c r="AA305" s="138"/>
      <c r="AB305" s="138"/>
      <c r="AC305" s="138"/>
      <c r="AD305" s="138"/>
      <c r="AE305" s="140"/>
      <c r="AF305" s="138"/>
      <c r="AG305" s="138"/>
      <c r="AH305" s="138"/>
      <c r="AI305" s="138"/>
      <c r="AJ305" s="140"/>
      <c r="AK305" s="138"/>
      <c r="AL305" s="138"/>
      <c r="AM305" s="138"/>
      <c r="AN305" s="138"/>
      <c r="AO305" s="140"/>
      <c r="AP305" s="138"/>
      <c r="AQ305" s="138"/>
      <c r="AR305" s="138"/>
      <c r="AS305" s="138"/>
      <c r="AT305" s="140"/>
      <c r="AU305" s="138"/>
      <c r="AV305" s="138"/>
      <c r="AW305" s="138"/>
      <c r="AX305" s="138"/>
      <c r="AY305" s="140"/>
      <c r="AZ305" s="138"/>
      <c r="BA305" s="138"/>
      <c r="BB305" s="138"/>
      <c r="BC305" s="138"/>
      <c r="BD305" s="140"/>
      <c r="BE305" s="138"/>
      <c r="BF305" s="138"/>
      <c r="BG305" s="138"/>
      <c r="BH305" s="138"/>
      <c r="BI305" s="140"/>
      <c r="BJ305" s="138"/>
      <c r="BK305" s="138"/>
      <c r="BL305" s="138"/>
      <c r="BM305" s="138"/>
      <c r="BN305" s="140"/>
      <c r="BO305" s="138"/>
      <c r="BP305" s="138"/>
      <c r="BQ305" s="138"/>
      <c r="BR305" s="138"/>
      <c r="BS305" s="140"/>
      <c r="BT305" s="138"/>
      <c r="BU305" s="138"/>
      <c r="BV305" s="138"/>
      <c r="BW305" s="138"/>
      <c r="BX305" s="140"/>
      <c r="BY305" s="138"/>
      <c r="BZ305" s="138"/>
      <c r="CA305" s="138"/>
      <c r="CB305" s="138"/>
      <c r="CC305" s="140"/>
      <c r="CD305" s="138"/>
      <c r="CE305" s="138"/>
      <c r="CF305" s="138"/>
      <c r="CG305" s="138"/>
      <c r="CH305" s="140"/>
      <c r="CI305" s="138"/>
      <c r="CJ305" s="138"/>
      <c r="CK305" s="138"/>
      <c r="CL305" s="138"/>
      <c r="CM305" s="140"/>
      <c r="CN305" s="138"/>
      <c r="CO305" s="138"/>
      <c r="CP305" s="138"/>
      <c r="CQ305" s="138"/>
      <c r="CR305" s="140"/>
      <c r="CS305" s="138"/>
      <c r="CT305" s="138"/>
      <c r="CU305" s="138"/>
      <c r="CV305" s="138"/>
      <c r="CW305" s="140"/>
      <c r="CX305" s="138"/>
      <c r="CY305" s="138"/>
      <c r="CZ305" s="138"/>
      <c r="DA305" s="138"/>
      <c r="DB305" s="140"/>
      <c r="DC305" s="138"/>
      <c r="DD305" s="138"/>
      <c r="DE305" s="138"/>
      <c r="DF305" s="138"/>
      <c r="DG305" s="140"/>
      <c r="DH305" s="138"/>
      <c r="DI305" s="138"/>
      <c r="DJ305" s="138"/>
      <c r="DK305" s="138"/>
      <c r="DL305" s="140"/>
      <c r="DM305" s="138"/>
      <c r="DN305" s="138"/>
      <c r="DO305" s="138"/>
      <c r="DP305" s="138"/>
      <c r="DQ305" s="137"/>
      <c r="DR305" s="138"/>
      <c r="DS305" s="138"/>
      <c r="DT305" s="138"/>
      <c r="DU305" s="138"/>
      <c r="DV305" s="140"/>
      <c r="DW305" s="138"/>
      <c r="DX305" s="138"/>
      <c r="DY305" s="138"/>
      <c r="DZ305" s="138"/>
      <c r="EA305" s="140"/>
      <c r="EB305" s="138"/>
      <c r="EC305" s="138"/>
      <c r="ED305" s="138"/>
      <c r="EE305" s="138"/>
      <c r="EF305" s="140"/>
      <c r="EG305" s="138"/>
      <c r="EH305" s="138"/>
      <c r="EI305" s="138"/>
      <c r="EJ305" s="138"/>
      <c r="EK305" s="140"/>
      <c r="EL305" s="138"/>
      <c r="EM305" s="138"/>
      <c r="EN305" s="138"/>
      <c r="EO305" s="138"/>
      <c r="EP305" s="140"/>
      <c r="EQ305" s="138"/>
      <c r="ER305" s="138"/>
      <c r="ES305" s="138"/>
      <c r="ET305" s="138"/>
      <c r="EU305" s="140">
        <f>EP305</f>
        <v>0</v>
      </c>
      <c r="EV305" s="138"/>
      <c r="EW305" s="138"/>
      <c r="EX305" s="138"/>
      <c r="EY305" s="138"/>
      <c r="EZ305" s="140">
        <f>EU305</f>
        <v>0</v>
      </c>
      <c r="FA305" s="138"/>
      <c r="FB305" s="138"/>
      <c r="FC305" s="138"/>
      <c r="FD305" s="138"/>
      <c r="FE305" s="140">
        <f>EZ305</f>
        <v>0</v>
      </c>
      <c r="FG305" s="494"/>
      <c r="FH305" s="828"/>
      <c r="FI305" s="828"/>
      <c r="FJ305" s="828"/>
      <c r="FK305" s="1325"/>
      <c r="FL305" s="1396"/>
      <c r="FM305"/>
      <c r="FN305"/>
      <c r="FO305"/>
      <c r="FP305"/>
      <c r="FQ305"/>
      <c r="FR305" s="1635"/>
      <c r="FS305" s="1635"/>
      <c r="FT305" s="717"/>
      <c r="FU305" s="717"/>
      <c r="FV305" s="717"/>
      <c r="FW305" s="717"/>
      <c r="FX305" s="717"/>
      <c r="FY305" s="717"/>
      <c r="FZ305" s="494"/>
      <c r="GA305"/>
      <c r="GB305"/>
      <c r="GC305"/>
      <c r="GD305"/>
      <c r="GE305"/>
      <c r="GF305"/>
      <c r="GG305"/>
      <c r="GH305"/>
      <c r="GI305"/>
      <c r="GJ305"/>
      <c r="GK305"/>
      <c r="GL305"/>
      <c r="GM305"/>
      <c r="GN305"/>
      <c r="GO305"/>
      <c r="GP305"/>
      <c r="GQ305"/>
      <c r="GR305"/>
      <c r="GS305"/>
      <c r="GT305"/>
      <c r="GU305"/>
      <c r="GV305"/>
      <c r="GW305"/>
      <c r="GX305"/>
      <c r="GY305"/>
      <c r="GZ305"/>
      <c r="HA305"/>
      <c r="HB305"/>
      <c r="HC305"/>
      <c r="HD305"/>
      <c r="HE305"/>
      <c r="HF305"/>
      <c r="HG305"/>
      <c r="HH305"/>
      <c r="HI305"/>
      <c r="HJ305"/>
      <c r="HK305"/>
      <c r="HL305"/>
      <c r="HM305"/>
      <c r="HN305"/>
      <c r="HO305"/>
      <c r="HP305"/>
      <c r="HQ305"/>
      <c r="HR305"/>
      <c r="HS305"/>
      <c r="HT305"/>
      <c r="HU305"/>
      <c r="HV305"/>
      <c r="HW305"/>
      <c r="HX305"/>
      <c r="HY305"/>
      <c r="HZ305"/>
      <c r="IA305"/>
      <c r="IB305"/>
      <c r="IC305"/>
      <c r="ID305"/>
      <c r="IE305"/>
      <c r="IF305"/>
      <c r="IG305"/>
      <c r="IH305"/>
      <c r="II305"/>
      <c r="IJ305"/>
      <c r="IK305"/>
      <c r="IL305"/>
      <c r="IM305"/>
      <c r="IN305"/>
      <c r="IO305"/>
      <c r="IP305"/>
      <c r="IQ305"/>
      <c r="IR305"/>
      <c r="IS305"/>
      <c r="IT305"/>
      <c r="IU305"/>
      <c r="IV305"/>
      <c r="IW305"/>
      <c r="IX305"/>
    </row>
    <row r="306" spans="1:258" s="143" customFormat="1" x14ac:dyDescent="0.2">
      <c r="A306" s="163" t="s">
        <v>234</v>
      </c>
      <c r="B306" s="141"/>
      <c r="C306" s="141"/>
      <c r="D306" s="141"/>
      <c r="E306" s="141"/>
      <c r="F306" s="142"/>
      <c r="G306" s="141"/>
      <c r="H306" s="141"/>
      <c r="I306" s="141"/>
      <c r="J306" s="141"/>
      <c r="K306" s="142"/>
      <c r="L306" s="141"/>
      <c r="M306" s="141"/>
      <c r="N306" s="141"/>
      <c r="O306" s="141"/>
      <c r="P306" s="142"/>
      <c r="Q306" s="141"/>
      <c r="R306" s="141"/>
      <c r="S306" s="141"/>
      <c r="T306" s="141"/>
      <c r="U306" s="142"/>
      <c r="V306" s="141"/>
      <c r="W306" s="141"/>
      <c r="X306" s="141"/>
      <c r="Y306" s="141"/>
      <c r="Z306" s="142"/>
      <c r="AA306" s="141"/>
      <c r="AB306" s="141"/>
      <c r="AC306" s="141"/>
      <c r="AD306" s="141"/>
      <c r="AE306" s="142"/>
      <c r="AF306" s="141"/>
      <c r="AG306" s="141"/>
      <c r="AH306" s="141"/>
      <c r="AI306" s="141"/>
      <c r="AJ306" s="142"/>
      <c r="AK306" s="141"/>
      <c r="AL306" s="141"/>
      <c r="AM306" s="141"/>
      <c r="AN306" s="141"/>
      <c r="AO306" s="142"/>
      <c r="AP306" s="141"/>
      <c r="AQ306" s="141"/>
      <c r="AR306" s="141"/>
      <c r="AS306" s="141"/>
      <c r="AT306" s="142">
        <f>AT304+AT305</f>
        <v>646</v>
      </c>
      <c r="AU306" s="141"/>
      <c r="AV306" s="141"/>
      <c r="AW306" s="141"/>
      <c r="AX306" s="141"/>
      <c r="AY306" s="142">
        <f>AY304+AY305</f>
        <v>630</v>
      </c>
      <c r="AZ306" s="141"/>
      <c r="BA306" s="141"/>
      <c r="BB306" s="141"/>
      <c r="BC306" s="141"/>
      <c r="BD306" s="142">
        <f>BD304+BD305</f>
        <v>621</v>
      </c>
      <c r="BE306" s="141"/>
      <c r="BF306" s="141"/>
      <c r="BG306" s="141"/>
      <c r="BH306" s="141"/>
      <c r="BI306" s="142">
        <f>BI304+BI305</f>
        <v>600</v>
      </c>
      <c r="BJ306" s="141"/>
      <c r="BK306" s="141"/>
      <c r="BL306" s="141"/>
      <c r="BM306" s="141"/>
      <c r="BN306" s="142">
        <f>BN304+BN305</f>
        <v>622</v>
      </c>
      <c r="BO306" s="141"/>
      <c r="BP306" s="141"/>
      <c r="BQ306" s="141"/>
      <c r="BR306" s="141"/>
      <c r="BS306" s="142">
        <f>BS304+BS305</f>
        <v>649</v>
      </c>
      <c r="BT306" s="141"/>
      <c r="BU306" s="141"/>
      <c r="BV306" s="141"/>
      <c r="BW306" s="141"/>
      <c r="BX306" s="142">
        <f>BX304+BX305</f>
        <v>643</v>
      </c>
      <c r="BY306" s="141"/>
      <c r="BZ306" s="141"/>
      <c r="CA306" s="141"/>
      <c r="CB306" s="141"/>
      <c r="CC306" s="142">
        <f>CC304+CC305</f>
        <v>730</v>
      </c>
      <c r="CD306" s="141"/>
      <c r="CE306" s="141"/>
      <c r="CF306" s="141"/>
      <c r="CG306" s="141"/>
      <c r="CH306" s="142">
        <f>CH304+CH305</f>
        <v>833</v>
      </c>
      <c r="CI306" s="141"/>
      <c r="CJ306" s="141"/>
      <c r="CK306" s="141"/>
      <c r="CL306" s="141"/>
      <c r="CM306" s="142">
        <f>CM304+CM305</f>
        <v>867</v>
      </c>
      <c r="CN306" s="141"/>
      <c r="CO306" s="141"/>
      <c r="CP306" s="141"/>
      <c r="CQ306" s="141"/>
      <c r="CR306" s="142">
        <f>CR304+CR305</f>
        <v>890</v>
      </c>
      <c r="CS306" s="141"/>
      <c r="CT306" s="141"/>
      <c r="CU306" s="141"/>
      <c r="CV306" s="141"/>
      <c r="CW306" s="142">
        <f>CW304+CW305</f>
        <v>918</v>
      </c>
      <c r="CX306" s="141"/>
      <c r="CY306" s="141"/>
      <c r="CZ306" s="141"/>
      <c r="DA306" s="141"/>
      <c r="DB306" s="142">
        <f>DB304+DB305</f>
        <v>903</v>
      </c>
      <c r="DC306" s="141"/>
      <c r="DD306" s="141"/>
      <c r="DE306" s="141"/>
      <c r="DF306" s="141"/>
      <c r="DG306" s="142">
        <f>DG304+DG305</f>
        <v>947</v>
      </c>
      <c r="DH306" s="141"/>
      <c r="DI306" s="141"/>
      <c r="DJ306" s="141"/>
      <c r="DK306" s="141"/>
      <c r="DL306" s="142">
        <f>DL304+DL305</f>
        <v>976</v>
      </c>
      <c r="DM306" s="141"/>
      <c r="DN306" s="141"/>
      <c r="DO306" s="141"/>
      <c r="DP306" s="141"/>
      <c r="DQ306" s="142">
        <f t="shared" ref="DQ306:DY306" si="1451">DQ304+DQ305</f>
        <v>1059</v>
      </c>
      <c r="DR306" s="141">
        <f t="shared" si="1451"/>
        <v>270</v>
      </c>
      <c r="DS306" s="141">
        <f t="shared" si="1451"/>
        <v>276</v>
      </c>
      <c r="DT306" s="141">
        <f t="shared" si="1451"/>
        <v>277</v>
      </c>
      <c r="DU306" s="141">
        <f t="shared" si="1451"/>
        <v>281</v>
      </c>
      <c r="DV306" s="142">
        <f t="shared" si="1451"/>
        <v>1104</v>
      </c>
      <c r="DW306" s="141">
        <f t="shared" si="1451"/>
        <v>283</v>
      </c>
      <c r="DX306" s="141">
        <f t="shared" si="1451"/>
        <v>287</v>
      </c>
      <c r="DY306" s="141">
        <f t="shared" si="1451"/>
        <v>291</v>
      </c>
      <c r="DZ306" s="141">
        <f>+EA306-SUM(DW306:DY306)</f>
        <v>290</v>
      </c>
      <c r="EA306" s="142">
        <f>EA304+EA305</f>
        <v>1151</v>
      </c>
      <c r="EB306" s="141">
        <f>EB304+EB305</f>
        <v>295</v>
      </c>
      <c r="EC306" s="141">
        <f>EC304+EC305</f>
        <v>299</v>
      </c>
      <c r="ED306" s="141">
        <f>ED304+ED305</f>
        <v>302</v>
      </c>
      <c r="EE306" s="141">
        <f>+EF306-SUM(EB306:ED306)</f>
        <v>312</v>
      </c>
      <c r="EF306" s="142">
        <f>EF304+EF305</f>
        <v>1208</v>
      </c>
      <c r="EG306" s="141">
        <f>EG304+EG305</f>
        <v>313</v>
      </c>
      <c r="EH306" s="141">
        <f>EH304+EH305</f>
        <v>319</v>
      </c>
      <c r="EI306" s="141">
        <f>EI304+EI305</f>
        <v>321</v>
      </c>
      <c r="EJ306" s="141">
        <f>+EK306-SUM(EG306:EI306)</f>
        <v>348</v>
      </c>
      <c r="EK306" s="142">
        <f>EK304+EK305</f>
        <v>1301</v>
      </c>
      <c r="EL306" s="141">
        <f>EL304+EL305</f>
        <v>320</v>
      </c>
      <c r="EM306" s="141">
        <f>EM304+EM305</f>
        <v>327</v>
      </c>
      <c r="EN306" s="141">
        <f>EN304+EN305</f>
        <v>331</v>
      </c>
      <c r="EO306" s="141">
        <f>+EP306-SUM(EL306:EN306)</f>
        <v>337</v>
      </c>
      <c r="EP306" s="2022">
        <f>EP304+EP305</f>
        <v>1315</v>
      </c>
      <c r="EQ306" s="141"/>
      <c r="ER306" s="141"/>
      <c r="ES306" s="141"/>
      <c r="ET306" s="141"/>
      <c r="EU306" s="142">
        <f>EU304+EU305</f>
        <v>1322.9749999999999</v>
      </c>
      <c r="EV306" s="141"/>
      <c r="EW306" s="141"/>
      <c r="EX306" s="141"/>
      <c r="EY306" s="141"/>
      <c r="EZ306" s="142">
        <f>EZ304+EZ305</f>
        <v>1336.2047499999999</v>
      </c>
      <c r="FA306" s="141"/>
      <c r="FB306" s="141"/>
      <c r="FC306" s="141"/>
      <c r="FD306" s="141"/>
      <c r="FE306" s="142">
        <f>FE304+FE305</f>
        <v>1356.2478212499998</v>
      </c>
      <c r="FG306" s="494"/>
      <c r="FH306" s="829"/>
      <c r="FI306" s="829"/>
      <c r="FJ306" s="829"/>
      <c r="FL306" s="1397"/>
      <c r="FM306"/>
      <c r="FN306"/>
      <c r="FO306"/>
      <c r="FP306"/>
      <c r="FQ306"/>
      <c r="FR306" s="1619"/>
      <c r="FS306" s="1619"/>
      <c r="FT306" s="457"/>
      <c r="FU306" s="457"/>
      <c r="FV306" s="457"/>
      <c r="FW306" s="457"/>
      <c r="FX306" s="457"/>
      <c r="FY306" s="457"/>
      <c r="FZ306" s="494"/>
      <c r="GA306"/>
      <c r="GB306"/>
      <c r="GC306"/>
      <c r="GD306"/>
      <c r="GE306"/>
      <c r="GF306"/>
      <c r="GG306"/>
      <c r="GH306"/>
      <c r="GI306"/>
      <c r="GJ306"/>
      <c r="GK306"/>
      <c r="GL306"/>
      <c r="GM306"/>
      <c r="GN306"/>
      <c r="GO306"/>
      <c r="GP306"/>
      <c r="GQ306"/>
      <c r="GR306"/>
      <c r="GS306"/>
      <c r="GT306"/>
      <c r="GU306"/>
      <c r="GV306"/>
      <c r="GW306"/>
      <c r="GX306"/>
      <c r="GY306"/>
      <c r="GZ306"/>
      <c r="HA306"/>
      <c r="HB306"/>
      <c r="HC306"/>
      <c r="HD306"/>
      <c r="HE306"/>
      <c r="HF306"/>
      <c r="HG306"/>
      <c r="HH306"/>
      <c r="HI306"/>
      <c r="HJ306"/>
      <c r="HK306"/>
      <c r="HL306"/>
      <c r="HM306"/>
      <c r="HN306"/>
      <c r="HO306"/>
      <c r="HP306"/>
      <c r="HQ306"/>
      <c r="HR306"/>
      <c r="HS306"/>
      <c r="HT306"/>
      <c r="HU306"/>
      <c r="HV306"/>
      <c r="HW306"/>
      <c r="HX306"/>
      <c r="HY306"/>
      <c r="HZ306"/>
      <c r="IA306"/>
      <c r="IB306"/>
      <c r="IC306"/>
      <c r="ID306"/>
      <c r="IE306"/>
      <c r="IF306"/>
      <c r="IG306"/>
      <c r="IH306"/>
      <c r="II306"/>
      <c r="IJ306"/>
      <c r="IK306"/>
      <c r="IL306"/>
      <c r="IM306"/>
      <c r="IN306"/>
      <c r="IO306"/>
      <c r="IP306"/>
      <c r="IQ306"/>
      <c r="IR306"/>
      <c r="IS306"/>
      <c r="IT306"/>
      <c r="IU306"/>
      <c r="IV306"/>
      <c r="IW306"/>
      <c r="IX306"/>
    </row>
    <row r="307" spans="1:258" s="139" customFormat="1" x14ac:dyDescent="0.2">
      <c r="A307" s="163" t="s">
        <v>478</v>
      </c>
      <c r="B307" s="138"/>
      <c r="C307" s="138"/>
      <c r="D307" s="138"/>
      <c r="E307" s="138"/>
      <c r="F307" s="137"/>
      <c r="G307" s="138"/>
      <c r="H307" s="138"/>
      <c r="I307" s="138"/>
      <c r="J307" s="138"/>
      <c r="K307" s="137"/>
      <c r="L307" s="138"/>
      <c r="M307" s="138"/>
      <c r="N307" s="138"/>
      <c r="O307" s="138"/>
      <c r="P307" s="137"/>
      <c r="Q307" s="138"/>
      <c r="R307" s="138"/>
      <c r="S307" s="138"/>
      <c r="T307" s="138"/>
      <c r="U307" s="137"/>
      <c r="V307" s="138"/>
      <c r="W307" s="138"/>
      <c r="X307" s="138"/>
      <c r="Y307" s="138"/>
      <c r="Z307" s="137"/>
      <c r="AA307" s="138"/>
      <c r="AB307" s="138"/>
      <c r="AC307" s="138"/>
      <c r="AD307" s="138"/>
      <c r="AE307" s="137"/>
      <c r="AF307" s="138"/>
      <c r="AG307" s="138"/>
      <c r="AH307" s="138"/>
      <c r="AI307" s="138"/>
      <c r="AJ307" s="137"/>
      <c r="AK307" s="138"/>
      <c r="AL307" s="138"/>
      <c r="AM307" s="138"/>
      <c r="AN307" s="138"/>
      <c r="AO307" s="137"/>
      <c r="AP307" s="138"/>
      <c r="AQ307" s="138"/>
      <c r="AR307" s="138"/>
      <c r="AS307" s="138"/>
      <c r="AT307" s="137">
        <v>190</v>
      </c>
      <c r="AU307" s="138"/>
      <c r="AV307" s="138"/>
      <c r="AW307" s="138"/>
      <c r="AX307" s="138"/>
      <c r="AY307" s="137">
        <v>296</v>
      </c>
      <c r="AZ307" s="138"/>
      <c r="BA307" s="138"/>
      <c r="BB307" s="138"/>
      <c r="BC307" s="138"/>
      <c r="BD307" s="137">
        <v>-19</v>
      </c>
      <c r="BE307" s="138"/>
      <c r="BF307" s="138"/>
      <c r="BG307" s="138"/>
      <c r="BH307" s="138"/>
      <c r="BI307" s="137">
        <v>152</v>
      </c>
      <c r="BJ307" s="138"/>
      <c r="BK307" s="138"/>
      <c r="BL307" s="138"/>
      <c r="BM307" s="138"/>
      <c r="BN307" s="137">
        <v>197</v>
      </c>
      <c r="BO307" s="138"/>
      <c r="BP307" s="138"/>
      <c r="BQ307" s="138"/>
      <c r="BR307" s="138"/>
      <c r="BS307" s="137">
        <v>172</v>
      </c>
      <c r="BT307" s="138"/>
      <c r="BU307" s="138"/>
      <c r="BV307" s="138"/>
      <c r="BW307" s="138"/>
      <c r="BX307" s="137">
        <v>119</v>
      </c>
      <c r="BY307" s="138"/>
      <c r="BZ307" s="138"/>
      <c r="CA307" s="138"/>
      <c r="CB307" s="138"/>
      <c r="CC307" s="137">
        <v>240</v>
      </c>
      <c r="CD307" s="138"/>
      <c r="CE307" s="138"/>
      <c r="CF307" s="138"/>
      <c r="CG307" s="138"/>
      <c r="CH307" s="137">
        <v>-46</v>
      </c>
      <c r="CI307" s="138"/>
      <c r="CJ307" s="138"/>
      <c r="CK307" s="138"/>
      <c r="CL307" s="138"/>
      <c r="CM307" s="137">
        <v>42</v>
      </c>
      <c r="CN307" s="138"/>
      <c r="CO307" s="138"/>
      <c r="CP307" s="138"/>
      <c r="CQ307" s="138"/>
      <c r="CR307" s="137">
        <v>272</v>
      </c>
      <c r="CS307" s="138"/>
      <c r="CT307" s="138"/>
      <c r="CU307" s="138"/>
      <c r="CV307" s="138"/>
      <c r="CW307" s="137">
        <v>435</v>
      </c>
      <c r="CX307" s="138"/>
      <c r="CY307" s="138"/>
      <c r="CZ307" s="138"/>
      <c r="DA307" s="138"/>
      <c r="DB307" s="137">
        <v>430</v>
      </c>
      <c r="DC307" s="138"/>
      <c r="DD307" s="138"/>
      <c r="DE307" s="138"/>
      <c r="DF307" s="138"/>
      <c r="DG307" s="137">
        <v>474</v>
      </c>
      <c r="DH307" s="138"/>
      <c r="DI307" s="138"/>
      <c r="DJ307" s="138"/>
      <c r="DK307" s="138"/>
      <c r="DL307" s="137">
        <v>609</v>
      </c>
      <c r="DM307" s="138"/>
      <c r="DN307" s="138"/>
      <c r="DO307" s="138"/>
      <c r="DP307" s="138"/>
      <c r="DQ307" s="137">
        <v>592</v>
      </c>
      <c r="DR307" s="138">
        <v>82</v>
      </c>
      <c r="DS307" s="138">
        <f>172-DR307</f>
        <v>90</v>
      </c>
      <c r="DT307" s="138">
        <f>229-SUM(DR307:DS307)</f>
        <v>57</v>
      </c>
      <c r="DU307" s="138">
        <f>DV307-SUM(DR307:DT307)</f>
        <v>71</v>
      </c>
      <c r="DV307" s="137">
        <v>300</v>
      </c>
      <c r="DW307" s="138">
        <v>-1</v>
      </c>
      <c r="DX307" s="138">
        <f>86-DW307</f>
        <v>87</v>
      </c>
      <c r="DY307" s="138">
        <f>90-SUM(DW307:DX307)</f>
        <v>4</v>
      </c>
      <c r="DZ307" s="141">
        <f>+EA307-SUM(DW307:DY307)</f>
        <v>208</v>
      </c>
      <c r="EA307" s="137">
        <v>298</v>
      </c>
      <c r="EB307" s="138">
        <v>6</v>
      </c>
      <c r="EC307" s="138">
        <f>33-EB307</f>
        <v>27</v>
      </c>
      <c r="ED307" s="138">
        <f>82-EC307</f>
        <v>55</v>
      </c>
      <c r="EE307" s="141">
        <f>+EF307-SUM(EB307:ED307)</f>
        <v>368</v>
      </c>
      <c r="EF307" s="137">
        <v>456</v>
      </c>
      <c r="EG307" s="138">
        <v>80</v>
      </c>
      <c r="EH307" s="138">
        <f>165-EG307</f>
        <v>85</v>
      </c>
      <c r="EI307" s="138">
        <f>312-EH307</f>
        <v>227</v>
      </c>
      <c r="EJ307" s="141">
        <f>+EK307-SUM(EG307:EI307)</f>
        <v>13</v>
      </c>
      <c r="EK307" s="137">
        <v>405</v>
      </c>
      <c r="EL307" s="138">
        <v>59</v>
      </c>
      <c r="EM307" s="138">
        <f>112-EL307</f>
        <v>53</v>
      </c>
      <c r="EN307" s="138">
        <f>161-EM307</f>
        <v>108</v>
      </c>
      <c r="EO307" s="141">
        <f>+EP307-SUM(EL307:EN307)</f>
        <v>-3453</v>
      </c>
      <c r="EP307" s="2021">
        <v>-3233</v>
      </c>
      <c r="EQ307" s="138">
        <f>+EP307+3577</f>
        <v>344</v>
      </c>
      <c r="ER307" s="138"/>
      <c r="ES307" s="138"/>
      <c r="ET307" s="138"/>
      <c r="EU307" s="137">
        <f>EU308*EU272</f>
        <v>361.55073771709215</v>
      </c>
      <c r="EV307" s="138"/>
      <c r="EW307" s="138"/>
      <c r="EX307" s="138"/>
      <c r="EY307" s="138"/>
      <c r="EZ307" s="137">
        <f>EZ308*EZ272</f>
        <v>378.8050768001043</v>
      </c>
      <c r="FA307" s="138"/>
      <c r="FB307" s="138"/>
      <c r="FC307" s="138"/>
      <c r="FD307" s="138"/>
      <c r="FE307" s="137">
        <f>FE308*FE272</f>
        <v>414.53568652360286</v>
      </c>
      <c r="FG307" s="494"/>
      <c r="FH307" s="828"/>
      <c r="FI307" s="828"/>
      <c r="FJ307" s="828"/>
      <c r="FK307" s="1325"/>
      <c r="FL307" s="1396"/>
      <c r="FM307"/>
      <c r="FN307"/>
      <c r="FO307"/>
      <c r="FP307"/>
      <c r="FQ307"/>
      <c r="FR307" s="1635"/>
      <c r="FS307" s="1635"/>
      <c r="FT307" s="717"/>
      <c r="FU307" s="717"/>
      <c r="FV307" s="717"/>
      <c r="FW307" s="717"/>
      <c r="FX307" s="717"/>
      <c r="FY307" s="717"/>
      <c r="FZ307" s="494"/>
      <c r="GA307"/>
      <c r="GB307"/>
      <c r="GC307"/>
      <c r="GD307"/>
      <c r="GE307"/>
      <c r="GF307"/>
      <c r="GG307"/>
      <c r="GH307"/>
      <c r="GI307"/>
      <c r="GJ307"/>
      <c r="GK307"/>
      <c r="GL307"/>
      <c r="GM307"/>
      <c r="GN307"/>
      <c r="GO307"/>
      <c r="GP307"/>
      <c r="GQ307"/>
      <c r="GR307"/>
      <c r="GS307"/>
      <c r="GT307"/>
      <c r="GU307"/>
      <c r="GV307"/>
      <c r="GW307"/>
      <c r="GX307"/>
      <c r="GY307"/>
      <c r="GZ307"/>
      <c r="HA307"/>
      <c r="HB307"/>
      <c r="HC307"/>
      <c r="HD307"/>
      <c r="HE307"/>
      <c r="HF307"/>
      <c r="HG307"/>
      <c r="HH307"/>
      <c r="HI307"/>
      <c r="HJ307"/>
      <c r="HK307"/>
      <c r="HL307"/>
      <c r="HM307"/>
      <c r="HN307"/>
      <c r="HO307"/>
      <c r="HP307"/>
      <c r="HQ307"/>
      <c r="HR307"/>
      <c r="HS307"/>
      <c r="HT307"/>
      <c r="HU307"/>
      <c r="HV307"/>
      <c r="HW307"/>
      <c r="HX307"/>
      <c r="HY307"/>
      <c r="HZ307"/>
      <c r="IA307"/>
      <c r="IB307"/>
      <c r="IC307"/>
      <c r="ID307"/>
      <c r="IE307"/>
      <c r="IF307"/>
      <c r="IG307"/>
      <c r="IH307"/>
      <c r="II307"/>
      <c r="IJ307"/>
      <c r="IK307"/>
      <c r="IL307"/>
      <c r="IM307"/>
      <c r="IN307"/>
      <c r="IO307"/>
      <c r="IP307"/>
      <c r="IQ307"/>
      <c r="IR307"/>
      <c r="IS307"/>
      <c r="IT307"/>
      <c r="IU307"/>
      <c r="IV307"/>
      <c r="IW307"/>
      <c r="IX307"/>
    </row>
    <row r="308" spans="1:258" s="146" customFormat="1" x14ac:dyDescent="0.2">
      <c r="A308" s="565" t="s">
        <v>183</v>
      </c>
      <c r="B308" s="144"/>
      <c r="C308" s="144"/>
      <c r="D308" s="144"/>
      <c r="E308" s="144"/>
      <c r="F308" s="4"/>
      <c r="G308" s="144"/>
      <c r="H308" s="144"/>
      <c r="I308" s="144"/>
      <c r="J308" s="144"/>
      <c r="K308" s="4"/>
      <c r="L308" s="144"/>
      <c r="M308" s="144"/>
      <c r="N308" s="144"/>
      <c r="O308" s="144"/>
      <c r="P308" s="4"/>
      <c r="Q308" s="144"/>
      <c r="R308" s="144"/>
      <c r="S308" s="144"/>
      <c r="T308" s="144"/>
      <c r="U308" s="4"/>
      <c r="V308" s="144"/>
      <c r="W308" s="144"/>
      <c r="X308" s="144"/>
      <c r="Y308" s="144"/>
      <c r="Z308" s="4"/>
      <c r="AA308" s="144"/>
      <c r="AB308" s="144"/>
      <c r="AC308" s="144"/>
      <c r="AD308" s="144"/>
      <c r="AE308" s="4"/>
      <c r="AF308" s="144"/>
      <c r="AG308" s="144"/>
      <c r="AH308" s="144"/>
      <c r="AI308" s="144"/>
      <c r="AJ308" s="4"/>
      <c r="AK308" s="144"/>
      <c r="AL308" s="144"/>
      <c r="AM308" s="144"/>
      <c r="AN308" s="144"/>
      <c r="AO308" s="4"/>
      <c r="AP308" s="144"/>
      <c r="AQ308" s="144"/>
      <c r="AR308" s="144"/>
      <c r="AS308" s="144"/>
      <c r="AT308" s="4">
        <f>AT307/Model!AT272</f>
        <v>0.39267209208607218</v>
      </c>
      <c r="AU308" s="144"/>
      <c r="AV308" s="144"/>
      <c r="AW308" s="144"/>
      <c r="AX308" s="144"/>
      <c r="AY308" s="4">
        <f>AY307/Model!AY272</f>
        <v>0.9344024243954796</v>
      </c>
      <c r="AZ308" s="144"/>
      <c r="BA308" s="144"/>
      <c r="BB308" s="144"/>
      <c r="BC308" s="144"/>
      <c r="BD308" s="4">
        <f>BD307/Model!BD272</f>
        <v>-7.1999696843381714E-2</v>
      </c>
      <c r="BE308" s="144"/>
      <c r="BF308" s="144"/>
      <c r="BG308" s="144"/>
      <c r="BH308" s="144"/>
      <c r="BI308" s="4">
        <f>BI307/Model!BI272</f>
        <v>1.5353535353535352</v>
      </c>
      <c r="BJ308" s="144"/>
      <c r="BK308" s="144"/>
      <c r="BL308" s="144"/>
      <c r="BM308" s="144"/>
      <c r="BN308" s="4">
        <f>BN307/Model!BN272</f>
        <v>1.1098591549295775</v>
      </c>
      <c r="BO308" s="144"/>
      <c r="BP308" s="144"/>
      <c r="BQ308" s="144"/>
      <c r="BR308" s="144"/>
      <c r="BS308" s="4">
        <f>BS307/Model!BS272</f>
        <v>0.68362480127186009</v>
      </c>
      <c r="BT308" s="144"/>
      <c r="BU308" s="144"/>
      <c r="BV308" s="144"/>
      <c r="BW308" s="144"/>
      <c r="BX308" s="4">
        <f>BX307/Model!BX272</f>
        <v>0.56318031235210597</v>
      </c>
      <c r="BY308" s="144"/>
      <c r="BZ308" s="144"/>
      <c r="CA308" s="144"/>
      <c r="CB308" s="144"/>
      <c r="CC308" s="4">
        <f>CC307/Model!CC272</f>
        <v>0.9569377990430622</v>
      </c>
      <c r="CD308" s="144"/>
      <c r="CE308" s="144"/>
      <c r="CF308" s="144"/>
      <c r="CG308" s="144"/>
      <c r="CH308" s="4">
        <f>CH307/Model!CH272</f>
        <v>-0.10244988864142539</v>
      </c>
      <c r="CI308" s="144"/>
      <c r="CJ308" s="144"/>
      <c r="CK308" s="144"/>
      <c r="CL308" s="144"/>
      <c r="CM308" s="4">
        <f>CM307/Model!CM272</f>
        <v>6.8038231005993849E-2</v>
      </c>
      <c r="CN308" s="144"/>
      <c r="CO308" s="144"/>
      <c r="CP308" s="144"/>
      <c r="CQ308" s="144"/>
      <c r="CR308" s="4">
        <f>CR307/Model!CR272</f>
        <v>0.39206940350718233</v>
      </c>
      <c r="CS308" s="144"/>
      <c r="CT308" s="144"/>
      <c r="CU308" s="144"/>
      <c r="CV308" s="144"/>
      <c r="CW308" s="4">
        <f>CW307/Model!CW272</f>
        <v>0.51567480985822911</v>
      </c>
      <c r="CX308" s="144"/>
      <c r="CY308" s="144"/>
      <c r="CZ308" s="144"/>
      <c r="DA308" s="144"/>
      <c r="DB308" s="4">
        <f>DB307/Model!DB272</f>
        <v>0.69354838709677424</v>
      </c>
      <c r="DC308" s="144"/>
      <c r="DD308" s="144"/>
      <c r="DE308" s="144"/>
      <c r="DF308" s="144"/>
      <c r="DG308" s="4">
        <f>DG307/Model!DG272</f>
        <v>0.48170731707317072</v>
      </c>
      <c r="DH308" s="144"/>
      <c r="DI308" s="144"/>
      <c r="DJ308" s="144"/>
      <c r="DK308" s="144"/>
      <c r="DL308" s="4">
        <f>DL307/Model!DL272</f>
        <v>0.56127376888423564</v>
      </c>
      <c r="DM308" s="144"/>
      <c r="DN308" s="144"/>
      <c r="DO308" s="144"/>
      <c r="DP308" s="144"/>
      <c r="DQ308" s="4">
        <f>DQ307/Model!DQ272</f>
        <v>0.53575630328150725</v>
      </c>
      <c r="DR308" s="144">
        <f>DR307/Model!DR272</f>
        <v>0.31832298136645959</v>
      </c>
      <c r="DS308" s="144">
        <f>DS307/Model!DS272</f>
        <v>0.30718820397296742</v>
      </c>
      <c r="DT308" s="144">
        <f>DT307/Model!DT272</f>
        <v>0.22518518518518518</v>
      </c>
      <c r="DU308" s="144">
        <f>DU307/Model!DU272</f>
        <v>0.28629032258064518</v>
      </c>
      <c r="DV308" s="4">
        <f>DV307/Model!DV272</f>
        <v>0.28525109227397416</v>
      </c>
      <c r="DW308" s="144">
        <f>DW307/Model!DW272</f>
        <v>-4.8053820278712162E-3</v>
      </c>
      <c r="DX308" s="144">
        <f>DX307/Model!DX272</f>
        <v>0.2688005932151023</v>
      </c>
      <c r="DY308" s="144">
        <f>DY307/Model!DY272</f>
        <v>1.3157894736842105E-2</v>
      </c>
      <c r="DZ308" s="144">
        <f>DZ307/Model!DZ272</f>
        <v>0.73239436619718312</v>
      </c>
      <c r="EA308" s="4">
        <f>EA307/Model!EA272</f>
        <v>0.26612845609773522</v>
      </c>
      <c r="EB308" s="144">
        <f>EB307/Model!EB272</f>
        <v>2.513270373927028E-2</v>
      </c>
      <c r="EC308" s="144">
        <f>EC307/Model!EC272</f>
        <v>8.4456528638835501E-2</v>
      </c>
      <c r="ED308" s="144">
        <f>ED307/Model!ED272</f>
        <v>0.18835616438356165</v>
      </c>
      <c r="EE308" s="144">
        <f>EE307/Model!EE272</f>
        <v>1.3381818181818181</v>
      </c>
      <c r="EF308" s="4">
        <f>EF307/Model!EF272</f>
        <v>0.40518067410612207</v>
      </c>
      <c r="EG308" s="144">
        <f>EG307/Model!EG272</f>
        <v>0.37735849056603776</v>
      </c>
      <c r="EH308" s="144">
        <f>EH307/Model!EH272</f>
        <v>0.32442748091603052</v>
      </c>
      <c r="EI308" s="144">
        <f>EI307/Model!EI272</f>
        <v>0.87307692307692308</v>
      </c>
      <c r="EJ308" s="144">
        <f>EJ307/Model!EJ272</f>
        <v>4.4368600682593858E-2</v>
      </c>
      <c r="EK308" s="4">
        <f>EK307/Model!EK272</f>
        <v>0.39435248296007791</v>
      </c>
      <c r="EL308" s="144">
        <f>EL307/Model!EL272</f>
        <v>0.20673464382073656</v>
      </c>
      <c r="EM308" s="144">
        <f>EM307/Model!EM272</f>
        <v>0.14804469273743018</v>
      </c>
      <c r="EN308" s="144">
        <f>EN307/Model!EN272</f>
        <v>0.375</v>
      </c>
      <c r="EO308" s="144">
        <f>EO307/Model!EO272</f>
        <v>-11.626262626262626</v>
      </c>
      <c r="EP308" s="4">
        <f>EP307/Model!EP272</f>
        <v>-2.6319002922524608</v>
      </c>
      <c r="EQ308" s="1013"/>
      <c r="ER308" s="1013"/>
      <c r="ES308" s="1013"/>
      <c r="ET308" s="1013"/>
      <c r="EU308" s="1012">
        <v>0.4</v>
      </c>
      <c r="EV308" s="1013"/>
      <c r="EW308" s="1013"/>
      <c r="EX308" s="1013"/>
      <c r="EY308" s="1013"/>
      <c r="EZ308" s="1012">
        <f>+EU308</f>
        <v>0.4</v>
      </c>
      <c r="FA308" s="1013"/>
      <c r="FB308" s="1013"/>
      <c r="FC308" s="1013"/>
      <c r="FD308" s="1013"/>
      <c r="FE308" s="1012">
        <f>+EZ308</f>
        <v>0.4</v>
      </c>
      <c r="FG308" s="494"/>
      <c r="FH308" s="830"/>
      <c r="FI308" s="830"/>
      <c r="FJ308" s="830"/>
      <c r="FK308" s="1326"/>
      <c r="FL308" s="1398"/>
      <c r="FM308"/>
      <c r="FN308"/>
      <c r="FO308"/>
      <c r="FP308"/>
      <c r="FQ308"/>
      <c r="FR308" s="1635"/>
      <c r="FS308" s="1635"/>
      <c r="FT308" s="718"/>
      <c r="FU308" s="718"/>
      <c r="FV308" s="718"/>
      <c r="FW308" s="718"/>
      <c r="FX308" s="718"/>
      <c r="FY308" s="718"/>
      <c r="FZ308" s="494"/>
      <c r="GA308"/>
      <c r="GB308"/>
      <c r="GC308"/>
      <c r="GD308"/>
      <c r="GE308"/>
      <c r="GF308"/>
      <c r="GG308"/>
      <c r="GH308"/>
      <c r="GI308"/>
      <c r="GJ308"/>
      <c r="GK308"/>
      <c r="GL308"/>
      <c r="GM308"/>
      <c r="GN308"/>
      <c r="GO308"/>
      <c r="GP308"/>
      <c r="GQ308"/>
      <c r="GR308"/>
      <c r="GS308"/>
      <c r="GT308"/>
      <c r="GU308"/>
      <c r="GV308"/>
      <c r="GW308"/>
      <c r="GX308"/>
      <c r="GY308"/>
      <c r="GZ308"/>
      <c r="HA308"/>
      <c r="HB308"/>
      <c r="HC308"/>
      <c r="HD308"/>
      <c r="HE308"/>
      <c r="HF308"/>
      <c r="HG308"/>
      <c r="HH308"/>
      <c r="HI308"/>
      <c r="HJ308"/>
      <c r="HK308"/>
      <c r="HL308"/>
      <c r="HM308"/>
      <c r="HN308"/>
      <c r="HO308"/>
      <c r="HP308"/>
      <c r="HQ308"/>
      <c r="HR308"/>
      <c r="HS308"/>
      <c r="HT308"/>
      <c r="HU308"/>
      <c r="HV308"/>
      <c r="HW308"/>
      <c r="HX308"/>
      <c r="HY308"/>
      <c r="HZ308"/>
      <c r="IA308"/>
      <c r="IB308"/>
      <c r="IC308"/>
      <c r="ID308"/>
      <c r="IE308"/>
      <c r="IF308"/>
      <c r="IG308"/>
      <c r="IH308"/>
      <c r="II308"/>
      <c r="IJ308"/>
      <c r="IK308"/>
      <c r="IL308"/>
      <c r="IM308"/>
      <c r="IN308"/>
      <c r="IO308"/>
      <c r="IP308"/>
      <c r="IQ308"/>
      <c r="IR308"/>
      <c r="IS308"/>
      <c r="IT308"/>
      <c r="IU308"/>
      <c r="IV308"/>
      <c r="IW308"/>
      <c r="IX308"/>
    </row>
    <row r="309" spans="1:258" s="139" customFormat="1" x14ac:dyDescent="0.2">
      <c r="A309" s="163" t="s">
        <v>474</v>
      </c>
      <c r="B309" s="138"/>
      <c r="C309" s="138"/>
      <c r="D309" s="138"/>
      <c r="E309" s="138"/>
      <c r="F309" s="137"/>
      <c r="G309" s="138"/>
      <c r="H309" s="138"/>
      <c r="I309" s="138"/>
      <c r="J309" s="138"/>
      <c r="K309" s="137"/>
      <c r="L309" s="138"/>
      <c r="M309" s="138"/>
      <c r="N309" s="138"/>
      <c r="O309" s="138"/>
      <c r="P309" s="137"/>
      <c r="Q309" s="138"/>
      <c r="R309" s="138"/>
      <c r="S309" s="138"/>
      <c r="T309" s="138"/>
      <c r="U309" s="137"/>
      <c r="V309" s="138"/>
      <c r="W309" s="138"/>
      <c r="X309" s="138"/>
      <c r="Y309" s="138"/>
      <c r="Z309" s="137"/>
      <c r="AA309" s="138"/>
      <c r="AB309" s="138"/>
      <c r="AC309" s="138"/>
      <c r="AD309" s="138"/>
      <c r="AE309" s="137"/>
      <c r="AF309" s="138"/>
      <c r="AG309" s="138"/>
      <c r="AH309" s="138"/>
      <c r="AI309" s="138"/>
      <c r="AJ309" s="137"/>
      <c r="AK309" s="138"/>
      <c r="AL309" s="138"/>
      <c r="AM309" s="138"/>
      <c r="AN309" s="138"/>
      <c r="AO309" s="137"/>
      <c r="AP309" s="138"/>
      <c r="AQ309" s="138"/>
      <c r="AR309" s="138"/>
      <c r="AS309" s="138"/>
      <c r="AT309" s="137">
        <v>0</v>
      </c>
      <c r="AU309" s="138"/>
      <c r="AV309" s="138"/>
      <c r="AW309" s="138"/>
      <c r="AX309" s="138"/>
      <c r="AY309" s="137">
        <v>0</v>
      </c>
      <c r="AZ309" s="138"/>
      <c r="BA309" s="138"/>
      <c r="BB309" s="138"/>
      <c r="BC309" s="138"/>
      <c r="BD309" s="137">
        <v>0</v>
      </c>
      <c r="BE309" s="138"/>
      <c r="BF309" s="138"/>
      <c r="BG309" s="138"/>
      <c r="BH309" s="138"/>
      <c r="BI309" s="137">
        <v>0</v>
      </c>
      <c r="BJ309" s="138"/>
      <c r="BK309" s="138"/>
      <c r="BL309" s="138"/>
      <c r="BM309" s="138"/>
      <c r="BN309" s="137">
        <v>0</v>
      </c>
      <c r="BO309" s="138"/>
      <c r="BP309" s="138"/>
      <c r="BQ309" s="138"/>
      <c r="BR309" s="138"/>
      <c r="BS309" s="137">
        <v>0</v>
      </c>
      <c r="BT309" s="138"/>
      <c r="BU309" s="138"/>
      <c r="BV309" s="138"/>
      <c r="BW309" s="138"/>
      <c r="BX309" s="137">
        <v>0</v>
      </c>
      <c r="BY309" s="138"/>
      <c r="BZ309" s="138"/>
      <c r="CA309" s="138"/>
      <c r="CB309" s="138"/>
      <c r="CC309" s="137">
        <v>0</v>
      </c>
      <c r="CD309" s="138"/>
      <c r="CE309" s="138"/>
      <c r="CF309" s="138"/>
      <c r="CG309" s="138"/>
      <c r="CH309" s="137">
        <v>-3</v>
      </c>
      <c r="CI309" s="138"/>
      <c r="CJ309" s="138"/>
      <c r="CK309" s="138"/>
      <c r="CL309" s="138"/>
      <c r="CM309" s="137">
        <v>-28</v>
      </c>
      <c r="CN309" s="138"/>
      <c r="CO309" s="138"/>
      <c r="CP309" s="138"/>
      <c r="CQ309" s="138"/>
      <c r="CR309" s="137">
        <v>-266</v>
      </c>
      <c r="CS309" s="138"/>
      <c r="CT309" s="138"/>
      <c r="CU309" s="138"/>
      <c r="CV309" s="138"/>
      <c r="CW309" s="137">
        <v>-102</v>
      </c>
      <c r="CX309" s="138"/>
      <c r="CY309" s="138"/>
      <c r="CZ309" s="138"/>
      <c r="DA309" s="138"/>
      <c r="DB309" s="137">
        <v>-250</v>
      </c>
      <c r="DC309" s="138"/>
      <c r="DD309" s="138"/>
      <c r="DE309" s="138"/>
      <c r="DF309" s="138"/>
      <c r="DG309" s="137">
        <v>0</v>
      </c>
      <c r="DH309" s="138"/>
      <c r="DI309" s="138"/>
      <c r="DJ309" s="138"/>
      <c r="DK309" s="138"/>
      <c r="DL309" s="137">
        <v>0</v>
      </c>
      <c r="DM309" s="138"/>
      <c r="DN309" s="138"/>
      <c r="DO309" s="138"/>
      <c r="DP309" s="138"/>
      <c r="DQ309" s="137">
        <v>0</v>
      </c>
      <c r="DR309" s="138">
        <v>0</v>
      </c>
      <c r="DS309" s="138">
        <v>0</v>
      </c>
      <c r="DT309" s="138">
        <v>0</v>
      </c>
      <c r="DU309" s="138">
        <v>0</v>
      </c>
      <c r="DV309" s="156">
        <v>0</v>
      </c>
      <c r="DW309" s="138">
        <v>0</v>
      </c>
      <c r="DX309" s="157">
        <v>0</v>
      </c>
      <c r="DY309" s="157">
        <v>0</v>
      </c>
      <c r="DZ309" s="138">
        <v>0</v>
      </c>
      <c r="EA309" s="1016">
        <v>0</v>
      </c>
      <c r="EB309" s="138">
        <v>0</v>
      </c>
      <c r="EC309" s="157">
        <v>0</v>
      </c>
      <c r="ED309" s="157">
        <v>0</v>
      </c>
      <c r="EE309" s="138">
        <v>0</v>
      </c>
      <c r="EF309" s="1016">
        <v>0</v>
      </c>
      <c r="EG309" s="138">
        <v>0</v>
      </c>
      <c r="EH309" s="157">
        <v>0</v>
      </c>
      <c r="EI309" s="157">
        <v>0</v>
      </c>
      <c r="EJ309" s="141">
        <f>+EK309-SUM(EG309:EI309)</f>
        <v>-250</v>
      </c>
      <c r="EK309" s="1016">
        <v>-250</v>
      </c>
      <c r="EL309" s="138">
        <v>0</v>
      </c>
      <c r="EM309" s="157">
        <v>0</v>
      </c>
      <c r="EN309" s="157">
        <v>0</v>
      </c>
      <c r="EO309" s="141">
        <f>+EP309-SUM(EL309:EN309)</f>
        <v>0</v>
      </c>
      <c r="EP309" s="1016">
        <v>0</v>
      </c>
      <c r="EQ309" s="923"/>
      <c r="ER309" s="923"/>
      <c r="ES309" s="923"/>
      <c r="ET309" s="923"/>
      <c r="EU309" s="1016">
        <f>SUM(Pension!M51:M52)+SUM(OPEB!M51:M52)</f>
        <v>30.452849753599999</v>
      </c>
      <c r="EV309" s="923"/>
      <c r="EW309" s="923"/>
      <c r="EX309" s="923"/>
      <c r="EY309" s="923"/>
      <c r="EZ309" s="1016">
        <f>SUM(Pension!N51:N52)+SUM(OPEB!N51:N52)</f>
        <v>26.769700035418872</v>
      </c>
      <c r="FA309" s="923"/>
      <c r="FB309" s="923"/>
      <c r="FC309" s="923"/>
      <c r="FD309" s="923"/>
      <c r="FE309" s="1016">
        <f>SUM(Pension!O51:O52)+SUM(OPEB!O51:O52)</f>
        <v>22.686767968013847</v>
      </c>
      <c r="FG309" s="494"/>
      <c r="FH309" s="828"/>
      <c r="FI309" s="828"/>
      <c r="FJ309" s="828"/>
      <c r="FK309" s="1325"/>
      <c r="FL309" s="1396"/>
      <c r="FM309"/>
      <c r="FN309"/>
      <c r="FO309"/>
      <c r="FP309"/>
      <c r="FQ309"/>
      <c r="FR309" s="1635"/>
      <c r="FS309" s="1635"/>
      <c r="FT309" s="717"/>
      <c r="FU309" s="717"/>
      <c r="FV309" s="717"/>
      <c r="FW309" s="717"/>
      <c r="FX309" s="717"/>
      <c r="FY309" s="717"/>
      <c r="FZ309" s="494"/>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row>
    <row r="310" spans="1:258" s="314" customFormat="1" x14ac:dyDescent="0.2">
      <c r="A310" s="621" t="s">
        <v>383</v>
      </c>
      <c r="B310" s="157"/>
      <c r="C310" s="157"/>
      <c r="D310" s="157"/>
      <c r="E310" s="157"/>
      <c r="F310" s="156"/>
      <c r="G310" s="157"/>
      <c r="H310" s="157"/>
      <c r="I310" s="157"/>
      <c r="J310" s="157"/>
      <c r="K310" s="156"/>
      <c r="L310" s="157"/>
      <c r="M310" s="157"/>
      <c r="N310" s="157"/>
      <c r="O310" s="157"/>
      <c r="P310" s="156"/>
      <c r="Q310" s="157"/>
      <c r="R310" s="157"/>
      <c r="S310" s="157"/>
      <c r="T310" s="157"/>
      <c r="U310" s="156"/>
      <c r="V310" s="157"/>
      <c r="W310" s="157"/>
      <c r="X310" s="157"/>
      <c r="Y310" s="157"/>
      <c r="Z310" s="156"/>
      <c r="AA310" s="157"/>
      <c r="AB310" s="157"/>
      <c r="AC310" s="157"/>
      <c r="AD310" s="157"/>
      <c r="AE310" s="156"/>
      <c r="AF310" s="157"/>
      <c r="AG310" s="157"/>
      <c r="AH310" s="157"/>
      <c r="AI310" s="157"/>
      <c r="AJ310" s="156"/>
      <c r="AK310" s="157"/>
      <c r="AL310" s="157"/>
      <c r="AM310" s="157"/>
      <c r="AN310" s="157"/>
      <c r="AO310" s="156"/>
      <c r="AP310" s="157"/>
      <c r="AQ310" s="157"/>
      <c r="AR310" s="157"/>
      <c r="AS310" s="157"/>
      <c r="AT310" s="156">
        <f>AT311-AT303-AT307-AT309-AT306</f>
        <v>-77</v>
      </c>
      <c r="AU310" s="157"/>
      <c r="AV310" s="157"/>
      <c r="AW310" s="157"/>
      <c r="AX310" s="157"/>
      <c r="AY310" s="156">
        <f>AY311-AY303-AY307-AY309-AY306</f>
        <v>-463</v>
      </c>
      <c r="AZ310" s="157"/>
      <c r="BA310" s="157"/>
      <c r="BB310" s="157"/>
      <c r="BC310" s="157"/>
      <c r="BD310" s="156">
        <f>BD311-BD303-BD307-BD309-BD306</f>
        <v>467</v>
      </c>
      <c r="BE310" s="157"/>
      <c r="BF310" s="157"/>
      <c r="BG310" s="157"/>
      <c r="BH310" s="157"/>
      <c r="BI310" s="156">
        <f>BI311-BI303-BI307-BI309-BI306</f>
        <v>-607</v>
      </c>
      <c r="BJ310" s="157"/>
      <c r="BK310" s="157"/>
      <c r="BL310" s="157"/>
      <c r="BM310" s="157"/>
      <c r="BN310" s="156">
        <f>BN311-BN303-BN307-BN309-BN306</f>
        <v>-285</v>
      </c>
      <c r="BO310" s="157"/>
      <c r="BP310" s="157"/>
      <c r="BQ310" s="157"/>
      <c r="BR310" s="157"/>
      <c r="BS310" s="156">
        <f>BS311-BS303-BS307-BS309-BS306</f>
        <v>-118</v>
      </c>
      <c r="BT310" s="157"/>
      <c r="BU310" s="157"/>
      <c r="BV310" s="157"/>
      <c r="BW310" s="157"/>
      <c r="BX310" s="156">
        <f>BX311-BX303-BX307-BX309-BX306</f>
        <v>-204</v>
      </c>
      <c r="BY310" s="157"/>
      <c r="BZ310" s="157"/>
      <c r="CA310" s="157"/>
      <c r="CB310" s="157"/>
      <c r="CC310" s="156">
        <f>CC311-CC303-CC307-CC309-CC306</f>
        <v>137</v>
      </c>
      <c r="CD310" s="157"/>
      <c r="CE310" s="157"/>
      <c r="CF310" s="157"/>
      <c r="CG310" s="157"/>
      <c r="CH310" s="156">
        <f>CH311-CH303-CH307-CH309-CH306</f>
        <v>-819</v>
      </c>
      <c r="CI310" s="157"/>
      <c r="CJ310" s="157"/>
      <c r="CK310" s="157"/>
      <c r="CL310" s="157"/>
      <c r="CM310" s="156">
        <f>CM311-CM303-CM307-CM309-CM306</f>
        <v>-133</v>
      </c>
      <c r="CN310" s="157"/>
      <c r="CO310" s="157"/>
      <c r="CP310" s="157"/>
      <c r="CQ310" s="157"/>
      <c r="CR310" s="156">
        <f>CR311-CR303-CR307-CR309-CR306</f>
        <v>-48</v>
      </c>
      <c r="CS310" s="157"/>
      <c r="CT310" s="157"/>
      <c r="CU310" s="157"/>
      <c r="CV310" s="157"/>
      <c r="CW310" s="156">
        <f>CW311-CW303-CW307-CW309-CW306</f>
        <v>298</v>
      </c>
      <c r="CX310" s="157"/>
      <c r="CY310" s="157"/>
      <c r="CZ310" s="157"/>
      <c r="DA310" s="157"/>
      <c r="DB310" s="156">
        <f>DB311-DB303-DB307-DB309-DB306</f>
        <v>-186</v>
      </c>
      <c r="DC310" s="157"/>
      <c r="DD310" s="157"/>
      <c r="DE310" s="157"/>
      <c r="DF310" s="157"/>
      <c r="DG310" s="156">
        <f>DG311-DG303-DG307-DG309-DG306</f>
        <v>262</v>
      </c>
      <c r="DH310" s="157"/>
      <c r="DI310" s="157"/>
      <c r="DJ310" s="157"/>
      <c r="DK310" s="157"/>
      <c r="DL310" s="156">
        <f>DL311-DL303-DL307-DL309-DL306</f>
        <v>84</v>
      </c>
      <c r="DM310" s="157"/>
      <c r="DN310" s="157"/>
      <c r="DO310" s="157"/>
      <c r="DP310" s="157"/>
      <c r="DQ310" s="156">
        <f t="shared" ref="DQ310:EA310" si="1452">DQ311-DQ303-DQ307-DQ309-DQ306</f>
        <v>-568</v>
      </c>
      <c r="DR310" s="157">
        <f t="shared" si="1452"/>
        <v>-79.399999999999977</v>
      </c>
      <c r="DS310" s="157">
        <f t="shared" si="1452"/>
        <v>-39.019999999999982</v>
      </c>
      <c r="DT310" s="157">
        <f t="shared" si="1452"/>
        <v>129.125</v>
      </c>
      <c r="DU310" s="157">
        <f t="shared" si="1452"/>
        <v>-11.704999999999927</v>
      </c>
      <c r="DV310" s="156">
        <f t="shared" si="1452"/>
        <v>-1</v>
      </c>
      <c r="DW310" s="157">
        <f t="shared" si="1452"/>
        <v>-81.899999999999977</v>
      </c>
      <c r="DX310" s="157">
        <f t="shared" si="1452"/>
        <v>-57.340000000000032</v>
      </c>
      <c r="DY310" s="157">
        <f t="shared" si="1452"/>
        <v>52.509999999999934</v>
      </c>
      <c r="DZ310" s="157">
        <f>DZ311-DZ303-DZ307-DZ309-DZ306</f>
        <v>53.730000000000018</v>
      </c>
      <c r="EA310" s="156">
        <f t="shared" si="1452"/>
        <v>-33</v>
      </c>
      <c r="EB310" s="157">
        <f t="shared" ref="EB310:EG310" si="1453">EB311-EB303-EB307-EB309-EB306</f>
        <v>-57.267229254570907</v>
      </c>
      <c r="EC310" s="157">
        <f t="shared" si="1453"/>
        <v>12.491093573843955</v>
      </c>
      <c r="ED310" s="157">
        <f t="shared" si="1453"/>
        <v>756</v>
      </c>
      <c r="EE310" s="157">
        <f t="shared" si="1453"/>
        <v>-973.22386431927316</v>
      </c>
      <c r="EF310" s="156">
        <f t="shared" si="1453"/>
        <v>-262</v>
      </c>
      <c r="EG310" s="157">
        <f t="shared" si="1453"/>
        <v>5</v>
      </c>
      <c r="EH310" s="157">
        <f>EH311-EH303-EH307-EH309-EH306</f>
        <v>-11</v>
      </c>
      <c r="EI310" s="157">
        <f t="shared" ref="EI310:EL310" si="1454">EI311-EI303-EI307-EI309-EI306</f>
        <v>647</v>
      </c>
      <c r="EJ310" s="157">
        <f t="shared" si="1454"/>
        <v>-770</v>
      </c>
      <c r="EK310" s="156">
        <f t="shared" si="1454"/>
        <v>-129</v>
      </c>
      <c r="EL310" s="157">
        <f t="shared" si="1454"/>
        <v>302</v>
      </c>
      <c r="EM310" s="157">
        <f>EM311-EM303-EM307-EM309-EM306</f>
        <v>-448</v>
      </c>
      <c r="EN310" s="157">
        <f t="shared" ref="EN310:EO310" si="1455">EN311-EN303-EN307-EN309-EN306</f>
        <v>1436</v>
      </c>
      <c r="EO310" s="157">
        <f t="shared" si="1455"/>
        <v>-1371</v>
      </c>
      <c r="EP310" s="156">
        <f t="shared" ref="EP310" si="1456">EP311-EP303-EP307-EP309-EP306</f>
        <v>-81</v>
      </c>
      <c r="EQ310" s="898"/>
      <c r="ER310" s="898"/>
      <c r="ES310" s="898"/>
      <c r="ET310" s="898"/>
      <c r="EU310" s="156">
        <f>(EP340-EU340)+(EU348-EP348)+(EP338-EU338)</f>
        <v>-133.59389368466441</v>
      </c>
      <c r="EV310" s="898"/>
      <c r="EW310" s="898"/>
      <c r="EX310" s="898"/>
      <c r="EY310" s="898"/>
      <c r="EZ310" s="156">
        <f>(EU340-EZ340)+(EZ348-EU348)+(EU338-EZ338)</f>
        <v>-112.05917743412215</v>
      </c>
      <c r="FA310" s="898"/>
      <c r="FB310" s="898"/>
      <c r="FC310" s="898"/>
      <c r="FD310" s="898"/>
      <c r="FE310" s="156">
        <f>(EZ340-FE340)+(FE348-EZ348)+(EZ338-FE338)</f>
        <v>-147.4852365975853</v>
      </c>
      <c r="FG310" s="899"/>
      <c r="FH310" s="836"/>
      <c r="FI310" s="836"/>
      <c r="FJ310" s="836"/>
      <c r="FK310" s="1327"/>
      <c r="FL310" s="1399"/>
      <c r="FM310"/>
      <c r="FN310"/>
      <c r="FO310"/>
      <c r="FP310"/>
      <c r="FQ310"/>
      <c r="FR310" s="1635"/>
      <c r="FS310" s="1635"/>
      <c r="FT310" s="719"/>
      <c r="FU310" s="719"/>
      <c r="FV310" s="719"/>
      <c r="FW310" s="719"/>
      <c r="FX310" s="719"/>
      <c r="FY310" s="719"/>
      <c r="FZ310" s="899"/>
      <c r="GA310"/>
      <c r="GB310"/>
      <c r="GC310"/>
      <c r="GD310"/>
      <c r="GE310"/>
      <c r="GF310"/>
      <c r="GG310"/>
      <c r="GH310"/>
      <c r="GI310"/>
      <c r="GJ310"/>
      <c r="GK310"/>
      <c r="GL310"/>
      <c r="GM310"/>
      <c r="GN310"/>
      <c r="GO310"/>
      <c r="GP310"/>
      <c r="GQ310"/>
      <c r="GR310"/>
      <c r="GS310"/>
      <c r="GT310"/>
      <c r="GU310"/>
      <c r="GV310"/>
      <c r="GW310"/>
      <c r="GX310"/>
      <c r="GY310"/>
      <c r="GZ310"/>
      <c r="HA310"/>
      <c r="HB310"/>
      <c r="HC310"/>
      <c r="HD310"/>
      <c r="HE310"/>
      <c r="HF310"/>
      <c r="HG310"/>
      <c r="HH310"/>
      <c r="HI310"/>
      <c r="HJ310"/>
      <c r="HK310"/>
      <c r="HL310"/>
      <c r="HM310"/>
      <c r="HN310"/>
      <c r="HO310"/>
      <c r="HP310"/>
      <c r="HQ310"/>
      <c r="HR310"/>
      <c r="HS310"/>
      <c r="HT310"/>
      <c r="HU310"/>
      <c r="HV310"/>
      <c r="HW310"/>
      <c r="HX310"/>
      <c r="HY310"/>
      <c r="HZ310"/>
      <c r="IA310"/>
      <c r="IB310"/>
      <c r="IC310"/>
      <c r="ID310"/>
      <c r="IE310"/>
      <c r="IF310"/>
      <c r="IG310"/>
      <c r="IH310"/>
      <c r="II310"/>
      <c r="IJ310"/>
      <c r="IK310"/>
      <c r="IL310"/>
      <c r="IM310"/>
      <c r="IN310"/>
      <c r="IO310"/>
      <c r="IP310"/>
      <c r="IQ310"/>
      <c r="IR310"/>
      <c r="IS310"/>
      <c r="IT310"/>
      <c r="IU310"/>
      <c r="IV310"/>
      <c r="IW310"/>
      <c r="IX310"/>
    </row>
    <row r="311" spans="1:258" s="901" customFormat="1" x14ac:dyDescent="0.2">
      <c r="A311" s="900" t="s">
        <v>184</v>
      </c>
      <c r="F311" s="902"/>
      <c r="K311" s="902"/>
      <c r="P311" s="902"/>
      <c r="U311" s="902"/>
      <c r="Z311" s="902"/>
      <c r="AE311" s="902"/>
      <c r="AJ311" s="902"/>
      <c r="AO311" s="902"/>
      <c r="AT311" s="902">
        <v>1558</v>
      </c>
      <c r="AY311" s="902">
        <v>1000</v>
      </c>
      <c r="BD311" s="902">
        <v>1071</v>
      </c>
      <c r="BI311" s="902">
        <v>710</v>
      </c>
      <c r="BN311" s="902">
        <v>827</v>
      </c>
      <c r="BS311" s="902">
        <v>1127</v>
      </c>
      <c r="BX311" s="902">
        <v>804</v>
      </c>
      <c r="CC311" s="902">
        <v>1446</v>
      </c>
      <c r="CH311" s="902">
        <v>1110</v>
      </c>
      <c r="CM311" s="902">
        <v>2058</v>
      </c>
      <c r="CR311" s="902">
        <v>2184</v>
      </c>
      <c r="CW311" s="902">
        <v>2914</v>
      </c>
      <c r="DB311" s="902">
        <v>2040</v>
      </c>
      <c r="DG311" s="902">
        <v>3246</v>
      </c>
      <c r="DL311" s="902">
        <v>3491</v>
      </c>
      <c r="DQ311" s="902">
        <v>2946</v>
      </c>
      <c r="DR311" s="901">
        <v>731</v>
      </c>
      <c r="DS311" s="901">
        <f>1579-DR311</f>
        <v>848</v>
      </c>
      <c r="DT311" s="901">
        <f>2499-SUM(DR311:DS311)</f>
        <v>920</v>
      </c>
      <c r="DU311" s="901">
        <f>DV311-SUM(DR311:DT311)</f>
        <v>768</v>
      </c>
      <c r="DV311" s="902">
        <v>3267</v>
      </c>
      <c r="DW311" s="901">
        <v>599</v>
      </c>
      <c r="DX311" s="901">
        <f>1445-DW311</f>
        <v>846</v>
      </c>
      <c r="DY311" s="901">
        <f>2302-SUM(DW311:DX311)</f>
        <v>857</v>
      </c>
      <c r="DZ311" s="901">
        <f>EA311-SUM(DW311:DY311)</f>
        <v>1041</v>
      </c>
      <c r="EA311" s="902">
        <v>3343</v>
      </c>
      <c r="EB311" s="901">
        <v>690</v>
      </c>
      <c r="EC311" s="901">
        <f>1582-EB311</f>
        <v>892</v>
      </c>
      <c r="ED311" s="901">
        <f>2512-EC311</f>
        <v>1620</v>
      </c>
      <c r="EE311" s="901">
        <f>EF311-SUM(EB311:ED311)</f>
        <v>168</v>
      </c>
      <c r="EF311" s="902">
        <v>3370</v>
      </c>
      <c r="EG311" s="901">
        <v>754</v>
      </c>
      <c r="EH311" s="901">
        <f>1592-EG311</f>
        <v>838</v>
      </c>
      <c r="EI311" s="901">
        <f>2488-EH311</f>
        <v>1650</v>
      </c>
      <c r="EJ311" s="901">
        <f>EK311-SUM(EG311:EI311)</f>
        <v>-201</v>
      </c>
      <c r="EK311" s="902">
        <v>3041</v>
      </c>
      <c r="EL311" s="901">
        <v>1043</v>
      </c>
      <c r="EM311" s="901">
        <f>1566-EL311</f>
        <v>523</v>
      </c>
      <c r="EN311" s="901">
        <f>2861-EM311</f>
        <v>2338</v>
      </c>
      <c r="EO311" s="901">
        <f>EP311-SUM(EL311:EN311)</f>
        <v>-432</v>
      </c>
      <c r="EP311" s="2024">
        <v>3472</v>
      </c>
      <c r="EU311" s="902">
        <f>EU309+EU307+EU303+EU306+EU310</f>
        <v>4337.015226664219</v>
      </c>
      <c r="EZ311" s="902">
        <f>EZ309+EZ307+EZ303+EZ306+EZ310</f>
        <v>4470.7584254021831</v>
      </c>
      <c r="FE311" s="902">
        <f>FE309+FE307+FE303+FE306+FE310</f>
        <v>4755.002688071052</v>
      </c>
      <c r="FG311" s="899"/>
      <c r="FH311" s="903"/>
      <c r="FI311" s="903"/>
      <c r="FJ311" s="903"/>
      <c r="FK311" s="1328"/>
      <c r="FL311" s="1400"/>
      <c r="FM311"/>
      <c r="FN311"/>
      <c r="FO311"/>
      <c r="FP311"/>
      <c r="FQ311"/>
      <c r="FR311" s="1636"/>
      <c r="FS311" s="1636"/>
      <c r="FT311" s="904"/>
      <c r="FU311" s="1688"/>
      <c r="FV311" s="904"/>
      <c r="FW311" s="904"/>
      <c r="FX311" s="904"/>
      <c r="FY311" s="904"/>
      <c r="FZ311" s="899"/>
      <c r="GA311"/>
      <c r="GB311"/>
      <c r="GC311"/>
      <c r="GD311"/>
      <c r="GE311"/>
      <c r="GF311"/>
      <c r="GG311"/>
      <c r="GH311"/>
      <c r="GI311"/>
      <c r="GJ311"/>
      <c r="GK311"/>
      <c r="GL311"/>
      <c r="GM311"/>
      <c r="GN311"/>
      <c r="GO311"/>
      <c r="GP311"/>
      <c r="GQ311"/>
      <c r="GR311"/>
      <c r="GS311"/>
      <c r="GT311"/>
      <c r="GU311"/>
      <c r="GV311"/>
      <c r="GW311"/>
      <c r="GX311"/>
      <c r="GY311"/>
      <c r="GZ311"/>
      <c r="HA311"/>
      <c r="HB311"/>
      <c r="HC311"/>
      <c r="HD311"/>
      <c r="HE311"/>
      <c r="HF311"/>
      <c r="HG311"/>
      <c r="HH311"/>
      <c r="HI311"/>
      <c r="HJ311"/>
      <c r="HK311"/>
      <c r="HL311"/>
      <c r="HM311"/>
      <c r="HN311"/>
      <c r="HO311"/>
      <c r="HP311"/>
      <c r="HQ311"/>
      <c r="HR311"/>
      <c r="HS311"/>
      <c r="HT311"/>
      <c r="HU311"/>
      <c r="HV311"/>
      <c r="HW311"/>
      <c r="HX311"/>
      <c r="HY311"/>
      <c r="HZ311"/>
      <c r="IA311"/>
      <c r="IB311"/>
      <c r="IC311"/>
      <c r="ID311"/>
      <c r="IE311"/>
      <c r="IF311"/>
      <c r="IG311"/>
      <c r="IH311"/>
      <c r="II311"/>
      <c r="IJ311"/>
      <c r="IK311"/>
      <c r="IL311"/>
      <c r="IM311"/>
      <c r="IN311"/>
      <c r="IO311"/>
      <c r="IP311"/>
      <c r="IQ311"/>
      <c r="IR311"/>
      <c r="IS311"/>
      <c r="IT311"/>
      <c r="IU311"/>
      <c r="IV311"/>
      <c r="IW311"/>
      <c r="IX311"/>
    </row>
    <row r="312" spans="1:258" s="430" customFormat="1" ht="12.6" customHeight="1" x14ac:dyDescent="0.2">
      <c r="A312" s="426" t="s">
        <v>185</v>
      </c>
      <c r="B312" s="427"/>
      <c r="C312" s="427"/>
      <c r="D312" s="427"/>
      <c r="E312" s="427"/>
      <c r="F312" s="428"/>
      <c r="G312" s="427"/>
      <c r="H312" s="427"/>
      <c r="I312" s="427"/>
      <c r="J312" s="427"/>
      <c r="K312" s="428"/>
      <c r="L312" s="427"/>
      <c r="M312" s="427"/>
      <c r="N312" s="427"/>
      <c r="O312" s="427"/>
      <c r="P312" s="428"/>
      <c r="Q312" s="427"/>
      <c r="R312" s="427"/>
      <c r="S312" s="427"/>
      <c r="T312" s="427"/>
      <c r="U312" s="428"/>
      <c r="V312" s="427"/>
      <c r="W312" s="427"/>
      <c r="X312" s="427"/>
      <c r="Y312" s="427"/>
      <c r="Z312" s="428"/>
      <c r="AA312" s="427"/>
      <c r="AB312" s="427"/>
      <c r="AC312" s="427"/>
      <c r="AD312" s="427"/>
      <c r="AE312" s="428"/>
      <c r="AF312" s="427"/>
      <c r="AG312" s="427"/>
      <c r="AH312" s="427"/>
      <c r="AI312" s="427"/>
      <c r="AJ312" s="428"/>
      <c r="AK312" s="427"/>
      <c r="AL312" s="427"/>
      <c r="AM312" s="427"/>
      <c r="AN312" s="427"/>
      <c r="AO312" s="428"/>
      <c r="AP312" s="427"/>
      <c r="AQ312" s="427"/>
      <c r="AR312" s="427"/>
      <c r="AS312" s="427"/>
      <c r="AT312" s="428"/>
      <c r="AU312" s="427"/>
      <c r="AV312" s="427"/>
      <c r="AW312" s="427"/>
      <c r="AX312" s="427"/>
      <c r="AY312" s="428"/>
      <c r="AZ312" s="427"/>
      <c r="BA312" s="427"/>
      <c r="BB312" s="427"/>
      <c r="BC312" s="427"/>
      <c r="BD312" s="428"/>
      <c r="BE312" s="427"/>
      <c r="BF312" s="427"/>
      <c r="BG312" s="427"/>
      <c r="BH312" s="427"/>
      <c r="BI312" s="428"/>
      <c r="BJ312" s="427"/>
      <c r="BK312" s="427"/>
      <c r="BL312" s="427"/>
      <c r="BM312" s="427"/>
      <c r="BN312" s="428"/>
      <c r="BO312" s="427"/>
      <c r="BP312" s="427"/>
      <c r="BQ312" s="427"/>
      <c r="BR312" s="427"/>
      <c r="BS312" s="428"/>
      <c r="BT312" s="427"/>
      <c r="BU312" s="427"/>
      <c r="BV312" s="427"/>
      <c r="BW312" s="427"/>
      <c r="BX312" s="428"/>
      <c r="BY312" s="427"/>
      <c r="BZ312" s="427"/>
      <c r="CA312" s="427"/>
      <c r="CB312" s="427"/>
      <c r="CC312" s="428"/>
      <c r="CD312" s="427"/>
      <c r="CE312" s="427"/>
      <c r="CF312" s="427"/>
      <c r="CG312" s="427"/>
      <c r="CH312" s="428"/>
      <c r="CI312" s="427"/>
      <c r="CJ312" s="427"/>
      <c r="CK312" s="427"/>
      <c r="CL312" s="427"/>
      <c r="CM312" s="428"/>
      <c r="CN312" s="427"/>
      <c r="CO312" s="427"/>
      <c r="CP312" s="427"/>
      <c r="CQ312" s="427"/>
      <c r="CR312" s="428"/>
      <c r="CS312" s="427"/>
      <c r="CT312" s="427"/>
      <c r="CU312" s="427"/>
      <c r="CV312" s="427"/>
      <c r="CW312" s="428"/>
      <c r="CX312" s="427"/>
      <c r="CY312" s="427"/>
      <c r="CZ312" s="427"/>
      <c r="DA312" s="427"/>
      <c r="DB312" s="428"/>
      <c r="DC312" s="427"/>
      <c r="DD312" s="427"/>
      <c r="DE312" s="427"/>
      <c r="DF312" s="427"/>
      <c r="DG312" s="428"/>
      <c r="DH312" s="427"/>
      <c r="DI312" s="427"/>
      <c r="DJ312" s="427"/>
      <c r="DK312" s="427"/>
      <c r="DL312" s="428"/>
      <c r="DM312" s="427"/>
      <c r="DN312" s="427"/>
      <c r="DO312" s="427"/>
      <c r="DP312" s="427"/>
      <c r="DQ312" s="428"/>
      <c r="DR312" s="427"/>
      <c r="DS312" s="427"/>
      <c r="DT312" s="427"/>
      <c r="DU312" s="427"/>
      <c r="DV312" s="428"/>
      <c r="DW312" s="427"/>
      <c r="DX312" s="429"/>
      <c r="DY312" s="429"/>
      <c r="DZ312" s="427"/>
      <c r="EA312" s="428"/>
      <c r="EB312" s="427"/>
      <c r="EC312" s="429"/>
      <c r="ED312" s="429"/>
      <c r="EE312" s="427"/>
      <c r="EF312" s="428"/>
      <c r="EG312" s="427"/>
      <c r="EH312" s="429"/>
      <c r="EI312" s="429"/>
      <c r="EJ312" s="427"/>
      <c r="EK312" s="428"/>
      <c r="EL312" s="427"/>
      <c r="EM312" s="429"/>
      <c r="EN312" s="429"/>
      <c r="EO312" s="427"/>
      <c r="EP312" s="2025"/>
      <c r="EQ312" s="429"/>
      <c r="ER312" s="429"/>
      <c r="ES312" s="429"/>
      <c r="ET312" s="429"/>
      <c r="EU312" s="428"/>
      <c r="EV312" s="429"/>
      <c r="EW312" s="429"/>
      <c r="EX312" s="429"/>
      <c r="EY312" s="429"/>
      <c r="EZ312" s="428"/>
      <c r="FA312" s="429"/>
      <c r="FB312" s="429"/>
      <c r="FC312" s="429"/>
      <c r="FD312" s="429"/>
      <c r="FE312" s="428"/>
      <c r="FG312" s="494"/>
      <c r="FH312" s="827"/>
      <c r="FI312" s="827"/>
      <c r="FJ312" s="827"/>
      <c r="FL312" s="1395"/>
      <c r="FM312"/>
      <c r="FN312"/>
      <c r="FO312"/>
      <c r="FP312"/>
      <c r="FQ312"/>
      <c r="FR312" s="1635"/>
      <c r="FS312" s="1634"/>
      <c r="FT312" s="456"/>
      <c r="FU312" s="456"/>
      <c r="FV312" s="456"/>
      <c r="FW312" s="456"/>
      <c r="FX312" s="456"/>
      <c r="FY312" s="456"/>
      <c r="FZ312" s="494"/>
      <c r="GA312"/>
      <c r="GB312"/>
      <c r="GC312"/>
      <c r="GD312"/>
      <c r="GE312"/>
      <c r="GF312"/>
      <c r="GG312"/>
      <c r="GH312"/>
      <c r="GI312"/>
      <c r="GJ312"/>
      <c r="GK312"/>
      <c r="GL312"/>
      <c r="GM312"/>
      <c r="GN312"/>
      <c r="GO312"/>
      <c r="GP312"/>
      <c r="GQ312"/>
      <c r="GR312"/>
      <c r="GS312"/>
      <c r="GT312"/>
      <c r="GU312"/>
      <c r="GV312"/>
      <c r="GW312"/>
      <c r="GX312"/>
      <c r="GY312"/>
      <c r="GZ312"/>
      <c r="HA312"/>
      <c r="HB312"/>
      <c r="HC312"/>
      <c r="HD312"/>
      <c r="HE312"/>
      <c r="HF312"/>
      <c r="HG312"/>
      <c r="HH312"/>
      <c r="HI312"/>
      <c r="HJ312"/>
      <c r="HK312"/>
      <c r="HL312"/>
      <c r="HM312"/>
      <c r="HN312"/>
      <c r="HO312"/>
      <c r="HP312"/>
      <c r="HQ312"/>
      <c r="HR312"/>
      <c r="HS312"/>
      <c r="HT312"/>
      <c r="HU312"/>
      <c r="HV312"/>
      <c r="HW312"/>
      <c r="HX312"/>
      <c r="HY312"/>
      <c r="HZ312"/>
      <c r="IA312"/>
      <c r="IB312"/>
      <c r="IC312"/>
      <c r="ID312"/>
      <c r="IE312"/>
      <c r="IF312"/>
      <c r="IG312"/>
      <c r="IH312"/>
      <c r="II312"/>
      <c r="IJ312"/>
      <c r="IK312"/>
      <c r="IL312"/>
      <c r="IM312"/>
      <c r="IN312"/>
      <c r="IO312"/>
      <c r="IP312"/>
      <c r="IQ312"/>
      <c r="IR312"/>
      <c r="IS312"/>
      <c r="IT312"/>
      <c r="IU312"/>
      <c r="IV312"/>
      <c r="IW312"/>
      <c r="IX312"/>
    </row>
    <row r="313" spans="1:258" s="314" customFormat="1" x14ac:dyDescent="0.2">
      <c r="A313" s="621" t="s">
        <v>401</v>
      </c>
      <c r="B313" s="157"/>
      <c r="C313" s="157"/>
      <c r="D313" s="157"/>
      <c r="E313" s="157"/>
      <c r="F313" s="156"/>
      <c r="G313" s="157"/>
      <c r="H313" s="157"/>
      <c r="I313" s="157"/>
      <c r="J313" s="157"/>
      <c r="K313" s="156"/>
      <c r="L313" s="157"/>
      <c r="M313" s="157"/>
      <c r="N313" s="157"/>
      <c r="O313" s="157"/>
      <c r="P313" s="156"/>
      <c r="Q313" s="157"/>
      <c r="R313" s="157"/>
      <c r="S313" s="157"/>
      <c r="T313" s="157"/>
      <c r="U313" s="156"/>
      <c r="V313" s="157"/>
      <c r="W313" s="157"/>
      <c r="X313" s="157"/>
      <c r="Y313" s="157"/>
      <c r="Z313" s="156"/>
      <c r="AA313" s="157"/>
      <c r="AB313" s="157"/>
      <c r="AC313" s="157"/>
      <c r="AD313" s="157"/>
      <c r="AE313" s="156"/>
      <c r="AF313" s="157"/>
      <c r="AG313" s="157"/>
      <c r="AH313" s="157"/>
      <c r="AI313" s="157"/>
      <c r="AJ313" s="156"/>
      <c r="AK313" s="157"/>
      <c r="AL313" s="157"/>
      <c r="AM313" s="157"/>
      <c r="AN313" s="157"/>
      <c r="AO313" s="156"/>
      <c r="AP313" s="157"/>
      <c r="AQ313" s="157"/>
      <c r="AR313" s="157"/>
      <c r="AS313" s="157"/>
      <c r="AT313" s="156">
        <v>-1125</v>
      </c>
      <c r="AU313" s="157"/>
      <c r="AV313" s="157"/>
      <c r="AW313" s="157"/>
      <c r="AX313" s="157"/>
      <c r="AY313" s="156">
        <v>-1479</v>
      </c>
      <c r="AZ313" s="157"/>
      <c r="BA313" s="157"/>
      <c r="BB313" s="157"/>
      <c r="BC313" s="157"/>
      <c r="BD313" s="156">
        <v>-1517</v>
      </c>
      <c r="BE313" s="157"/>
      <c r="BF313" s="157"/>
      <c r="BG313" s="157"/>
      <c r="BH313" s="157"/>
      <c r="BI313" s="156">
        <v>-913</v>
      </c>
      <c r="BJ313" s="157"/>
      <c r="BK313" s="157"/>
      <c r="BL313" s="157"/>
      <c r="BM313" s="157"/>
      <c r="BN313" s="156">
        <v>-930</v>
      </c>
      <c r="BO313" s="157"/>
      <c r="BP313" s="157"/>
      <c r="BQ313" s="157"/>
      <c r="BR313" s="157"/>
      <c r="BS313" s="156">
        <v>-1080</v>
      </c>
      <c r="BT313" s="157"/>
      <c r="BU313" s="157"/>
      <c r="BV313" s="157"/>
      <c r="BW313" s="157"/>
      <c r="BX313" s="156">
        <v>-1059</v>
      </c>
      <c r="BY313" s="157"/>
      <c r="BZ313" s="157"/>
      <c r="CA313" s="157"/>
      <c r="CB313" s="157"/>
      <c r="CC313" s="156">
        <v>-1030</v>
      </c>
      <c r="CD313" s="157"/>
      <c r="CE313" s="157"/>
      <c r="CF313" s="157"/>
      <c r="CG313" s="157"/>
      <c r="CH313" s="156">
        <v>-1136</v>
      </c>
      <c r="CI313" s="157"/>
      <c r="CJ313" s="157"/>
      <c r="CK313" s="157"/>
      <c r="CL313" s="157"/>
      <c r="CM313" s="156">
        <v>-1639</v>
      </c>
      <c r="CN313" s="157"/>
      <c r="CO313" s="157"/>
      <c r="CP313" s="157"/>
      <c r="CQ313" s="157"/>
      <c r="CR313" s="156">
        <v>-1773</v>
      </c>
      <c r="CS313" s="157"/>
      <c r="CT313" s="157"/>
      <c r="CU313" s="157"/>
      <c r="CV313" s="157"/>
      <c r="CW313" s="156">
        <v>-1740</v>
      </c>
      <c r="CX313" s="157"/>
      <c r="CY313" s="157"/>
      <c r="CZ313" s="157"/>
      <c r="DA313" s="157"/>
      <c r="DB313" s="156">
        <v>-1427</v>
      </c>
      <c r="DC313" s="157"/>
      <c r="DD313" s="157"/>
      <c r="DE313" s="157"/>
      <c r="DF313" s="157"/>
      <c r="DG313" s="156">
        <v>-1825</v>
      </c>
      <c r="DH313" s="157"/>
      <c r="DI313" s="157"/>
      <c r="DJ313" s="157"/>
      <c r="DK313" s="157"/>
      <c r="DL313" s="156">
        <v>-2297</v>
      </c>
      <c r="DM313" s="157"/>
      <c r="DN313" s="157"/>
      <c r="DO313" s="157"/>
      <c r="DP313" s="157"/>
      <c r="DQ313" s="156">
        <v>-2341</v>
      </c>
      <c r="DR313" s="157">
        <v>-491</v>
      </c>
      <c r="DS313" s="157">
        <f>+-1085-DR313</f>
        <v>-594</v>
      </c>
      <c r="DT313" s="157">
        <f>+-1687-SUM(DR313:DS313)</f>
        <v>-602</v>
      </c>
      <c r="DU313" s="157">
        <f>DV313-SUM(DR313:DT313)</f>
        <v>-626</v>
      </c>
      <c r="DV313" s="156">
        <v>-2313</v>
      </c>
      <c r="DW313" s="157">
        <v>-475</v>
      </c>
      <c r="DX313" s="157">
        <f>+-956-DW313</f>
        <v>-481</v>
      </c>
      <c r="DY313" s="157">
        <f>+-1557-SUM(DW313:DX313)</f>
        <v>-601</v>
      </c>
      <c r="DZ313" s="157">
        <f>EA313-SUM(DW313:DY313)</f>
        <v>-892</v>
      </c>
      <c r="EA313" s="156">
        <v>-2449</v>
      </c>
      <c r="EB313" s="157">
        <v>-598</v>
      </c>
      <c r="EC313" s="157">
        <f>+-1288-EB313</f>
        <v>-690</v>
      </c>
      <c r="ED313" s="157">
        <f>+-1909-EC313</f>
        <v>-1219</v>
      </c>
      <c r="EE313" s="157">
        <f>EF313-SUM(EB313:ED313)</f>
        <v>-55</v>
      </c>
      <c r="EF313" s="156">
        <v>-2562</v>
      </c>
      <c r="EG313" s="157">
        <v>-425</v>
      </c>
      <c r="EH313" s="157">
        <f>+-1066-EG313</f>
        <v>-641</v>
      </c>
      <c r="EI313" s="157">
        <f>+-1590-EH313</f>
        <v>-949</v>
      </c>
      <c r="EJ313" s="157">
        <f>EK313-SUM(EG313:EI313)</f>
        <v>-383</v>
      </c>
      <c r="EK313" s="156">
        <v>-2398</v>
      </c>
      <c r="EL313" s="157">
        <v>-441</v>
      </c>
      <c r="EM313" s="157">
        <f>+-955-EL313</f>
        <v>-514</v>
      </c>
      <c r="EN313" s="157">
        <f>+-1462-EM313</f>
        <v>-948</v>
      </c>
      <c r="EO313" s="157">
        <f>EP313-SUM(EL313:EN313)</f>
        <v>-137</v>
      </c>
      <c r="EP313" s="2023">
        <v>-2040</v>
      </c>
      <c r="EQ313" s="157"/>
      <c r="ER313" s="157"/>
      <c r="ES313" s="157"/>
      <c r="ET313" s="157"/>
      <c r="EU313" s="1016">
        <f>-EU314*EU238</f>
        <v>-1634.0729751656606</v>
      </c>
      <c r="EV313" s="923"/>
      <c r="EW313" s="923"/>
      <c r="EX313" s="923"/>
      <c r="EY313" s="923"/>
      <c r="EZ313" s="1016">
        <f>-EZ314*EZ238</f>
        <v>-1633.8725583648193</v>
      </c>
      <c r="FA313" s="923"/>
      <c r="FB313" s="923"/>
      <c r="FC313" s="923"/>
      <c r="FD313" s="923"/>
      <c r="FE313" s="1016">
        <f>-FE314*FE238</f>
        <v>-1627.2127171743939</v>
      </c>
      <c r="FG313" s="899"/>
      <c r="FH313" s="836"/>
      <c r="FI313" s="836"/>
      <c r="FJ313" s="836"/>
      <c r="FK313" s="1327"/>
      <c r="FL313" s="1405"/>
      <c r="FM313" s="1150"/>
      <c r="FN313" s="1150"/>
      <c r="FO313" s="1150"/>
      <c r="FP313" s="1150"/>
      <c r="FQ313" s="1150"/>
      <c r="FR313" s="1698" t="s">
        <v>816</v>
      </c>
      <c r="FS313" s="1635"/>
      <c r="FT313" s="719"/>
      <c r="FU313" s="719"/>
      <c r="FV313" s="719"/>
      <c r="FW313" s="719"/>
      <c r="FX313" s="719"/>
      <c r="FY313" s="719"/>
      <c r="FZ313" s="899"/>
      <c r="GA313"/>
      <c r="GB313"/>
      <c r="GC313"/>
      <c r="GD313"/>
      <c r="GE313"/>
      <c r="GF313"/>
      <c r="GG313"/>
      <c r="GH313"/>
      <c r="GI313"/>
      <c r="GJ313"/>
      <c r="GK313"/>
      <c r="GL313"/>
      <c r="GM313"/>
      <c r="GN313"/>
      <c r="GO313"/>
      <c r="GP313"/>
      <c r="GQ313"/>
      <c r="GR313"/>
      <c r="GS313"/>
      <c r="GT313"/>
      <c r="GU313"/>
      <c r="GV313"/>
      <c r="GW313"/>
      <c r="GX313"/>
      <c r="GY313"/>
      <c r="GZ313"/>
      <c r="HA313"/>
      <c r="HB313"/>
      <c r="HC313"/>
      <c r="HD313"/>
      <c r="HE313"/>
      <c r="HF313"/>
      <c r="HG313"/>
      <c r="HH313"/>
      <c r="HI313"/>
      <c r="HJ313"/>
      <c r="HK313"/>
      <c r="HL313"/>
      <c r="HM313"/>
      <c r="HN313"/>
      <c r="HO313"/>
      <c r="HP313"/>
      <c r="HQ313"/>
      <c r="HR313"/>
      <c r="HS313"/>
      <c r="HT313"/>
      <c r="HU313"/>
      <c r="HV313"/>
      <c r="HW313"/>
      <c r="HX313"/>
      <c r="HY313"/>
      <c r="HZ313"/>
      <c r="IA313"/>
      <c r="IB313"/>
      <c r="IC313"/>
      <c r="ID313"/>
      <c r="IE313"/>
      <c r="IF313"/>
      <c r="IG313"/>
      <c r="IH313"/>
      <c r="II313"/>
      <c r="IJ313"/>
      <c r="IK313"/>
      <c r="IL313"/>
      <c r="IM313"/>
      <c r="IN313"/>
      <c r="IO313"/>
      <c r="IP313"/>
      <c r="IQ313"/>
      <c r="IR313"/>
      <c r="IS313"/>
      <c r="IT313"/>
      <c r="IU313"/>
      <c r="IV313"/>
      <c r="IW313"/>
      <c r="IX313"/>
    </row>
    <row r="314" spans="1:258" s="271" customFormat="1" ht="12.6" customHeight="1" x14ac:dyDescent="0.2">
      <c r="A314" s="565" t="s">
        <v>18</v>
      </c>
      <c r="B314" s="144"/>
      <c r="C314" s="144"/>
      <c r="D314" s="144"/>
      <c r="E314" s="144"/>
      <c r="F314" s="4"/>
      <c r="G314" s="144"/>
      <c r="H314" s="144"/>
      <c r="I314" s="144"/>
      <c r="J314" s="144"/>
      <c r="K314" s="4"/>
      <c r="L314" s="144"/>
      <c r="M314" s="144"/>
      <c r="N314" s="144"/>
      <c r="O314" s="144"/>
      <c r="P314" s="4"/>
      <c r="Q314" s="144"/>
      <c r="R314" s="144"/>
      <c r="S314" s="144"/>
      <c r="T314" s="144"/>
      <c r="U314" s="4"/>
      <c r="V314" s="144"/>
      <c r="W314" s="144"/>
      <c r="X314" s="144"/>
      <c r="Y314" s="144"/>
      <c r="Z314" s="4"/>
      <c r="AA314" s="144"/>
      <c r="AB314" s="144"/>
      <c r="AC314" s="144"/>
      <c r="AD314" s="144"/>
      <c r="AE314" s="4"/>
      <c r="AF314" s="144"/>
      <c r="AG314" s="144"/>
      <c r="AH314" s="144"/>
      <c r="AI314" s="144"/>
      <c r="AJ314" s="4"/>
      <c r="AK314" s="144"/>
      <c r="AL314" s="144"/>
      <c r="AM314" s="144"/>
      <c r="AN314" s="144"/>
      <c r="AO314" s="4"/>
      <c r="AP314" s="144"/>
      <c r="AQ314" s="144"/>
      <c r="AR314" s="144"/>
      <c r="AS314" s="144"/>
      <c r="AT314" s="4">
        <f>-AT313/Model!AT$238</f>
        <v>0.11247075760302323</v>
      </c>
      <c r="AU314" s="144"/>
      <c r="AV314" s="144"/>
      <c r="AW314" s="144"/>
      <c r="AX314" s="144"/>
      <c r="AY314" s="4">
        <f>-AY313/Model!AY$238</f>
        <v>0.14925825007568877</v>
      </c>
      <c r="AZ314" s="144"/>
      <c r="BA314" s="144"/>
      <c r="BB314" s="144"/>
      <c r="BC314" s="144"/>
      <c r="BD314" s="4">
        <f>-BD313/Model!BD$238</f>
        <v>0.14032004439922302</v>
      </c>
      <c r="BE314" s="144"/>
      <c r="BF314" s="144"/>
      <c r="BG314" s="144"/>
      <c r="BH314" s="144"/>
      <c r="BI314" s="4">
        <f>-BI313/Model!BI$238</f>
        <v>0.12605274057710894</v>
      </c>
      <c r="BJ314" s="144"/>
      <c r="BK314" s="144"/>
      <c r="BL314" s="144"/>
      <c r="BM314" s="144"/>
      <c r="BN314" s="4">
        <f>-BN313/Model!BN$238</f>
        <v>0.12927439532944121</v>
      </c>
      <c r="BO314" s="144"/>
      <c r="BP314" s="144"/>
      <c r="BQ314" s="144"/>
      <c r="BR314" s="144"/>
      <c r="BS314" s="4">
        <f>-BS313/Model!BS$238</f>
        <v>0.15035500487261591</v>
      </c>
      <c r="BT314" s="144"/>
      <c r="BU314" s="144"/>
      <c r="BV314" s="144"/>
      <c r="BW314" s="144"/>
      <c r="BX314" s="4">
        <f>-BX313/Model!BX$238</f>
        <v>0.14224311618535931</v>
      </c>
      <c r="BY314" s="144"/>
      <c r="BZ314" s="144"/>
      <c r="CA314" s="144"/>
      <c r="CB314" s="144"/>
      <c r="CC314" s="4">
        <f>-CC313/Model!CC$238</f>
        <v>0.12812538872994153</v>
      </c>
      <c r="CD314" s="144"/>
      <c r="CE314" s="144"/>
      <c r="CF314" s="144"/>
      <c r="CG314" s="144"/>
      <c r="CH314" s="4">
        <f>-CH313/Model!CH$238</f>
        <v>0.13207766538774562</v>
      </c>
      <c r="CI314" s="144"/>
      <c r="CJ314" s="144"/>
      <c r="CK314" s="144"/>
      <c r="CL314" s="144"/>
      <c r="CM314" s="4">
        <f>-CM313/Model!CM$238</f>
        <v>0.17133598160150534</v>
      </c>
      <c r="CN314" s="144"/>
      <c r="CO314" s="144"/>
      <c r="CP314" s="144"/>
      <c r="CQ314" s="144"/>
      <c r="CR314" s="4">
        <f>-CR313/Model!CR$238</f>
        <v>0.17676969092721834</v>
      </c>
      <c r="CS314" s="144"/>
      <c r="CT314" s="144"/>
      <c r="CU314" s="144"/>
      <c r="CV314" s="144"/>
      <c r="CW314" s="4">
        <f>-CW313/Model!CW$238</f>
        <v>0.15459795646379387</v>
      </c>
      <c r="CX314" s="144"/>
      <c r="CY314" s="144"/>
      <c r="CZ314" s="144"/>
      <c r="DA314" s="144"/>
      <c r="DB314" s="4">
        <f>-DB313/Model!DB$238</f>
        <v>0.15783652250857205</v>
      </c>
      <c r="DC314" s="144"/>
      <c r="DD314" s="144"/>
      <c r="DE314" s="144"/>
      <c r="DF314" s="144"/>
      <c r="DG314" s="4">
        <f>-DG313/Model!DG$238</f>
        <v>0.17158706280556602</v>
      </c>
      <c r="DH314" s="144"/>
      <c r="DI314" s="144"/>
      <c r="DJ314" s="144"/>
      <c r="DK314" s="144"/>
      <c r="DL314" s="4">
        <f>-DL313/Model!DL$238</f>
        <v>0.19474353539635439</v>
      </c>
      <c r="DM314" s="144"/>
      <c r="DN314" s="144"/>
      <c r="DO314" s="144"/>
      <c r="DP314" s="144"/>
      <c r="DQ314" s="4">
        <f>-DQ313/Model!DQ$238</f>
        <v>0.19901385700926635</v>
      </c>
      <c r="DR314" s="144">
        <f>-DR313/Model!DR$238</f>
        <v>0.16751961787785738</v>
      </c>
      <c r="DS314" s="144">
        <f>-DS313/Model!DS$238</f>
        <v>0.19603960396039605</v>
      </c>
      <c r="DT314" s="144">
        <f>-DT313/Model!DT$238</f>
        <v>0.20518064076346285</v>
      </c>
      <c r="DU314" s="144">
        <f>-DU313/Model!DU$238</f>
        <v>0.20646437994722955</v>
      </c>
      <c r="DV314" s="4">
        <f>-DV313/Model!DV$238</f>
        <v>0.19392973924708645</v>
      </c>
      <c r="DW314" s="144">
        <f>-DW313/Model!DW$238</f>
        <v>0.16063577950625635</v>
      </c>
      <c r="DX314" s="144">
        <f>-DX313/Model!DX$238</f>
        <v>0.14877822455923292</v>
      </c>
      <c r="DY314" s="144">
        <f>-DY313/Model!DY$238</f>
        <v>0.1875780274656679</v>
      </c>
      <c r="DZ314" s="144">
        <f>-DZ313/Model!DZ$238</f>
        <v>0.2794421274757769</v>
      </c>
      <c r="EA314" s="4">
        <f>-EA313/Model!EA$238</f>
        <v>0.19458013395755172</v>
      </c>
      <c r="EB314" s="144">
        <f>-EB313/Model!EB$238</f>
        <v>0.20278060359443878</v>
      </c>
      <c r="EC314" s="144">
        <f>-EC313/Model!EC$238</f>
        <v>0.22660098522167488</v>
      </c>
      <c r="ED314" s="144">
        <f>-ED313/Model!ED$238</f>
        <v>0.41476692752636951</v>
      </c>
      <c r="EE314" s="144">
        <f>-EE313/Model!EE$238</f>
        <v>1.9777058612010068E-2</v>
      </c>
      <c r="EF314" s="4">
        <f>-EF313/Model!EF$238</f>
        <v>0.21871265152808606</v>
      </c>
      <c r="EG314" s="144">
        <f>-EG313/Model!EG$238</f>
        <v>0.16233766233766234</v>
      </c>
      <c r="EH314" s="144">
        <f>-EH313/Model!EH$238</f>
        <v>0.23705621301775148</v>
      </c>
      <c r="EI314" s="144">
        <f>-EI313/Model!EI$238</f>
        <v>0.35018450184501843</v>
      </c>
      <c r="EJ314" s="144">
        <f>-EJ313/Model!EJ$238</f>
        <v>0.12611129404017121</v>
      </c>
      <c r="EK314" s="4">
        <f>-EK313/Model!EK$238</f>
        <v>0.2166410696539886</v>
      </c>
      <c r="EL314" s="144">
        <f>-EL313/Model!EL$238</f>
        <v>0.15371209480655282</v>
      </c>
      <c r="EM314" s="144">
        <f>-EM313/Model!EM$238</f>
        <v>0.17524718718036139</v>
      </c>
      <c r="EN314" s="144">
        <f>-EN313/Model!EN$238</f>
        <v>0.34560699963543567</v>
      </c>
      <c r="EO314" s="144">
        <f>-EO313/Model!EO$238</f>
        <v>4.7851903597624867E-2</v>
      </c>
      <c r="EP314" s="4">
        <f>-EP313/Model!EP$238</f>
        <v>0.17882187938288921</v>
      </c>
      <c r="EQ314" s="145"/>
      <c r="ER314" s="145"/>
      <c r="ES314" s="145"/>
      <c r="ET314" s="145"/>
      <c r="EU314" s="16">
        <v>0.14000000000000001</v>
      </c>
      <c r="EV314" s="145"/>
      <c r="EW314" s="145"/>
      <c r="EX314" s="145"/>
      <c r="EY314" s="145"/>
      <c r="EZ314" s="16">
        <v>0.13700000000000001</v>
      </c>
      <c r="FA314" s="16">
        <f t="shared" ref="FA314:FD314" si="1457">+EV314</f>
        <v>0</v>
      </c>
      <c r="FB314" s="16">
        <f t="shared" si="1457"/>
        <v>0</v>
      </c>
      <c r="FC314" s="16">
        <f t="shared" si="1457"/>
        <v>0</v>
      </c>
      <c r="FD314" s="16">
        <f t="shared" si="1457"/>
        <v>0</v>
      </c>
      <c r="FE314" s="16">
        <v>0.13300000000000001</v>
      </c>
      <c r="FG314" s="494"/>
      <c r="FH314" s="821"/>
      <c r="FI314" s="821"/>
      <c r="FJ314" s="821"/>
      <c r="FL314" s="1390"/>
      <c r="FM314"/>
      <c r="FN314"/>
      <c r="FO314"/>
      <c r="FP314"/>
      <c r="FQ314"/>
      <c r="FR314" s="1629"/>
      <c r="FS314" s="1615" t="s">
        <v>803</v>
      </c>
      <c r="FT314" s="453"/>
      <c r="FU314" s="453"/>
      <c r="FV314" s="453"/>
      <c r="FW314" s="453"/>
      <c r="FX314" s="453"/>
      <c r="FY314" s="453"/>
      <c r="FZ314" s="494"/>
      <c r="GA314"/>
      <c r="GB314"/>
      <c r="GC314"/>
      <c r="GD314"/>
      <c r="GE314"/>
      <c r="GF314"/>
      <c r="GG314"/>
      <c r="GH314"/>
      <c r="GI314"/>
      <c r="GJ314"/>
      <c r="GK314"/>
      <c r="GL314"/>
      <c r="GM314"/>
      <c r="GN314"/>
      <c r="GO314"/>
      <c r="GP314"/>
      <c r="GQ314"/>
      <c r="GR314"/>
      <c r="GS314"/>
      <c r="GT314"/>
      <c r="GU314"/>
      <c r="GV314"/>
      <c r="GW314"/>
      <c r="GX314"/>
      <c r="GY314"/>
      <c r="GZ314"/>
      <c r="HA314"/>
      <c r="HB314"/>
      <c r="HC314"/>
      <c r="HD314"/>
      <c r="HE314"/>
      <c r="HF314"/>
      <c r="HG314"/>
      <c r="HH314"/>
      <c r="HI314"/>
      <c r="HJ314"/>
      <c r="HK314"/>
      <c r="HL314"/>
      <c r="HM314"/>
      <c r="HN314"/>
      <c r="HO314"/>
      <c r="HP314"/>
      <c r="HQ314"/>
      <c r="HR314"/>
      <c r="HS314"/>
      <c r="HT314"/>
      <c r="HU314"/>
      <c r="HV314"/>
      <c r="HW314"/>
      <c r="HX314"/>
      <c r="HY314"/>
      <c r="HZ314"/>
      <c r="IA314"/>
      <c r="IB314"/>
      <c r="IC314"/>
      <c r="ID314"/>
      <c r="IE314"/>
      <c r="IF314"/>
      <c r="IG314"/>
      <c r="IH314"/>
      <c r="II314"/>
      <c r="IJ314"/>
      <c r="IK314"/>
      <c r="IL314"/>
      <c r="IM314"/>
      <c r="IN314"/>
      <c r="IO314"/>
      <c r="IP314"/>
      <c r="IQ314"/>
      <c r="IR314"/>
      <c r="IS314"/>
      <c r="IT314"/>
      <c r="IU314"/>
      <c r="IV314"/>
      <c r="IW314"/>
      <c r="IX314"/>
    </row>
    <row r="315" spans="1:258" s="150" customFormat="1" x14ac:dyDescent="0.2">
      <c r="A315" s="147" t="s">
        <v>412</v>
      </c>
      <c r="B315" s="148"/>
      <c r="C315" s="148"/>
      <c r="D315" s="148"/>
      <c r="E315" s="148"/>
      <c r="F315" s="149"/>
      <c r="G315" s="148"/>
      <c r="H315" s="148"/>
      <c r="I315" s="148"/>
      <c r="J315" s="148"/>
      <c r="K315" s="149"/>
      <c r="L315" s="148"/>
      <c r="M315" s="148"/>
      <c r="N315" s="148"/>
      <c r="O315" s="148"/>
      <c r="P315" s="149"/>
      <c r="Q315" s="148"/>
      <c r="R315" s="148"/>
      <c r="S315" s="148"/>
      <c r="T315" s="148"/>
      <c r="U315" s="149"/>
      <c r="V315" s="148"/>
      <c r="W315" s="148"/>
      <c r="X315" s="148"/>
      <c r="Y315" s="148"/>
      <c r="Z315" s="149"/>
      <c r="AA315" s="148"/>
      <c r="AB315" s="148"/>
      <c r="AC315" s="148"/>
      <c r="AD315" s="148"/>
      <c r="AE315" s="149"/>
      <c r="AF315" s="148"/>
      <c r="AG315" s="148"/>
      <c r="AH315" s="148"/>
      <c r="AI315" s="148"/>
      <c r="AJ315" s="149"/>
      <c r="AK315" s="148"/>
      <c r="AL315" s="148"/>
      <c r="AM315" s="148"/>
      <c r="AN315" s="148"/>
      <c r="AO315" s="149"/>
      <c r="AP315" s="148"/>
      <c r="AQ315" s="148"/>
      <c r="AR315" s="148"/>
      <c r="AS315" s="148"/>
      <c r="AT315" s="149">
        <f>AT311-(-AT313)</f>
        <v>433</v>
      </c>
      <c r="AU315" s="148"/>
      <c r="AV315" s="148"/>
      <c r="AW315" s="148"/>
      <c r="AX315" s="148"/>
      <c r="AY315" s="149">
        <f>AY311-(-AY313)</f>
        <v>-479</v>
      </c>
      <c r="AZ315" s="148"/>
      <c r="BA315" s="148"/>
      <c r="BB315" s="148"/>
      <c r="BC315" s="148"/>
      <c r="BD315" s="149">
        <f>BD311-(-BD313)</f>
        <v>-446</v>
      </c>
      <c r="BE315" s="148"/>
      <c r="BF315" s="148"/>
      <c r="BG315" s="148"/>
      <c r="BH315" s="148"/>
      <c r="BI315" s="149">
        <f>BI311-(-BI313)</f>
        <v>-203</v>
      </c>
      <c r="BJ315" s="148"/>
      <c r="BK315" s="148"/>
      <c r="BL315" s="148"/>
      <c r="BM315" s="148"/>
      <c r="BN315" s="149">
        <f>BN311-(-BN313)</f>
        <v>-103</v>
      </c>
      <c r="BO315" s="148"/>
      <c r="BP315" s="148"/>
      <c r="BQ315" s="148"/>
      <c r="BR315" s="148"/>
      <c r="BS315" s="149">
        <f>BS311-(-BS313)</f>
        <v>47</v>
      </c>
      <c r="BT315" s="148"/>
      <c r="BU315" s="148"/>
      <c r="BV315" s="148"/>
      <c r="BW315" s="148"/>
      <c r="BX315" s="149">
        <f>BX311-(-BX313)</f>
        <v>-255</v>
      </c>
      <c r="BY315" s="148"/>
      <c r="BZ315" s="148"/>
      <c r="CA315" s="148"/>
      <c r="CB315" s="148"/>
      <c r="CC315" s="149">
        <f>CC311-(-CC313)</f>
        <v>416</v>
      </c>
      <c r="CD315" s="148"/>
      <c r="CE315" s="148"/>
      <c r="CF315" s="148"/>
      <c r="CG315" s="148"/>
      <c r="CH315" s="149">
        <f>CH311-(-CH313)</f>
        <v>-26</v>
      </c>
      <c r="CI315" s="148"/>
      <c r="CJ315" s="148"/>
      <c r="CK315" s="148"/>
      <c r="CL315" s="148"/>
      <c r="CM315" s="149">
        <f>CM311-(-CM313)</f>
        <v>419</v>
      </c>
      <c r="CN315" s="148"/>
      <c r="CO315" s="148"/>
      <c r="CP315" s="148"/>
      <c r="CQ315" s="148"/>
      <c r="CR315" s="149">
        <f>CR311-(-CR313)</f>
        <v>411</v>
      </c>
      <c r="CS315" s="148"/>
      <c r="CT315" s="148"/>
      <c r="CU315" s="148"/>
      <c r="CV315" s="148"/>
      <c r="CW315" s="149">
        <f>CW311-(-CW313)</f>
        <v>1174</v>
      </c>
      <c r="CX315" s="148"/>
      <c r="CY315" s="148"/>
      <c r="CZ315" s="148"/>
      <c r="DA315" s="148"/>
      <c r="DB315" s="149">
        <f>DB311-(-DB313)</f>
        <v>613</v>
      </c>
      <c r="DC315" s="148"/>
      <c r="DD315" s="148"/>
      <c r="DE315" s="148"/>
      <c r="DF315" s="148"/>
      <c r="DG315" s="149">
        <f>DG311-(-DG313)</f>
        <v>1421</v>
      </c>
      <c r="DH315" s="148"/>
      <c r="DI315" s="148"/>
      <c r="DJ315" s="148"/>
      <c r="DK315" s="148"/>
      <c r="DL315" s="149">
        <f>DL311-(-DL313)</f>
        <v>1194</v>
      </c>
      <c r="DM315" s="148"/>
      <c r="DN315" s="148"/>
      <c r="DO315" s="148"/>
      <c r="DP315" s="148"/>
      <c r="DQ315" s="149">
        <f t="shared" ref="DQ315:DV315" si="1458">DQ311-(-DQ313)</f>
        <v>605</v>
      </c>
      <c r="DR315" s="864">
        <f t="shared" si="1458"/>
        <v>240</v>
      </c>
      <c r="DS315" s="870">
        <f t="shared" si="1458"/>
        <v>254</v>
      </c>
      <c r="DT315" s="870">
        <f t="shared" si="1458"/>
        <v>318</v>
      </c>
      <c r="DU315" s="870">
        <f t="shared" si="1458"/>
        <v>142</v>
      </c>
      <c r="DV315" s="149">
        <f t="shared" si="1458"/>
        <v>954</v>
      </c>
      <c r="DW315" s="864">
        <f t="shared" ref="DW315:EB315" si="1459">DW311-(-DW313)</f>
        <v>124</v>
      </c>
      <c r="DX315" s="870">
        <f t="shared" si="1459"/>
        <v>365</v>
      </c>
      <c r="DY315" s="870">
        <f t="shared" si="1459"/>
        <v>256</v>
      </c>
      <c r="DZ315" s="870">
        <f t="shared" si="1459"/>
        <v>149</v>
      </c>
      <c r="EA315" s="149">
        <f t="shared" si="1459"/>
        <v>894</v>
      </c>
      <c r="EB315" s="864">
        <f t="shared" si="1459"/>
        <v>92</v>
      </c>
      <c r="EC315" s="870">
        <f t="shared" ref="EC315:EH315" si="1460">EC311-(-EC313)</f>
        <v>202</v>
      </c>
      <c r="ED315" s="870">
        <f t="shared" si="1460"/>
        <v>401</v>
      </c>
      <c r="EE315" s="870">
        <f t="shared" si="1460"/>
        <v>113</v>
      </c>
      <c r="EF315" s="149">
        <f t="shared" si="1460"/>
        <v>808</v>
      </c>
      <c r="EG315" s="864">
        <f t="shared" si="1460"/>
        <v>329</v>
      </c>
      <c r="EH315" s="870">
        <f t="shared" si="1460"/>
        <v>197</v>
      </c>
      <c r="EI315" s="870">
        <f t="shared" ref="EI315:EM315" si="1461">EI311-(-EI313)</f>
        <v>701</v>
      </c>
      <c r="EJ315" s="870">
        <f t="shared" si="1461"/>
        <v>-584</v>
      </c>
      <c r="EK315" s="149">
        <f t="shared" si="1461"/>
        <v>643</v>
      </c>
      <c r="EL315" s="864">
        <f t="shared" si="1461"/>
        <v>602</v>
      </c>
      <c r="EM315" s="870">
        <f t="shared" si="1461"/>
        <v>9</v>
      </c>
      <c r="EN315" s="870">
        <f t="shared" ref="EN315:EO315" si="1462">EN311-(-EN313)</f>
        <v>1390</v>
      </c>
      <c r="EO315" s="870">
        <f t="shared" si="1462"/>
        <v>-569</v>
      </c>
      <c r="EP315" s="2026">
        <f>EP311-(-EP313)</f>
        <v>1432</v>
      </c>
      <c r="EQ315" s="148"/>
      <c r="ER315" s="148"/>
      <c r="ES315" s="148"/>
      <c r="ET315" s="148"/>
      <c r="EU315" s="149">
        <f>EU311-(-EU313)</f>
        <v>2702.9422514985581</v>
      </c>
      <c r="EV315" s="148"/>
      <c r="EW315" s="148"/>
      <c r="EX315" s="148"/>
      <c r="EY315" s="148"/>
      <c r="EZ315" s="149">
        <f>EZ311-(-EZ313)</f>
        <v>2836.8858670373638</v>
      </c>
      <c r="FA315" s="148"/>
      <c r="FB315" s="148"/>
      <c r="FC315" s="148"/>
      <c r="FD315" s="148"/>
      <c r="FE315" s="149">
        <f>FE311-(-FE313)</f>
        <v>3127.7899708966579</v>
      </c>
      <c r="FG315" s="494"/>
      <c r="FH315" s="836">
        <f>+SUM(EU315,EZ315,FE315)</f>
        <v>8667.6180894325807</v>
      </c>
      <c r="FI315" s="831"/>
      <c r="FJ315" s="831"/>
      <c r="FK315" s="1329"/>
      <c r="FL315" s="1401"/>
      <c r="FM315"/>
      <c r="FN315"/>
      <c r="FO315"/>
      <c r="FP315"/>
      <c r="FQ315"/>
      <c r="FR315" s="1635"/>
      <c r="FS315" s="1629" t="s">
        <v>737</v>
      </c>
      <c r="FT315" s="458"/>
      <c r="FU315" s="458"/>
      <c r="FV315" s="458"/>
      <c r="FW315" s="458"/>
      <c r="FX315" s="458"/>
      <c r="FY315" s="458"/>
      <c r="FZ315" s="494"/>
      <c r="GA315"/>
      <c r="GB315"/>
      <c r="GC315"/>
      <c r="GD315"/>
      <c r="GE315"/>
      <c r="GF315"/>
      <c r="GG315"/>
      <c r="GH315"/>
      <c r="GI315"/>
      <c r="GJ315"/>
      <c r="GK315"/>
      <c r="GL315"/>
      <c r="GM315"/>
      <c r="GN315"/>
      <c r="GO315"/>
      <c r="GP315"/>
      <c r="GQ315"/>
      <c r="GR315"/>
      <c r="GS315"/>
      <c r="GT315"/>
      <c r="GU315"/>
      <c r="GV315"/>
      <c r="GW315"/>
      <c r="GX315"/>
      <c r="GY315"/>
      <c r="GZ315"/>
      <c r="HA315"/>
      <c r="HB315"/>
      <c r="HC315"/>
      <c r="HD315"/>
      <c r="HE315"/>
      <c r="HF315"/>
      <c r="HG315"/>
      <c r="HH315"/>
      <c r="HI315"/>
      <c r="HJ315"/>
      <c r="HK315"/>
      <c r="HL315"/>
      <c r="HM315"/>
      <c r="HN315"/>
      <c r="HO315"/>
      <c r="HP315"/>
      <c r="HQ315"/>
      <c r="HR315"/>
      <c r="HS315"/>
      <c r="HT315"/>
      <c r="HU315"/>
      <c r="HV315"/>
      <c r="HW315"/>
      <c r="HX315"/>
      <c r="HY315"/>
      <c r="HZ315"/>
      <c r="IA315"/>
      <c r="IB315"/>
      <c r="IC315"/>
      <c r="ID315"/>
      <c r="IE315"/>
      <c r="IF315"/>
      <c r="IG315"/>
      <c r="IH315"/>
      <c r="II315"/>
      <c r="IJ315"/>
      <c r="IK315"/>
      <c r="IL315"/>
      <c r="IM315"/>
      <c r="IN315"/>
      <c r="IO315"/>
      <c r="IP315"/>
      <c r="IQ315"/>
      <c r="IR315"/>
      <c r="IS315"/>
      <c r="IT315"/>
      <c r="IU315"/>
      <c r="IV315"/>
      <c r="IW315"/>
      <c r="IX315"/>
    </row>
    <row r="316" spans="1:258" s="314" customFormat="1" x14ac:dyDescent="0.2">
      <c r="A316" s="621" t="s">
        <v>186</v>
      </c>
      <c r="B316" s="157"/>
      <c r="C316" s="157"/>
      <c r="D316" s="157"/>
      <c r="E316" s="157"/>
      <c r="F316" s="156"/>
      <c r="G316" s="157"/>
      <c r="H316" s="157"/>
      <c r="I316" s="157"/>
      <c r="J316" s="157"/>
      <c r="K316" s="156"/>
      <c r="L316" s="157"/>
      <c r="M316" s="157"/>
      <c r="N316" s="157"/>
      <c r="O316" s="157"/>
      <c r="P316" s="156"/>
      <c r="Q316" s="157"/>
      <c r="R316" s="157"/>
      <c r="S316" s="157"/>
      <c r="T316" s="157"/>
      <c r="U316" s="156"/>
      <c r="V316" s="157"/>
      <c r="W316" s="157"/>
      <c r="X316" s="157"/>
      <c r="Y316" s="157"/>
      <c r="Z316" s="156"/>
      <c r="AA316" s="157"/>
      <c r="AB316" s="157"/>
      <c r="AC316" s="157"/>
      <c r="AD316" s="157"/>
      <c r="AE316" s="156"/>
      <c r="AF316" s="157"/>
      <c r="AG316" s="157"/>
      <c r="AH316" s="157"/>
      <c r="AI316" s="157"/>
      <c r="AJ316" s="156"/>
      <c r="AK316" s="157"/>
      <c r="AL316" s="157"/>
      <c r="AM316" s="157"/>
      <c r="AN316" s="157"/>
      <c r="AO316" s="156"/>
      <c r="AP316" s="157"/>
      <c r="AQ316" s="157"/>
      <c r="AR316" s="157"/>
      <c r="AS316" s="157"/>
      <c r="AT316" s="156">
        <f>51-2163-119+8</f>
        <v>-2223</v>
      </c>
      <c r="AU316" s="157"/>
      <c r="AV316" s="157"/>
      <c r="AW316" s="157"/>
      <c r="AX316" s="157"/>
      <c r="AY316" s="156">
        <f>628+14-13+6-26</f>
        <v>609</v>
      </c>
      <c r="AZ316" s="157"/>
      <c r="BA316" s="157"/>
      <c r="BB316" s="157"/>
      <c r="BC316" s="157"/>
      <c r="BD316" s="156">
        <f>751-2+94+92</f>
        <v>935</v>
      </c>
      <c r="BE316" s="157"/>
      <c r="BF316" s="157"/>
      <c r="BG316" s="157"/>
      <c r="BH316" s="157"/>
      <c r="BI316" s="156">
        <f>-85+650+11</f>
        <v>576</v>
      </c>
      <c r="BJ316" s="157"/>
      <c r="BK316" s="157"/>
      <c r="BL316" s="157"/>
      <c r="BM316" s="157"/>
      <c r="BN316" s="156">
        <f>-51+16</f>
        <v>-35</v>
      </c>
      <c r="BO316" s="157"/>
      <c r="BP316" s="157"/>
      <c r="BQ316" s="157"/>
      <c r="BR316" s="157"/>
      <c r="BS316" s="156">
        <v>-45</v>
      </c>
      <c r="BT316" s="157"/>
      <c r="BU316" s="157"/>
      <c r="BV316" s="157"/>
      <c r="BW316" s="157"/>
      <c r="BX316" s="156">
        <v>-43</v>
      </c>
      <c r="BY316" s="157"/>
      <c r="BZ316" s="157"/>
      <c r="CA316" s="157"/>
      <c r="CB316" s="157"/>
      <c r="CC316" s="156">
        <v>-18</v>
      </c>
      <c r="CD316" s="157"/>
      <c r="CE316" s="157"/>
      <c r="CF316" s="157"/>
      <c r="CG316" s="157"/>
      <c r="CH316" s="156">
        <f>28+41</f>
        <v>69</v>
      </c>
      <c r="CI316" s="157"/>
      <c r="CJ316" s="157"/>
      <c r="CK316" s="157"/>
      <c r="CL316" s="157"/>
      <c r="CM316" s="156">
        <f>147+4</f>
        <v>151</v>
      </c>
      <c r="CN316" s="157"/>
      <c r="CO316" s="157"/>
      <c r="CP316" s="157"/>
      <c r="CQ316" s="157"/>
      <c r="CR316" s="156">
        <f>16-57</f>
        <v>-41</v>
      </c>
      <c r="CS316" s="157"/>
      <c r="CT316" s="157"/>
      <c r="CU316" s="157"/>
      <c r="CV316" s="157"/>
      <c r="CW316" s="156">
        <v>36</v>
      </c>
      <c r="CX316" s="157"/>
      <c r="CY316" s="157"/>
      <c r="CZ316" s="157"/>
      <c r="DA316" s="157"/>
      <c r="DB316" s="156">
        <v>0</v>
      </c>
      <c r="DC316" s="157"/>
      <c r="DD316" s="157"/>
      <c r="DE316" s="157"/>
      <c r="DF316" s="157"/>
      <c r="DG316" s="156">
        <v>0</v>
      </c>
      <c r="DH316" s="157"/>
      <c r="DI316" s="157"/>
      <c r="DJ316" s="157"/>
      <c r="DK316" s="157"/>
      <c r="DL316" s="156">
        <f>-492+240</f>
        <v>-252</v>
      </c>
      <c r="DM316" s="157"/>
      <c r="DN316" s="157"/>
      <c r="DO316" s="157"/>
      <c r="DP316" s="157"/>
      <c r="DQ316" s="156">
        <f>+-633+581+186</f>
        <v>134</v>
      </c>
      <c r="DR316" s="157">
        <f>+-290+534</f>
        <v>244</v>
      </c>
      <c r="DS316" s="157">
        <f>+-690+940-DR316</f>
        <v>6</v>
      </c>
      <c r="DT316" s="157">
        <f>1307-809-SUM(DR316:DS316)</f>
        <v>248</v>
      </c>
      <c r="DU316" s="157">
        <f>DV316-SUM(DR316:DT316)</f>
        <v>-300</v>
      </c>
      <c r="DV316" s="156">
        <f>-1256+1401+53</f>
        <v>198</v>
      </c>
      <c r="DW316" s="157">
        <f>-165+409</f>
        <v>244</v>
      </c>
      <c r="DX316" s="157">
        <f>+-360+646-DW316</f>
        <v>42</v>
      </c>
      <c r="DY316" s="157">
        <f>+-1170+1102-SUM(DW316:DX316)</f>
        <v>-354</v>
      </c>
      <c r="DZ316" s="157">
        <f>EA316-SUM(DW316:DY316)</f>
        <v>371</v>
      </c>
      <c r="EA316" s="156">
        <f>-1433+1674+62</f>
        <v>303</v>
      </c>
      <c r="EB316" s="157">
        <f>-105+140</f>
        <v>35</v>
      </c>
      <c r="EC316" s="157">
        <f>+-775+390-EB316</f>
        <v>-420</v>
      </c>
      <c r="ED316" s="157">
        <f>+-1170+1040-EC316</f>
        <v>290</v>
      </c>
      <c r="EE316" s="157">
        <f>EF316-SUM(EB316:ED316)</f>
        <v>-272</v>
      </c>
      <c r="EF316" s="156">
        <f>+-1739+1225+147</f>
        <v>-367</v>
      </c>
      <c r="EG316" s="157">
        <f>+-235+670</f>
        <v>435</v>
      </c>
      <c r="EH316" s="157">
        <f>+-260+810-EG316</f>
        <v>115</v>
      </c>
      <c r="EI316" s="157">
        <f>+-410+1070-EH316</f>
        <v>545</v>
      </c>
      <c r="EJ316" s="157">
        <f>EK316-SUM(EG316:EI316)</f>
        <v>-504</v>
      </c>
      <c r="EK316" s="156">
        <f>-929+1325+195</f>
        <v>591</v>
      </c>
      <c r="EL316" s="157">
        <f>+-75+205</f>
        <v>130</v>
      </c>
      <c r="EM316" s="157">
        <f>+-545+492-EL316</f>
        <v>-183</v>
      </c>
      <c r="EN316" s="157">
        <f>+-645+957-EM316</f>
        <v>495</v>
      </c>
      <c r="EO316" s="157">
        <f>EP316-SUM(EL316:EN316)</f>
        <v>66</v>
      </c>
      <c r="EP316" s="156">
        <f>-782+1193+97</f>
        <v>508</v>
      </c>
      <c r="EQ316" s="898"/>
      <c r="ER316" s="898"/>
      <c r="ES316" s="898"/>
      <c r="ET316" s="898"/>
      <c r="EU316" s="162">
        <v>0</v>
      </c>
      <c r="EV316" s="898"/>
      <c r="EW316" s="898"/>
      <c r="EX316" s="898"/>
      <c r="EY316" s="898"/>
      <c r="EZ316" s="162">
        <v>0</v>
      </c>
      <c r="FA316" s="898"/>
      <c r="FB316" s="898"/>
      <c r="FC316" s="898"/>
      <c r="FD316" s="898"/>
      <c r="FE316" s="162">
        <v>0</v>
      </c>
      <c r="FG316" s="899"/>
      <c r="FH316" s="836"/>
      <c r="FI316" s="836"/>
      <c r="FJ316" s="836"/>
      <c r="FK316" s="1327"/>
      <c r="FL316" s="1399"/>
      <c r="FM316"/>
      <c r="FN316"/>
      <c r="FO316"/>
      <c r="FP316"/>
      <c r="FQ316"/>
      <c r="FR316" s="1629" t="s">
        <v>817</v>
      </c>
      <c r="FS316" s="1629"/>
      <c r="FT316" s="719"/>
      <c r="FU316" s="719"/>
      <c r="FV316" s="719"/>
      <c r="FW316" s="719"/>
      <c r="FX316" s="719"/>
      <c r="FY316" s="719"/>
      <c r="FZ316" s="899"/>
      <c r="GA316"/>
      <c r="GB316"/>
      <c r="GC316"/>
      <c r="GD316"/>
      <c r="GE316"/>
      <c r="GF316"/>
      <c r="GG316"/>
      <c r="GH316"/>
      <c r="GI316"/>
      <c r="GJ316"/>
      <c r="GK316"/>
      <c r="GL316"/>
      <c r="GM316"/>
      <c r="GN316"/>
      <c r="GO316"/>
      <c r="GP316"/>
      <c r="GQ316"/>
      <c r="GR316"/>
      <c r="GS316"/>
      <c r="GT316"/>
      <c r="GU316"/>
      <c r="GV316"/>
      <c r="GW316"/>
      <c r="GX316"/>
      <c r="GY316"/>
      <c r="GZ316"/>
      <c r="HA316"/>
      <c r="HB316"/>
      <c r="HC316"/>
      <c r="HD316"/>
      <c r="HE316"/>
      <c r="HF316"/>
      <c r="HG316"/>
      <c r="HH316"/>
      <c r="HI316"/>
      <c r="HJ316"/>
      <c r="HK316"/>
      <c r="HL316"/>
      <c r="HM316"/>
      <c r="HN316"/>
      <c r="HO316"/>
      <c r="HP316"/>
      <c r="HQ316"/>
      <c r="HR316"/>
      <c r="HS316"/>
      <c r="HT316"/>
      <c r="HU316"/>
      <c r="HV316"/>
      <c r="HW316"/>
      <c r="HX316"/>
      <c r="HY316"/>
      <c r="HZ316"/>
      <c r="IA316"/>
      <c r="IB316"/>
      <c r="IC316"/>
      <c r="ID316"/>
      <c r="IE316"/>
      <c r="IF316"/>
      <c r="IG316"/>
      <c r="IH316"/>
      <c r="II316"/>
      <c r="IJ316"/>
      <c r="IK316"/>
      <c r="IL316"/>
      <c r="IM316"/>
      <c r="IN316"/>
      <c r="IO316"/>
      <c r="IP316"/>
      <c r="IQ316"/>
      <c r="IR316"/>
      <c r="IS316"/>
      <c r="IT316"/>
      <c r="IU316"/>
      <c r="IV316"/>
      <c r="IW316"/>
      <c r="IX316"/>
    </row>
    <row r="317" spans="1:258" s="314" customFormat="1" x14ac:dyDescent="0.2">
      <c r="A317" s="621" t="s">
        <v>104</v>
      </c>
      <c r="B317" s="157"/>
      <c r="C317" s="157"/>
      <c r="D317" s="157"/>
      <c r="E317" s="157"/>
      <c r="F317" s="156"/>
      <c r="G317" s="157"/>
      <c r="H317" s="157"/>
      <c r="I317" s="157"/>
      <c r="J317" s="157"/>
      <c r="K317" s="156"/>
      <c r="L317" s="157"/>
      <c r="M317" s="157"/>
      <c r="N317" s="157"/>
      <c r="O317" s="157"/>
      <c r="P317" s="156"/>
      <c r="Q317" s="157"/>
      <c r="R317" s="157"/>
      <c r="S317" s="157"/>
      <c r="T317" s="157"/>
      <c r="U317" s="156"/>
      <c r="V317" s="157"/>
      <c r="W317" s="157"/>
      <c r="X317" s="157"/>
      <c r="Y317" s="157"/>
      <c r="Z317" s="156"/>
      <c r="AA317" s="157"/>
      <c r="AB317" s="157"/>
      <c r="AC317" s="157"/>
      <c r="AD317" s="157"/>
      <c r="AE317" s="156"/>
      <c r="AF317" s="157"/>
      <c r="AG317" s="157"/>
      <c r="AH317" s="157"/>
      <c r="AI317" s="157"/>
      <c r="AJ317" s="156"/>
      <c r="AK317" s="157"/>
      <c r="AL317" s="157"/>
      <c r="AM317" s="157"/>
      <c r="AN317" s="157"/>
      <c r="AO317" s="156"/>
      <c r="AP317" s="157"/>
      <c r="AQ317" s="157"/>
      <c r="AR317" s="157"/>
      <c r="AS317" s="157"/>
      <c r="AT317" s="156">
        <f>AT318-AT313-AT316</f>
        <v>0</v>
      </c>
      <c r="AU317" s="157"/>
      <c r="AV317" s="157"/>
      <c r="AW317" s="157"/>
      <c r="AX317" s="157"/>
      <c r="AY317" s="156">
        <f>AY318-AY313-AY316</f>
        <v>0</v>
      </c>
      <c r="AZ317" s="157"/>
      <c r="BA317" s="157"/>
      <c r="BB317" s="157"/>
      <c r="BC317" s="157"/>
      <c r="BD317" s="156">
        <f>BD318-BD313-BD316</f>
        <v>0</v>
      </c>
      <c r="BE317" s="157"/>
      <c r="BF317" s="157"/>
      <c r="BG317" s="157"/>
      <c r="BH317" s="157"/>
      <c r="BI317" s="156">
        <f>BI318-BI313-BI316</f>
        <v>0</v>
      </c>
      <c r="BJ317" s="157"/>
      <c r="BK317" s="157"/>
      <c r="BL317" s="157"/>
      <c r="BM317" s="157"/>
      <c r="BN317" s="156">
        <f>BN318-BN313-BN316</f>
        <v>0</v>
      </c>
      <c r="BO317" s="157"/>
      <c r="BP317" s="157"/>
      <c r="BQ317" s="157"/>
      <c r="BR317" s="157"/>
      <c r="BS317" s="156">
        <f>BS318-BS313-BS316</f>
        <v>350</v>
      </c>
      <c r="BT317" s="157"/>
      <c r="BU317" s="157"/>
      <c r="BV317" s="157"/>
      <c r="BW317" s="157"/>
      <c r="BX317" s="156">
        <f>BX318-BX313-BX316</f>
        <v>295</v>
      </c>
      <c r="BY317" s="157"/>
      <c r="BZ317" s="157"/>
      <c r="CA317" s="157"/>
      <c r="CB317" s="157"/>
      <c r="CC317" s="156">
        <f>CC318-CC313-CC316</f>
        <v>-192</v>
      </c>
      <c r="CD317" s="157"/>
      <c r="CE317" s="157"/>
      <c r="CF317" s="157"/>
      <c r="CG317" s="157"/>
      <c r="CH317" s="156">
        <f>CH318-CH313-CH316</f>
        <v>1031</v>
      </c>
      <c r="CI317" s="157"/>
      <c r="CJ317" s="157"/>
      <c r="CK317" s="157"/>
      <c r="CL317" s="157"/>
      <c r="CM317" s="156">
        <f>CM318-CM313-CM316</f>
        <v>-122</v>
      </c>
      <c r="CN317" s="157"/>
      <c r="CO317" s="157"/>
      <c r="CP317" s="157"/>
      <c r="CQ317" s="157"/>
      <c r="CR317" s="156">
        <f>CR318-CR313-CR316</f>
        <v>121</v>
      </c>
      <c r="CS317" s="157"/>
      <c r="CT317" s="157"/>
      <c r="CU317" s="157"/>
      <c r="CV317" s="157"/>
      <c r="CW317" s="156">
        <f>CW318-CW313-CW316</f>
        <v>255</v>
      </c>
      <c r="CX317" s="157"/>
      <c r="CY317" s="157"/>
      <c r="CZ317" s="157"/>
      <c r="DA317" s="157"/>
      <c r="DB317" s="156">
        <f>DB318-DB313-DB316</f>
        <v>54</v>
      </c>
      <c r="DC317" s="157"/>
      <c r="DD317" s="157"/>
      <c r="DE317" s="157"/>
      <c r="DF317" s="157"/>
      <c r="DG317" s="156">
        <f>DG318-DG313-DG316</f>
        <v>69</v>
      </c>
      <c r="DH317" s="157"/>
      <c r="DI317" s="157"/>
      <c r="DJ317" s="157"/>
      <c r="DK317" s="157"/>
      <c r="DL317" s="156">
        <f>DL318-DL313-DL316</f>
        <v>-38</v>
      </c>
      <c r="DM317" s="157"/>
      <c r="DN317" s="157"/>
      <c r="DO317" s="157"/>
      <c r="DP317" s="157"/>
      <c r="DQ317" s="156">
        <f t="shared" ref="DQ317:EA317" si="1463">DQ318-DQ313-DQ316</f>
        <v>-70</v>
      </c>
      <c r="DR317" s="157">
        <f t="shared" si="1463"/>
        <v>-18</v>
      </c>
      <c r="DS317" s="157">
        <f t="shared" si="1463"/>
        <v>-68</v>
      </c>
      <c r="DT317" s="157">
        <f t="shared" si="1463"/>
        <v>32</v>
      </c>
      <c r="DU317" s="157">
        <f t="shared" si="1463"/>
        <v>-58</v>
      </c>
      <c r="DV317" s="156">
        <f t="shared" si="1463"/>
        <v>-112</v>
      </c>
      <c r="DW317" s="157">
        <f t="shared" si="1463"/>
        <v>4</v>
      </c>
      <c r="DX317" s="157">
        <f t="shared" si="1463"/>
        <v>16</v>
      </c>
      <c r="DY317" s="157">
        <f t="shared" si="1463"/>
        <v>-15</v>
      </c>
      <c r="DZ317" s="157">
        <f>DZ318-DZ313-DZ316</f>
        <v>-42</v>
      </c>
      <c r="EA317" s="156">
        <f t="shared" si="1463"/>
        <v>-37</v>
      </c>
      <c r="EB317" s="157">
        <f t="shared" ref="EB317:EG317" si="1464">EB318-EB313-EB316</f>
        <v>63</v>
      </c>
      <c r="EC317" s="157">
        <f t="shared" si="1464"/>
        <v>36</v>
      </c>
      <c r="ED317" s="157">
        <f t="shared" si="1464"/>
        <v>52</v>
      </c>
      <c r="EE317" s="157">
        <f t="shared" si="1464"/>
        <v>-114</v>
      </c>
      <c r="EF317" s="156">
        <f t="shared" si="1464"/>
        <v>37</v>
      </c>
      <c r="EG317" s="157">
        <f t="shared" si="1464"/>
        <v>31</v>
      </c>
      <c r="EH317" s="157">
        <f>EH318-EH313-EH316</f>
        <v>4</v>
      </c>
      <c r="EI317" s="157">
        <f t="shared" ref="EI317:EL317" si="1465">EI318-EI313-EI316</f>
        <v>33</v>
      </c>
      <c r="EJ317" s="157">
        <f t="shared" si="1465"/>
        <v>-59</v>
      </c>
      <c r="EK317" s="156">
        <f t="shared" si="1465"/>
        <v>9</v>
      </c>
      <c r="EL317" s="157">
        <f t="shared" si="1465"/>
        <v>25</v>
      </c>
      <c r="EM317" s="157">
        <f>EM318-EM313-EM316</f>
        <v>16</v>
      </c>
      <c r="EN317" s="157">
        <f t="shared" ref="EN317:EO317" si="1466">EN318-EN313-EN316</f>
        <v>55</v>
      </c>
      <c r="EO317" s="157">
        <f t="shared" si="1466"/>
        <v>-59</v>
      </c>
      <c r="EP317" s="156">
        <f t="shared" ref="EP317" si="1467">EP318-EP313-EP316</f>
        <v>37</v>
      </c>
      <c r="EQ317" s="898"/>
      <c r="ER317" s="898"/>
      <c r="ES317" s="898"/>
      <c r="ET317" s="898"/>
      <c r="EU317" s="162">
        <v>0</v>
      </c>
      <c r="EV317" s="898"/>
      <c r="EW317" s="898"/>
      <c r="EX317" s="898"/>
      <c r="EY317" s="898"/>
      <c r="EZ317" s="162">
        <v>0</v>
      </c>
      <c r="FA317" s="898"/>
      <c r="FB317" s="898"/>
      <c r="FC317" s="898"/>
      <c r="FD317" s="898"/>
      <c r="FE317" s="162">
        <v>0</v>
      </c>
      <c r="FG317" s="899"/>
      <c r="FH317" s="836"/>
      <c r="FI317" s="836"/>
      <c r="FJ317" s="836"/>
      <c r="FK317" s="1327"/>
      <c r="FL317" s="1399"/>
      <c r="FM317"/>
      <c r="FN317"/>
      <c r="FO317"/>
      <c r="FP317"/>
      <c r="FQ317"/>
      <c r="FR317" s="1629"/>
      <c r="FS317" s="1635"/>
      <c r="FT317" s="719"/>
      <c r="FU317" s="719"/>
      <c r="FV317" s="719"/>
      <c r="FW317" s="719"/>
      <c r="FX317" s="719"/>
      <c r="FY317" s="719"/>
      <c r="FZ317" s="899"/>
      <c r="GA317"/>
      <c r="GB317"/>
      <c r="GC317"/>
      <c r="GD317"/>
      <c r="GE317"/>
      <c r="GF317"/>
      <c r="GG317"/>
      <c r="GH317"/>
      <c r="GI317"/>
      <c r="GJ317"/>
      <c r="GK317"/>
      <c r="GL317"/>
      <c r="GM317"/>
      <c r="GN317"/>
      <c r="GO317"/>
      <c r="GP317"/>
      <c r="GQ317"/>
      <c r="GR317"/>
      <c r="GS317"/>
      <c r="GT317"/>
      <c r="GU317"/>
      <c r="GV317"/>
      <c r="GW317"/>
      <c r="GX317"/>
      <c r="GY317"/>
      <c r="GZ317"/>
      <c r="HA317"/>
      <c r="HB317"/>
      <c r="HC317"/>
      <c r="HD317"/>
      <c r="HE317"/>
      <c r="HF317"/>
      <c r="HG317"/>
      <c r="HH317"/>
      <c r="HI317"/>
      <c r="HJ317"/>
      <c r="HK317"/>
      <c r="HL317"/>
      <c r="HM317"/>
      <c r="HN317"/>
      <c r="HO317"/>
      <c r="HP317"/>
      <c r="HQ317"/>
      <c r="HR317"/>
      <c r="HS317"/>
      <c r="HT317"/>
      <c r="HU317"/>
      <c r="HV317"/>
      <c r="HW317"/>
      <c r="HX317"/>
      <c r="HY317"/>
      <c r="HZ317"/>
      <c r="IA317"/>
      <c r="IB317"/>
      <c r="IC317"/>
      <c r="ID317"/>
      <c r="IE317"/>
      <c r="IF317"/>
      <c r="IG317"/>
      <c r="IH317"/>
      <c r="II317"/>
      <c r="IJ317"/>
      <c r="IK317"/>
      <c r="IL317"/>
      <c r="IM317"/>
      <c r="IN317"/>
      <c r="IO317"/>
      <c r="IP317"/>
      <c r="IQ317"/>
      <c r="IR317"/>
      <c r="IS317"/>
      <c r="IT317"/>
      <c r="IU317"/>
      <c r="IV317"/>
      <c r="IW317"/>
      <c r="IX317"/>
    </row>
    <row r="318" spans="1:258" s="901" customFormat="1" x14ac:dyDescent="0.2">
      <c r="A318" s="900" t="s">
        <v>187</v>
      </c>
      <c r="F318" s="902"/>
      <c r="K318" s="902"/>
      <c r="P318" s="902"/>
      <c r="U318" s="902"/>
      <c r="Z318" s="902"/>
      <c r="AE318" s="902"/>
      <c r="AJ318" s="902"/>
      <c r="AO318" s="902"/>
      <c r="AT318" s="902">
        <v>-3348</v>
      </c>
      <c r="AY318" s="902">
        <v>-870</v>
      </c>
      <c r="BD318" s="902">
        <v>-582</v>
      </c>
      <c r="BI318" s="902">
        <v>-337</v>
      </c>
      <c r="BN318" s="902">
        <v>-965</v>
      </c>
      <c r="BS318" s="902">
        <v>-775</v>
      </c>
      <c r="BX318" s="902">
        <v>-807</v>
      </c>
      <c r="CC318" s="902">
        <v>-1240</v>
      </c>
      <c r="CH318" s="902">
        <v>-36</v>
      </c>
      <c r="CM318" s="902">
        <v>-1610</v>
      </c>
      <c r="CR318" s="902">
        <v>-1693</v>
      </c>
      <c r="CW318" s="902">
        <v>-1449</v>
      </c>
      <c r="DB318" s="902">
        <v>-1373</v>
      </c>
      <c r="DG318" s="902">
        <v>-1756</v>
      </c>
      <c r="DL318" s="902">
        <v>-2587</v>
      </c>
      <c r="DQ318" s="902">
        <v>-2277</v>
      </c>
      <c r="DR318" s="901">
        <v>-265</v>
      </c>
      <c r="DS318" s="901">
        <f>+-921-DR318</f>
        <v>-656</v>
      </c>
      <c r="DT318" s="901">
        <f>+-1243-SUM(DR318:DS318)</f>
        <v>-322</v>
      </c>
      <c r="DU318" s="901">
        <f>DV318-SUM(DR318:DT318)</f>
        <v>-984</v>
      </c>
      <c r="DV318" s="902">
        <v>-2227</v>
      </c>
      <c r="DW318" s="901">
        <v>-227</v>
      </c>
      <c r="DX318" s="901">
        <f>+-650-DW318</f>
        <v>-423</v>
      </c>
      <c r="DY318" s="901">
        <f>+-1620-SUM(DW318:DX318)</f>
        <v>-970</v>
      </c>
      <c r="DZ318" s="901">
        <f>EA318-SUM(DW318:DY318)</f>
        <v>-563</v>
      </c>
      <c r="EA318" s="902">
        <v>-2183</v>
      </c>
      <c r="EB318" s="901">
        <v>-500</v>
      </c>
      <c r="EC318" s="901">
        <f>+-1574-EB318</f>
        <v>-1074</v>
      </c>
      <c r="ED318" s="901">
        <f>+-1951-EC318</f>
        <v>-877</v>
      </c>
      <c r="EE318" s="901">
        <f>EF318-SUM(EB318:ED318)</f>
        <v>-441</v>
      </c>
      <c r="EF318" s="902">
        <v>-2892</v>
      </c>
      <c r="EG318" s="901">
        <v>41</v>
      </c>
      <c r="EH318" s="901">
        <f>+-481-EG318</f>
        <v>-522</v>
      </c>
      <c r="EI318" s="901">
        <f>+-893-EH318</f>
        <v>-371</v>
      </c>
      <c r="EJ318" s="901">
        <f>EK318-SUM(EG318:EI318)</f>
        <v>-946</v>
      </c>
      <c r="EK318" s="902">
        <v>-1798</v>
      </c>
      <c r="EL318" s="901">
        <v>-286</v>
      </c>
      <c r="EM318" s="901">
        <f>+-967-EL318</f>
        <v>-681</v>
      </c>
      <c r="EN318" s="901">
        <f>+-1079-EM318</f>
        <v>-398</v>
      </c>
      <c r="EO318" s="901">
        <f>EP318-SUM(EL318:EN318)</f>
        <v>-130</v>
      </c>
      <c r="EP318" s="2024">
        <v>-1495</v>
      </c>
      <c r="EU318" s="902">
        <f>EU317+EU313+EU316</f>
        <v>-1634.0729751656606</v>
      </c>
      <c r="EZ318" s="902">
        <f>EZ317+EZ313+EZ316</f>
        <v>-1633.8725583648193</v>
      </c>
      <c r="FE318" s="902">
        <f>FE317+FE313+FE316</f>
        <v>-1627.2127171743939</v>
      </c>
      <c r="FG318" s="899"/>
      <c r="FH318" s="903"/>
      <c r="FI318" s="903"/>
      <c r="FJ318" s="903"/>
      <c r="FK318" s="1328"/>
      <c r="FL318" s="1400"/>
      <c r="FM318"/>
      <c r="FN318"/>
      <c r="FO318"/>
      <c r="FP318"/>
      <c r="FQ318"/>
      <c r="FR318" s="1636"/>
      <c r="FS318" s="1636"/>
      <c r="FT318" s="904"/>
      <c r="FU318" s="904"/>
      <c r="FV318" s="904"/>
      <c r="FW318" s="904"/>
      <c r="FX318" s="904"/>
      <c r="FY318" s="904"/>
      <c r="FZ318" s="899"/>
      <c r="GA318"/>
      <c r="GB318"/>
      <c r="GC318"/>
      <c r="GD318"/>
      <c r="GE318"/>
      <c r="GF318"/>
      <c r="GG318"/>
      <c r="GH318"/>
      <c r="GI318"/>
      <c r="GJ318"/>
      <c r="GK318"/>
      <c r="GL318"/>
      <c r="GM318"/>
      <c r="GN318"/>
      <c r="GO318"/>
      <c r="GP318"/>
      <c r="GQ318"/>
      <c r="GR318"/>
      <c r="GS318"/>
      <c r="GT318"/>
      <c r="GU318"/>
      <c r="GV318"/>
      <c r="GW318"/>
      <c r="GX318"/>
      <c r="GY318"/>
      <c r="GZ318"/>
      <c r="HA318"/>
      <c r="HB318"/>
      <c r="HC318"/>
      <c r="HD318"/>
      <c r="HE318"/>
      <c r="HF318"/>
      <c r="HG318"/>
      <c r="HH318"/>
      <c r="HI318"/>
      <c r="HJ318"/>
      <c r="HK318"/>
      <c r="HL318"/>
      <c r="HM318"/>
      <c r="HN318"/>
      <c r="HO318"/>
      <c r="HP318"/>
      <c r="HQ318"/>
      <c r="HR318"/>
      <c r="HS318"/>
      <c r="HT318"/>
      <c r="HU318"/>
      <c r="HV318"/>
      <c r="HW318"/>
      <c r="HX318"/>
      <c r="HY318"/>
      <c r="HZ318"/>
      <c r="IA318"/>
      <c r="IB318"/>
      <c r="IC318"/>
      <c r="ID318"/>
      <c r="IE318"/>
      <c r="IF318"/>
      <c r="IG318"/>
      <c r="IH318"/>
      <c r="II318"/>
      <c r="IJ318"/>
      <c r="IK318"/>
      <c r="IL318"/>
      <c r="IM318"/>
      <c r="IN318"/>
      <c r="IO318"/>
      <c r="IP318"/>
      <c r="IQ318"/>
      <c r="IR318"/>
      <c r="IS318"/>
      <c r="IT318"/>
      <c r="IU318"/>
      <c r="IV318"/>
      <c r="IW318"/>
      <c r="IX318"/>
    </row>
    <row r="319" spans="1:258" s="430" customFormat="1" ht="12.6" customHeight="1" x14ac:dyDescent="0.2">
      <c r="A319" s="426" t="s">
        <v>188</v>
      </c>
      <c r="B319" s="427"/>
      <c r="C319" s="427"/>
      <c r="D319" s="427"/>
      <c r="E319" s="427"/>
      <c r="F319" s="428"/>
      <c r="G319" s="427"/>
      <c r="H319" s="427"/>
      <c r="I319" s="427"/>
      <c r="J319" s="427"/>
      <c r="K319" s="428"/>
      <c r="L319" s="427"/>
      <c r="M319" s="427"/>
      <c r="N319" s="427"/>
      <c r="O319" s="427"/>
      <c r="P319" s="428"/>
      <c r="Q319" s="427"/>
      <c r="R319" s="427"/>
      <c r="S319" s="427"/>
      <c r="T319" s="427"/>
      <c r="U319" s="428"/>
      <c r="V319" s="427"/>
      <c r="W319" s="427"/>
      <c r="X319" s="427"/>
      <c r="Y319" s="427"/>
      <c r="Z319" s="428"/>
      <c r="AA319" s="427"/>
      <c r="AB319" s="427"/>
      <c r="AC319" s="427"/>
      <c r="AD319" s="427"/>
      <c r="AE319" s="428"/>
      <c r="AF319" s="427"/>
      <c r="AG319" s="427"/>
      <c r="AH319" s="427"/>
      <c r="AI319" s="427"/>
      <c r="AJ319" s="428"/>
      <c r="AK319" s="427"/>
      <c r="AL319" s="427"/>
      <c r="AM319" s="427"/>
      <c r="AN319" s="427"/>
      <c r="AO319" s="428"/>
      <c r="AP319" s="427"/>
      <c r="AQ319" s="427"/>
      <c r="AR319" s="427"/>
      <c r="AS319" s="427"/>
      <c r="AT319" s="428"/>
      <c r="AU319" s="427"/>
      <c r="AV319" s="427"/>
      <c r="AW319" s="427"/>
      <c r="AX319" s="427"/>
      <c r="AY319" s="428"/>
      <c r="AZ319" s="427"/>
      <c r="BA319" s="427"/>
      <c r="BB319" s="427"/>
      <c r="BC319" s="427"/>
      <c r="BD319" s="428"/>
      <c r="BE319" s="427"/>
      <c r="BF319" s="427"/>
      <c r="BG319" s="427"/>
      <c r="BH319" s="427"/>
      <c r="BI319" s="428"/>
      <c r="BJ319" s="427"/>
      <c r="BK319" s="427"/>
      <c r="BL319" s="427"/>
      <c r="BM319" s="427"/>
      <c r="BN319" s="428"/>
      <c r="BO319" s="427"/>
      <c r="BP319" s="427"/>
      <c r="BQ319" s="427"/>
      <c r="BR319" s="427"/>
      <c r="BS319" s="428"/>
      <c r="BT319" s="427"/>
      <c r="BU319" s="427"/>
      <c r="BV319" s="427"/>
      <c r="BW319" s="427"/>
      <c r="BX319" s="428"/>
      <c r="BY319" s="427"/>
      <c r="BZ319" s="427"/>
      <c r="CA319" s="427"/>
      <c r="CB319" s="427"/>
      <c r="CC319" s="428"/>
      <c r="CD319" s="427"/>
      <c r="CE319" s="427"/>
      <c r="CF319" s="427"/>
      <c r="CG319" s="427"/>
      <c r="CH319" s="428"/>
      <c r="CI319" s="427"/>
      <c r="CJ319" s="427"/>
      <c r="CK319" s="427"/>
      <c r="CL319" s="427"/>
      <c r="CM319" s="428"/>
      <c r="CN319" s="427"/>
      <c r="CO319" s="427"/>
      <c r="CP319" s="427"/>
      <c r="CQ319" s="427"/>
      <c r="CR319" s="428"/>
      <c r="CS319" s="427"/>
      <c r="CT319" s="427"/>
      <c r="CU319" s="427"/>
      <c r="CV319" s="427"/>
      <c r="CW319" s="428"/>
      <c r="CX319" s="427"/>
      <c r="CY319" s="427"/>
      <c r="CZ319" s="427"/>
      <c r="DA319" s="427"/>
      <c r="DB319" s="428"/>
      <c r="DC319" s="427"/>
      <c r="DD319" s="427"/>
      <c r="DE319" s="427"/>
      <c r="DF319" s="427"/>
      <c r="DG319" s="428"/>
      <c r="DH319" s="427"/>
      <c r="DI319" s="427"/>
      <c r="DJ319" s="427"/>
      <c r="DK319" s="427"/>
      <c r="DL319" s="428"/>
      <c r="DM319" s="427"/>
      <c r="DN319" s="427"/>
      <c r="DO319" s="427"/>
      <c r="DP319" s="427"/>
      <c r="DQ319" s="428"/>
      <c r="DR319" s="427"/>
      <c r="DS319" s="427"/>
      <c r="DT319" s="427"/>
      <c r="DU319" s="427"/>
      <c r="DV319" s="428"/>
      <c r="DW319" s="427"/>
      <c r="DX319" s="429"/>
      <c r="DY319" s="429"/>
      <c r="DZ319" s="427"/>
      <c r="EA319" s="428"/>
      <c r="EB319" s="427"/>
      <c r="EC319" s="429"/>
      <c r="ED319" s="429"/>
      <c r="EE319" s="427"/>
      <c r="EF319" s="428"/>
      <c r="EG319" s="427"/>
      <c r="EH319" s="429"/>
      <c r="EI319" s="429"/>
      <c r="EJ319" s="427"/>
      <c r="EK319" s="428"/>
      <c r="EL319" s="429"/>
      <c r="EM319" s="429"/>
      <c r="EN319" s="429"/>
      <c r="EO319" s="427"/>
      <c r="EP319" s="2025"/>
      <c r="EQ319" s="429"/>
      <c r="ER319" s="429"/>
      <c r="ES319" s="429"/>
      <c r="ET319" s="429"/>
      <c r="EU319" s="428"/>
      <c r="EV319" s="429"/>
      <c r="EW319" s="429"/>
      <c r="EX319" s="429"/>
      <c r="EY319" s="429"/>
      <c r="EZ319" s="428"/>
      <c r="FA319" s="429"/>
      <c r="FB319" s="429"/>
      <c r="FC319" s="429"/>
      <c r="FD319" s="429"/>
      <c r="FE319" s="428"/>
      <c r="FG319" s="494"/>
      <c r="FH319" s="827"/>
      <c r="FI319" s="827"/>
      <c r="FJ319" s="827"/>
      <c r="FL319" s="1395"/>
      <c r="FM319"/>
      <c r="FN319"/>
      <c r="FO319"/>
      <c r="FP319"/>
      <c r="FQ319"/>
      <c r="FR319" s="1634"/>
      <c r="FS319" s="1634"/>
      <c r="FT319" s="456"/>
      <c r="FU319" s="456"/>
      <c r="FV319" s="456"/>
      <c r="FW319" s="456"/>
      <c r="FX319" s="456"/>
      <c r="FY319" s="456"/>
      <c r="FZ319" s="494"/>
      <c r="GA319"/>
      <c r="GB319"/>
      <c r="GC319"/>
      <c r="GD319"/>
      <c r="GE319"/>
      <c r="GF319"/>
      <c r="GG319"/>
      <c r="GH319"/>
      <c r="GI319"/>
      <c r="GJ319"/>
      <c r="GK319"/>
      <c r="GL319"/>
      <c r="GM319"/>
      <c r="GN319"/>
      <c r="GO319"/>
      <c r="GP319"/>
      <c r="GQ319"/>
      <c r="GR319"/>
      <c r="GS319"/>
      <c r="GT319"/>
      <c r="GU319"/>
      <c r="GV319"/>
      <c r="GW319"/>
      <c r="GX319"/>
      <c r="GY319"/>
      <c r="GZ319"/>
      <c r="HA319"/>
      <c r="HB319"/>
      <c r="HC319"/>
      <c r="HD319"/>
      <c r="HE319"/>
      <c r="HF319"/>
      <c r="HG319"/>
      <c r="HH319"/>
      <c r="HI319"/>
      <c r="HJ319"/>
      <c r="HK319"/>
      <c r="HL319"/>
      <c r="HM319"/>
      <c r="HN319"/>
      <c r="HO319"/>
      <c r="HP319"/>
      <c r="HQ319"/>
      <c r="HR319"/>
      <c r="HS319"/>
      <c r="HT319"/>
      <c r="HU319"/>
      <c r="HV319"/>
      <c r="HW319"/>
      <c r="HX319"/>
      <c r="HY319"/>
      <c r="HZ319"/>
      <c r="IA319"/>
      <c r="IB319"/>
      <c r="IC319"/>
      <c r="ID319"/>
      <c r="IE319"/>
      <c r="IF319"/>
      <c r="IG319"/>
      <c r="IH319"/>
      <c r="II319"/>
      <c r="IJ319"/>
      <c r="IK319"/>
      <c r="IL319"/>
      <c r="IM319"/>
      <c r="IN319"/>
      <c r="IO319"/>
      <c r="IP319"/>
      <c r="IQ319"/>
      <c r="IR319"/>
      <c r="IS319"/>
      <c r="IT319"/>
      <c r="IU319"/>
      <c r="IV319"/>
      <c r="IW319"/>
      <c r="IX319"/>
    </row>
    <row r="320" spans="1:258" s="314" customFormat="1" x14ac:dyDescent="0.2">
      <c r="A320" s="905" t="s">
        <v>276</v>
      </c>
      <c r="B320" s="157"/>
      <c r="C320" s="157"/>
      <c r="D320" s="157"/>
      <c r="E320" s="157"/>
      <c r="F320" s="38"/>
      <c r="G320" s="157"/>
      <c r="H320" s="157"/>
      <c r="I320" s="157"/>
      <c r="J320" s="157"/>
      <c r="K320" s="38"/>
      <c r="L320" s="157"/>
      <c r="M320" s="157"/>
      <c r="N320" s="157"/>
      <c r="O320" s="157"/>
      <c r="P320" s="38"/>
      <c r="Q320" s="157"/>
      <c r="R320" s="157"/>
      <c r="S320" s="157"/>
      <c r="T320" s="157"/>
      <c r="U320" s="38"/>
      <c r="V320" s="157"/>
      <c r="W320" s="157"/>
      <c r="X320" s="157"/>
      <c r="Y320" s="157"/>
      <c r="Z320" s="38"/>
      <c r="AA320" s="157"/>
      <c r="AB320" s="157"/>
      <c r="AC320" s="157"/>
      <c r="AD320" s="157"/>
      <c r="AE320" s="38"/>
      <c r="AF320" s="157"/>
      <c r="AG320" s="157"/>
      <c r="AH320" s="157"/>
      <c r="AI320" s="157"/>
      <c r="AJ320" s="38"/>
      <c r="AK320" s="157"/>
      <c r="AL320" s="157"/>
      <c r="AM320" s="157"/>
      <c r="AN320" s="157"/>
      <c r="AO320" s="38"/>
      <c r="AP320" s="157"/>
      <c r="AQ320" s="157"/>
      <c r="AR320" s="157"/>
      <c r="AS320" s="157"/>
      <c r="AT320" s="38">
        <v>-235</v>
      </c>
      <c r="AU320" s="157"/>
      <c r="AV320" s="157"/>
      <c r="AW320" s="157"/>
      <c r="AX320" s="157"/>
      <c r="AY320" s="38">
        <v>-262</v>
      </c>
      <c r="AZ320" s="157"/>
      <c r="BA320" s="157"/>
      <c r="BB320" s="157"/>
      <c r="BC320" s="157"/>
      <c r="BD320" s="38">
        <v>-262</v>
      </c>
      <c r="BE320" s="157"/>
      <c r="BF320" s="157"/>
      <c r="BG320" s="157"/>
      <c r="BH320" s="157"/>
      <c r="BI320" s="38">
        <v>-262</v>
      </c>
      <c r="BJ320" s="157"/>
      <c r="BK320" s="157"/>
      <c r="BL320" s="157"/>
      <c r="BM320" s="157"/>
      <c r="BN320" s="38">
        <v>-171</v>
      </c>
      <c r="BO320" s="157"/>
      <c r="BP320" s="157"/>
      <c r="BQ320" s="157"/>
      <c r="BR320" s="157"/>
      <c r="BS320" s="38">
        <v>-86</v>
      </c>
      <c r="BT320" s="157"/>
      <c r="BU320" s="157"/>
      <c r="BV320" s="157"/>
      <c r="BW320" s="157"/>
      <c r="BX320" s="38">
        <v>-86</v>
      </c>
      <c r="BY320" s="157"/>
      <c r="BZ320" s="157"/>
      <c r="CA320" s="157"/>
      <c r="CB320" s="157"/>
      <c r="CC320" s="38">
        <v>-86</v>
      </c>
      <c r="CD320" s="157"/>
      <c r="CE320" s="157"/>
      <c r="CF320" s="157"/>
      <c r="CG320" s="157"/>
      <c r="CH320" s="38">
        <v>-93</v>
      </c>
      <c r="CI320" s="157"/>
      <c r="CJ320" s="157"/>
      <c r="CK320" s="157"/>
      <c r="CL320" s="157"/>
      <c r="CM320" s="38">
        <v>-145</v>
      </c>
      <c r="CN320" s="157"/>
      <c r="CO320" s="157"/>
      <c r="CP320" s="157"/>
      <c r="CQ320" s="157"/>
      <c r="CR320" s="38">
        <v>-231</v>
      </c>
      <c r="CS320" s="157"/>
      <c r="CT320" s="157"/>
      <c r="CU320" s="157"/>
      <c r="CV320" s="157"/>
      <c r="CW320" s="38">
        <v>-308</v>
      </c>
      <c r="CX320" s="157"/>
      <c r="CY320" s="157"/>
      <c r="CZ320" s="157"/>
      <c r="DA320" s="157"/>
      <c r="DB320" s="38">
        <v>-345</v>
      </c>
      <c r="DC320" s="157"/>
      <c r="DD320" s="157"/>
      <c r="DE320" s="157"/>
      <c r="DF320" s="157"/>
      <c r="DG320" s="38">
        <v>-372</v>
      </c>
      <c r="DH320" s="157"/>
      <c r="DI320" s="157"/>
      <c r="DJ320" s="157"/>
      <c r="DK320" s="157"/>
      <c r="DL320" s="38">
        <v>-480</v>
      </c>
      <c r="DM320" s="157"/>
      <c r="DN320" s="157"/>
      <c r="DO320" s="157"/>
      <c r="DP320" s="157"/>
      <c r="DQ320" s="38">
        <v>-558</v>
      </c>
      <c r="DR320" s="906">
        <v>-143</v>
      </c>
      <c r="DS320" s="157">
        <f>+-296-DR320</f>
        <v>-153</v>
      </c>
      <c r="DT320" s="157">
        <f>+-448-SUM(DR320:DS320)</f>
        <v>-152</v>
      </c>
      <c r="DU320" s="157">
        <f>DV320-SUM(DR320:DT320)</f>
        <v>-152</v>
      </c>
      <c r="DV320" s="38">
        <v>-600</v>
      </c>
      <c r="DW320" s="906">
        <v>-151</v>
      </c>
      <c r="DX320" s="157">
        <f>+-311-DW320</f>
        <v>-160</v>
      </c>
      <c r="DY320" s="157">
        <f>+-470-SUM(DW320:DX320)</f>
        <v>-159</v>
      </c>
      <c r="DZ320" s="157">
        <f>EA320-SUM(DW320:DY320)</f>
        <v>-159</v>
      </c>
      <c r="EA320" s="38">
        <v>-629</v>
      </c>
      <c r="EB320" s="906">
        <v>-158</v>
      </c>
      <c r="EC320" s="157">
        <f>+-336-EB320</f>
        <v>-178</v>
      </c>
      <c r="ED320" s="157">
        <f>+-512-SUM(EB320:EC320)</f>
        <v>-176</v>
      </c>
      <c r="EE320" s="157">
        <f>EF320-SUM(EB320:ED320)</f>
        <v>-174</v>
      </c>
      <c r="EF320" s="38">
        <v>-686</v>
      </c>
      <c r="EG320" s="906">
        <v>-173</v>
      </c>
      <c r="EH320" s="157">
        <f>+-344-EG320</f>
        <v>-171</v>
      </c>
      <c r="EI320" s="157">
        <f>+-513-SUM(EG320:EH320)</f>
        <v>-169</v>
      </c>
      <c r="EJ320" s="157">
        <f>EK320-SUM(EG320:EI320)</f>
        <v>-167</v>
      </c>
      <c r="EK320" s="38">
        <v>-680</v>
      </c>
      <c r="EL320" s="906">
        <v>-166</v>
      </c>
      <c r="EM320" s="157">
        <f>+-350-EL320</f>
        <v>-184</v>
      </c>
      <c r="EN320" s="157">
        <f>+-530-SUM(EL320:EM320)</f>
        <v>-180</v>
      </c>
      <c r="EO320" s="157">
        <f>EP320-SUM(EL320:EN320)</f>
        <v>-178</v>
      </c>
      <c r="EP320" s="1916">
        <v>-708</v>
      </c>
      <c r="EQ320" s="157"/>
      <c r="ER320" s="157"/>
      <c r="ES320" s="157"/>
      <c r="ET320" s="157"/>
      <c r="EU320" s="38">
        <f>-EU290*EU278</f>
        <v>-754.03936386281248</v>
      </c>
      <c r="EV320" s="157"/>
      <c r="EW320" s="157"/>
      <c r="EX320" s="157"/>
      <c r="EY320" s="157"/>
      <c r="EZ320" s="38">
        <f>-EZ290*EZ278</f>
        <v>-777.40993140329442</v>
      </c>
      <c r="FA320" s="157"/>
      <c r="FB320" s="157"/>
      <c r="FC320" s="157"/>
      <c r="FD320" s="157"/>
      <c r="FE320" s="38">
        <f>-FE290*FE278</f>
        <v>-850.73875552779532</v>
      </c>
      <c r="FG320" s="899"/>
      <c r="FH320" s="836"/>
      <c r="FI320" s="836"/>
      <c r="FJ320" s="836"/>
      <c r="FK320" s="1327"/>
      <c r="FL320" s="1399"/>
      <c r="FM320"/>
      <c r="FN320"/>
      <c r="FO320"/>
      <c r="FP320"/>
      <c r="FQ320"/>
      <c r="FR320" s="1635"/>
      <c r="FS320" s="1635"/>
      <c r="FT320" s="719"/>
      <c r="FU320" s="719"/>
      <c r="FV320" s="719"/>
      <c r="FW320" s="719"/>
      <c r="FX320" s="719"/>
      <c r="FY320" s="719"/>
      <c r="FZ320" s="899"/>
      <c r="GA320"/>
      <c r="GB320"/>
      <c r="GC320"/>
      <c r="GD320"/>
      <c r="GE320"/>
      <c r="GF320"/>
      <c r="GG320"/>
      <c r="GH320"/>
      <c r="GI320"/>
      <c r="GJ320"/>
      <c r="GK320"/>
      <c r="GL320"/>
      <c r="GM320"/>
      <c r="GN320"/>
      <c r="GO320"/>
      <c r="GP320"/>
      <c r="GQ320"/>
      <c r="GR320"/>
      <c r="GS320"/>
      <c r="GT320"/>
      <c r="GU320"/>
      <c r="GV320"/>
      <c r="GW320"/>
      <c r="GX320"/>
      <c r="GY320"/>
      <c r="GZ320"/>
      <c r="HA320"/>
      <c r="HB320"/>
      <c r="HC320"/>
      <c r="HD320"/>
      <c r="HE320"/>
      <c r="HF320"/>
      <c r="HG320"/>
      <c r="HH320"/>
      <c r="HI320"/>
      <c r="HJ320"/>
      <c r="HK320"/>
      <c r="HL320"/>
      <c r="HM320"/>
      <c r="HN320"/>
      <c r="HO320"/>
      <c r="HP320"/>
      <c r="HQ320"/>
      <c r="HR320"/>
      <c r="HS320"/>
      <c r="HT320"/>
      <c r="HU320"/>
      <c r="HV320"/>
      <c r="HW320"/>
      <c r="HX320"/>
      <c r="HY320"/>
      <c r="HZ320"/>
      <c r="IA320"/>
      <c r="IB320"/>
      <c r="IC320"/>
      <c r="ID320"/>
      <c r="IE320"/>
      <c r="IF320"/>
      <c r="IG320"/>
      <c r="IH320"/>
      <c r="II320"/>
      <c r="IJ320"/>
      <c r="IK320"/>
      <c r="IL320"/>
      <c r="IM320"/>
      <c r="IN320"/>
      <c r="IO320"/>
      <c r="IP320"/>
      <c r="IQ320"/>
      <c r="IR320"/>
      <c r="IS320"/>
      <c r="IT320"/>
      <c r="IU320"/>
      <c r="IV320"/>
      <c r="IW320"/>
      <c r="IX320"/>
    </row>
    <row r="321" spans="1:258" s="314" customFormat="1" x14ac:dyDescent="0.2">
      <c r="A321" s="905" t="s">
        <v>427</v>
      </c>
      <c r="B321" s="157"/>
      <c r="C321" s="157"/>
      <c r="D321" s="157"/>
      <c r="E321" s="157"/>
      <c r="F321" s="38"/>
      <c r="G321" s="157"/>
      <c r="H321" s="157"/>
      <c r="I321" s="157"/>
      <c r="J321" s="157"/>
      <c r="K321" s="38"/>
      <c r="L321" s="157"/>
      <c r="M321" s="157"/>
      <c r="N321" s="157"/>
      <c r="O321" s="157"/>
      <c r="P321" s="38"/>
      <c r="Q321" s="157"/>
      <c r="R321" s="157"/>
      <c r="S321" s="157"/>
      <c r="T321" s="157"/>
      <c r="U321" s="38"/>
      <c r="V321" s="157"/>
      <c r="W321" s="157"/>
      <c r="X321" s="157"/>
      <c r="Y321" s="157"/>
      <c r="Z321" s="38"/>
      <c r="AA321" s="157"/>
      <c r="AB321" s="157"/>
      <c r="AC321" s="157"/>
      <c r="AD321" s="157"/>
      <c r="AE321" s="38"/>
      <c r="AF321" s="157"/>
      <c r="AG321" s="157"/>
      <c r="AH321" s="157"/>
      <c r="AI321" s="157"/>
      <c r="AJ321" s="38"/>
      <c r="AK321" s="157"/>
      <c r="AL321" s="157"/>
      <c r="AM321" s="157"/>
      <c r="AN321" s="157"/>
      <c r="AO321" s="38"/>
      <c r="AP321" s="157"/>
      <c r="AQ321" s="157"/>
      <c r="AR321" s="157"/>
      <c r="AS321" s="157"/>
      <c r="AT321" s="38">
        <v>-11</v>
      </c>
      <c r="AU321" s="157"/>
      <c r="AV321" s="157"/>
      <c r="AW321" s="157"/>
      <c r="AX321" s="157"/>
      <c r="AY321" s="38">
        <v>-103</v>
      </c>
      <c r="AZ321" s="157"/>
      <c r="BA321" s="157"/>
      <c r="BB321" s="157"/>
      <c r="BC321" s="157"/>
      <c r="BD321" s="38">
        <v>0</v>
      </c>
      <c r="BE321" s="157"/>
      <c r="BF321" s="157"/>
      <c r="BG321" s="157"/>
      <c r="BH321" s="157"/>
      <c r="BI321" s="38">
        <v>-42</v>
      </c>
      <c r="BJ321" s="157"/>
      <c r="BK321" s="157"/>
      <c r="BL321" s="157"/>
      <c r="BM321" s="157"/>
      <c r="BN321" s="38">
        <v>0</v>
      </c>
      <c r="BO321" s="157"/>
      <c r="BP321" s="157"/>
      <c r="BQ321" s="157"/>
      <c r="BR321" s="157"/>
      <c r="BS321" s="38">
        <v>0</v>
      </c>
      <c r="BT321" s="157"/>
      <c r="BU321" s="157"/>
      <c r="BV321" s="157"/>
      <c r="BW321" s="157"/>
      <c r="BX321" s="38">
        <v>0</v>
      </c>
      <c r="BY321" s="157"/>
      <c r="BZ321" s="157"/>
      <c r="CA321" s="157"/>
      <c r="CB321" s="157"/>
      <c r="CC321" s="38">
        <v>12</v>
      </c>
      <c r="CD321" s="157"/>
      <c r="CE321" s="157"/>
      <c r="CF321" s="157"/>
      <c r="CG321" s="157"/>
      <c r="CH321" s="38">
        <v>98</v>
      </c>
      <c r="CI321" s="157"/>
      <c r="CJ321" s="157"/>
      <c r="CK321" s="157"/>
      <c r="CL321" s="157"/>
      <c r="CM321" s="38">
        <f>319-465</f>
        <v>-146</v>
      </c>
      <c r="CN321" s="157"/>
      <c r="CO321" s="157"/>
      <c r="CP321" s="157"/>
      <c r="CQ321" s="157"/>
      <c r="CR321" s="38">
        <f>153-2174</f>
        <v>-2021</v>
      </c>
      <c r="CS321" s="157"/>
      <c r="CT321" s="157"/>
      <c r="CU321" s="157"/>
      <c r="CV321" s="157"/>
      <c r="CW321" s="38">
        <f>83-1570</f>
        <v>-1487</v>
      </c>
      <c r="CX321" s="157"/>
      <c r="CY321" s="157"/>
      <c r="CZ321" s="157"/>
      <c r="DA321" s="157"/>
      <c r="DB321" s="38">
        <v>0</v>
      </c>
      <c r="DC321" s="157"/>
      <c r="DD321" s="157"/>
      <c r="DE321" s="157"/>
      <c r="DF321" s="157"/>
      <c r="DG321" s="38">
        <v>-1452</v>
      </c>
      <c r="DH321" s="157"/>
      <c r="DI321" s="157"/>
      <c r="DJ321" s="157"/>
      <c r="DK321" s="157"/>
      <c r="DL321" s="38">
        <v>-1564</v>
      </c>
      <c r="DM321" s="157"/>
      <c r="DN321" s="157"/>
      <c r="DO321" s="157"/>
      <c r="DP321" s="157"/>
      <c r="DQ321" s="38">
        <v>-734</v>
      </c>
      <c r="DR321" s="906">
        <v>0</v>
      </c>
      <c r="DS321" s="157">
        <v>-95</v>
      </c>
      <c r="DT321" s="157">
        <f>+-224-DS321</f>
        <v>-129</v>
      </c>
      <c r="DU321" s="157">
        <f>DV321-SUM(DR321:DT321)</f>
        <v>-129</v>
      </c>
      <c r="DV321" s="38">
        <v>-353</v>
      </c>
      <c r="DW321" s="906">
        <v>-127</v>
      </c>
      <c r="DX321" s="157">
        <f>+-257-DW321</f>
        <v>-130</v>
      </c>
      <c r="DY321" s="157">
        <f>+-388-SUM(DW321:DX321)</f>
        <v>-131</v>
      </c>
      <c r="DZ321" s="157">
        <f>EA321-SUM(DW321:DY321)</f>
        <v>-129</v>
      </c>
      <c r="EA321" s="38">
        <v>-517</v>
      </c>
      <c r="EB321" s="906">
        <v>-127</v>
      </c>
      <c r="EC321" s="157">
        <f>+-284-EB321</f>
        <v>-157</v>
      </c>
      <c r="ED321" s="157">
        <f>+-546-SUM(EB321:EC321)</f>
        <v>-262</v>
      </c>
      <c r="EE321" s="157">
        <f>EF321-SUM(EB321:ED321)</f>
        <v>-258</v>
      </c>
      <c r="EF321" s="38">
        <v>-804</v>
      </c>
      <c r="EG321" s="906">
        <v>-249</v>
      </c>
      <c r="EH321" s="157">
        <f>+-515-EG321</f>
        <v>-266</v>
      </c>
      <c r="EI321" s="157">
        <f>+-778-SUM(EG321:EH321)</f>
        <v>-263</v>
      </c>
      <c r="EJ321" s="157">
        <f>EK321-SUM(EG321:EI321)</f>
        <v>-278</v>
      </c>
      <c r="EK321" s="38">
        <v>-1056</v>
      </c>
      <c r="EL321" s="906">
        <v>-258</v>
      </c>
      <c r="EM321" s="157">
        <f>+-757-EL321</f>
        <v>-499</v>
      </c>
      <c r="EN321" s="157">
        <f>+-1763-SUM(EL321:EM321)</f>
        <v>-1006</v>
      </c>
      <c r="EO321" s="157">
        <f>EP321-SUM(EL321:EN321)</f>
        <v>-207</v>
      </c>
      <c r="EP321" s="2027">
        <v>-1970</v>
      </c>
      <c r="EQ321" s="1185">
        <f ca="1">(EQ278-EO278)*EQ294</f>
        <v>-518.0369347692307</v>
      </c>
      <c r="ER321" s="1185">
        <f t="shared" ref="ER321" ca="1" si="1468">(ER278-EQ278)*ER294</f>
        <v>-1093.5002834123088</v>
      </c>
      <c r="ES321" s="1185">
        <f ca="1">(ES278-ER278)*ES294</f>
        <v>-1161.431836125003</v>
      </c>
      <c r="ET321" s="1185">
        <f t="shared" ref="ET321" ca="1" si="1469">(ET278-ES278)*ET294</f>
        <v>-1133.8478300170359</v>
      </c>
      <c r="EU321" s="1936">
        <f ca="1">SUM(EQ321:ET321)</f>
        <v>-3906.8168843235785</v>
      </c>
      <c r="EV321" s="1185">
        <f ca="1">(EV278-ET278)*EV294</f>
        <v>-932.14226867715922</v>
      </c>
      <c r="EW321" s="1185">
        <f t="shared" ref="EW321:EY321" ca="1" si="1470">(EW278-EV278)*EW294</f>
        <v>-342.56228373885614</v>
      </c>
      <c r="EX321" s="1185">
        <f t="shared" ca="1" si="1470"/>
        <v>-339.99306661081323</v>
      </c>
      <c r="EY321" s="1185">
        <f t="shared" ca="1" si="1470"/>
        <v>-337.44311861122833</v>
      </c>
      <c r="EZ321" s="1936">
        <f ca="1">SUM(EV321:EY321)</f>
        <v>-1952.1407376380569</v>
      </c>
      <c r="FA321" s="923"/>
      <c r="FB321" s="923"/>
      <c r="FC321" s="923"/>
      <c r="FD321" s="923"/>
      <c r="FE321" s="1936">
        <f ca="1">(FE278-EZ278)*FE294</f>
        <v>-1354.9107641825574</v>
      </c>
      <c r="FG321" s="899"/>
      <c r="FH321" s="836">
        <f ca="1">+SUM(EV321,EQ321:ET321)</f>
        <v>-4838.9591530007374</v>
      </c>
      <c r="FI321" s="836"/>
      <c r="FJ321" s="836"/>
      <c r="FK321" s="1327"/>
      <c r="FL321" s="1399"/>
      <c r="FM321"/>
      <c r="FN321"/>
      <c r="FO321"/>
      <c r="FP321"/>
      <c r="FQ321"/>
      <c r="FR321" s="1625" t="s">
        <v>809</v>
      </c>
      <c r="FS321" s="1625"/>
      <c r="FT321" s="409"/>
      <c r="FU321" s="719"/>
      <c r="FV321" s="719"/>
      <c r="FW321" s="719"/>
      <c r="FX321" s="719"/>
      <c r="FY321" s="719"/>
      <c r="FZ321" s="899"/>
      <c r="GA321"/>
      <c r="GB321"/>
      <c r="GC321"/>
      <c r="GD321"/>
      <c r="GE321"/>
      <c r="GF321"/>
      <c r="GG321"/>
      <c r="GH321"/>
      <c r="GI321"/>
      <c r="GJ321"/>
      <c r="GK321"/>
      <c r="GL321"/>
      <c r="GM321"/>
      <c r="GN321"/>
      <c r="GO321"/>
      <c r="GP321"/>
      <c r="GQ321"/>
      <c r="GR321"/>
      <c r="GS321"/>
      <c r="GT321"/>
      <c r="GU321"/>
      <c r="GV321"/>
      <c r="GW321"/>
      <c r="GX321"/>
      <c r="GY321"/>
      <c r="GZ321"/>
      <c r="HA321"/>
      <c r="HB321"/>
      <c r="HC321"/>
      <c r="HD321"/>
      <c r="HE321"/>
      <c r="HF321"/>
      <c r="HG321"/>
      <c r="HH321"/>
      <c r="HI321"/>
      <c r="HJ321"/>
      <c r="HK321"/>
      <c r="HL321"/>
      <c r="HM321"/>
      <c r="HN321"/>
      <c r="HO321"/>
      <c r="HP321"/>
      <c r="HQ321"/>
      <c r="HR321"/>
      <c r="HS321"/>
      <c r="HT321"/>
      <c r="HU321"/>
      <c r="HV321"/>
      <c r="HW321"/>
      <c r="HX321"/>
      <c r="HY321"/>
      <c r="HZ321"/>
      <c r="IA321"/>
      <c r="IB321"/>
      <c r="IC321"/>
      <c r="ID321"/>
      <c r="IE321"/>
      <c r="IF321"/>
      <c r="IG321"/>
      <c r="IH321"/>
      <c r="II321"/>
      <c r="IJ321"/>
      <c r="IK321"/>
      <c r="IL321"/>
      <c r="IM321"/>
      <c r="IN321"/>
      <c r="IO321"/>
      <c r="IP321"/>
      <c r="IQ321"/>
      <c r="IR321"/>
      <c r="IS321"/>
      <c r="IT321"/>
      <c r="IU321"/>
      <c r="IV321"/>
      <c r="IW321"/>
      <c r="IX321"/>
    </row>
    <row r="322" spans="1:258" s="314" customFormat="1" x14ac:dyDescent="0.2">
      <c r="A322" s="905" t="s">
        <v>384</v>
      </c>
      <c r="B322" s="157"/>
      <c r="C322" s="157"/>
      <c r="D322" s="157"/>
      <c r="E322" s="157"/>
      <c r="F322" s="38"/>
      <c r="G322" s="157"/>
      <c r="H322" s="157"/>
      <c r="I322" s="157"/>
      <c r="J322" s="157"/>
      <c r="K322" s="38"/>
      <c r="L322" s="157"/>
      <c r="M322" s="157"/>
      <c r="N322" s="157"/>
      <c r="O322" s="157"/>
      <c r="P322" s="38"/>
      <c r="Q322" s="157"/>
      <c r="R322" s="157"/>
      <c r="S322" s="157"/>
      <c r="T322" s="157"/>
      <c r="U322" s="38"/>
      <c r="V322" s="157"/>
      <c r="W322" s="157"/>
      <c r="X322" s="157"/>
      <c r="Y322" s="157"/>
      <c r="Z322" s="38"/>
      <c r="AA322" s="157"/>
      <c r="AB322" s="157"/>
      <c r="AC322" s="157"/>
      <c r="AD322" s="157"/>
      <c r="AE322" s="38"/>
      <c r="AF322" s="157"/>
      <c r="AG322" s="157"/>
      <c r="AH322" s="157"/>
      <c r="AI322" s="157"/>
      <c r="AJ322" s="38"/>
      <c r="AK322" s="157"/>
      <c r="AL322" s="157"/>
      <c r="AM322" s="157"/>
      <c r="AN322" s="157"/>
      <c r="AO322" s="38"/>
      <c r="AP322" s="157"/>
      <c r="AQ322" s="157"/>
      <c r="AR322" s="157"/>
      <c r="AS322" s="157"/>
      <c r="AT322" s="38"/>
      <c r="AU322" s="157"/>
      <c r="AV322" s="157"/>
      <c r="AW322" s="157"/>
      <c r="AX322" s="157"/>
      <c r="AY322" s="38"/>
      <c r="AZ322" s="157"/>
      <c r="BA322" s="157"/>
      <c r="BB322" s="157"/>
      <c r="BC322" s="157"/>
      <c r="BD322" s="38"/>
      <c r="BE322" s="157"/>
      <c r="BF322" s="157"/>
      <c r="BG322" s="157"/>
      <c r="BH322" s="157"/>
      <c r="BI322" s="38"/>
      <c r="BJ322" s="157"/>
      <c r="BK322" s="157"/>
      <c r="BL322" s="157"/>
      <c r="BM322" s="157"/>
      <c r="BN322" s="38"/>
      <c r="BO322" s="157"/>
      <c r="BP322" s="157"/>
      <c r="BQ322" s="157"/>
      <c r="BR322" s="157"/>
      <c r="BS322" s="38"/>
      <c r="BT322" s="157"/>
      <c r="BU322" s="157"/>
      <c r="BV322" s="157"/>
      <c r="BW322" s="157"/>
      <c r="BX322" s="38"/>
      <c r="BY322" s="157"/>
      <c r="BZ322" s="157"/>
      <c r="CA322" s="157"/>
      <c r="CB322" s="157"/>
      <c r="CC322" s="38"/>
      <c r="CD322" s="157"/>
      <c r="CE322" s="157"/>
      <c r="CF322" s="157"/>
      <c r="CG322" s="157"/>
      <c r="CH322" s="38"/>
      <c r="CI322" s="157"/>
      <c r="CJ322" s="157"/>
      <c r="CK322" s="157"/>
      <c r="CL322" s="157"/>
      <c r="CM322" s="38"/>
      <c r="CN322" s="157"/>
      <c r="CO322" s="157"/>
      <c r="CP322" s="157"/>
      <c r="CQ322" s="157"/>
      <c r="CR322" s="38"/>
      <c r="CS322" s="157"/>
      <c r="CT322" s="157"/>
      <c r="CU322" s="157"/>
      <c r="CV322" s="157"/>
      <c r="CW322" s="38"/>
      <c r="CX322" s="157"/>
      <c r="CY322" s="157"/>
      <c r="CZ322" s="157"/>
      <c r="DA322" s="157"/>
      <c r="DB322" s="38"/>
      <c r="DC322" s="157"/>
      <c r="DD322" s="157"/>
      <c r="DE322" s="157"/>
      <c r="DF322" s="157"/>
      <c r="DG322" s="38"/>
      <c r="DH322" s="157"/>
      <c r="DI322" s="157"/>
      <c r="DJ322" s="157"/>
      <c r="DK322" s="157"/>
      <c r="DL322" s="38"/>
      <c r="DM322" s="157"/>
      <c r="DN322" s="157"/>
      <c r="DO322" s="157"/>
      <c r="DP322" s="157"/>
      <c r="DQ322" s="907"/>
      <c r="DR322" s="157"/>
      <c r="DS322" s="157"/>
      <c r="DT322" s="157"/>
      <c r="DU322" s="157"/>
      <c r="DV322" s="907"/>
      <c r="DW322" s="157"/>
      <c r="DX322" s="898"/>
      <c r="DY322" s="898"/>
      <c r="DZ322" s="157"/>
      <c r="EA322" s="907"/>
      <c r="EB322" s="157"/>
      <c r="EC322" s="898"/>
      <c r="ED322" s="898"/>
      <c r="EE322" s="157"/>
      <c r="EF322" s="907"/>
      <c r="EG322" s="157"/>
      <c r="EH322" s="898"/>
      <c r="EI322" s="898"/>
      <c r="EJ322" s="157"/>
      <c r="EK322" s="907"/>
      <c r="EL322" s="157"/>
      <c r="EM322" s="898"/>
      <c r="EN322" s="898"/>
      <c r="EO322" s="157"/>
      <c r="EP322" s="907"/>
      <c r="EQ322" s="898"/>
      <c r="ER322" s="898"/>
      <c r="ES322" s="898"/>
      <c r="ET322" s="898"/>
      <c r="EU322" s="907">
        <v>0</v>
      </c>
      <c r="EV322" s="898"/>
      <c r="EW322" s="898"/>
      <c r="EX322" s="898"/>
      <c r="EY322" s="898"/>
      <c r="EZ322" s="907">
        <v>0</v>
      </c>
      <c r="FA322" s="898"/>
      <c r="FB322" s="898"/>
      <c r="FC322" s="898"/>
      <c r="FD322" s="898"/>
      <c r="FE322" s="907">
        <v>0</v>
      </c>
      <c r="FG322" s="899"/>
      <c r="FH322" s="836"/>
      <c r="FI322" s="836"/>
      <c r="FJ322" s="836"/>
      <c r="FK322" s="1327"/>
      <c r="FL322" s="1399"/>
      <c r="FM322"/>
      <c r="FN322"/>
      <c r="FO322"/>
      <c r="FP322"/>
      <c r="FQ322"/>
      <c r="FR322" s="1297"/>
      <c r="FS322" s="1631" t="s">
        <v>795</v>
      </c>
      <c r="FT322" s="409"/>
      <c r="FU322" s="719"/>
      <c r="FV322" s="719"/>
      <c r="FW322" s="719"/>
      <c r="FX322" s="719"/>
      <c r="FY322" s="719"/>
      <c r="FZ322" s="899"/>
      <c r="GA322"/>
      <c r="GB322"/>
      <c r="GC322"/>
      <c r="GD322"/>
      <c r="GE322"/>
      <c r="GF322"/>
      <c r="GG322"/>
      <c r="GH322"/>
      <c r="GI322"/>
      <c r="GJ322"/>
      <c r="GK322"/>
      <c r="GL322"/>
      <c r="GM322"/>
      <c r="GN322"/>
      <c r="GO322"/>
      <c r="GP322"/>
      <c r="GQ322"/>
      <c r="GR322"/>
      <c r="GS322"/>
      <c r="GT322"/>
      <c r="GU322"/>
      <c r="GV322"/>
      <c r="GW322"/>
      <c r="GX322"/>
      <c r="GY322"/>
      <c r="GZ322"/>
      <c r="HA322"/>
      <c r="HB322"/>
      <c r="HC322"/>
      <c r="HD322"/>
      <c r="HE322"/>
      <c r="HF322"/>
      <c r="HG322"/>
      <c r="HH322"/>
      <c r="HI322"/>
      <c r="HJ322"/>
      <c r="HK322"/>
      <c r="HL322"/>
      <c r="HM322"/>
      <c r="HN322"/>
      <c r="HO322"/>
      <c r="HP322"/>
      <c r="HQ322"/>
      <c r="HR322"/>
      <c r="HS322"/>
      <c r="HT322"/>
      <c r="HU322"/>
      <c r="HV322"/>
      <c r="HW322"/>
      <c r="HX322"/>
      <c r="HY322"/>
      <c r="HZ322"/>
      <c r="IA322"/>
      <c r="IB322"/>
      <c r="IC322"/>
      <c r="ID322"/>
      <c r="IE322"/>
      <c r="IF322"/>
      <c r="IG322"/>
      <c r="IH322"/>
      <c r="II322"/>
      <c r="IJ322"/>
      <c r="IK322"/>
      <c r="IL322"/>
      <c r="IM322"/>
      <c r="IN322"/>
      <c r="IO322"/>
      <c r="IP322"/>
      <c r="IQ322"/>
      <c r="IR322"/>
      <c r="IS322"/>
      <c r="IT322"/>
      <c r="IU322"/>
      <c r="IV322"/>
      <c r="IW322"/>
      <c r="IX322"/>
    </row>
    <row r="323" spans="1:258" s="243" customFormat="1" ht="12.6" customHeight="1" x14ac:dyDescent="0.2">
      <c r="A323" s="908" t="s">
        <v>68</v>
      </c>
      <c r="B323" s="240"/>
      <c r="C323" s="240"/>
      <c r="D323" s="240"/>
      <c r="E323" s="240"/>
      <c r="F323" s="156"/>
      <c r="G323" s="240"/>
      <c r="H323" s="240"/>
      <c r="I323" s="240"/>
      <c r="J323" s="240"/>
      <c r="K323" s="156"/>
      <c r="L323" s="240"/>
      <c r="M323" s="240"/>
      <c r="N323" s="240"/>
      <c r="O323" s="240"/>
      <c r="P323" s="156"/>
      <c r="Q323" s="240"/>
      <c r="R323" s="240"/>
      <c r="S323" s="240"/>
      <c r="T323" s="240"/>
      <c r="U323" s="156"/>
      <c r="V323" s="240"/>
      <c r="W323" s="240"/>
      <c r="X323" s="240"/>
      <c r="Y323" s="240"/>
      <c r="Z323" s="156"/>
      <c r="AA323" s="240"/>
      <c r="AB323" s="240"/>
      <c r="AC323" s="240"/>
      <c r="AD323" s="240"/>
      <c r="AE323" s="156"/>
      <c r="AF323" s="240"/>
      <c r="AG323" s="240"/>
      <c r="AH323" s="240"/>
      <c r="AI323" s="240"/>
      <c r="AJ323" s="156"/>
      <c r="AK323" s="240"/>
      <c r="AL323" s="240"/>
      <c r="AM323" s="240"/>
      <c r="AN323" s="240"/>
      <c r="AO323" s="156"/>
      <c r="AP323" s="240"/>
      <c r="AQ323" s="240"/>
      <c r="AR323" s="240"/>
      <c r="AS323" s="240"/>
      <c r="AT323" s="156">
        <f>SUM(AT320:AT322)</f>
        <v>-246</v>
      </c>
      <c r="AU323" s="240"/>
      <c r="AV323" s="240"/>
      <c r="AW323" s="240"/>
      <c r="AX323" s="240"/>
      <c r="AY323" s="156">
        <f>SUM(AY320:AY322)</f>
        <v>-365</v>
      </c>
      <c r="AZ323" s="240"/>
      <c r="BA323" s="240"/>
      <c r="BB323" s="240"/>
      <c r="BC323" s="240"/>
      <c r="BD323" s="156">
        <f>SUM(BD320:BD322)</f>
        <v>-262</v>
      </c>
      <c r="BE323" s="240"/>
      <c r="BF323" s="240"/>
      <c r="BG323" s="240"/>
      <c r="BH323" s="240"/>
      <c r="BI323" s="156">
        <f>SUM(BI320:BI322)</f>
        <v>-304</v>
      </c>
      <c r="BJ323" s="240"/>
      <c r="BK323" s="240"/>
      <c r="BL323" s="240"/>
      <c r="BM323" s="240"/>
      <c r="BN323" s="156">
        <f>BN322+BN320+BN321</f>
        <v>-171</v>
      </c>
      <c r="BO323" s="240"/>
      <c r="BP323" s="240"/>
      <c r="BQ323" s="240"/>
      <c r="BR323" s="240"/>
      <c r="BS323" s="156">
        <f>BS322+BS320+BS321</f>
        <v>-86</v>
      </c>
      <c r="BT323" s="240"/>
      <c r="BU323" s="240"/>
      <c r="BV323" s="240"/>
      <c r="BW323" s="240"/>
      <c r="BX323" s="156">
        <f>BX322+BX320+BX321</f>
        <v>-86</v>
      </c>
      <c r="BY323" s="240"/>
      <c r="BZ323" s="240"/>
      <c r="CA323" s="240"/>
      <c r="CB323" s="240"/>
      <c r="CC323" s="156">
        <f>CC322+CC320+CC321</f>
        <v>-74</v>
      </c>
      <c r="CD323" s="240"/>
      <c r="CE323" s="240"/>
      <c r="CF323" s="240"/>
      <c r="CG323" s="240"/>
      <c r="CH323" s="156">
        <f>CH322+CH320+CH321</f>
        <v>5</v>
      </c>
      <c r="CI323" s="240"/>
      <c r="CJ323" s="240"/>
      <c r="CK323" s="240"/>
      <c r="CL323" s="240"/>
      <c r="CM323" s="156">
        <f>SUM(CM320:CM322)</f>
        <v>-291</v>
      </c>
      <c r="CN323" s="240"/>
      <c r="CO323" s="240"/>
      <c r="CP323" s="240"/>
      <c r="CQ323" s="240"/>
      <c r="CR323" s="156">
        <f>SUM(CR320:CR322)</f>
        <v>-2252</v>
      </c>
      <c r="CS323" s="240"/>
      <c r="CT323" s="240"/>
      <c r="CU323" s="240"/>
      <c r="CV323" s="240"/>
      <c r="CW323" s="156">
        <f>SUM(CW320:CW322)</f>
        <v>-1795</v>
      </c>
      <c r="CX323" s="240"/>
      <c r="CY323" s="240"/>
      <c r="CZ323" s="240"/>
      <c r="DA323" s="240"/>
      <c r="DB323" s="156">
        <f>SUM(DB320:DB322)</f>
        <v>-345</v>
      </c>
      <c r="DC323" s="240"/>
      <c r="DD323" s="240"/>
      <c r="DE323" s="240"/>
      <c r="DF323" s="240"/>
      <c r="DG323" s="156">
        <f>SUM(DG320:DG322)</f>
        <v>-1824</v>
      </c>
      <c r="DH323" s="240"/>
      <c r="DI323" s="240"/>
      <c r="DJ323" s="240"/>
      <c r="DK323" s="240"/>
      <c r="DL323" s="156">
        <f>SUM(DL320:DL322)</f>
        <v>-2044</v>
      </c>
      <c r="DM323" s="240"/>
      <c r="DN323" s="240"/>
      <c r="DO323" s="240"/>
      <c r="DP323" s="240"/>
      <c r="DQ323" s="156">
        <f t="shared" ref="DQ323:DY323" si="1471">DQ322+DQ320+DQ321</f>
        <v>-1292</v>
      </c>
      <c r="DR323" s="240">
        <f t="shared" si="1471"/>
        <v>-143</v>
      </c>
      <c r="DS323" s="240">
        <f t="shared" si="1471"/>
        <v>-248</v>
      </c>
      <c r="DT323" s="240">
        <f t="shared" si="1471"/>
        <v>-281</v>
      </c>
      <c r="DU323" s="240">
        <f t="shared" si="1471"/>
        <v>-281</v>
      </c>
      <c r="DV323" s="156">
        <f t="shared" si="1471"/>
        <v>-953</v>
      </c>
      <c r="DW323" s="240">
        <f t="shared" si="1471"/>
        <v>-278</v>
      </c>
      <c r="DX323" s="240">
        <f t="shared" si="1471"/>
        <v>-290</v>
      </c>
      <c r="DY323" s="240">
        <f t="shared" si="1471"/>
        <v>-290</v>
      </c>
      <c r="DZ323" s="240">
        <f t="shared" ref="DZ323:EF323" si="1472">DZ322+DZ320+DZ321</f>
        <v>-288</v>
      </c>
      <c r="EA323" s="156">
        <f t="shared" si="1472"/>
        <v>-1146</v>
      </c>
      <c r="EB323" s="240">
        <f t="shared" si="1472"/>
        <v>-285</v>
      </c>
      <c r="EC323" s="240">
        <f t="shared" si="1472"/>
        <v>-335</v>
      </c>
      <c r="ED323" s="240">
        <f t="shared" si="1472"/>
        <v>-438</v>
      </c>
      <c r="EE323" s="240">
        <f t="shared" si="1472"/>
        <v>-432</v>
      </c>
      <c r="EF323" s="156">
        <f t="shared" si="1472"/>
        <v>-1490</v>
      </c>
      <c r="EG323" s="240">
        <f>EG322+EG320+EG321</f>
        <v>-422</v>
      </c>
      <c r="EH323" s="240">
        <f>EH322+EH320+EH321</f>
        <v>-437</v>
      </c>
      <c r="EI323" s="240">
        <f t="shared" ref="EI323:EK323" si="1473">EI322+EI320+EI321</f>
        <v>-432</v>
      </c>
      <c r="EJ323" s="240">
        <f t="shared" si="1473"/>
        <v>-445</v>
      </c>
      <c r="EK323" s="156">
        <f t="shared" si="1473"/>
        <v>-1736</v>
      </c>
      <c r="EL323" s="240">
        <f>EL322+EL320+EL321</f>
        <v>-424</v>
      </c>
      <c r="EM323" s="240">
        <f>EM322+EM320+EM321</f>
        <v>-683</v>
      </c>
      <c r="EN323" s="240">
        <f t="shared" ref="EN323:EO323" si="1474">EN322+EN320+EN321</f>
        <v>-1186</v>
      </c>
      <c r="EO323" s="240">
        <f t="shared" si="1474"/>
        <v>-385</v>
      </c>
      <c r="EP323" s="1007">
        <f>EP322+EP320+EP321</f>
        <v>-2678</v>
      </c>
      <c r="EQ323" s="240"/>
      <c r="ER323" s="240"/>
      <c r="ES323" s="240"/>
      <c r="ET323" s="240"/>
      <c r="EU323" s="156">
        <f ca="1">EU322+EU320+EU321</f>
        <v>-4660.856248186391</v>
      </c>
      <c r="EV323" s="240"/>
      <c r="EW323" s="240"/>
      <c r="EX323" s="240"/>
      <c r="EY323" s="240"/>
      <c r="EZ323" s="156">
        <f ca="1">EZ322+EZ320+EZ321</f>
        <v>-2729.5506690413513</v>
      </c>
      <c r="FA323" s="240"/>
      <c r="FB323" s="240"/>
      <c r="FC323" s="240"/>
      <c r="FD323" s="240"/>
      <c r="FE323" s="156">
        <f ca="1">FE322+FE320+FE321</f>
        <v>-2205.6495197103527</v>
      </c>
      <c r="FG323" s="899"/>
      <c r="FH323" s="835"/>
      <c r="FI323" s="835"/>
      <c r="FJ323" s="835"/>
      <c r="FL323" s="1402"/>
      <c r="FM323"/>
      <c r="FN323"/>
      <c r="FO323"/>
      <c r="FP323"/>
      <c r="FQ323"/>
      <c r="FR323" s="1632"/>
      <c r="FS323" s="1631" t="s">
        <v>792</v>
      </c>
      <c r="FT323" s="459"/>
      <c r="FU323" s="459"/>
      <c r="FV323" s="459"/>
      <c r="FW323" s="459"/>
      <c r="FX323" s="459"/>
      <c r="FY323" s="459"/>
      <c r="FZ323" s="899"/>
      <c r="GA323"/>
      <c r="GB323"/>
      <c r="GC323"/>
      <c r="GD323"/>
      <c r="GE323"/>
      <c r="GF323"/>
      <c r="GG323"/>
      <c r="GH323"/>
      <c r="GI323"/>
      <c r="GJ323"/>
      <c r="GK323"/>
      <c r="GL323"/>
      <c r="GM323"/>
      <c r="GN323"/>
      <c r="GO323"/>
      <c r="GP323"/>
      <c r="GQ323"/>
      <c r="GR323"/>
      <c r="GS323"/>
      <c r="GT323"/>
      <c r="GU323"/>
      <c r="GV323"/>
      <c r="GW323"/>
      <c r="GX323"/>
      <c r="GY323"/>
      <c r="GZ323"/>
      <c r="HA323"/>
      <c r="HB323"/>
      <c r="HC323"/>
      <c r="HD323"/>
      <c r="HE323"/>
      <c r="HF323"/>
      <c r="HG323"/>
      <c r="HH323"/>
      <c r="HI323"/>
      <c r="HJ323"/>
      <c r="HK323"/>
      <c r="HL323"/>
      <c r="HM323"/>
      <c r="HN323"/>
      <c r="HO323"/>
      <c r="HP323"/>
      <c r="HQ323"/>
      <c r="HR323"/>
      <c r="HS323"/>
      <c r="HT323"/>
      <c r="HU323"/>
      <c r="HV323"/>
      <c r="HW323"/>
      <c r="HX323"/>
      <c r="HY323"/>
      <c r="HZ323"/>
      <c r="IA323"/>
      <c r="IB323"/>
      <c r="IC323"/>
      <c r="ID323"/>
      <c r="IE323"/>
      <c r="IF323"/>
      <c r="IG323"/>
      <c r="IH323"/>
      <c r="II323"/>
      <c r="IJ323"/>
      <c r="IK323"/>
      <c r="IL323"/>
      <c r="IM323"/>
      <c r="IN323"/>
      <c r="IO323"/>
      <c r="IP323"/>
      <c r="IQ323"/>
      <c r="IR323"/>
      <c r="IS323"/>
      <c r="IT323"/>
      <c r="IU323"/>
      <c r="IV323"/>
      <c r="IW323"/>
      <c r="IX323"/>
    </row>
    <row r="324" spans="1:258" s="314" customFormat="1" x14ac:dyDescent="0.2">
      <c r="A324" s="905" t="s">
        <v>25</v>
      </c>
      <c r="B324" s="157"/>
      <c r="C324" s="157"/>
      <c r="D324" s="157"/>
      <c r="E324" s="157"/>
      <c r="F324" s="38"/>
      <c r="G324" s="157"/>
      <c r="H324" s="157"/>
      <c r="I324" s="157"/>
      <c r="J324" s="157"/>
      <c r="K324" s="38"/>
      <c r="L324" s="157"/>
      <c r="M324" s="157"/>
      <c r="N324" s="157"/>
      <c r="O324" s="157"/>
      <c r="P324" s="38"/>
      <c r="Q324" s="157"/>
      <c r="R324" s="157"/>
      <c r="S324" s="157"/>
      <c r="T324" s="157"/>
      <c r="U324" s="38"/>
      <c r="V324" s="157"/>
      <c r="W324" s="157"/>
      <c r="X324" s="157"/>
      <c r="Y324" s="157"/>
      <c r="Z324" s="38"/>
      <c r="AA324" s="157"/>
      <c r="AB324" s="157"/>
      <c r="AC324" s="157"/>
      <c r="AD324" s="157"/>
      <c r="AE324" s="38"/>
      <c r="AF324" s="157"/>
      <c r="AG324" s="157"/>
      <c r="AH324" s="157"/>
      <c r="AI324" s="157"/>
      <c r="AJ324" s="38"/>
      <c r="AK324" s="157"/>
      <c r="AL324" s="157"/>
      <c r="AM324" s="157"/>
      <c r="AN324" s="157"/>
      <c r="AO324" s="38"/>
      <c r="AP324" s="157"/>
      <c r="AQ324" s="157"/>
      <c r="AR324" s="157"/>
      <c r="AS324" s="157"/>
      <c r="AT324" s="38">
        <f>-209+2530-398</f>
        <v>1923</v>
      </c>
      <c r="AU324" s="157"/>
      <c r="AV324" s="157"/>
      <c r="AW324" s="157"/>
      <c r="AX324" s="157"/>
      <c r="AY324" s="38">
        <f>61+1153-1132</f>
        <v>82</v>
      </c>
      <c r="AZ324" s="157"/>
      <c r="BA324" s="157"/>
      <c r="BB324" s="157"/>
      <c r="BC324" s="157"/>
      <c r="BD324" s="38">
        <f>187+284-126</f>
        <v>345</v>
      </c>
      <c r="BE324" s="157"/>
      <c r="BF324" s="157"/>
      <c r="BG324" s="157"/>
      <c r="BH324" s="157"/>
      <c r="BI324" s="38">
        <f>588-225-751</f>
        <v>-388</v>
      </c>
      <c r="BJ324" s="157"/>
      <c r="BK324" s="157"/>
      <c r="BL324" s="157"/>
      <c r="BM324" s="157"/>
      <c r="BN324" s="38">
        <f>962-524-266</f>
        <v>172</v>
      </c>
      <c r="BO324" s="157"/>
      <c r="BP324" s="157"/>
      <c r="BQ324" s="157"/>
      <c r="BR324" s="157"/>
      <c r="BS324" s="38">
        <f>140+748-1159</f>
        <v>-271</v>
      </c>
      <c r="BT324" s="157"/>
      <c r="BU324" s="157"/>
      <c r="BV324" s="157"/>
      <c r="BW324" s="157"/>
      <c r="BX324" s="38">
        <f>919-500-141</f>
        <v>278</v>
      </c>
      <c r="BY324" s="157"/>
      <c r="BZ324" s="157"/>
      <c r="CA324" s="157"/>
      <c r="CB324" s="157"/>
      <c r="CC324" s="38">
        <f>99+401-434</f>
        <v>66</v>
      </c>
      <c r="CD324" s="157"/>
      <c r="CE324" s="157"/>
      <c r="CF324" s="157"/>
      <c r="CG324" s="157"/>
      <c r="CH324" s="38">
        <f>105-99-1283</f>
        <v>-1277</v>
      </c>
      <c r="CI324" s="157"/>
      <c r="CJ324" s="157"/>
      <c r="CK324" s="157"/>
      <c r="CL324" s="157"/>
      <c r="CM324" s="38">
        <f>471-546+7</f>
        <v>-68</v>
      </c>
      <c r="CN324" s="157"/>
      <c r="CO324" s="157"/>
      <c r="CP324" s="157"/>
      <c r="CQ324" s="157"/>
      <c r="CR324" s="38">
        <f>2381-785-6</f>
        <v>1590</v>
      </c>
      <c r="CS324" s="157"/>
      <c r="CT324" s="157"/>
      <c r="CU324" s="157"/>
      <c r="CV324" s="157"/>
      <c r="CW324" s="38">
        <f>1351-642-3</f>
        <v>706</v>
      </c>
      <c r="CX324" s="157"/>
      <c r="CY324" s="157"/>
      <c r="CZ324" s="157"/>
      <c r="DA324" s="157"/>
      <c r="DB324" s="38">
        <f>500-323</f>
        <v>177</v>
      </c>
      <c r="DC324" s="157"/>
      <c r="DD324" s="157"/>
      <c r="DE324" s="157"/>
      <c r="DF324" s="157"/>
      <c r="DG324" s="38">
        <f>800-113</f>
        <v>687</v>
      </c>
      <c r="DH324" s="157"/>
      <c r="DI324" s="157"/>
      <c r="DJ324" s="157"/>
      <c r="DK324" s="157"/>
      <c r="DL324" s="38">
        <f>1200-605</f>
        <v>595</v>
      </c>
      <c r="DM324" s="157"/>
      <c r="DN324" s="157"/>
      <c r="DO324" s="157"/>
      <c r="DP324" s="157"/>
      <c r="DQ324" s="38">
        <f>1100-508</f>
        <v>592</v>
      </c>
      <c r="DR324" s="906">
        <v>-413</v>
      </c>
      <c r="DS324" s="157">
        <f>(-455-DR324)</f>
        <v>-42</v>
      </c>
      <c r="DT324" s="157">
        <f>+-779-SUM(DR324:DS324)</f>
        <v>-324</v>
      </c>
      <c r="DU324" s="157">
        <f>DV324-SUM(DR324:DT324)</f>
        <v>499</v>
      </c>
      <c r="DV324" s="38">
        <f>500-780</f>
        <v>-280</v>
      </c>
      <c r="DW324" s="906">
        <v>-209</v>
      </c>
      <c r="DX324" s="157">
        <f>+-244-DW324</f>
        <v>-35</v>
      </c>
      <c r="DY324" s="157">
        <f>1000-932-SUM(DW324:DX324)</f>
        <v>312</v>
      </c>
      <c r="DZ324" s="157">
        <f>EA324-SUM(DW324:DY324)</f>
        <v>-1</v>
      </c>
      <c r="EA324" s="38">
        <f>1000-933</f>
        <v>67</v>
      </c>
      <c r="EB324" s="906">
        <v>0</v>
      </c>
      <c r="EC324" s="157">
        <f>+-210-EB324</f>
        <v>-210</v>
      </c>
      <c r="ED324" s="157">
        <f>600-228-SUM(EB324:EC324)</f>
        <v>582</v>
      </c>
      <c r="EE324" s="157">
        <f>EF324-SUM(EB324:ED324)</f>
        <v>599</v>
      </c>
      <c r="EF324" s="38">
        <f>1200-229</f>
        <v>971</v>
      </c>
      <c r="EG324" s="906">
        <v>0</v>
      </c>
      <c r="EH324" s="157">
        <v>0</v>
      </c>
      <c r="EI324" s="157">
        <f>-19-SUM(EG324:EH324)</f>
        <v>-19</v>
      </c>
      <c r="EJ324" s="157">
        <f>EK324-SUM(EG324:EI324)</f>
        <v>800</v>
      </c>
      <c r="EK324" s="38">
        <f>2200-1419</f>
        <v>781</v>
      </c>
      <c r="EL324" s="906">
        <v>0</v>
      </c>
      <c r="EM324" s="157">
        <v>0</v>
      </c>
      <c r="EN324" s="157">
        <f>850-332-SUM(EL324:EM324)</f>
        <v>518</v>
      </c>
      <c r="EO324" s="157">
        <f>EP324-SUM(EL324:EN324)</f>
        <v>-1</v>
      </c>
      <c r="EP324" s="38">
        <f>850-333</f>
        <v>517</v>
      </c>
      <c r="EQ324" s="898"/>
      <c r="ER324" s="898"/>
      <c r="ES324" s="898"/>
      <c r="ET324" s="898"/>
      <c r="EU324" s="2036">
        <v>2200</v>
      </c>
      <c r="EV324" s="2037"/>
      <c r="EW324" s="2037"/>
      <c r="EX324" s="2037"/>
      <c r="EY324" s="2037"/>
      <c r="EZ324" s="2036">
        <v>0</v>
      </c>
      <c r="FA324" s="2037"/>
      <c r="FB324" s="2037"/>
      <c r="FC324" s="2037"/>
      <c r="FD324" s="2037"/>
      <c r="FE324" s="2036">
        <v>-800</v>
      </c>
      <c r="FG324" s="899"/>
      <c r="FH324" s="836"/>
      <c r="FI324" s="836"/>
      <c r="FJ324" s="836"/>
      <c r="FK324" s="1327"/>
      <c r="FL324" s="1399"/>
      <c r="FM324"/>
      <c r="FN324"/>
      <c r="FO324"/>
      <c r="FP324"/>
      <c r="FQ324"/>
      <c r="FR324" s="1631"/>
      <c r="FS324" s="1631" t="s">
        <v>794</v>
      </c>
      <c r="FT324" s="719"/>
      <c r="FU324" s="719"/>
      <c r="FV324" s="719"/>
      <c r="FW324" s="719"/>
      <c r="FX324" s="719"/>
      <c r="FY324" s="719"/>
      <c r="FZ324" s="899"/>
      <c r="GA324"/>
      <c r="GB324"/>
      <c r="GC324"/>
      <c r="GD324"/>
      <c r="GE324"/>
      <c r="GF324"/>
      <c r="GG324"/>
      <c r="GH324"/>
      <c r="GI324"/>
      <c r="GJ324"/>
      <c r="GK324"/>
      <c r="GL324"/>
      <c r="GM324"/>
      <c r="GN324"/>
      <c r="GO324"/>
      <c r="GP324"/>
      <c r="GQ324"/>
      <c r="GR324"/>
      <c r="GS324"/>
      <c r="GT324"/>
      <c r="GU324"/>
      <c r="GV324"/>
      <c r="GW324"/>
      <c r="GX324"/>
      <c r="GY324"/>
      <c r="GZ324"/>
      <c r="HA324"/>
      <c r="HB324"/>
      <c r="HC324"/>
      <c r="HD324"/>
      <c r="HE324"/>
      <c r="HF324"/>
      <c r="HG324"/>
      <c r="HH324"/>
      <c r="HI324"/>
      <c r="HJ324"/>
      <c r="HK324"/>
      <c r="HL324"/>
      <c r="HM324"/>
      <c r="HN324"/>
      <c r="HO324"/>
      <c r="HP324"/>
      <c r="HQ324"/>
      <c r="HR324"/>
      <c r="HS324"/>
      <c r="HT324"/>
      <c r="HU324"/>
      <c r="HV324"/>
      <c r="HW324"/>
      <c r="HX324"/>
      <c r="HY324"/>
      <c r="HZ324"/>
      <c r="IA324"/>
      <c r="IB324"/>
      <c r="IC324"/>
      <c r="ID324"/>
      <c r="IE324"/>
      <c r="IF324"/>
      <c r="IG324"/>
      <c r="IH324"/>
      <c r="II324"/>
      <c r="IJ324"/>
      <c r="IK324"/>
      <c r="IL324"/>
      <c r="IM324"/>
      <c r="IN324"/>
      <c r="IO324"/>
      <c r="IP324"/>
      <c r="IQ324"/>
      <c r="IR324"/>
      <c r="IS324"/>
      <c r="IT324"/>
      <c r="IU324"/>
      <c r="IV324"/>
      <c r="IW324"/>
      <c r="IX324"/>
    </row>
    <row r="325" spans="1:258" s="314" customFormat="1" x14ac:dyDescent="0.2">
      <c r="A325" s="905" t="s">
        <v>514</v>
      </c>
      <c r="B325" s="157"/>
      <c r="C325" s="157"/>
      <c r="D325" s="157"/>
      <c r="E325" s="157"/>
      <c r="F325" s="38"/>
      <c r="G325" s="157"/>
      <c r="H325" s="157"/>
      <c r="I325" s="157"/>
      <c r="J325" s="157"/>
      <c r="K325" s="38"/>
      <c r="L325" s="157"/>
      <c r="M325" s="157"/>
      <c r="N325" s="157"/>
      <c r="O325" s="157"/>
      <c r="P325" s="38"/>
      <c r="Q325" s="157"/>
      <c r="R325" s="157"/>
      <c r="S325" s="157"/>
      <c r="T325" s="157"/>
      <c r="U325" s="38"/>
      <c r="V325" s="157"/>
      <c r="W325" s="157"/>
      <c r="X325" s="157"/>
      <c r="Y325" s="157"/>
      <c r="Z325" s="38"/>
      <c r="AA325" s="157"/>
      <c r="AB325" s="157"/>
      <c r="AC325" s="157"/>
      <c r="AD325" s="157"/>
      <c r="AE325" s="38"/>
      <c r="AF325" s="157"/>
      <c r="AG325" s="157"/>
      <c r="AH325" s="157"/>
      <c r="AI325" s="157"/>
      <c r="AJ325" s="38"/>
      <c r="AK325" s="157"/>
      <c r="AL325" s="157"/>
      <c r="AM325" s="157"/>
      <c r="AN325" s="157"/>
      <c r="AO325" s="38"/>
      <c r="AP325" s="157"/>
      <c r="AQ325" s="157"/>
      <c r="AR325" s="157"/>
      <c r="AS325" s="157"/>
      <c r="AT325" s="38"/>
      <c r="AU325" s="157"/>
      <c r="AV325" s="157"/>
      <c r="AW325" s="157"/>
      <c r="AX325" s="157"/>
      <c r="AY325" s="38"/>
      <c r="AZ325" s="157"/>
      <c r="BA325" s="157"/>
      <c r="BB325" s="157"/>
      <c r="BC325" s="157"/>
      <c r="BD325" s="38"/>
      <c r="BE325" s="157"/>
      <c r="BF325" s="157"/>
      <c r="BG325" s="157"/>
      <c r="BH325" s="157"/>
      <c r="BI325" s="38"/>
      <c r="BJ325" s="157"/>
      <c r="BK325" s="157"/>
      <c r="BL325" s="157"/>
      <c r="BM325" s="157"/>
      <c r="BN325" s="38"/>
      <c r="BO325" s="157"/>
      <c r="BP325" s="157"/>
      <c r="BQ325" s="157"/>
      <c r="BR325" s="157"/>
      <c r="BS325" s="38"/>
      <c r="BT325" s="157"/>
      <c r="BU325" s="157"/>
      <c r="BV325" s="157"/>
      <c r="BW325" s="157"/>
      <c r="BX325" s="38"/>
      <c r="BY325" s="157"/>
      <c r="BZ325" s="157"/>
      <c r="CA325" s="157"/>
      <c r="CB325" s="157"/>
      <c r="CC325" s="38"/>
      <c r="CD325" s="157"/>
      <c r="CE325" s="157"/>
      <c r="CF325" s="157"/>
      <c r="CG325" s="157"/>
      <c r="CH325" s="38"/>
      <c r="CI325" s="157"/>
      <c r="CJ325" s="157"/>
      <c r="CK325" s="157"/>
      <c r="CL325" s="157"/>
      <c r="CM325" s="38"/>
      <c r="CN325" s="157"/>
      <c r="CO325" s="157"/>
      <c r="CP325" s="157"/>
      <c r="CQ325" s="157"/>
      <c r="CR325" s="38"/>
      <c r="CS325" s="157"/>
      <c r="CT325" s="157"/>
      <c r="CU325" s="157"/>
      <c r="CV325" s="157"/>
      <c r="CW325" s="38"/>
      <c r="CX325" s="157"/>
      <c r="CY325" s="157"/>
      <c r="CZ325" s="157"/>
      <c r="DA325" s="157"/>
      <c r="DB325" s="38"/>
      <c r="DC325" s="157"/>
      <c r="DD325" s="157"/>
      <c r="DE325" s="157"/>
      <c r="DF325" s="157"/>
      <c r="DG325" s="38"/>
      <c r="DH325" s="157"/>
      <c r="DI325" s="157"/>
      <c r="DJ325" s="157"/>
      <c r="DK325" s="157"/>
      <c r="DL325" s="38"/>
      <c r="DM325" s="157"/>
      <c r="DN325" s="157"/>
      <c r="DO325" s="157"/>
      <c r="DP325" s="157"/>
      <c r="DQ325" s="907"/>
      <c r="DR325" s="909"/>
      <c r="DS325" s="157"/>
      <c r="DT325" s="157"/>
      <c r="DU325" s="157"/>
      <c r="DV325" s="907"/>
      <c r="DW325" s="909"/>
      <c r="DX325" s="898"/>
      <c r="DY325" s="898"/>
      <c r="DZ325" s="157"/>
      <c r="EA325" s="907"/>
      <c r="EB325" s="909"/>
      <c r="EC325" s="898"/>
      <c r="ED325" s="898"/>
      <c r="EE325" s="157"/>
      <c r="EF325" s="907"/>
      <c r="EG325" s="909"/>
      <c r="EH325" s="898"/>
      <c r="EI325" s="898"/>
      <c r="EJ325" s="157"/>
      <c r="EK325" s="907"/>
      <c r="EL325" s="909"/>
      <c r="EM325" s="898"/>
      <c r="EN325" s="898"/>
      <c r="EO325" s="157"/>
      <c r="EP325" s="907"/>
      <c r="EQ325" s="898"/>
      <c r="ER325" s="898"/>
      <c r="ES325" s="898"/>
      <c r="ET325" s="898"/>
      <c r="EU325" s="907">
        <v>0</v>
      </c>
      <c r="EV325" s="898"/>
      <c r="EW325" s="898"/>
      <c r="EX325" s="898"/>
      <c r="EY325" s="898"/>
      <c r="EZ325" s="907">
        <v>0</v>
      </c>
      <c r="FA325" s="898"/>
      <c r="FB325" s="898"/>
      <c r="FC325" s="898"/>
      <c r="FD325" s="898"/>
      <c r="FE325" s="907">
        <v>0</v>
      </c>
      <c r="FG325" s="899"/>
      <c r="FH325" s="836"/>
      <c r="FI325" s="836"/>
      <c r="FJ325" s="836"/>
      <c r="FK325" s="1327"/>
      <c r="FL325" s="1399"/>
      <c r="FM325"/>
      <c r="FN325"/>
      <c r="FO325"/>
      <c r="FP325"/>
      <c r="FQ325"/>
      <c r="FR325" s="1635"/>
      <c r="FS325" s="1631" t="s">
        <v>727</v>
      </c>
      <c r="FT325" s="719"/>
      <c r="FU325" s="719"/>
      <c r="FV325" s="719"/>
      <c r="FW325" s="719"/>
      <c r="FX325" s="719"/>
      <c r="FY325" s="719"/>
      <c r="FZ325" s="899"/>
      <c r="GA325"/>
      <c r="GB325"/>
      <c r="GC325"/>
      <c r="GD325"/>
      <c r="GE325"/>
      <c r="GF325"/>
      <c r="GG325"/>
      <c r="GH325"/>
      <c r="GI325"/>
      <c r="GJ325"/>
      <c r="GK325"/>
      <c r="GL325"/>
      <c r="GM325"/>
      <c r="GN325"/>
      <c r="GO325"/>
      <c r="GP325"/>
      <c r="GQ325"/>
      <c r="GR325"/>
      <c r="GS325"/>
      <c r="GT325"/>
      <c r="GU325"/>
      <c r="GV325"/>
      <c r="GW325"/>
      <c r="GX325"/>
      <c r="GY325"/>
      <c r="GZ325"/>
      <c r="HA325"/>
      <c r="HB325"/>
      <c r="HC325"/>
      <c r="HD325"/>
      <c r="HE325"/>
      <c r="HF325"/>
      <c r="HG325"/>
      <c r="HH325"/>
      <c r="HI325"/>
      <c r="HJ325"/>
      <c r="HK325"/>
      <c r="HL325"/>
      <c r="HM325"/>
      <c r="HN325"/>
      <c r="HO325"/>
      <c r="HP325"/>
      <c r="HQ325"/>
      <c r="HR325"/>
      <c r="HS325"/>
      <c r="HT325"/>
      <c r="HU325"/>
      <c r="HV325"/>
      <c r="HW325"/>
      <c r="HX325"/>
      <c r="HY325"/>
      <c r="HZ325"/>
      <c r="IA325"/>
      <c r="IB325"/>
      <c r="IC325"/>
      <c r="ID325"/>
      <c r="IE325"/>
      <c r="IF325"/>
      <c r="IG325"/>
      <c r="IH325"/>
      <c r="II325"/>
      <c r="IJ325"/>
      <c r="IK325"/>
      <c r="IL325"/>
      <c r="IM325"/>
      <c r="IN325"/>
      <c r="IO325"/>
      <c r="IP325"/>
      <c r="IQ325"/>
      <c r="IR325"/>
      <c r="IS325"/>
      <c r="IT325"/>
      <c r="IU325"/>
      <c r="IV325"/>
      <c r="IW325"/>
      <c r="IX325"/>
    </row>
    <row r="326" spans="1:258" s="314" customFormat="1" x14ac:dyDescent="0.2">
      <c r="A326" s="621" t="s">
        <v>239</v>
      </c>
      <c r="B326" s="898"/>
      <c r="C326" s="898"/>
      <c r="D326" s="898"/>
      <c r="E326" s="898"/>
      <c r="F326" s="156"/>
      <c r="G326" s="898"/>
      <c r="H326" s="898"/>
      <c r="I326" s="898"/>
      <c r="J326" s="898"/>
      <c r="K326" s="156"/>
      <c r="L326" s="898"/>
      <c r="M326" s="898"/>
      <c r="N326" s="898"/>
      <c r="O326" s="898"/>
      <c r="P326" s="156"/>
      <c r="Q326" s="898"/>
      <c r="R326" s="898"/>
      <c r="S326" s="898"/>
      <c r="T326" s="898"/>
      <c r="U326" s="156"/>
      <c r="V326" s="898"/>
      <c r="W326" s="898"/>
      <c r="X326" s="898"/>
      <c r="Y326" s="898"/>
      <c r="Z326" s="156"/>
      <c r="AA326" s="898"/>
      <c r="AB326" s="898"/>
      <c r="AC326" s="898"/>
      <c r="AD326" s="898"/>
      <c r="AE326" s="156"/>
      <c r="AF326" s="898"/>
      <c r="AG326" s="898"/>
      <c r="AH326" s="898"/>
      <c r="AI326" s="898"/>
      <c r="AJ326" s="156"/>
      <c r="AK326" s="898"/>
      <c r="AL326" s="898"/>
      <c r="AM326" s="898"/>
      <c r="AN326" s="898"/>
      <c r="AO326" s="156"/>
      <c r="AP326" s="898"/>
      <c r="AQ326" s="898"/>
      <c r="AR326" s="898"/>
      <c r="AS326" s="898"/>
      <c r="AT326" s="156">
        <f>SUM(AT324:AT325)</f>
        <v>1923</v>
      </c>
      <c r="AU326" s="898"/>
      <c r="AV326" s="898"/>
      <c r="AW326" s="898"/>
      <c r="AX326" s="898"/>
      <c r="AY326" s="156">
        <f>SUM(AY324:AY325)</f>
        <v>82</v>
      </c>
      <c r="AZ326" s="898"/>
      <c r="BA326" s="898"/>
      <c r="BB326" s="898"/>
      <c r="BC326" s="898"/>
      <c r="BD326" s="156">
        <f>SUM(BD324:BD325)</f>
        <v>345</v>
      </c>
      <c r="BE326" s="898"/>
      <c r="BF326" s="898"/>
      <c r="BG326" s="898"/>
      <c r="BH326" s="898"/>
      <c r="BI326" s="156">
        <f>SUM(BI324:BI325)</f>
        <v>-388</v>
      </c>
      <c r="BJ326" s="898"/>
      <c r="BK326" s="898"/>
      <c r="BL326" s="898"/>
      <c r="BM326" s="898"/>
      <c r="BN326" s="156">
        <f>SUM(BN324:BN325)</f>
        <v>172</v>
      </c>
      <c r="BO326" s="898"/>
      <c r="BP326" s="898"/>
      <c r="BQ326" s="898"/>
      <c r="BR326" s="898"/>
      <c r="BS326" s="156">
        <f>SUM(BS324:BS325)</f>
        <v>-271</v>
      </c>
      <c r="BT326" s="898"/>
      <c r="BU326" s="898"/>
      <c r="BV326" s="898"/>
      <c r="BW326" s="898"/>
      <c r="BX326" s="156">
        <f>SUM(BX324:BX325)</f>
        <v>278</v>
      </c>
      <c r="BY326" s="898"/>
      <c r="BZ326" s="898"/>
      <c r="CA326" s="898"/>
      <c r="CB326" s="898"/>
      <c r="CC326" s="156">
        <f>SUM(CC324:CC325)</f>
        <v>66</v>
      </c>
      <c r="CD326" s="898"/>
      <c r="CE326" s="898"/>
      <c r="CF326" s="898"/>
      <c r="CG326" s="898"/>
      <c r="CH326" s="156">
        <f>SUM(CH324:CH325)</f>
        <v>-1277</v>
      </c>
      <c r="CI326" s="898"/>
      <c r="CJ326" s="898"/>
      <c r="CK326" s="898"/>
      <c r="CL326" s="898"/>
      <c r="CM326" s="156">
        <f>SUM(CM324:CM325)</f>
        <v>-68</v>
      </c>
      <c r="CN326" s="898"/>
      <c r="CO326" s="898"/>
      <c r="CP326" s="898"/>
      <c r="CQ326" s="898"/>
      <c r="CR326" s="156">
        <f>SUM(CR324:CR325)</f>
        <v>1590</v>
      </c>
      <c r="CS326" s="898"/>
      <c r="CT326" s="898"/>
      <c r="CU326" s="898"/>
      <c r="CV326" s="898"/>
      <c r="CW326" s="156">
        <f>SUM(CW324:CW325)</f>
        <v>706</v>
      </c>
      <c r="CX326" s="898"/>
      <c r="CY326" s="898"/>
      <c r="CZ326" s="898"/>
      <c r="DA326" s="898"/>
      <c r="DB326" s="156">
        <f>SUM(DB324:DB325)</f>
        <v>177</v>
      </c>
      <c r="DC326" s="898"/>
      <c r="DD326" s="898"/>
      <c r="DE326" s="898"/>
      <c r="DF326" s="898"/>
      <c r="DG326" s="156">
        <f>SUM(DG324:DG325)</f>
        <v>687</v>
      </c>
      <c r="DH326" s="898"/>
      <c r="DI326" s="898"/>
      <c r="DJ326" s="898"/>
      <c r="DK326" s="898"/>
      <c r="DL326" s="156">
        <f>SUM(DL324:DL325)</f>
        <v>595</v>
      </c>
      <c r="DM326" s="898"/>
      <c r="DN326" s="898"/>
      <c r="DO326" s="898"/>
      <c r="DP326" s="898"/>
      <c r="DQ326" s="156">
        <f t="shared" ref="DQ326:DW326" si="1475">SUM(DQ324:DQ325)</f>
        <v>592</v>
      </c>
      <c r="DR326" s="860">
        <f t="shared" si="1475"/>
        <v>-413</v>
      </c>
      <c r="DS326" s="157">
        <f t="shared" si="1475"/>
        <v>-42</v>
      </c>
      <c r="DT326" s="157">
        <f t="shared" si="1475"/>
        <v>-324</v>
      </c>
      <c r="DU326" s="157">
        <f t="shared" si="1475"/>
        <v>499</v>
      </c>
      <c r="DV326" s="156">
        <f t="shared" si="1475"/>
        <v>-280</v>
      </c>
      <c r="DW326" s="860">
        <f t="shared" si="1475"/>
        <v>-209</v>
      </c>
      <c r="DX326" s="157">
        <f t="shared" ref="DX326:EC326" si="1476">SUM(DX324:DX325)</f>
        <v>-35</v>
      </c>
      <c r="DY326" s="157">
        <f t="shared" si="1476"/>
        <v>312</v>
      </c>
      <c r="DZ326" s="157">
        <f t="shared" si="1476"/>
        <v>-1</v>
      </c>
      <c r="EA326" s="156">
        <f t="shared" si="1476"/>
        <v>67</v>
      </c>
      <c r="EB326" s="860">
        <f t="shared" si="1476"/>
        <v>0</v>
      </c>
      <c r="EC326" s="157">
        <f t="shared" si="1476"/>
        <v>-210</v>
      </c>
      <c r="ED326" s="157">
        <f t="shared" ref="ED326:EI326" si="1477">SUM(ED324:ED325)</f>
        <v>582</v>
      </c>
      <c r="EE326" s="157">
        <f t="shared" si="1477"/>
        <v>599</v>
      </c>
      <c r="EF326" s="156">
        <f t="shared" si="1477"/>
        <v>971</v>
      </c>
      <c r="EG326" s="860">
        <f t="shared" si="1477"/>
        <v>0</v>
      </c>
      <c r="EH326" s="157">
        <f t="shared" si="1477"/>
        <v>0</v>
      </c>
      <c r="EI326" s="157">
        <f t="shared" si="1477"/>
        <v>-19</v>
      </c>
      <c r="EJ326" s="157">
        <f t="shared" ref="EJ326:EN326" si="1478">SUM(EJ324:EJ325)</f>
        <v>800</v>
      </c>
      <c r="EK326" s="156">
        <f t="shared" si="1478"/>
        <v>781</v>
      </c>
      <c r="EL326" s="860">
        <f t="shared" si="1478"/>
        <v>0</v>
      </c>
      <c r="EM326" s="157">
        <f t="shared" si="1478"/>
        <v>0</v>
      </c>
      <c r="EN326" s="157">
        <f t="shared" si="1478"/>
        <v>518</v>
      </c>
      <c r="EO326" s="157">
        <f t="shared" ref="EO326" si="1479">SUM(EO324:EO325)</f>
        <v>-1</v>
      </c>
      <c r="EP326" s="1007">
        <f>SUM(EP324:EP325)</f>
        <v>517</v>
      </c>
      <c r="EQ326" s="898"/>
      <c r="ER326" s="898"/>
      <c r="ES326" s="898"/>
      <c r="ET326" s="898"/>
      <c r="EU326" s="156">
        <f>SUM(EU324:EU325)</f>
        <v>2200</v>
      </c>
      <c r="EV326" s="898"/>
      <c r="EW326" s="898"/>
      <c r="EX326" s="898"/>
      <c r="EY326" s="898"/>
      <c r="EZ326" s="156">
        <f>SUM(EZ324:EZ325)</f>
        <v>0</v>
      </c>
      <c r="FA326" s="898"/>
      <c r="FB326" s="898"/>
      <c r="FC326" s="898"/>
      <c r="FD326" s="898"/>
      <c r="FE326" s="156">
        <f>SUM(FE324:FE325)</f>
        <v>-800</v>
      </c>
      <c r="FG326" s="899"/>
      <c r="FH326" s="836"/>
      <c r="FI326" s="836"/>
      <c r="FJ326" s="836"/>
      <c r="FK326" s="1327"/>
      <c r="FL326" s="1399"/>
      <c r="FM326"/>
      <c r="FN326"/>
      <c r="FO326"/>
      <c r="FP326"/>
      <c r="FQ326"/>
      <c r="FR326" s="1635"/>
      <c r="FS326" s="1631" t="s">
        <v>745</v>
      </c>
      <c r="FT326" s="719"/>
      <c r="FU326" s="719"/>
      <c r="FV326" s="719"/>
      <c r="FW326" s="719"/>
      <c r="FX326" s="719"/>
      <c r="FY326" s="719"/>
      <c r="FZ326" s="899"/>
      <c r="GA326"/>
      <c r="GB326"/>
      <c r="GC326"/>
      <c r="GD326"/>
      <c r="GE326"/>
      <c r="GF326"/>
      <c r="GG326"/>
      <c r="GH326"/>
      <c r="GI326"/>
      <c r="GJ326"/>
      <c r="GK326"/>
      <c r="GL326"/>
      <c r="GM326"/>
      <c r="GN326"/>
      <c r="GO326"/>
      <c r="GP326"/>
      <c r="GQ326"/>
      <c r="GR326"/>
      <c r="GS326"/>
      <c r="GT326"/>
      <c r="GU326"/>
      <c r="GV326"/>
      <c r="GW326"/>
      <c r="GX326"/>
      <c r="GY326"/>
      <c r="GZ326"/>
      <c r="HA326"/>
      <c r="HB326"/>
      <c r="HC326"/>
      <c r="HD326"/>
      <c r="HE326"/>
      <c r="HF326"/>
      <c r="HG326"/>
      <c r="HH326"/>
      <c r="HI326"/>
      <c r="HJ326"/>
      <c r="HK326"/>
      <c r="HL326"/>
      <c r="HM326"/>
      <c r="HN326"/>
      <c r="HO326"/>
      <c r="HP326"/>
      <c r="HQ326"/>
      <c r="HR326"/>
      <c r="HS326"/>
      <c r="HT326"/>
      <c r="HU326"/>
      <c r="HV326"/>
      <c r="HW326"/>
      <c r="HX326"/>
      <c r="HY326"/>
      <c r="HZ326"/>
      <c r="IA326"/>
      <c r="IB326"/>
      <c r="IC326"/>
      <c r="ID326"/>
      <c r="IE326"/>
      <c r="IF326"/>
      <c r="IG326"/>
      <c r="IH326"/>
      <c r="II326"/>
      <c r="IJ326"/>
      <c r="IK326"/>
      <c r="IL326"/>
      <c r="IM326"/>
      <c r="IN326"/>
      <c r="IO326"/>
      <c r="IP326"/>
      <c r="IQ326"/>
      <c r="IR326"/>
      <c r="IS326"/>
      <c r="IT326"/>
      <c r="IU326"/>
      <c r="IV326"/>
      <c r="IW326"/>
      <c r="IX326"/>
    </row>
    <row r="327" spans="1:258" s="314" customFormat="1" x14ac:dyDescent="0.2">
      <c r="A327" s="621" t="s">
        <v>104</v>
      </c>
      <c r="B327" s="157"/>
      <c r="C327" s="157"/>
      <c r="D327" s="157"/>
      <c r="E327" s="157"/>
      <c r="F327" s="38"/>
      <c r="G327" s="157"/>
      <c r="H327" s="157"/>
      <c r="I327" s="157"/>
      <c r="J327" s="157"/>
      <c r="K327" s="38"/>
      <c r="L327" s="157"/>
      <c r="M327" s="157"/>
      <c r="N327" s="157"/>
      <c r="O327" s="157"/>
      <c r="P327" s="38"/>
      <c r="Q327" s="157"/>
      <c r="R327" s="157"/>
      <c r="S327" s="157"/>
      <c r="T327" s="157"/>
      <c r="U327" s="38"/>
      <c r="V327" s="157"/>
      <c r="W327" s="157"/>
      <c r="X327" s="157"/>
      <c r="Y327" s="157"/>
      <c r="Z327" s="38"/>
      <c r="AA327" s="157"/>
      <c r="AB327" s="157"/>
      <c r="AC327" s="157"/>
      <c r="AD327" s="157"/>
      <c r="AE327" s="38"/>
      <c r="AF327" s="157"/>
      <c r="AG327" s="157"/>
      <c r="AH327" s="157"/>
      <c r="AI327" s="157"/>
      <c r="AJ327" s="38"/>
      <c r="AK327" s="157"/>
      <c r="AL327" s="157"/>
      <c r="AM327" s="157"/>
      <c r="AN327" s="157"/>
      <c r="AO327" s="38"/>
      <c r="AP327" s="157"/>
      <c r="AQ327" s="157"/>
      <c r="AR327" s="157"/>
      <c r="AS327" s="157"/>
      <c r="AT327" s="38">
        <f>AT328-AT323-AT326</f>
        <v>-4</v>
      </c>
      <c r="AU327" s="157"/>
      <c r="AV327" s="157"/>
      <c r="AW327" s="157"/>
      <c r="AX327" s="157"/>
      <c r="AY327" s="38">
        <f>AY328-AY323-AY326</f>
        <v>7</v>
      </c>
      <c r="AZ327" s="157"/>
      <c r="BA327" s="157"/>
      <c r="BB327" s="157"/>
      <c r="BC327" s="157"/>
      <c r="BD327" s="38">
        <f>BD328-BD323-BD326</f>
        <v>-51</v>
      </c>
      <c r="BE327" s="157"/>
      <c r="BF327" s="157"/>
      <c r="BG327" s="157"/>
      <c r="BH327" s="157"/>
      <c r="BI327" s="38">
        <f>BI328-BI323-BI326</f>
        <v>-47</v>
      </c>
      <c r="BJ327" s="157"/>
      <c r="BK327" s="157"/>
      <c r="BL327" s="157"/>
      <c r="BM327" s="157"/>
      <c r="BN327" s="38">
        <f>BN328-BN323-BN326</f>
        <v>14</v>
      </c>
      <c r="BO327" s="157"/>
      <c r="BP327" s="157"/>
      <c r="BQ327" s="157"/>
      <c r="BR327" s="157"/>
      <c r="BS327" s="38">
        <f>BS328-BS323-BS326</f>
        <v>-5</v>
      </c>
      <c r="BT327" s="157"/>
      <c r="BU327" s="157"/>
      <c r="BV327" s="157"/>
      <c r="BW327" s="157"/>
      <c r="BX327" s="38">
        <f>BX328-BX323-BX326</f>
        <v>-20</v>
      </c>
      <c r="BY327" s="157"/>
      <c r="BZ327" s="157"/>
      <c r="CA327" s="157"/>
      <c r="CB327" s="157"/>
      <c r="CC327" s="38">
        <f>CC328-CC323-CC326</f>
        <v>28</v>
      </c>
      <c r="CD327" s="157"/>
      <c r="CE327" s="157"/>
      <c r="CF327" s="157"/>
      <c r="CG327" s="157"/>
      <c r="CH327" s="38">
        <f>CH328-CH323-CH326</f>
        <v>-15</v>
      </c>
      <c r="CI327" s="157"/>
      <c r="CJ327" s="157"/>
      <c r="CK327" s="157"/>
      <c r="CL327" s="157"/>
      <c r="CM327" s="38">
        <f>CM328-CM323-CM326</f>
        <v>63</v>
      </c>
      <c r="CN327" s="157"/>
      <c r="CO327" s="157"/>
      <c r="CP327" s="157"/>
      <c r="CQ327" s="157"/>
      <c r="CR327" s="38">
        <f>CR328-CR323-CR326</f>
        <v>78</v>
      </c>
      <c r="CS327" s="157"/>
      <c r="CT327" s="157"/>
      <c r="CU327" s="157"/>
      <c r="CV327" s="157"/>
      <c r="CW327" s="38">
        <f>CW328-CW323-CW326</f>
        <v>-75</v>
      </c>
      <c r="CX327" s="157"/>
      <c r="CY327" s="157"/>
      <c r="CZ327" s="157"/>
      <c r="DA327" s="157"/>
      <c r="DB327" s="38">
        <f>DB328-DB323-DB326</f>
        <v>-139</v>
      </c>
      <c r="DC327" s="157"/>
      <c r="DD327" s="157"/>
      <c r="DE327" s="157"/>
      <c r="DF327" s="157"/>
      <c r="DG327" s="38">
        <f>DG328-DG323-DG326</f>
        <v>-90</v>
      </c>
      <c r="DH327" s="157"/>
      <c r="DI327" s="157"/>
      <c r="DJ327" s="157"/>
      <c r="DK327" s="157"/>
      <c r="DL327" s="38">
        <f>DL328-DL323-DL326</f>
        <v>36</v>
      </c>
      <c r="DM327" s="157"/>
      <c r="DN327" s="157"/>
      <c r="DO327" s="157"/>
      <c r="DP327" s="157"/>
      <c r="DQ327" s="38">
        <f t="shared" ref="DQ327:DW327" si="1480">DQ328-DQ323-DQ326</f>
        <v>32</v>
      </c>
      <c r="DR327" s="157">
        <f t="shared" si="1480"/>
        <v>11</v>
      </c>
      <c r="DS327" s="157">
        <f t="shared" si="1480"/>
        <v>7</v>
      </c>
      <c r="DT327" s="157">
        <f t="shared" si="1480"/>
        <v>-16</v>
      </c>
      <c r="DU327" s="157">
        <f t="shared" si="1480"/>
        <v>-1</v>
      </c>
      <c r="DV327" s="38">
        <f t="shared" si="1480"/>
        <v>1</v>
      </c>
      <c r="DW327" s="157">
        <f t="shared" si="1480"/>
        <v>370</v>
      </c>
      <c r="DX327" s="157">
        <f t="shared" ref="DX327:EC327" si="1481">DX328-DX323-DX326</f>
        <v>-372</v>
      </c>
      <c r="DY327" s="157">
        <f t="shared" si="1481"/>
        <v>-3</v>
      </c>
      <c r="DZ327" s="157">
        <f t="shared" si="1481"/>
        <v>1</v>
      </c>
      <c r="EA327" s="38">
        <f t="shared" si="1481"/>
        <v>-4</v>
      </c>
      <c r="EB327" s="157">
        <f t="shared" si="1481"/>
        <v>-13</v>
      </c>
      <c r="EC327" s="157">
        <f t="shared" si="1481"/>
        <v>604</v>
      </c>
      <c r="ED327" s="157">
        <f t="shared" ref="ED327:EI327" si="1482">ED328-ED323-ED326</f>
        <v>-594</v>
      </c>
      <c r="EE327" s="157">
        <f t="shared" si="1482"/>
        <v>3</v>
      </c>
      <c r="EF327" s="38">
        <f t="shared" si="1482"/>
        <v>0</v>
      </c>
      <c r="EG327" s="157">
        <f t="shared" si="1482"/>
        <v>-270</v>
      </c>
      <c r="EH327" s="157">
        <f t="shared" si="1482"/>
        <v>-44</v>
      </c>
      <c r="EI327" s="157">
        <f t="shared" si="1482"/>
        <v>4</v>
      </c>
      <c r="EJ327" s="157">
        <f t="shared" ref="EJ327:EP327" si="1483">EJ328-EJ323-EJ326</f>
        <v>-3</v>
      </c>
      <c r="EK327" s="38">
        <f t="shared" si="1483"/>
        <v>-313</v>
      </c>
      <c r="EL327" s="157">
        <f t="shared" si="1483"/>
        <v>-6</v>
      </c>
      <c r="EM327" s="157">
        <f t="shared" si="1483"/>
        <v>531</v>
      </c>
      <c r="EN327" s="157">
        <f t="shared" si="1483"/>
        <v>-544</v>
      </c>
      <c r="EO327" s="157">
        <f t="shared" ref="EO327" si="1484">EO328-EO323-EO326</f>
        <v>1</v>
      </c>
      <c r="EP327" s="38">
        <f t="shared" si="1483"/>
        <v>-18</v>
      </c>
      <c r="EQ327" s="157"/>
      <c r="ER327" s="157"/>
      <c r="ES327" s="157"/>
      <c r="ET327" s="157"/>
      <c r="EU327" s="907">
        <v>0</v>
      </c>
      <c r="EV327" s="157"/>
      <c r="EW327" s="157"/>
      <c r="EX327" s="157"/>
      <c r="EY327" s="157"/>
      <c r="EZ327" s="907">
        <v>0</v>
      </c>
      <c r="FA327" s="157"/>
      <c r="FB327" s="157"/>
      <c r="FC327" s="157"/>
      <c r="FD327" s="157"/>
      <c r="FE327" s="907">
        <v>0</v>
      </c>
      <c r="FG327" s="899"/>
      <c r="FH327" s="836"/>
      <c r="FI327" s="836"/>
      <c r="FJ327" s="836"/>
      <c r="FK327" s="1327"/>
      <c r="FL327" s="1399"/>
      <c r="FM327"/>
      <c r="FN327"/>
      <c r="FO327"/>
      <c r="FP327"/>
      <c r="FQ327"/>
      <c r="FR327" s="1635"/>
      <c r="FS327" s="1635"/>
      <c r="FT327" s="719"/>
      <c r="FU327" s="719"/>
      <c r="FV327" s="719"/>
      <c r="FW327" s="719"/>
      <c r="FX327" s="719"/>
      <c r="FY327" s="719"/>
      <c r="FZ327" s="899"/>
      <c r="GA327"/>
      <c r="GB327"/>
      <c r="GC327"/>
      <c r="GD327"/>
      <c r="GE327"/>
      <c r="GF327"/>
      <c r="GG327"/>
      <c r="GH327"/>
      <c r="GI327"/>
      <c r="GJ327"/>
      <c r="GK327"/>
      <c r="GL327"/>
      <c r="GM327"/>
      <c r="GN327"/>
      <c r="GO327"/>
      <c r="GP327"/>
      <c r="GQ327"/>
      <c r="GR327"/>
      <c r="GS327"/>
      <c r="GT327"/>
      <c r="GU327"/>
      <c r="GV327"/>
      <c r="GW327"/>
      <c r="GX327"/>
      <c r="GY327"/>
      <c r="GZ327"/>
      <c r="HA327"/>
      <c r="HB327"/>
      <c r="HC327"/>
      <c r="HD327"/>
      <c r="HE327"/>
      <c r="HF327"/>
      <c r="HG327"/>
      <c r="HH327"/>
      <c r="HI327"/>
      <c r="HJ327"/>
      <c r="HK327"/>
      <c r="HL327"/>
      <c r="HM327"/>
      <c r="HN327"/>
      <c r="HO327"/>
      <c r="HP327"/>
      <c r="HQ327"/>
      <c r="HR327"/>
      <c r="HS327"/>
      <c r="HT327"/>
      <c r="HU327"/>
      <c r="HV327"/>
      <c r="HW327"/>
      <c r="HX327"/>
      <c r="HY327"/>
      <c r="HZ327"/>
      <c r="IA327"/>
      <c r="IB327"/>
      <c r="IC327"/>
      <c r="ID327"/>
      <c r="IE327"/>
      <c r="IF327"/>
      <c r="IG327"/>
      <c r="IH327"/>
      <c r="II327"/>
      <c r="IJ327"/>
      <c r="IK327"/>
      <c r="IL327"/>
      <c r="IM327"/>
      <c r="IN327"/>
      <c r="IO327"/>
      <c r="IP327"/>
      <c r="IQ327"/>
      <c r="IR327"/>
      <c r="IS327"/>
      <c r="IT327"/>
      <c r="IU327"/>
      <c r="IV327"/>
      <c r="IW327"/>
      <c r="IX327"/>
    </row>
    <row r="328" spans="1:258" s="901" customFormat="1" x14ac:dyDescent="0.2">
      <c r="A328" s="900" t="s">
        <v>189</v>
      </c>
      <c r="F328" s="902"/>
      <c r="K328" s="902"/>
      <c r="P328" s="902"/>
      <c r="U328" s="902"/>
      <c r="Z328" s="902"/>
      <c r="AE328" s="902"/>
      <c r="AJ328" s="902"/>
      <c r="AO328" s="902"/>
      <c r="AT328" s="902">
        <v>1673</v>
      </c>
      <c r="AY328" s="902">
        <v>-276</v>
      </c>
      <c r="BD328" s="902">
        <v>32</v>
      </c>
      <c r="BI328" s="902">
        <v>-739</v>
      </c>
      <c r="BN328" s="902">
        <v>15</v>
      </c>
      <c r="BS328" s="902">
        <v>-362</v>
      </c>
      <c r="BX328" s="902">
        <v>172</v>
      </c>
      <c r="CC328" s="902">
        <v>20</v>
      </c>
      <c r="CH328" s="902">
        <v>-1287</v>
      </c>
      <c r="CM328" s="902">
        <v>-296</v>
      </c>
      <c r="CR328" s="902">
        <v>-584</v>
      </c>
      <c r="CW328" s="902">
        <v>-1164</v>
      </c>
      <c r="DB328" s="902">
        <v>-307</v>
      </c>
      <c r="DG328" s="902">
        <v>-1227</v>
      </c>
      <c r="DL328" s="902">
        <v>-1413</v>
      </c>
      <c r="DQ328" s="902">
        <v>-668</v>
      </c>
      <c r="DR328" s="901">
        <v>-545</v>
      </c>
      <c r="DS328" s="901">
        <f>+-828-DR328</f>
        <v>-283</v>
      </c>
      <c r="DT328" s="901">
        <f>+-1449-SUM(DR328:DS328)</f>
        <v>-621</v>
      </c>
      <c r="DU328" s="901">
        <f>DV328-SUM(DR328:DT328)</f>
        <v>217</v>
      </c>
      <c r="DV328" s="902">
        <v>-1232</v>
      </c>
      <c r="DW328" s="901">
        <v>-117</v>
      </c>
      <c r="DX328" s="901">
        <f>+-814-DW328</f>
        <v>-697</v>
      </c>
      <c r="DY328" s="901">
        <f>+-795-SUM(DW328:DX328)</f>
        <v>19</v>
      </c>
      <c r="DZ328" s="901">
        <f>EA328-SUM(DW328:DY328)</f>
        <v>-288</v>
      </c>
      <c r="EA328" s="902">
        <v>-1083</v>
      </c>
      <c r="EB328" s="901">
        <v>-298</v>
      </c>
      <c r="EC328" s="901">
        <f>+-239-EB328</f>
        <v>59</v>
      </c>
      <c r="ED328" s="901">
        <f>+-689-SUM(EB328:EC328)</f>
        <v>-450</v>
      </c>
      <c r="EE328" s="901">
        <f>EF328-SUM(EB328:ED328)</f>
        <v>170</v>
      </c>
      <c r="EF328" s="902">
        <v>-519</v>
      </c>
      <c r="EG328" s="901">
        <v>-692</v>
      </c>
      <c r="EH328" s="901">
        <f>+-1173-EG328</f>
        <v>-481</v>
      </c>
      <c r="EI328" s="901">
        <f>+-1620-SUM(EG328:EH328)</f>
        <v>-447</v>
      </c>
      <c r="EJ328" s="901">
        <f>EK328-SUM(EG328:EI328)</f>
        <v>352</v>
      </c>
      <c r="EK328" s="902">
        <v>-1268</v>
      </c>
      <c r="EL328" s="901">
        <v>-430</v>
      </c>
      <c r="EM328" s="901">
        <f>+-582-EL328</f>
        <v>-152</v>
      </c>
      <c r="EN328" s="901">
        <f>+-1794-SUM(EL328:EM328)</f>
        <v>-1212</v>
      </c>
      <c r="EO328" s="901">
        <f>EP328-SUM(EL328:EN328)</f>
        <v>-385</v>
      </c>
      <c r="EP328" s="2024">
        <v>-2179</v>
      </c>
      <c r="EU328" s="902">
        <f ca="1">EU326+EU323+EU327</f>
        <v>-2460.856248186391</v>
      </c>
      <c r="EZ328" s="902">
        <f ca="1">EZ326+EZ323+EZ327</f>
        <v>-2729.5506690413513</v>
      </c>
      <c r="FE328" s="902">
        <f ca="1">FE326+FE323+FE327</f>
        <v>-3005.6495197103527</v>
      </c>
      <c r="FG328" s="899"/>
      <c r="FH328" s="903"/>
      <c r="FI328" s="903"/>
      <c r="FJ328" s="903"/>
      <c r="FK328" s="1328"/>
      <c r="FL328" s="1400"/>
      <c r="FM328"/>
      <c r="FN328"/>
      <c r="FO328"/>
      <c r="FP328"/>
      <c r="FQ328"/>
      <c r="FR328" s="1636"/>
      <c r="FS328" s="1636"/>
      <c r="FT328" s="904">
        <v>800</v>
      </c>
      <c r="FU328" s="2031">
        <v>3.7999999999999999E-2</v>
      </c>
      <c r="FV328" s="904"/>
      <c r="FW328" s="904"/>
      <c r="FX328" s="904"/>
      <c r="FY328" s="904"/>
      <c r="FZ328" s="899"/>
      <c r="GA328"/>
      <c r="GB328"/>
      <c r="GC328"/>
      <c r="GD328"/>
      <c r="GE328"/>
      <c r="GF328"/>
      <c r="GG328"/>
      <c r="GH328"/>
      <c r="GI328"/>
      <c r="GJ328"/>
      <c r="GK328"/>
      <c r="GL328"/>
      <c r="GM328"/>
      <c r="GN328"/>
      <c r="GO328"/>
      <c r="GP328"/>
      <c r="GQ328"/>
      <c r="GR328"/>
      <c r="GS328"/>
      <c r="GT328"/>
      <c r="GU328"/>
      <c r="GV328"/>
      <c r="GW328"/>
      <c r="GX328"/>
      <c r="GY328"/>
      <c r="GZ328"/>
      <c r="HA328"/>
      <c r="HB328"/>
      <c r="HC328"/>
      <c r="HD328"/>
      <c r="HE328"/>
      <c r="HF328"/>
      <c r="HG328"/>
      <c r="HH328"/>
      <c r="HI328"/>
      <c r="HJ328"/>
      <c r="HK328"/>
      <c r="HL328"/>
      <c r="HM328"/>
      <c r="HN328"/>
      <c r="HO328"/>
      <c r="HP328"/>
      <c r="HQ328"/>
      <c r="HR328"/>
      <c r="HS328"/>
      <c r="HT328"/>
      <c r="HU328"/>
      <c r="HV328"/>
      <c r="HW328"/>
      <c r="HX328"/>
      <c r="HY328"/>
      <c r="HZ328"/>
      <c r="IA328"/>
      <c r="IB328"/>
      <c r="IC328"/>
      <c r="ID328"/>
      <c r="IE328"/>
      <c r="IF328"/>
      <c r="IG328"/>
      <c r="IH328"/>
      <c r="II328"/>
      <c r="IJ328"/>
      <c r="IK328"/>
      <c r="IL328"/>
      <c r="IM328"/>
      <c r="IN328"/>
      <c r="IO328"/>
      <c r="IP328"/>
      <c r="IQ328"/>
      <c r="IR328"/>
      <c r="IS328"/>
      <c r="IT328"/>
      <c r="IU328"/>
      <c r="IV328"/>
      <c r="IW328"/>
      <c r="IX328"/>
    </row>
    <row r="329" spans="1:258" s="155" customFormat="1" ht="12.6" customHeight="1" x14ac:dyDescent="0.2">
      <c r="A329" s="616" t="s">
        <v>31</v>
      </c>
      <c r="B329" s="152"/>
      <c r="C329" s="152"/>
      <c r="D329" s="152"/>
      <c r="E329" s="152"/>
      <c r="F329" s="153"/>
      <c r="G329" s="152"/>
      <c r="H329" s="152"/>
      <c r="I329" s="152"/>
      <c r="J329" s="152"/>
      <c r="K329" s="153"/>
      <c r="L329" s="152"/>
      <c r="M329" s="152"/>
      <c r="N329" s="152"/>
      <c r="O329" s="152"/>
      <c r="P329" s="153"/>
      <c r="Q329" s="152"/>
      <c r="R329" s="152"/>
      <c r="S329" s="152"/>
      <c r="T329" s="152"/>
      <c r="U329" s="153"/>
      <c r="V329" s="152"/>
      <c r="W329" s="152"/>
      <c r="X329" s="152"/>
      <c r="Y329" s="152"/>
      <c r="Z329" s="153"/>
      <c r="AA329" s="152"/>
      <c r="AB329" s="152"/>
      <c r="AC329" s="152"/>
      <c r="AD329" s="152"/>
      <c r="AE329" s="153"/>
      <c r="AF329" s="152"/>
      <c r="AG329" s="152"/>
      <c r="AH329" s="152"/>
      <c r="AI329" s="152"/>
      <c r="AJ329" s="153"/>
      <c r="AK329" s="152"/>
      <c r="AL329" s="152"/>
      <c r="AM329" s="152"/>
      <c r="AN329" s="152"/>
      <c r="AO329" s="153"/>
      <c r="AP329" s="152"/>
      <c r="AQ329" s="152"/>
      <c r="AR329" s="152"/>
      <c r="AS329" s="152"/>
      <c r="AT329" s="153"/>
      <c r="AU329" s="152"/>
      <c r="AV329" s="152"/>
      <c r="AW329" s="152"/>
      <c r="AX329" s="152"/>
      <c r="AY329" s="153"/>
      <c r="AZ329" s="152"/>
      <c r="BA329" s="152"/>
      <c r="BB329" s="152"/>
      <c r="BC329" s="152"/>
      <c r="BD329" s="153"/>
      <c r="BE329" s="152"/>
      <c r="BF329" s="152"/>
      <c r="BG329" s="152"/>
      <c r="BH329" s="152"/>
      <c r="BI329" s="153"/>
      <c r="BJ329" s="152"/>
      <c r="BK329" s="152"/>
      <c r="BL329" s="152"/>
      <c r="BM329" s="152"/>
      <c r="BN329" s="153"/>
      <c r="BO329" s="152"/>
      <c r="BP329" s="152"/>
      <c r="BQ329" s="152"/>
      <c r="BR329" s="152"/>
      <c r="BS329" s="153"/>
      <c r="BT329" s="152"/>
      <c r="BU329" s="152"/>
      <c r="BV329" s="152"/>
      <c r="BW329" s="152"/>
      <c r="BX329" s="153"/>
      <c r="BY329" s="152"/>
      <c r="BZ329" s="152"/>
      <c r="CA329" s="152"/>
      <c r="CB329" s="152"/>
      <c r="CC329" s="153"/>
      <c r="CD329" s="152"/>
      <c r="CE329" s="152"/>
      <c r="CF329" s="152"/>
      <c r="CG329" s="152"/>
      <c r="CH329" s="153"/>
      <c r="CI329" s="152"/>
      <c r="CJ329" s="152"/>
      <c r="CK329" s="152"/>
      <c r="CL329" s="152"/>
      <c r="CM329" s="153"/>
      <c r="CN329" s="152"/>
      <c r="CO329" s="152"/>
      <c r="CP329" s="152"/>
      <c r="CQ329" s="152"/>
      <c r="CR329" s="153"/>
      <c r="CS329" s="152"/>
      <c r="CT329" s="152"/>
      <c r="CU329" s="152"/>
      <c r="CV329" s="152"/>
      <c r="CW329" s="153"/>
      <c r="CX329" s="152"/>
      <c r="CY329" s="152"/>
      <c r="CZ329" s="152"/>
      <c r="DA329" s="152"/>
      <c r="DB329" s="153"/>
      <c r="DC329" s="152"/>
      <c r="DD329" s="152"/>
      <c r="DE329" s="152"/>
      <c r="DF329" s="152"/>
      <c r="DG329" s="153"/>
      <c r="DH329" s="152"/>
      <c r="DI329" s="152"/>
      <c r="DJ329" s="152"/>
      <c r="DK329" s="152"/>
      <c r="DL329" s="153"/>
      <c r="DM329" s="152"/>
      <c r="DN329" s="152"/>
      <c r="DO329" s="152"/>
      <c r="DP329" s="152"/>
      <c r="DQ329" s="153"/>
      <c r="DR329" s="152"/>
      <c r="DS329" s="152"/>
      <c r="DT329" s="154"/>
      <c r="DU329" s="152"/>
      <c r="DV329" s="153"/>
      <c r="DW329" s="152"/>
      <c r="DX329" s="154"/>
      <c r="DY329" s="154"/>
      <c r="DZ329" s="152"/>
      <c r="EA329" s="153"/>
      <c r="EB329" s="154"/>
      <c r="EC329" s="154"/>
      <c r="ED329" s="154"/>
      <c r="EE329" s="152"/>
      <c r="EF329" s="153"/>
      <c r="EG329" s="154"/>
      <c r="EH329" s="154"/>
      <c r="EI329" s="154"/>
      <c r="EJ329" s="152"/>
      <c r="EK329" s="153"/>
      <c r="EL329" s="154"/>
      <c r="EM329" s="154"/>
      <c r="EN329" s="154"/>
      <c r="EO329" s="154"/>
      <c r="EP329" s="153"/>
      <c r="EQ329" s="154"/>
      <c r="ER329" s="154"/>
      <c r="ES329" s="154"/>
      <c r="ET329" s="154"/>
      <c r="EU329" s="153"/>
      <c r="EV329" s="154"/>
      <c r="EW329" s="154"/>
      <c r="EX329" s="154"/>
      <c r="EY329" s="154"/>
      <c r="EZ329" s="153"/>
      <c r="FA329" s="154"/>
      <c r="FB329" s="154"/>
      <c r="FC329" s="154"/>
      <c r="FD329" s="154"/>
      <c r="FE329" s="153"/>
      <c r="FG329" s="494"/>
      <c r="FH329" s="822"/>
      <c r="FI329" s="822"/>
      <c r="FJ329" s="822"/>
      <c r="FL329" s="1391"/>
      <c r="FM329"/>
      <c r="FN329"/>
      <c r="FO329"/>
      <c r="FP329"/>
      <c r="FQ329"/>
      <c r="FR329" s="1632"/>
      <c r="FS329" s="1632"/>
      <c r="FT329" s="904">
        <v>850</v>
      </c>
      <c r="FU329" s="2031">
        <v>4.2999999999999997E-2</v>
      </c>
      <c r="FV329" s="454"/>
      <c r="FW329" s="454"/>
      <c r="FX329" s="454"/>
      <c r="FY329" s="454"/>
      <c r="FZ329" s="494"/>
      <c r="GA329"/>
      <c r="GB329"/>
      <c r="GC329"/>
      <c r="GD329"/>
      <c r="GE329"/>
      <c r="GF329"/>
      <c r="GG329"/>
      <c r="GH329"/>
      <c r="GI329"/>
      <c r="GJ329"/>
      <c r="GK329"/>
      <c r="GL329"/>
      <c r="GM329"/>
      <c r="GN329"/>
      <c r="GO329"/>
      <c r="GP329"/>
      <c r="GQ329"/>
      <c r="GR329"/>
      <c r="GS329"/>
      <c r="GT329"/>
      <c r="GU329"/>
      <c r="GV329"/>
      <c r="GW329"/>
      <c r="GX329"/>
      <c r="GY329"/>
      <c r="GZ329"/>
      <c r="HA329"/>
      <c r="HB329"/>
      <c r="HC329"/>
      <c r="HD329"/>
      <c r="HE329"/>
      <c r="HF329"/>
      <c r="HG329"/>
      <c r="HH329"/>
      <c r="HI329"/>
      <c r="HJ329"/>
      <c r="HK329"/>
      <c r="HL329"/>
      <c r="HM329"/>
      <c r="HN329"/>
      <c r="HO329"/>
      <c r="HP329"/>
      <c r="HQ329"/>
      <c r="HR329"/>
      <c r="HS329"/>
      <c r="HT329"/>
      <c r="HU329"/>
      <c r="HV329"/>
      <c r="HW329"/>
      <c r="HX329"/>
      <c r="HY329"/>
      <c r="HZ329"/>
      <c r="IA329"/>
      <c r="IB329"/>
      <c r="IC329"/>
      <c r="ID329"/>
      <c r="IE329"/>
      <c r="IF329"/>
      <c r="IG329"/>
      <c r="IH329"/>
      <c r="II329"/>
      <c r="IJ329"/>
      <c r="IK329"/>
      <c r="IL329"/>
      <c r="IM329"/>
      <c r="IN329"/>
      <c r="IO329"/>
      <c r="IP329"/>
      <c r="IQ329"/>
      <c r="IR329"/>
      <c r="IS329"/>
      <c r="IT329"/>
      <c r="IU329"/>
      <c r="IV329"/>
      <c r="IW329"/>
      <c r="IX329"/>
    </row>
    <row r="330" spans="1:258" s="158" customFormat="1" x14ac:dyDescent="0.2">
      <c r="A330" s="617" t="s">
        <v>240</v>
      </c>
      <c r="B330" s="152"/>
      <c r="C330" s="152"/>
      <c r="D330" s="152"/>
      <c r="E330" s="152"/>
      <c r="F330" s="156"/>
      <c r="G330" s="152"/>
      <c r="H330" s="152"/>
      <c r="I330" s="152"/>
      <c r="J330" s="152"/>
      <c r="K330" s="156"/>
      <c r="L330" s="152"/>
      <c r="M330" s="152"/>
      <c r="N330" s="152"/>
      <c r="O330" s="152"/>
      <c r="P330" s="156"/>
      <c r="Q330" s="152"/>
      <c r="R330" s="152"/>
      <c r="S330" s="152"/>
      <c r="T330" s="152"/>
      <c r="U330" s="156"/>
      <c r="V330" s="152"/>
      <c r="W330" s="152"/>
      <c r="X330" s="152"/>
      <c r="Y330" s="152"/>
      <c r="Z330" s="156"/>
      <c r="AA330" s="152"/>
      <c r="AB330" s="152"/>
      <c r="AC330" s="152"/>
      <c r="AD330" s="152"/>
      <c r="AE330" s="156"/>
      <c r="AF330" s="152"/>
      <c r="AG330" s="152"/>
      <c r="AH330" s="152"/>
      <c r="AI330" s="152"/>
      <c r="AJ330" s="156"/>
      <c r="AK330" s="152"/>
      <c r="AL330" s="152"/>
      <c r="AM330" s="152"/>
      <c r="AN330" s="152"/>
      <c r="AO330" s="156"/>
      <c r="AP330" s="152"/>
      <c r="AQ330" s="152"/>
      <c r="AR330" s="152"/>
      <c r="AS330" s="152"/>
      <c r="AT330" s="156">
        <f>AT329+AT328+AT318+AT311</f>
        <v>-117</v>
      </c>
      <c r="AU330" s="152"/>
      <c r="AV330" s="152"/>
      <c r="AW330" s="152"/>
      <c r="AX330" s="152"/>
      <c r="AY330" s="156">
        <f>AY329+AY328+AY318+AY311</f>
        <v>-146</v>
      </c>
      <c r="AZ330" s="152"/>
      <c r="BA330" s="152"/>
      <c r="BB330" s="152"/>
      <c r="BC330" s="152"/>
      <c r="BD330" s="156">
        <f>BD329+BD328+BD318+BD311</f>
        <v>521</v>
      </c>
      <c r="BE330" s="152"/>
      <c r="BF330" s="152"/>
      <c r="BG330" s="152"/>
      <c r="BH330" s="152"/>
      <c r="BI330" s="156">
        <f>BI329+BI328+BI318+BI311</f>
        <v>-366</v>
      </c>
      <c r="BJ330" s="152"/>
      <c r="BK330" s="152"/>
      <c r="BL330" s="152"/>
      <c r="BM330" s="152"/>
      <c r="BN330" s="156">
        <f>BN329+BN328+BN318+BN311</f>
        <v>-123</v>
      </c>
      <c r="BO330" s="152"/>
      <c r="BP330" s="152"/>
      <c r="BQ330" s="152"/>
      <c r="BR330" s="152"/>
      <c r="BS330" s="156">
        <f>BS329+BS328+BS318+BS311</f>
        <v>-10</v>
      </c>
      <c r="BT330" s="152"/>
      <c r="BU330" s="152"/>
      <c r="BV330" s="152"/>
      <c r="BW330" s="152"/>
      <c r="BX330" s="156">
        <f>BX329+BX328+BX318+BX311</f>
        <v>169</v>
      </c>
      <c r="BY330" s="152"/>
      <c r="BZ330" s="152"/>
      <c r="CA330" s="152"/>
      <c r="CB330" s="152"/>
      <c r="CC330" s="156">
        <f>CC329+CC328+CC318+CC311</f>
        <v>226</v>
      </c>
      <c r="CD330" s="152"/>
      <c r="CE330" s="152"/>
      <c r="CF330" s="152"/>
      <c r="CG330" s="152"/>
      <c r="CH330" s="156">
        <f>CH329+CH328+CH318+CH311</f>
        <v>-213</v>
      </c>
      <c r="CI330" s="152"/>
      <c r="CJ330" s="152"/>
      <c r="CK330" s="152"/>
      <c r="CL330" s="152"/>
      <c r="CM330" s="156">
        <f>CM329+CM328+CM318+CM311</f>
        <v>152</v>
      </c>
      <c r="CN330" s="152"/>
      <c r="CO330" s="152"/>
      <c r="CP330" s="152"/>
      <c r="CQ330" s="152"/>
      <c r="CR330" s="156">
        <f>CR329+CR328+CR318+CR311</f>
        <v>-93</v>
      </c>
      <c r="CS330" s="152"/>
      <c r="CT330" s="152"/>
      <c r="CU330" s="152"/>
      <c r="CV330" s="152"/>
      <c r="CW330" s="156">
        <f>CW329+CW328+CW318+CW311</f>
        <v>301</v>
      </c>
      <c r="CX330" s="152"/>
      <c r="CY330" s="152"/>
      <c r="CZ330" s="152"/>
      <c r="DA330" s="152"/>
      <c r="DB330" s="156">
        <f>DB329+DB328+DB318+DB311</f>
        <v>360</v>
      </c>
      <c r="DC330" s="152"/>
      <c r="DD330" s="152"/>
      <c r="DE330" s="152"/>
      <c r="DF330" s="152"/>
      <c r="DG330" s="156">
        <f>DG329+DG328+DG318+DG311</f>
        <v>263</v>
      </c>
      <c r="DH330" s="152"/>
      <c r="DI330" s="152"/>
      <c r="DJ330" s="152"/>
      <c r="DK330" s="152"/>
      <c r="DL330" s="156">
        <f>DL329+DL328+DL318+DL311</f>
        <v>-509</v>
      </c>
      <c r="DM330" s="152"/>
      <c r="DN330" s="152"/>
      <c r="DO330" s="152"/>
      <c r="DP330" s="152"/>
      <c r="DQ330" s="156">
        <f>DQ329+DQ328+DQ318+DQ311</f>
        <v>1</v>
      </c>
      <c r="DR330" s="152"/>
      <c r="DS330" s="152"/>
      <c r="DT330" s="152"/>
      <c r="DU330" s="152"/>
      <c r="DV330" s="156">
        <f>DV329+DV328+DV318+DV311</f>
        <v>-192</v>
      </c>
      <c r="DW330" s="152"/>
      <c r="DX330" s="152"/>
      <c r="DY330" s="152"/>
      <c r="DZ330" s="152"/>
      <c r="EA330" s="156">
        <f>EA329+EA328+EA318+EA311</f>
        <v>77</v>
      </c>
      <c r="EB330" s="152"/>
      <c r="EC330" s="152"/>
      <c r="ED330" s="152"/>
      <c r="EE330" s="152"/>
      <c r="EF330" s="156">
        <f>EF329+EF328+EF318+EF311</f>
        <v>-41</v>
      </c>
      <c r="EG330" s="152"/>
      <c r="EH330" s="152"/>
      <c r="EI330" s="152"/>
      <c r="EJ330" s="152"/>
      <c r="EK330" s="156">
        <f>EK329+EK328+EK318+EK311</f>
        <v>-25</v>
      </c>
      <c r="EL330" s="152"/>
      <c r="EM330" s="152"/>
      <c r="EN330" s="152"/>
      <c r="EO330" s="152"/>
      <c r="EP330" s="1007">
        <f>EP329+EP328+EP318+EP311</f>
        <v>-202</v>
      </c>
      <c r="EQ330" s="152"/>
      <c r="ER330" s="152"/>
      <c r="ES330" s="152"/>
      <c r="ET330" s="152"/>
      <c r="EU330" s="156">
        <f ca="1">EU329+EU328+EU318+EU311</f>
        <v>242.08600331216712</v>
      </c>
      <c r="EV330" s="152"/>
      <c r="EW330" s="152"/>
      <c r="EX330" s="152"/>
      <c r="EY330" s="152"/>
      <c r="EZ330" s="156">
        <f ca="1">EZ329+EZ328+EZ318+EZ311</f>
        <v>107.33519799601254</v>
      </c>
      <c r="FA330" s="152"/>
      <c r="FB330" s="152"/>
      <c r="FC330" s="152"/>
      <c r="FD330" s="152"/>
      <c r="FE330" s="156">
        <f ca="1">FE329+FE328+FE318+FE311</f>
        <v>122.14045118630565</v>
      </c>
      <c r="FG330" s="494"/>
      <c r="FH330" s="832"/>
      <c r="FI330" s="832"/>
      <c r="FJ330" s="832"/>
      <c r="FK330" s="159"/>
      <c r="FL330" s="1403"/>
      <c r="FM330"/>
      <c r="FN330"/>
      <c r="FO330"/>
      <c r="FP330"/>
      <c r="FQ330"/>
      <c r="FR330" s="1635"/>
      <c r="FS330" s="1635"/>
      <c r="FT330" s="904">
        <v>350</v>
      </c>
      <c r="FU330" s="2031">
        <v>4.65E-2</v>
      </c>
      <c r="FV330" s="458"/>
      <c r="FW330" s="458"/>
      <c r="FX330" s="458"/>
      <c r="FY330" s="458"/>
      <c r="FZ330" s="494"/>
      <c r="GA330"/>
      <c r="GB330"/>
      <c r="GC330"/>
      <c r="GD330"/>
      <c r="GE330"/>
      <c r="GF330"/>
      <c r="GG330"/>
      <c r="GH330"/>
      <c r="GI330"/>
      <c r="GJ330"/>
      <c r="GK330"/>
      <c r="GL330"/>
      <c r="GM330"/>
      <c r="GN330"/>
      <c r="GO330"/>
      <c r="GP330"/>
      <c r="GQ330"/>
      <c r="GR330"/>
      <c r="GS330"/>
      <c r="GT330"/>
      <c r="GU330"/>
      <c r="GV330"/>
      <c r="GW330"/>
      <c r="GX330"/>
      <c r="GY330"/>
      <c r="GZ330"/>
      <c r="HA330"/>
      <c r="HB330"/>
      <c r="HC330"/>
      <c r="HD330"/>
      <c r="HE330"/>
      <c r="HF330"/>
      <c r="HG330"/>
      <c r="HH330"/>
      <c r="HI330"/>
      <c r="HJ330"/>
      <c r="HK330"/>
      <c r="HL330"/>
      <c r="HM330"/>
      <c r="HN330"/>
      <c r="HO330"/>
      <c r="HP330"/>
      <c r="HQ330"/>
      <c r="HR330"/>
      <c r="HS330"/>
      <c r="HT330"/>
      <c r="HU330"/>
      <c r="HV330"/>
      <c r="HW330"/>
      <c r="HX330"/>
      <c r="HY330"/>
      <c r="HZ330"/>
      <c r="IA330"/>
      <c r="IB330"/>
      <c r="IC330"/>
      <c r="ID330"/>
      <c r="IE330"/>
      <c r="IF330"/>
      <c r="IG330"/>
      <c r="IH330"/>
      <c r="II330"/>
      <c r="IJ330"/>
      <c r="IK330"/>
      <c r="IL330"/>
      <c r="IM330"/>
      <c r="IN330"/>
      <c r="IO330"/>
      <c r="IP330"/>
      <c r="IQ330"/>
      <c r="IR330"/>
      <c r="IS330"/>
      <c r="IT330"/>
      <c r="IU330"/>
      <c r="IV330"/>
      <c r="IW330"/>
      <c r="IX330"/>
    </row>
    <row r="331" spans="1:258" s="158" customFormat="1" x14ac:dyDescent="0.2">
      <c r="A331" s="617" t="s">
        <v>612</v>
      </c>
      <c r="B331" s="152"/>
      <c r="C331" s="152"/>
      <c r="D331" s="152"/>
      <c r="E331" s="152"/>
      <c r="F331" s="156"/>
      <c r="G331" s="152"/>
      <c r="H331" s="152"/>
      <c r="I331" s="152"/>
      <c r="J331" s="152"/>
      <c r="K331" s="156"/>
      <c r="L331" s="152"/>
      <c r="M331" s="152"/>
      <c r="N331" s="152"/>
      <c r="O331" s="152"/>
      <c r="P331" s="156"/>
      <c r="Q331" s="152"/>
      <c r="R331" s="152"/>
      <c r="S331" s="152"/>
      <c r="T331" s="152"/>
      <c r="U331" s="156"/>
      <c r="V331" s="152"/>
      <c r="W331" s="152"/>
      <c r="X331" s="152"/>
      <c r="Y331" s="152"/>
      <c r="Z331" s="156"/>
      <c r="AA331" s="152"/>
      <c r="AB331" s="152"/>
      <c r="AC331" s="152"/>
      <c r="AD331" s="152"/>
      <c r="AE331" s="156"/>
      <c r="AF331" s="152"/>
      <c r="AG331" s="152"/>
      <c r="AH331" s="152"/>
      <c r="AI331" s="152"/>
      <c r="AJ331" s="156"/>
      <c r="AK331" s="152"/>
      <c r="AL331" s="152"/>
      <c r="AM331" s="152"/>
      <c r="AN331" s="152"/>
      <c r="AO331" s="156"/>
      <c r="AP331" s="152"/>
      <c r="AQ331" s="152"/>
      <c r="AR331" s="152"/>
      <c r="AS331" s="152"/>
      <c r="AT331" s="156">
        <v>368</v>
      </c>
      <c r="AU331" s="152"/>
      <c r="AV331" s="152"/>
      <c r="AW331" s="152"/>
      <c r="AX331" s="152"/>
      <c r="AY331" s="156">
        <f>AT332</f>
        <v>251</v>
      </c>
      <c r="AZ331" s="152"/>
      <c r="BA331" s="152"/>
      <c r="BB331" s="152"/>
      <c r="BC331" s="152"/>
      <c r="BD331" s="156">
        <f>AY332</f>
        <v>105</v>
      </c>
      <c r="BE331" s="152"/>
      <c r="BF331" s="152"/>
      <c r="BG331" s="152"/>
      <c r="BH331" s="152"/>
      <c r="BI331" s="156">
        <f>BD332</f>
        <v>626</v>
      </c>
      <c r="BJ331" s="152"/>
      <c r="BK331" s="152"/>
      <c r="BL331" s="152"/>
      <c r="BM331" s="152"/>
      <c r="BN331" s="156">
        <f>BI332</f>
        <v>260</v>
      </c>
      <c r="BO331" s="152"/>
      <c r="BP331" s="152"/>
      <c r="BQ331" s="152"/>
      <c r="BR331" s="152"/>
      <c r="BS331" s="156">
        <f>BN332</f>
        <v>137</v>
      </c>
      <c r="BT331" s="152"/>
      <c r="BU331" s="152"/>
      <c r="BV331" s="152"/>
      <c r="BW331" s="152"/>
      <c r="BX331" s="156">
        <f>BS332</f>
        <v>127</v>
      </c>
      <c r="BY331" s="152"/>
      <c r="BZ331" s="152"/>
      <c r="CA331" s="152"/>
      <c r="CB331" s="152"/>
      <c r="CC331" s="156">
        <f>BX332</f>
        <v>296</v>
      </c>
      <c r="CD331" s="152"/>
      <c r="CE331" s="152"/>
      <c r="CF331" s="152"/>
      <c r="CG331" s="152"/>
      <c r="CH331" s="156">
        <f>CC332</f>
        <v>522</v>
      </c>
      <c r="CI331" s="152"/>
      <c r="CJ331" s="152"/>
      <c r="CK331" s="152"/>
      <c r="CL331" s="152"/>
      <c r="CM331" s="156">
        <f>CH332</f>
        <v>309</v>
      </c>
      <c r="CN331" s="152"/>
      <c r="CO331" s="152"/>
      <c r="CP331" s="152"/>
      <c r="CQ331" s="152"/>
      <c r="CR331" s="156">
        <f>CM332</f>
        <v>461</v>
      </c>
      <c r="CS331" s="152"/>
      <c r="CT331" s="152"/>
      <c r="CU331" s="152"/>
      <c r="CV331" s="152"/>
      <c r="CW331" s="156">
        <f>CR332</f>
        <v>368</v>
      </c>
      <c r="CX331" s="152"/>
      <c r="CY331" s="152"/>
      <c r="CZ331" s="152"/>
      <c r="DA331" s="152"/>
      <c r="DB331" s="156">
        <f>CW332</f>
        <v>669</v>
      </c>
      <c r="DC331" s="152"/>
      <c r="DD331" s="152"/>
      <c r="DE331" s="152"/>
      <c r="DF331" s="152"/>
      <c r="DG331" s="156">
        <f>DB332</f>
        <v>1029</v>
      </c>
      <c r="DH331" s="152"/>
      <c r="DI331" s="152"/>
      <c r="DJ331" s="152"/>
      <c r="DK331" s="152"/>
      <c r="DL331" s="156">
        <f>DG332</f>
        <v>1292</v>
      </c>
      <c r="DM331" s="152"/>
      <c r="DN331" s="152"/>
      <c r="DO331" s="152"/>
      <c r="DP331" s="152"/>
      <c r="DQ331" s="156">
        <f>DL332</f>
        <v>783</v>
      </c>
      <c r="DR331" s="152"/>
      <c r="DS331" s="152"/>
      <c r="DT331" s="152"/>
      <c r="DU331" s="152"/>
      <c r="DV331" s="156">
        <f>DQ332</f>
        <v>784</v>
      </c>
      <c r="DW331" s="152"/>
      <c r="DX331" s="152"/>
      <c r="DY331" s="152"/>
      <c r="DZ331" s="152"/>
      <c r="EA331" s="156">
        <f>DV332</f>
        <v>592</v>
      </c>
      <c r="EB331" s="152"/>
      <c r="EC331" s="152"/>
      <c r="ED331" s="152"/>
      <c r="EE331" s="152"/>
      <c r="EF331" s="156">
        <f>EA332</f>
        <v>669</v>
      </c>
      <c r="EG331" s="152"/>
      <c r="EH331" s="152"/>
      <c r="EI331" s="152"/>
      <c r="EJ331" s="152"/>
      <c r="EK331" s="156">
        <f>EF332</f>
        <v>628</v>
      </c>
      <c r="EL331" s="152"/>
      <c r="EM331" s="152"/>
      <c r="EN331" s="152"/>
      <c r="EO331" s="152"/>
      <c r="EP331" s="1007">
        <f>EK332</f>
        <v>603</v>
      </c>
      <c r="EQ331" s="152"/>
      <c r="ER331" s="152"/>
      <c r="ES331" s="152"/>
      <c r="ET331" s="152"/>
      <c r="EU331" s="156">
        <f>EP332</f>
        <v>401</v>
      </c>
      <c r="EV331" s="152"/>
      <c r="EW331" s="152"/>
      <c r="EX331" s="152"/>
      <c r="EY331" s="152"/>
      <c r="EZ331" s="156">
        <f ca="1">EU332</f>
        <v>643.08600331216712</v>
      </c>
      <c r="FA331" s="152"/>
      <c r="FB331" s="152"/>
      <c r="FC331" s="152"/>
      <c r="FD331" s="152"/>
      <c r="FE331" s="156">
        <f ca="1">EZ332</f>
        <v>750.42120130817966</v>
      </c>
      <c r="FG331" s="494"/>
      <c r="FH331" s="832"/>
      <c r="FI331" s="832"/>
      <c r="FJ331" s="832"/>
      <c r="FK331" s="159"/>
      <c r="FL331" s="1403"/>
      <c r="FM331"/>
      <c r="FN331"/>
      <c r="FO331"/>
      <c r="FP331"/>
      <c r="FQ331"/>
      <c r="FR331" s="1635"/>
      <c r="FS331" s="1635"/>
      <c r="FT331" s="719">
        <f>+SUM(FT328:FT330)</f>
        <v>2000</v>
      </c>
      <c r="FU331" s="2031">
        <f>+(FT328*FU328+FT329*FU329+FT330*FU330)/FT331</f>
        <v>4.1612499999999997E-2</v>
      </c>
      <c r="FV331" s="458"/>
      <c r="FW331" s="458"/>
      <c r="FX331" s="458"/>
      <c r="FY331" s="458"/>
      <c r="FZ331" s="494"/>
      <c r="GA331"/>
      <c r="GB331"/>
      <c r="GC331"/>
      <c r="GD331"/>
      <c r="GE331"/>
      <c r="GF331"/>
      <c r="GG331"/>
      <c r="GH331"/>
      <c r="GI331"/>
      <c r="GJ331"/>
      <c r="GK331"/>
      <c r="GL331"/>
      <c r="GM331"/>
      <c r="GN331"/>
      <c r="GO331"/>
      <c r="GP331"/>
      <c r="GQ331"/>
      <c r="GR331"/>
      <c r="GS331"/>
      <c r="GT331"/>
      <c r="GU331"/>
      <c r="GV331"/>
      <c r="GW331"/>
      <c r="GX331"/>
      <c r="GY331"/>
      <c r="GZ331"/>
      <c r="HA331"/>
      <c r="HB331"/>
      <c r="HC331"/>
      <c r="HD331"/>
      <c r="HE331"/>
      <c r="HF331"/>
      <c r="HG331"/>
      <c r="HH331"/>
      <c r="HI331"/>
      <c r="HJ331"/>
      <c r="HK331"/>
      <c r="HL331"/>
      <c r="HM331"/>
      <c r="HN331"/>
      <c r="HO331"/>
      <c r="HP331"/>
      <c r="HQ331"/>
      <c r="HR331"/>
      <c r="HS331"/>
      <c r="HT331"/>
      <c r="HU331"/>
      <c r="HV331"/>
      <c r="HW331"/>
      <c r="HX331"/>
      <c r="HY331"/>
      <c r="HZ331"/>
      <c r="IA331"/>
      <c r="IB331"/>
      <c r="IC331"/>
      <c r="ID331"/>
      <c r="IE331"/>
      <c r="IF331"/>
      <c r="IG331"/>
      <c r="IH331"/>
      <c r="II331"/>
      <c r="IJ331"/>
      <c r="IK331"/>
      <c r="IL331"/>
      <c r="IM331"/>
      <c r="IN331"/>
      <c r="IO331"/>
      <c r="IP331"/>
      <c r="IQ331"/>
      <c r="IR331"/>
      <c r="IS331"/>
      <c r="IT331"/>
      <c r="IU331"/>
      <c r="IV331"/>
      <c r="IW331"/>
      <c r="IX331"/>
    </row>
    <row r="332" spans="1:258" s="159" customFormat="1" x14ac:dyDescent="0.2">
      <c r="A332" s="617" t="s">
        <v>476</v>
      </c>
      <c r="B332" s="151"/>
      <c r="C332" s="151"/>
      <c r="D332" s="151"/>
      <c r="E332" s="151"/>
      <c r="F332" s="156"/>
      <c r="G332" s="151"/>
      <c r="H332" s="151"/>
      <c r="I332" s="151"/>
      <c r="J332" s="151"/>
      <c r="K332" s="156"/>
      <c r="L332" s="151"/>
      <c r="M332" s="151"/>
      <c r="N332" s="151"/>
      <c r="O332" s="151"/>
      <c r="P332" s="156"/>
      <c r="Q332" s="151"/>
      <c r="R332" s="151"/>
      <c r="S332" s="151"/>
      <c r="T332" s="151"/>
      <c r="U332" s="156"/>
      <c r="V332" s="151"/>
      <c r="W332" s="151"/>
      <c r="X332" s="151"/>
      <c r="Y332" s="151"/>
      <c r="Z332" s="156"/>
      <c r="AA332" s="151"/>
      <c r="AB332" s="151"/>
      <c r="AC332" s="151"/>
      <c r="AD332" s="151"/>
      <c r="AE332" s="156"/>
      <c r="AF332" s="151"/>
      <c r="AG332" s="151"/>
      <c r="AH332" s="151"/>
      <c r="AI332" s="151"/>
      <c r="AJ332" s="156"/>
      <c r="AK332" s="151"/>
      <c r="AL332" s="151"/>
      <c r="AM332" s="151"/>
      <c r="AN332" s="151"/>
      <c r="AO332" s="156"/>
      <c r="AP332" s="151"/>
      <c r="AQ332" s="151"/>
      <c r="AR332" s="151"/>
      <c r="AS332" s="151"/>
      <c r="AT332" s="156">
        <f>AT330+AT331</f>
        <v>251</v>
      </c>
      <c r="AU332" s="151"/>
      <c r="AV332" s="151"/>
      <c r="AW332" s="151"/>
      <c r="AX332" s="151"/>
      <c r="AY332" s="156">
        <f>AY330+AY331</f>
        <v>105</v>
      </c>
      <c r="AZ332" s="151"/>
      <c r="BA332" s="151"/>
      <c r="BB332" s="151"/>
      <c r="BC332" s="151"/>
      <c r="BD332" s="156">
        <f>BD330+BD331</f>
        <v>626</v>
      </c>
      <c r="BE332" s="151"/>
      <c r="BF332" s="151"/>
      <c r="BG332" s="151"/>
      <c r="BH332" s="151"/>
      <c r="BI332" s="156">
        <f>BI330+BI331</f>
        <v>260</v>
      </c>
      <c r="BJ332" s="151"/>
      <c r="BK332" s="151"/>
      <c r="BL332" s="151"/>
      <c r="BM332" s="151"/>
      <c r="BN332" s="156">
        <f>BN330+BN331</f>
        <v>137</v>
      </c>
      <c r="BO332" s="151"/>
      <c r="BP332" s="151"/>
      <c r="BQ332" s="151"/>
      <c r="BR332" s="151"/>
      <c r="BS332" s="156">
        <f>BS330+BS331</f>
        <v>127</v>
      </c>
      <c r="BT332" s="151"/>
      <c r="BU332" s="151"/>
      <c r="BV332" s="151"/>
      <c r="BW332" s="151"/>
      <c r="BX332" s="156">
        <f>BX330+BX331</f>
        <v>296</v>
      </c>
      <c r="BY332" s="151"/>
      <c r="BZ332" s="151"/>
      <c r="CA332" s="151"/>
      <c r="CB332" s="151"/>
      <c r="CC332" s="156">
        <f>CC330+CC331</f>
        <v>522</v>
      </c>
      <c r="CD332" s="151"/>
      <c r="CE332" s="151"/>
      <c r="CF332" s="151"/>
      <c r="CG332" s="151"/>
      <c r="CH332" s="156">
        <f>CH330+CH331</f>
        <v>309</v>
      </c>
      <c r="CI332" s="151"/>
      <c r="CJ332" s="151"/>
      <c r="CK332" s="151"/>
      <c r="CL332" s="151"/>
      <c r="CM332" s="156">
        <f>CM330+CM331</f>
        <v>461</v>
      </c>
      <c r="CN332" s="151"/>
      <c r="CO332" s="151"/>
      <c r="CP332" s="151"/>
      <c r="CQ332" s="151"/>
      <c r="CR332" s="156">
        <f>CR330+CR331</f>
        <v>368</v>
      </c>
      <c r="CS332" s="151"/>
      <c r="CT332" s="151"/>
      <c r="CU332" s="151"/>
      <c r="CV332" s="151"/>
      <c r="CW332" s="156">
        <f>CW330+CW331</f>
        <v>669</v>
      </c>
      <c r="CX332" s="151"/>
      <c r="CY332" s="151"/>
      <c r="CZ332" s="151"/>
      <c r="DA332" s="151"/>
      <c r="DB332" s="156">
        <f>DB330+DB331</f>
        <v>1029</v>
      </c>
      <c r="DC332" s="151"/>
      <c r="DD332" s="151"/>
      <c r="DE332" s="151"/>
      <c r="DF332" s="151"/>
      <c r="DG332" s="156">
        <f>DG330+DG331</f>
        <v>1292</v>
      </c>
      <c r="DH332" s="151"/>
      <c r="DI332" s="151"/>
      <c r="DJ332" s="151"/>
      <c r="DK332" s="151"/>
      <c r="DL332" s="156">
        <f>DL330+DL331</f>
        <v>783</v>
      </c>
      <c r="DM332" s="151"/>
      <c r="DN332" s="151"/>
      <c r="DO332" s="151"/>
      <c r="DP332" s="151"/>
      <c r="DQ332" s="156">
        <f>DQ330+DQ331</f>
        <v>784</v>
      </c>
      <c r="DR332" s="151"/>
      <c r="DS332" s="151"/>
      <c r="DT332" s="151"/>
      <c r="DU332" s="151"/>
      <c r="DV332" s="156">
        <f>DV330+DV331</f>
        <v>592</v>
      </c>
      <c r="DW332" s="151"/>
      <c r="DX332" s="151"/>
      <c r="DY332" s="151"/>
      <c r="DZ332" s="151"/>
      <c r="EA332" s="156">
        <f>EA330+EA331</f>
        <v>669</v>
      </c>
      <c r="EB332" s="151"/>
      <c r="EC332" s="151"/>
      <c r="ED332" s="151"/>
      <c r="EE332" s="151"/>
      <c r="EF332" s="156">
        <f>EF330+EF331</f>
        <v>628</v>
      </c>
      <c r="EG332" s="151"/>
      <c r="EH332" s="151"/>
      <c r="EI332" s="151"/>
      <c r="EJ332" s="151"/>
      <c r="EK332" s="156">
        <f>EK330+EK331</f>
        <v>603</v>
      </c>
      <c r="EL332" s="151"/>
      <c r="EM332" s="151"/>
      <c r="EN332" s="151"/>
      <c r="EO332" s="151"/>
      <c r="EP332" s="1007">
        <f>EP330+EP331</f>
        <v>401</v>
      </c>
      <c r="EQ332" s="151"/>
      <c r="ER332" s="151"/>
      <c r="ES332" s="151"/>
      <c r="ET332" s="151"/>
      <c r="EU332" s="156">
        <f ca="1">EU330+EU331</f>
        <v>643.08600331216712</v>
      </c>
      <c r="EV332" s="151"/>
      <c r="EW332" s="151"/>
      <c r="EX332" s="151"/>
      <c r="EY332" s="151"/>
      <c r="EZ332" s="156">
        <f ca="1">EZ330+EZ331</f>
        <v>750.42120130817966</v>
      </c>
      <c r="FA332" s="151"/>
      <c r="FB332" s="151"/>
      <c r="FC332" s="151"/>
      <c r="FD332" s="151"/>
      <c r="FE332" s="156">
        <f ca="1">FE330+FE331</f>
        <v>872.56165249448532</v>
      </c>
      <c r="FG332" s="494"/>
      <c r="FH332" s="832"/>
      <c r="FI332" s="832"/>
      <c r="FJ332" s="832"/>
      <c r="FL332" s="1403"/>
      <c r="FM332"/>
      <c r="FN332"/>
      <c r="FO332"/>
      <c r="FP332"/>
      <c r="FQ332"/>
      <c r="FR332" s="1635"/>
      <c r="FS332" s="1635"/>
      <c r="FT332" s="458"/>
      <c r="FU332" s="458"/>
      <c r="FV332" s="458"/>
      <c r="FW332" s="458"/>
      <c r="FX332" s="458"/>
      <c r="FY332" s="458"/>
      <c r="FZ332" s="494"/>
      <c r="GA332"/>
      <c r="GB332"/>
      <c r="GC332"/>
      <c r="GD332"/>
      <c r="GE332"/>
      <c r="GF332"/>
      <c r="GG332"/>
      <c r="GH332"/>
      <c r="GI332"/>
      <c r="GJ332"/>
      <c r="GK332"/>
      <c r="GL332"/>
      <c r="GM332"/>
      <c r="GN332"/>
      <c r="GO332"/>
      <c r="GP332"/>
      <c r="GQ332"/>
      <c r="GR332"/>
      <c r="GS332"/>
      <c r="GT332"/>
      <c r="GU332"/>
      <c r="GV332"/>
      <c r="GW332"/>
      <c r="GX332"/>
      <c r="GY332"/>
      <c r="GZ332"/>
      <c r="HA332"/>
      <c r="HB332"/>
      <c r="HC332"/>
      <c r="HD332"/>
      <c r="HE332"/>
      <c r="HF332"/>
      <c r="HG332"/>
      <c r="HH332"/>
      <c r="HI332"/>
      <c r="HJ332"/>
      <c r="HK332"/>
      <c r="HL332"/>
      <c r="HM332"/>
      <c r="HN332"/>
      <c r="HO332"/>
      <c r="HP332"/>
      <c r="HQ332"/>
      <c r="HR332"/>
      <c r="HS332"/>
      <c r="HT332"/>
      <c r="HU332"/>
      <c r="HV332"/>
      <c r="HW332"/>
      <c r="HX332"/>
      <c r="HY332"/>
      <c r="HZ332"/>
      <c r="IA332"/>
      <c r="IB332"/>
      <c r="IC332"/>
      <c r="ID332"/>
      <c r="IE332"/>
      <c r="IF332"/>
      <c r="IG332"/>
      <c r="IH332"/>
      <c r="II332"/>
      <c r="IJ332"/>
      <c r="IK332"/>
      <c r="IL332"/>
      <c r="IM332"/>
      <c r="IN332"/>
      <c r="IO332"/>
      <c r="IP332"/>
      <c r="IQ332"/>
      <c r="IR332"/>
      <c r="IS332"/>
      <c r="IT332"/>
      <c r="IU332"/>
      <c r="IV332"/>
      <c r="IW332"/>
      <c r="IX332"/>
    </row>
    <row r="333" spans="1:258" s="155" customFormat="1" ht="12.6" customHeight="1" x14ac:dyDescent="0.2">
      <c r="A333" s="248"/>
      <c r="B333" s="236"/>
      <c r="C333" s="236"/>
      <c r="D333" s="236"/>
      <c r="E333" s="236"/>
      <c r="F333" s="238"/>
      <c r="G333" s="236"/>
      <c r="H333" s="236"/>
      <c r="I333" s="236"/>
      <c r="J333" s="236"/>
      <c r="K333" s="238"/>
      <c r="L333" s="236"/>
      <c r="M333" s="236"/>
      <c r="N333" s="236"/>
      <c r="O333" s="236"/>
      <c r="P333" s="238"/>
      <c r="Q333" s="236"/>
      <c r="R333" s="236"/>
      <c r="S333" s="236"/>
      <c r="T333" s="236"/>
      <c r="U333" s="238"/>
      <c r="V333" s="236"/>
      <c r="W333" s="236"/>
      <c r="X333" s="236"/>
      <c r="Y333" s="236"/>
      <c r="Z333" s="238"/>
      <c r="AA333" s="236"/>
      <c r="AB333" s="236"/>
      <c r="AC333" s="236"/>
      <c r="AD333" s="236"/>
      <c r="AE333" s="238"/>
      <c r="AF333" s="236"/>
      <c r="AG333" s="236"/>
      <c r="AH333" s="236"/>
      <c r="AI333" s="236"/>
      <c r="AJ333" s="238"/>
      <c r="AK333" s="236"/>
      <c r="AL333" s="236"/>
      <c r="AM333" s="236"/>
      <c r="AN333" s="236"/>
      <c r="AO333" s="238"/>
      <c r="AP333" s="236"/>
      <c r="AQ333" s="236"/>
      <c r="AR333" s="236"/>
      <c r="AS333" s="236"/>
      <c r="AT333" s="238"/>
      <c r="AU333" s="236"/>
      <c r="AV333" s="236"/>
      <c r="AW333" s="236"/>
      <c r="AX333" s="236"/>
      <c r="AY333" s="238"/>
      <c r="AZ333" s="236"/>
      <c r="BA333" s="236"/>
      <c r="BB333" s="236"/>
      <c r="BC333" s="236"/>
      <c r="BD333" s="238"/>
      <c r="BE333" s="236"/>
      <c r="BF333" s="236"/>
      <c r="BG333" s="236"/>
      <c r="BH333" s="236"/>
      <c r="BI333" s="238"/>
      <c r="BJ333" s="236"/>
      <c r="BK333" s="236"/>
      <c r="BL333" s="236"/>
      <c r="BM333" s="236"/>
      <c r="BN333" s="238"/>
      <c r="BO333" s="236"/>
      <c r="BP333" s="236"/>
      <c r="BQ333" s="236"/>
      <c r="BR333" s="236"/>
      <c r="BS333" s="238"/>
      <c r="BT333" s="236"/>
      <c r="BU333" s="236"/>
      <c r="BV333" s="236"/>
      <c r="BW333" s="236"/>
      <c r="BX333" s="238"/>
      <c r="BY333" s="236"/>
      <c r="BZ333" s="236"/>
      <c r="CA333" s="236"/>
      <c r="CB333" s="236"/>
      <c r="CC333" s="238"/>
      <c r="CD333" s="236"/>
      <c r="CE333" s="236"/>
      <c r="CF333" s="236"/>
      <c r="CG333" s="236"/>
      <c r="CH333" s="238"/>
      <c r="CI333" s="236"/>
      <c r="CJ333" s="236"/>
      <c r="CK333" s="236"/>
      <c r="CL333" s="236"/>
      <c r="CM333" s="238"/>
      <c r="CN333" s="236"/>
      <c r="CO333" s="236"/>
      <c r="CP333" s="236"/>
      <c r="CQ333" s="236"/>
      <c r="CR333" s="238"/>
      <c r="CS333" s="236"/>
      <c r="CT333" s="236"/>
      <c r="CU333" s="236"/>
      <c r="CV333" s="236"/>
      <c r="CW333" s="238"/>
      <c r="CX333" s="236"/>
      <c r="CY333" s="236"/>
      <c r="CZ333" s="236"/>
      <c r="DA333" s="236"/>
      <c r="DB333" s="238"/>
      <c r="DC333" s="236"/>
      <c r="DD333" s="236"/>
      <c r="DE333" s="236"/>
      <c r="DF333" s="236"/>
      <c r="DG333" s="238"/>
      <c r="DH333" s="236"/>
      <c r="DI333" s="236"/>
      <c r="DJ333" s="236"/>
      <c r="DK333" s="236"/>
      <c r="DL333" s="238"/>
      <c r="DM333" s="236"/>
      <c r="DN333" s="236"/>
      <c r="DO333" s="236"/>
      <c r="DP333" s="236"/>
      <c r="DQ333" s="238"/>
      <c r="DR333" s="236"/>
      <c r="DS333" s="236"/>
      <c r="DT333" s="236"/>
      <c r="DU333" s="236"/>
      <c r="DV333" s="238"/>
      <c r="DW333" s="236"/>
      <c r="DX333" s="246"/>
      <c r="DY333" s="246"/>
      <c r="DZ333" s="236"/>
      <c r="EA333" s="238"/>
      <c r="EB333" s="246"/>
      <c r="EC333" s="246"/>
      <c r="ED333" s="246"/>
      <c r="EE333" s="246"/>
      <c r="EF333" s="238"/>
      <c r="EG333" s="246"/>
      <c r="EH333" s="246"/>
      <c r="EI333" s="246"/>
      <c r="EJ333" s="246"/>
      <c r="EK333" s="238"/>
      <c r="EL333" s="246"/>
      <c r="EM333" s="246"/>
      <c r="EN333" s="246"/>
      <c r="EO333" s="246"/>
      <c r="EP333" s="238"/>
      <c r="EQ333" s="246"/>
      <c r="ER333" s="246"/>
      <c r="ES333" s="246"/>
      <c r="ET333" s="246"/>
      <c r="EU333" s="238"/>
      <c r="EV333" s="246"/>
      <c r="EW333" s="246"/>
      <c r="EX333" s="246"/>
      <c r="EY333" s="246"/>
      <c r="EZ333" s="238"/>
      <c r="FA333" s="246"/>
      <c r="FB333" s="246"/>
      <c r="FC333" s="246"/>
      <c r="FD333" s="246"/>
      <c r="FE333" s="238"/>
      <c r="FG333" s="494"/>
      <c r="FH333" s="822"/>
      <c r="FI333" s="822"/>
      <c r="FJ333" s="822"/>
      <c r="FL333" s="1391"/>
      <c r="FM333"/>
      <c r="FN333"/>
      <c r="FO333"/>
      <c r="FP333"/>
      <c r="FQ333"/>
      <c r="FR333" s="1632"/>
      <c r="FS333" s="1632"/>
      <c r="FT333" s="454"/>
      <c r="FU333" s="454"/>
      <c r="FV333" s="454"/>
      <c r="FW333" s="454"/>
      <c r="FX333" s="454"/>
      <c r="FY333" s="454"/>
      <c r="FZ333" s="494"/>
      <c r="GA333"/>
      <c r="GB333"/>
      <c r="GC333"/>
      <c r="GD333"/>
      <c r="GE333"/>
      <c r="GF333"/>
      <c r="GG333"/>
      <c r="GH333"/>
      <c r="GI333"/>
      <c r="GJ333"/>
      <c r="GK333"/>
      <c r="GL333"/>
      <c r="GM333"/>
      <c r="GN333"/>
      <c r="GO333"/>
      <c r="GP333"/>
      <c r="GQ333"/>
      <c r="GR333"/>
      <c r="GS333"/>
      <c r="GT333"/>
      <c r="GU333"/>
      <c r="GV333"/>
      <c r="GW333"/>
      <c r="GX333"/>
      <c r="GY333"/>
      <c r="GZ333"/>
      <c r="HA333"/>
      <c r="HB333"/>
      <c r="HC333"/>
      <c r="HD333"/>
      <c r="HE333"/>
      <c r="HF333"/>
      <c r="HG333"/>
      <c r="HH333"/>
      <c r="HI333"/>
      <c r="HJ333"/>
      <c r="HK333"/>
      <c r="HL333"/>
      <c r="HM333"/>
      <c r="HN333"/>
      <c r="HO333"/>
      <c r="HP333"/>
      <c r="HQ333"/>
      <c r="HR333"/>
      <c r="HS333"/>
      <c r="HT333"/>
      <c r="HU333"/>
      <c r="HV333"/>
      <c r="HW333"/>
      <c r="HX333"/>
      <c r="HY333"/>
      <c r="HZ333"/>
      <c r="IA333"/>
      <c r="IB333"/>
      <c r="IC333"/>
      <c r="ID333"/>
      <c r="IE333"/>
      <c r="IF333"/>
      <c r="IG333"/>
      <c r="IH333"/>
      <c r="II333"/>
      <c r="IJ333"/>
      <c r="IK333"/>
      <c r="IL333"/>
      <c r="IM333"/>
      <c r="IN333"/>
      <c r="IO333"/>
      <c r="IP333"/>
      <c r="IQ333"/>
      <c r="IR333"/>
      <c r="IS333"/>
      <c r="IT333"/>
      <c r="IU333"/>
      <c r="IV333"/>
      <c r="IW333"/>
      <c r="IX333"/>
    </row>
    <row r="334" spans="1:258" s="136" customFormat="1" ht="15.75" x14ac:dyDescent="0.25">
      <c r="A334" s="160" t="s">
        <v>318</v>
      </c>
      <c r="B334" s="134"/>
      <c r="C334" s="134"/>
      <c r="D334" s="134"/>
      <c r="E334" s="134"/>
      <c r="F334" s="133"/>
      <c r="G334" s="134"/>
      <c r="H334" s="134"/>
      <c r="I334" s="134"/>
      <c r="J334" s="134"/>
      <c r="K334" s="133"/>
      <c r="L334" s="134"/>
      <c r="M334" s="134"/>
      <c r="N334" s="134"/>
      <c r="O334" s="134"/>
      <c r="P334" s="133"/>
      <c r="Q334" s="134"/>
      <c r="R334" s="134"/>
      <c r="S334" s="134"/>
      <c r="T334" s="134"/>
      <c r="U334" s="133"/>
      <c r="V334" s="134"/>
      <c r="W334" s="134"/>
      <c r="X334" s="134"/>
      <c r="Y334" s="134"/>
      <c r="Z334" s="133"/>
      <c r="AA334" s="134"/>
      <c r="AB334" s="134"/>
      <c r="AC334" s="134"/>
      <c r="AD334" s="134"/>
      <c r="AE334" s="133"/>
      <c r="AF334" s="134"/>
      <c r="AG334" s="134"/>
      <c r="AH334" s="134"/>
      <c r="AI334" s="134"/>
      <c r="AJ334" s="133"/>
      <c r="AK334" s="134"/>
      <c r="AL334" s="134"/>
      <c r="AM334" s="134"/>
      <c r="AN334" s="134"/>
      <c r="AO334" s="133"/>
      <c r="AP334" s="134"/>
      <c r="AQ334" s="134"/>
      <c r="AR334" s="134"/>
      <c r="AS334" s="134"/>
      <c r="AT334" s="133"/>
      <c r="AU334" s="134"/>
      <c r="AV334" s="134"/>
      <c r="AW334" s="134"/>
      <c r="AX334" s="134"/>
      <c r="AY334" s="133"/>
      <c r="AZ334" s="134"/>
      <c r="BA334" s="134"/>
      <c r="BB334" s="134"/>
      <c r="BC334" s="134"/>
      <c r="BD334" s="133"/>
      <c r="BE334" s="134"/>
      <c r="BF334" s="134"/>
      <c r="BG334" s="134"/>
      <c r="BH334" s="134"/>
      <c r="BI334" s="133"/>
      <c r="BJ334" s="134"/>
      <c r="BK334" s="134"/>
      <c r="BL334" s="134"/>
      <c r="BM334" s="134"/>
      <c r="BN334" s="133"/>
      <c r="BO334" s="134"/>
      <c r="BP334" s="134"/>
      <c r="BQ334" s="134"/>
      <c r="BR334" s="134"/>
      <c r="BS334" s="133"/>
      <c r="BT334" s="134"/>
      <c r="BU334" s="134"/>
      <c r="BV334" s="134"/>
      <c r="BW334" s="134"/>
      <c r="BX334" s="133"/>
      <c r="BY334" s="134"/>
      <c r="BZ334" s="134"/>
      <c r="CA334" s="134"/>
      <c r="CB334" s="134"/>
      <c r="CC334" s="133"/>
      <c r="CD334" s="134"/>
      <c r="CE334" s="134"/>
      <c r="CF334" s="134"/>
      <c r="CG334" s="134"/>
      <c r="CH334" s="133"/>
      <c r="CI334" s="134"/>
      <c r="CJ334" s="134"/>
      <c r="CK334" s="134"/>
      <c r="CL334" s="134"/>
      <c r="CM334" s="133"/>
      <c r="CN334" s="134"/>
      <c r="CO334" s="134"/>
      <c r="CP334" s="134"/>
      <c r="CQ334" s="134"/>
      <c r="CR334" s="133"/>
      <c r="CS334" s="134"/>
      <c r="CT334" s="134"/>
      <c r="CU334" s="134"/>
      <c r="CV334" s="134"/>
      <c r="CW334" s="133"/>
      <c r="CX334" s="134"/>
      <c r="CY334" s="134"/>
      <c r="CZ334" s="134"/>
      <c r="DA334" s="134"/>
      <c r="DB334" s="133"/>
      <c r="DC334" s="134"/>
      <c r="DD334" s="134"/>
      <c r="DE334" s="134"/>
      <c r="DF334" s="134"/>
      <c r="DG334" s="133"/>
      <c r="DH334" s="134"/>
      <c r="DI334" s="134"/>
      <c r="DJ334" s="134"/>
      <c r="DK334" s="134"/>
      <c r="DL334" s="133"/>
      <c r="DM334" s="134"/>
      <c r="DN334" s="134"/>
      <c r="DO334" s="134"/>
      <c r="DP334" s="134"/>
      <c r="DQ334" s="133"/>
      <c r="DR334" s="134"/>
      <c r="DS334" s="134"/>
      <c r="DT334" s="134"/>
      <c r="DU334" s="134"/>
      <c r="DV334" s="133"/>
      <c r="DW334" s="134"/>
      <c r="DX334" s="135"/>
      <c r="DY334" s="135"/>
      <c r="DZ334" s="134"/>
      <c r="EA334" s="133"/>
      <c r="EB334" s="135"/>
      <c r="EC334" s="135"/>
      <c r="ED334" s="135"/>
      <c r="EE334" s="134"/>
      <c r="EF334" s="133"/>
      <c r="EG334" s="135"/>
      <c r="EH334" s="135"/>
      <c r="EI334" s="135"/>
      <c r="EJ334" s="135"/>
      <c r="EK334" s="133"/>
      <c r="EL334" s="135"/>
      <c r="EM334" s="135"/>
      <c r="EN334" s="135"/>
      <c r="EO334" s="135"/>
      <c r="EP334" s="133"/>
      <c r="EQ334" s="135"/>
      <c r="ER334" s="135"/>
      <c r="ES334" s="135"/>
      <c r="ET334" s="135"/>
      <c r="EU334" s="133"/>
      <c r="EV334" s="135"/>
      <c r="EW334" s="135"/>
      <c r="EX334" s="135"/>
      <c r="EY334" s="135"/>
      <c r="EZ334" s="133"/>
      <c r="FA334" s="135"/>
      <c r="FB334" s="135"/>
      <c r="FC334" s="135"/>
      <c r="FD334" s="135"/>
      <c r="FE334" s="133"/>
      <c r="FG334" s="494"/>
      <c r="FH334" s="826"/>
      <c r="FI334" s="826"/>
      <c r="FJ334" s="826"/>
      <c r="FL334" s="1391"/>
      <c r="FM334"/>
      <c r="FN334"/>
      <c r="FO334"/>
      <c r="FP334"/>
      <c r="FQ334"/>
      <c r="FR334" s="1632"/>
      <c r="FS334" s="1632"/>
      <c r="FT334" s="454"/>
      <c r="FU334" s="454"/>
      <c r="FV334" s="454"/>
      <c r="FW334" s="454"/>
      <c r="FX334" s="454"/>
      <c r="FY334" s="454"/>
      <c r="FZ334" s="494"/>
      <c r="GA334"/>
      <c r="GB334"/>
      <c r="GC334"/>
      <c r="GD334"/>
      <c r="GE334"/>
      <c r="GF334"/>
      <c r="GG334"/>
      <c r="GH334"/>
      <c r="GI334"/>
      <c r="GJ334"/>
      <c r="GK334"/>
      <c r="GL334"/>
      <c r="GM334"/>
      <c r="GN334"/>
      <c r="GO334"/>
      <c r="GP334"/>
      <c r="GQ334"/>
      <c r="GR334"/>
      <c r="GS334"/>
      <c r="GT334"/>
      <c r="GU334"/>
      <c r="GV334"/>
      <c r="GW334"/>
      <c r="GX334"/>
      <c r="GY334"/>
      <c r="GZ334"/>
      <c r="HA334"/>
      <c r="HB334"/>
      <c r="HC334"/>
      <c r="HD334"/>
      <c r="HE334"/>
      <c r="HF334"/>
      <c r="HG334"/>
      <c r="HH334"/>
      <c r="HI334"/>
      <c r="HJ334"/>
      <c r="HK334"/>
      <c r="HL334"/>
      <c r="HM334"/>
      <c r="HN334"/>
      <c r="HO334"/>
      <c r="HP334"/>
      <c r="HQ334"/>
      <c r="HR334"/>
      <c r="HS334"/>
      <c r="HT334"/>
      <c r="HU334"/>
      <c r="HV334"/>
      <c r="HW334"/>
      <c r="HX334"/>
      <c r="HY334"/>
      <c r="HZ334"/>
      <c r="IA334"/>
      <c r="IB334"/>
      <c r="IC334"/>
      <c r="ID334"/>
      <c r="IE334"/>
      <c r="IF334"/>
      <c r="IG334"/>
      <c r="IH334"/>
      <c r="II334"/>
      <c r="IJ334"/>
      <c r="IK334"/>
      <c r="IL334"/>
      <c r="IM334"/>
      <c r="IN334"/>
      <c r="IO334"/>
      <c r="IP334"/>
      <c r="IQ334"/>
      <c r="IR334"/>
      <c r="IS334"/>
      <c r="IT334"/>
      <c r="IU334"/>
      <c r="IV334"/>
      <c r="IW334"/>
      <c r="IX334"/>
    </row>
    <row r="335" spans="1:258" s="430" customFormat="1" ht="12.6" customHeight="1" x14ac:dyDescent="0.2">
      <c r="A335" s="426" t="s">
        <v>477</v>
      </c>
      <c r="B335" s="427"/>
      <c r="C335" s="427"/>
      <c r="D335" s="427"/>
      <c r="E335" s="427"/>
      <c r="F335" s="428"/>
      <c r="G335" s="427"/>
      <c r="H335" s="427"/>
      <c r="I335" s="427"/>
      <c r="J335" s="427"/>
      <c r="K335" s="428"/>
      <c r="L335" s="427"/>
      <c r="M335" s="427"/>
      <c r="N335" s="427"/>
      <c r="O335" s="427"/>
      <c r="P335" s="428"/>
      <c r="Q335" s="427"/>
      <c r="R335" s="427"/>
      <c r="S335" s="427"/>
      <c r="T335" s="427"/>
      <c r="U335" s="428"/>
      <c r="V335" s="427"/>
      <c r="W335" s="427"/>
      <c r="X335" s="427"/>
      <c r="Y335" s="427"/>
      <c r="Z335" s="428"/>
      <c r="AA335" s="427"/>
      <c r="AB335" s="427"/>
      <c r="AC335" s="427"/>
      <c r="AD335" s="427"/>
      <c r="AE335" s="428"/>
      <c r="AF335" s="427"/>
      <c r="AG335" s="427"/>
      <c r="AH335" s="427"/>
      <c r="AI335" s="427"/>
      <c r="AJ335" s="428"/>
      <c r="AK335" s="427"/>
      <c r="AL335" s="427"/>
      <c r="AM335" s="427"/>
      <c r="AN335" s="427"/>
      <c r="AO335" s="428"/>
      <c r="AP335" s="427"/>
      <c r="AQ335" s="427"/>
      <c r="AR335" s="427"/>
      <c r="AS335" s="427"/>
      <c r="AT335" s="428"/>
      <c r="AU335" s="427"/>
      <c r="AV335" s="427"/>
      <c r="AW335" s="427"/>
      <c r="AX335" s="427"/>
      <c r="AY335" s="428"/>
      <c r="AZ335" s="427"/>
      <c r="BA335" s="427"/>
      <c r="BB335" s="427"/>
      <c r="BC335" s="427"/>
      <c r="BD335" s="428"/>
      <c r="BE335" s="427"/>
      <c r="BF335" s="427"/>
      <c r="BG335" s="427"/>
      <c r="BH335" s="427"/>
      <c r="BI335" s="428"/>
      <c r="BJ335" s="427"/>
      <c r="BK335" s="427"/>
      <c r="BL335" s="427"/>
      <c r="BM335" s="427"/>
      <c r="BN335" s="428"/>
      <c r="BO335" s="427"/>
      <c r="BP335" s="427"/>
      <c r="BQ335" s="427"/>
      <c r="BR335" s="427"/>
      <c r="BS335" s="428"/>
      <c r="BT335" s="427"/>
      <c r="BU335" s="427"/>
      <c r="BV335" s="427"/>
      <c r="BW335" s="427"/>
      <c r="BX335" s="428"/>
      <c r="BY335" s="427"/>
      <c r="BZ335" s="427"/>
      <c r="CA335" s="427"/>
      <c r="CB335" s="427"/>
      <c r="CC335" s="428"/>
      <c r="CD335" s="427"/>
      <c r="CE335" s="427"/>
      <c r="CF335" s="427"/>
      <c r="CG335" s="427"/>
      <c r="CH335" s="428"/>
      <c r="CI335" s="427"/>
      <c r="CJ335" s="427"/>
      <c r="CK335" s="427"/>
      <c r="CL335" s="427"/>
      <c r="CM335" s="428"/>
      <c r="CN335" s="427"/>
      <c r="CO335" s="427"/>
      <c r="CP335" s="427"/>
      <c r="CQ335" s="427"/>
      <c r="CR335" s="428"/>
      <c r="CS335" s="427"/>
      <c r="CT335" s="427"/>
      <c r="CU335" s="427"/>
      <c r="CV335" s="427"/>
      <c r="CW335" s="428"/>
      <c r="CX335" s="427"/>
      <c r="CY335" s="427"/>
      <c r="CZ335" s="427"/>
      <c r="DA335" s="427"/>
      <c r="DB335" s="428"/>
      <c r="DC335" s="427"/>
      <c r="DD335" s="427"/>
      <c r="DE335" s="427"/>
      <c r="DF335" s="427"/>
      <c r="DG335" s="428"/>
      <c r="DH335" s="427"/>
      <c r="DI335" s="427"/>
      <c r="DJ335" s="427"/>
      <c r="DK335" s="427"/>
      <c r="DL335" s="428"/>
      <c r="DM335" s="427"/>
      <c r="DN335" s="427"/>
      <c r="DO335" s="427"/>
      <c r="DP335" s="427"/>
      <c r="DQ335" s="428"/>
      <c r="DR335" s="427"/>
      <c r="DS335" s="427"/>
      <c r="DT335" s="427"/>
      <c r="DU335" s="427"/>
      <c r="DV335" s="428"/>
      <c r="DW335" s="427"/>
      <c r="DX335" s="429"/>
      <c r="DY335" s="429"/>
      <c r="DZ335" s="427"/>
      <c r="EA335" s="428"/>
      <c r="EB335" s="429"/>
      <c r="EC335" s="429"/>
      <c r="ED335" s="429"/>
      <c r="EE335" s="427"/>
      <c r="EF335" s="428"/>
      <c r="EG335" s="429"/>
      <c r="EH335" s="429"/>
      <c r="EI335" s="429"/>
      <c r="EJ335" s="429"/>
      <c r="EK335" s="428"/>
      <c r="EL335" s="429"/>
      <c r="EM335" s="429"/>
      <c r="EN335" s="429"/>
      <c r="EO335" s="429"/>
      <c r="EP335" s="428"/>
      <c r="EQ335" s="429"/>
      <c r="ER335" s="429"/>
      <c r="ES335" s="429"/>
      <c r="ET335" s="429"/>
      <c r="EU335" s="428"/>
      <c r="EV335" s="429"/>
      <c r="EW335" s="429"/>
      <c r="EX335" s="429"/>
      <c r="EY335" s="429"/>
      <c r="EZ335" s="428"/>
      <c r="FA335" s="429"/>
      <c r="FB335" s="429"/>
      <c r="FC335" s="429"/>
      <c r="FD335" s="429"/>
      <c r="FE335" s="428"/>
      <c r="FG335" s="494"/>
      <c r="FH335" s="827"/>
      <c r="FI335" s="827"/>
      <c r="FJ335" s="827"/>
      <c r="FL335" s="1395"/>
      <c r="FM335"/>
      <c r="FN335"/>
      <c r="FO335"/>
      <c r="FP335"/>
      <c r="FQ335"/>
      <c r="FR335" s="1634"/>
      <c r="FS335" s="1634"/>
      <c r="FT335" s="456"/>
      <c r="FU335" s="456"/>
      <c r="FV335" s="456"/>
      <c r="FW335" s="456"/>
      <c r="FX335" s="456"/>
      <c r="FY335" s="456"/>
      <c r="FZ335" s="494"/>
      <c r="GA335"/>
      <c r="GB335"/>
      <c r="GC335"/>
      <c r="GD335"/>
      <c r="GE335"/>
      <c r="GF335"/>
      <c r="GG335"/>
      <c r="GH335"/>
      <c r="GI335"/>
      <c r="GJ335"/>
      <c r="GK335"/>
      <c r="GL335"/>
      <c r="GM335"/>
      <c r="GN335"/>
      <c r="GO335"/>
      <c r="GP335"/>
      <c r="GQ335"/>
      <c r="GR335"/>
      <c r="GS335"/>
      <c r="GT335"/>
      <c r="GU335"/>
      <c r="GV335"/>
      <c r="GW335"/>
      <c r="GX335"/>
      <c r="GY335"/>
      <c r="GZ335"/>
      <c r="HA335"/>
      <c r="HB335"/>
      <c r="HC335"/>
      <c r="HD335"/>
      <c r="HE335"/>
      <c r="HF335"/>
      <c r="HG335"/>
      <c r="HH335"/>
      <c r="HI335"/>
      <c r="HJ335"/>
      <c r="HK335"/>
      <c r="HL335"/>
      <c r="HM335"/>
      <c r="HN335"/>
      <c r="HO335"/>
      <c r="HP335"/>
      <c r="HQ335"/>
      <c r="HR335"/>
      <c r="HS335"/>
      <c r="HT335"/>
      <c r="HU335"/>
      <c r="HV335"/>
      <c r="HW335"/>
      <c r="HX335"/>
      <c r="HY335"/>
      <c r="HZ335"/>
      <c r="IA335"/>
      <c r="IB335"/>
      <c r="IC335"/>
      <c r="ID335"/>
      <c r="IE335"/>
      <c r="IF335"/>
      <c r="IG335"/>
      <c r="IH335"/>
      <c r="II335"/>
      <c r="IJ335"/>
      <c r="IK335"/>
      <c r="IL335"/>
      <c r="IM335"/>
      <c r="IN335"/>
      <c r="IO335"/>
      <c r="IP335"/>
      <c r="IQ335"/>
      <c r="IR335"/>
      <c r="IS335"/>
      <c r="IT335"/>
      <c r="IU335"/>
      <c r="IV335"/>
      <c r="IW335"/>
      <c r="IX335"/>
    </row>
    <row r="336" spans="1:258" s="158" customFormat="1" x14ac:dyDescent="0.2">
      <c r="A336" s="163" t="s">
        <v>223</v>
      </c>
      <c r="B336" s="157"/>
      <c r="C336" s="152"/>
      <c r="D336" s="152"/>
      <c r="E336" s="152"/>
      <c r="F336" s="156"/>
      <c r="G336" s="157"/>
      <c r="H336" s="152"/>
      <c r="I336" s="152"/>
      <c r="J336" s="152"/>
      <c r="K336" s="156"/>
      <c r="L336" s="157"/>
      <c r="M336" s="152"/>
      <c r="N336" s="152"/>
      <c r="O336" s="152"/>
      <c r="P336" s="156"/>
      <c r="Q336" s="157"/>
      <c r="R336" s="152"/>
      <c r="S336" s="152"/>
      <c r="T336" s="152"/>
      <c r="U336" s="156"/>
      <c r="V336" s="157"/>
      <c r="W336" s="152"/>
      <c r="X336" s="152"/>
      <c r="Y336" s="152"/>
      <c r="Z336" s="156"/>
      <c r="AA336" s="157"/>
      <c r="AB336" s="152"/>
      <c r="AC336" s="152"/>
      <c r="AD336" s="152"/>
      <c r="AE336" s="156"/>
      <c r="AF336" s="157"/>
      <c r="AG336" s="152"/>
      <c r="AH336" s="152"/>
      <c r="AI336" s="152"/>
      <c r="AJ336" s="156"/>
      <c r="AK336" s="157"/>
      <c r="AL336" s="152"/>
      <c r="AM336" s="152"/>
      <c r="AN336" s="152"/>
      <c r="AO336" s="156"/>
      <c r="AP336" s="157"/>
      <c r="AQ336" s="152"/>
      <c r="AR336" s="152"/>
      <c r="AS336" s="152"/>
      <c r="AT336" s="156">
        <v>251</v>
      </c>
      <c r="AU336" s="157"/>
      <c r="AV336" s="152"/>
      <c r="AW336" s="152"/>
      <c r="AX336" s="152"/>
      <c r="AY336" s="156">
        <v>105</v>
      </c>
      <c r="AZ336" s="157"/>
      <c r="BA336" s="152"/>
      <c r="BB336" s="152"/>
      <c r="BC336" s="152"/>
      <c r="BD336" s="156">
        <v>626</v>
      </c>
      <c r="BE336" s="157"/>
      <c r="BF336" s="152"/>
      <c r="BG336" s="152"/>
      <c r="BH336" s="152"/>
      <c r="BI336" s="156">
        <v>260</v>
      </c>
      <c r="BJ336" s="157"/>
      <c r="BK336" s="152"/>
      <c r="BL336" s="152"/>
      <c r="BM336" s="152"/>
      <c r="BN336" s="156">
        <v>137</v>
      </c>
      <c r="BO336" s="157"/>
      <c r="BP336" s="152"/>
      <c r="BQ336" s="152"/>
      <c r="BR336" s="152"/>
      <c r="BS336" s="156">
        <v>127</v>
      </c>
      <c r="BT336" s="157"/>
      <c r="BU336" s="152"/>
      <c r="BV336" s="152"/>
      <c r="BW336" s="152"/>
      <c r="BX336" s="156">
        <v>296</v>
      </c>
      <c r="BY336" s="157"/>
      <c r="BZ336" s="152"/>
      <c r="CA336" s="152"/>
      <c r="CB336" s="152"/>
      <c r="CC336" s="156">
        <v>522</v>
      </c>
      <c r="CD336" s="157"/>
      <c r="CE336" s="152"/>
      <c r="CF336" s="152"/>
      <c r="CG336" s="152"/>
      <c r="CH336" s="156">
        <v>309</v>
      </c>
      <c r="CI336" s="157"/>
      <c r="CJ336" s="152"/>
      <c r="CK336" s="152"/>
      <c r="CL336" s="152"/>
      <c r="CM336" s="156">
        <v>461</v>
      </c>
      <c r="CN336" s="157"/>
      <c r="CO336" s="152"/>
      <c r="CP336" s="152"/>
      <c r="CQ336" s="152"/>
      <c r="CR336" s="156">
        <v>368</v>
      </c>
      <c r="CS336" s="157"/>
      <c r="CT336" s="152"/>
      <c r="CU336" s="152"/>
      <c r="CV336" s="152"/>
      <c r="CW336" s="156">
        <v>669</v>
      </c>
      <c r="CX336" s="157">
        <v>1056</v>
      </c>
      <c r="CY336" s="157">
        <v>1108</v>
      </c>
      <c r="CZ336" s="157">
        <v>1240</v>
      </c>
      <c r="DA336" s="157">
        <v>1029</v>
      </c>
      <c r="DB336" s="156">
        <v>1029</v>
      </c>
      <c r="DC336" s="157">
        <v>993</v>
      </c>
      <c r="DD336" s="157">
        <v>633</v>
      </c>
      <c r="DE336" s="157">
        <v>636</v>
      </c>
      <c r="DF336" s="157">
        <v>1292</v>
      </c>
      <c r="DG336" s="156">
        <f>DG332</f>
        <v>1292</v>
      </c>
      <c r="DH336" s="157">
        <v>590</v>
      </c>
      <c r="DI336" s="157">
        <v>1295</v>
      </c>
      <c r="DJ336" s="157">
        <v>641</v>
      </c>
      <c r="DK336" s="157">
        <f>DL336</f>
        <v>783</v>
      </c>
      <c r="DL336" s="156">
        <f>DL332</f>
        <v>783</v>
      </c>
      <c r="DM336" s="157">
        <v>766</v>
      </c>
      <c r="DN336" s="157">
        <v>766</v>
      </c>
      <c r="DO336" s="157">
        <v>693</v>
      </c>
      <c r="DP336" s="157">
        <f>+DQ336</f>
        <v>784</v>
      </c>
      <c r="DQ336" s="156">
        <f>DQ332</f>
        <v>784</v>
      </c>
      <c r="DR336" s="157">
        <v>705</v>
      </c>
      <c r="DS336" s="157">
        <v>614</v>
      </c>
      <c r="DT336" s="157">
        <v>591</v>
      </c>
      <c r="DU336" s="157">
        <f>DV336</f>
        <v>592</v>
      </c>
      <c r="DV336" s="156">
        <f>DV332</f>
        <v>592</v>
      </c>
      <c r="DW336" s="157">
        <v>475</v>
      </c>
      <c r="DX336" s="157">
        <v>573</v>
      </c>
      <c r="DY336" s="157">
        <v>479</v>
      </c>
      <c r="DZ336" s="157">
        <f>+EA336</f>
        <v>669</v>
      </c>
      <c r="EA336" s="156">
        <f>EA332</f>
        <v>669</v>
      </c>
      <c r="EB336" s="157">
        <v>561</v>
      </c>
      <c r="EC336" s="157">
        <v>438</v>
      </c>
      <c r="ED336" s="157">
        <v>541</v>
      </c>
      <c r="EE336" s="157">
        <f>+EF336</f>
        <v>628</v>
      </c>
      <c r="EF336" s="156">
        <f>EF332</f>
        <v>628</v>
      </c>
      <c r="EG336" s="157">
        <v>731</v>
      </c>
      <c r="EH336" s="157">
        <v>566</v>
      </c>
      <c r="EI336" s="157">
        <v>603</v>
      </c>
      <c r="EJ336" s="157">
        <f>+EK336</f>
        <v>603</v>
      </c>
      <c r="EK336" s="156">
        <f>EK332</f>
        <v>603</v>
      </c>
      <c r="EL336" s="157">
        <v>930</v>
      </c>
      <c r="EM336" s="157">
        <v>620</v>
      </c>
      <c r="EN336" s="157">
        <v>591</v>
      </c>
      <c r="EO336" s="157">
        <f>+EP336</f>
        <v>401</v>
      </c>
      <c r="EP336" s="156">
        <f>EP332</f>
        <v>401</v>
      </c>
      <c r="EQ336" s="157">
        <v>1980</v>
      </c>
      <c r="ER336" s="157"/>
      <c r="ES336" s="157"/>
      <c r="ET336" s="157"/>
      <c r="EU336" s="1016">
        <f ca="1">EU332</f>
        <v>643.08600331216712</v>
      </c>
      <c r="EV336" s="1017"/>
      <c r="EW336" s="1017"/>
      <c r="EX336" s="1017"/>
      <c r="EY336" s="1017"/>
      <c r="EZ336" s="1016">
        <f ca="1">EZ332</f>
        <v>750.42120130817966</v>
      </c>
      <c r="FA336" s="1017"/>
      <c r="FB336" s="1017"/>
      <c r="FC336" s="1017"/>
      <c r="FD336" s="1017"/>
      <c r="FE336" s="1016">
        <f ca="1">FE332</f>
        <v>872.56165249448532</v>
      </c>
      <c r="FG336" s="494"/>
      <c r="FH336" s="832"/>
      <c r="FI336" s="832"/>
      <c r="FJ336" s="832"/>
      <c r="FK336" s="159"/>
      <c r="FL336" s="1403"/>
      <c r="FM336"/>
      <c r="FN336"/>
      <c r="FO336"/>
      <c r="FP336"/>
      <c r="FQ336"/>
      <c r="FR336" s="1635" t="s">
        <v>604</v>
      </c>
      <c r="FS336" s="1635"/>
      <c r="FT336" s="458"/>
      <c r="FU336" s="458"/>
      <c r="FV336" s="458"/>
      <c r="FW336" s="458"/>
      <c r="FX336" s="458"/>
      <c r="FY336" s="458"/>
      <c r="FZ336" s="494"/>
      <c r="GA336"/>
      <c r="GB336"/>
      <c r="GC336"/>
      <c r="GD336"/>
      <c r="GE336"/>
      <c r="GF336"/>
      <c r="GG336"/>
      <c r="GH336"/>
      <c r="GI336"/>
      <c r="GJ336"/>
      <c r="GK336"/>
      <c r="GL336"/>
      <c r="GM336"/>
      <c r="GN336"/>
      <c r="GO336"/>
      <c r="GP336"/>
      <c r="GQ336"/>
      <c r="GR336"/>
      <c r="GS336"/>
      <c r="GT336"/>
      <c r="GU336"/>
      <c r="GV336"/>
      <c r="GW336"/>
      <c r="GX336"/>
      <c r="GY336"/>
      <c r="GZ336"/>
      <c r="HA336"/>
      <c r="HB336"/>
      <c r="HC336"/>
      <c r="HD336"/>
      <c r="HE336"/>
      <c r="HF336"/>
      <c r="HG336"/>
      <c r="HH336"/>
      <c r="HI336"/>
      <c r="HJ336"/>
      <c r="HK336"/>
      <c r="HL336"/>
      <c r="HM336"/>
      <c r="HN336"/>
      <c r="HO336"/>
      <c r="HP336"/>
      <c r="HQ336"/>
      <c r="HR336"/>
      <c r="HS336"/>
      <c r="HT336"/>
      <c r="HU336"/>
      <c r="HV336"/>
      <c r="HW336"/>
      <c r="HX336"/>
      <c r="HY336"/>
      <c r="HZ336"/>
      <c r="IA336"/>
      <c r="IB336"/>
      <c r="IC336"/>
      <c r="ID336"/>
      <c r="IE336"/>
      <c r="IF336"/>
      <c r="IG336"/>
      <c r="IH336"/>
      <c r="II336"/>
      <c r="IJ336"/>
      <c r="IK336"/>
      <c r="IL336"/>
      <c r="IM336"/>
      <c r="IN336"/>
      <c r="IO336"/>
      <c r="IP336"/>
      <c r="IQ336"/>
      <c r="IR336"/>
      <c r="IS336"/>
      <c r="IT336"/>
      <c r="IU336"/>
      <c r="IV336"/>
      <c r="IW336"/>
      <c r="IX336"/>
    </row>
    <row r="337" spans="1:258" s="164" customFormat="1" ht="12.6" customHeight="1" x14ac:dyDescent="0.2">
      <c r="A337" s="618" t="s">
        <v>18</v>
      </c>
      <c r="B337" s="152"/>
      <c r="C337" s="152"/>
      <c r="D337" s="152"/>
      <c r="E337" s="152"/>
      <c r="F337" s="9"/>
      <c r="G337" s="152"/>
      <c r="H337" s="152"/>
      <c r="I337" s="152"/>
      <c r="J337" s="152"/>
      <c r="K337" s="9"/>
      <c r="L337" s="152"/>
      <c r="M337" s="152"/>
      <c r="N337" s="152"/>
      <c r="O337" s="152"/>
      <c r="P337" s="9"/>
      <c r="Q337" s="152"/>
      <c r="R337" s="152"/>
      <c r="S337" s="152"/>
      <c r="T337" s="152"/>
      <c r="U337" s="9"/>
      <c r="V337" s="152"/>
      <c r="W337" s="152"/>
      <c r="X337" s="152"/>
      <c r="Y337" s="152"/>
      <c r="Z337" s="9"/>
      <c r="AA337" s="152"/>
      <c r="AB337" s="152"/>
      <c r="AC337" s="152"/>
      <c r="AD337" s="152"/>
      <c r="AE337" s="9"/>
      <c r="AF337" s="152"/>
      <c r="AG337" s="152"/>
      <c r="AH337" s="152"/>
      <c r="AI337" s="152"/>
      <c r="AJ337" s="9"/>
      <c r="AK337" s="152"/>
      <c r="AL337" s="152"/>
      <c r="AM337" s="152"/>
      <c r="AN337" s="152"/>
      <c r="AO337" s="9"/>
      <c r="AP337" s="152"/>
      <c r="AQ337" s="152"/>
      <c r="AR337" s="152"/>
      <c r="AS337" s="152"/>
      <c r="AT337" s="9">
        <f>AT336/Model!AT$238</f>
        <v>2.5093475696318961E-2</v>
      </c>
      <c r="AU337" s="152"/>
      <c r="AV337" s="152"/>
      <c r="AW337" s="152"/>
      <c r="AX337" s="152"/>
      <c r="AY337" s="9">
        <f>AY336/Model!AY$238</f>
        <v>1.0596427490160459E-2</v>
      </c>
      <c r="AZ337" s="152"/>
      <c r="BA337" s="152"/>
      <c r="BB337" s="152"/>
      <c r="BC337" s="152"/>
      <c r="BD337" s="9">
        <f>BD336/Model!BD$238</f>
        <v>5.7903986680233097E-2</v>
      </c>
      <c r="BE337" s="152"/>
      <c r="BF337" s="152"/>
      <c r="BG337" s="152"/>
      <c r="BH337" s="152"/>
      <c r="BI337" s="9">
        <f>BI336/Model!BI$238</f>
        <v>3.5896727875189841E-2</v>
      </c>
      <c r="BJ337" s="152"/>
      <c r="BK337" s="152"/>
      <c r="BL337" s="152"/>
      <c r="BM337" s="152"/>
      <c r="BN337" s="9">
        <f>BN336/Model!BN$238</f>
        <v>1.9043647484014457E-2</v>
      </c>
      <c r="BO337" s="152"/>
      <c r="BP337" s="152"/>
      <c r="BQ337" s="152"/>
      <c r="BR337" s="152"/>
      <c r="BS337" s="9">
        <f>BS336/Model!BS$238</f>
        <v>1.7680634832242796E-2</v>
      </c>
      <c r="BT337" s="152"/>
      <c r="BU337" s="152"/>
      <c r="BV337" s="152"/>
      <c r="BW337" s="152"/>
      <c r="BX337" s="9">
        <f>BX336/Model!BX$238</f>
        <v>3.9758226997985223E-2</v>
      </c>
      <c r="BY337" s="152"/>
      <c r="BZ337" s="152"/>
      <c r="CA337" s="152"/>
      <c r="CB337" s="152"/>
      <c r="CC337" s="9">
        <f>CC336/Model!CC$238</f>
        <v>6.4933449434009208E-2</v>
      </c>
      <c r="CD337" s="152"/>
      <c r="CE337" s="152"/>
      <c r="CF337" s="152"/>
      <c r="CG337" s="152"/>
      <c r="CH337" s="9">
        <f>CH336/Model!CH$238</f>
        <v>3.5926055109870944E-2</v>
      </c>
      <c r="CI337" s="152"/>
      <c r="CJ337" s="152"/>
      <c r="CK337" s="152"/>
      <c r="CL337" s="152"/>
      <c r="CM337" s="9">
        <f>CM336/Model!CM$238</f>
        <v>4.8191511603596068E-2</v>
      </c>
      <c r="CN337" s="152"/>
      <c r="CO337" s="152"/>
      <c r="CP337" s="152"/>
      <c r="CQ337" s="152"/>
      <c r="CR337" s="9">
        <f>CR336/Model!CR$238</f>
        <v>3.6689930209371883E-2</v>
      </c>
      <c r="CS337" s="152"/>
      <c r="CT337" s="152"/>
      <c r="CU337" s="152"/>
      <c r="CV337" s="152"/>
      <c r="CW337" s="9">
        <f>CW336/Model!CW$238</f>
        <v>5.9440248778320749E-2</v>
      </c>
      <c r="CX337" s="152"/>
      <c r="CY337" s="152"/>
      <c r="CZ337" s="152"/>
      <c r="DA337" s="152"/>
      <c r="DB337" s="9">
        <f>DB336/Model!DB$238</f>
        <v>0.11381484349076429</v>
      </c>
      <c r="DC337" s="152"/>
      <c r="DD337" s="152"/>
      <c r="DE337" s="152"/>
      <c r="DF337" s="152"/>
      <c r="DG337" s="9">
        <f>DG336/Model!DG$238</f>
        <v>0.12147423843550206</v>
      </c>
      <c r="DH337" s="152"/>
      <c r="DI337" s="152"/>
      <c r="DJ337" s="152"/>
      <c r="DK337" s="152"/>
      <c r="DL337" s="9">
        <f>DL336/Model!DL$238</f>
        <v>6.6384061042814746E-2</v>
      </c>
      <c r="DM337" s="152"/>
      <c r="DN337" s="152"/>
      <c r="DO337" s="152"/>
      <c r="DP337" s="152"/>
      <c r="DQ337" s="9">
        <f>DQ336/Model!DQ$238</f>
        <v>6.6649664201309189E-2</v>
      </c>
      <c r="DR337" s="910">
        <f>DR336/Model!DR$238/4</f>
        <v>6.0133060388945753E-2</v>
      </c>
      <c r="DS337" s="910">
        <f>DS336/Model!DS$238/4</f>
        <v>5.0660066006600661E-2</v>
      </c>
      <c r="DT337" s="995">
        <f>DT336/Model!DT$238/4</f>
        <v>5.0357873210633945E-2</v>
      </c>
      <c r="DU337" s="995">
        <f>DU336/Model!DU$238/4</f>
        <v>4.8812664907651716E-2</v>
      </c>
      <c r="DV337" s="9">
        <f>DV336/Model!DV$238</f>
        <v>4.9635281294541797E-2</v>
      </c>
      <c r="DW337" s="910">
        <f>DW336/Model!DW$238/4</f>
        <v>4.0158944876564087E-2</v>
      </c>
      <c r="DX337" s="910">
        <f>DX336/Model!DX$238/4</f>
        <v>4.4308691617692547E-2</v>
      </c>
      <c r="DY337" s="910">
        <f>DY336/Model!DY$238/4</f>
        <v>3.7375156054931337E-2</v>
      </c>
      <c r="DZ337" s="995">
        <f>DZ336/Model!DZ$238/4</f>
        <v>5.2395398901708176E-2</v>
      </c>
      <c r="EA337" s="9">
        <f>EA336/Model!EA$238</f>
        <v>5.315398514397799E-2</v>
      </c>
      <c r="EB337" s="910">
        <f>EB336/Model!EB$238/4</f>
        <v>4.7558494404883009E-2</v>
      </c>
      <c r="EC337" s="910">
        <f>EC336/Model!EC$238/4</f>
        <v>3.5960591133004927E-2</v>
      </c>
      <c r="ED337" s="910">
        <f>ED336/Model!ED$238/4</f>
        <v>4.6019054100034026E-2</v>
      </c>
      <c r="EE337" s="995">
        <f>EE336/Model!EE$238/4</f>
        <v>5.645451276519238E-2</v>
      </c>
      <c r="EF337" s="9">
        <f>EF336/Model!EF$238</f>
        <v>5.3611063684480112E-2</v>
      </c>
      <c r="EG337" s="910">
        <f>EG336/Model!EG$238/4</f>
        <v>6.9805194805194801E-2</v>
      </c>
      <c r="EH337" s="910">
        <f>EH336/Model!EH$238/4</f>
        <v>5.232988165680473E-2</v>
      </c>
      <c r="EI337" s="910">
        <f>EI336/Model!EI$238/4</f>
        <v>5.5627306273062734E-2</v>
      </c>
      <c r="EJ337" s="995">
        <f>EJ336/Model!EJ$238/4</f>
        <v>4.9637800460981228E-2</v>
      </c>
      <c r="EK337" s="9">
        <f>EK336/Model!EK$238</f>
        <v>5.4476465805402476E-2</v>
      </c>
      <c r="EL337" s="910">
        <f>EL336/Model!EL$238/4</f>
        <v>8.1038689438828859E-2</v>
      </c>
      <c r="EM337" s="910">
        <f>EM336/Model!EM$238/4</f>
        <v>5.2846914422093418E-2</v>
      </c>
      <c r="EN337" s="910">
        <f>EN336/Model!EN$238/4</f>
        <v>5.3864382063434198E-2</v>
      </c>
      <c r="EO337" s="995">
        <f>EO336/Model!EO$238/4</f>
        <v>3.5015717778553966E-2</v>
      </c>
      <c r="EP337" s="9">
        <f>EP336/Model!EP$238</f>
        <v>3.5150771388499299E-2</v>
      </c>
      <c r="EQ337" s="995"/>
      <c r="ER337" s="995"/>
      <c r="ES337" s="995"/>
      <c r="ET337" s="995"/>
      <c r="EU337" s="9">
        <f ca="1">EU336/Model!EU$238</f>
        <v>5.5096707327025006E-2</v>
      </c>
      <c r="EV337" s="152"/>
      <c r="EW337" s="152"/>
      <c r="EX337" s="152"/>
      <c r="EY337" s="152"/>
      <c r="EZ337" s="9">
        <f ca="1">EZ336/Model!EZ$238</f>
        <v>6.2922719432971341E-2</v>
      </c>
      <c r="FA337" s="152"/>
      <c r="FB337" s="152"/>
      <c r="FC337" s="152"/>
      <c r="FD337" s="152"/>
      <c r="FE337" s="9">
        <f ca="1">FE336/Model!FE$238</f>
        <v>7.1318702562308572E-2</v>
      </c>
      <c r="FG337" s="494"/>
      <c r="FH337" s="833"/>
      <c r="FI337" s="833"/>
      <c r="FJ337" s="833"/>
      <c r="FL337" s="1404"/>
      <c r="FM337"/>
      <c r="FN337"/>
      <c r="FO337"/>
      <c r="FP337"/>
      <c r="FQ337"/>
      <c r="FR337" s="1632"/>
      <c r="FS337" s="1632"/>
      <c r="FT337" s="454"/>
      <c r="FU337" s="454"/>
      <c r="FV337" s="454"/>
      <c r="FW337" s="454"/>
      <c r="FX337" s="454"/>
      <c r="FY337" s="454"/>
      <c r="FZ337" s="494"/>
      <c r="GA337"/>
      <c r="GB337"/>
      <c r="GC337"/>
      <c r="GD337"/>
      <c r="GE337"/>
      <c r="GF337"/>
      <c r="GG337"/>
      <c r="GH337"/>
      <c r="GI337"/>
      <c r="GJ337"/>
      <c r="GK337"/>
      <c r="GL337"/>
      <c r="GM337"/>
      <c r="GN337"/>
      <c r="GO337"/>
      <c r="GP337"/>
      <c r="GQ337"/>
      <c r="GR337"/>
      <c r="GS337"/>
      <c r="GT337"/>
      <c r="GU337"/>
      <c r="GV337"/>
      <c r="GW337"/>
      <c r="GX337"/>
      <c r="GY337"/>
      <c r="GZ337"/>
      <c r="HA337"/>
      <c r="HB337"/>
      <c r="HC337"/>
      <c r="HD337"/>
      <c r="HE337"/>
      <c r="HF337"/>
      <c r="HG337"/>
      <c r="HH337"/>
      <c r="HI337"/>
      <c r="HJ337"/>
      <c r="HK337"/>
      <c r="HL337"/>
      <c r="HM337"/>
      <c r="HN337"/>
      <c r="HO337"/>
      <c r="HP337"/>
      <c r="HQ337"/>
      <c r="HR337"/>
      <c r="HS337"/>
      <c r="HT337"/>
      <c r="HU337"/>
      <c r="HV337"/>
      <c r="HW337"/>
      <c r="HX337"/>
      <c r="HY337"/>
      <c r="HZ337"/>
      <c r="IA337"/>
      <c r="IB337"/>
      <c r="IC337"/>
      <c r="ID337"/>
      <c r="IE337"/>
      <c r="IF337"/>
      <c r="IG337"/>
      <c r="IH337"/>
      <c r="II337"/>
      <c r="IJ337"/>
      <c r="IK337"/>
      <c r="IL337"/>
      <c r="IM337"/>
      <c r="IN337"/>
      <c r="IO337"/>
      <c r="IP337"/>
      <c r="IQ337"/>
      <c r="IR337"/>
      <c r="IS337"/>
      <c r="IT337"/>
      <c r="IU337"/>
      <c r="IV337"/>
      <c r="IW337"/>
      <c r="IX337"/>
    </row>
    <row r="338" spans="1:258" s="158" customFormat="1" x14ac:dyDescent="0.2">
      <c r="A338" s="163" t="s">
        <v>470</v>
      </c>
      <c r="B338" s="157"/>
      <c r="C338" s="152"/>
      <c r="D338" s="152"/>
      <c r="E338" s="152"/>
      <c r="F338" s="156"/>
      <c r="G338" s="157"/>
      <c r="H338" s="152"/>
      <c r="I338" s="152"/>
      <c r="J338" s="152"/>
      <c r="K338" s="156"/>
      <c r="L338" s="157"/>
      <c r="M338" s="152"/>
      <c r="N338" s="152"/>
      <c r="O338" s="152"/>
      <c r="P338" s="156"/>
      <c r="Q338" s="157"/>
      <c r="R338" s="152"/>
      <c r="S338" s="152"/>
      <c r="T338" s="152"/>
      <c r="U338" s="156"/>
      <c r="V338" s="157"/>
      <c r="W338" s="152"/>
      <c r="X338" s="152"/>
      <c r="Y338" s="152"/>
      <c r="Z338" s="156"/>
      <c r="AA338" s="157"/>
      <c r="AB338" s="152"/>
      <c r="AC338" s="152"/>
      <c r="AD338" s="152"/>
      <c r="AE338" s="156"/>
      <c r="AF338" s="157"/>
      <c r="AG338" s="152"/>
      <c r="AH338" s="152"/>
      <c r="AI338" s="152"/>
      <c r="AJ338" s="156"/>
      <c r="AK338" s="157"/>
      <c r="AL338" s="152"/>
      <c r="AM338" s="152"/>
      <c r="AN338" s="152"/>
      <c r="AO338" s="156"/>
      <c r="AP338" s="157"/>
      <c r="AQ338" s="152"/>
      <c r="AR338" s="152"/>
      <c r="AS338" s="152"/>
      <c r="AT338" s="156">
        <v>439</v>
      </c>
      <c r="AU338" s="157"/>
      <c r="AV338" s="152"/>
      <c r="AW338" s="152"/>
      <c r="AX338" s="152"/>
      <c r="AY338" s="156">
        <v>428</v>
      </c>
      <c r="AZ338" s="157"/>
      <c r="BA338" s="152"/>
      <c r="BB338" s="152"/>
      <c r="BC338" s="152"/>
      <c r="BD338" s="156">
        <v>348</v>
      </c>
      <c r="BE338" s="157"/>
      <c r="BF338" s="152"/>
      <c r="BG338" s="152"/>
      <c r="BH338" s="152"/>
      <c r="BI338" s="156">
        <v>424</v>
      </c>
      <c r="BJ338" s="157"/>
      <c r="BK338" s="152"/>
      <c r="BL338" s="152"/>
      <c r="BM338" s="152"/>
      <c r="BN338" s="156">
        <v>481</v>
      </c>
      <c r="BO338" s="157"/>
      <c r="BP338" s="152"/>
      <c r="BQ338" s="152"/>
      <c r="BR338" s="152"/>
      <c r="BS338" s="156">
        <v>137</v>
      </c>
      <c r="BT338" s="157"/>
      <c r="BU338" s="152"/>
      <c r="BV338" s="152"/>
      <c r="BW338" s="152"/>
      <c r="BX338" s="156">
        <v>72</v>
      </c>
      <c r="BY338" s="157"/>
      <c r="BZ338" s="152"/>
      <c r="CA338" s="152"/>
      <c r="CB338" s="152"/>
      <c r="CC338" s="156">
        <v>337</v>
      </c>
      <c r="CD338" s="157"/>
      <c r="CE338" s="152"/>
      <c r="CF338" s="152"/>
      <c r="CG338" s="152"/>
      <c r="CH338" s="156">
        <v>293</v>
      </c>
      <c r="CI338" s="157"/>
      <c r="CJ338" s="152"/>
      <c r="CK338" s="152"/>
      <c r="CL338" s="152"/>
      <c r="CM338" s="156">
        <v>439</v>
      </c>
      <c r="CN338" s="157"/>
      <c r="CO338" s="152"/>
      <c r="CP338" s="152"/>
      <c r="CQ338" s="152"/>
      <c r="CR338" s="156">
        <v>346</v>
      </c>
      <c r="CS338" s="157"/>
      <c r="CT338" s="152"/>
      <c r="CU338" s="152"/>
      <c r="CV338" s="152"/>
      <c r="CW338" s="156">
        <v>76</v>
      </c>
      <c r="CX338" s="157">
        <v>73</v>
      </c>
      <c r="CY338" s="157">
        <v>70</v>
      </c>
      <c r="CZ338" s="157">
        <v>81</v>
      </c>
      <c r="DA338" s="157">
        <v>61</v>
      </c>
      <c r="DB338" s="156">
        <v>61</v>
      </c>
      <c r="DC338" s="157">
        <v>57</v>
      </c>
      <c r="DD338" s="157">
        <v>56</v>
      </c>
      <c r="DE338" s="157">
        <v>40</v>
      </c>
      <c r="DF338" s="157">
        <v>54</v>
      </c>
      <c r="DG338" s="156">
        <f>DF338</f>
        <v>54</v>
      </c>
      <c r="DH338" s="157"/>
      <c r="DI338" s="157"/>
      <c r="DJ338" s="157"/>
      <c r="DK338" s="157"/>
      <c r="DL338" s="156">
        <v>523</v>
      </c>
      <c r="DM338" s="157">
        <v>0</v>
      </c>
      <c r="DN338" s="157">
        <v>0</v>
      </c>
      <c r="DO338" s="157">
        <v>35</v>
      </c>
      <c r="DP338" s="157">
        <f>+DQ338</f>
        <v>587</v>
      </c>
      <c r="DQ338" s="156">
        <v>587</v>
      </c>
      <c r="DR338" s="157">
        <v>369</v>
      </c>
      <c r="DS338" s="157">
        <v>403</v>
      </c>
      <c r="DT338" s="923">
        <v>128</v>
      </c>
      <c r="DU338" s="157">
        <f>DV338</f>
        <v>487</v>
      </c>
      <c r="DV338" s="1007">
        <v>487</v>
      </c>
      <c r="DW338" s="157">
        <v>248</v>
      </c>
      <c r="DX338" s="157">
        <v>216</v>
      </c>
      <c r="DY338" s="157">
        <v>575</v>
      </c>
      <c r="DZ338" s="157">
        <f>+EA338</f>
        <v>292</v>
      </c>
      <c r="EA338" s="1007">
        <v>292</v>
      </c>
      <c r="EB338" s="157">
        <v>257</v>
      </c>
      <c r="EC338" s="157">
        <v>680</v>
      </c>
      <c r="ED338" s="157">
        <v>425</v>
      </c>
      <c r="EE338" s="157">
        <f>+EF338</f>
        <v>810</v>
      </c>
      <c r="EF338" s="1007">
        <v>810</v>
      </c>
      <c r="EG338" s="157">
        <v>375</v>
      </c>
      <c r="EH338" s="157">
        <v>262</v>
      </c>
      <c r="EI338" s="157">
        <v>152</v>
      </c>
      <c r="EJ338" s="157">
        <f>+EK338</f>
        <v>417</v>
      </c>
      <c r="EK338" s="1007">
        <v>417</v>
      </c>
      <c r="EL338" s="157">
        <v>287</v>
      </c>
      <c r="EM338" s="157">
        <v>477</v>
      </c>
      <c r="EN338" s="157">
        <v>113</v>
      </c>
      <c r="EO338" s="157">
        <f>+EP338</f>
        <v>18</v>
      </c>
      <c r="EP338" s="1007">
        <v>18</v>
      </c>
      <c r="EQ338" s="157"/>
      <c r="ER338" s="157"/>
      <c r="ES338" s="157"/>
      <c r="ET338" s="157"/>
      <c r="EU338" s="162">
        <f>+EP338+100</f>
        <v>118</v>
      </c>
      <c r="EV338" s="154"/>
      <c r="EW338" s="154"/>
      <c r="EX338" s="154"/>
      <c r="EY338" s="154"/>
      <c r="EZ338" s="162">
        <f>+EU338+100</f>
        <v>218</v>
      </c>
      <c r="FA338" s="154"/>
      <c r="FB338" s="154"/>
      <c r="FC338" s="154"/>
      <c r="FD338" s="154"/>
      <c r="FE338" s="162">
        <f>+EZ338+100</f>
        <v>318</v>
      </c>
      <c r="FG338" s="494"/>
      <c r="FH338" s="832"/>
      <c r="FI338" s="832"/>
      <c r="FJ338" s="832"/>
      <c r="FK338" s="159"/>
      <c r="FL338" s="1403"/>
      <c r="FM338"/>
      <c r="FN338"/>
      <c r="FO338"/>
      <c r="FP338"/>
      <c r="FQ338"/>
      <c r="FR338" s="1635"/>
      <c r="FS338" s="1635"/>
      <c r="FT338" s="458"/>
      <c r="FU338" s="458"/>
      <c r="FV338" s="458"/>
      <c r="FW338" s="458"/>
      <c r="FX338" s="458"/>
      <c r="FY338" s="458"/>
      <c r="FZ338" s="494"/>
      <c r="GA338"/>
      <c r="GB338"/>
      <c r="GC338"/>
      <c r="GD338"/>
      <c r="GE338"/>
      <c r="GF338"/>
      <c r="GG338"/>
      <c r="GH338"/>
      <c r="GI338"/>
      <c r="GJ338"/>
      <c r="GK338"/>
      <c r="GL338"/>
      <c r="GM338"/>
      <c r="GN338"/>
      <c r="GO338"/>
      <c r="GP338"/>
      <c r="GQ338"/>
      <c r="GR338"/>
      <c r="GS338"/>
      <c r="GT338"/>
      <c r="GU338"/>
      <c r="GV338"/>
      <c r="GW338"/>
      <c r="GX338"/>
      <c r="GY338"/>
      <c r="GZ338"/>
      <c r="HA338"/>
      <c r="HB338"/>
      <c r="HC338"/>
      <c r="HD338"/>
      <c r="HE338"/>
      <c r="HF338"/>
      <c r="HG338"/>
      <c r="HH338"/>
      <c r="HI338"/>
      <c r="HJ338"/>
      <c r="HK338"/>
      <c r="HL338"/>
      <c r="HM338"/>
      <c r="HN338"/>
      <c r="HO338"/>
      <c r="HP338"/>
      <c r="HQ338"/>
      <c r="HR338"/>
      <c r="HS338"/>
      <c r="HT338"/>
      <c r="HU338"/>
      <c r="HV338"/>
      <c r="HW338"/>
      <c r="HX338"/>
      <c r="HY338"/>
      <c r="HZ338"/>
      <c r="IA338"/>
      <c r="IB338"/>
      <c r="IC338"/>
      <c r="ID338"/>
      <c r="IE338"/>
      <c r="IF338"/>
      <c r="IG338"/>
      <c r="IH338"/>
      <c r="II338"/>
      <c r="IJ338"/>
      <c r="IK338"/>
      <c r="IL338"/>
      <c r="IM338"/>
      <c r="IN338"/>
      <c r="IO338"/>
      <c r="IP338"/>
      <c r="IQ338"/>
      <c r="IR338"/>
      <c r="IS338"/>
      <c r="IT338"/>
      <c r="IU338"/>
      <c r="IV338"/>
      <c r="IW338"/>
      <c r="IX338"/>
    </row>
    <row r="339" spans="1:258" s="164" customFormat="1" ht="12.6" customHeight="1" x14ac:dyDescent="0.2">
      <c r="A339" s="618" t="s">
        <v>18</v>
      </c>
      <c r="B339" s="152"/>
      <c r="C339" s="152"/>
      <c r="D339" s="152"/>
      <c r="E339" s="152"/>
      <c r="F339" s="9"/>
      <c r="G339" s="152"/>
      <c r="H339" s="152"/>
      <c r="I339" s="152"/>
      <c r="J339" s="152"/>
      <c r="K339" s="9"/>
      <c r="L339" s="152"/>
      <c r="M339" s="152"/>
      <c r="N339" s="152"/>
      <c r="O339" s="152"/>
      <c r="P339" s="9"/>
      <c r="Q339" s="152"/>
      <c r="R339" s="152"/>
      <c r="S339" s="152"/>
      <c r="T339" s="152"/>
      <c r="U339" s="9"/>
      <c r="V339" s="152"/>
      <c r="W339" s="152"/>
      <c r="X339" s="152"/>
      <c r="Y339" s="152"/>
      <c r="Z339" s="9"/>
      <c r="AA339" s="152"/>
      <c r="AB339" s="152"/>
      <c r="AC339" s="152"/>
      <c r="AD339" s="152"/>
      <c r="AE339" s="9"/>
      <c r="AF339" s="152"/>
      <c r="AG339" s="152"/>
      <c r="AH339" s="152"/>
      <c r="AI339" s="152"/>
      <c r="AJ339" s="9"/>
      <c r="AK339" s="152"/>
      <c r="AL339" s="152"/>
      <c r="AM339" s="152"/>
      <c r="AN339" s="152"/>
      <c r="AO339" s="9"/>
      <c r="AP339" s="152"/>
      <c r="AQ339" s="152"/>
      <c r="AR339" s="152"/>
      <c r="AS339" s="152"/>
      <c r="AT339" s="9">
        <f>AT338/Model!AT$238</f>
        <v>4.3888588966868619E-2</v>
      </c>
      <c r="AU339" s="152"/>
      <c r="AV339" s="152"/>
      <c r="AW339" s="152"/>
      <c r="AX339" s="152"/>
      <c r="AY339" s="9">
        <f>AY338/Model!AY$238</f>
        <v>4.3193056817035017E-2</v>
      </c>
      <c r="AZ339" s="152"/>
      <c r="BA339" s="152"/>
      <c r="BB339" s="152"/>
      <c r="BC339" s="152"/>
      <c r="BD339" s="9">
        <f>BD338/Model!BD$238</f>
        <v>3.2189436684858012E-2</v>
      </c>
      <c r="BE339" s="152"/>
      <c r="BF339" s="152"/>
      <c r="BG339" s="152"/>
      <c r="BH339" s="152"/>
      <c r="BI339" s="9">
        <f>BI338/Model!BI$238</f>
        <v>5.8539279304155735E-2</v>
      </c>
      <c r="BJ339" s="152"/>
      <c r="BK339" s="152"/>
      <c r="BL339" s="152"/>
      <c r="BM339" s="152"/>
      <c r="BN339" s="9">
        <f>BN338/Model!BN$238</f>
        <v>6.6861273283291625E-2</v>
      </c>
      <c r="BO339" s="152"/>
      <c r="BP339" s="152"/>
      <c r="BQ339" s="152"/>
      <c r="BR339" s="152"/>
      <c r="BS339" s="9">
        <f>BS338/Model!BS$238</f>
        <v>1.9072810803285534E-2</v>
      </c>
      <c r="BT339" s="152"/>
      <c r="BU339" s="152"/>
      <c r="BV339" s="152"/>
      <c r="BW339" s="152"/>
      <c r="BX339" s="9">
        <f>BX338/Model!BX$238</f>
        <v>9.6709200805910004E-3</v>
      </c>
      <c r="BY339" s="152"/>
      <c r="BZ339" s="152"/>
      <c r="CA339" s="152"/>
      <c r="CB339" s="152"/>
      <c r="CC339" s="9">
        <f>CC338/Model!CC$238</f>
        <v>4.1920636895136212E-2</v>
      </c>
      <c r="CD339" s="152"/>
      <c r="CE339" s="152"/>
      <c r="CF339" s="152"/>
      <c r="CG339" s="152"/>
      <c r="CH339" s="9">
        <f>CH338/Model!CH$238</f>
        <v>3.4065806301592838E-2</v>
      </c>
      <c r="CI339" s="152"/>
      <c r="CJ339" s="152"/>
      <c r="CK339" s="152"/>
      <c r="CL339" s="152"/>
      <c r="CM339" s="9">
        <f>CM338/Model!CM$238</f>
        <v>4.5891699770018814E-2</v>
      </c>
      <c r="CN339" s="152"/>
      <c r="CO339" s="152"/>
      <c r="CP339" s="152"/>
      <c r="CQ339" s="152"/>
      <c r="CR339" s="9">
        <f>CR338/Model!CR$238</f>
        <v>3.449651046859422E-2</v>
      </c>
      <c r="CS339" s="152"/>
      <c r="CT339" s="152"/>
      <c r="CU339" s="152"/>
      <c r="CV339" s="152"/>
      <c r="CW339" s="9">
        <f>CW338/Model!CW$238</f>
        <v>6.7525544202576629E-3</v>
      </c>
      <c r="CX339" s="152"/>
      <c r="CY339" s="152"/>
      <c r="CZ339" s="152"/>
      <c r="DA339" s="152"/>
      <c r="DB339" s="9">
        <f>DB338/Model!DB$238</f>
        <v>6.7470412564981748E-3</v>
      </c>
      <c r="DC339" s="152"/>
      <c r="DD339" s="152"/>
      <c r="DE339" s="152"/>
      <c r="DF339" s="152"/>
      <c r="DG339" s="9">
        <f>DG338/Model!DG$238</f>
        <v>5.0770966528770212E-3</v>
      </c>
      <c r="DH339" s="152"/>
      <c r="DI339" s="152"/>
      <c r="DJ339" s="152"/>
      <c r="DK339" s="152"/>
      <c r="DL339" s="9">
        <f>DL338/Model!DL$238</f>
        <v>4.4340822382365412E-2</v>
      </c>
      <c r="DM339" s="152"/>
      <c r="DN339" s="152"/>
      <c r="DO339" s="152"/>
      <c r="DP339" s="152"/>
      <c r="DQ339" s="9">
        <f>DQ338/Model!DQ$238</f>
        <v>4.9902235824194507E-2</v>
      </c>
      <c r="DR339" s="910">
        <f>DR338/Model!DR$238/4</f>
        <v>3.1473899692937561E-2</v>
      </c>
      <c r="DS339" s="910">
        <f>DS338/Model!DS$238/4</f>
        <v>3.3250825082508248E-2</v>
      </c>
      <c r="DT339" s="910">
        <f>DT338/Model!DT$238/4</f>
        <v>1.0906612133605999E-2</v>
      </c>
      <c r="DU339" s="910">
        <f>DU338/Model!DU$238/4</f>
        <v>4.0155013192612138E-2</v>
      </c>
      <c r="DV339" s="9">
        <f>DV338/Model!DV$238</f>
        <v>4.0831726335205834E-2</v>
      </c>
      <c r="DW339" s="910">
        <f>DW338/Model!DW$238/4</f>
        <v>2.096719648292188E-2</v>
      </c>
      <c r="DX339" s="910">
        <f>DX338/Model!DX$238/4</f>
        <v>1.6702752861119705E-2</v>
      </c>
      <c r="DY339" s="910">
        <f>DY338/Model!DY$238/4</f>
        <v>4.4865792759051185E-2</v>
      </c>
      <c r="DZ339" s="910">
        <f>DZ338/Model!DZ$238/4</f>
        <v>2.2869142719430174E-2</v>
      </c>
      <c r="EA339" s="9">
        <f>EA338/Model!EA$238</f>
        <v>2.3200244636833445E-2</v>
      </c>
      <c r="EB339" s="910">
        <f>EB338/Model!EB$238/4</f>
        <v>2.1787046456425908E-2</v>
      </c>
      <c r="EC339" s="910">
        <f>EC338/Model!EC$238/4</f>
        <v>5.5829228243021348E-2</v>
      </c>
      <c r="ED339" s="910">
        <f>ED338/Model!ED$238/4</f>
        <v>3.6151752296699556E-2</v>
      </c>
      <c r="EE339" s="910">
        <f>EE338/Model!EE$238/4</f>
        <v>7.281553398058252E-2</v>
      </c>
      <c r="EF339" s="9">
        <f>EF338/Model!EF$238</f>
        <v>6.914802800068294E-2</v>
      </c>
      <c r="EG339" s="910">
        <f>EG338/Model!EG$238/4</f>
        <v>3.5809778456837284E-2</v>
      </c>
      <c r="EH339" s="910">
        <f>EH338/Model!EH$238/4</f>
        <v>2.4223372781065088E-2</v>
      </c>
      <c r="EI339" s="910">
        <f>EI338/Model!EI$238/4</f>
        <v>1.4022140221402213E-2</v>
      </c>
      <c r="EJ339" s="910">
        <f>EJ338/Model!EJ$238/4</f>
        <v>3.4326638129733286E-2</v>
      </c>
      <c r="EK339" s="9">
        <f>EK338/Model!EK$238</f>
        <v>3.7672779835576833E-2</v>
      </c>
      <c r="EL339" s="910">
        <f>EL338/Model!EL$238/4</f>
        <v>2.5008713837574068E-2</v>
      </c>
      <c r="EM339" s="910">
        <f>EM338/Model!EM$238/4</f>
        <v>4.0658029321513807E-2</v>
      </c>
      <c r="EN339" s="910">
        <f>EN338/Model!EN$238/4</f>
        <v>1.0298942763397739E-2</v>
      </c>
      <c r="EO339" s="910">
        <f>EO338/Model!EO$238/4</f>
        <v>1.5717778553964374E-3</v>
      </c>
      <c r="EP339" s="9">
        <f>EP338/Model!EP$238</f>
        <v>1.5778401122019635E-3</v>
      </c>
      <c r="EQ339" s="910"/>
      <c r="ER339" s="910"/>
      <c r="ES339" s="910"/>
      <c r="ET339" s="910"/>
      <c r="EU339" s="9">
        <f>EU338/Model!EU$238</f>
        <v>1.010970761469525E-2</v>
      </c>
      <c r="EV339" s="152"/>
      <c r="EW339" s="152"/>
      <c r="EX339" s="152"/>
      <c r="EY339" s="152"/>
      <c r="EZ339" s="9">
        <f>EZ338/Model!EZ$238</f>
        <v>1.8279271444457037E-2</v>
      </c>
      <c r="FA339" s="152"/>
      <c r="FB339" s="152"/>
      <c r="FC339" s="152"/>
      <c r="FD339" s="152"/>
      <c r="FE339" s="9">
        <f>FE338/Model!FE$238</f>
        <v>2.5991684770902149E-2</v>
      </c>
      <c r="FG339" s="494"/>
      <c r="FH339" s="833"/>
      <c r="FI339" s="833"/>
      <c r="FJ339" s="833"/>
      <c r="FL339" s="1404"/>
      <c r="FM339"/>
      <c r="FN339"/>
      <c r="FO339"/>
      <c r="FP339"/>
      <c r="FQ339"/>
      <c r="FR339" s="1632"/>
      <c r="FS339" s="1632"/>
      <c r="FT339" s="454"/>
      <c r="FU339" s="454"/>
      <c r="FV339" s="454"/>
      <c r="FW339" s="454"/>
      <c r="FX339" s="454"/>
      <c r="FY339" s="454"/>
      <c r="FZ339" s="494"/>
      <c r="GA339"/>
      <c r="GB339"/>
      <c r="GC339"/>
      <c r="GD339"/>
      <c r="GE339"/>
      <c r="GF339"/>
      <c r="GG339"/>
      <c r="GH339"/>
      <c r="GI339"/>
      <c r="GJ339"/>
      <c r="GK339"/>
      <c r="GL339"/>
      <c r="GM339"/>
      <c r="GN339"/>
      <c r="GO339"/>
      <c r="GP339"/>
      <c r="GQ339"/>
      <c r="GR339"/>
      <c r="GS339"/>
      <c r="GT339"/>
      <c r="GU339"/>
      <c r="GV339"/>
      <c r="GW339"/>
      <c r="GX339"/>
      <c r="GY339"/>
      <c r="GZ339"/>
      <c r="HA339"/>
      <c r="HB339"/>
      <c r="HC339"/>
      <c r="HD339"/>
      <c r="HE339"/>
      <c r="HF339"/>
      <c r="HG339"/>
      <c r="HH339"/>
      <c r="HI339"/>
      <c r="HJ339"/>
      <c r="HK339"/>
      <c r="HL339"/>
      <c r="HM339"/>
      <c r="HN339"/>
      <c r="HO339"/>
      <c r="HP339"/>
      <c r="HQ339"/>
      <c r="HR339"/>
      <c r="HS339"/>
      <c r="HT339"/>
      <c r="HU339"/>
      <c r="HV339"/>
      <c r="HW339"/>
      <c r="HX339"/>
      <c r="HY339"/>
      <c r="HZ339"/>
      <c r="IA339"/>
      <c r="IB339"/>
      <c r="IC339"/>
      <c r="ID339"/>
      <c r="IE339"/>
      <c r="IF339"/>
      <c r="IG339"/>
      <c r="IH339"/>
      <c r="II339"/>
      <c r="IJ339"/>
      <c r="IK339"/>
      <c r="IL339"/>
      <c r="IM339"/>
      <c r="IN339"/>
      <c r="IO339"/>
      <c r="IP339"/>
      <c r="IQ339"/>
      <c r="IR339"/>
      <c r="IS339"/>
      <c r="IT339"/>
      <c r="IU339"/>
      <c r="IV339"/>
      <c r="IW339"/>
      <c r="IX339"/>
    </row>
    <row r="340" spans="1:258" s="164" customFormat="1" ht="12.6" customHeight="1" x14ac:dyDescent="0.2">
      <c r="A340" s="163" t="s">
        <v>33</v>
      </c>
      <c r="B340" s="152"/>
      <c r="C340" s="152"/>
      <c r="D340" s="152"/>
      <c r="E340" s="152"/>
      <c r="F340" s="156"/>
      <c r="G340" s="152"/>
      <c r="H340" s="152"/>
      <c r="I340" s="152"/>
      <c r="J340" s="152"/>
      <c r="K340" s="156"/>
      <c r="L340" s="152"/>
      <c r="M340" s="152"/>
      <c r="N340" s="152"/>
      <c r="O340" s="152"/>
      <c r="P340" s="156"/>
      <c r="Q340" s="152"/>
      <c r="R340" s="152"/>
      <c r="S340" s="152"/>
      <c r="T340" s="152"/>
      <c r="U340" s="156"/>
      <c r="V340" s="152"/>
      <c r="W340" s="152"/>
      <c r="X340" s="152"/>
      <c r="Y340" s="152"/>
      <c r="Z340" s="156"/>
      <c r="AA340" s="152"/>
      <c r="AB340" s="152"/>
      <c r="AC340" s="152"/>
      <c r="AD340" s="152"/>
      <c r="AE340" s="156"/>
      <c r="AF340" s="152"/>
      <c r="AG340" s="152"/>
      <c r="AH340" s="152"/>
      <c r="AI340" s="152"/>
      <c r="AJ340" s="156"/>
      <c r="AK340" s="152"/>
      <c r="AL340" s="152"/>
      <c r="AM340" s="152"/>
      <c r="AN340" s="152"/>
      <c r="AO340" s="156"/>
      <c r="AP340" s="152"/>
      <c r="AQ340" s="152"/>
      <c r="AR340" s="152"/>
      <c r="AS340" s="152"/>
      <c r="AT340" s="156">
        <f>AT342-AT336-AT338</f>
        <v>1485</v>
      </c>
      <c r="AU340" s="152"/>
      <c r="AV340" s="152"/>
      <c r="AW340" s="152"/>
      <c r="AX340" s="152"/>
      <c r="AY340" s="156">
        <f>AY342-AY336-AY338</f>
        <v>1451</v>
      </c>
      <c r="AZ340" s="152"/>
      <c r="BA340" s="152"/>
      <c r="BB340" s="152"/>
      <c r="BC340" s="152"/>
      <c r="BD340" s="156">
        <f>BD342-BD336-BD338</f>
        <v>1589</v>
      </c>
      <c r="BE340" s="152"/>
      <c r="BF340" s="152"/>
      <c r="BG340" s="152"/>
      <c r="BH340" s="152"/>
      <c r="BI340" s="156">
        <f>BI342-BI336-BI338</f>
        <v>1362</v>
      </c>
      <c r="BJ340" s="152"/>
      <c r="BK340" s="152"/>
      <c r="BL340" s="152"/>
      <c r="BM340" s="152"/>
      <c r="BN340" s="156">
        <f>BN342-BN336-BN338</f>
        <v>1666</v>
      </c>
      <c r="BO340" s="152"/>
      <c r="BP340" s="152"/>
      <c r="BQ340" s="152"/>
      <c r="BR340" s="152"/>
      <c r="BS340" s="156">
        <f>BS342-BS336-BS338</f>
        <v>1571</v>
      </c>
      <c r="BT340" s="152"/>
      <c r="BU340" s="152"/>
      <c r="BV340" s="152"/>
      <c r="BW340" s="152"/>
      <c r="BX340" s="156">
        <f>BX342-BX336-BX338</f>
        <v>1532</v>
      </c>
      <c r="BY340" s="152"/>
      <c r="BZ340" s="152"/>
      <c r="CA340" s="152"/>
      <c r="CB340" s="152"/>
      <c r="CC340" s="156">
        <f>CC342-CC336-CC338</f>
        <v>2144</v>
      </c>
      <c r="CD340" s="152"/>
      <c r="CE340" s="152"/>
      <c r="CF340" s="152"/>
      <c r="CG340" s="152"/>
      <c r="CH340" s="156">
        <f>CH342-CH336-CH338</f>
        <v>1770</v>
      </c>
      <c r="CI340" s="152"/>
      <c r="CJ340" s="152"/>
      <c r="CK340" s="152"/>
      <c r="CL340" s="152"/>
      <c r="CM340" s="156">
        <f>CM342-CM336-CM338</f>
        <v>1772</v>
      </c>
      <c r="CN340" s="152"/>
      <c r="CO340" s="152"/>
      <c r="CP340" s="152"/>
      <c r="CQ340" s="152"/>
      <c r="CR340" s="156">
        <f>CR342-CR336-CR338</f>
        <v>1777</v>
      </c>
      <c r="CS340" s="152"/>
      <c r="CT340" s="152"/>
      <c r="CU340" s="152"/>
      <c r="CV340" s="152"/>
      <c r="CW340" s="156">
        <f>CW342-CW336-CW338</f>
        <v>1646</v>
      </c>
      <c r="CX340" s="152"/>
      <c r="CY340" s="152"/>
      <c r="CZ340" s="152"/>
      <c r="DA340" s="152"/>
      <c r="DB340" s="156">
        <f>DB342-DB336-DB338</f>
        <v>1480</v>
      </c>
      <c r="DC340" s="152"/>
      <c r="DD340" s="152"/>
      <c r="DE340" s="152"/>
      <c r="DF340" s="152"/>
      <c r="DG340" s="156">
        <f>DG342-DG336-DG338</f>
        <v>1509</v>
      </c>
      <c r="DH340" s="152"/>
      <c r="DI340" s="152"/>
      <c r="DJ340" s="152"/>
      <c r="DK340" s="152"/>
      <c r="DL340" s="156">
        <f>DL342-DL336-DL338</f>
        <v>1500</v>
      </c>
      <c r="DM340" s="152"/>
      <c r="DN340" s="152"/>
      <c r="DO340" s="152"/>
      <c r="DP340" s="152"/>
      <c r="DQ340" s="156">
        <f>DQ342-DQ336-DQ338</f>
        <v>1582</v>
      </c>
      <c r="DR340" s="923">
        <f>DR342-DR336-DR338</f>
        <v>1495</v>
      </c>
      <c r="DS340" s="923">
        <f>DS342-DS336-DS338</f>
        <v>1472</v>
      </c>
      <c r="DT340" s="923">
        <f>DT342-DT336-DT338</f>
        <v>1481</v>
      </c>
      <c r="DU340" s="157">
        <f>DV340</f>
        <v>1523</v>
      </c>
      <c r="DV340" s="156">
        <f>DV342-DV336-DV338</f>
        <v>1523</v>
      </c>
      <c r="DW340" s="923">
        <f>DW342-DW336-DW338</f>
        <v>1566</v>
      </c>
      <c r="DX340" s="923">
        <f>DX342-DX336-DX338</f>
        <v>1583</v>
      </c>
      <c r="DY340" s="923">
        <f>DY342-DY336-DY338</f>
        <v>1622</v>
      </c>
      <c r="DZ340" s="157">
        <f>EA340</f>
        <v>1611</v>
      </c>
      <c r="EA340" s="156">
        <f>EA342-EA336-EA338</f>
        <v>1611</v>
      </c>
      <c r="EB340" s="923">
        <f>EB342-EB336-EB338</f>
        <v>1639</v>
      </c>
      <c r="EC340" s="923">
        <f>EC342-EC336-EC338</f>
        <v>1551</v>
      </c>
      <c r="ED340" s="923">
        <f>ED342-ED336-ED338</f>
        <v>1536</v>
      </c>
      <c r="EE340" s="157">
        <f>EF340</f>
        <v>1402</v>
      </c>
      <c r="EF340" s="156">
        <f>EF342-EF336-EF338</f>
        <v>1402</v>
      </c>
      <c r="EG340" s="923">
        <v>1502</v>
      </c>
      <c r="EH340" s="923">
        <v>1400</v>
      </c>
      <c r="EI340" s="923">
        <f>EI342-EI336-EI338</f>
        <v>1408</v>
      </c>
      <c r="EJ340" s="157">
        <f>EK340</f>
        <v>1467</v>
      </c>
      <c r="EK340" s="156">
        <f>EK342-EK336-EK338</f>
        <v>1467</v>
      </c>
      <c r="EL340" s="923">
        <f>EL342-EL336-EL338</f>
        <v>1443</v>
      </c>
      <c r="EM340" s="923">
        <f>EM342-EM336-EM338</f>
        <v>1533</v>
      </c>
      <c r="EN340" s="923">
        <f>EN342-EN336-EN338</f>
        <v>1468</v>
      </c>
      <c r="EO340" s="157">
        <f>EP340</f>
        <v>1496</v>
      </c>
      <c r="EP340" s="156">
        <f>EP342-EP336-EP338</f>
        <v>1496</v>
      </c>
      <c r="EQ340" s="157"/>
      <c r="ER340" s="157"/>
      <c r="ES340" s="157"/>
      <c r="ET340" s="157"/>
      <c r="EU340" s="156">
        <f>EU341*EU$238</f>
        <v>1518.9413859616927</v>
      </c>
      <c r="EV340" s="152"/>
      <c r="EW340" s="152"/>
      <c r="EX340" s="152"/>
      <c r="EY340" s="152"/>
      <c r="EZ340" s="156">
        <f>EZ341*EZ$238</f>
        <v>1552.0125006193271</v>
      </c>
      <c r="FA340" s="152"/>
      <c r="FB340" s="152"/>
      <c r="FC340" s="152"/>
      <c r="FD340" s="152"/>
      <c r="FE340" s="156">
        <f>FE341*FE$238</f>
        <v>1592.1731367879077</v>
      </c>
      <c r="FG340" s="494"/>
      <c r="FH340" s="833"/>
      <c r="FI340" s="833"/>
      <c r="FJ340" s="833"/>
      <c r="FL340" s="1404"/>
      <c r="FM340"/>
      <c r="FN340"/>
      <c r="FO340"/>
      <c r="FP340"/>
      <c r="FQ340"/>
      <c r="FR340" s="1632"/>
      <c r="FS340" s="1632"/>
      <c r="FT340" s="459"/>
      <c r="FU340" s="454"/>
      <c r="FV340" s="454"/>
      <c r="FW340" s="454"/>
      <c r="FX340" s="454"/>
      <c r="FY340" s="454"/>
      <c r="FZ340" s="494"/>
      <c r="GA340"/>
      <c r="GB340"/>
      <c r="GC340"/>
      <c r="GD340"/>
      <c r="GE340"/>
      <c r="GF340"/>
      <c r="GG340"/>
      <c r="GH340"/>
      <c r="GI340"/>
      <c r="GJ340"/>
      <c r="GK340"/>
      <c r="GL340"/>
      <c r="GM340"/>
      <c r="GN340"/>
      <c r="GO340"/>
      <c r="GP340"/>
      <c r="GQ340"/>
      <c r="GR340"/>
      <c r="GS340"/>
      <c r="GT340"/>
      <c r="GU340"/>
      <c r="GV340"/>
      <c r="GW340"/>
      <c r="GX340"/>
      <c r="GY340"/>
      <c r="GZ340"/>
      <c r="HA340"/>
      <c r="HB340"/>
      <c r="HC340"/>
      <c r="HD340"/>
      <c r="HE340"/>
      <c r="HF340"/>
      <c r="HG340"/>
      <c r="HH340"/>
      <c r="HI340"/>
      <c r="HJ340"/>
      <c r="HK340"/>
      <c r="HL340"/>
      <c r="HM340"/>
      <c r="HN340"/>
      <c r="HO340"/>
      <c r="HP340"/>
      <c r="HQ340"/>
      <c r="HR340"/>
      <c r="HS340"/>
      <c r="HT340"/>
      <c r="HU340"/>
      <c r="HV340"/>
      <c r="HW340"/>
      <c r="HX340"/>
      <c r="HY340"/>
      <c r="HZ340"/>
      <c r="IA340"/>
      <c r="IB340"/>
      <c r="IC340"/>
      <c r="ID340"/>
      <c r="IE340"/>
      <c r="IF340"/>
      <c r="IG340"/>
      <c r="IH340"/>
      <c r="II340"/>
      <c r="IJ340"/>
      <c r="IK340"/>
      <c r="IL340"/>
      <c r="IM340"/>
      <c r="IN340"/>
      <c r="IO340"/>
      <c r="IP340"/>
      <c r="IQ340"/>
      <c r="IR340"/>
      <c r="IS340"/>
      <c r="IT340"/>
      <c r="IU340"/>
      <c r="IV340"/>
      <c r="IW340"/>
      <c r="IX340"/>
    </row>
    <row r="341" spans="1:258" s="164" customFormat="1" ht="12.6" customHeight="1" x14ac:dyDescent="0.2">
      <c r="A341" s="618" t="s">
        <v>18</v>
      </c>
      <c r="B341" s="152"/>
      <c r="C341" s="152"/>
      <c r="D341" s="152"/>
      <c r="E341" s="152"/>
      <c r="F341" s="9"/>
      <c r="G341" s="152"/>
      <c r="H341" s="152"/>
      <c r="I341" s="152"/>
      <c r="J341" s="152"/>
      <c r="K341" s="9"/>
      <c r="L341" s="152"/>
      <c r="M341" s="152"/>
      <c r="N341" s="152"/>
      <c r="O341" s="152"/>
      <c r="P341" s="9"/>
      <c r="Q341" s="152"/>
      <c r="R341" s="152"/>
      <c r="S341" s="152"/>
      <c r="T341" s="152"/>
      <c r="U341" s="9"/>
      <c r="V341" s="152"/>
      <c r="W341" s="152"/>
      <c r="X341" s="152"/>
      <c r="Y341" s="152"/>
      <c r="Z341" s="9"/>
      <c r="AA341" s="152"/>
      <c r="AB341" s="152"/>
      <c r="AC341" s="152"/>
      <c r="AD341" s="152"/>
      <c r="AE341" s="9"/>
      <c r="AF341" s="152"/>
      <c r="AG341" s="152"/>
      <c r="AH341" s="152"/>
      <c r="AI341" s="152"/>
      <c r="AJ341" s="9"/>
      <c r="AK341" s="152"/>
      <c r="AL341" s="152"/>
      <c r="AM341" s="152"/>
      <c r="AN341" s="152"/>
      <c r="AO341" s="9"/>
      <c r="AP341" s="152"/>
      <c r="AQ341" s="152"/>
      <c r="AR341" s="152"/>
      <c r="AS341" s="152"/>
      <c r="AT341" s="9">
        <f>AT340/Model!AT$238</f>
        <v>0.14846140003599068</v>
      </c>
      <c r="AU341" s="152"/>
      <c r="AV341" s="152"/>
      <c r="AW341" s="152"/>
      <c r="AX341" s="152"/>
      <c r="AY341" s="9">
        <f>AY340/Model!AY$238</f>
        <v>0.14643253607831264</v>
      </c>
      <c r="AZ341" s="152"/>
      <c r="BA341" s="152"/>
      <c r="BB341" s="152"/>
      <c r="BC341" s="152"/>
      <c r="BD341" s="9">
        <f>BD340/Model!BD$238</f>
        <v>0.1469799278512626</v>
      </c>
      <c r="BE341" s="152"/>
      <c r="BF341" s="152"/>
      <c r="BG341" s="152"/>
      <c r="BH341" s="152"/>
      <c r="BI341" s="9">
        <f>BI340/Model!BI$238</f>
        <v>0.18804362833080215</v>
      </c>
      <c r="BJ341" s="152"/>
      <c r="BK341" s="152"/>
      <c r="BL341" s="152"/>
      <c r="BM341" s="152"/>
      <c r="BN341" s="9">
        <f>BN340/Model!BN$238</f>
        <v>0.23158187378370865</v>
      </c>
      <c r="BO341" s="152"/>
      <c r="BP341" s="152"/>
      <c r="BQ341" s="152"/>
      <c r="BR341" s="152"/>
      <c r="BS341" s="9">
        <f>BS340/Model!BS$238</f>
        <v>0.21871084505081442</v>
      </c>
      <c r="BT341" s="152"/>
      <c r="BU341" s="152"/>
      <c r="BV341" s="152"/>
      <c r="BW341" s="152"/>
      <c r="BX341" s="9">
        <f>BX340/Model!BX$238</f>
        <v>0.20577568838146407</v>
      </c>
      <c r="BY341" s="152"/>
      <c r="BZ341" s="152"/>
      <c r="CA341" s="152"/>
      <c r="CB341" s="152"/>
      <c r="CC341" s="9">
        <f>CC340/Model!CC$238</f>
        <v>0.26669983828834432</v>
      </c>
      <c r="CD341" s="152"/>
      <c r="CE341" s="152"/>
      <c r="CF341" s="152"/>
      <c r="CG341" s="152"/>
      <c r="CH341" s="9">
        <f>CH340/Model!CH$238</f>
        <v>0.2057900244157656</v>
      </c>
      <c r="CI341" s="152"/>
      <c r="CJ341" s="152"/>
      <c r="CK341" s="152"/>
      <c r="CL341" s="152"/>
      <c r="CM341" s="9">
        <f>CM340/Model!CM$238</f>
        <v>0.18523938950449509</v>
      </c>
      <c r="CN341" s="152"/>
      <c r="CO341" s="152"/>
      <c r="CP341" s="152"/>
      <c r="CQ341" s="152"/>
      <c r="CR341" s="9">
        <f>CR340/Model!CR$238</f>
        <v>0.17716849451645064</v>
      </c>
      <c r="CS341" s="152"/>
      <c r="CT341" s="152"/>
      <c r="CU341" s="152"/>
      <c r="CV341" s="152"/>
      <c r="CW341" s="9">
        <f>CW340/Model!CW$238</f>
        <v>0.14624611283873834</v>
      </c>
      <c r="CX341" s="152"/>
      <c r="CY341" s="152"/>
      <c r="CZ341" s="152"/>
      <c r="DA341" s="152"/>
      <c r="DB341" s="9">
        <f>DB340/Model!DB$238</f>
        <v>0.16369870589536556</v>
      </c>
      <c r="DC341" s="152"/>
      <c r="DD341" s="152"/>
      <c r="DE341" s="152"/>
      <c r="DF341" s="152"/>
      <c r="DG341" s="9">
        <f>DG340/Model!DG$238</f>
        <v>0.14187664535539676</v>
      </c>
      <c r="DH341" s="152"/>
      <c r="DI341" s="152"/>
      <c r="DJ341" s="152"/>
      <c r="DK341" s="152"/>
      <c r="DL341" s="9">
        <f>DL340/Model!DL$238</f>
        <v>0.1271725307333616</v>
      </c>
      <c r="DM341" s="152"/>
      <c r="DN341" s="152"/>
      <c r="DO341" s="152"/>
      <c r="DP341" s="152"/>
      <c r="DQ341" s="9">
        <f>DQ340/Model!DQ$238</f>
        <v>0.13448950097764176</v>
      </c>
      <c r="DR341" s="910">
        <f>DR340/Model!DR$238/4</f>
        <v>0.12751620607301262</v>
      </c>
      <c r="DS341" s="910">
        <f>DS340/Model!DS$238/4</f>
        <v>0.12145214521452145</v>
      </c>
      <c r="DT341" s="910">
        <f>DT340/Model!DT$238/4</f>
        <v>0.12619291070211316</v>
      </c>
      <c r="DU341" s="910">
        <f>DU340/Model!DU$238/4</f>
        <v>0.12557717678100264</v>
      </c>
      <c r="DV341" s="9">
        <f>DV340/Model!DV$238</f>
        <v>0.12769346860065398</v>
      </c>
      <c r="DW341" s="910">
        <f>DW340/Model!DW$238/4</f>
        <v>0.13239770037199866</v>
      </c>
      <c r="DX341" s="910">
        <f>DX340/Model!DX$238/4</f>
        <v>0.1224095267553356</v>
      </c>
      <c r="DY341" s="910">
        <f>DY340/Model!DY$238/4</f>
        <v>0.12656054931335831</v>
      </c>
      <c r="DZ341" s="910">
        <f>DZ340/Model!DZ$238/4</f>
        <v>0.12617187986644524</v>
      </c>
      <c r="EA341" s="9">
        <f>EA340/Model!EA$238</f>
        <v>0.12799860996554341</v>
      </c>
      <c r="EB341" s="910">
        <f>EB340/Model!EB$238/4</f>
        <v>0.13894540522210919</v>
      </c>
      <c r="EC341" s="910">
        <f>EC340/Model!EC$238/4</f>
        <v>0.1273399014778325</v>
      </c>
      <c r="ED341" s="910">
        <f>ED340/Model!ED$238/4</f>
        <v>0.13065668594760121</v>
      </c>
      <c r="EE341" s="910">
        <f>EE340/Model!EE$238/4</f>
        <v>0.12603380079108234</v>
      </c>
      <c r="EF341" s="9">
        <f>EF340/Model!EF$238</f>
        <v>0.11968584599624381</v>
      </c>
      <c r="EG341" s="910">
        <f>EG340/Model!EG$238/4</f>
        <v>0.14343009931245226</v>
      </c>
      <c r="EH341" s="910">
        <f>EH340/Model!EH$238/4</f>
        <v>0.1294378698224852</v>
      </c>
      <c r="EI341" s="910">
        <f>EI340/Model!EI$238/4</f>
        <v>0.12988929889298892</v>
      </c>
      <c r="EJ341" s="910">
        <f>EJ340/Model!EJ$238/4</f>
        <v>0.12076061903193941</v>
      </c>
      <c r="EK341" s="9">
        <f>EK340/Model!EK$238</f>
        <v>0.13253229740717318</v>
      </c>
      <c r="EL341" s="910">
        <f>EL340/Model!EL$238/4</f>
        <v>0.12574067619379575</v>
      </c>
      <c r="EM341" s="910">
        <f>EM340/Model!EM$238/4</f>
        <v>0.13066825775656324</v>
      </c>
      <c r="EN341" s="910">
        <f>EN340/Model!EN$238/4</f>
        <v>0.13379511483776887</v>
      </c>
      <c r="EO341" s="910">
        <f>EO340/Model!EO$238/4</f>
        <v>0.13063220398183722</v>
      </c>
      <c r="EP341" s="9">
        <f>EP340/Model!EP$238</f>
        <v>0.13113604488078542</v>
      </c>
      <c r="EQ341" s="910"/>
      <c r="ER341" s="910"/>
      <c r="ES341" s="910"/>
      <c r="ET341" s="910"/>
      <c r="EU341" s="16">
        <f>+EP341-0.1%</f>
        <v>0.13013604488078542</v>
      </c>
      <c r="EV341" s="152"/>
      <c r="EW341" s="152"/>
      <c r="EX341" s="152"/>
      <c r="EY341" s="152"/>
      <c r="EZ341" s="16">
        <f>EU341</f>
        <v>0.13013604488078542</v>
      </c>
      <c r="FA341" s="152"/>
      <c r="FB341" s="152"/>
      <c r="FC341" s="152"/>
      <c r="FD341" s="152"/>
      <c r="FE341" s="16">
        <f>EZ341</f>
        <v>0.13013604488078542</v>
      </c>
      <c r="FG341" s="494"/>
      <c r="FH341" s="833"/>
      <c r="FI341" s="833"/>
      <c r="FJ341" s="833"/>
      <c r="FL341" s="1404"/>
      <c r="FM341"/>
      <c r="FN341"/>
      <c r="FO341"/>
      <c r="FP341"/>
      <c r="FQ341"/>
      <c r="FR341" s="1632"/>
      <c r="FS341" s="1632"/>
      <c r="FT341" s="459"/>
      <c r="FU341" s="454"/>
      <c r="FV341" s="454"/>
      <c r="FW341" s="454"/>
      <c r="FX341" s="454"/>
      <c r="FY341" s="454"/>
      <c r="FZ341" s="494"/>
      <c r="GA341"/>
      <c r="GB341"/>
      <c r="GC341"/>
      <c r="GD341"/>
      <c r="GE341"/>
      <c r="GF341"/>
      <c r="GG341"/>
      <c r="GH341"/>
      <c r="GI341"/>
      <c r="GJ341"/>
      <c r="GK341"/>
      <c r="GL341"/>
      <c r="GM341"/>
      <c r="GN341"/>
      <c r="GO341"/>
      <c r="GP341"/>
      <c r="GQ341"/>
      <c r="GR341"/>
      <c r="GS341"/>
      <c r="GT341"/>
      <c r="GU341"/>
      <c r="GV341"/>
      <c r="GW341"/>
      <c r="GX341"/>
      <c r="GY341"/>
      <c r="GZ341"/>
      <c r="HA341"/>
      <c r="HB341"/>
      <c r="HC341"/>
      <c r="HD341"/>
      <c r="HE341"/>
      <c r="HF341"/>
      <c r="HG341"/>
      <c r="HH341"/>
      <c r="HI341"/>
      <c r="HJ341"/>
      <c r="HK341"/>
      <c r="HL341"/>
      <c r="HM341"/>
      <c r="HN341"/>
      <c r="HO341"/>
      <c r="HP341"/>
      <c r="HQ341"/>
      <c r="HR341"/>
      <c r="HS341"/>
      <c r="HT341"/>
      <c r="HU341"/>
      <c r="HV341"/>
      <c r="HW341"/>
      <c r="HX341"/>
      <c r="HY341"/>
      <c r="HZ341"/>
      <c r="IA341"/>
      <c r="IB341"/>
      <c r="IC341"/>
      <c r="ID341"/>
      <c r="IE341"/>
      <c r="IF341"/>
      <c r="IG341"/>
      <c r="IH341"/>
      <c r="II341"/>
      <c r="IJ341"/>
      <c r="IK341"/>
      <c r="IL341"/>
      <c r="IM341"/>
      <c r="IN341"/>
      <c r="IO341"/>
      <c r="IP341"/>
      <c r="IQ341"/>
      <c r="IR341"/>
      <c r="IS341"/>
      <c r="IT341"/>
      <c r="IU341"/>
      <c r="IV341"/>
      <c r="IW341"/>
      <c r="IX341"/>
    </row>
    <row r="342" spans="1:258" s="887" customFormat="1" x14ac:dyDescent="0.2">
      <c r="A342" s="886" t="s">
        <v>147</v>
      </c>
      <c r="B342" s="235"/>
      <c r="C342" s="235"/>
      <c r="D342" s="235"/>
      <c r="E342" s="235"/>
      <c r="F342" s="161"/>
      <c r="G342" s="235"/>
      <c r="H342" s="235"/>
      <c r="I342" s="235"/>
      <c r="J342" s="235"/>
      <c r="K342" s="161"/>
      <c r="L342" s="235"/>
      <c r="M342" s="235"/>
      <c r="N342" s="235"/>
      <c r="O342" s="235"/>
      <c r="P342" s="161"/>
      <c r="Q342" s="235"/>
      <c r="R342" s="235"/>
      <c r="S342" s="235"/>
      <c r="T342" s="235"/>
      <c r="U342" s="161"/>
      <c r="V342" s="235"/>
      <c r="W342" s="235"/>
      <c r="X342" s="235"/>
      <c r="Y342" s="235"/>
      <c r="Z342" s="161"/>
      <c r="AA342" s="235"/>
      <c r="AB342" s="235"/>
      <c r="AC342" s="235"/>
      <c r="AD342" s="235"/>
      <c r="AE342" s="161"/>
      <c r="AF342" s="235"/>
      <c r="AG342" s="235"/>
      <c r="AH342" s="235"/>
      <c r="AI342" s="235"/>
      <c r="AJ342" s="161"/>
      <c r="AK342" s="235"/>
      <c r="AL342" s="235"/>
      <c r="AM342" s="235"/>
      <c r="AN342" s="235"/>
      <c r="AO342" s="161"/>
      <c r="AP342" s="235"/>
      <c r="AQ342" s="235"/>
      <c r="AR342" s="235"/>
      <c r="AS342" s="235"/>
      <c r="AT342" s="161">
        <v>2175</v>
      </c>
      <c r="AU342" s="235"/>
      <c r="AV342" s="235"/>
      <c r="AW342" s="235"/>
      <c r="AX342" s="235"/>
      <c r="AY342" s="161">
        <v>1984</v>
      </c>
      <c r="AZ342" s="235"/>
      <c r="BA342" s="235"/>
      <c r="BB342" s="235"/>
      <c r="BC342" s="235"/>
      <c r="BD342" s="161">
        <v>2563</v>
      </c>
      <c r="BE342" s="235"/>
      <c r="BF342" s="235"/>
      <c r="BG342" s="235"/>
      <c r="BH342" s="235"/>
      <c r="BI342" s="161">
        <v>2046</v>
      </c>
      <c r="BJ342" s="235"/>
      <c r="BK342" s="235"/>
      <c r="BL342" s="235"/>
      <c r="BM342" s="235"/>
      <c r="BN342" s="161">
        <v>2284</v>
      </c>
      <c r="BO342" s="235"/>
      <c r="BP342" s="235"/>
      <c r="BQ342" s="235"/>
      <c r="BR342" s="235"/>
      <c r="BS342" s="161">
        <v>1835</v>
      </c>
      <c r="BT342" s="235"/>
      <c r="BU342" s="235"/>
      <c r="BV342" s="235"/>
      <c r="BW342" s="235"/>
      <c r="BX342" s="161">
        <v>1900</v>
      </c>
      <c r="BY342" s="235"/>
      <c r="BZ342" s="235"/>
      <c r="CA342" s="235"/>
      <c r="CB342" s="235"/>
      <c r="CC342" s="161">
        <v>3003</v>
      </c>
      <c r="CD342" s="235"/>
      <c r="CE342" s="235"/>
      <c r="CF342" s="235"/>
      <c r="CG342" s="235"/>
      <c r="CH342" s="161">
        <v>2372</v>
      </c>
      <c r="CI342" s="235"/>
      <c r="CJ342" s="235"/>
      <c r="CK342" s="235"/>
      <c r="CL342" s="235"/>
      <c r="CM342" s="161">
        <v>2672</v>
      </c>
      <c r="CN342" s="235"/>
      <c r="CO342" s="235"/>
      <c r="CP342" s="235"/>
      <c r="CQ342" s="235"/>
      <c r="CR342" s="161">
        <v>2491</v>
      </c>
      <c r="CS342" s="235"/>
      <c r="CT342" s="235"/>
      <c r="CU342" s="235"/>
      <c r="CV342" s="235"/>
      <c r="CW342" s="161">
        <v>2391</v>
      </c>
      <c r="CX342" s="235"/>
      <c r="CY342" s="235"/>
      <c r="CZ342" s="235"/>
      <c r="DA342" s="235"/>
      <c r="DB342" s="161">
        <v>2570</v>
      </c>
      <c r="DC342" s="235"/>
      <c r="DD342" s="235"/>
      <c r="DE342" s="235"/>
      <c r="DF342" s="235"/>
      <c r="DG342" s="161">
        <v>2855</v>
      </c>
      <c r="DH342" s="235"/>
      <c r="DI342" s="235"/>
      <c r="DJ342" s="235"/>
      <c r="DK342" s="235"/>
      <c r="DL342" s="161">
        <v>2806</v>
      </c>
      <c r="DM342" s="235"/>
      <c r="DN342" s="235"/>
      <c r="DO342" s="235"/>
      <c r="DP342" s="235"/>
      <c r="DQ342" s="161">
        <v>2953</v>
      </c>
      <c r="DR342" s="859">
        <v>2569</v>
      </c>
      <c r="DS342" s="235">
        <v>2489</v>
      </c>
      <c r="DT342" s="235">
        <v>2200</v>
      </c>
      <c r="DU342" s="235">
        <f>DV342</f>
        <v>2602</v>
      </c>
      <c r="DV342" s="161">
        <v>2602</v>
      </c>
      <c r="DW342" s="859">
        <f>475+248+1566</f>
        <v>2289</v>
      </c>
      <c r="DX342" s="235">
        <f>573+216+1583</f>
        <v>2372</v>
      </c>
      <c r="DY342" s="235">
        <v>2676</v>
      </c>
      <c r="DZ342" s="235">
        <f>EA342</f>
        <v>2572</v>
      </c>
      <c r="EA342" s="1147">
        <f>669+292+1611</f>
        <v>2572</v>
      </c>
      <c r="EB342" s="859">
        <f>561+257+1639</f>
        <v>2457</v>
      </c>
      <c r="EC342" s="235">
        <f>438+680+1551</f>
        <v>2669</v>
      </c>
      <c r="ED342" s="235">
        <f>541+425+1536</f>
        <v>2502</v>
      </c>
      <c r="EE342" s="235">
        <f>EF342</f>
        <v>2840</v>
      </c>
      <c r="EF342" s="1147">
        <v>2840</v>
      </c>
      <c r="EG342" s="859">
        <f>+EG340+EG338+EG336</f>
        <v>2608</v>
      </c>
      <c r="EH342" s="235">
        <f>+EH340+EH338+EH336</f>
        <v>2228</v>
      </c>
      <c r="EI342" s="235">
        <v>2163</v>
      </c>
      <c r="EJ342" s="235">
        <f>EK342</f>
        <v>2487</v>
      </c>
      <c r="EK342" s="1147">
        <v>2487</v>
      </c>
      <c r="EL342" s="859">
        <v>2660</v>
      </c>
      <c r="EM342" s="235">
        <v>2630</v>
      </c>
      <c r="EN342" s="235">
        <f>591+113+1468</f>
        <v>2172</v>
      </c>
      <c r="EO342" s="235">
        <f>EP342</f>
        <v>1915</v>
      </c>
      <c r="EP342" s="1147">
        <v>1915</v>
      </c>
      <c r="EQ342" s="235"/>
      <c r="ER342" s="235"/>
      <c r="ES342" s="235"/>
      <c r="ET342" s="235"/>
      <c r="EU342" s="161">
        <f ca="1">EU336+EU340+EU338</f>
        <v>2280.0273892738596</v>
      </c>
      <c r="EV342" s="235"/>
      <c r="EW342" s="235"/>
      <c r="EX342" s="235"/>
      <c r="EY342" s="235"/>
      <c r="EZ342" s="161">
        <f ca="1">EZ336+EZ340+EZ338</f>
        <v>2520.4337019275067</v>
      </c>
      <c r="FA342" s="235"/>
      <c r="FB342" s="235"/>
      <c r="FC342" s="235"/>
      <c r="FD342" s="235"/>
      <c r="FE342" s="161">
        <f ca="1">FE336+FE340+FE338</f>
        <v>2782.7347892823927</v>
      </c>
      <c r="FG342" s="888"/>
      <c r="FH342" s="889"/>
      <c r="FI342" s="889"/>
      <c r="FJ342" s="889"/>
      <c r="FK342" s="897"/>
      <c r="FL342" s="1405"/>
      <c r="FM342"/>
      <c r="FN342"/>
      <c r="FO342"/>
      <c r="FP342"/>
      <c r="FQ342"/>
      <c r="FR342" s="1637"/>
      <c r="FS342" s="1637"/>
      <c r="FT342" s="891"/>
      <c r="FU342" s="890"/>
      <c r="FV342" s="890"/>
      <c r="FW342" s="890"/>
      <c r="FX342" s="890"/>
      <c r="FY342" s="890"/>
      <c r="FZ342" s="888"/>
      <c r="GA342"/>
      <c r="GB342"/>
      <c r="GC342"/>
      <c r="GD342"/>
      <c r="GE342"/>
      <c r="GF342"/>
      <c r="GG342"/>
      <c r="GH342"/>
      <c r="GI342"/>
      <c r="GJ342"/>
      <c r="GK342"/>
      <c r="GL342"/>
      <c r="GM342"/>
      <c r="GN342"/>
      <c r="GO342"/>
      <c r="GP342"/>
      <c r="GQ342"/>
      <c r="GR342"/>
      <c r="GS342"/>
      <c r="GT342"/>
      <c r="GU342"/>
      <c r="GV342"/>
      <c r="GW342"/>
      <c r="GX342"/>
      <c r="GY342"/>
      <c r="GZ342"/>
      <c r="HA342"/>
      <c r="HB342"/>
      <c r="HC342"/>
      <c r="HD342"/>
      <c r="HE342"/>
      <c r="HF342"/>
      <c r="HG342"/>
      <c r="HH342"/>
      <c r="HI342"/>
      <c r="HJ342"/>
      <c r="HK342"/>
      <c r="HL342"/>
      <c r="HM342"/>
      <c r="HN342"/>
      <c r="HO342"/>
      <c r="HP342"/>
      <c r="HQ342"/>
      <c r="HR342"/>
      <c r="HS342"/>
      <c r="HT342"/>
      <c r="HU342"/>
      <c r="HV342"/>
      <c r="HW342"/>
      <c r="HX342"/>
      <c r="HY342"/>
      <c r="HZ342"/>
      <c r="IA342"/>
      <c r="IB342"/>
      <c r="IC342"/>
      <c r="ID342"/>
      <c r="IE342"/>
      <c r="IF342"/>
      <c r="IG342"/>
      <c r="IH342"/>
      <c r="II342"/>
      <c r="IJ342"/>
      <c r="IK342"/>
      <c r="IL342"/>
      <c r="IM342"/>
      <c r="IN342"/>
      <c r="IO342"/>
      <c r="IP342"/>
      <c r="IQ342"/>
      <c r="IR342"/>
      <c r="IS342"/>
      <c r="IT342"/>
      <c r="IU342"/>
      <c r="IV342"/>
      <c r="IW342"/>
      <c r="IX342"/>
    </row>
    <row r="343" spans="1:258" s="158" customFormat="1" x14ac:dyDescent="0.2">
      <c r="A343" s="619" t="s">
        <v>35</v>
      </c>
      <c r="B343" s="152"/>
      <c r="C343" s="152"/>
      <c r="D343" s="152"/>
      <c r="E343" s="152"/>
      <c r="F343" s="156"/>
      <c r="G343" s="152"/>
      <c r="H343" s="152"/>
      <c r="I343" s="152"/>
      <c r="J343" s="152"/>
      <c r="K343" s="156"/>
      <c r="L343" s="152"/>
      <c r="M343" s="152"/>
      <c r="N343" s="152"/>
      <c r="O343" s="152"/>
      <c r="P343" s="156"/>
      <c r="Q343" s="152"/>
      <c r="R343" s="152"/>
      <c r="S343" s="152"/>
      <c r="T343" s="152"/>
      <c r="U343" s="156"/>
      <c r="V343" s="152"/>
      <c r="W343" s="152"/>
      <c r="X343" s="152"/>
      <c r="Y343" s="152"/>
      <c r="Z343" s="156"/>
      <c r="AA343" s="152"/>
      <c r="AB343" s="152"/>
      <c r="AC343" s="152"/>
      <c r="AD343" s="152"/>
      <c r="AE343" s="156"/>
      <c r="AF343" s="152"/>
      <c r="AG343" s="152"/>
      <c r="AH343" s="152"/>
      <c r="AI343" s="152"/>
      <c r="AJ343" s="156"/>
      <c r="AK343" s="152"/>
      <c r="AL343" s="152"/>
      <c r="AM343" s="152"/>
      <c r="AN343" s="152"/>
      <c r="AO343" s="156"/>
      <c r="AP343" s="152"/>
      <c r="AQ343" s="152"/>
      <c r="AR343" s="152"/>
      <c r="AS343" s="152"/>
      <c r="AT343" s="156">
        <v>12406</v>
      </c>
      <c r="AU343" s="152"/>
      <c r="AV343" s="152"/>
      <c r="AW343" s="152"/>
      <c r="AX343" s="152"/>
      <c r="AY343" s="156">
        <v>12645</v>
      </c>
      <c r="AZ343" s="152"/>
      <c r="BA343" s="152"/>
      <c r="BB343" s="152"/>
      <c r="BC343" s="152"/>
      <c r="BD343" s="156">
        <v>12257</v>
      </c>
      <c r="BE343" s="152"/>
      <c r="BF343" s="152"/>
      <c r="BG343" s="152"/>
      <c r="BH343" s="152"/>
      <c r="BI343" s="156">
        <v>12642</v>
      </c>
      <c r="BJ343" s="152"/>
      <c r="BK343" s="152"/>
      <c r="BL343" s="152"/>
      <c r="BM343" s="152"/>
      <c r="BN343" s="156">
        <v>12847</v>
      </c>
      <c r="BO343" s="152"/>
      <c r="BP343" s="152"/>
      <c r="BQ343" s="152"/>
      <c r="BR343" s="152"/>
      <c r="BS343" s="156">
        <v>13286</v>
      </c>
      <c r="BT343" s="152"/>
      <c r="BU343" s="152"/>
      <c r="BV343" s="152"/>
      <c r="BW343" s="152"/>
      <c r="BX343" s="156">
        <v>13730</v>
      </c>
      <c r="BY343" s="152"/>
      <c r="BZ343" s="152"/>
      <c r="CA343" s="152"/>
      <c r="CB343" s="152"/>
      <c r="CC343" s="156">
        <v>19945</v>
      </c>
      <c r="CD343" s="152"/>
      <c r="CE343" s="152"/>
      <c r="CF343" s="152"/>
      <c r="CG343" s="152"/>
      <c r="CH343" s="156">
        <v>20163</v>
      </c>
      <c r="CI343" s="152"/>
      <c r="CJ343" s="152"/>
      <c r="CK343" s="152"/>
      <c r="CL343" s="152"/>
      <c r="CM343" s="156">
        <v>20923</v>
      </c>
      <c r="CN343" s="152"/>
      <c r="CO343" s="152"/>
      <c r="CP343" s="152"/>
      <c r="CQ343" s="152"/>
      <c r="CR343" s="156">
        <v>21780</v>
      </c>
      <c r="CS343" s="152"/>
      <c r="CT343" s="152"/>
      <c r="CU343" s="152"/>
      <c r="CV343" s="152"/>
      <c r="CW343" s="156">
        <v>22688</v>
      </c>
      <c r="CX343" s="152"/>
      <c r="CY343" s="152"/>
      <c r="CZ343" s="152"/>
      <c r="DA343" s="152"/>
      <c r="DB343" s="156">
        <v>23213</v>
      </c>
      <c r="DC343" s="152"/>
      <c r="DD343" s="152"/>
      <c r="DE343" s="152"/>
      <c r="DF343" s="152"/>
      <c r="DG343" s="156">
        <v>23799</v>
      </c>
      <c r="DH343" s="152"/>
      <c r="DI343" s="152"/>
      <c r="DJ343" s="152"/>
      <c r="DK343" s="152"/>
      <c r="DL343" s="156">
        <v>24974</v>
      </c>
      <c r="DM343" s="152"/>
      <c r="DN343" s="152"/>
      <c r="DO343" s="152"/>
      <c r="DP343" s="152"/>
      <c r="DQ343" s="156">
        <v>26050</v>
      </c>
      <c r="DR343" s="892">
        <v>26288</v>
      </c>
      <c r="DS343" s="892">
        <v>26599</v>
      </c>
      <c r="DT343" s="923">
        <v>26946</v>
      </c>
      <c r="DU343" s="157">
        <f>DV343</f>
        <v>27291</v>
      </c>
      <c r="DV343" s="156">
        <v>27291</v>
      </c>
      <c r="DW343" s="892">
        <v>27494</v>
      </c>
      <c r="DX343" s="892">
        <v>27685</v>
      </c>
      <c r="DY343" s="892">
        <v>27994</v>
      </c>
      <c r="DZ343" s="157">
        <f>EA343</f>
        <v>28584</v>
      </c>
      <c r="EA343" s="156">
        <v>28584</v>
      </c>
      <c r="EB343" s="892">
        <v>28872</v>
      </c>
      <c r="EC343" s="892">
        <v>29250</v>
      </c>
      <c r="ED343" s="892">
        <v>29637</v>
      </c>
      <c r="EE343" s="157">
        <f>EF343</f>
        <v>30174</v>
      </c>
      <c r="EF343" s="156">
        <v>30174</v>
      </c>
      <c r="EG343" s="892">
        <v>30293</v>
      </c>
      <c r="EH343" s="892">
        <v>30607</v>
      </c>
      <c r="EI343" s="892">
        <v>30782</v>
      </c>
      <c r="EJ343" s="157">
        <f>EK343</f>
        <v>31150</v>
      </c>
      <c r="EK343" s="156">
        <v>31150</v>
      </c>
      <c r="EL343" s="892">
        <v>31259</v>
      </c>
      <c r="EM343" s="892">
        <v>31427</v>
      </c>
      <c r="EN343" s="892">
        <v>31579</v>
      </c>
      <c r="EO343" s="157">
        <f>EP343</f>
        <v>31764</v>
      </c>
      <c r="EP343" s="156">
        <v>31764</v>
      </c>
      <c r="EQ343" s="157"/>
      <c r="ER343" s="157"/>
      <c r="ES343" s="157"/>
      <c r="ET343" s="157"/>
      <c r="EU343" s="156">
        <f>EP343-EU313-EU317-EU306-EU316</f>
        <v>32075.097975165663</v>
      </c>
      <c r="EV343" s="152"/>
      <c r="EW343" s="152"/>
      <c r="EX343" s="152"/>
      <c r="EY343" s="152"/>
      <c r="EZ343" s="156">
        <f>EU343-EZ313-EZ317-EZ306-EZ316</f>
        <v>32372.765783530482</v>
      </c>
      <c r="FA343" s="152"/>
      <c r="FB343" s="152"/>
      <c r="FC343" s="152"/>
      <c r="FD343" s="152"/>
      <c r="FE343" s="156">
        <f>EZ343-FE313-FE317-FE306-FE316</f>
        <v>32643.730679454879</v>
      </c>
      <c r="FG343" s="494"/>
      <c r="FH343" s="832"/>
      <c r="FI343" s="832"/>
      <c r="FJ343" s="832"/>
      <c r="FK343" s="159"/>
      <c r="FL343" s="1403"/>
      <c r="FM343"/>
      <c r="FN343"/>
      <c r="FO343"/>
      <c r="FP343"/>
      <c r="FQ343"/>
      <c r="FR343" s="1635"/>
      <c r="FS343" s="1635"/>
      <c r="FT343" s="459"/>
      <c r="FU343" s="458"/>
      <c r="FV343" s="458"/>
      <c r="FW343" s="458"/>
      <c r="FX343" s="458"/>
      <c r="FY343" s="458"/>
      <c r="FZ343" s="494"/>
      <c r="GA343"/>
      <c r="GB343"/>
      <c r="GC343"/>
      <c r="GD343"/>
      <c r="GE343"/>
      <c r="GF343"/>
      <c r="GG343"/>
      <c r="GH343"/>
      <c r="GI343"/>
      <c r="GJ343"/>
      <c r="GK343"/>
      <c r="GL343"/>
      <c r="GM343"/>
      <c r="GN343"/>
      <c r="GO343"/>
      <c r="GP343"/>
      <c r="GQ343"/>
      <c r="GR343"/>
      <c r="GS343"/>
      <c r="GT343"/>
      <c r="GU343"/>
      <c r="GV343"/>
      <c r="GW343"/>
      <c r="GX343"/>
      <c r="GY343"/>
      <c r="GZ343"/>
      <c r="HA343"/>
      <c r="HB343"/>
      <c r="HC343"/>
      <c r="HD343"/>
      <c r="HE343"/>
      <c r="HF343"/>
      <c r="HG343"/>
      <c r="HH343"/>
      <c r="HI343"/>
      <c r="HJ343"/>
      <c r="HK343"/>
      <c r="HL343"/>
      <c r="HM343"/>
      <c r="HN343"/>
      <c r="HO343"/>
      <c r="HP343"/>
      <c r="HQ343"/>
      <c r="HR343"/>
      <c r="HS343"/>
      <c r="HT343"/>
      <c r="HU343"/>
      <c r="HV343"/>
      <c r="HW343"/>
      <c r="HX343"/>
      <c r="HY343"/>
      <c r="HZ343"/>
      <c r="IA343"/>
      <c r="IB343"/>
      <c r="IC343"/>
      <c r="ID343"/>
      <c r="IE343"/>
      <c r="IF343"/>
      <c r="IG343"/>
      <c r="IH343"/>
      <c r="II343"/>
      <c r="IJ343"/>
      <c r="IK343"/>
      <c r="IL343"/>
      <c r="IM343"/>
      <c r="IN343"/>
      <c r="IO343"/>
      <c r="IP343"/>
      <c r="IQ343"/>
      <c r="IR343"/>
      <c r="IS343"/>
      <c r="IT343"/>
      <c r="IU343"/>
      <c r="IV343"/>
      <c r="IW343"/>
      <c r="IX343"/>
    </row>
    <row r="344" spans="1:258" s="164" customFormat="1" ht="12.6" customHeight="1" x14ac:dyDescent="0.2">
      <c r="A344" s="313" t="s">
        <v>290</v>
      </c>
      <c r="B344" s="236"/>
      <c r="C344" s="236"/>
      <c r="D344" s="236"/>
      <c r="E344" s="30"/>
      <c r="F344" s="38"/>
      <c r="G344" s="236"/>
      <c r="H344" s="236"/>
      <c r="I344" s="236"/>
      <c r="J344" s="30"/>
      <c r="K344" s="38"/>
      <c r="L344" s="236"/>
      <c r="M344" s="236"/>
      <c r="N344" s="236"/>
      <c r="O344" s="30"/>
      <c r="P344" s="38"/>
      <c r="Q344" s="236"/>
      <c r="R344" s="236"/>
      <c r="S344" s="236"/>
      <c r="T344" s="30"/>
      <c r="U344" s="38"/>
      <c r="V344" s="236"/>
      <c r="W344" s="236"/>
      <c r="X344" s="236"/>
      <c r="Y344" s="30"/>
      <c r="Z344" s="38"/>
      <c r="AA344" s="236"/>
      <c r="AB344" s="236"/>
      <c r="AC344" s="236"/>
      <c r="AD344" s="30"/>
      <c r="AE344" s="38"/>
      <c r="AF344" s="236"/>
      <c r="AG344" s="236"/>
      <c r="AH344" s="236"/>
      <c r="AI344" s="30"/>
      <c r="AJ344" s="38"/>
      <c r="AK344" s="236"/>
      <c r="AL344" s="236"/>
      <c r="AM344" s="236"/>
      <c r="AN344" s="30"/>
      <c r="AO344" s="38"/>
      <c r="AP344" s="236"/>
      <c r="AQ344" s="236"/>
      <c r="AR344" s="236"/>
      <c r="AS344" s="30"/>
      <c r="AT344" s="38">
        <f>AT345-AT343-AT342</f>
        <v>5376</v>
      </c>
      <c r="AU344" s="236"/>
      <c r="AV344" s="236"/>
      <c r="AW344" s="236"/>
      <c r="AX344" s="30"/>
      <c r="AY344" s="38">
        <f>AY345-AY343-AY342</f>
        <v>5798</v>
      </c>
      <c r="AZ344" s="236"/>
      <c r="BA344" s="236"/>
      <c r="BB344" s="236"/>
      <c r="BC344" s="30"/>
      <c r="BD344" s="38">
        <f>BD345-BD343-BD342</f>
        <v>5900</v>
      </c>
      <c r="BE344" s="236"/>
      <c r="BF344" s="236"/>
      <c r="BG344" s="236"/>
      <c r="BH344" s="30"/>
      <c r="BI344" s="38">
        <f>BI345-BI343-BI342</f>
        <v>5803</v>
      </c>
      <c r="BJ344" s="236"/>
      <c r="BK344" s="236"/>
      <c r="BL344" s="236"/>
      <c r="BM344" s="30"/>
      <c r="BN344" s="38">
        <f>BN345-BN343-BN342</f>
        <v>5670</v>
      </c>
      <c r="BO344" s="236"/>
      <c r="BP344" s="236"/>
      <c r="BQ344" s="236"/>
      <c r="BR344" s="30"/>
      <c r="BS344" s="38">
        <f>BS345-BS343-BS342</f>
        <v>5841</v>
      </c>
      <c r="BT344" s="236"/>
      <c r="BU344" s="236"/>
      <c r="BV344" s="236"/>
      <c r="BW344" s="30"/>
      <c r="BX344" s="38">
        <f>BX345-BX343-BX342</f>
        <v>6115</v>
      </c>
      <c r="BY344" s="236"/>
      <c r="BZ344" s="236"/>
      <c r="CA344" s="236"/>
      <c r="CB344" s="30"/>
      <c r="CC344" s="38">
        <f>CC345-CC343-CC342</f>
        <v>1657</v>
      </c>
      <c r="CD344" s="236"/>
      <c r="CE344" s="236"/>
      <c r="CF344" s="236"/>
      <c r="CG344" s="30"/>
      <c r="CH344" s="38">
        <f>CH345-CH343-CH342</f>
        <v>1697</v>
      </c>
      <c r="CI344" s="236"/>
      <c r="CJ344" s="236"/>
      <c r="CK344" s="236"/>
      <c r="CL344" s="30"/>
      <c r="CM344" s="38">
        <f>CM345-CM343-CM342</f>
        <v>1534</v>
      </c>
      <c r="CN344" s="236"/>
      <c r="CO344" s="236"/>
      <c r="CP344" s="236"/>
      <c r="CQ344" s="30"/>
      <c r="CR344" s="38">
        <f>CR345-CR343-CR342</f>
        <v>1263</v>
      </c>
      <c r="CS344" s="236"/>
      <c r="CT344" s="236"/>
      <c r="CU344" s="236"/>
      <c r="CV344" s="30"/>
      <c r="CW344" s="38">
        <f>CW345-CW343-CW342</f>
        <v>1209</v>
      </c>
      <c r="CX344" s="236"/>
      <c r="CY344" s="236"/>
      <c r="CZ344" s="236"/>
      <c r="DA344" s="30"/>
      <c r="DB344" s="38">
        <f>DB345-DB343-DB342</f>
        <v>1253</v>
      </c>
      <c r="DC344" s="236"/>
      <c r="DD344" s="236"/>
      <c r="DE344" s="236"/>
      <c r="DF344" s="236"/>
      <c r="DG344" s="38">
        <f>DG345-DG343-DG342</f>
        <v>1487</v>
      </c>
      <c r="DH344" s="236"/>
      <c r="DI344" s="236"/>
      <c r="DJ344" s="236"/>
      <c r="DK344" s="236"/>
      <c r="DL344" s="38">
        <f>DL345-DL343-DL342</f>
        <v>1564</v>
      </c>
      <c r="DM344" s="236"/>
      <c r="DN344" s="236"/>
      <c r="DO344" s="236"/>
      <c r="DP344" s="236"/>
      <c r="DQ344" s="156">
        <f t="shared" ref="DQ344:EA344" si="1485">DQ345-DQ343-DQ342</f>
        <v>1720</v>
      </c>
      <c r="DR344" s="892">
        <f t="shared" si="1485"/>
        <v>1729</v>
      </c>
      <c r="DS344" s="8">
        <f t="shared" si="1485"/>
        <v>1793</v>
      </c>
      <c r="DT344" s="8">
        <f t="shared" si="1485"/>
        <v>1797</v>
      </c>
      <c r="DU344" s="8">
        <f t="shared" si="1485"/>
        <v>1889</v>
      </c>
      <c r="DV344" s="156">
        <f t="shared" si="1485"/>
        <v>1889</v>
      </c>
      <c r="DW344" s="892">
        <f t="shared" si="1485"/>
        <v>1897</v>
      </c>
      <c r="DX344" s="8">
        <f t="shared" si="1485"/>
        <v>1918</v>
      </c>
      <c r="DY344" s="8">
        <f t="shared" si="1485"/>
        <v>1953</v>
      </c>
      <c r="DZ344" s="8">
        <f>DZ345-DZ343-DZ342</f>
        <v>1897</v>
      </c>
      <c r="EA344" s="156">
        <f t="shared" si="1485"/>
        <v>1897</v>
      </c>
      <c r="EB344" s="892">
        <f t="shared" ref="EB344:EG344" si="1486">EB345-EB343-EB342</f>
        <v>1832</v>
      </c>
      <c r="EC344" s="1155">
        <f t="shared" si="1486"/>
        <v>1858</v>
      </c>
      <c r="ED344" s="1155">
        <f t="shared" si="1486"/>
        <v>1876</v>
      </c>
      <c r="EE344" s="8">
        <f t="shared" si="1486"/>
        <v>1731</v>
      </c>
      <c r="EF344" s="156">
        <f t="shared" si="1486"/>
        <v>1731</v>
      </c>
      <c r="EG344" s="892">
        <f t="shared" si="1486"/>
        <v>1709</v>
      </c>
      <c r="EH344" s="1155">
        <f>EH345-EH343-EH342</f>
        <v>1715</v>
      </c>
      <c r="EI344" s="1155">
        <f>EI345-EI343-EI342</f>
        <v>1736</v>
      </c>
      <c r="EJ344" s="8">
        <f t="shared" ref="EJ344:EL344" si="1487">EJ345-EJ343-EJ342</f>
        <v>1777</v>
      </c>
      <c r="EK344" s="156">
        <f t="shared" si="1487"/>
        <v>1777</v>
      </c>
      <c r="EL344" s="892">
        <f t="shared" si="1487"/>
        <v>1793</v>
      </c>
      <c r="EM344" s="1155">
        <f>EM345-EM343-EM342</f>
        <v>1804</v>
      </c>
      <c r="EN344" s="1155">
        <f>EN345-EN343-EN342</f>
        <v>1822</v>
      </c>
      <c r="EO344" s="8">
        <f t="shared" ref="EO344" si="1488">EO345-EO343-EO342</f>
        <v>2060</v>
      </c>
      <c r="EP344" s="156">
        <f t="shared" ref="EP344" si="1489">EP345-EP343-EP342</f>
        <v>2060</v>
      </c>
      <c r="EQ344" s="8"/>
      <c r="ER344" s="8"/>
      <c r="ES344" s="8"/>
      <c r="ET344" s="8"/>
      <c r="EU344" s="1016">
        <f>EP344+Pension!M61+OPEB!M61</f>
        <v>2058.4817279864001</v>
      </c>
      <c r="EV344" s="1017"/>
      <c r="EW344" s="1017"/>
      <c r="EX344" s="1017"/>
      <c r="EY344" s="1017"/>
      <c r="EZ344" s="1016">
        <f>EU344+Pension!N61+OPEB!N61</f>
        <v>2054.8916842563235</v>
      </c>
      <c r="FA344" s="1017"/>
      <c r="FB344" s="1017"/>
      <c r="FC344" s="1017"/>
      <c r="FD344" s="1017"/>
      <c r="FE344" s="1016">
        <f>EZ344+Pension!O61+OPEB!O61</f>
        <v>2049.0049912383315</v>
      </c>
      <c r="FG344" s="494"/>
      <c r="FH344" s="833"/>
      <c r="FI344" s="833"/>
      <c r="FJ344" s="833"/>
      <c r="FL344" s="1404"/>
      <c r="FM344"/>
      <c r="FN344"/>
      <c r="FO344"/>
      <c r="FP344"/>
      <c r="FQ344"/>
      <c r="FR344" s="1632"/>
      <c r="FS344" s="1632"/>
      <c r="FT344" s="459"/>
      <c r="FU344" s="454"/>
      <c r="FV344" s="454"/>
      <c r="FW344" s="454"/>
      <c r="FX344" s="454"/>
      <c r="FY344" s="454"/>
      <c r="FZ344" s="494"/>
      <c r="GA344"/>
      <c r="GB344"/>
      <c r="GC344"/>
      <c r="GD344"/>
      <c r="GE344"/>
      <c r="GF344"/>
      <c r="GG344"/>
      <c r="GH344"/>
      <c r="GI344"/>
      <c r="GJ344"/>
      <c r="GK344"/>
      <c r="GL344"/>
      <c r="GM344"/>
      <c r="GN344"/>
      <c r="GO344"/>
      <c r="GP344"/>
      <c r="GQ344"/>
      <c r="GR344"/>
      <c r="GS344"/>
      <c r="GT344"/>
      <c r="GU344"/>
      <c r="GV344"/>
      <c r="GW344"/>
      <c r="GX344"/>
      <c r="GY344"/>
      <c r="GZ344"/>
      <c r="HA344"/>
      <c r="HB344"/>
      <c r="HC344"/>
      <c r="HD344"/>
      <c r="HE344"/>
      <c r="HF344"/>
      <c r="HG344"/>
      <c r="HH344"/>
      <c r="HI344"/>
      <c r="HJ344"/>
      <c r="HK344"/>
      <c r="HL344"/>
      <c r="HM344"/>
      <c r="HN344"/>
      <c r="HO344"/>
      <c r="HP344"/>
      <c r="HQ344"/>
      <c r="HR344"/>
      <c r="HS344"/>
      <c r="HT344"/>
      <c r="HU344"/>
      <c r="HV344"/>
      <c r="HW344"/>
      <c r="HX344"/>
      <c r="HY344"/>
      <c r="HZ344"/>
      <c r="IA344"/>
      <c r="IB344"/>
      <c r="IC344"/>
      <c r="ID344"/>
      <c r="IE344"/>
      <c r="IF344"/>
      <c r="IG344"/>
      <c r="IH344"/>
      <c r="II344"/>
      <c r="IJ344"/>
      <c r="IK344"/>
      <c r="IL344"/>
      <c r="IM344"/>
      <c r="IN344"/>
      <c r="IO344"/>
      <c r="IP344"/>
      <c r="IQ344"/>
      <c r="IR344"/>
      <c r="IS344"/>
      <c r="IT344"/>
      <c r="IU344"/>
      <c r="IV344"/>
      <c r="IW344"/>
      <c r="IX344"/>
    </row>
    <row r="345" spans="1:258" s="237" customFormat="1" ht="12.6" customHeight="1" x14ac:dyDescent="0.2">
      <c r="A345" s="620" t="s">
        <v>321</v>
      </c>
      <c r="B345" s="893"/>
      <c r="C345" s="893"/>
      <c r="D345" s="893"/>
      <c r="E345" s="893"/>
      <c r="F345" s="161"/>
      <c r="G345" s="893"/>
      <c r="H345" s="893"/>
      <c r="I345" s="893"/>
      <c r="J345" s="893"/>
      <c r="K345" s="161"/>
      <c r="L345" s="893"/>
      <c r="M345" s="893"/>
      <c r="N345" s="893"/>
      <c r="O345" s="893"/>
      <c r="P345" s="161"/>
      <c r="Q345" s="893"/>
      <c r="R345" s="893"/>
      <c r="S345" s="893"/>
      <c r="T345" s="893"/>
      <c r="U345" s="161"/>
      <c r="V345" s="893"/>
      <c r="W345" s="893"/>
      <c r="X345" s="893"/>
      <c r="Y345" s="893"/>
      <c r="Z345" s="161"/>
      <c r="AA345" s="893"/>
      <c r="AB345" s="893"/>
      <c r="AC345" s="893"/>
      <c r="AD345" s="893"/>
      <c r="AE345" s="161"/>
      <c r="AF345" s="893"/>
      <c r="AG345" s="893"/>
      <c r="AH345" s="893"/>
      <c r="AI345" s="893"/>
      <c r="AJ345" s="161"/>
      <c r="AK345" s="893"/>
      <c r="AL345" s="893"/>
      <c r="AM345" s="893"/>
      <c r="AN345" s="893"/>
      <c r="AO345" s="161"/>
      <c r="AP345" s="893"/>
      <c r="AQ345" s="893"/>
      <c r="AR345" s="893"/>
      <c r="AS345" s="893"/>
      <c r="AT345" s="161">
        <v>19957</v>
      </c>
      <c r="AU345" s="893"/>
      <c r="AV345" s="893"/>
      <c r="AW345" s="893"/>
      <c r="AX345" s="893"/>
      <c r="AY345" s="161">
        <v>20427</v>
      </c>
      <c r="AZ345" s="893"/>
      <c r="BA345" s="893"/>
      <c r="BB345" s="893"/>
      <c r="BC345" s="893"/>
      <c r="BD345" s="161">
        <v>20720</v>
      </c>
      <c r="BE345" s="893"/>
      <c r="BF345" s="893"/>
      <c r="BG345" s="893"/>
      <c r="BH345" s="893"/>
      <c r="BI345" s="161">
        <v>20491</v>
      </c>
      <c r="BJ345" s="893"/>
      <c r="BK345" s="893"/>
      <c r="BL345" s="893"/>
      <c r="BM345" s="893"/>
      <c r="BN345" s="161">
        <v>20801</v>
      </c>
      <c r="BO345" s="893"/>
      <c r="BP345" s="893"/>
      <c r="BQ345" s="893"/>
      <c r="BR345" s="893"/>
      <c r="BS345" s="161">
        <v>20962</v>
      </c>
      <c r="BT345" s="893"/>
      <c r="BU345" s="893"/>
      <c r="BV345" s="893"/>
      <c r="BW345" s="893"/>
      <c r="BX345" s="161">
        <v>21745</v>
      </c>
      <c r="BY345" s="893"/>
      <c r="BZ345" s="893"/>
      <c r="CA345" s="893"/>
      <c r="CB345" s="893"/>
      <c r="CC345" s="161">
        <v>24605</v>
      </c>
      <c r="CD345" s="893"/>
      <c r="CE345" s="893"/>
      <c r="CF345" s="893"/>
      <c r="CG345" s="893"/>
      <c r="CH345" s="161">
        <v>24232</v>
      </c>
      <c r="CI345" s="893"/>
      <c r="CJ345" s="893"/>
      <c r="CK345" s="893"/>
      <c r="CL345" s="893"/>
      <c r="CM345" s="161">
        <v>25129</v>
      </c>
      <c r="CN345" s="893"/>
      <c r="CO345" s="893"/>
      <c r="CP345" s="893"/>
      <c r="CQ345" s="893"/>
      <c r="CR345" s="161">
        <v>25534</v>
      </c>
      <c r="CS345" s="893"/>
      <c r="CT345" s="893"/>
      <c r="CU345" s="893"/>
      <c r="CV345" s="893"/>
      <c r="CW345" s="161">
        <v>26288</v>
      </c>
      <c r="CX345" s="893"/>
      <c r="CY345" s="893"/>
      <c r="CZ345" s="893"/>
      <c r="DA345" s="893"/>
      <c r="DB345" s="161">
        <v>27036</v>
      </c>
      <c r="DC345" s="893"/>
      <c r="DD345" s="893"/>
      <c r="DE345" s="893"/>
      <c r="DF345" s="893"/>
      <c r="DG345" s="161">
        <v>28141</v>
      </c>
      <c r="DH345" s="893"/>
      <c r="DI345" s="893"/>
      <c r="DJ345" s="893"/>
      <c r="DK345" s="893"/>
      <c r="DL345" s="161">
        <v>29344</v>
      </c>
      <c r="DM345" s="893"/>
      <c r="DN345" s="893"/>
      <c r="DO345" s="893"/>
      <c r="DP345" s="893"/>
      <c r="DQ345" s="161">
        <v>30723</v>
      </c>
      <c r="DR345" s="859">
        <v>30586</v>
      </c>
      <c r="DS345" s="893">
        <v>30881</v>
      </c>
      <c r="DT345" s="893">
        <v>30943</v>
      </c>
      <c r="DU345" s="893">
        <f>DV345</f>
        <v>31782</v>
      </c>
      <c r="DV345" s="161">
        <v>31782</v>
      </c>
      <c r="DW345" s="859">
        <v>31680</v>
      </c>
      <c r="DX345" s="893">
        <v>31975</v>
      </c>
      <c r="DY345" s="893">
        <v>32623</v>
      </c>
      <c r="DZ345" s="893">
        <f>EA345</f>
        <v>33053</v>
      </c>
      <c r="EA345" s="161">
        <v>33053</v>
      </c>
      <c r="EB345" s="859">
        <v>33161</v>
      </c>
      <c r="EC345" s="893">
        <v>33777</v>
      </c>
      <c r="ED345" s="893">
        <v>34015</v>
      </c>
      <c r="EE345" s="893">
        <f>EF345</f>
        <v>34745</v>
      </c>
      <c r="EF345" s="161">
        <v>34745</v>
      </c>
      <c r="EG345" s="859">
        <v>34610</v>
      </c>
      <c r="EH345" s="893">
        <v>34550</v>
      </c>
      <c r="EI345" s="893">
        <v>34681</v>
      </c>
      <c r="EJ345" s="893">
        <f>EK345</f>
        <v>35414</v>
      </c>
      <c r="EK345" s="161">
        <v>35414</v>
      </c>
      <c r="EL345" s="859">
        <v>35712</v>
      </c>
      <c r="EM345" s="893">
        <v>35861</v>
      </c>
      <c r="EN345" s="893">
        <v>35573</v>
      </c>
      <c r="EO345" s="893">
        <f>EP345</f>
        <v>35739</v>
      </c>
      <c r="EP345" s="161">
        <v>35739</v>
      </c>
      <c r="EQ345" s="893"/>
      <c r="ER345" s="893"/>
      <c r="ES345" s="893"/>
      <c r="ET345" s="893"/>
      <c r="EU345" s="161">
        <f ca="1">EU344+EU343+EU342</f>
        <v>36413.607092425926</v>
      </c>
      <c r="EV345" s="893"/>
      <c r="EW345" s="893"/>
      <c r="EX345" s="893"/>
      <c r="EY345" s="893"/>
      <c r="EZ345" s="161">
        <f ca="1">EZ344+EZ343+EZ342</f>
        <v>36948.091169714309</v>
      </c>
      <c r="FA345" s="893"/>
      <c r="FB345" s="893"/>
      <c r="FC345" s="893"/>
      <c r="FD345" s="893"/>
      <c r="FE345" s="161">
        <f ca="1">FE344+FE343+FE342</f>
        <v>37475.470459975608</v>
      </c>
      <c r="FG345" s="888"/>
      <c r="FH345" s="834"/>
      <c r="FI345" s="834"/>
      <c r="FJ345" s="834"/>
      <c r="FL345" s="1406"/>
      <c r="FM345"/>
      <c r="FN345"/>
      <c r="FO345"/>
      <c r="FP345"/>
      <c r="FQ345"/>
      <c r="FR345" s="1638"/>
      <c r="FS345" s="1638"/>
      <c r="FT345" s="891"/>
      <c r="FU345" s="891"/>
      <c r="FV345" s="891"/>
      <c r="FW345" s="891"/>
      <c r="FX345" s="891"/>
      <c r="FY345" s="891"/>
      <c r="FZ345" s="888"/>
      <c r="GA345"/>
      <c r="GB345"/>
      <c r="GC345"/>
      <c r="GD345"/>
      <c r="GE345"/>
      <c r="GF345"/>
      <c r="GG345"/>
      <c r="GH345"/>
      <c r="GI345"/>
      <c r="GJ345"/>
      <c r="GK345"/>
      <c r="GL345"/>
      <c r="GM345"/>
      <c r="GN345"/>
      <c r="GO345"/>
      <c r="GP345"/>
      <c r="GQ345"/>
      <c r="GR345"/>
      <c r="GS345"/>
      <c r="GT345"/>
      <c r="GU345"/>
      <c r="GV345"/>
      <c r="GW345"/>
      <c r="GX345"/>
      <c r="GY345"/>
      <c r="GZ345"/>
      <c r="HA345"/>
      <c r="HB345"/>
      <c r="HC345"/>
      <c r="HD345"/>
      <c r="HE345"/>
      <c r="HF345"/>
      <c r="HG345"/>
      <c r="HH345"/>
      <c r="HI345"/>
      <c r="HJ345"/>
      <c r="HK345"/>
      <c r="HL345"/>
      <c r="HM345"/>
      <c r="HN345"/>
      <c r="HO345"/>
      <c r="HP345"/>
      <c r="HQ345"/>
      <c r="HR345"/>
      <c r="HS345"/>
      <c r="HT345"/>
      <c r="HU345"/>
      <c r="HV345"/>
      <c r="HW345"/>
      <c r="HX345"/>
      <c r="HY345"/>
      <c r="HZ345"/>
      <c r="IA345"/>
      <c r="IB345"/>
      <c r="IC345"/>
      <c r="ID345"/>
      <c r="IE345"/>
      <c r="IF345"/>
      <c r="IG345"/>
      <c r="IH345"/>
      <c r="II345"/>
      <c r="IJ345"/>
      <c r="IK345"/>
      <c r="IL345"/>
      <c r="IM345"/>
      <c r="IN345"/>
      <c r="IO345"/>
      <c r="IP345"/>
      <c r="IQ345"/>
      <c r="IR345"/>
      <c r="IS345"/>
      <c r="IT345"/>
      <c r="IU345"/>
      <c r="IV345"/>
      <c r="IW345"/>
      <c r="IX345"/>
    </row>
    <row r="346" spans="1:258" s="430" customFormat="1" ht="12.6" customHeight="1" x14ac:dyDescent="0.2">
      <c r="A346" s="426" t="s">
        <v>291</v>
      </c>
      <c r="B346" s="427"/>
      <c r="C346" s="427"/>
      <c r="D346" s="427"/>
      <c r="E346" s="427"/>
      <c r="F346" s="428"/>
      <c r="G346" s="427"/>
      <c r="H346" s="427"/>
      <c r="I346" s="427"/>
      <c r="J346" s="427"/>
      <c r="K346" s="428"/>
      <c r="L346" s="427"/>
      <c r="M346" s="427"/>
      <c r="N346" s="427"/>
      <c r="O346" s="427"/>
      <c r="P346" s="428"/>
      <c r="Q346" s="427"/>
      <c r="R346" s="427"/>
      <c r="S346" s="427"/>
      <c r="T346" s="427"/>
      <c r="U346" s="428"/>
      <c r="V346" s="427"/>
      <c r="W346" s="427"/>
      <c r="X346" s="427"/>
      <c r="Y346" s="427"/>
      <c r="Z346" s="428"/>
      <c r="AA346" s="427"/>
      <c r="AB346" s="427"/>
      <c r="AC346" s="427"/>
      <c r="AD346" s="427"/>
      <c r="AE346" s="428"/>
      <c r="AF346" s="427"/>
      <c r="AG346" s="427"/>
      <c r="AH346" s="427"/>
      <c r="AI346" s="427"/>
      <c r="AJ346" s="428"/>
      <c r="AK346" s="427"/>
      <c r="AL346" s="427"/>
      <c r="AM346" s="427"/>
      <c r="AN346" s="427"/>
      <c r="AO346" s="428"/>
      <c r="AP346" s="427"/>
      <c r="AQ346" s="427"/>
      <c r="AR346" s="427"/>
      <c r="AS346" s="427"/>
      <c r="AT346" s="428"/>
      <c r="AU346" s="427"/>
      <c r="AV346" s="427"/>
      <c r="AW346" s="427"/>
      <c r="AX346" s="427"/>
      <c r="AY346" s="428"/>
      <c r="AZ346" s="427"/>
      <c r="BA346" s="427"/>
      <c r="BB346" s="427"/>
      <c r="BC346" s="427"/>
      <c r="BD346" s="428"/>
      <c r="BE346" s="427"/>
      <c r="BF346" s="427"/>
      <c r="BG346" s="427"/>
      <c r="BH346" s="427"/>
      <c r="BI346" s="428"/>
      <c r="BJ346" s="427"/>
      <c r="BK346" s="427"/>
      <c r="BL346" s="427"/>
      <c r="BM346" s="427"/>
      <c r="BN346" s="428"/>
      <c r="BO346" s="427"/>
      <c r="BP346" s="427"/>
      <c r="BQ346" s="427"/>
      <c r="BR346" s="427"/>
      <c r="BS346" s="428"/>
      <c r="BT346" s="427"/>
      <c r="BU346" s="427"/>
      <c r="BV346" s="427"/>
      <c r="BW346" s="427"/>
      <c r="BX346" s="428"/>
      <c r="BY346" s="427"/>
      <c r="BZ346" s="427"/>
      <c r="CA346" s="427"/>
      <c r="CB346" s="427"/>
      <c r="CC346" s="428"/>
      <c r="CD346" s="427"/>
      <c r="CE346" s="427"/>
      <c r="CF346" s="427"/>
      <c r="CG346" s="427"/>
      <c r="CH346" s="428"/>
      <c r="CI346" s="427"/>
      <c r="CJ346" s="427"/>
      <c r="CK346" s="427"/>
      <c r="CL346" s="427"/>
      <c r="CM346" s="428"/>
      <c r="CN346" s="427"/>
      <c r="CO346" s="427"/>
      <c r="CP346" s="427"/>
      <c r="CQ346" s="427"/>
      <c r="CR346" s="428"/>
      <c r="CS346" s="427"/>
      <c r="CT346" s="427"/>
      <c r="CU346" s="427"/>
      <c r="CV346" s="427"/>
      <c r="CW346" s="428"/>
      <c r="CX346" s="427"/>
      <c r="CY346" s="427"/>
      <c r="CZ346" s="427"/>
      <c r="DA346" s="427"/>
      <c r="DB346" s="428"/>
      <c r="DC346" s="427"/>
      <c r="DD346" s="427"/>
      <c r="DE346" s="427"/>
      <c r="DF346" s="427"/>
      <c r="DG346" s="428"/>
      <c r="DH346" s="427"/>
      <c r="DI346" s="427"/>
      <c r="DJ346" s="427"/>
      <c r="DK346" s="427"/>
      <c r="DL346" s="428"/>
      <c r="DM346" s="427"/>
      <c r="DN346" s="427"/>
      <c r="DO346" s="427"/>
      <c r="DP346" s="427"/>
      <c r="DQ346" s="428"/>
      <c r="DR346" s="861"/>
      <c r="DS346" s="427"/>
      <c r="DT346" s="427"/>
      <c r="DU346" s="427"/>
      <c r="DV346" s="428"/>
      <c r="DW346" s="861"/>
      <c r="DX346" s="429"/>
      <c r="DY346" s="429"/>
      <c r="DZ346" s="427"/>
      <c r="EA346" s="428"/>
      <c r="EB346" s="429"/>
      <c r="EC346" s="429"/>
      <c r="ED346" s="429"/>
      <c r="EE346" s="427"/>
      <c r="EF346" s="428"/>
      <c r="EG346" s="429"/>
      <c r="EH346" s="429"/>
      <c r="EI346" s="429"/>
      <c r="EJ346" s="427"/>
      <c r="EK346" s="428"/>
      <c r="EL346" s="429"/>
      <c r="EM346" s="429"/>
      <c r="EN346" s="429"/>
      <c r="EO346" s="427"/>
      <c r="EP346" s="428"/>
      <c r="EQ346" s="427"/>
      <c r="ER346" s="427"/>
      <c r="ES346" s="427"/>
      <c r="ET346" s="427"/>
      <c r="EU346" s="428"/>
      <c r="EV346" s="429"/>
      <c r="EW346" s="429"/>
      <c r="EX346" s="429"/>
      <c r="EY346" s="429"/>
      <c r="EZ346" s="428"/>
      <c r="FA346" s="429"/>
      <c r="FB346" s="429"/>
      <c r="FC346" s="429"/>
      <c r="FD346" s="429"/>
      <c r="FE346" s="428"/>
      <c r="FG346" s="494"/>
      <c r="FH346" s="827"/>
      <c r="FI346" s="827"/>
      <c r="FJ346" s="827"/>
      <c r="FL346" s="1395"/>
      <c r="FM346"/>
      <c r="FN346"/>
      <c r="FO346"/>
      <c r="FP346"/>
      <c r="FQ346"/>
      <c r="FR346" s="1634"/>
      <c r="FS346" s="1634"/>
      <c r="FT346" s="456"/>
      <c r="FU346" s="456"/>
      <c r="FV346" s="456"/>
      <c r="FW346" s="456"/>
      <c r="FX346" s="456"/>
      <c r="FY346" s="456"/>
      <c r="FZ346" s="494"/>
      <c r="GA346"/>
      <c r="GB346"/>
      <c r="GC346"/>
      <c r="GD346"/>
      <c r="GE346"/>
      <c r="GF346"/>
      <c r="GG346"/>
      <c r="GH346"/>
      <c r="GI346"/>
      <c r="GJ346"/>
      <c r="GK346"/>
      <c r="GL346"/>
      <c r="GM346"/>
      <c r="GN346"/>
      <c r="GO346"/>
      <c r="GP346"/>
      <c r="GQ346"/>
      <c r="GR346"/>
      <c r="GS346"/>
      <c r="GT346"/>
      <c r="GU346"/>
      <c r="GV346"/>
      <c r="GW346"/>
      <c r="GX346"/>
      <c r="GY346"/>
      <c r="GZ346"/>
      <c r="HA346"/>
      <c r="HB346"/>
      <c r="HC346"/>
      <c r="HD346"/>
      <c r="HE346"/>
      <c r="HF346"/>
      <c r="HG346"/>
      <c r="HH346"/>
      <c r="HI346"/>
      <c r="HJ346"/>
      <c r="HK346"/>
      <c r="HL346"/>
      <c r="HM346"/>
      <c r="HN346"/>
      <c r="HO346"/>
      <c r="HP346"/>
      <c r="HQ346"/>
      <c r="HR346"/>
      <c r="HS346"/>
      <c r="HT346"/>
      <c r="HU346"/>
      <c r="HV346"/>
      <c r="HW346"/>
      <c r="HX346"/>
      <c r="HY346"/>
      <c r="HZ346"/>
      <c r="IA346"/>
      <c r="IB346"/>
      <c r="IC346"/>
      <c r="ID346"/>
      <c r="IE346"/>
      <c r="IF346"/>
      <c r="IG346"/>
      <c r="IH346"/>
      <c r="II346"/>
      <c r="IJ346"/>
      <c r="IK346"/>
      <c r="IL346"/>
      <c r="IM346"/>
      <c r="IN346"/>
      <c r="IO346"/>
      <c r="IP346"/>
      <c r="IQ346"/>
      <c r="IR346"/>
      <c r="IS346"/>
      <c r="IT346"/>
      <c r="IU346"/>
      <c r="IV346"/>
      <c r="IW346"/>
      <c r="IX346"/>
    </row>
    <row r="347" spans="1:258" s="243" customFormat="1" ht="12.6" customHeight="1" x14ac:dyDescent="0.2">
      <c r="A347" s="621" t="s">
        <v>320</v>
      </c>
      <c r="B347" s="240"/>
      <c r="C347" s="240"/>
      <c r="D347" s="240"/>
      <c r="E347" s="157"/>
      <c r="F347" s="156"/>
      <c r="G347" s="240"/>
      <c r="H347" s="240"/>
      <c r="I347" s="240"/>
      <c r="J347" s="157"/>
      <c r="K347" s="156"/>
      <c r="L347" s="240"/>
      <c r="M347" s="240"/>
      <c r="N347" s="240"/>
      <c r="O347" s="157"/>
      <c r="P347" s="156"/>
      <c r="Q347" s="240"/>
      <c r="R347" s="240"/>
      <c r="S347" s="240"/>
      <c r="T347" s="157"/>
      <c r="U347" s="156"/>
      <c r="V347" s="240"/>
      <c r="W347" s="240"/>
      <c r="X347" s="240"/>
      <c r="Y347" s="157"/>
      <c r="Z347" s="156"/>
      <c r="AA347" s="240"/>
      <c r="AB347" s="240"/>
      <c r="AC347" s="240"/>
      <c r="AD347" s="157"/>
      <c r="AE347" s="156"/>
      <c r="AF347" s="240"/>
      <c r="AG347" s="240"/>
      <c r="AH347" s="240"/>
      <c r="AI347" s="157"/>
      <c r="AJ347" s="156"/>
      <c r="AK347" s="240"/>
      <c r="AL347" s="240"/>
      <c r="AM347" s="240"/>
      <c r="AN347" s="157"/>
      <c r="AO347" s="156"/>
      <c r="AP347" s="240"/>
      <c r="AQ347" s="240"/>
      <c r="AR347" s="240"/>
      <c r="AS347" s="157"/>
      <c r="AT347" s="156">
        <v>355</v>
      </c>
      <c r="AU347" s="240"/>
      <c r="AV347" s="240"/>
      <c r="AW347" s="240"/>
      <c r="AX347" s="157"/>
      <c r="AY347" s="156">
        <v>287</v>
      </c>
      <c r="AZ347" s="240"/>
      <c r="BA347" s="240"/>
      <c r="BB347" s="240"/>
      <c r="BC347" s="157"/>
      <c r="BD347" s="156"/>
      <c r="BE347" s="240"/>
      <c r="BF347" s="240"/>
      <c r="BG347" s="240"/>
      <c r="BH347" s="157"/>
      <c r="BI347" s="156"/>
      <c r="BJ347" s="240"/>
      <c r="BK347" s="240"/>
      <c r="BL347" s="240"/>
      <c r="BM347" s="157"/>
      <c r="BN347" s="156"/>
      <c r="BO347" s="240"/>
      <c r="BP347" s="240"/>
      <c r="BQ347" s="240"/>
      <c r="BR347" s="157"/>
      <c r="BS347" s="156"/>
      <c r="BT347" s="240"/>
      <c r="BU347" s="240"/>
      <c r="BV347" s="240"/>
      <c r="BW347" s="157"/>
      <c r="BX347" s="156">
        <v>428</v>
      </c>
      <c r="BY347" s="240"/>
      <c r="BZ347" s="240"/>
      <c r="CA347" s="240"/>
      <c r="CB347" s="157"/>
      <c r="CC347" s="156">
        <v>1084</v>
      </c>
      <c r="CD347" s="240"/>
      <c r="CE347" s="240"/>
      <c r="CF347" s="240"/>
      <c r="CG347" s="157"/>
      <c r="CH347" s="156">
        <v>937</v>
      </c>
      <c r="CI347" s="240"/>
      <c r="CJ347" s="240"/>
      <c r="CK347" s="240"/>
      <c r="CL347" s="157"/>
      <c r="CM347" s="156">
        <v>600</v>
      </c>
      <c r="CN347" s="240"/>
      <c r="CO347" s="240"/>
      <c r="CP347" s="240"/>
      <c r="CQ347" s="157"/>
      <c r="CR347" s="156">
        <v>787</v>
      </c>
      <c r="CS347" s="240"/>
      <c r="CT347" s="240"/>
      <c r="CU347" s="240"/>
      <c r="CV347" s="157"/>
      <c r="CW347" s="156">
        <v>320</v>
      </c>
      <c r="CX347" s="240">
        <v>314</v>
      </c>
      <c r="CY347" s="240">
        <v>318</v>
      </c>
      <c r="CZ347" s="240">
        <v>316</v>
      </c>
      <c r="DA347" s="157">
        <v>113</v>
      </c>
      <c r="DB347" s="156">
        <v>113</v>
      </c>
      <c r="DC347" s="240">
        <v>617</v>
      </c>
      <c r="DD347" s="240">
        <v>614</v>
      </c>
      <c r="DE347" s="240">
        <v>605</v>
      </c>
      <c r="DF347" s="240">
        <v>613</v>
      </c>
      <c r="DG347" s="156">
        <f>DF347</f>
        <v>613</v>
      </c>
      <c r="DH347" s="240">
        <v>503</v>
      </c>
      <c r="DI347" s="240">
        <v>494</v>
      </c>
      <c r="DJ347" s="240">
        <v>494</v>
      </c>
      <c r="DK347" s="240">
        <v>507</v>
      </c>
      <c r="DL347" s="156">
        <f>DK347</f>
        <v>507</v>
      </c>
      <c r="DM347" s="240">
        <v>502</v>
      </c>
      <c r="DN347" s="240">
        <v>502</v>
      </c>
      <c r="DO347" s="240">
        <v>806</v>
      </c>
      <c r="DP347" s="157">
        <f>+DQ347</f>
        <v>780</v>
      </c>
      <c r="DQ347" s="241">
        <v>780</v>
      </c>
      <c r="DR347" s="862">
        <v>572</v>
      </c>
      <c r="DS347" s="240">
        <v>564</v>
      </c>
      <c r="DT347" s="240">
        <v>264</v>
      </c>
      <c r="DU347" s="157">
        <f>DV347</f>
        <v>533</v>
      </c>
      <c r="DV347" s="1007">
        <v>533</v>
      </c>
      <c r="DW347" s="862">
        <v>325</v>
      </c>
      <c r="DX347" s="157">
        <v>899</v>
      </c>
      <c r="DY347" s="157">
        <v>230</v>
      </c>
      <c r="DZ347" s="157">
        <f>EA347</f>
        <v>228</v>
      </c>
      <c r="EA347" s="1007">
        <v>228</v>
      </c>
      <c r="EB347" s="862">
        <v>228</v>
      </c>
      <c r="EC347" s="157">
        <v>18</v>
      </c>
      <c r="ED347" s="157">
        <v>18</v>
      </c>
      <c r="EE347" s="157">
        <f>EF347</f>
        <v>20</v>
      </c>
      <c r="EF347" s="1007">
        <v>20</v>
      </c>
      <c r="EG347" s="862">
        <v>20</v>
      </c>
      <c r="EH347" s="157">
        <v>632</v>
      </c>
      <c r="EI347" s="157">
        <v>631</v>
      </c>
      <c r="EJ347" s="157">
        <f>EK347</f>
        <v>331</v>
      </c>
      <c r="EK347" s="1007">
        <v>331</v>
      </c>
      <c r="EL347" s="862">
        <v>331</v>
      </c>
      <c r="EM347" s="157">
        <v>19</v>
      </c>
      <c r="EN347" s="157">
        <v>19</v>
      </c>
      <c r="EO347" s="157">
        <f>EP347</f>
        <v>19</v>
      </c>
      <c r="EP347" s="1007">
        <v>19</v>
      </c>
      <c r="EQ347" s="2052">
        <v>19</v>
      </c>
      <c r="ER347" s="157"/>
      <c r="ES347" s="157"/>
      <c r="ET347" s="157"/>
      <c r="EU347" s="162">
        <f>EP347</f>
        <v>19</v>
      </c>
      <c r="EV347" s="157"/>
      <c r="EW347" s="157"/>
      <c r="EX347" s="157"/>
      <c r="EY347" s="157"/>
      <c r="EZ347" s="162">
        <f>EU347</f>
        <v>19</v>
      </c>
      <c r="FA347" s="157"/>
      <c r="FB347" s="157"/>
      <c r="FC347" s="157"/>
      <c r="FD347" s="157"/>
      <c r="FE347" s="162">
        <f>EZ347</f>
        <v>19</v>
      </c>
      <c r="FG347" s="494"/>
      <c r="FH347" s="835"/>
      <c r="FI347" s="835"/>
      <c r="FJ347" s="835"/>
      <c r="FL347" s="1402"/>
      <c r="FM347"/>
      <c r="FN347"/>
      <c r="FO347"/>
      <c r="FP347"/>
      <c r="FQ347"/>
      <c r="FR347" s="1632"/>
      <c r="FS347" s="1632"/>
      <c r="FT347" s="459"/>
      <c r="FU347" s="459"/>
      <c r="FV347" s="459"/>
      <c r="FW347" s="459"/>
      <c r="FX347" s="459"/>
      <c r="FY347" s="459"/>
      <c r="FZ347" s="494"/>
      <c r="GA347"/>
      <c r="GB347"/>
      <c r="GC347"/>
      <c r="GD347"/>
      <c r="GE347"/>
      <c r="GF347"/>
      <c r="GG347"/>
      <c r="GH347"/>
      <c r="GI347"/>
      <c r="GJ347"/>
      <c r="GK347"/>
      <c r="GL347"/>
      <c r="GM347"/>
      <c r="GN347"/>
      <c r="GO347"/>
      <c r="GP347"/>
      <c r="GQ347"/>
      <c r="GR347"/>
      <c r="GS347"/>
      <c r="GT347"/>
      <c r="GU347"/>
      <c r="GV347"/>
      <c r="GW347"/>
      <c r="GX347"/>
      <c r="GY347"/>
      <c r="GZ347"/>
      <c r="HA347"/>
      <c r="HB347"/>
      <c r="HC347"/>
      <c r="HD347"/>
      <c r="HE347"/>
      <c r="HF347"/>
      <c r="HG347"/>
      <c r="HH347"/>
      <c r="HI347"/>
      <c r="HJ347"/>
      <c r="HK347"/>
      <c r="HL347"/>
      <c r="HM347"/>
      <c r="HN347"/>
      <c r="HO347"/>
      <c r="HP347"/>
      <c r="HQ347"/>
      <c r="HR347"/>
      <c r="HS347"/>
      <c r="HT347"/>
      <c r="HU347"/>
      <c r="HV347"/>
      <c r="HW347"/>
      <c r="HX347"/>
      <c r="HY347"/>
      <c r="HZ347"/>
      <c r="IA347"/>
      <c r="IB347"/>
      <c r="IC347"/>
      <c r="ID347"/>
      <c r="IE347"/>
      <c r="IF347"/>
      <c r="IG347"/>
      <c r="IH347"/>
      <c r="II347"/>
      <c r="IJ347"/>
      <c r="IK347"/>
      <c r="IL347"/>
      <c r="IM347"/>
      <c r="IN347"/>
      <c r="IO347"/>
      <c r="IP347"/>
      <c r="IQ347"/>
      <c r="IR347"/>
      <c r="IS347"/>
      <c r="IT347"/>
      <c r="IU347"/>
      <c r="IV347"/>
      <c r="IW347"/>
      <c r="IX347"/>
    </row>
    <row r="348" spans="1:258" s="237" customFormat="1" ht="12.6" customHeight="1" x14ac:dyDescent="0.2">
      <c r="A348" s="621" t="s">
        <v>288</v>
      </c>
      <c r="B348" s="240"/>
      <c r="C348" s="240"/>
      <c r="D348" s="240"/>
      <c r="E348" s="240"/>
      <c r="F348" s="241"/>
      <c r="G348" s="240"/>
      <c r="H348" s="240"/>
      <c r="I348" s="240"/>
      <c r="J348" s="240"/>
      <c r="K348" s="241"/>
      <c r="L348" s="240"/>
      <c r="M348" s="240"/>
      <c r="N348" s="240"/>
      <c r="O348" s="240"/>
      <c r="P348" s="241"/>
      <c r="Q348" s="240"/>
      <c r="R348" s="240"/>
      <c r="S348" s="240"/>
      <c r="T348" s="240"/>
      <c r="U348" s="241"/>
      <c r="V348" s="240"/>
      <c r="W348" s="240"/>
      <c r="X348" s="240"/>
      <c r="Y348" s="240"/>
      <c r="Z348" s="241"/>
      <c r="AA348" s="240"/>
      <c r="AB348" s="240"/>
      <c r="AC348" s="240"/>
      <c r="AD348" s="240"/>
      <c r="AE348" s="241"/>
      <c r="AF348" s="240"/>
      <c r="AG348" s="240"/>
      <c r="AH348" s="240"/>
      <c r="AI348" s="240"/>
      <c r="AJ348" s="241"/>
      <c r="AK348" s="240"/>
      <c r="AL348" s="240"/>
      <c r="AM348" s="240"/>
      <c r="AN348" s="240"/>
      <c r="AO348" s="241"/>
      <c r="AP348" s="240"/>
      <c r="AQ348" s="240"/>
      <c r="AR348" s="240"/>
      <c r="AS348" s="240"/>
      <c r="AT348" s="241">
        <f>AT350-AT347</f>
        <v>2352</v>
      </c>
      <c r="AU348" s="240"/>
      <c r="AV348" s="240"/>
      <c r="AW348" s="240"/>
      <c r="AX348" s="240"/>
      <c r="AY348" s="241">
        <f>AY350-AY347</f>
        <v>2313</v>
      </c>
      <c r="AZ348" s="240"/>
      <c r="BA348" s="240"/>
      <c r="BB348" s="240"/>
      <c r="BC348" s="240"/>
      <c r="BD348" s="241">
        <f>BD350-BD347</f>
        <v>3473</v>
      </c>
      <c r="BE348" s="240"/>
      <c r="BF348" s="240"/>
      <c r="BG348" s="240"/>
      <c r="BH348" s="240"/>
      <c r="BI348" s="241">
        <f>BI350-BI347</f>
        <v>3280</v>
      </c>
      <c r="BJ348" s="240"/>
      <c r="BK348" s="240"/>
      <c r="BL348" s="240"/>
      <c r="BM348" s="240"/>
      <c r="BN348" s="241">
        <f>BN350-BN347</f>
        <v>3307</v>
      </c>
      <c r="BO348" s="240"/>
      <c r="BP348" s="240"/>
      <c r="BQ348" s="240"/>
      <c r="BR348" s="240"/>
      <c r="BS348" s="241">
        <f>BS350-BS347</f>
        <v>2465</v>
      </c>
      <c r="BT348" s="240"/>
      <c r="BU348" s="240"/>
      <c r="BV348" s="240"/>
      <c r="BW348" s="240"/>
      <c r="BX348" s="241">
        <f>BX350-BX347</f>
        <v>1791</v>
      </c>
      <c r="BY348" s="240"/>
      <c r="BZ348" s="240"/>
      <c r="CA348" s="240"/>
      <c r="CB348" s="240"/>
      <c r="CC348" s="241">
        <f>CC350-CC347</f>
        <v>2233</v>
      </c>
      <c r="CD348" s="240"/>
      <c r="CE348" s="240"/>
      <c r="CF348" s="240"/>
      <c r="CG348" s="240"/>
      <c r="CH348" s="241">
        <f>CH350-CH347</f>
        <v>2042</v>
      </c>
      <c r="CI348" s="240"/>
      <c r="CJ348" s="240"/>
      <c r="CK348" s="240"/>
      <c r="CL348" s="240"/>
      <c r="CM348" s="241">
        <f>CM350-CM347</f>
        <v>1922</v>
      </c>
      <c r="CN348" s="240"/>
      <c r="CO348" s="240"/>
      <c r="CP348" s="240"/>
      <c r="CQ348" s="240"/>
      <c r="CR348" s="241">
        <f>CR350-CR347</f>
        <v>1884</v>
      </c>
      <c r="CS348" s="240"/>
      <c r="CT348" s="240"/>
      <c r="CU348" s="240"/>
      <c r="CV348" s="240"/>
      <c r="CW348" s="241">
        <f>CW350-CW347</f>
        <v>2084</v>
      </c>
      <c r="CX348" s="240"/>
      <c r="CY348" s="240"/>
      <c r="CZ348" s="240"/>
      <c r="DA348" s="240"/>
      <c r="DB348" s="241">
        <f>DB350-DB347</f>
        <v>1752</v>
      </c>
      <c r="DC348" s="240"/>
      <c r="DD348" s="240"/>
      <c r="DE348" s="240"/>
      <c r="DF348" s="240"/>
      <c r="DG348" s="241">
        <f>DG350-DG347</f>
        <v>1924</v>
      </c>
      <c r="DH348" s="240"/>
      <c r="DI348" s="240"/>
      <c r="DJ348" s="240"/>
      <c r="DK348" s="240"/>
      <c r="DL348" s="241">
        <f>DL350-DL347</f>
        <v>2051</v>
      </c>
      <c r="DM348" s="240"/>
      <c r="DN348" s="240"/>
      <c r="DO348" s="240"/>
      <c r="DP348" s="240"/>
      <c r="DQ348" s="241">
        <f t="shared" ref="DQ348:DW348" si="1490">DQ350-DQ347</f>
        <v>1865</v>
      </c>
      <c r="DR348" s="862">
        <f t="shared" si="1490"/>
        <v>1902</v>
      </c>
      <c r="DS348" s="240">
        <f t="shared" si="1490"/>
        <v>1854</v>
      </c>
      <c r="DT348" s="240">
        <f t="shared" si="1490"/>
        <v>1987</v>
      </c>
      <c r="DU348" s="240">
        <f t="shared" si="1490"/>
        <v>1891</v>
      </c>
      <c r="DV348" s="241">
        <f t="shared" si="1490"/>
        <v>1891</v>
      </c>
      <c r="DW348" s="862">
        <f t="shared" si="1490"/>
        <v>1887</v>
      </c>
      <c r="DX348" s="240">
        <f t="shared" ref="DX348:EC348" si="1491">DX350-DX347</f>
        <v>1898</v>
      </c>
      <c r="DY348" s="240">
        <f t="shared" si="1491"/>
        <v>2001</v>
      </c>
      <c r="DZ348" s="240">
        <f t="shared" si="1491"/>
        <v>1879</v>
      </c>
      <c r="EA348" s="241">
        <f t="shared" si="1491"/>
        <v>1879</v>
      </c>
      <c r="EB348" s="862">
        <f t="shared" si="1491"/>
        <v>1810</v>
      </c>
      <c r="EC348" s="240">
        <f t="shared" si="1491"/>
        <v>1760</v>
      </c>
      <c r="ED348" s="240">
        <f>ED350-ED347</f>
        <v>1904</v>
      </c>
      <c r="EE348" s="240">
        <f>EE350-EE347</f>
        <v>1932</v>
      </c>
      <c r="EF348" s="241">
        <f>EF350-EF347</f>
        <v>1932</v>
      </c>
      <c r="EG348" s="862">
        <v>1672</v>
      </c>
      <c r="EH348" s="240">
        <f t="shared" ref="EH348:EM348" si="1492">EH350-EH347</f>
        <v>1650</v>
      </c>
      <c r="EI348" s="240">
        <f t="shared" si="1492"/>
        <v>1632</v>
      </c>
      <c r="EJ348" s="240">
        <f t="shared" si="1492"/>
        <v>1709</v>
      </c>
      <c r="EK348" s="241">
        <f t="shared" si="1492"/>
        <v>1709</v>
      </c>
      <c r="EL348" s="862">
        <f t="shared" si="1492"/>
        <v>1946</v>
      </c>
      <c r="EM348" s="240">
        <f t="shared" si="1492"/>
        <v>1653</v>
      </c>
      <c r="EN348" s="240">
        <f t="shared" ref="EN348:EO348" si="1493">EN350-EN347</f>
        <v>2056</v>
      </c>
      <c r="EO348" s="240">
        <f t="shared" si="1493"/>
        <v>1875</v>
      </c>
      <c r="EP348" s="241">
        <f t="shared" ref="EP348" si="1494">EP350-EP347</f>
        <v>1875</v>
      </c>
      <c r="EQ348" s="240"/>
      <c r="ER348" s="240"/>
      <c r="ES348" s="240"/>
      <c r="ET348" s="240"/>
      <c r="EU348" s="241">
        <f>EU349*EU$240</f>
        <v>1864.3474922770283</v>
      </c>
      <c r="EV348" s="242"/>
      <c r="EW348" s="242"/>
      <c r="EX348" s="242"/>
      <c r="EY348" s="242"/>
      <c r="EZ348" s="241">
        <f>EZ349*EZ$240</f>
        <v>1885.3594295005405</v>
      </c>
      <c r="FA348" s="242"/>
      <c r="FB348" s="242"/>
      <c r="FC348" s="242"/>
      <c r="FD348" s="242"/>
      <c r="FE348" s="241">
        <f>FE349*FE$240</f>
        <v>1878.0348290715358</v>
      </c>
      <c r="FG348" s="494"/>
      <c r="FH348" s="834"/>
      <c r="FI348" s="834"/>
      <c r="FJ348" s="834"/>
      <c r="FL348" s="1406"/>
      <c r="FM348"/>
      <c r="FN348"/>
      <c r="FO348"/>
      <c r="FP348"/>
      <c r="FQ348"/>
      <c r="FR348" s="1632"/>
      <c r="FS348" s="1632"/>
      <c r="FT348" s="459"/>
      <c r="FU348" s="459"/>
      <c r="FV348" s="459"/>
      <c r="FW348" s="459"/>
      <c r="FX348" s="459"/>
      <c r="FY348" s="459"/>
      <c r="FZ348" s="494"/>
      <c r="GA348"/>
      <c r="GB348"/>
      <c r="GC348"/>
      <c r="GD348"/>
      <c r="GE348"/>
      <c r="GF348"/>
      <c r="GG348"/>
      <c r="GH348"/>
      <c r="GI348"/>
      <c r="GJ348"/>
      <c r="GK348"/>
      <c r="GL348"/>
      <c r="GM348"/>
      <c r="GN348"/>
      <c r="GO348"/>
      <c r="GP348"/>
      <c r="GQ348"/>
      <c r="GR348"/>
      <c r="GS348"/>
      <c r="GT348"/>
      <c r="GU348"/>
      <c r="GV348"/>
      <c r="GW348"/>
      <c r="GX348"/>
      <c r="GY348"/>
      <c r="GZ348"/>
      <c r="HA348"/>
      <c r="HB348"/>
      <c r="HC348"/>
      <c r="HD348"/>
      <c r="HE348"/>
      <c r="HF348"/>
      <c r="HG348"/>
      <c r="HH348"/>
      <c r="HI348"/>
      <c r="HJ348"/>
      <c r="HK348"/>
      <c r="HL348"/>
      <c r="HM348"/>
      <c r="HN348"/>
      <c r="HO348"/>
      <c r="HP348"/>
      <c r="HQ348"/>
      <c r="HR348"/>
      <c r="HS348"/>
      <c r="HT348"/>
      <c r="HU348"/>
      <c r="HV348"/>
      <c r="HW348"/>
      <c r="HX348"/>
      <c r="HY348"/>
      <c r="HZ348"/>
      <c r="IA348"/>
      <c r="IB348"/>
      <c r="IC348"/>
      <c r="ID348"/>
      <c r="IE348"/>
      <c r="IF348"/>
      <c r="IG348"/>
      <c r="IH348"/>
      <c r="II348"/>
      <c r="IJ348"/>
      <c r="IK348"/>
      <c r="IL348"/>
      <c r="IM348"/>
      <c r="IN348"/>
      <c r="IO348"/>
      <c r="IP348"/>
      <c r="IQ348"/>
      <c r="IR348"/>
      <c r="IS348"/>
      <c r="IT348"/>
      <c r="IU348"/>
      <c r="IV348"/>
      <c r="IW348"/>
      <c r="IX348"/>
    </row>
    <row r="349" spans="1:258" s="155" customFormat="1" ht="12.6" customHeight="1" x14ac:dyDescent="0.2">
      <c r="A349" s="618" t="s">
        <v>19</v>
      </c>
      <c r="B349" s="236"/>
      <c r="C349" s="236"/>
      <c r="D349" s="236"/>
      <c r="E349" s="236"/>
      <c r="F349" s="238"/>
      <c r="G349" s="236"/>
      <c r="H349" s="236"/>
      <c r="I349" s="236"/>
      <c r="J349" s="236"/>
      <c r="K349" s="238"/>
      <c r="L349" s="236"/>
      <c r="M349" s="236"/>
      <c r="N349" s="236"/>
      <c r="O349" s="236"/>
      <c r="P349" s="238"/>
      <c r="Q349" s="236"/>
      <c r="R349" s="236"/>
      <c r="S349" s="236"/>
      <c r="T349" s="236"/>
      <c r="U349" s="238"/>
      <c r="V349" s="236"/>
      <c r="W349" s="236"/>
      <c r="X349" s="236"/>
      <c r="Y349" s="236"/>
      <c r="Z349" s="238"/>
      <c r="AA349" s="236"/>
      <c r="AB349" s="236"/>
      <c r="AC349" s="236"/>
      <c r="AD349" s="236"/>
      <c r="AE349" s="238"/>
      <c r="AF349" s="236"/>
      <c r="AG349" s="236"/>
      <c r="AH349" s="236"/>
      <c r="AI349" s="236"/>
      <c r="AJ349" s="238"/>
      <c r="AK349" s="236"/>
      <c r="AL349" s="236"/>
      <c r="AM349" s="236"/>
      <c r="AN349" s="236"/>
      <c r="AO349" s="238"/>
      <c r="AP349" s="236"/>
      <c r="AQ349" s="236"/>
      <c r="AR349" s="236"/>
      <c r="AS349" s="236"/>
      <c r="AT349" s="238">
        <f>AT348/AT$240</f>
        <v>0.27706443632936739</v>
      </c>
      <c r="AU349" s="236"/>
      <c r="AV349" s="236"/>
      <c r="AW349" s="236"/>
      <c r="AX349" s="236"/>
      <c r="AY349" s="238">
        <f>AY348/AY$240</f>
        <v>0.26346964346736529</v>
      </c>
      <c r="AZ349" s="236"/>
      <c r="BA349" s="236"/>
      <c r="BB349" s="236"/>
      <c r="BC349" s="236"/>
      <c r="BD349" s="238">
        <f>BD348/BD$240</f>
        <v>0.3548222313036371</v>
      </c>
      <c r="BE349" s="236"/>
      <c r="BF349" s="236"/>
      <c r="BG349" s="236"/>
      <c r="BH349" s="236"/>
      <c r="BI349" s="238">
        <f>BI348/BI$240</f>
        <v>0.50987097777086898</v>
      </c>
      <c r="BJ349" s="236"/>
      <c r="BK349" s="236"/>
      <c r="BL349" s="236"/>
      <c r="BM349" s="236"/>
      <c r="BN349" s="238">
        <f>BN348/BN$240</f>
        <v>0.53073342962606318</v>
      </c>
      <c r="BO349" s="236"/>
      <c r="BP349" s="236"/>
      <c r="BQ349" s="236"/>
      <c r="BR349" s="236"/>
      <c r="BS349" s="238">
        <f>BS348/BS$240</f>
        <v>0.40035731687510151</v>
      </c>
      <c r="BT349" s="236"/>
      <c r="BU349" s="236"/>
      <c r="BV349" s="236"/>
      <c r="BW349" s="236"/>
      <c r="BX349" s="238">
        <f>BX348/BX$240</f>
        <v>0.2766023166023166</v>
      </c>
      <c r="BY349" s="236"/>
      <c r="BZ349" s="236"/>
      <c r="CA349" s="236"/>
      <c r="CB349" s="236"/>
      <c r="CC349" s="238">
        <f>CC348/CC$240</f>
        <v>0.31900000000000001</v>
      </c>
      <c r="CD349" s="236"/>
      <c r="CE349" s="236"/>
      <c r="CF349" s="236"/>
      <c r="CG349" s="236"/>
      <c r="CH349" s="238">
        <f>CH348/CH$240</f>
        <v>0.28034047226798464</v>
      </c>
      <c r="CI349" s="236"/>
      <c r="CJ349" s="236"/>
      <c r="CK349" s="236"/>
      <c r="CL349" s="236"/>
      <c r="CM349" s="238">
        <f>CM348/CM$240</f>
        <v>0.25262881177707674</v>
      </c>
      <c r="CN349" s="236"/>
      <c r="CO349" s="236"/>
      <c r="CP349" s="236"/>
      <c r="CQ349" s="236"/>
      <c r="CR349" s="238">
        <f>CR348/CR$240</f>
        <v>0.24166239096972805</v>
      </c>
      <c r="CS349" s="236"/>
      <c r="CT349" s="236"/>
      <c r="CU349" s="236"/>
      <c r="CV349" s="236"/>
      <c r="CW349" s="238">
        <f>CW348/CW$240</f>
        <v>0.24549416892449052</v>
      </c>
      <c r="CX349" s="236"/>
      <c r="CY349" s="236"/>
      <c r="CZ349" s="236"/>
      <c r="DA349" s="236"/>
      <c r="DB349" s="238">
        <f>DB348/DB$240</f>
        <v>0.25932504440497334</v>
      </c>
      <c r="DC349" s="236"/>
      <c r="DD349" s="236"/>
      <c r="DE349" s="236"/>
      <c r="DF349" s="236"/>
      <c r="DG349" s="238">
        <f>DG348/DG$240</f>
        <v>0.25439640354356735</v>
      </c>
      <c r="DH349" s="236"/>
      <c r="DI349" s="236"/>
      <c r="DJ349" s="236"/>
      <c r="DK349" s="236"/>
      <c r="DL349" s="238">
        <f>DL348/DL$240</f>
        <v>0.24636636636636636</v>
      </c>
      <c r="DM349" s="236"/>
      <c r="DN349" s="236"/>
      <c r="DO349" s="236"/>
      <c r="DP349" s="236"/>
      <c r="DQ349" s="238">
        <f>DQ348/DQ$240</f>
        <v>0.2247258705868177</v>
      </c>
      <c r="DR349" s="863">
        <f>DR348/DR$240/4</f>
        <v>0.22610556348074179</v>
      </c>
      <c r="DS349" s="236">
        <f>DS348/DS$240/4</f>
        <v>0.21781015037593984</v>
      </c>
      <c r="DT349" s="236">
        <f>DT348/DT$240/4</f>
        <v>0.23332550493189291</v>
      </c>
      <c r="DU349" s="236">
        <f>DU348/DU$240/4</f>
        <v>0.21304641730509238</v>
      </c>
      <c r="DV349" s="238">
        <f>DV348/DV$240</f>
        <v>0.22042196060146871</v>
      </c>
      <c r="DW349" s="863">
        <f>DW348/DW$240/4</f>
        <v>0.20754509458864936</v>
      </c>
      <c r="DX349" s="236">
        <f>DX348/DX$240/4</f>
        <v>0.21117044948820649</v>
      </c>
      <c r="DY349" s="236">
        <f>DY348/DY$240/4</f>
        <v>0.22282850779510022</v>
      </c>
      <c r="DZ349" s="236">
        <f>DZ348/DZ$240/4</f>
        <v>0.20504146660846792</v>
      </c>
      <c r="EA349" s="238">
        <f>EA348/EA$240</f>
        <v>0.20748674911660778</v>
      </c>
      <c r="EB349" s="863">
        <f>EB348/EB$240/4</f>
        <v>0.2071886446886447</v>
      </c>
      <c r="EC349" s="236">
        <f>EC348/EC$240/4</f>
        <v>0.2131782945736434</v>
      </c>
      <c r="ED349" s="236">
        <f>ED348/ED$240/4</f>
        <v>0.23728813559322035</v>
      </c>
      <c r="EE349" s="236">
        <f>EE348/EE$240/4</f>
        <v>0.24271356783919598</v>
      </c>
      <c r="EF349" s="238">
        <f>EF348/EF$240</f>
        <v>0.23435225618631733</v>
      </c>
      <c r="EG349" s="863">
        <f>EG348/EG$240/4</f>
        <v>0.21839080459770116</v>
      </c>
      <c r="EH349" s="236">
        <f>EH348/EH$240/4</f>
        <v>0.22129828326180256</v>
      </c>
      <c r="EI349" s="236">
        <f>EI348/EI$240/4</f>
        <v>0.21829855537720708</v>
      </c>
      <c r="EJ349" s="236">
        <f>EJ348/EJ$240/4</f>
        <v>0.21015740285292672</v>
      </c>
      <c r="EK349" s="238">
        <f>EK348/EK$240</f>
        <v>0.22215000649941505</v>
      </c>
      <c r="EL349" s="863">
        <f>EL348/EL$240/4</f>
        <v>0.24447236180904522</v>
      </c>
      <c r="EM349" s="236">
        <f>EM348/EM$240/4</f>
        <v>0.22229693383539537</v>
      </c>
      <c r="EN349" s="236">
        <f>EN348/EN$240/4</f>
        <v>0.2745726495726496</v>
      </c>
      <c r="EO349" s="236">
        <f>EO348/EO$240/4</f>
        <v>0.25188070929607737</v>
      </c>
      <c r="EP349" s="238">
        <f>EP348/EP$240</f>
        <v>0.24729622790820363</v>
      </c>
      <c r="EQ349" s="236"/>
      <c r="ER349" s="236"/>
      <c r="ES349" s="236"/>
      <c r="ET349" s="236"/>
      <c r="EU349" s="239">
        <f>EP349+0.2%</f>
        <v>0.24929622790820363</v>
      </c>
      <c r="EV349" s="239"/>
      <c r="EW349" s="239"/>
      <c r="EX349" s="239"/>
      <c r="EY349" s="239"/>
      <c r="EZ349" s="239">
        <f>+EU349</f>
        <v>0.24929622790820363</v>
      </c>
      <c r="FA349" s="239"/>
      <c r="FB349" s="239"/>
      <c r="FC349" s="239"/>
      <c r="FD349" s="239"/>
      <c r="FE349" s="239">
        <f>EZ349</f>
        <v>0.24929622790820363</v>
      </c>
      <c r="FG349" s="494"/>
      <c r="FH349" s="822"/>
      <c r="FI349" s="822"/>
      <c r="FJ349" s="822"/>
      <c r="FL349" s="1391"/>
      <c r="FM349"/>
      <c r="FN349"/>
      <c r="FO349"/>
      <c r="FP349"/>
      <c r="FQ349"/>
      <c r="FR349" s="1632"/>
      <c r="FS349" s="1632"/>
      <c r="FT349" s="454"/>
      <c r="FU349" s="454"/>
      <c r="FV349" s="454"/>
      <c r="FW349" s="454"/>
      <c r="FX349" s="454"/>
      <c r="FY349" s="454"/>
      <c r="FZ349" s="494"/>
      <c r="GA349"/>
      <c r="GB349"/>
      <c r="GC349"/>
      <c r="GD349"/>
      <c r="GE349"/>
      <c r="GF349"/>
      <c r="GG349"/>
      <c r="GH349"/>
      <c r="GI349"/>
      <c r="GJ349"/>
      <c r="GK349"/>
      <c r="GL349"/>
      <c r="GM349"/>
      <c r="GN349"/>
      <c r="GO349"/>
      <c r="GP349"/>
      <c r="GQ349"/>
      <c r="GR349"/>
      <c r="GS349"/>
      <c r="GT349"/>
      <c r="GU349"/>
      <c r="GV349"/>
      <c r="GW349"/>
      <c r="GX349"/>
      <c r="GY349"/>
      <c r="GZ349"/>
      <c r="HA349"/>
      <c r="HB349"/>
      <c r="HC349"/>
      <c r="HD349"/>
      <c r="HE349"/>
      <c r="HF349"/>
      <c r="HG349"/>
      <c r="HH349"/>
      <c r="HI349"/>
      <c r="HJ349"/>
      <c r="HK349"/>
      <c r="HL349"/>
      <c r="HM349"/>
      <c r="HN349"/>
      <c r="HO349"/>
      <c r="HP349"/>
      <c r="HQ349"/>
      <c r="HR349"/>
      <c r="HS349"/>
      <c r="HT349"/>
      <c r="HU349"/>
      <c r="HV349"/>
      <c r="HW349"/>
      <c r="HX349"/>
      <c r="HY349"/>
      <c r="HZ349"/>
      <c r="IA349"/>
      <c r="IB349"/>
      <c r="IC349"/>
      <c r="ID349"/>
      <c r="IE349"/>
      <c r="IF349"/>
      <c r="IG349"/>
      <c r="IH349"/>
      <c r="II349"/>
      <c r="IJ349"/>
      <c r="IK349"/>
      <c r="IL349"/>
      <c r="IM349"/>
      <c r="IN349"/>
      <c r="IO349"/>
      <c r="IP349"/>
      <c r="IQ349"/>
      <c r="IR349"/>
      <c r="IS349"/>
      <c r="IT349"/>
      <c r="IU349"/>
      <c r="IV349"/>
      <c r="IW349"/>
      <c r="IX349"/>
    </row>
    <row r="350" spans="1:258" s="887" customFormat="1" x14ac:dyDescent="0.2">
      <c r="A350" s="886" t="s">
        <v>279</v>
      </c>
      <c r="B350" s="235"/>
      <c r="C350" s="235"/>
      <c r="D350" s="235"/>
      <c r="E350" s="235"/>
      <c r="F350" s="161"/>
      <c r="G350" s="235"/>
      <c r="H350" s="235"/>
      <c r="I350" s="235"/>
      <c r="J350" s="235"/>
      <c r="K350" s="161"/>
      <c r="L350" s="235"/>
      <c r="M350" s="235"/>
      <c r="N350" s="235"/>
      <c r="O350" s="235"/>
      <c r="P350" s="161"/>
      <c r="Q350" s="235"/>
      <c r="R350" s="235"/>
      <c r="S350" s="235"/>
      <c r="T350" s="235"/>
      <c r="U350" s="161"/>
      <c r="V350" s="235"/>
      <c r="W350" s="235"/>
      <c r="X350" s="235"/>
      <c r="Y350" s="235"/>
      <c r="Z350" s="161"/>
      <c r="AA350" s="235"/>
      <c r="AB350" s="235"/>
      <c r="AC350" s="235"/>
      <c r="AD350" s="235"/>
      <c r="AE350" s="161"/>
      <c r="AF350" s="235"/>
      <c r="AG350" s="235"/>
      <c r="AH350" s="235"/>
      <c r="AI350" s="235"/>
      <c r="AJ350" s="161"/>
      <c r="AK350" s="235"/>
      <c r="AL350" s="235"/>
      <c r="AM350" s="235"/>
      <c r="AN350" s="235"/>
      <c r="AO350" s="161"/>
      <c r="AP350" s="235"/>
      <c r="AQ350" s="235"/>
      <c r="AR350" s="235"/>
      <c r="AS350" s="235"/>
      <c r="AT350" s="161">
        <v>2707</v>
      </c>
      <c r="AU350" s="235"/>
      <c r="AV350" s="235"/>
      <c r="AW350" s="235"/>
      <c r="AX350" s="235"/>
      <c r="AY350" s="161">
        <v>2600</v>
      </c>
      <c r="AZ350" s="235"/>
      <c r="BA350" s="235"/>
      <c r="BB350" s="235"/>
      <c r="BC350" s="235"/>
      <c r="BD350" s="161">
        <v>3473</v>
      </c>
      <c r="BE350" s="235"/>
      <c r="BF350" s="235"/>
      <c r="BG350" s="235"/>
      <c r="BH350" s="235"/>
      <c r="BI350" s="161">
        <v>3280</v>
      </c>
      <c r="BJ350" s="235"/>
      <c r="BK350" s="235"/>
      <c r="BL350" s="235"/>
      <c r="BM350" s="235"/>
      <c r="BN350" s="161">
        <v>3307</v>
      </c>
      <c r="BO350" s="235"/>
      <c r="BP350" s="235"/>
      <c r="BQ350" s="235"/>
      <c r="BR350" s="235"/>
      <c r="BS350" s="161">
        <v>2465</v>
      </c>
      <c r="BT350" s="235"/>
      <c r="BU350" s="235"/>
      <c r="BV350" s="235"/>
      <c r="BW350" s="235"/>
      <c r="BX350" s="161">
        <v>2219</v>
      </c>
      <c r="BY350" s="235"/>
      <c r="BZ350" s="235"/>
      <c r="CA350" s="235"/>
      <c r="CB350" s="235"/>
      <c r="CC350" s="161">
        <v>3317</v>
      </c>
      <c r="CD350" s="235"/>
      <c r="CE350" s="235"/>
      <c r="CF350" s="235"/>
      <c r="CG350" s="235"/>
      <c r="CH350" s="161">
        <v>2979</v>
      </c>
      <c r="CI350" s="235"/>
      <c r="CJ350" s="235"/>
      <c r="CK350" s="235"/>
      <c r="CL350" s="235"/>
      <c r="CM350" s="161">
        <v>2522</v>
      </c>
      <c r="CN350" s="235"/>
      <c r="CO350" s="235"/>
      <c r="CP350" s="235"/>
      <c r="CQ350" s="235"/>
      <c r="CR350" s="161">
        <v>2671</v>
      </c>
      <c r="CS350" s="235"/>
      <c r="CT350" s="235"/>
      <c r="CU350" s="235"/>
      <c r="CV350" s="235"/>
      <c r="CW350" s="161">
        <v>2404</v>
      </c>
      <c r="CX350" s="235"/>
      <c r="CY350" s="235"/>
      <c r="CZ350" s="235"/>
      <c r="DA350" s="235"/>
      <c r="DB350" s="161">
        <v>1865</v>
      </c>
      <c r="DC350" s="235"/>
      <c r="DD350" s="235"/>
      <c r="DE350" s="235"/>
      <c r="DF350" s="235"/>
      <c r="DG350" s="161">
        <v>2537</v>
      </c>
      <c r="DH350" s="235"/>
      <c r="DI350" s="235"/>
      <c r="DJ350" s="235"/>
      <c r="DK350" s="235"/>
      <c r="DL350" s="161">
        <v>2558</v>
      </c>
      <c r="DM350" s="235"/>
      <c r="DN350" s="235"/>
      <c r="DO350" s="235"/>
      <c r="DP350" s="235"/>
      <c r="DQ350" s="161">
        <v>2645</v>
      </c>
      <c r="DR350" s="859">
        <v>2474</v>
      </c>
      <c r="DS350" s="235">
        <v>2418</v>
      </c>
      <c r="DT350" s="235">
        <v>2251</v>
      </c>
      <c r="DU350" s="235">
        <f>DV350</f>
        <v>2424</v>
      </c>
      <c r="DV350" s="161">
        <v>2424</v>
      </c>
      <c r="DW350" s="859">
        <f>325+1887</f>
        <v>2212</v>
      </c>
      <c r="DX350" s="235">
        <f>899+1898</f>
        <v>2797</v>
      </c>
      <c r="DY350" s="235">
        <v>2231</v>
      </c>
      <c r="DZ350" s="235">
        <f>EA350</f>
        <v>2107</v>
      </c>
      <c r="EA350" s="1148">
        <f>228+1879</f>
        <v>2107</v>
      </c>
      <c r="EB350" s="859">
        <f>228+1810</f>
        <v>2038</v>
      </c>
      <c r="EC350" s="235">
        <f>18+1760</f>
        <v>1778</v>
      </c>
      <c r="ED350" s="235">
        <f>18+1904</f>
        <v>1922</v>
      </c>
      <c r="EE350" s="235">
        <f>EF350</f>
        <v>1952</v>
      </c>
      <c r="EF350" s="1148">
        <f>20+1932</f>
        <v>1952</v>
      </c>
      <c r="EG350" s="859">
        <f>+EG348+EG347</f>
        <v>1692</v>
      </c>
      <c r="EH350" s="235">
        <f>632+1650</f>
        <v>2282</v>
      </c>
      <c r="EI350" s="235">
        <v>2263</v>
      </c>
      <c r="EJ350" s="235">
        <f>EK350</f>
        <v>2040</v>
      </c>
      <c r="EK350" s="1148">
        <v>2040</v>
      </c>
      <c r="EL350" s="859">
        <v>2277</v>
      </c>
      <c r="EM350" s="235">
        <v>1672</v>
      </c>
      <c r="EN350" s="235">
        <f>19+2056</f>
        <v>2075</v>
      </c>
      <c r="EO350" s="235">
        <f>EP350</f>
        <v>1894</v>
      </c>
      <c r="EP350" s="1148">
        <v>1894</v>
      </c>
      <c r="EQ350" s="235"/>
      <c r="ER350" s="235"/>
      <c r="ES350" s="235"/>
      <c r="ET350" s="235"/>
      <c r="EU350" s="161">
        <f>EU348+EU347</f>
        <v>1883.3474922770283</v>
      </c>
      <c r="EV350" s="235"/>
      <c r="EW350" s="235"/>
      <c r="EX350" s="235"/>
      <c r="EY350" s="235"/>
      <c r="EZ350" s="161">
        <f>EZ348+EZ347</f>
        <v>1904.3594295005405</v>
      </c>
      <c r="FA350" s="235"/>
      <c r="FB350" s="235"/>
      <c r="FC350" s="235"/>
      <c r="FD350" s="235"/>
      <c r="FE350" s="161">
        <f>FE348+FE347</f>
        <v>1897.0348290715358</v>
      </c>
      <c r="FG350" s="888"/>
      <c r="FH350" s="889"/>
      <c r="FI350" s="889"/>
      <c r="FJ350" s="889"/>
      <c r="FK350" s="897"/>
      <c r="FL350" s="1405"/>
      <c r="FM350"/>
      <c r="FN350"/>
      <c r="FO350"/>
      <c r="FP350"/>
      <c r="FQ350"/>
      <c r="FR350" s="1637"/>
      <c r="FS350" s="1637"/>
      <c r="FT350" s="891"/>
      <c r="FU350" s="890"/>
      <c r="FV350" s="890"/>
      <c r="FW350" s="890"/>
      <c r="FX350" s="890"/>
      <c r="FY350" s="890"/>
      <c r="FZ350" s="888"/>
      <c r="GA350"/>
      <c r="GB350"/>
      <c r="GC350"/>
      <c r="GD350"/>
      <c r="GE350"/>
      <c r="GF350"/>
      <c r="GG350"/>
      <c r="GH350"/>
      <c r="GI350"/>
      <c r="GJ350"/>
      <c r="GK350"/>
      <c r="GL350"/>
      <c r="GM350"/>
      <c r="GN350"/>
      <c r="GO350"/>
      <c r="GP350"/>
      <c r="GQ350"/>
      <c r="GR350"/>
      <c r="GS350"/>
      <c r="GT350"/>
      <c r="GU350"/>
      <c r="GV350"/>
      <c r="GW350"/>
      <c r="GX350"/>
      <c r="GY350"/>
      <c r="GZ350"/>
      <c r="HA350"/>
      <c r="HB350"/>
      <c r="HC350"/>
      <c r="HD350"/>
      <c r="HE350"/>
      <c r="HF350"/>
      <c r="HG350"/>
      <c r="HH350"/>
      <c r="HI350"/>
      <c r="HJ350"/>
      <c r="HK350"/>
      <c r="HL350"/>
      <c r="HM350"/>
      <c r="HN350"/>
      <c r="HO350"/>
      <c r="HP350"/>
      <c r="HQ350"/>
      <c r="HR350"/>
      <c r="HS350"/>
      <c r="HT350"/>
      <c r="HU350"/>
      <c r="HV350"/>
      <c r="HW350"/>
      <c r="HX350"/>
      <c r="HY350"/>
      <c r="HZ350"/>
      <c r="IA350"/>
      <c r="IB350"/>
      <c r="IC350"/>
      <c r="ID350"/>
      <c r="IE350"/>
      <c r="IF350"/>
      <c r="IG350"/>
      <c r="IH350"/>
      <c r="II350"/>
      <c r="IJ350"/>
      <c r="IK350"/>
      <c r="IL350"/>
      <c r="IM350"/>
      <c r="IN350"/>
      <c r="IO350"/>
      <c r="IP350"/>
      <c r="IQ350"/>
      <c r="IR350"/>
      <c r="IS350"/>
      <c r="IT350"/>
      <c r="IU350"/>
      <c r="IV350"/>
      <c r="IW350"/>
      <c r="IX350"/>
    </row>
    <row r="351" spans="1:258" s="314" customFormat="1" x14ac:dyDescent="0.2">
      <c r="A351" s="622" t="s">
        <v>280</v>
      </c>
      <c r="B351" s="157"/>
      <c r="C351" s="157"/>
      <c r="D351" s="157"/>
      <c r="E351" s="157"/>
      <c r="F351" s="156"/>
      <c r="G351" s="157"/>
      <c r="H351" s="157"/>
      <c r="I351" s="157"/>
      <c r="J351" s="157"/>
      <c r="K351" s="156"/>
      <c r="L351" s="157"/>
      <c r="M351" s="157"/>
      <c r="N351" s="157"/>
      <c r="O351" s="157"/>
      <c r="P351" s="156"/>
      <c r="Q351" s="157"/>
      <c r="R351" s="157"/>
      <c r="S351" s="157"/>
      <c r="T351" s="157"/>
      <c r="U351" s="156"/>
      <c r="V351" s="157"/>
      <c r="W351" s="157"/>
      <c r="X351" s="157"/>
      <c r="Y351" s="157"/>
      <c r="Z351" s="156"/>
      <c r="AA351" s="157"/>
      <c r="AB351" s="157"/>
      <c r="AC351" s="157"/>
      <c r="AD351" s="157"/>
      <c r="AE351" s="156"/>
      <c r="AF351" s="157"/>
      <c r="AG351" s="157"/>
      <c r="AH351" s="157"/>
      <c r="AI351" s="157"/>
      <c r="AJ351" s="156"/>
      <c r="AK351" s="157"/>
      <c r="AL351" s="157"/>
      <c r="AM351" s="157"/>
      <c r="AN351" s="157"/>
      <c r="AO351" s="156"/>
      <c r="AP351" s="157"/>
      <c r="AQ351" s="157"/>
      <c r="AR351" s="157"/>
      <c r="AS351" s="157"/>
      <c r="AT351" s="156">
        <v>6416</v>
      </c>
      <c r="AU351" s="157"/>
      <c r="AV351" s="157"/>
      <c r="AW351" s="157"/>
      <c r="AX351" s="157"/>
      <c r="AY351" s="156">
        <v>6432</v>
      </c>
      <c r="AZ351" s="157"/>
      <c r="BA351" s="157"/>
      <c r="BB351" s="157"/>
      <c r="BC351" s="157"/>
      <c r="BD351" s="156">
        <v>6196</v>
      </c>
      <c r="BE351" s="157"/>
      <c r="BF351" s="157"/>
      <c r="BG351" s="157"/>
      <c r="BH351" s="157"/>
      <c r="BI351" s="156">
        <v>5810</v>
      </c>
      <c r="BJ351" s="157"/>
      <c r="BK351" s="157"/>
      <c r="BL351" s="157"/>
      <c r="BM351" s="157"/>
      <c r="BN351" s="156">
        <v>5839</v>
      </c>
      <c r="BO351" s="157"/>
      <c r="BP351" s="157"/>
      <c r="BQ351" s="157"/>
      <c r="BR351" s="157"/>
      <c r="BS351" s="156">
        <v>6519</v>
      </c>
      <c r="BT351" s="157"/>
      <c r="BU351" s="157"/>
      <c r="BV351" s="157"/>
      <c r="BW351" s="157"/>
      <c r="BX351" s="156">
        <v>6886</v>
      </c>
      <c r="BY351" s="157"/>
      <c r="BZ351" s="157"/>
      <c r="CA351" s="157"/>
      <c r="CB351" s="157"/>
      <c r="CC351" s="156">
        <v>6248</v>
      </c>
      <c r="CD351" s="157"/>
      <c r="CE351" s="157"/>
      <c r="CF351" s="157"/>
      <c r="CG351" s="157"/>
      <c r="CH351" s="156">
        <v>5093</v>
      </c>
      <c r="CI351" s="157"/>
      <c r="CJ351" s="157"/>
      <c r="CK351" s="157"/>
      <c r="CL351" s="157"/>
      <c r="CM351" s="156">
        <v>5362</v>
      </c>
      <c r="CN351" s="157"/>
      <c r="CO351" s="157"/>
      <c r="CP351" s="157"/>
      <c r="CQ351" s="157"/>
      <c r="CR351" s="156">
        <v>6470</v>
      </c>
      <c r="CS351" s="157"/>
      <c r="CT351" s="157"/>
      <c r="CU351" s="157"/>
      <c r="CV351" s="157"/>
      <c r="CW351" s="156">
        <v>7512</v>
      </c>
      <c r="CX351" s="157">
        <v>7995</v>
      </c>
      <c r="CY351" s="157">
        <v>7933</v>
      </c>
      <c r="CZ351" s="157">
        <v>7906</v>
      </c>
      <c r="DA351" s="157">
        <v>7895</v>
      </c>
      <c r="DB351" s="156">
        <v>7895</v>
      </c>
      <c r="DC351" s="157">
        <v>7372</v>
      </c>
      <c r="DD351" s="157">
        <v>7320</v>
      </c>
      <c r="DE351" s="157">
        <v>7297</v>
      </c>
      <c r="DF351" s="157">
        <v>8051</v>
      </c>
      <c r="DG351" s="156">
        <f>DF351</f>
        <v>8051</v>
      </c>
      <c r="DH351" s="157">
        <v>7637</v>
      </c>
      <c r="DI351" s="157">
        <v>8186</v>
      </c>
      <c r="DJ351" s="157">
        <v>8160</v>
      </c>
      <c r="DK351" s="157">
        <v>8734</v>
      </c>
      <c r="DL351" s="156">
        <f>DK351</f>
        <v>8734</v>
      </c>
      <c r="DM351" s="157">
        <v>8623</v>
      </c>
      <c r="DN351" s="157">
        <v>8623</v>
      </c>
      <c r="DO351" s="157">
        <v>8257</v>
      </c>
      <c r="DP351" s="157">
        <f>+DQ351</f>
        <v>9052</v>
      </c>
      <c r="DQ351" s="156">
        <v>9052</v>
      </c>
      <c r="DR351" s="860">
        <v>8846</v>
      </c>
      <c r="DS351" s="157">
        <v>8811</v>
      </c>
      <c r="DT351" s="157">
        <v>8787</v>
      </c>
      <c r="DU351" s="157">
        <f>DV351</f>
        <v>9022</v>
      </c>
      <c r="DV351" s="156">
        <v>9022</v>
      </c>
      <c r="DW351" s="860">
        <v>9021</v>
      </c>
      <c r="DX351" s="157">
        <v>8410</v>
      </c>
      <c r="DY351" s="157">
        <v>9387</v>
      </c>
      <c r="DZ351" s="157">
        <f>EA351</f>
        <v>9514</v>
      </c>
      <c r="EA351" s="156">
        <v>9514</v>
      </c>
      <c r="EB351" s="860">
        <v>9513</v>
      </c>
      <c r="EC351" s="157">
        <v>10107</v>
      </c>
      <c r="ED351" s="157">
        <v>10088</v>
      </c>
      <c r="EE351" s="157">
        <f>EF351</f>
        <v>10515</v>
      </c>
      <c r="EF351" s="156">
        <v>10515</v>
      </c>
      <c r="EG351" s="860">
        <v>10516</v>
      </c>
      <c r="EH351" s="157">
        <v>9905</v>
      </c>
      <c r="EI351" s="157">
        <v>9888</v>
      </c>
      <c r="EJ351" s="157">
        <f>EK351</f>
        <v>10962</v>
      </c>
      <c r="EK351" s="156">
        <v>10962</v>
      </c>
      <c r="EL351" s="860">
        <v>10963</v>
      </c>
      <c r="EM351" s="157">
        <v>11806</v>
      </c>
      <c r="EN351" s="157">
        <v>11788</v>
      </c>
      <c r="EO351" s="157">
        <f>EP351</f>
        <v>11790</v>
      </c>
      <c r="EP351" s="156">
        <v>11790</v>
      </c>
      <c r="EQ351" s="2052">
        <v>13768</v>
      </c>
      <c r="ER351" s="157"/>
      <c r="ES351" s="157"/>
      <c r="ET351" s="157"/>
      <c r="EU351" s="156">
        <f>EP351+EU326-(EU347-EP347)</f>
        <v>13990</v>
      </c>
      <c r="EV351" s="157"/>
      <c r="EW351" s="157"/>
      <c r="EX351" s="157"/>
      <c r="EY351" s="157"/>
      <c r="EZ351" s="156">
        <f>EU351+EZ326-(EZ347-EU347)</f>
        <v>13990</v>
      </c>
      <c r="FA351" s="157"/>
      <c r="FB351" s="157"/>
      <c r="FC351" s="157"/>
      <c r="FD351" s="157"/>
      <c r="FE351" s="156">
        <f>EZ351+FE326-(FE347-EZ347)</f>
        <v>13190</v>
      </c>
      <c r="FG351" s="494"/>
      <c r="FH351" s="836"/>
      <c r="FI351" s="836"/>
      <c r="FJ351" s="836"/>
      <c r="FK351" s="1327"/>
      <c r="FL351" s="1399"/>
      <c r="FM351"/>
      <c r="FN351"/>
      <c r="FO351"/>
      <c r="FP351"/>
      <c r="FQ351"/>
      <c r="FR351" s="1637"/>
      <c r="FS351" s="1635"/>
      <c r="FT351" s="459"/>
      <c r="FU351" s="719"/>
      <c r="FV351" s="719"/>
      <c r="FW351" s="719"/>
      <c r="FX351" s="719"/>
      <c r="FY351" s="719"/>
      <c r="FZ351" s="494"/>
      <c r="GA351"/>
      <c r="GB351"/>
      <c r="GC351"/>
      <c r="GD351"/>
      <c r="GE351"/>
      <c r="GF351"/>
      <c r="GG351"/>
      <c r="GH351"/>
      <c r="GI351"/>
      <c r="GJ351"/>
      <c r="GK351"/>
      <c r="GL351"/>
      <c r="GM351"/>
      <c r="GN351"/>
      <c r="GO351"/>
      <c r="GP351"/>
      <c r="GQ351"/>
      <c r="GR351"/>
      <c r="GS351"/>
      <c r="GT351"/>
      <c r="GU351"/>
      <c r="GV351"/>
      <c r="GW351"/>
      <c r="GX351"/>
      <c r="GY351"/>
      <c r="GZ351"/>
      <c r="HA351"/>
      <c r="HB351"/>
      <c r="HC351"/>
      <c r="HD351"/>
      <c r="HE351"/>
      <c r="HF351"/>
      <c r="HG351"/>
      <c r="HH351"/>
      <c r="HI351"/>
      <c r="HJ351"/>
      <c r="HK351"/>
      <c r="HL351"/>
      <c r="HM351"/>
      <c r="HN351"/>
      <c r="HO351"/>
      <c r="HP351"/>
      <c r="HQ351"/>
      <c r="HR351"/>
      <c r="HS351"/>
      <c r="HT351"/>
      <c r="HU351"/>
      <c r="HV351"/>
      <c r="HW351"/>
      <c r="HX351"/>
      <c r="HY351"/>
      <c r="HZ351"/>
      <c r="IA351"/>
      <c r="IB351"/>
      <c r="IC351"/>
      <c r="ID351"/>
      <c r="IE351"/>
      <c r="IF351"/>
      <c r="IG351"/>
      <c r="IH351"/>
      <c r="II351"/>
      <c r="IJ351"/>
      <c r="IK351"/>
      <c r="IL351"/>
      <c r="IM351"/>
      <c r="IN351"/>
      <c r="IO351"/>
      <c r="IP351"/>
      <c r="IQ351"/>
      <c r="IR351"/>
      <c r="IS351"/>
      <c r="IT351"/>
      <c r="IU351"/>
      <c r="IV351"/>
      <c r="IW351"/>
      <c r="IX351"/>
    </row>
    <row r="352" spans="1:258" s="158" customFormat="1" x14ac:dyDescent="0.2">
      <c r="A352" s="619" t="s">
        <v>478</v>
      </c>
      <c r="B352" s="152"/>
      <c r="C352" s="152"/>
      <c r="D352" s="152"/>
      <c r="E352" s="152"/>
      <c r="F352" s="156"/>
      <c r="G352" s="152"/>
      <c r="H352" s="152"/>
      <c r="I352" s="152"/>
      <c r="J352" s="152"/>
      <c r="K352" s="156"/>
      <c r="L352" s="152"/>
      <c r="M352" s="152"/>
      <c r="N352" s="152"/>
      <c r="O352" s="152"/>
      <c r="P352" s="156"/>
      <c r="Q352" s="152"/>
      <c r="R352" s="152"/>
      <c r="S352" s="152"/>
      <c r="T352" s="152"/>
      <c r="U352" s="156"/>
      <c r="V352" s="152"/>
      <c r="W352" s="152"/>
      <c r="X352" s="152"/>
      <c r="Y352" s="152"/>
      <c r="Z352" s="156"/>
      <c r="AA352" s="152"/>
      <c r="AB352" s="152"/>
      <c r="AC352" s="152"/>
      <c r="AD352" s="152"/>
      <c r="AE352" s="156"/>
      <c r="AF352" s="152"/>
      <c r="AG352" s="152"/>
      <c r="AH352" s="152"/>
      <c r="AI352" s="152"/>
      <c r="AJ352" s="156"/>
      <c r="AK352" s="152"/>
      <c r="AL352" s="152"/>
      <c r="AM352" s="152"/>
      <c r="AN352" s="152"/>
      <c r="AO352" s="156"/>
      <c r="AP352" s="152"/>
      <c r="AQ352" s="152"/>
      <c r="AR352" s="152"/>
      <c r="AS352" s="152"/>
      <c r="AT352" s="156">
        <v>2939</v>
      </c>
      <c r="AU352" s="152"/>
      <c r="AV352" s="152"/>
      <c r="AW352" s="152"/>
      <c r="AX352" s="152"/>
      <c r="AY352" s="156">
        <v>3173</v>
      </c>
      <c r="AZ352" s="152"/>
      <c r="BA352" s="152"/>
      <c r="BB352" s="152"/>
      <c r="BC352" s="152"/>
      <c r="BD352" s="156">
        <v>3227</v>
      </c>
      <c r="BE352" s="152"/>
      <c r="BF352" s="152"/>
      <c r="BG352" s="152"/>
      <c r="BH352" s="152"/>
      <c r="BI352" s="156">
        <v>3384</v>
      </c>
      <c r="BJ352" s="152"/>
      <c r="BK352" s="152"/>
      <c r="BL352" s="152"/>
      <c r="BM352" s="152"/>
      <c r="BN352" s="156">
        <v>3621</v>
      </c>
      <c r="BO352" s="152"/>
      <c r="BP352" s="152"/>
      <c r="BQ352" s="152"/>
      <c r="BR352" s="152"/>
      <c r="BS352" s="156">
        <v>3567</v>
      </c>
      <c r="BT352" s="152"/>
      <c r="BU352" s="152"/>
      <c r="BV352" s="152"/>
      <c r="BW352" s="152"/>
      <c r="BX352" s="156">
        <v>3742</v>
      </c>
      <c r="BY352" s="152"/>
      <c r="BZ352" s="152"/>
      <c r="CA352" s="152"/>
      <c r="CB352" s="152"/>
      <c r="CC352" s="156">
        <v>5979</v>
      </c>
      <c r="CD352" s="152"/>
      <c r="CE352" s="152"/>
      <c r="CF352" s="152"/>
      <c r="CG352" s="152"/>
      <c r="CH352" s="156">
        <v>6082</v>
      </c>
      <c r="CI352" s="152"/>
      <c r="CJ352" s="152"/>
      <c r="CK352" s="152"/>
      <c r="CL352" s="152"/>
      <c r="CM352" s="156">
        <v>6110</v>
      </c>
      <c r="CN352" s="152"/>
      <c r="CO352" s="152"/>
      <c r="CP352" s="152"/>
      <c r="CQ352" s="152"/>
      <c r="CR352" s="156">
        <v>6096</v>
      </c>
      <c r="CS352" s="152"/>
      <c r="CT352" s="152"/>
      <c r="CU352" s="152"/>
      <c r="CV352" s="152"/>
      <c r="CW352" s="156">
        <v>6235</v>
      </c>
      <c r="CX352" s="152"/>
      <c r="CY352" s="152"/>
      <c r="CZ352" s="152"/>
      <c r="DA352" s="152"/>
      <c r="DB352" s="156">
        <v>6585</v>
      </c>
      <c r="DC352" s="152"/>
      <c r="DD352" s="152"/>
      <c r="DE352" s="152"/>
      <c r="DF352" s="152"/>
      <c r="DG352" s="156">
        <v>7053</v>
      </c>
      <c r="DH352" s="152"/>
      <c r="DI352" s="152"/>
      <c r="DJ352" s="152"/>
      <c r="DK352" s="152"/>
      <c r="DL352" s="156">
        <v>7601</v>
      </c>
      <c r="DM352" s="152"/>
      <c r="DN352" s="152"/>
      <c r="DO352" s="152"/>
      <c r="DP352" s="152"/>
      <c r="DQ352" s="156">
        <v>8096</v>
      </c>
      <c r="DR352" s="860">
        <v>8202</v>
      </c>
      <c r="DS352" s="157">
        <v>8313</v>
      </c>
      <c r="DT352" s="157">
        <v>8387</v>
      </c>
      <c r="DU352" s="157">
        <f>DV352</f>
        <v>8662</v>
      </c>
      <c r="DV352" s="156">
        <v>8662</v>
      </c>
      <c r="DW352" s="860">
        <v>8658</v>
      </c>
      <c r="DX352" s="157">
        <v>8728</v>
      </c>
      <c r="DY352" s="157">
        <v>8742</v>
      </c>
      <c r="DZ352" s="157">
        <f>EA352</f>
        <v>8858</v>
      </c>
      <c r="EA352" s="156">
        <v>8858</v>
      </c>
      <c r="EB352" s="860">
        <v>8886</v>
      </c>
      <c r="EC352" s="157">
        <v>8897</v>
      </c>
      <c r="ED352" s="157">
        <v>8957</v>
      </c>
      <c r="EE352" s="157">
        <f>EF352</f>
        <v>9179</v>
      </c>
      <c r="EF352" s="156">
        <v>9179</v>
      </c>
      <c r="EG352" s="860">
        <v>9396</v>
      </c>
      <c r="EH352" s="157">
        <v>9355</v>
      </c>
      <c r="EI352" s="157">
        <v>9505</v>
      </c>
      <c r="EJ352" s="157">
        <f>EK352</f>
        <v>9596</v>
      </c>
      <c r="EK352" s="156">
        <v>9596</v>
      </c>
      <c r="EL352" s="860">
        <v>9648</v>
      </c>
      <c r="EM352" s="157">
        <v>9737</v>
      </c>
      <c r="EN352" s="157">
        <v>9789</v>
      </c>
      <c r="EO352" s="157">
        <f>EP352</f>
        <v>6418</v>
      </c>
      <c r="EP352" s="156">
        <v>6418</v>
      </c>
      <c r="EQ352" s="157"/>
      <c r="ER352" s="157"/>
      <c r="ES352" s="157"/>
      <c r="ET352" s="157"/>
      <c r="EU352" s="156">
        <f>EP352+EU307</f>
        <v>6779.5507377170925</v>
      </c>
      <c r="EV352" s="152"/>
      <c r="EW352" s="152"/>
      <c r="EX352" s="152"/>
      <c r="EY352" s="152"/>
      <c r="EZ352" s="156">
        <f>EU352+EZ307</f>
        <v>7158.3558145171964</v>
      </c>
      <c r="FA352" s="152"/>
      <c r="FB352" s="152"/>
      <c r="FC352" s="152"/>
      <c r="FD352" s="152"/>
      <c r="FE352" s="156">
        <f>EZ352+FE307</f>
        <v>7572.8915010407991</v>
      </c>
      <c r="FG352" s="494"/>
      <c r="FH352" s="832"/>
      <c r="FI352" s="832"/>
      <c r="FJ352" s="832"/>
      <c r="FK352" s="159"/>
      <c r="FL352" s="1403"/>
      <c r="FM352"/>
      <c r="FN352"/>
      <c r="FO352"/>
      <c r="FP352"/>
      <c r="FQ352"/>
      <c r="FR352" s="1635"/>
      <c r="FS352" s="1635"/>
      <c r="FT352" s="459"/>
      <c r="FU352" s="458"/>
      <c r="FV352" s="458"/>
      <c r="FW352" s="458"/>
      <c r="FX352" s="458"/>
      <c r="FY352" s="458"/>
      <c r="FZ352" s="494"/>
      <c r="GA352"/>
      <c r="GB352"/>
      <c r="GC352"/>
      <c r="GD352"/>
      <c r="GE352"/>
      <c r="GF352"/>
      <c r="GG352"/>
      <c r="GH352"/>
      <c r="GI352"/>
      <c r="GJ352"/>
      <c r="GK352"/>
      <c r="GL352"/>
      <c r="GM352"/>
      <c r="GN352"/>
      <c r="GO352"/>
      <c r="GP352"/>
      <c r="GQ352"/>
      <c r="GR352"/>
      <c r="GS352"/>
      <c r="GT352"/>
      <c r="GU352"/>
      <c r="GV352"/>
      <c r="GW352"/>
      <c r="GX352"/>
      <c r="GY352"/>
      <c r="GZ352"/>
      <c r="HA352"/>
      <c r="HB352"/>
      <c r="HC352"/>
      <c r="HD352"/>
      <c r="HE352"/>
      <c r="HF352"/>
      <c r="HG352"/>
      <c r="HH352"/>
      <c r="HI352"/>
      <c r="HJ352"/>
      <c r="HK352"/>
      <c r="HL352"/>
      <c r="HM352"/>
      <c r="HN352"/>
      <c r="HO352"/>
      <c r="HP352"/>
      <c r="HQ352"/>
      <c r="HR352"/>
      <c r="HS352"/>
      <c r="HT352"/>
      <c r="HU352"/>
      <c r="HV352"/>
      <c r="HW352"/>
      <c r="HX352"/>
      <c r="HY352"/>
      <c r="HZ352"/>
      <c r="IA352"/>
      <c r="IB352"/>
      <c r="IC352"/>
      <c r="ID352"/>
      <c r="IE352"/>
      <c r="IF352"/>
      <c r="IG352"/>
      <c r="IH352"/>
      <c r="II352"/>
      <c r="IJ352"/>
      <c r="IK352"/>
      <c r="IL352"/>
      <c r="IM352"/>
      <c r="IN352"/>
      <c r="IO352"/>
      <c r="IP352"/>
      <c r="IQ352"/>
      <c r="IR352"/>
      <c r="IS352"/>
      <c r="IT352"/>
      <c r="IU352"/>
      <c r="IV352"/>
      <c r="IW352"/>
      <c r="IX352"/>
    </row>
    <row r="353" spans="1:258" s="243" customFormat="1" ht="12.6" customHeight="1" x14ac:dyDescent="0.2">
      <c r="A353" s="621" t="s">
        <v>289</v>
      </c>
      <c r="B353" s="240"/>
      <c r="C353" s="240"/>
      <c r="D353" s="240"/>
      <c r="E353" s="240"/>
      <c r="F353" s="241"/>
      <c r="G353" s="240"/>
      <c r="H353" s="240"/>
      <c r="I353" s="240"/>
      <c r="J353" s="240"/>
      <c r="K353" s="241"/>
      <c r="L353" s="240"/>
      <c r="M353" s="240"/>
      <c r="N353" s="240"/>
      <c r="O353" s="240"/>
      <c r="P353" s="241"/>
      <c r="Q353" s="240"/>
      <c r="R353" s="240"/>
      <c r="S353" s="240"/>
      <c r="T353" s="240"/>
      <c r="U353" s="241"/>
      <c r="V353" s="240"/>
      <c r="W353" s="240"/>
      <c r="X353" s="240"/>
      <c r="Y353" s="240"/>
      <c r="Z353" s="241"/>
      <c r="AA353" s="240"/>
      <c r="AB353" s="240"/>
      <c r="AC353" s="240"/>
      <c r="AD353" s="240"/>
      <c r="AE353" s="241"/>
      <c r="AF353" s="240"/>
      <c r="AG353" s="240"/>
      <c r="AH353" s="240"/>
      <c r="AI353" s="240"/>
      <c r="AJ353" s="241"/>
      <c r="AK353" s="240"/>
      <c r="AL353" s="240"/>
      <c r="AM353" s="240"/>
      <c r="AN353" s="240"/>
      <c r="AO353" s="241"/>
      <c r="AP353" s="240"/>
      <c r="AQ353" s="240"/>
      <c r="AR353" s="240"/>
      <c r="AS353" s="240"/>
      <c r="AT353" s="241">
        <v>2129</v>
      </c>
      <c r="AU353" s="240"/>
      <c r="AV353" s="240"/>
      <c r="AW353" s="240"/>
      <c r="AX353" s="240"/>
      <c r="AY353" s="241">
        <v>2342</v>
      </c>
      <c r="AZ353" s="240"/>
      <c r="BA353" s="240"/>
      <c r="BB353" s="240"/>
      <c r="BC353" s="240"/>
      <c r="BD353" s="241">
        <v>2068</v>
      </c>
      <c r="BE353" s="240"/>
      <c r="BF353" s="240"/>
      <c r="BG353" s="240"/>
      <c r="BH353" s="240"/>
      <c r="BI353" s="241">
        <v>2000</v>
      </c>
      <c r="BJ353" s="240"/>
      <c r="BK353" s="240"/>
      <c r="BL353" s="240"/>
      <c r="BM353" s="240"/>
      <c r="BN353" s="241">
        <v>1914</v>
      </c>
      <c r="BO353" s="240"/>
      <c r="BP353" s="240"/>
      <c r="BQ353" s="240"/>
      <c r="BR353" s="240"/>
      <c r="BS353" s="241">
        <v>2170</v>
      </c>
      <c r="BT353" s="240"/>
      <c r="BU353" s="240"/>
      <c r="BV353" s="240"/>
      <c r="BW353" s="240"/>
      <c r="BX353" s="241">
        <v>2457</v>
      </c>
      <c r="BY353" s="240"/>
      <c r="BZ353" s="240"/>
      <c r="CA353" s="240"/>
      <c r="CB353" s="240"/>
      <c r="CC353" s="241">
        <v>2250</v>
      </c>
      <c r="CD353" s="240"/>
      <c r="CE353" s="240"/>
      <c r="CF353" s="240"/>
      <c r="CG353" s="240"/>
      <c r="CH353" s="241">
        <v>2124</v>
      </c>
      <c r="CI353" s="240"/>
      <c r="CJ353" s="240"/>
      <c r="CK353" s="240"/>
      <c r="CL353" s="240"/>
      <c r="CM353" s="241">
        <v>2193</v>
      </c>
      <c r="CN353" s="240"/>
      <c r="CO353" s="240"/>
      <c r="CP353" s="240"/>
      <c r="CQ353" s="240"/>
      <c r="CR353" s="241">
        <v>1612</v>
      </c>
      <c r="CS353" s="240"/>
      <c r="CT353" s="240"/>
      <c r="CU353" s="240"/>
      <c r="CV353" s="240"/>
      <c r="CW353" s="241">
        <v>2089</v>
      </c>
      <c r="CX353" s="240"/>
      <c r="CY353" s="240"/>
      <c r="CZ353" s="240"/>
      <c r="DA353" s="240"/>
      <c r="DB353" s="241">
        <f>547+1284</f>
        <v>1831</v>
      </c>
      <c r="DC353" s="240"/>
      <c r="DD353" s="240"/>
      <c r="DE353" s="240"/>
      <c r="DF353" s="240"/>
      <c r="DG353" s="241">
        <f>DG354-DG350-DG351-DG352</f>
        <v>1800</v>
      </c>
      <c r="DH353" s="240"/>
      <c r="DI353" s="240"/>
      <c r="DJ353" s="240"/>
      <c r="DK353" s="240"/>
      <c r="DL353" s="241">
        <f>DL354-DL350-DL351-DL352</f>
        <v>1983</v>
      </c>
      <c r="DM353" s="240"/>
      <c r="DN353" s="240"/>
      <c r="DO353" s="240"/>
      <c r="DP353" s="240"/>
      <c r="DQ353" s="241">
        <f t="shared" ref="DQ353:EA353" si="1495">DQ354-DQ350-DQ351-DQ352</f>
        <v>1794</v>
      </c>
      <c r="DR353" s="862">
        <f t="shared" si="1495"/>
        <v>1716</v>
      </c>
      <c r="DS353" s="240">
        <f t="shared" si="1495"/>
        <v>1677</v>
      </c>
      <c r="DT353" s="240">
        <f t="shared" si="1495"/>
        <v>1650</v>
      </c>
      <c r="DU353" s="240">
        <f t="shared" si="1495"/>
        <v>1170</v>
      </c>
      <c r="DV353" s="241">
        <f t="shared" si="1495"/>
        <v>1170</v>
      </c>
      <c r="DW353" s="862">
        <f t="shared" si="1495"/>
        <v>1144</v>
      </c>
      <c r="DX353" s="240">
        <f t="shared" si="1495"/>
        <v>1136</v>
      </c>
      <c r="DY353" s="240">
        <f t="shared" si="1495"/>
        <v>1121</v>
      </c>
      <c r="DZ353" s="240">
        <f>DZ354-DZ350-DZ351-DZ352</f>
        <v>1398</v>
      </c>
      <c r="EA353" s="241">
        <f t="shared" si="1495"/>
        <v>1398</v>
      </c>
      <c r="EB353" s="862">
        <f>EB354-EB350-EB351-EB352</f>
        <v>1386</v>
      </c>
      <c r="EC353" s="240">
        <f>EC354-EC350-EC351-EC352</f>
        <v>1418</v>
      </c>
      <c r="ED353" s="240">
        <f>ED354-ED350-ED351-ED352</f>
        <v>1388</v>
      </c>
      <c r="EE353" s="240">
        <f>EE354-EE350-EE351-EE352</f>
        <v>1431</v>
      </c>
      <c r="EF353" s="241">
        <f>EF354-EF350-EF351-EF352</f>
        <v>1431</v>
      </c>
      <c r="EG353" s="862">
        <v>1400</v>
      </c>
      <c r="EH353" s="240">
        <f t="shared" ref="EH353:EM353" si="1496">EH354-EH350-EH351-EH352</f>
        <v>1383</v>
      </c>
      <c r="EI353" s="240">
        <f t="shared" si="1496"/>
        <v>1355</v>
      </c>
      <c r="EJ353" s="240">
        <f t="shared" si="1496"/>
        <v>1122</v>
      </c>
      <c r="EK353" s="241">
        <f t="shared" si="1496"/>
        <v>1122</v>
      </c>
      <c r="EL353" s="862">
        <f t="shared" si="1496"/>
        <v>1155</v>
      </c>
      <c r="EM353" s="240">
        <f t="shared" si="1496"/>
        <v>1045</v>
      </c>
      <c r="EN353" s="240">
        <f t="shared" ref="EN353:EO353" si="1497">EN354-EN350-EN351-EN352</f>
        <v>1019</v>
      </c>
      <c r="EO353" s="240">
        <f t="shared" si="1497"/>
        <v>916</v>
      </c>
      <c r="EP353" s="241">
        <f t="shared" ref="EP353" si="1498">EP354-EP350-EP351-EP352</f>
        <v>916</v>
      </c>
      <c r="EQ353" s="240"/>
      <c r="ER353" s="240"/>
      <c r="ES353" s="240"/>
      <c r="ET353" s="240"/>
      <c r="EU353" s="1016">
        <f>EP353+Pension!M66+OPEB!M66</f>
        <v>911.78257774000008</v>
      </c>
      <c r="EV353" s="1017"/>
      <c r="EW353" s="1017"/>
      <c r="EX353" s="1017"/>
      <c r="EY353" s="1017"/>
      <c r="EZ353" s="1016">
        <f>EU353+Pension!N66+OPEB!N66</f>
        <v>901.81023404534221</v>
      </c>
      <c r="FA353" s="1017"/>
      <c r="FB353" s="1017"/>
      <c r="FC353" s="1017"/>
      <c r="FD353" s="1017"/>
      <c r="FE353" s="1016">
        <f>EZ353+Pension!O66+OPEB!O66</f>
        <v>885.45830899536372</v>
      </c>
      <c r="FG353" s="494"/>
      <c r="FH353" s="835"/>
      <c r="FI353" s="835"/>
      <c r="FJ353" s="835"/>
      <c r="FL353" s="1402"/>
      <c r="FM353"/>
      <c r="FN353"/>
      <c r="FO353"/>
      <c r="FP353"/>
      <c r="FQ353"/>
      <c r="FR353" s="1632"/>
      <c r="FS353" s="1632"/>
      <c r="FT353" s="459"/>
      <c r="FU353" s="459"/>
      <c r="FV353" s="459"/>
      <c r="FW353" s="459"/>
      <c r="FX353" s="459"/>
      <c r="FY353" s="459"/>
      <c r="FZ353" s="494"/>
      <c r="GA353"/>
      <c r="GB353"/>
      <c r="GC353"/>
      <c r="GD353"/>
      <c r="GE353"/>
      <c r="GF353"/>
      <c r="GG353"/>
      <c r="GH353"/>
      <c r="GI353"/>
      <c r="GJ353"/>
      <c r="GK353"/>
      <c r="GL353"/>
      <c r="GM353"/>
      <c r="GN353"/>
      <c r="GO353"/>
      <c r="GP353"/>
      <c r="GQ353"/>
      <c r="GR353"/>
      <c r="GS353"/>
      <c r="GT353"/>
      <c r="GU353"/>
      <c r="GV353"/>
      <c r="GW353"/>
      <c r="GX353"/>
      <c r="GY353"/>
      <c r="GZ353"/>
      <c r="HA353"/>
      <c r="HB353"/>
      <c r="HC353"/>
      <c r="HD353"/>
      <c r="HE353"/>
      <c r="HF353"/>
      <c r="HG353"/>
      <c r="HH353"/>
      <c r="HI353"/>
      <c r="HJ353"/>
      <c r="HK353"/>
      <c r="HL353"/>
      <c r="HM353"/>
      <c r="HN353"/>
      <c r="HO353"/>
      <c r="HP353"/>
      <c r="HQ353"/>
      <c r="HR353"/>
      <c r="HS353"/>
      <c r="HT353"/>
      <c r="HU353"/>
      <c r="HV353"/>
      <c r="HW353"/>
      <c r="HX353"/>
      <c r="HY353"/>
      <c r="HZ353"/>
      <c r="IA353"/>
      <c r="IB353"/>
      <c r="IC353"/>
      <c r="ID353"/>
      <c r="IE353"/>
      <c r="IF353"/>
      <c r="IG353"/>
      <c r="IH353"/>
      <c r="II353"/>
      <c r="IJ353"/>
      <c r="IK353"/>
      <c r="IL353"/>
      <c r="IM353"/>
      <c r="IN353"/>
      <c r="IO353"/>
      <c r="IP353"/>
      <c r="IQ353"/>
      <c r="IR353"/>
      <c r="IS353"/>
      <c r="IT353"/>
      <c r="IU353"/>
      <c r="IV353"/>
      <c r="IW353"/>
      <c r="IX353"/>
    </row>
    <row r="354" spans="1:258" s="237" customFormat="1" ht="12.6" customHeight="1" x14ac:dyDescent="0.2">
      <c r="A354" s="620" t="s">
        <v>462</v>
      </c>
      <c r="B354" s="895"/>
      <c r="C354" s="895"/>
      <c r="D354" s="895"/>
      <c r="E354" s="893"/>
      <c r="F354" s="161"/>
      <c r="G354" s="895"/>
      <c r="H354" s="895"/>
      <c r="I354" s="895"/>
      <c r="J354" s="893"/>
      <c r="K354" s="161"/>
      <c r="L354" s="895"/>
      <c r="M354" s="895"/>
      <c r="N354" s="895"/>
      <c r="O354" s="893"/>
      <c r="P354" s="161"/>
      <c r="Q354" s="895"/>
      <c r="R354" s="895"/>
      <c r="S354" s="895"/>
      <c r="T354" s="893"/>
      <c r="U354" s="161"/>
      <c r="V354" s="895"/>
      <c r="W354" s="895"/>
      <c r="X354" s="895"/>
      <c r="Y354" s="893"/>
      <c r="Z354" s="161"/>
      <c r="AA354" s="895"/>
      <c r="AB354" s="895"/>
      <c r="AC354" s="895"/>
      <c r="AD354" s="893"/>
      <c r="AE354" s="161"/>
      <c r="AF354" s="895"/>
      <c r="AG354" s="895"/>
      <c r="AH354" s="895"/>
      <c r="AI354" s="893"/>
      <c r="AJ354" s="161"/>
      <c r="AK354" s="895"/>
      <c r="AL354" s="895"/>
      <c r="AM354" s="895"/>
      <c r="AN354" s="893"/>
      <c r="AO354" s="161"/>
      <c r="AP354" s="895"/>
      <c r="AQ354" s="895"/>
      <c r="AR354" s="895"/>
      <c r="AS354" s="893"/>
      <c r="AT354" s="161">
        <f>AT353+AT352+AT351+AT350</f>
        <v>14191</v>
      </c>
      <c r="AU354" s="895"/>
      <c r="AV354" s="895"/>
      <c r="AW354" s="895"/>
      <c r="AX354" s="893"/>
      <c r="AY354" s="161">
        <f>AY353+AY352+AY351+AY350</f>
        <v>14547</v>
      </c>
      <c r="AZ354" s="895"/>
      <c r="BA354" s="895"/>
      <c r="BB354" s="895"/>
      <c r="BC354" s="893"/>
      <c r="BD354" s="161">
        <f>BD353+BD352+BD351+BD350</f>
        <v>14964</v>
      </c>
      <c r="BE354" s="895"/>
      <c r="BF354" s="895"/>
      <c r="BG354" s="895"/>
      <c r="BH354" s="893"/>
      <c r="BI354" s="161">
        <f>BI353+BI352+BI351+BI350</f>
        <v>14474</v>
      </c>
      <c r="BJ354" s="895"/>
      <c r="BK354" s="895"/>
      <c r="BL354" s="895"/>
      <c r="BM354" s="893"/>
      <c r="BN354" s="161">
        <f>BN353+BN352+BN351+BN350</f>
        <v>14681</v>
      </c>
      <c r="BO354" s="895"/>
      <c r="BP354" s="895"/>
      <c r="BQ354" s="895"/>
      <c r="BR354" s="893"/>
      <c r="BS354" s="161">
        <f>BS353+BS352+BS351+BS350</f>
        <v>14721</v>
      </c>
      <c r="BT354" s="895"/>
      <c r="BU354" s="895"/>
      <c r="BV354" s="895"/>
      <c r="BW354" s="893"/>
      <c r="BX354" s="161">
        <f>BX353+BX352+BX351+BX350</f>
        <v>15304</v>
      </c>
      <c r="BY354" s="895"/>
      <c r="BZ354" s="895"/>
      <c r="CA354" s="895"/>
      <c r="CB354" s="893"/>
      <c r="CC354" s="161">
        <f>CC353+CC352+CC351+CC350</f>
        <v>17794</v>
      </c>
      <c r="CD354" s="895"/>
      <c r="CE354" s="895"/>
      <c r="CF354" s="895"/>
      <c r="CG354" s="893"/>
      <c r="CH354" s="161">
        <f>CH353+CH352+CH351+CH350</f>
        <v>16278</v>
      </c>
      <c r="CI354" s="895"/>
      <c r="CJ354" s="895"/>
      <c r="CK354" s="895"/>
      <c r="CL354" s="893"/>
      <c r="CM354" s="161">
        <f>CM353+CM352+CM351+CM350</f>
        <v>16187</v>
      </c>
      <c r="CN354" s="895"/>
      <c r="CO354" s="895"/>
      <c r="CP354" s="895"/>
      <c r="CQ354" s="893"/>
      <c r="CR354" s="161">
        <f>CR353+CR352+CR351+CR350</f>
        <v>16849</v>
      </c>
      <c r="CS354" s="895"/>
      <c r="CT354" s="895"/>
      <c r="CU354" s="895"/>
      <c r="CV354" s="893"/>
      <c r="CW354" s="161">
        <f>CW353+CW352+CW351+CW350</f>
        <v>18240</v>
      </c>
      <c r="CX354" s="895"/>
      <c r="CY354" s="895"/>
      <c r="CZ354" s="895"/>
      <c r="DA354" s="893"/>
      <c r="DB354" s="161">
        <f>DB353+DB352+DB351+DB350</f>
        <v>18176</v>
      </c>
      <c r="DC354" s="895"/>
      <c r="DD354" s="895"/>
      <c r="DE354" s="895"/>
      <c r="DF354" s="895"/>
      <c r="DG354" s="161">
        <v>19441</v>
      </c>
      <c r="DH354" s="895"/>
      <c r="DI354" s="895"/>
      <c r="DJ354" s="895"/>
      <c r="DK354" s="895"/>
      <c r="DL354" s="161">
        <v>20876</v>
      </c>
      <c r="DM354" s="895"/>
      <c r="DN354" s="895"/>
      <c r="DO354" s="895"/>
      <c r="DP354" s="895"/>
      <c r="DQ354" s="161">
        <v>21587</v>
      </c>
      <c r="DR354" s="859">
        <v>21238</v>
      </c>
      <c r="DS354" s="895">
        <v>21219</v>
      </c>
      <c r="DT354" s="895">
        <v>21075</v>
      </c>
      <c r="DU354" s="895">
        <f>DV354</f>
        <v>21278</v>
      </c>
      <c r="DV354" s="161">
        <v>21278</v>
      </c>
      <c r="DW354" s="859">
        <v>21035</v>
      </c>
      <c r="DX354" s="893">
        <v>21071</v>
      </c>
      <c r="DY354" s="893">
        <v>21481</v>
      </c>
      <c r="DZ354" s="895">
        <f>EA354</f>
        <v>21877</v>
      </c>
      <c r="EA354" s="161">
        <v>21877</v>
      </c>
      <c r="EB354" s="859">
        <v>21823</v>
      </c>
      <c r="EC354" s="893">
        <v>22200</v>
      </c>
      <c r="ED354" s="893">
        <v>22355</v>
      </c>
      <c r="EE354" s="895">
        <f>EF354</f>
        <v>23077</v>
      </c>
      <c r="EF354" s="161">
        <v>23077</v>
      </c>
      <c r="EG354" s="859">
        <f>+SUM(EG350:EG353)</f>
        <v>23004</v>
      </c>
      <c r="EH354" s="893">
        <v>22925</v>
      </c>
      <c r="EI354" s="893">
        <v>23011</v>
      </c>
      <c r="EJ354" s="895">
        <f>EK354</f>
        <v>23720</v>
      </c>
      <c r="EK354" s="161">
        <v>23720</v>
      </c>
      <c r="EL354" s="859">
        <v>24043</v>
      </c>
      <c r="EM354" s="893">
        <v>24260</v>
      </c>
      <c r="EN354" s="893">
        <v>24671</v>
      </c>
      <c r="EO354" s="895">
        <f>EP354</f>
        <v>21018</v>
      </c>
      <c r="EP354" s="161">
        <v>21018</v>
      </c>
      <c r="EQ354" s="895"/>
      <c r="ER354" s="895"/>
      <c r="ES354" s="895"/>
      <c r="ET354" s="895"/>
      <c r="EU354" s="161">
        <f>EU353+EU352+EU351+EU350</f>
        <v>23564.680807734123</v>
      </c>
      <c r="EV354" s="893"/>
      <c r="EW354" s="893"/>
      <c r="EX354" s="893"/>
      <c r="EY354" s="893"/>
      <c r="EZ354" s="161">
        <f>EZ353+EZ352+EZ351+EZ350</f>
        <v>23954.525478063078</v>
      </c>
      <c r="FA354" s="893"/>
      <c r="FB354" s="893"/>
      <c r="FC354" s="893"/>
      <c r="FD354" s="893"/>
      <c r="FE354" s="161">
        <f>FE353+FE352+FE351+FE350</f>
        <v>23545.384639107699</v>
      </c>
      <c r="FG354" s="888"/>
      <c r="FH354" s="834"/>
      <c r="FI354" s="834"/>
      <c r="FJ354" s="834"/>
      <c r="FL354" s="1406"/>
      <c r="FM354"/>
      <c r="FN354"/>
      <c r="FO354"/>
      <c r="FP354"/>
      <c r="FQ354"/>
      <c r="FR354" s="1638"/>
      <c r="FS354" s="1638"/>
      <c r="FT354" s="891"/>
      <c r="FU354" s="891"/>
      <c r="FV354" s="891"/>
      <c r="FW354" s="891"/>
      <c r="FX354" s="891"/>
      <c r="FY354" s="891"/>
      <c r="FZ354" s="888"/>
      <c r="GA354"/>
      <c r="GB354"/>
      <c r="GC354"/>
      <c r="GD354"/>
      <c r="GE354"/>
      <c r="GF354"/>
      <c r="GG354"/>
      <c r="GH354"/>
      <c r="GI354"/>
      <c r="GJ354"/>
      <c r="GK354"/>
      <c r="GL354"/>
      <c r="GM354"/>
      <c r="GN354"/>
      <c r="GO354"/>
      <c r="GP354"/>
      <c r="GQ354"/>
      <c r="GR354"/>
      <c r="GS354"/>
      <c r="GT354"/>
      <c r="GU354"/>
      <c r="GV354"/>
      <c r="GW354"/>
      <c r="GX354"/>
      <c r="GY354"/>
      <c r="GZ354"/>
      <c r="HA354"/>
      <c r="HB354"/>
      <c r="HC354"/>
      <c r="HD354"/>
      <c r="HE354"/>
      <c r="HF354"/>
      <c r="HG354"/>
      <c r="HH354"/>
      <c r="HI354"/>
      <c r="HJ354"/>
      <c r="HK354"/>
      <c r="HL354"/>
      <c r="HM354"/>
      <c r="HN354"/>
      <c r="HO354"/>
      <c r="HP354"/>
      <c r="HQ354"/>
      <c r="HR354"/>
      <c r="HS354"/>
      <c r="HT354"/>
      <c r="HU354"/>
      <c r="HV354"/>
      <c r="HW354"/>
      <c r="HX354"/>
      <c r="HY354"/>
      <c r="HZ354"/>
      <c r="IA354"/>
      <c r="IB354"/>
      <c r="IC354"/>
      <c r="ID354"/>
      <c r="IE354"/>
      <c r="IF354"/>
      <c r="IG354"/>
      <c r="IH354"/>
      <c r="II354"/>
      <c r="IJ354"/>
      <c r="IK354"/>
      <c r="IL354"/>
      <c r="IM354"/>
      <c r="IN354"/>
      <c r="IO354"/>
      <c r="IP354"/>
      <c r="IQ354"/>
      <c r="IR354"/>
      <c r="IS354"/>
      <c r="IT354"/>
      <c r="IU354"/>
      <c r="IV354"/>
      <c r="IW354"/>
      <c r="IX354"/>
    </row>
    <row r="355" spans="1:258" s="430" customFormat="1" ht="12.6" customHeight="1" x14ac:dyDescent="0.2">
      <c r="A355" s="426" t="s">
        <v>34</v>
      </c>
      <c r="B355" s="427"/>
      <c r="C355" s="427"/>
      <c r="D355" s="427"/>
      <c r="E355" s="427"/>
      <c r="F355" s="428"/>
      <c r="G355" s="427"/>
      <c r="H355" s="427"/>
      <c r="I355" s="427"/>
      <c r="J355" s="427"/>
      <c r="K355" s="428"/>
      <c r="L355" s="427"/>
      <c r="M355" s="427"/>
      <c r="N355" s="427"/>
      <c r="O355" s="427"/>
      <c r="P355" s="428"/>
      <c r="Q355" s="427"/>
      <c r="R355" s="427"/>
      <c r="S355" s="427"/>
      <c r="T355" s="427"/>
      <c r="U355" s="428"/>
      <c r="V355" s="427"/>
      <c r="W355" s="427"/>
      <c r="X355" s="427"/>
      <c r="Y355" s="427"/>
      <c r="Z355" s="428"/>
      <c r="AA355" s="427"/>
      <c r="AB355" s="427"/>
      <c r="AC355" s="427"/>
      <c r="AD355" s="427"/>
      <c r="AE355" s="428"/>
      <c r="AF355" s="427"/>
      <c r="AG355" s="427"/>
      <c r="AH355" s="427"/>
      <c r="AI355" s="427"/>
      <c r="AJ355" s="428"/>
      <c r="AK355" s="427"/>
      <c r="AL355" s="427"/>
      <c r="AM355" s="427"/>
      <c r="AN355" s="427"/>
      <c r="AO355" s="428"/>
      <c r="AP355" s="427"/>
      <c r="AQ355" s="427"/>
      <c r="AR355" s="427"/>
      <c r="AS355" s="427"/>
      <c r="AT355" s="428"/>
      <c r="AU355" s="427"/>
      <c r="AV355" s="427"/>
      <c r="AW355" s="427"/>
      <c r="AX355" s="427"/>
      <c r="AY355" s="428"/>
      <c r="AZ355" s="427"/>
      <c r="BA355" s="427"/>
      <c r="BB355" s="427"/>
      <c r="BC355" s="427"/>
      <c r="BD355" s="428"/>
      <c r="BE355" s="427"/>
      <c r="BF355" s="427"/>
      <c r="BG355" s="427"/>
      <c r="BH355" s="427"/>
      <c r="BI355" s="428"/>
      <c r="BJ355" s="427"/>
      <c r="BK355" s="427"/>
      <c r="BL355" s="427"/>
      <c r="BM355" s="427"/>
      <c r="BN355" s="428"/>
      <c r="BO355" s="427"/>
      <c r="BP355" s="427"/>
      <c r="BQ355" s="427"/>
      <c r="BR355" s="427"/>
      <c r="BS355" s="428"/>
      <c r="BT355" s="427"/>
      <c r="BU355" s="427"/>
      <c r="BV355" s="427"/>
      <c r="BW355" s="427"/>
      <c r="BX355" s="428"/>
      <c r="BY355" s="427"/>
      <c r="BZ355" s="427"/>
      <c r="CA355" s="427"/>
      <c r="CB355" s="427"/>
      <c r="CC355" s="428"/>
      <c r="CD355" s="427"/>
      <c r="CE355" s="427"/>
      <c r="CF355" s="427"/>
      <c r="CG355" s="427"/>
      <c r="CH355" s="428"/>
      <c r="CI355" s="427"/>
      <c r="CJ355" s="427"/>
      <c r="CK355" s="427"/>
      <c r="CL355" s="427"/>
      <c r="CM355" s="428"/>
      <c r="CN355" s="427"/>
      <c r="CO355" s="427"/>
      <c r="CP355" s="427"/>
      <c r="CQ355" s="427"/>
      <c r="CR355" s="428"/>
      <c r="CS355" s="427"/>
      <c r="CT355" s="427"/>
      <c r="CU355" s="427"/>
      <c r="CV355" s="427"/>
      <c r="CW355" s="428"/>
      <c r="CX355" s="427"/>
      <c r="CY355" s="427"/>
      <c r="CZ355" s="427"/>
      <c r="DA355" s="427"/>
      <c r="DB355" s="428"/>
      <c r="DC355" s="427"/>
      <c r="DD355" s="427"/>
      <c r="DE355" s="427"/>
      <c r="DF355" s="427"/>
      <c r="DG355" s="428"/>
      <c r="DH355" s="427"/>
      <c r="DI355" s="427"/>
      <c r="DJ355" s="427"/>
      <c r="DK355" s="427"/>
      <c r="DL355" s="428"/>
      <c r="DM355" s="427"/>
      <c r="DN355" s="427"/>
      <c r="DO355" s="427"/>
      <c r="DP355" s="427"/>
      <c r="DQ355" s="428"/>
      <c r="DR355" s="861"/>
      <c r="DS355" s="427"/>
      <c r="DT355" s="427"/>
      <c r="DU355" s="427"/>
      <c r="DV355" s="428"/>
      <c r="DW355" s="861"/>
      <c r="DX355" s="429"/>
      <c r="DY355" s="429"/>
      <c r="DZ355" s="427"/>
      <c r="EA355" s="428"/>
      <c r="EB355" s="861"/>
      <c r="EC355" s="429"/>
      <c r="ED355" s="429"/>
      <c r="EE355" s="427"/>
      <c r="EF355" s="428"/>
      <c r="EG355" s="861"/>
      <c r="EH355" s="429"/>
      <c r="EI355" s="429"/>
      <c r="EJ355" s="427"/>
      <c r="EK355" s="428"/>
      <c r="EL355" s="861"/>
      <c r="EM355" s="429"/>
      <c r="EN355" s="429"/>
      <c r="EO355" s="427"/>
      <c r="EP355" s="428"/>
      <c r="EQ355" s="427"/>
      <c r="ER355" s="427"/>
      <c r="ES355" s="427"/>
      <c r="ET355" s="427"/>
      <c r="EU355" s="428"/>
      <c r="EV355" s="429"/>
      <c r="EW355" s="429"/>
      <c r="EX355" s="429"/>
      <c r="EY355" s="429"/>
      <c r="EZ355" s="428"/>
      <c r="FA355" s="429"/>
      <c r="FB355" s="429"/>
      <c r="FC355" s="429"/>
      <c r="FD355" s="429"/>
      <c r="FE355" s="428"/>
      <c r="FG355" s="494"/>
      <c r="FH355" s="827"/>
      <c r="FI355" s="827"/>
      <c r="FJ355" s="827"/>
      <c r="FL355" s="1395"/>
      <c r="FM355"/>
      <c r="FN355"/>
      <c r="FO355"/>
      <c r="FP355"/>
      <c r="FQ355"/>
      <c r="FR355" s="1634"/>
      <c r="FS355" s="1634"/>
      <c r="FT355" s="456"/>
      <c r="FU355" s="456"/>
      <c r="FV355" s="456"/>
      <c r="FW355" s="456"/>
      <c r="FX355" s="456"/>
      <c r="FY355" s="456"/>
      <c r="FZ355" s="494"/>
      <c r="GA355"/>
      <c r="GB355"/>
      <c r="GC355"/>
      <c r="GD355"/>
      <c r="GE355"/>
      <c r="GF355"/>
      <c r="GG355"/>
      <c r="GH355"/>
      <c r="GI355"/>
      <c r="GJ355"/>
      <c r="GK355"/>
      <c r="GL355"/>
      <c r="GM355"/>
      <c r="GN355"/>
      <c r="GO355"/>
      <c r="GP355"/>
      <c r="GQ355"/>
      <c r="GR355"/>
      <c r="GS355"/>
      <c r="GT355"/>
      <c r="GU355"/>
      <c r="GV355"/>
      <c r="GW355"/>
      <c r="GX355"/>
      <c r="GY355"/>
      <c r="GZ355"/>
      <c r="HA355"/>
      <c r="HB355"/>
      <c r="HC355"/>
      <c r="HD355"/>
      <c r="HE355"/>
      <c r="HF355"/>
      <c r="HG355"/>
      <c r="HH355"/>
      <c r="HI355"/>
      <c r="HJ355"/>
      <c r="HK355"/>
      <c r="HL355"/>
      <c r="HM355"/>
      <c r="HN355"/>
      <c r="HO355"/>
      <c r="HP355"/>
      <c r="HQ355"/>
      <c r="HR355"/>
      <c r="HS355"/>
      <c r="HT355"/>
      <c r="HU355"/>
      <c r="HV355"/>
      <c r="HW355"/>
      <c r="HX355"/>
      <c r="HY355"/>
      <c r="HZ355"/>
      <c r="IA355"/>
      <c r="IB355"/>
      <c r="IC355"/>
      <c r="ID355"/>
      <c r="IE355"/>
      <c r="IF355"/>
      <c r="IG355"/>
      <c r="IH355"/>
      <c r="II355"/>
      <c r="IJ355"/>
      <c r="IK355"/>
      <c r="IL355"/>
      <c r="IM355"/>
      <c r="IN355"/>
      <c r="IO355"/>
      <c r="IP355"/>
      <c r="IQ355"/>
      <c r="IR355"/>
      <c r="IS355"/>
      <c r="IT355"/>
      <c r="IU355"/>
      <c r="IV355"/>
      <c r="IW355"/>
      <c r="IX355"/>
    </row>
    <row r="356" spans="1:258" s="237" customFormat="1" ht="12.6" customHeight="1" x14ac:dyDescent="0.2">
      <c r="A356" s="244" t="s">
        <v>441</v>
      </c>
      <c r="B356" s="240"/>
      <c r="C356" s="240"/>
      <c r="D356" s="240"/>
      <c r="E356" s="240"/>
      <c r="F356" s="241"/>
      <c r="G356" s="240"/>
      <c r="H356" s="240"/>
      <c r="I356" s="240"/>
      <c r="J356" s="240"/>
      <c r="K356" s="241"/>
      <c r="L356" s="240"/>
      <c r="M356" s="240"/>
      <c r="N356" s="240"/>
      <c r="O356" s="240"/>
      <c r="P356" s="241"/>
      <c r="Q356" s="240"/>
      <c r="R356" s="240"/>
      <c r="S356" s="240"/>
      <c r="T356" s="240"/>
      <c r="U356" s="241"/>
      <c r="V356" s="240"/>
      <c r="W356" s="240"/>
      <c r="X356" s="240"/>
      <c r="Y356" s="240"/>
      <c r="Z356" s="241"/>
      <c r="AA356" s="240"/>
      <c r="AB356" s="240"/>
      <c r="AC356" s="240"/>
      <c r="AD356" s="240"/>
      <c r="AE356" s="241"/>
      <c r="AF356" s="240"/>
      <c r="AG356" s="240"/>
      <c r="AH356" s="240"/>
      <c r="AI356" s="240"/>
      <c r="AJ356" s="241"/>
      <c r="AK356" s="240"/>
      <c r="AL356" s="240"/>
      <c r="AM356" s="240"/>
      <c r="AN356" s="240"/>
      <c r="AO356" s="241"/>
      <c r="AP356" s="240"/>
      <c r="AQ356" s="240"/>
      <c r="AR356" s="240"/>
      <c r="AS356" s="240"/>
      <c r="AT356" s="241">
        <v>1770</v>
      </c>
      <c r="AU356" s="240"/>
      <c r="AV356" s="240"/>
      <c r="AW356" s="240"/>
      <c r="AX356" s="240"/>
      <c r="AY356" s="241">
        <v>1706</v>
      </c>
      <c r="AZ356" s="240"/>
      <c r="BA356" s="240"/>
      <c r="BB356" s="240"/>
      <c r="BC356" s="240"/>
      <c r="BD356" s="241"/>
      <c r="BE356" s="240"/>
      <c r="BF356" s="240"/>
      <c r="BG356" s="240"/>
      <c r="BH356" s="240"/>
      <c r="BI356" s="241"/>
      <c r="BJ356" s="240"/>
      <c r="BK356" s="240"/>
      <c r="BL356" s="240"/>
      <c r="BM356" s="240"/>
      <c r="BN356" s="241"/>
      <c r="BO356" s="240"/>
      <c r="BP356" s="240"/>
      <c r="BQ356" s="240"/>
      <c r="BR356" s="240"/>
      <c r="BS356" s="241"/>
      <c r="BT356" s="240"/>
      <c r="BU356" s="240"/>
      <c r="BV356" s="240"/>
      <c r="BW356" s="240"/>
      <c r="BX356" s="241">
        <v>1782</v>
      </c>
      <c r="BY356" s="240"/>
      <c r="BZ356" s="240"/>
      <c r="CA356" s="240"/>
      <c r="CB356" s="240"/>
      <c r="CC356" s="241">
        <v>1821</v>
      </c>
      <c r="CD356" s="240"/>
      <c r="CE356" s="240"/>
      <c r="CF356" s="240"/>
      <c r="CG356" s="240"/>
      <c r="CH356" s="241">
        <v>1969</v>
      </c>
      <c r="CI356" s="240"/>
      <c r="CJ356" s="240"/>
      <c r="CK356" s="240"/>
      <c r="CL356" s="240"/>
      <c r="CM356" s="241">
        <v>1907</v>
      </c>
      <c r="CN356" s="240"/>
      <c r="CO356" s="240"/>
      <c r="CP356" s="240"/>
      <c r="CQ356" s="240"/>
      <c r="CR356" s="241">
        <v>445</v>
      </c>
      <c r="CS356" s="240"/>
      <c r="CT356" s="240"/>
      <c r="CU356" s="240"/>
      <c r="CV356" s="240"/>
      <c r="CW356" s="241">
        <v>391</v>
      </c>
      <c r="CX356" s="240"/>
      <c r="CY356" s="240"/>
      <c r="CZ356" s="240"/>
      <c r="DA356" s="240"/>
      <c r="DB356" s="241">
        <f>393+80</f>
        <v>473</v>
      </c>
      <c r="DC356" s="240"/>
      <c r="DD356" s="240"/>
      <c r="DE356" s="240"/>
      <c r="DF356" s="240"/>
      <c r="DG356" s="241">
        <v>370</v>
      </c>
      <c r="DH356" s="240"/>
      <c r="DI356" s="240"/>
      <c r="DJ356" s="240"/>
      <c r="DK356" s="240"/>
      <c r="DL356" s="241">
        <f>1049+6</f>
        <v>1055</v>
      </c>
      <c r="DM356" s="240"/>
      <c r="DN356" s="240"/>
      <c r="DO356" s="240"/>
      <c r="DP356" s="240"/>
      <c r="DQ356" s="241">
        <f>1020+28</f>
        <v>1048</v>
      </c>
      <c r="DR356" s="862">
        <f>1022+36</f>
        <v>1058</v>
      </c>
      <c r="DS356" s="240">
        <f>1019+44</f>
        <v>1063</v>
      </c>
      <c r="DT356" s="240">
        <f>1014+50</f>
        <v>1064</v>
      </c>
      <c r="DU356" s="240">
        <f>DV356</f>
        <v>1070</v>
      </c>
      <c r="DV356" s="241">
        <f>1009+61</f>
        <v>1070</v>
      </c>
      <c r="DW356" s="862">
        <f>1004+65</f>
        <v>1069</v>
      </c>
      <c r="DX356" s="240">
        <f>1000+70</f>
        <v>1070</v>
      </c>
      <c r="DY356" s="240">
        <f>995+80</f>
        <v>1075</v>
      </c>
      <c r="DZ356" s="240">
        <f>EA356</f>
        <v>1084</v>
      </c>
      <c r="EA356" s="1014">
        <f>992+92</f>
        <v>1084</v>
      </c>
      <c r="EB356" s="862">
        <f>988+100</f>
        <v>1088</v>
      </c>
      <c r="EC356" s="240">
        <f>984+118</f>
        <v>1102</v>
      </c>
      <c r="ED356" s="240">
        <f>975+120</f>
        <v>1095</v>
      </c>
      <c r="EE356" s="1305">
        <f>EF356</f>
        <v>1079</v>
      </c>
      <c r="EF356" s="1014">
        <f>966+113</f>
        <v>1079</v>
      </c>
      <c r="EG356" s="1659">
        <f>956+112</f>
        <v>1068</v>
      </c>
      <c r="EH356" s="240">
        <f>946+116</f>
        <v>1062</v>
      </c>
      <c r="EI356" s="240">
        <f>937+125</f>
        <v>1062</v>
      </c>
      <c r="EJ356" s="1305">
        <f>EK356</f>
        <v>1066</v>
      </c>
      <c r="EK356" s="1014">
        <f>928+138</f>
        <v>1066</v>
      </c>
      <c r="EL356" s="1659">
        <f>923+170</f>
        <v>1093</v>
      </c>
      <c r="EM356" s="240">
        <f>913+210</f>
        <v>1123</v>
      </c>
      <c r="EN356" s="240"/>
      <c r="EO356" s="1305"/>
      <c r="EP356" s="1014">
        <f>890+217</f>
        <v>1107</v>
      </c>
      <c r="EQ356" s="1305"/>
      <c r="ER356" s="1305"/>
      <c r="ES356" s="1305"/>
      <c r="ET356" s="1305"/>
      <c r="EU356" s="241">
        <f>EP356</f>
        <v>1107</v>
      </c>
      <c r="EV356" s="242"/>
      <c r="EW356" s="242"/>
      <c r="EX356" s="242"/>
      <c r="EY356" s="242"/>
      <c r="EZ356" s="241">
        <f>EU356</f>
        <v>1107</v>
      </c>
      <c r="FA356" s="242"/>
      <c r="FB356" s="242"/>
      <c r="FC356" s="242"/>
      <c r="FD356" s="242"/>
      <c r="FE356" s="241">
        <f>EZ356</f>
        <v>1107</v>
      </c>
      <c r="FG356" s="494"/>
      <c r="FH356" s="834"/>
      <c r="FI356" s="834"/>
      <c r="FJ356" s="834"/>
      <c r="FL356" s="1406"/>
      <c r="FM356"/>
      <c r="FN356"/>
      <c r="FO356"/>
      <c r="FP356"/>
      <c r="FQ356"/>
      <c r="FR356" s="1632"/>
      <c r="FS356" s="1632"/>
      <c r="FT356" s="459"/>
      <c r="FU356" s="459"/>
      <c r="FV356" s="459"/>
      <c r="FW356" s="459"/>
      <c r="FX356" s="459"/>
      <c r="FY356" s="459"/>
      <c r="FZ356" s="494"/>
      <c r="GA356"/>
      <c r="GB356"/>
      <c r="GC356"/>
      <c r="GD356"/>
      <c r="GE356"/>
      <c r="GF356"/>
      <c r="GG356"/>
      <c r="GH356"/>
      <c r="GI356"/>
      <c r="GJ356"/>
      <c r="GK356"/>
      <c r="GL356"/>
      <c r="GM356"/>
      <c r="GN356"/>
      <c r="GO356"/>
      <c r="GP356"/>
      <c r="GQ356"/>
      <c r="GR356"/>
      <c r="GS356"/>
      <c r="GT356"/>
      <c r="GU356"/>
      <c r="GV356"/>
      <c r="GW356"/>
      <c r="GX356"/>
      <c r="GY356"/>
      <c r="GZ356"/>
      <c r="HA356"/>
      <c r="HB356"/>
      <c r="HC356"/>
      <c r="HD356"/>
      <c r="HE356"/>
      <c r="HF356"/>
      <c r="HG356"/>
      <c r="HH356"/>
      <c r="HI356"/>
      <c r="HJ356"/>
      <c r="HK356"/>
      <c r="HL356"/>
      <c r="HM356"/>
      <c r="HN356"/>
      <c r="HO356"/>
      <c r="HP356"/>
      <c r="HQ356"/>
      <c r="HR356"/>
      <c r="HS356"/>
      <c r="HT356"/>
      <c r="HU356"/>
      <c r="HV356"/>
      <c r="HW356"/>
      <c r="HX356"/>
      <c r="HY356"/>
      <c r="HZ356"/>
      <c r="IA356"/>
      <c r="IB356"/>
      <c r="IC356"/>
      <c r="ID356"/>
      <c r="IE356"/>
      <c r="IF356"/>
      <c r="IG356"/>
      <c r="IH356"/>
      <c r="II356"/>
      <c r="IJ356"/>
      <c r="IK356"/>
      <c r="IL356"/>
      <c r="IM356"/>
      <c r="IN356"/>
      <c r="IO356"/>
      <c r="IP356"/>
      <c r="IQ356"/>
      <c r="IR356"/>
      <c r="IS356"/>
      <c r="IT356"/>
      <c r="IU356"/>
      <c r="IV356"/>
      <c r="IW356"/>
      <c r="IX356"/>
    </row>
    <row r="357" spans="1:258" s="237" customFormat="1" ht="12.6" customHeight="1" x14ac:dyDescent="0.2">
      <c r="A357" s="623" t="s">
        <v>42</v>
      </c>
      <c r="B357" s="240"/>
      <c r="C357" s="240"/>
      <c r="D357" s="240"/>
      <c r="E357" s="152"/>
      <c r="F357" s="156"/>
      <c r="G357" s="240"/>
      <c r="H357" s="240"/>
      <c r="I357" s="240"/>
      <c r="J357" s="152"/>
      <c r="K357" s="156"/>
      <c r="L357" s="240"/>
      <c r="M357" s="240"/>
      <c r="N357" s="240"/>
      <c r="O357" s="152"/>
      <c r="P357" s="156"/>
      <c r="Q357" s="240"/>
      <c r="R357" s="240"/>
      <c r="S357" s="240"/>
      <c r="T357" s="152"/>
      <c r="U357" s="156"/>
      <c r="V357" s="240"/>
      <c r="W357" s="240"/>
      <c r="X357" s="240"/>
      <c r="Y357" s="152"/>
      <c r="Z357" s="156"/>
      <c r="AA357" s="240"/>
      <c r="AB357" s="240"/>
      <c r="AC357" s="240"/>
      <c r="AD357" s="152"/>
      <c r="AE357" s="156"/>
      <c r="AF357" s="240"/>
      <c r="AG357" s="240"/>
      <c r="AH357" s="240"/>
      <c r="AI357" s="152"/>
      <c r="AJ357" s="156"/>
      <c r="AK357" s="240"/>
      <c r="AL357" s="240"/>
      <c r="AM357" s="240"/>
      <c r="AN357" s="152"/>
      <c r="AO357" s="156"/>
      <c r="AP357" s="240"/>
      <c r="AQ357" s="240"/>
      <c r="AR357" s="240"/>
      <c r="AS357" s="152"/>
      <c r="AT357" s="156">
        <v>4019</v>
      </c>
      <c r="AU357" s="240"/>
      <c r="AV357" s="240"/>
      <c r="AW357" s="240"/>
      <c r="AX357" s="152"/>
      <c r="AY357" s="156">
        <v>4294</v>
      </c>
      <c r="AZ357" s="240"/>
      <c r="BA357" s="240"/>
      <c r="BB357" s="240"/>
      <c r="BC357" s="152"/>
      <c r="BD357" s="156">
        <v>4034</v>
      </c>
      <c r="BE357" s="240"/>
      <c r="BF357" s="240"/>
      <c r="BG357" s="240"/>
      <c r="BH357" s="152"/>
      <c r="BI357" s="156">
        <v>4337</v>
      </c>
      <c r="BJ357" s="240"/>
      <c r="BK357" s="240"/>
      <c r="BL357" s="240"/>
      <c r="BM357" s="152"/>
      <c r="BN357" s="156">
        <v>4459</v>
      </c>
      <c r="BO357" s="240"/>
      <c r="BP357" s="240"/>
      <c r="BQ357" s="240"/>
      <c r="BR357" s="152"/>
      <c r="BS357" s="156">
        <v>4797</v>
      </c>
      <c r="BT357" s="240"/>
      <c r="BU357" s="240"/>
      <c r="BV357" s="240"/>
      <c r="BW357" s="152"/>
      <c r="BX357" s="156">
        <v>4957</v>
      </c>
      <c r="BY357" s="240"/>
      <c r="BZ357" s="240"/>
      <c r="CA357" s="240"/>
      <c r="CB357" s="152"/>
      <c r="CC357" s="156">
        <v>5210</v>
      </c>
      <c r="CD357" s="240"/>
      <c r="CE357" s="240"/>
      <c r="CF357" s="240"/>
      <c r="CG357" s="152"/>
      <c r="CH357" s="156">
        <v>6262</v>
      </c>
      <c r="CI357" s="240"/>
      <c r="CJ357" s="240"/>
      <c r="CK357" s="240"/>
      <c r="CL357" s="152"/>
      <c r="CM357" s="156">
        <v>7427</v>
      </c>
      <c r="CN357" s="240"/>
      <c r="CO357" s="240"/>
      <c r="CP357" s="240"/>
      <c r="CQ357" s="152"/>
      <c r="CR357" s="156">
        <v>8565</v>
      </c>
      <c r="CS357" s="240"/>
      <c r="CT357" s="240"/>
      <c r="CU357" s="240"/>
      <c r="CV357" s="152"/>
      <c r="CW357" s="156">
        <v>8398</v>
      </c>
      <c r="CX357" s="240"/>
      <c r="CY357" s="240"/>
      <c r="CZ357" s="240"/>
      <c r="DA357" s="152"/>
      <c r="DB357" s="156">
        <v>9182</v>
      </c>
      <c r="DC357" s="240"/>
      <c r="DD357" s="240"/>
      <c r="DE357" s="240"/>
      <c r="DF357" s="240"/>
      <c r="DG357" s="156">
        <v>9087</v>
      </c>
      <c r="DH357" s="240"/>
      <c r="DI357" s="240"/>
      <c r="DJ357" s="240"/>
      <c r="DK357" s="240"/>
      <c r="DL357" s="241">
        <v>8275</v>
      </c>
      <c r="DM357" s="240"/>
      <c r="DN357" s="240"/>
      <c r="DO357" s="240"/>
      <c r="DP357" s="240"/>
      <c r="DQ357" s="241">
        <v>9010</v>
      </c>
      <c r="DR357" s="862">
        <v>9191</v>
      </c>
      <c r="DS357" s="240">
        <v>9482</v>
      </c>
      <c r="DT357" s="240">
        <v>9670</v>
      </c>
      <c r="DU357" s="240">
        <f>DV357</f>
        <v>9936</v>
      </c>
      <c r="DV357" s="241">
        <v>9936</v>
      </c>
      <c r="DW357" s="862">
        <v>10062</v>
      </c>
      <c r="DX357" s="240">
        <v>10304</v>
      </c>
      <c r="DY357" s="240">
        <v>10527</v>
      </c>
      <c r="DZ357" s="240">
        <f>EA357</f>
        <v>10734</v>
      </c>
      <c r="EA357" s="1014">
        <v>10734</v>
      </c>
      <c r="EB357" s="862">
        <v>10895</v>
      </c>
      <c r="EC357" s="240">
        <v>11117</v>
      </c>
      <c r="ED357" s="240">
        <v>11195</v>
      </c>
      <c r="EE357" s="1305">
        <f>EF357</f>
        <v>11238</v>
      </c>
      <c r="EF357" s="1014">
        <v>11238</v>
      </c>
      <c r="EG357" s="1659">
        <v>11183</v>
      </c>
      <c r="EH357" s="240">
        <v>11199</v>
      </c>
      <c r="EI357" s="240">
        <v>11233</v>
      </c>
      <c r="EJ357" s="1305">
        <f>EK357</f>
        <v>11253</v>
      </c>
      <c r="EK357" s="1014">
        <v>11253</v>
      </c>
      <c r="EL357" s="1659">
        <v>11197</v>
      </c>
      <c r="EM357" s="240">
        <v>11033</v>
      </c>
      <c r="EN357" s="240"/>
      <c r="EO357" s="1305"/>
      <c r="EP357" s="1014">
        <v>14084</v>
      </c>
      <c r="EQ357" s="1305"/>
      <c r="ER357" s="1305"/>
      <c r="ES357" s="1305"/>
      <c r="ET357" s="1305"/>
      <c r="EU357" s="241">
        <f>EP357+EU303+EU320</f>
        <v>16085.591169015377</v>
      </c>
      <c r="EV357" s="242"/>
      <c r="EW357" s="242"/>
      <c r="EX357" s="242"/>
      <c r="EY357" s="242"/>
      <c r="EZ357" s="241">
        <f>EU357+EZ303+EZ320</f>
        <v>18149.219313612866</v>
      </c>
      <c r="FA357" s="242"/>
      <c r="FB357" s="242"/>
      <c r="FC357" s="242"/>
      <c r="FD357" s="242"/>
      <c r="FE357" s="241">
        <f>EZ357+FE303+FE320</f>
        <v>20407.49820701209</v>
      </c>
      <c r="FG357" s="494"/>
      <c r="FH357" s="834"/>
      <c r="FI357" s="834"/>
      <c r="FJ357" s="834"/>
      <c r="FL357" s="1406"/>
      <c r="FM357"/>
      <c r="FN357"/>
      <c r="FO357"/>
      <c r="FP357"/>
      <c r="FQ357"/>
      <c r="FR357" s="1632"/>
      <c r="FS357" s="1632"/>
      <c r="FT357" s="459"/>
      <c r="FU357" s="459"/>
      <c r="FV357" s="459"/>
      <c r="FW357" s="459"/>
      <c r="FX357" s="459"/>
      <c r="FY357" s="459"/>
      <c r="FZ357" s="494"/>
      <c r="GA357"/>
      <c r="GB357"/>
      <c r="GC357"/>
      <c r="GD357"/>
      <c r="GE357"/>
      <c r="GF357"/>
      <c r="GG357"/>
      <c r="GH357"/>
      <c r="GI357"/>
      <c r="GJ357"/>
      <c r="GK357"/>
      <c r="GL357"/>
      <c r="GM357"/>
      <c r="GN357"/>
      <c r="GO357"/>
      <c r="GP357"/>
      <c r="GQ357"/>
      <c r="GR357"/>
      <c r="GS357"/>
      <c r="GT357"/>
      <c r="GU357"/>
      <c r="GV357"/>
      <c r="GW357"/>
      <c r="GX357"/>
      <c r="GY357"/>
      <c r="GZ357"/>
      <c r="HA357"/>
      <c r="HB357"/>
      <c r="HC357"/>
      <c r="HD357"/>
      <c r="HE357"/>
      <c r="HF357"/>
      <c r="HG357"/>
      <c r="HH357"/>
      <c r="HI357"/>
      <c r="HJ357"/>
      <c r="HK357"/>
      <c r="HL357"/>
      <c r="HM357"/>
      <c r="HN357"/>
      <c r="HO357"/>
      <c r="HP357"/>
      <c r="HQ357"/>
      <c r="HR357"/>
      <c r="HS357"/>
      <c r="HT357"/>
      <c r="HU357"/>
      <c r="HV357"/>
      <c r="HW357"/>
      <c r="HX357"/>
      <c r="HY357"/>
      <c r="HZ357"/>
      <c r="IA357"/>
      <c r="IB357"/>
      <c r="IC357"/>
      <c r="ID357"/>
      <c r="IE357"/>
      <c r="IF357"/>
      <c r="IG357"/>
      <c r="IH357"/>
      <c r="II357"/>
      <c r="IJ357"/>
      <c r="IK357"/>
      <c r="IL357"/>
      <c r="IM357"/>
      <c r="IN357"/>
      <c r="IO357"/>
      <c r="IP357"/>
      <c r="IQ357"/>
      <c r="IR357"/>
      <c r="IS357"/>
      <c r="IT357"/>
      <c r="IU357"/>
      <c r="IV357"/>
      <c r="IW357"/>
      <c r="IX357"/>
    </row>
    <row r="358" spans="1:258" s="237" customFormat="1" ht="12.6" customHeight="1" x14ac:dyDescent="0.2">
      <c r="A358" s="623" t="s">
        <v>104</v>
      </c>
      <c r="B358" s="240"/>
      <c r="C358" s="240"/>
      <c r="D358" s="240"/>
      <c r="E358" s="240"/>
      <c r="F358" s="241"/>
      <c r="G358" s="240"/>
      <c r="H358" s="240"/>
      <c r="I358" s="240"/>
      <c r="J358" s="240"/>
      <c r="K358" s="241"/>
      <c r="L358" s="240"/>
      <c r="M358" s="240"/>
      <c r="N358" s="240"/>
      <c r="O358" s="240"/>
      <c r="P358" s="241"/>
      <c r="Q358" s="240"/>
      <c r="R358" s="240"/>
      <c r="S358" s="240"/>
      <c r="T358" s="240"/>
      <c r="U358" s="241"/>
      <c r="V358" s="240"/>
      <c r="W358" s="240"/>
      <c r="X358" s="240"/>
      <c r="Y358" s="240"/>
      <c r="Z358" s="241"/>
      <c r="AA358" s="240"/>
      <c r="AB358" s="240"/>
      <c r="AC358" s="240"/>
      <c r="AD358" s="240"/>
      <c r="AE358" s="241"/>
      <c r="AF358" s="240"/>
      <c r="AG358" s="240"/>
      <c r="AH358" s="240"/>
      <c r="AI358" s="240"/>
      <c r="AJ358" s="241"/>
      <c r="AK358" s="240"/>
      <c r="AL358" s="240"/>
      <c r="AM358" s="240"/>
      <c r="AN358" s="240"/>
      <c r="AO358" s="241"/>
      <c r="AP358" s="240"/>
      <c r="AQ358" s="240"/>
      <c r="AR358" s="240"/>
      <c r="AS358" s="240"/>
      <c r="AT358" s="241">
        <f>AT359-AT357-AT356</f>
        <v>-23</v>
      </c>
      <c r="AU358" s="240"/>
      <c r="AV358" s="240"/>
      <c r="AW358" s="240"/>
      <c r="AX358" s="240"/>
      <c r="AY358" s="241">
        <f>AY359-AY357-AY356</f>
        <v>-120</v>
      </c>
      <c r="AZ358" s="240"/>
      <c r="BA358" s="240"/>
      <c r="BB358" s="240"/>
      <c r="BC358" s="240"/>
      <c r="BD358" s="241">
        <f>BD359-BD357-BD356</f>
        <v>1722</v>
      </c>
      <c r="BE358" s="240"/>
      <c r="BF358" s="240"/>
      <c r="BG358" s="240"/>
      <c r="BH358" s="240"/>
      <c r="BI358" s="241">
        <f>BI359-BI357-BI356</f>
        <v>1680</v>
      </c>
      <c r="BJ358" s="240"/>
      <c r="BK358" s="240"/>
      <c r="BL358" s="240"/>
      <c r="BM358" s="240"/>
      <c r="BN358" s="241">
        <f>BN359-BN357-BN356</f>
        <v>1661</v>
      </c>
      <c r="BO358" s="240"/>
      <c r="BP358" s="240"/>
      <c r="BQ358" s="240"/>
      <c r="BR358" s="240"/>
      <c r="BS358" s="241">
        <f>BS359-BS357-BS356</f>
        <v>1444</v>
      </c>
      <c r="BT358" s="240"/>
      <c r="BU358" s="240"/>
      <c r="BV358" s="240"/>
      <c r="BW358" s="240"/>
      <c r="BX358" s="241">
        <f>BX359-BX357-BX356</f>
        <v>-298</v>
      </c>
      <c r="BY358" s="240"/>
      <c r="BZ358" s="240"/>
      <c r="CA358" s="240"/>
      <c r="CB358" s="240"/>
      <c r="CC358" s="241">
        <f>CC359-CC357-CC356</f>
        <v>-220</v>
      </c>
      <c r="CD358" s="240"/>
      <c r="CE358" s="240"/>
      <c r="CF358" s="240"/>
      <c r="CG358" s="240"/>
      <c r="CH358" s="241">
        <f>CH359-CH357-CH356</f>
        <v>-277</v>
      </c>
      <c r="CI358" s="240"/>
      <c r="CJ358" s="240"/>
      <c r="CK358" s="240"/>
      <c r="CL358" s="240"/>
      <c r="CM358" s="241">
        <f>CM359-CM357-CM356</f>
        <v>-392</v>
      </c>
      <c r="CN358" s="240"/>
      <c r="CO358" s="240"/>
      <c r="CP358" s="240"/>
      <c r="CQ358" s="240"/>
      <c r="CR358" s="241">
        <f>CR359-CR357-CR356</f>
        <v>-325</v>
      </c>
      <c r="CS358" s="240"/>
      <c r="CT358" s="240"/>
      <c r="CU358" s="240"/>
      <c r="CV358" s="240"/>
      <c r="CW358" s="241">
        <f>CW359-CW357-CW356</f>
        <v>-741</v>
      </c>
      <c r="CX358" s="240"/>
      <c r="CY358" s="240"/>
      <c r="CZ358" s="240"/>
      <c r="DA358" s="240"/>
      <c r="DB358" s="241">
        <f>DB359-DB357-DB356</f>
        <v>-795</v>
      </c>
      <c r="DC358" s="240"/>
      <c r="DD358" s="240"/>
      <c r="DE358" s="240"/>
      <c r="DF358" s="240"/>
      <c r="DG358" s="241">
        <f>DG359-DG357-DG356</f>
        <v>-757</v>
      </c>
      <c r="DH358" s="240"/>
      <c r="DI358" s="240"/>
      <c r="DJ358" s="240"/>
      <c r="DK358" s="240"/>
      <c r="DL358" s="241">
        <f>DL359-DL357-DL356</f>
        <v>-862</v>
      </c>
      <c r="DM358" s="240"/>
      <c r="DN358" s="240"/>
      <c r="DO358" s="240"/>
      <c r="DP358" s="240"/>
      <c r="DQ358" s="241">
        <f>DQ359-DQ357-DQ356</f>
        <v>-922</v>
      </c>
      <c r="DR358" s="862">
        <f>DR359-DR357-DR356</f>
        <v>-901</v>
      </c>
      <c r="DS358" s="240">
        <f>DS359-DS357-DS356</f>
        <v>-883</v>
      </c>
      <c r="DT358" s="240">
        <f>DT359-DT357-DT356</f>
        <v>-866</v>
      </c>
      <c r="DU358" s="240">
        <f>DV358</f>
        <v>-502</v>
      </c>
      <c r="DV358" s="241">
        <f>DV359-DV357-DV356</f>
        <v>-502</v>
      </c>
      <c r="DW358" s="862">
        <f>DW359-DW357-DW356</f>
        <v>-486</v>
      </c>
      <c r="DX358" s="240">
        <f>DX359-DX357-DX356</f>
        <v>-470</v>
      </c>
      <c r="DY358" s="240">
        <f>DY359-DY357-DY356</f>
        <v>-460</v>
      </c>
      <c r="DZ358" s="240">
        <f>EA358</f>
        <v>-642</v>
      </c>
      <c r="EA358" s="241">
        <f>EA359-EA357-EA356</f>
        <v>-642</v>
      </c>
      <c r="EB358" s="862">
        <f>EB359-EB357-EB356</f>
        <v>-645</v>
      </c>
      <c r="EC358" s="240">
        <f>EC359-EC357-EC356</f>
        <v>-642</v>
      </c>
      <c r="ED358" s="240">
        <f>ED359-ED357-ED356</f>
        <v>-630</v>
      </c>
      <c r="EE358" s="240">
        <f>EF358</f>
        <v>-649</v>
      </c>
      <c r="EF358" s="241">
        <f>EF359-EF357-EF356</f>
        <v>-649</v>
      </c>
      <c r="EG358" s="1659">
        <f>EG359-EG357-EG356</f>
        <v>-645</v>
      </c>
      <c r="EH358" s="240">
        <f>EH359-EH357-EH356</f>
        <v>-636</v>
      </c>
      <c r="EI358" s="240">
        <f>EI359-EI357-EI356</f>
        <v>-625</v>
      </c>
      <c r="EJ358" s="240">
        <f>EK358</f>
        <v>-625</v>
      </c>
      <c r="EK358" s="241">
        <f>-640+15</f>
        <v>-625</v>
      </c>
      <c r="EL358" s="1659">
        <f>EL359-EL357-EL356</f>
        <v>-621</v>
      </c>
      <c r="EM358" s="240">
        <f>EM359-EM357-EM356</f>
        <v>-555</v>
      </c>
      <c r="EN358" s="240"/>
      <c r="EO358" s="240"/>
      <c r="EP358" s="241">
        <f>-486+16</f>
        <v>-470</v>
      </c>
      <c r="EQ358" s="240"/>
      <c r="ER358" s="240"/>
      <c r="ES358" s="240"/>
      <c r="ET358" s="240"/>
      <c r="EU358" s="1014">
        <f ca="1">EP358+EU322+EU327+EU321+Pension!M67+OPEB!M67</f>
        <v>-4343.664884323578</v>
      </c>
      <c r="EV358" s="1015"/>
      <c r="EW358" s="1015"/>
      <c r="EX358" s="1015"/>
      <c r="EY358" s="1015"/>
      <c r="EZ358" s="1014">
        <f ca="1">EU358+EZ322+EZ327+EZ321+Pension!N67+OPEB!N67</f>
        <v>-6262.6536219616346</v>
      </c>
      <c r="FA358" s="1015"/>
      <c r="FB358" s="1015"/>
      <c r="FC358" s="1015"/>
      <c r="FD358" s="1015"/>
      <c r="FE358" s="1014">
        <f ca="1">EZ358+FE322+FE327+FE321+Pension!O67+OPEB!O67</f>
        <v>-7584.4123861441922</v>
      </c>
      <c r="FG358" s="494"/>
      <c r="FH358" s="834"/>
      <c r="FI358" s="834"/>
      <c r="FJ358" s="834"/>
      <c r="FL358" s="1406"/>
      <c r="FM358"/>
      <c r="FN358"/>
      <c r="FO358"/>
      <c r="FP358"/>
      <c r="FQ358"/>
      <c r="FR358" s="1632"/>
      <c r="FS358" s="1632"/>
      <c r="FT358" s="459"/>
      <c r="FU358" s="459"/>
      <c r="FV358" s="459"/>
      <c r="FW358" s="459"/>
      <c r="FX358" s="459"/>
      <c r="FY358" s="459"/>
      <c r="FZ358" s="494"/>
      <c r="GA358"/>
      <c r="GB358"/>
      <c r="GC358"/>
      <c r="GD358"/>
      <c r="GE358"/>
      <c r="GF358"/>
      <c r="GG358"/>
      <c r="GH358"/>
      <c r="GI358"/>
      <c r="GJ358"/>
      <c r="GK358"/>
      <c r="GL358"/>
      <c r="GM358"/>
      <c r="GN358"/>
      <c r="GO358"/>
      <c r="GP358"/>
      <c r="GQ358"/>
      <c r="GR358"/>
      <c r="GS358"/>
      <c r="GT358"/>
      <c r="GU358"/>
      <c r="GV358"/>
      <c r="GW358"/>
      <c r="GX358"/>
      <c r="GY358"/>
      <c r="GZ358"/>
      <c r="HA358"/>
      <c r="HB358"/>
      <c r="HC358"/>
      <c r="HD358"/>
      <c r="HE358"/>
      <c r="HF358"/>
      <c r="HG358"/>
      <c r="HH358"/>
      <c r="HI358"/>
      <c r="HJ358"/>
      <c r="HK358"/>
      <c r="HL358"/>
      <c r="HM358"/>
      <c r="HN358"/>
      <c r="HO358"/>
      <c r="HP358"/>
      <c r="HQ358"/>
      <c r="HR358"/>
      <c r="HS358"/>
      <c r="HT358"/>
      <c r="HU358"/>
      <c r="HV358"/>
      <c r="HW358"/>
      <c r="HX358"/>
      <c r="HY358"/>
      <c r="HZ358"/>
      <c r="IA358"/>
      <c r="IB358"/>
      <c r="IC358"/>
      <c r="ID358"/>
      <c r="IE358"/>
      <c r="IF358"/>
      <c r="IG358"/>
      <c r="IH358"/>
      <c r="II358"/>
      <c r="IJ358"/>
      <c r="IK358"/>
      <c r="IL358"/>
      <c r="IM358"/>
      <c r="IN358"/>
      <c r="IO358"/>
      <c r="IP358"/>
      <c r="IQ358"/>
      <c r="IR358"/>
      <c r="IS358"/>
      <c r="IT358"/>
      <c r="IU358"/>
      <c r="IV358"/>
      <c r="IW358"/>
      <c r="IX358"/>
    </row>
    <row r="359" spans="1:258" s="237" customFormat="1" ht="12.6" customHeight="1" x14ac:dyDescent="0.2">
      <c r="A359" s="624" t="s">
        <v>442</v>
      </c>
      <c r="B359" s="895"/>
      <c r="C359" s="895"/>
      <c r="D359" s="895"/>
      <c r="E359" s="896"/>
      <c r="F359" s="161"/>
      <c r="G359" s="895"/>
      <c r="H359" s="895"/>
      <c r="I359" s="895"/>
      <c r="J359" s="896"/>
      <c r="K359" s="161"/>
      <c r="L359" s="895"/>
      <c r="M359" s="895"/>
      <c r="N359" s="895"/>
      <c r="O359" s="896"/>
      <c r="P359" s="161"/>
      <c r="Q359" s="895"/>
      <c r="R359" s="895"/>
      <c r="S359" s="895"/>
      <c r="T359" s="896"/>
      <c r="U359" s="161"/>
      <c r="V359" s="895"/>
      <c r="W359" s="895"/>
      <c r="X359" s="895"/>
      <c r="Y359" s="896"/>
      <c r="Z359" s="161"/>
      <c r="AA359" s="895"/>
      <c r="AB359" s="895"/>
      <c r="AC359" s="895"/>
      <c r="AD359" s="896"/>
      <c r="AE359" s="161"/>
      <c r="AF359" s="895"/>
      <c r="AG359" s="895"/>
      <c r="AH359" s="895"/>
      <c r="AI359" s="896"/>
      <c r="AJ359" s="161"/>
      <c r="AK359" s="895"/>
      <c r="AL359" s="895"/>
      <c r="AM359" s="895"/>
      <c r="AN359" s="896"/>
      <c r="AO359" s="161"/>
      <c r="AP359" s="895"/>
      <c r="AQ359" s="895"/>
      <c r="AR359" s="895"/>
      <c r="AS359" s="896"/>
      <c r="AT359" s="161">
        <v>5766</v>
      </c>
      <c r="AU359" s="895"/>
      <c r="AV359" s="895"/>
      <c r="AW359" s="895"/>
      <c r="AX359" s="896"/>
      <c r="AY359" s="161">
        <v>5880</v>
      </c>
      <c r="AZ359" s="895"/>
      <c r="BA359" s="895"/>
      <c r="BB359" s="895"/>
      <c r="BC359" s="896"/>
      <c r="BD359" s="161">
        <v>5756</v>
      </c>
      <c r="BE359" s="895"/>
      <c r="BF359" s="895"/>
      <c r="BG359" s="895"/>
      <c r="BH359" s="896"/>
      <c r="BI359" s="161">
        <v>6017</v>
      </c>
      <c r="BJ359" s="895"/>
      <c r="BK359" s="895"/>
      <c r="BL359" s="895"/>
      <c r="BM359" s="896"/>
      <c r="BN359" s="161">
        <v>6120</v>
      </c>
      <c r="BO359" s="895"/>
      <c r="BP359" s="895"/>
      <c r="BQ359" s="895"/>
      <c r="BR359" s="896"/>
      <c r="BS359" s="161">
        <v>6241</v>
      </c>
      <c r="BT359" s="895"/>
      <c r="BU359" s="895"/>
      <c r="BV359" s="895"/>
      <c r="BW359" s="896"/>
      <c r="BX359" s="161">
        <v>6441</v>
      </c>
      <c r="BY359" s="895"/>
      <c r="BZ359" s="895"/>
      <c r="CA359" s="895"/>
      <c r="CB359" s="896"/>
      <c r="CC359" s="161">
        <v>6811</v>
      </c>
      <c r="CD359" s="895"/>
      <c r="CE359" s="895"/>
      <c r="CF359" s="895"/>
      <c r="CG359" s="896"/>
      <c r="CH359" s="161">
        <v>7954</v>
      </c>
      <c r="CI359" s="895"/>
      <c r="CJ359" s="895"/>
      <c r="CK359" s="895"/>
      <c r="CL359" s="896"/>
      <c r="CM359" s="161">
        <v>8942</v>
      </c>
      <c r="CN359" s="895"/>
      <c r="CO359" s="895"/>
      <c r="CP359" s="895"/>
      <c r="CQ359" s="896"/>
      <c r="CR359" s="161">
        <v>8685</v>
      </c>
      <c r="CS359" s="895"/>
      <c r="CT359" s="895"/>
      <c r="CU359" s="895"/>
      <c r="CV359" s="896"/>
      <c r="CW359" s="161">
        <v>8048</v>
      </c>
      <c r="CX359" s="895"/>
      <c r="CY359" s="895"/>
      <c r="CZ359" s="895"/>
      <c r="DA359" s="896"/>
      <c r="DB359" s="161">
        <v>8860</v>
      </c>
      <c r="DC359" s="895"/>
      <c r="DD359" s="895"/>
      <c r="DE359" s="895"/>
      <c r="DF359" s="895"/>
      <c r="DG359" s="161">
        <v>8700</v>
      </c>
      <c r="DH359" s="895"/>
      <c r="DI359" s="895"/>
      <c r="DJ359" s="895"/>
      <c r="DK359" s="895"/>
      <c r="DL359" s="161">
        <v>8468</v>
      </c>
      <c r="DM359" s="895"/>
      <c r="DN359" s="895"/>
      <c r="DO359" s="895"/>
      <c r="DP359" s="895"/>
      <c r="DQ359" s="161">
        <v>9136</v>
      </c>
      <c r="DR359" s="859">
        <v>9348</v>
      </c>
      <c r="DS359" s="895">
        <v>9662</v>
      </c>
      <c r="DT359" s="895">
        <v>9868</v>
      </c>
      <c r="DU359" s="895">
        <f>DV359</f>
        <v>10504</v>
      </c>
      <c r="DV359" s="161">
        <v>10504</v>
      </c>
      <c r="DW359" s="859">
        <v>10645</v>
      </c>
      <c r="DX359" s="895">
        <v>10904</v>
      </c>
      <c r="DY359" s="895">
        <v>11142</v>
      </c>
      <c r="DZ359" s="895">
        <f>EA359</f>
        <v>11176</v>
      </c>
      <c r="EA359" s="161">
        <v>11176</v>
      </c>
      <c r="EB359" s="859">
        <v>11338</v>
      </c>
      <c r="EC359" s="895">
        <v>11577</v>
      </c>
      <c r="ED359" s="895">
        <v>11660</v>
      </c>
      <c r="EE359" s="895">
        <f>EF359</f>
        <v>11668</v>
      </c>
      <c r="EF359" s="161">
        <v>11668</v>
      </c>
      <c r="EG359" s="859">
        <v>11606</v>
      </c>
      <c r="EH359" s="895">
        <v>11625</v>
      </c>
      <c r="EI359" s="895">
        <v>11670</v>
      </c>
      <c r="EJ359" s="895">
        <f>EK359</f>
        <v>11694</v>
      </c>
      <c r="EK359" s="161">
        <v>11694</v>
      </c>
      <c r="EL359" s="859">
        <v>11669</v>
      </c>
      <c r="EM359" s="895">
        <v>11601</v>
      </c>
      <c r="EN359" s="895">
        <v>10902</v>
      </c>
      <c r="EO359" s="895">
        <f>EP359</f>
        <v>14721</v>
      </c>
      <c r="EP359" s="161">
        <v>14721</v>
      </c>
      <c r="EQ359" s="895"/>
      <c r="ER359" s="895"/>
      <c r="ES359" s="895"/>
      <c r="ET359" s="895"/>
      <c r="EU359" s="161">
        <f ca="1">EU356+EU357+EU358</f>
        <v>12848.926284691799</v>
      </c>
      <c r="EV359" s="896"/>
      <c r="EW359" s="896"/>
      <c r="EX359" s="896"/>
      <c r="EY359" s="896"/>
      <c r="EZ359" s="161">
        <f ca="1">EZ356+EZ357+EZ358</f>
        <v>12993.565691651231</v>
      </c>
      <c r="FA359" s="896"/>
      <c r="FB359" s="896"/>
      <c r="FC359" s="896"/>
      <c r="FD359" s="896"/>
      <c r="FE359" s="161">
        <f ca="1">FE356+FE357+FE358</f>
        <v>13930.085820867898</v>
      </c>
      <c r="FG359" s="894"/>
      <c r="FH359" s="834"/>
      <c r="FI359" s="834"/>
      <c r="FJ359" s="834"/>
      <c r="FL359" s="1406"/>
      <c r="FM359"/>
      <c r="FN359"/>
      <c r="FO359"/>
      <c r="FP359"/>
      <c r="FQ359"/>
      <c r="FR359" s="1638"/>
      <c r="FS359" s="1638"/>
      <c r="FT359" s="891"/>
      <c r="FU359" s="891"/>
      <c r="FV359" s="891"/>
      <c r="FW359" s="891"/>
      <c r="FX359" s="891"/>
      <c r="FY359" s="891"/>
      <c r="FZ359" s="894"/>
      <c r="GA359"/>
      <c r="GB359"/>
      <c r="GC359"/>
      <c r="GD359"/>
      <c r="GE359"/>
      <c r="GF359"/>
      <c r="GG359"/>
      <c r="GH359"/>
      <c r="GI359"/>
      <c r="GJ359"/>
      <c r="GK359"/>
      <c r="GL359"/>
      <c r="GM359"/>
      <c r="GN359"/>
      <c r="GO359"/>
      <c r="GP359"/>
      <c r="GQ359"/>
      <c r="GR359"/>
      <c r="GS359"/>
      <c r="GT359"/>
      <c r="GU359"/>
      <c r="GV359"/>
      <c r="GW359"/>
      <c r="GX359"/>
      <c r="GY359"/>
      <c r="GZ359"/>
      <c r="HA359"/>
      <c r="HB359"/>
      <c r="HC359"/>
      <c r="HD359"/>
      <c r="HE359"/>
      <c r="HF359"/>
      <c r="HG359"/>
      <c r="HH359"/>
      <c r="HI359"/>
      <c r="HJ359"/>
      <c r="HK359"/>
      <c r="HL359"/>
      <c r="HM359"/>
      <c r="HN359"/>
      <c r="HO359"/>
      <c r="HP359"/>
      <c r="HQ359"/>
      <c r="HR359"/>
      <c r="HS359"/>
      <c r="HT359"/>
      <c r="HU359"/>
      <c r="HV359"/>
      <c r="HW359"/>
      <c r="HX359"/>
      <c r="HY359"/>
      <c r="HZ359"/>
      <c r="IA359"/>
      <c r="IB359"/>
      <c r="IC359"/>
      <c r="ID359"/>
      <c r="IE359"/>
      <c r="IF359"/>
      <c r="IG359"/>
      <c r="IH359"/>
      <c r="II359"/>
      <c r="IJ359"/>
      <c r="IK359"/>
      <c r="IL359"/>
      <c r="IM359"/>
      <c r="IN359"/>
      <c r="IO359"/>
      <c r="IP359"/>
      <c r="IQ359"/>
      <c r="IR359"/>
      <c r="IS359"/>
      <c r="IT359"/>
      <c r="IU359"/>
      <c r="IV359"/>
      <c r="IW359"/>
      <c r="IX359"/>
    </row>
    <row r="360" spans="1:258" s="897" customFormat="1" x14ac:dyDescent="0.2">
      <c r="A360" s="886" t="s">
        <v>197</v>
      </c>
      <c r="B360" s="893"/>
      <c r="C360" s="893"/>
      <c r="D360" s="893"/>
      <c r="E360" s="893"/>
      <c r="F360" s="161"/>
      <c r="G360" s="893"/>
      <c r="H360" s="893"/>
      <c r="I360" s="893"/>
      <c r="J360" s="893"/>
      <c r="K360" s="161"/>
      <c r="L360" s="893"/>
      <c r="M360" s="893"/>
      <c r="N360" s="893"/>
      <c r="O360" s="893"/>
      <c r="P360" s="161"/>
      <c r="Q360" s="893"/>
      <c r="R360" s="893"/>
      <c r="S360" s="893"/>
      <c r="T360" s="893"/>
      <c r="U360" s="161"/>
      <c r="V360" s="893"/>
      <c r="W360" s="893"/>
      <c r="X360" s="893"/>
      <c r="Y360" s="893"/>
      <c r="Z360" s="161"/>
      <c r="AA360" s="893"/>
      <c r="AB360" s="893"/>
      <c r="AC360" s="893"/>
      <c r="AD360" s="893"/>
      <c r="AE360" s="161"/>
      <c r="AF360" s="893"/>
      <c r="AG360" s="893"/>
      <c r="AH360" s="893"/>
      <c r="AI360" s="893"/>
      <c r="AJ360" s="161"/>
      <c r="AK360" s="893"/>
      <c r="AL360" s="893"/>
      <c r="AM360" s="893"/>
      <c r="AN360" s="893"/>
      <c r="AO360" s="161"/>
      <c r="AP360" s="893"/>
      <c r="AQ360" s="893"/>
      <c r="AR360" s="893"/>
      <c r="AS360" s="893"/>
      <c r="AT360" s="161">
        <f>AT359+AT354</f>
        <v>19957</v>
      </c>
      <c r="AU360" s="893"/>
      <c r="AV360" s="893"/>
      <c r="AW360" s="893"/>
      <c r="AX360" s="893"/>
      <c r="AY360" s="161">
        <f>AY359+AY354</f>
        <v>20427</v>
      </c>
      <c r="AZ360" s="893"/>
      <c r="BA360" s="893"/>
      <c r="BB360" s="893"/>
      <c r="BC360" s="893"/>
      <c r="BD360" s="161">
        <f>BD359+BD354</f>
        <v>20720</v>
      </c>
      <c r="BE360" s="893"/>
      <c r="BF360" s="893"/>
      <c r="BG360" s="893"/>
      <c r="BH360" s="893"/>
      <c r="BI360" s="161">
        <f>BI359+BI354</f>
        <v>20491</v>
      </c>
      <c r="BJ360" s="893"/>
      <c r="BK360" s="893"/>
      <c r="BL360" s="893"/>
      <c r="BM360" s="893"/>
      <c r="BN360" s="161">
        <f>BN359+BN354</f>
        <v>20801</v>
      </c>
      <c r="BO360" s="893"/>
      <c r="BP360" s="893"/>
      <c r="BQ360" s="893"/>
      <c r="BR360" s="893"/>
      <c r="BS360" s="161">
        <f>BS359+BS354</f>
        <v>20962</v>
      </c>
      <c r="BT360" s="893"/>
      <c r="BU360" s="893"/>
      <c r="BV360" s="893"/>
      <c r="BW360" s="893"/>
      <c r="BX360" s="161">
        <f>BX359+BX354</f>
        <v>21745</v>
      </c>
      <c r="BY360" s="893"/>
      <c r="BZ360" s="893"/>
      <c r="CA360" s="893"/>
      <c r="CB360" s="893"/>
      <c r="CC360" s="161">
        <f>CC359+CC354</f>
        <v>24605</v>
      </c>
      <c r="CD360" s="893"/>
      <c r="CE360" s="893"/>
      <c r="CF360" s="893"/>
      <c r="CG360" s="893"/>
      <c r="CH360" s="161">
        <f>CH359+CH354</f>
        <v>24232</v>
      </c>
      <c r="CI360" s="893"/>
      <c r="CJ360" s="893"/>
      <c r="CK360" s="893"/>
      <c r="CL360" s="893"/>
      <c r="CM360" s="161">
        <f>CM359+CM354</f>
        <v>25129</v>
      </c>
      <c r="CN360" s="893"/>
      <c r="CO360" s="893"/>
      <c r="CP360" s="893"/>
      <c r="CQ360" s="893"/>
      <c r="CR360" s="161">
        <f>CR359+CR354</f>
        <v>25534</v>
      </c>
      <c r="CS360" s="893"/>
      <c r="CT360" s="893"/>
      <c r="CU360" s="893"/>
      <c r="CV360" s="893"/>
      <c r="CW360" s="161">
        <f>CW359+CW354</f>
        <v>26288</v>
      </c>
      <c r="CX360" s="893"/>
      <c r="CY360" s="893"/>
      <c r="CZ360" s="893"/>
      <c r="DA360" s="893"/>
      <c r="DB360" s="161">
        <f>DB359+DB354</f>
        <v>27036</v>
      </c>
      <c r="DC360" s="893"/>
      <c r="DD360" s="893"/>
      <c r="DE360" s="893"/>
      <c r="DF360" s="893"/>
      <c r="DG360" s="161">
        <f>DG359+DG354</f>
        <v>28141</v>
      </c>
      <c r="DH360" s="893"/>
      <c r="DI360" s="893"/>
      <c r="DJ360" s="893"/>
      <c r="DK360" s="893"/>
      <c r="DL360" s="161">
        <f>DL359+DL354</f>
        <v>29344</v>
      </c>
      <c r="DM360" s="893"/>
      <c r="DN360" s="893"/>
      <c r="DO360" s="893"/>
      <c r="DP360" s="893"/>
      <c r="DQ360" s="161">
        <f>DQ359+DQ354</f>
        <v>30723</v>
      </c>
      <c r="DR360" s="859">
        <f>DR359+DR354</f>
        <v>30586</v>
      </c>
      <c r="DS360" s="893">
        <v>30881</v>
      </c>
      <c r="DT360" s="893">
        <v>30943</v>
      </c>
      <c r="DU360" s="895">
        <f>DV360</f>
        <v>31782</v>
      </c>
      <c r="DV360" s="161">
        <f>DV359+DV354</f>
        <v>31782</v>
      </c>
      <c r="DW360" s="859">
        <f>DW359+DW354</f>
        <v>31680</v>
      </c>
      <c r="DX360" s="893">
        <f>DX359+DX354</f>
        <v>31975</v>
      </c>
      <c r="DY360" s="893">
        <f>DY359+DY354</f>
        <v>32623</v>
      </c>
      <c r="DZ360" s="895">
        <f>EA360</f>
        <v>33053</v>
      </c>
      <c r="EA360" s="161">
        <f>EA359+EA354</f>
        <v>33053</v>
      </c>
      <c r="EB360" s="859">
        <f>EB359+EB354</f>
        <v>33161</v>
      </c>
      <c r="EC360" s="893">
        <f>EC359+EC354</f>
        <v>33777</v>
      </c>
      <c r="ED360" s="893">
        <f>ED359+ED354</f>
        <v>34015</v>
      </c>
      <c r="EE360" s="895">
        <f>EF360</f>
        <v>34745</v>
      </c>
      <c r="EF360" s="161">
        <f>EF359+EF354</f>
        <v>34745</v>
      </c>
      <c r="EG360" s="859">
        <f>EG359+EG354</f>
        <v>34610</v>
      </c>
      <c r="EH360" s="893">
        <f>EH359+EH354</f>
        <v>34550</v>
      </c>
      <c r="EI360" s="893">
        <f>EI359+EI354</f>
        <v>34681</v>
      </c>
      <c r="EJ360" s="895">
        <f>EK360</f>
        <v>35414</v>
      </c>
      <c r="EK360" s="161">
        <f>EK359+EK354</f>
        <v>35414</v>
      </c>
      <c r="EL360" s="859">
        <f>EL359+EL354</f>
        <v>35712</v>
      </c>
      <c r="EM360" s="893">
        <f>EM359+EM354</f>
        <v>35861</v>
      </c>
      <c r="EN360" s="893">
        <f>EN359+EN354</f>
        <v>35573</v>
      </c>
      <c r="EO360" s="895">
        <f>EP360</f>
        <v>35739</v>
      </c>
      <c r="EP360" s="161">
        <f>EP359+EP354</f>
        <v>35739</v>
      </c>
      <c r="EQ360" s="895"/>
      <c r="ER360" s="895"/>
      <c r="ES360" s="895"/>
      <c r="ET360" s="895"/>
      <c r="EU360" s="161">
        <f ca="1">EU359+EU354</f>
        <v>36413.607092425926</v>
      </c>
      <c r="EV360" s="893"/>
      <c r="EW360" s="893"/>
      <c r="EX360" s="893"/>
      <c r="EY360" s="893"/>
      <c r="EZ360" s="161">
        <f ca="1">EZ359+EZ354</f>
        <v>36948.091169714309</v>
      </c>
      <c r="FA360" s="893"/>
      <c r="FB360" s="893"/>
      <c r="FC360" s="893"/>
      <c r="FD360" s="893"/>
      <c r="FE360" s="161">
        <f ca="1">FE359+FE354</f>
        <v>37475.470459975593</v>
      </c>
      <c r="FG360" s="888"/>
      <c r="FH360" s="889"/>
      <c r="FI360" s="889"/>
      <c r="FJ360" s="889"/>
      <c r="FL360" s="1405"/>
      <c r="FM360"/>
      <c r="FN360"/>
      <c r="FO360"/>
      <c r="FP360"/>
      <c r="FQ360"/>
      <c r="FR360" s="1637"/>
      <c r="FS360" s="1637"/>
      <c r="FT360" s="890"/>
      <c r="FU360" s="890"/>
      <c r="FV360" s="890"/>
      <c r="FW360" s="890"/>
      <c r="FX360" s="890"/>
      <c r="FY360" s="890"/>
      <c r="FZ360" s="888"/>
      <c r="GA360"/>
      <c r="GB360"/>
      <c r="GC360"/>
      <c r="GD360"/>
      <c r="GE360"/>
      <c r="GF360"/>
      <c r="GG360"/>
      <c r="GH360"/>
      <c r="GI360"/>
      <c r="GJ360"/>
      <c r="GK360"/>
      <c r="GL360"/>
      <c r="GM360"/>
      <c r="GN360"/>
      <c r="GO360"/>
      <c r="GP360"/>
      <c r="GQ360"/>
      <c r="GR360"/>
      <c r="GS360"/>
      <c r="GT360"/>
      <c r="GU360"/>
      <c r="GV360"/>
      <c r="GW360"/>
      <c r="GX360"/>
      <c r="GY360"/>
      <c r="GZ360"/>
      <c r="HA360"/>
      <c r="HB360"/>
      <c r="HC360"/>
      <c r="HD360"/>
      <c r="HE360"/>
      <c r="HF360"/>
      <c r="HG360"/>
      <c r="HH360"/>
      <c r="HI360"/>
      <c r="HJ360"/>
      <c r="HK360"/>
      <c r="HL360"/>
      <c r="HM360"/>
      <c r="HN360"/>
      <c r="HO360"/>
      <c r="HP360"/>
      <c r="HQ360"/>
      <c r="HR360"/>
      <c r="HS360"/>
      <c r="HT360"/>
      <c r="HU360"/>
      <c r="HV360"/>
      <c r="HW360"/>
      <c r="HX360"/>
      <c r="HY360"/>
      <c r="HZ360"/>
      <c r="IA360"/>
      <c r="IB360"/>
      <c r="IC360"/>
      <c r="ID360"/>
      <c r="IE360"/>
      <c r="IF360"/>
      <c r="IG360"/>
      <c r="IH360"/>
      <c r="II360"/>
      <c r="IJ360"/>
      <c r="IK360"/>
      <c r="IL360"/>
      <c r="IM360"/>
      <c r="IN360"/>
      <c r="IO360"/>
      <c r="IP360"/>
      <c r="IQ360"/>
      <c r="IR360"/>
      <c r="IS360"/>
      <c r="IT360"/>
      <c r="IU360"/>
      <c r="IV360"/>
      <c r="IW360"/>
      <c r="IX360"/>
    </row>
    <row r="361" spans="1:258" s="155" customFormat="1" ht="12.6" customHeight="1" x14ac:dyDescent="0.2">
      <c r="A361" s="245" t="s">
        <v>443</v>
      </c>
      <c r="B361" s="236"/>
      <c r="C361" s="236"/>
      <c r="D361" s="236"/>
      <c r="E361" s="236"/>
      <c r="F361" s="238"/>
      <c r="G361" s="236"/>
      <c r="H361" s="236"/>
      <c r="I361" s="236"/>
      <c r="J361" s="236"/>
      <c r="K361" s="238"/>
      <c r="L361" s="236"/>
      <c r="M361" s="236"/>
      <c r="N361" s="236"/>
      <c r="O361" s="236"/>
      <c r="P361" s="238"/>
      <c r="Q361" s="236"/>
      <c r="R361" s="236"/>
      <c r="S361" s="236"/>
      <c r="T361" s="236"/>
      <c r="U361" s="238"/>
      <c r="V361" s="236"/>
      <c r="W361" s="236"/>
      <c r="X361" s="236"/>
      <c r="Y361" s="236"/>
      <c r="Z361" s="238"/>
      <c r="AA361" s="236"/>
      <c r="AB361" s="236"/>
      <c r="AC361" s="236"/>
      <c r="AD361" s="236"/>
      <c r="AE361" s="238"/>
      <c r="AF361" s="236"/>
      <c r="AG361" s="236"/>
      <c r="AH361" s="236"/>
      <c r="AI361" s="236"/>
      <c r="AJ361" s="238"/>
      <c r="AK361" s="236"/>
      <c r="AL361" s="236"/>
      <c r="AM361" s="236"/>
      <c r="AN361" s="236"/>
      <c r="AO361" s="238"/>
      <c r="AP361" s="236"/>
      <c r="AQ361" s="236"/>
      <c r="AR361" s="236"/>
      <c r="AS361" s="236"/>
      <c r="AT361" s="238" t="str">
        <f>IF(ROUND(AT360,0)=ROUND(AT345,0),"","ERROR")</f>
        <v/>
      </c>
      <c r="AU361" s="236"/>
      <c r="AV361" s="236"/>
      <c r="AW361" s="236"/>
      <c r="AX361" s="236"/>
      <c r="AY361" s="238" t="str">
        <f>IF(ROUND(AY360,0)=ROUND(AY345,0),"","ERROR")</f>
        <v/>
      </c>
      <c r="AZ361" s="236"/>
      <c r="BA361" s="236"/>
      <c r="BB361" s="236"/>
      <c r="BC361" s="236"/>
      <c r="BD361" s="238" t="str">
        <f>IF(ROUND(BD360,0)=ROUND(BD345,0),"","ERROR")</f>
        <v/>
      </c>
      <c r="BE361" s="236"/>
      <c r="BF361" s="236"/>
      <c r="BG361" s="236"/>
      <c r="BH361" s="236"/>
      <c r="BI361" s="238" t="str">
        <f>IF(ROUND(BI360,0)=ROUND(BI345,0),"","ERROR")</f>
        <v/>
      </c>
      <c r="BJ361" s="236"/>
      <c r="BK361" s="236"/>
      <c r="BL361" s="236"/>
      <c r="BM361" s="236"/>
      <c r="BN361" s="238" t="str">
        <f>IF(ROUND(BN360,0)=ROUND(BN345,0),"","ERROR")</f>
        <v/>
      </c>
      <c r="BO361" s="236"/>
      <c r="BP361" s="236"/>
      <c r="BQ361" s="236"/>
      <c r="BR361" s="236"/>
      <c r="BS361" s="238" t="str">
        <f>IF(ROUND(BS360,0)=ROUND(BS345,0),"","ERROR")</f>
        <v/>
      </c>
      <c r="BT361" s="236"/>
      <c r="BU361" s="236"/>
      <c r="BV361" s="236"/>
      <c r="BW361" s="236"/>
      <c r="BX361" s="238" t="str">
        <f>IF(ROUND(BX360,0)=ROUND(BX345,0),"","ERROR")</f>
        <v/>
      </c>
      <c r="BY361" s="236"/>
      <c r="BZ361" s="236"/>
      <c r="CA361" s="236"/>
      <c r="CB361" s="236"/>
      <c r="CC361" s="238" t="str">
        <f>IF(ROUND(CC360,0)=ROUND(CC345,0),"","ERROR")</f>
        <v/>
      </c>
      <c r="CD361" s="236"/>
      <c r="CE361" s="236"/>
      <c r="CF361" s="236"/>
      <c r="CG361" s="236"/>
      <c r="CH361" s="238" t="str">
        <f>IF(ROUND(CH360,0)=ROUND(CH345,0),"","ERROR")</f>
        <v/>
      </c>
      <c r="CI361" s="236"/>
      <c r="CJ361" s="236"/>
      <c r="CK361" s="236"/>
      <c r="CL361" s="236"/>
      <c r="CM361" s="238" t="str">
        <f>IF(ROUND(CM360,0)=ROUND(CM345,0),"","ERROR")</f>
        <v/>
      </c>
      <c r="CN361" s="236"/>
      <c r="CO361" s="236"/>
      <c r="CP361" s="236"/>
      <c r="CQ361" s="236"/>
      <c r="CR361" s="238" t="str">
        <f>IF(ROUND(CR360,0)=ROUND(CR345,0),"","ERROR")</f>
        <v/>
      </c>
      <c r="CS361" s="236"/>
      <c r="CT361" s="236"/>
      <c r="CU361" s="236"/>
      <c r="CV361" s="236"/>
      <c r="CW361" s="238" t="str">
        <f>IF(ROUND(CW360,0)=ROUND(CW345,0),"","ERROR")</f>
        <v/>
      </c>
      <c r="CX361" s="236"/>
      <c r="CY361" s="236"/>
      <c r="CZ361" s="236"/>
      <c r="DA361" s="236"/>
      <c r="DB361" s="238" t="str">
        <f>IF(ROUND(DB360,0)=ROUND(DB345,0),"","ERROR")</f>
        <v/>
      </c>
      <c r="DC361" s="236"/>
      <c r="DD361" s="236"/>
      <c r="DE361" s="236"/>
      <c r="DF361" s="236"/>
      <c r="DG361" s="238" t="str">
        <f>IF(ROUND(DG360,0)=ROUND(DG345,0),"","ERROR")</f>
        <v/>
      </c>
      <c r="DH361" s="236"/>
      <c r="DI361" s="236"/>
      <c r="DJ361" s="236"/>
      <c r="DK361" s="236"/>
      <c r="DL361" s="238" t="str">
        <f>IF(ROUND(DL360,0)=ROUND(DL345,0),"","ERROR")</f>
        <v/>
      </c>
      <c r="DM361" s="236"/>
      <c r="DN361" s="236"/>
      <c r="DO361" s="236"/>
      <c r="DP361" s="236"/>
      <c r="DQ361" s="38" t="str">
        <f>IF(ROUND(DQ360,0)=ROUND(DQ345,0),"","ERROR")</f>
        <v/>
      </c>
      <c r="DR361" s="863"/>
      <c r="DS361" s="236"/>
      <c r="DT361" s="236"/>
      <c r="DU361" s="236"/>
      <c r="DV361" s="38" t="str">
        <f>IF(ROUND(DV360,0)=ROUND(DV345,0),"","ERROR")</f>
        <v/>
      </c>
      <c r="DW361" s="863"/>
      <c r="DX361" s="30"/>
      <c r="DY361" s="30"/>
      <c r="DZ361" s="236"/>
      <c r="EA361" s="38" t="str">
        <f>IF(ROUND(EA360,0)=ROUND(EA345,0),"","ERROR")</f>
        <v/>
      </c>
      <c r="EB361" s="30"/>
      <c r="EC361" s="30"/>
      <c r="ED361" s="30"/>
      <c r="EE361" s="30"/>
      <c r="EF361" s="38" t="str">
        <f>IF(ROUND(EF360,0)=ROUND(EF345,0),"","ERROR")</f>
        <v/>
      </c>
      <c r="EG361" s="30"/>
      <c r="EH361" s="30"/>
      <c r="EI361" s="30"/>
      <c r="EJ361" s="30"/>
      <c r="EK361" s="1916" t="str">
        <f>IF(ROUND(EK360,0)=ROUND(EK345,0),"","ERROR")</f>
        <v/>
      </c>
      <c r="EL361" s="30"/>
      <c r="EM361" s="30"/>
      <c r="EN361" s="30"/>
      <c r="EO361" s="30"/>
      <c r="EP361" s="2017" t="str">
        <f>IF(ROUND(EP360,0)=ROUND(EP345,0),"","ERROR")</f>
        <v/>
      </c>
      <c r="EQ361" s="2018"/>
      <c r="ER361" s="2018"/>
      <c r="ES361" s="2018"/>
      <c r="ET361" s="2018"/>
      <c r="EU361" s="2017" t="str">
        <f ca="1">IF(ROUND(EU360,0)=ROUND(EU345,0),"","ERROR")</f>
        <v/>
      </c>
      <c r="EV361" s="2018"/>
      <c r="EW361" s="2018"/>
      <c r="EX361" s="2018"/>
      <c r="EY361" s="2018"/>
      <c r="EZ361" s="2017" t="str">
        <f ca="1">IF(ROUND(EZ360,0)=ROUND(EZ345,0),"","ERROR")</f>
        <v/>
      </c>
      <c r="FA361" s="2018"/>
      <c r="FB361" s="2018"/>
      <c r="FC361" s="2018"/>
      <c r="FD361" s="2018"/>
      <c r="FE361" s="2017" t="str">
        <f ca="1">IF(ROUND(FE360,0)=ROUND(FE345,0),"","ERROR")</f>
        <v/>
      </c>
      <c r="FF361" s="247"/>
      <c r="FG361" s="494"/>
      <c r="FH361" s="837"/>
      <c r="FI361" s="837"/>
      <c r="FJ361" s="837"/>
      <c r="FK361" s="247"/>
      <c r="FL361" s="1407"/>
      <c r="FM361"/>
      <c r="FN361"/>
      <c r="FO361"/>
      <c r="FP361"/>
      <c r="FQ361"/>
      <c r="FR361" s="1632"/>
      <c r="FS361" s="1632"/>
      <c r="FT361" s="454"/>
      <c r="FU361" s="454"/>
      <c r="FV361" s="454"/>
      <c r="FW361" s="454"/>
      <c r="FX361" s="454"/>
      <c r="FY361" s="454"/>
      <c r="FZ361" s="494"/>
      <c r="GA361"/>
      <c r="GB361"/>
      <c r="GC361"/>
      <c r="GD361"/>
      <c r="GE361"/>
      <c r="GF361"/>
      <c r="GG361"/>
      <c r="GH361"/>
      <c r="GI361"/>
      <c r="GJ361"/>
      <c r="GK361"/>
      <c r="GL361"/>
      <c r="GM361"/>
      <c r="GN361"/>
      <c r="GO361"/>
      <c r="GP361"/>
      <c r="GQ361"/>
      <c r="GR361"/>
      <c r="GS361"/>
      <c r="GT361"/>
      <c r="GU361"/>
      <c r="GV361"/>
      <c r="GW361"/>
      <c r="GX361"/>
      <c r="GY361"/>
      <c r="GZ361"/>
      <c r="HA361"/>
      <c r="HB361"/>
      <c r="HC361"/>
      <c r="HD361"/>
      <c r="HE361"/>
      <c r="HF361"/>
      <c r="HG361"/>
      <c r="HH361"/>
      <c r="HI361"/>
      <c r="HJ361"/>
      <c r="HK361"/>
      <c r="HL361"/>
      <c r="HM361"/>
      <c r="HN361"/>
      <c r="HO361"/>
      <c r="HP361"/>
      <c r="HQ361"/>
      <c r="HR361"/>
      <c r="HS361"/>
      <c r="HT361"/>
      <c r="HU361"/>
      <c r="HV361"/>
      <c r="HW361"/>
      <c r="HX361"/>
      <c r="HY361"/>
      <c r="HZ361"/>
      <c r="IA361"/>
      <c r="IB361"/>
      <c r="IC361"/>
      <c r="ID361"/>
      <c r="IE361"/>
      <c r="IF361"/>
      <c r="IG361"/>
      <c r="IH361"/>
      <c r="II361"/>
      <c r="IJ361"/>
      <c r="IK361"/>
      <c r="IL361"/>
      <c r="IM361"/>
      <c r="IN361"/>
      <c r="IO361"/>
      <c r="IP361"/>
      <c r="IQ361"/>
      <c r="IR361"/>
      <c r="IS361"/>
      <c r="IT361"/>
      <c r="IU361"/>
      <c r="IV361"/>
      <c r="IW361"/>
      <c r="IX361"/>
    </row>
    <row r="362" spans="1:258" s="45" customFormat="1" x14ac:dyDescent="0.2">
      <c r="A362" s="7"/>
      <c r="B362" s="30"/>
      <c r="C362" s="30"/>
      <c r="D362" s="30"/>
      <c r="E362" s="30"/>
      <c r="F362" s="165"/>
      <c r="G362" s="30"/>
      <c r="H362" s="30"/>
      <c r="I362" s="30"/>
      <c r="J362" s="30"/>
      <c r="K362" s="165"/>
      <c r="L362" s="30"/>
      <c r="M362" s="30"/>
      <c r="N362" s="30"/>
      <c r="O362" s="30"/>
      <c r="P362" s="165"/>
      <c r="Q362" s="30"/>
      <c r="R362" s="30"/>
      <c r="S362" s="30"/>
      <c r="T362" s="30"/>
      <c r="U362" s="165"/>
      <c r="V362" s="30"/>
      <c r="W362" s="30"/>
      <c r="X362" s="30"/>
      <c r="Y362" s="30"/>
      <c r="Z362" s="165"/>
      <c r="AA362" s="30"/>
      <c r="AB362" s="30"/>
      <c r="AC362" s="30"/>
      <c r="AD362" s="30"/>
      <c r="AE362" s="165"/>
      <c r="AF362" s="30"/>
      <c r="AG362" s="30"/>
      <c r="AH362" s="30"/>
      <c r="AI362" s="30"/>
      <c r="AJ362" s="165"/>
      <c r="AK362" s="30"/>
      <c r="AL362" s="30"/>
      <c r="AM362" s="30"/>
      <c r="AN362" s="30"/>
      <c r="AO362" s="165"/>
      <c r="AP362" s="30"/>
      <c r="AQ362" s="30"/>
      <c r="AR362" s="30"/>
      <c r="AS362" s="30"/>
      <c r="AT362" s="165"/>
      <c r="AU362" s="30"/>
      <c r="AV362" s="30"/>
      <c r="AW362" s="30"/>
      <c r="AX362" s="30"/>
      <c r="AY362" s="165"/>
      <c r="AZ362" s="30"/>
      <c r="BA362" s="30"/>
      <c r="BB362" s="30"/>
      <c r="BC362" s="30"/>
      <c r="BD362" s="165"/>
      <c r="BE362" s="30"/>
      <c r="BF362" s="30"/>
      <c r="BG362" s="30"/>
      <c r="BH362" s="30"/>
      <c r="BI362" s="165"/>
      <c r="BJ362" s="30"/>
      <c r="BK362" s="30"/>
      <c r="BL362" s="30"/>
      <c r="BM362" s="30"/>
      <c r="BN362" s="165"/>
      <c r="BO362" s="30"/>
      <c r="BP362" s="30"/>
      <c r="BQ362" s="30"/>
      <c r="BR362" s="30"/>
      <c r="BS362" s="165"/>
      <c r="BT362" s="30"/>
      <c r="BU362" s="30"/>
      <c r="BV362" s="30"/>
      <c r="BW362" s="30"/>
      <c r="BX362" s="165"/>
      <c r="BY362" s="30"/>
      <c r="BZ362" s="30"/>
      <c r="CA362" s="30"/>
      <c r="CB362" s="30"/>
      <c r="CC362" s="165"/>
      <c r="CD362" s="30"/>
      <c r="CE362" s="30"/>
      <c r="CF362" s="30"/>
      <c r="CG362" s="30"/>
      <c r="CH362" s="165"/>
      <c r="CI362" s="30"/>
      <c r="CJ362" s="30"/>
      <c r="CK362" s="30"/>
      <c r="CL362" s="30"/>
      <c r="CM362" s="165"/>
      <c r="CN362" s="30"/>
      <c r="CO362" s="30"/>
      <c r="CP362" s="30"/>
      <c r="CQ362" s="30"/>
      <c r="CR362" s="165"/>
      <c r="CS362" s="30"/>
      <c r="CT362" s="30"/>
      <c r="CU362" s="30"/>
      <c r="CV362" s="30"/>
      <c r="CW362" s="165"/>
      <c r="CX362" s="30"/>
      <c r="CY362" s="30"/>
      <c r="CZ362" s="30"/>
      <c r="DA362" s="30"/>
      <c r="DB362" s="165"/>
      <c r="DC362" s="30"/>
      <c r="DD362" s="30"/>
      <c r="DE362" s="30"/>
      <c r="DF362" s="30"/>
      <c r="DG362" s="38"/>
      <c r="DH362" s="30"/>
      <c r="DI362" s="30"/>
      <c r="DJ362" s="30"/>
      <c r="DK362" s="30"/>
      <c r="DL362" s="38"/>
      <c r="DM362" s="30"/>
      <c r="DN362" s="30"/>
      <c r="DO362" s="30"/>
      <c r="DP362" s="30"/>
      <c r="DQ362" s="38"/>
      <c r="DR362" s="30"/>
      <c r="DS362" s="30"/>
      <c r="DT362" s="30"/>
      <c r="DU362" s="8"/>
      <c r="DV362" s="38"/>
      <c r="DW362" s="30"/>
      <c r="DX362" s="30"/>
      <c r="DY362" s="30"/>
      <c r="DZ362" s="8"/>
      <c r="EA362" s="38"/>
      <c r="EB362" s="30"/>
      <c r="EC362" s="30"/>
      <c r="ED362" s="30"/>
      <c r="EE362" s="30"/>
      <c r="EF362" s="38"/>
      <c r="EG362" s="30"/>
      <c r="EH362" s="30"/>
      <c r="EI362" s="30"/>
      <c r="EJ362" s="30"/>
      <c r="EK362" s="38"/>
      <c r="EL362" s="30"/>
      <c r="EM362" s="30"/>
      <c r="EN362" s="30"/>
      <c r="EO362" s="30"/>
      <c r="EP362" s="38"/>
      <c r="EQ362" s="30"/>
      <c r="ER362" s="30"/>
      <c r="ES362" s="30"/>
      <c r="ET362" s="30"/>
      <c r="EU362" s="38"/>
      <c r="EV362" s="30"/>
      <c r="EW362" s="30"/>
      <c r="EX362" s="30"/>
      <c r="EY362" s="30"/>
      <c r="EZ362" s="38"/>
      <c r="FA362" s="30"/>
      <c r="FB362" s="30"/>
      <c r="FC362" s="30"/>
      <c r="FD362" s="30"/>
      <c r="FE362" s="38"/>
      <c r="FG362" s="494"/>
      <c r="FH362" s="819"/>
      <c r="FI362" s="819"/>
      <c r="FJ362" s="819"/>
      <c r="FL362" s="1388"/>
      <c r="FM362"/>
      <c r="FN362"/>
      <c r="FO362"/>
      <c r="FP362"/>
      <c r="FQ362"/>
      <c r="FR362" s="1619"/>
      <c r="FS362" s="1619"/>
      <c r="FT362" s="205"/>
      <c r="FU362" s="205"/>
      <c r="FV362" s="205"/>
      <c r="FW362" s="205"/>
      <c r="FX362" s="205"/>
      <c r="FY362" s="205"/>
      <c r="FZ362" s="494"/>
      <c r="GA362"/>
      <c r="GB362"/>
      <c r="GC362"/>
      <c r="GD362"/>
      <c r="GE362"/>
      <c r="GF362"/>
      <c r="GG362"/>
      <c r="GH362"/>
      <c r="GI362"/>
      <c r="GJ362"/>
      <c r="GK362"/>
      <c r="GL362"/>
      <c r="GM362"/>
      <c r="GN362"/>
      <c r="GO362"/>
      <c r="GP362"/>
      <c r="GQ362"/>
      <c r="GR362"/>
      <c r="GS362"/>
      <c r="GT362"/>
      <c r="GU362"/>
      <c r="GV362"/>
      <c r="GW362"/>
      <c r="GX362"/>
      <c r="GY362"/>
      <c r="GZ362"/>
      <c r="HA362"/>
      <c r="HB362"/>
      <c r="HC362"/>
      <c r="HD362"/>
      <c r="HE362"/>
      <c r="HF362"/>
      <c r="HG362"/>
      <c r="HH362"/>
      <c r="HI362"/>
      <c r="HJ362"/>
      <c r="HK362"/>
      <c r="HL362"/>
      <c r="HM362"/>
      <c r="HN362"/>
      <c r="HO362"/>
      <c r="HP362"/>
      <c r="HQ362"/>
      <c r="HR362"/>
      <c r="HS362"/>
      <c r="HT362"/>
      <c r="HU362"/>
      <c r="HV362"/>
      <c r="HW362"/>
      <c r="HX362"/>
      <c r="HY362"/>
      <c r="HZ362"/>
      <c r="IA362"/>
      <c r="IB362"/>
      <c r="IC362"/>
      <c r="ID362"/>
      <c r="IE362"/>
      <c r="IF362"/>
      <c r="IG362"/>
      <c r="IH362"/>
      <c r="II362"/>
      <c r="IJ362"/>
      <c r="IK362"/>
      <c r="IL362"/>
      <c r="IM362"/>
      <c r="IN362"/>
      <c r="IO362"/>
      <c r="IP362"/>
      <c r="IQ362"/>
      <c r="IR362"/>
      <c r="IS362"/>
      <c r="IT362"/>
      <c r="IU362"/>
      <c r="IV362"/>
      <c r="IW362"/>
      <c r="IX362"/>
    </row>
    <row r="363" spans="1:258" s="136" customFormat="1" ht="15.75" x14ac:dyDescent="0.25">
      <c r="A363" s="160" t="s">
        <v>547</v>
      </c>
      <c r="B363" s="925"/>
      <c r="C363" s="925"/>
      <c r="D363" s="925"/>
      <c r="E363" s="925"/>
      <c r="F363" s="133"/>
      <c r="G363" s="926"/>
      <c r="H363" s="926"/>
      <c r="I363" s="926"/>
      <c r="J363" s="926"/>
      <c r="K363" s="133"/>
      <c r="L363" s="926"/>
      <c r="M363" s="926"/>
      <c r="N363" s="926"/>
      <c r="O363" s="926"/>
      <c r="P363" s="133"/>
      <c r="Q363" s="926"/>
      <c r="R363" s="926"/>
      <c r="S363" s="926"/>
      <c r="T363" s="926"/>
      <c r="U363" s="133"/>
      <c r="V363" s="926"/>
      <c r="W363" s="926"/>
      <c r="X363" s="926"/>
      <c r="Y363" s="926"/>
      <c r="Z363" s="133"/>
      <c r="AA363" s="926"/>
      <c r="AB363" s="926"/>
      <c r="AC363" s="926"/>
      <c r="AD363" s="926"/>
      <c r="AE363" s="133"/>
      <c r="AF363" s="926"/>
      <c r="AG363" s="926"/>
      <c r="AH363" s="926"/>
      <c r="AI363" s="134"/>
      <c r="AJ363" s="133"/>
      <c r="AK363" s="134"/>
      <c r="AL363" s="134"/>
      <c r="AM363" s="134"/>
      <c r="AN363" s="134"/>
      <c r="AO363" s="133"/>
      <c r="AP363" s="134"/>
      <c r="AQ363" s="134"/>
      <c r="AR363" s="134"/>
      <c r="AS363" s="134"/>
      <c r="AT363" s="133"/>
      <c r="AU363" s="134"/>
      <c r="AV363" s="134"/>
      <c r="AW363" s="134"/>
      <c r="AX363" s="134"/>
      <c r="AY363" s="133"/>
      <c r="AZ363" s="134"/>
      <c r="BA363" s="134"/>
      <c r="BB363" s="134"/>
      <c r="BC363" s="134"/>
      <c r="BD363" s="133"/>
      <c r="BE363" s="134"/>
      <c r="BF363" s="134"/>
      <c r="BG363" s="134"/>
      <c r="BH363" s="134"/>
      <c r="BI363" s="133"/>
      <c r="BJ363" s="134"/>
      <c r="BK363" s="134"/>
      <c r="BL363" s="134"/>
      <c r="BM363" s="134"/>
      <c r="BN363" s="133"/>
      <c r="BO363" s="134"/>
      <c r="BP363" s="134"/>
      <c r="BQ363" s="134"/>
      <c r="BR363" s="134"/>
      <c r="BS363" s="133"/>
      <c r="BT363" s="134"/>
      <c r="BU363" s="134"/>
      <c r="BV363" s="134"/>
      <c r="BW363" s="134"/>
      <c r="BX363" s="133"/>
      <c r="BY363" s="134"/>
      <c r="BZ363" s="134"/>
      <c r="CA363" s="134"/>
      <c r="CB363" s="134"/>
      <c r="CC363" s="133"/>
      <c r="CD363" s="134"/>
      <c r="CE363" s="134"/>
      <c r="CF363" s="134"/>
      <c r="CG363" s="134"/>
      <c r="CH363" s="133"/>
      <c r="CI363" s="134"/>
      <c r="CJ363" s="134"/>
      <c r="CK363" s="134"/>
      <c r="CL363" s="134"/>
      <c r="CM363" s="133"/>
      <c r="CN363" s="134"/>
      <c r="CO363" s="134"/>
      <c r="CP363" s="134"/>
      <c r="CQ363" s="134"/>
      <c r="CR363" s="133"/>
      <c r="CS363" s="135"/>
      <c r="CT363" s="135"/>
      <c r="CU363" s="135"/>
      <c r="CV363" s="135"/>
      <c r="CW363" s="133"/>
      <c r="CX363" s="135"/>
      <c r="CY363" s="135"/>
      <c r="CZ363" s="135"/>
      <c r="DA363" s="135"/>
      <c r="DB363" s="133"/>
      <c r="DC363" s="135"/>
      <c r="DD363" s="135"/>
      <c r="DE363" s="135"/>
      <c r="DF363" s="135"/>
      <c r="DG363" s="133"/>
      <c r="DH363" s="135"/>
      <c r="DI363" s="135"/>
      <c r="DJ363" s="135"/>
      <c r="DK363" s="135"/>
      <c r="DL363" s="133"/>
      <c r="DM363" s="135"/>
      <c r="DN363" s="135"/>
      <c r="DO363" s="135"/>
      <c r="DP363" s="135"/>
      <c r="DQ363" s="133"/>
      <c r="DR363" s="135"/>
      <c r="DS363" s="135"/>
      <c r="DT363" s="135"/>
      <c r="DU363" s="135"/>
      <c r="DV363" s="133"/>
      <c r="DW363" s="135"/>
      <c r="DX363" s="135"/>
      <c r="DY363" s="135"/>
      <c r="DZ363" s="135"/>
      <c r="EA363" s="133"/>
      <c r="EB363" s="135"/>
      <c r="EC363" s="135"/>
      <c r="ED363" s="135"/>
      <c r="EE363" s="135"/>
      <c r="EF363" s="133"/>
      <c r="EG363" s="135"/>
      <c r="EH363" s="135"/>
      <c r="EI363" s="135"/>
      <c r="EJ363" s="135"/>
      <c r="EK363" s="133"/>
      <c r="EL363" s="135"/>
      <c r="EM363" s="135"/>
      <c r="EN363" s="135"/>
      <c r="EO363" s="135"/>
      <c r="EP363" s="133"/>
      <c r="EQ363" s="135"/>
      <c r="ER363" s="135"/>
      <c r="ES363" s="135"/>
      <c r="ET363" s="135"/>
      <c r="EU363" s="133"/>
      <c r="EV363" s="203"/>
      <c r="EW363" s="203"/>
      <c r="EX363" s="203"/>
      <c r="EY363" s="203"/>
      <c r="EZ363" s="133"/>
      <c r="FA363" s="203"/>
      <c r="FB363" s="203"/>
      <c r="FC363" s="203"/>
      <c r="FD363" s="203"/>
      <c r="FE363" s="133"/>
      <c r="FF363" s="45"/>
      <c r="FG363" s="494"/>
      <c r="FH363" s="819"/>
      <c r="FI363" s="819"/>
      <c r="FJ363" s="819"/>
      <c r="FK363" s="45"/>
      <c r="FL363" s="1388"/>
      <c r="FM363"/>
      <c r="FN363"/>
      <c r="FO363"/>
      <c r="FP363"/>
      <c r="FQ363"/>
      <c r="FR363" s="1619"/>
      <c r="FS363" s="1619"/>
      <c r="FT363" s="205"/>
      <c r="FU363" s="205"/>
      <c r="FV363" s="205"/>
      <c r="FW363" s="205"/>
      <c r="FX363" s="205"/>
      <c r="FY363" s="205"/>
      <c r="FZ363" s="494"/>
      <c r="GA363"/>
      <c r="GB363"/>
      <c r="GC363"/>
      <c r="GD363"/>
      <c r="GE363"/>
      <c r="GF363"/>
      <c r="GG363"/>
      <c r="GH363"/>
      <c r="GI363"/>
      <c r="GJ363"/>
      <c r="GK363"/>
      <c r="GL363"/>
      <c r="GM363"/>
      <c r="GN363"/>
      <c r="GO363"/>
      <c r="GP363"/>
      <c r="GQ363"/>
      <c r="GR363"/>
      <c r="GS363"/>
      <c r="GT363"/>
      <c r="GU363"/>
      <c r="GV363"/>
      <c r="GW363"/>
      <c r="GX363"/>
      <c r="GY363"/>
      <c r="GZ363"/>
      <c r="HA363"/>
      <c r="HB363"/>
      <c r="HC363"/>
      <c r="HD363"/>
      <c r="HE363"/>
      <c r="HF363"/>
      <c r="HG363"/>
      <c r="HH363"/>
      <c r="HI363"/>
      <c r="HJ363"/>
      <c r="HK363"/>
      <c r="HL363"/>
      <c r="HM363"/>
      <c r="HN363"/>
      <c r="HO363"/>
      <c r="HP363"/>
      <c r="HQ363"/>
      <c r="HR363"/>
      <c r="HS363"/>
      <c r="HT363"/>
      <c r="HU363"/>
      <c r="HV363"/>
      <c r="HW363"/>
      <c r="HX363"/>
      <c r="HY363"/>
      <c r="HZ363"/>
      <c r="IA363"/>
      <c r="IB363"/>
      <c r="IC363"/>
      <c r="ID363"/>
      <c r="IE363"/>
      <c r="IF363"/>
      <c r="IG363"/>
      <c r="IH363"/>
      <c r="II363"/>
      <c r="IJ363"/>
      <c r="IK363"/>
      <c r="IL363"/>
      <c r="IM363"/>
      <c r="IN363"/>
      <c r="IO363"/>
      <c r="IP363"/>
      <c r="IQ363"/>
      <c r="IR363"/>
      <c r="IS363"/>
      <c r="IT363"/>
      <c r="IU363"/>
      <c r="IV363"/>
      <c r="IW363"/>
      <c r="IX363"/>
    </row>
    <row r="364" spans="1:258" s="931" customFormat="1" x14ac:dyDescent="0.2">
      <c r="A364" s="927" t="s">
        <v>321</v>
      </c>
      <c r="B364" s="928"/>
      <c r="C364" s="928"/>
      <c r="D364" s="928"/>
      <c r="E364" s="928"/>
      <c r="F364" s="929"/>
      <c r="G364" s="928"/>
      <c r="H364" s="928"/>
      <c r="I364" s="928"/>
      <c r="J364" s="928"/>
      <c r="K364" s="929"/>
      <c r="L364" s="928"/>
      <c r="M364" s="928"/>
      <c r="N364" s="928"/>
      <c r="O364" s="928"/>
      <c r="P364" s="241">
        <f>P343</f>
        <v>0</v>
      </c>
      <c r="Q364" s="928"/>
      <c r="R364" s="928"/>
      <c r="S364" s="928"/>
      <c r="T364" s="928"/>
      <c r="U364" s="241"/>
      <c r="V364" s="930"/>
      <c r="W364" s="930"/>
      <c r="X364" s="930"/>
      <c r="Y364" s="930"/>
      <c r="Z364" s="241"/>
      <c r="AA364" s="930"/>
      <c r="AB364" s="930"/>
      <c r="AC364" s="930"/>
      <c r="AD364" s="930"/>
      <c r="AE364" s="241"/>
      <c r="AF364" s="930"/>
      <c r="AG364" s="930"/>
      <c r="AH364" s="930"/>
      <c r="AI364" s="930"/>
      <c r="AJ364" s="241"/>
      <c r="AK364" s="930"/>
      <c r="AL364" s="930"/>
      <c r="AM364" s="930"/>
      <c r="AN364" s="930"/>
      <c r="AO364" s="241"/>
      <c r="AP364" s="930"/>
      <c r="AQ364" s="930"/>
      <c r="AR364" s="930"/>
      <c r="AS364" s="930"/>
      <c r="AT364" s="241">
        <f>+AT345</f>
        <v>19957</v>
      </c>
      <c r="AU364" s="930"/>
      <c r="AV364" s="930"/>
      <c r="AW364" s="930"/>
      <c r="AX364" s="930"/>
      <c r="AY364" s="241">
        <f>+AY345</f>
        <v>20427</v>
      </c>
      <c r="AZ364" s="228"/>
      <c r="BA364" s="228"/>
      <c r="BB364" s="228"/>
      <c r="BC364" s="228"/>
      <c r="BD364" s="241">
        <f>+BD345</f>
        <v>20720</v>
      </c>
      <c r="BE364" s="228"/>
      <c r="BF364" s="228"/>
      <c r="BG364" s="228"/>
      <c r="BH364" s="228"/>
      <c r="BI364" s="241">
        <f>+BI345</f>
        <v>20491</v>
      </c>
      <c r="BJ364" s="228"/>
      <c r="BK364" s="228"/>
      <c r="BL364" s="228"/>
      <c r="BM364" s="228"/>
      <c r="BN364" s="241">
        <f>+BN345</f>
        <v>20801</v>
      </c>
      <c r="BO364" s="228"/>
      <c r="BP364" s="228"/>
      <c r="BQ364" s="228"/>
      <c r="BR364" s="228"/>
      <c r="BS364" s="241">
        <f>+BS345</f>
        <v>20962</v>
      </c>
      <c r="BT364" s="228"/>
      <c r="BU364" s="228"/>
      <c r="BV364" s="228"/>
      <c r="BW364" s="228"/>
      <c r="BX364" s="241">
        <f>+BX345</f>
        <v>21745</v>
      </c>
      <c r="BY364" s="228"/>
      <c r="BZ364" s="228"/>
      <c r="CA364" s="228"/>
      <c r="CB364" s="228"/>
      <c r="CC364" s="241">
        <f>+CC345</f>
        <v>24605</v>
      </c>
      <c r="CD364" s="228"/>
      <c r="CE364" s="228"/>
      <c r="CF364" s="228"/>
      <c r="CG364" s="228"/>
      <c r="CH364" s="241">
        <f>+CH345</f>
        <v>24232</v>
      </c>
      <c r="CI364" s="228"/>
      <c r="CJ364" s="228"/>
      <c r="CK364" s="228"/>
      <c r="CL364" s="228"/>
      <c r="CM364" s="241">
        <f>+CM345</f>
        <v>25129</v>
      </c>
      <c r="CN364" s="228"/>
      <c r="CO364" s="228"/>
      <c r="CP364" s="228"/>
      <c r="CQ364" s="228"/>
      <c r="CR364" s="241">
        <f>+CR345</f>
        <v>25534</v>
      </c>
      <c r="CS364" s="228"/>
      <c r="CT364" s="228"/>
      <c r="CU364" s="228"/>
      <c r="CV364" s="228"/>
      <c r="CW364" s="241">
        <f>+CW345</f>
        <v>26288</v>
      </c>
      <c r="CX364" s="228"/>
      <c r="CY364" s="228"/>
      <c r="CZ364" s="228"/>
      <c r="DA364" s="228"/>
      <c r="DB364" s="241">
        <f>+DB345</f>
        <v>27036</v>
      </c>
      <c r="DC364" s="228"/>
      <c r="DD364" s="228"/>
      <c r="DE364" s="228"/>
      <c r="DF364" s="228"/>
      <c r="DG364" s="241">
        <f>+DG345</f>
        <v>28141</v>
      </c>
      <c r="DH364" s="228"/>
      <c r="DI364" s="228"/>
      <c r="DJ364" s="228"/>
      <c r="DK364" s="228"/>
      <c r="DL364" s="241">
        <f>+DL345</f>
        <v>29344</v>
      </c>
      <c r="DM364" s="228"/>
      <c r="DN364" s="228"/>
      <c r="DO364" s="228"/>
      <c r="DP364" s="228"/>
      <c r="DQ364" s="241">
        <f>+DQ345</f>
        <v>30723</v>
      </c>
      <c r="DR364" s="228"/>
      <c r="DS364" s="228"/>
      <c r="DT364" s="228"/>
      <c r="DU364" s="228"/>
      <c r="DV364" s="241">
        <f>+DV345</f>
        <v>31782</v>
      </c>
      <c r="DW364" s="228"/>
      <c r="DX364" s="228"/>
      <c r="DY364" s="228"/>
      <c r="DZ364" s="228"/>
      <c r="EA364" s="241">
        <f>+EA345</f>
        <v>33053</v>
      </c>
      <c r="EB364" s="841"/>
      <c r="EC364" s="203"/>
      <c r="ED364" s="203"/>
      <c r="EE364" s="203"/>
      <c r="EF364" s="241">
        <f>+EF345</f>
        <v>34745</v>
      </c>
      <c r="EG364" s="841"/>
      <c r="EH364" s="203"/>
      <c r="EI364" s="203"/>
      <c r="EJ364" s="203"/>
      <c r="EK364" s="241">
        <f>+EK345</f>
        <v>35414</v>
      </c>
      <c r="EL364" s="203"/>
      <c r="EM364" s="203"/>
      <c r="EN364" s="203"/>
      <c r="EO364" s="203"/>
      <c r="EP364" s="241">
        <f>+EP345</f>
        <v>35739</v>
      </c>
      <c r="EQ364" s="203"/>
      <c r="ER364" s="203"/>
      <c r="ES364" s="203"/>
      <c r="ET364" s="203"/>
      <c r="EU364" s="241">
        <f ca="1">+EU345</f>
        <v>36413.607092425926</v>
      </c>
      <c r="EV364" s="203"/>
      <c r="EW364" s="203"/>
      <c r="EX364" s="203"/>
      <c r="EY364" s="203"/>
      <c r="EZ364" s="241">
        <f ca="1">+EZ345</f>
        <v>36948.091169714309</v>
      </c>
      <c r="FA364" s="203"/>
      <c r="FB364" s="203"/>
      <c r="FC364" s="203"/>
      <c r="FD364" s="203"/>
      <c r="FE364" s="241">
        <f ca="1">+FE345</f>
        <v>37475.470459975608</v>
      </c>
      <c r="FF364" s="45"/>
      <c r="FG364" s="494"/>
      <c r="FH364" s="819"/>
      <c r="FI364" s="819"/>
      <c r="FJ364" s="819"/>
      <c r="FK364" s="45"/>
      <c r="FL364" s="1388"/>
      <c r="FM364"/>
      <c r="FN364"/>
      <c r="FO364"/>
      <c r="FP364"/>
      <c r="FQ364"/>
      <c r="FR364" s="1619"/>
      <c r="FS364" s="1619"/>
      <c r="FT364" s="205"/>
      <c r="FU364" s="205"/>
      <c r="FV364" s="205"/>
      <c r="FW364" s="205"/>
      <c r="FX364" s="205"/>
      <c r="FY364" s="205"/>
      <c r="FZ364" s="494"/>
      <c r="GA364"/>
      <c r="GB364"/>
      <c r="GC364"/>
      <c r="GD364"/>
      <c r="GE364"/>
      <c r="GF364"/>
      <c r="GG364"/>
      <c r="GH364"/>
      <c r="GI364"/>
      <c r="GJ364"/>
      <c r="GK364"/>
      <c r="GL364"/>
      <c r="GM364"/>
      <c r="GN364"/>
      <c r="GO364"/>
      <c r="GP364"/>
      <c r="GQ364"/>
      <c r="GR364"/>
      <c r="GS364"/>
      <c r="GT364"/>
      <c r="GU364"/>
      <c r="GV364"/>
      <c r="GW364"/>
      <c r="GX364"/>
      <c r="GY364"/>
      <c r="GZ364"/>
      <c r="HA364"/>
      <c r="HB364"/>
      <c r="HC364"/>
      <c r="HD364"/>
      <c r="HE364"/>
      <c r="HF364"/>
      <c r="HG364"/>
      <c r="HH364"/>
      <c r="HI364"/>
      <c r="HJ364"/>
      <c r="HK364"/>
      <c r="HL364"/>
      <c r="HM364"/>
      <c r="HN364"/>
      <c r="HO364"/>
      <c r="HP364"/>
      <c r="HQ364"/>
      <c r="HR364"/>
      <c r="HS364"/>
      <c r="HT364"/>
      <c r="HU364"/>
      <c r="HV364"/>
      <c r="HW364"/>
      <c r="HX364"/>
      <c r="HY364"/>
      <c r="HZ364"/>
      <c r="IA364"/>
      <c r="IB364"/>
      <c r="IC364"/>
      <c r="ID364"/>
      <c r="IE364"/>
      <c r="IF364"/>
      <c r="IG364"/>
      <c r="IH364"/>
      <c r="II364"/>
      <c r="IJ364"/>
      <c r="IK364"/>
      <c r="IL364"/>
      <c r="IM364"/>
      <c r="IN364"/>
      <c r="IO364"/>
      <c r="IP364"/>
      <c r="IQ364"/>
      <c r="IR364"/>
      <c r="IS364"/>
      <c r="IT364"/>
      <c r="IU364"/>
      <c r="IV364"/>
      <c r="IW364"/>
      <c r="IX364"/>
    </row>
    <row r="365" spans="1:258" s="931" customFormat="1" x14ac:dyDescent="0.2">
      <c r="A365" s="927" t="s">
        <v>548</v>
      </c>
      <c r="B365" s="928"/>
      <c r="C365" s="928"/>
      <c r="D365" s="928"/>
      <c r="E365" s="928"/>
      <c r="F365" s="929"/>
      <c r="G365" s="928"/>
      <c r="H365" s="928"/>
      <c r="I365" s="928"/>
      <c r="J365" s="928"/>
      <c r="K365" s="929"/>
      <c r="L365" s="928"/>
      <c r="M365" s="928"/>
      <c r="N365" s="928"/>
      <c r="O365" s="928"/>
      <c r="P365" s="241">
        <f>P345+P351</f>
        <v>0</v>
      </c>
      <c r="Q365" s="928"/>
      <c r="R365" s="928"/>
      <c r="S365" s="928"/>
      <c r="T365" s="928"/>
      <c r="U365" s="241"/>
      <c r="V365" s="930"/>
      <c r="W365" s="930"/>
      <c r="X365" s="930"/>
      <c r="Y365" s="930"/>
      <c r="Z365" s="241"/>
      <c r="AA365" s="930"/>
      <c r="AB365" s="930"/>
      <c r="AC365" s="930"/>
      <c r="AD365" s="930"/>
      <c r="AE365" s="241"/>
      <c r="AF365" s="930"/>
      <c r="AG365" s="930"/>
      <c r="AH365" s="930"/>
      <c r="AI365" s="930"/>
      <c r="AJ365" s="241"/>
      <c r="AK365" s="930"/>
      <c r="AL365" s="930"/>
      <c r="AM365" s="930"/>
      <c r="AN365" s="930"/>
      <c r="AO365" s="241"/>
      <c r="AP365" s="930"/>
      <c r="AQ365" s="930"/>
      <c r="AR365" s="930"/>
      <c r="AS365" s="930"/>
      <c r="AT365" s="241">
        <f>+AT347+AT351</f>
        <v>6771</v>
      </c>
      <c r="AU365" s="930"/>
      <c r="AV365" s="930"/>
      <c r="AW365" s="930"/>
      <c r="AX365" s="930"/>
      <c r="AY365" s="241">
        <f>+AY347+AY351</f>
        <v>6719</v>
      </c>
      <c r="AZ365" s="228"/>
      <c r="BA365" s="228"/>
      <c r="BB365" s="228"/>
      <c r="BC365" s="228"/>
      <c r="BD365" s="241">
        <f>+BD347+BD351</f>
        <v>6196</v>
      </c>
      <c r="BE365" s="228"/>
      <c r="BF365" s="228"/>
      <c r="BG365" s="228"/>
      <c r="BH365" s="228"/>
      <c r="BI365" s="241">
        <f>+BI347+BI351</f>
        <v>5810</v>
      </c>
      <c r="BJ365" s="228"/>
      <c r="BK365" s="228"/>
      <c r="BL365" s="228"/>
      <c r="BM365" s="228"/>
      <c r="BN365" s="241">
        <f>+BN347+BN351</f>
        <v>5839</v>
      </c>
      <c r="BO365" s="228"/>
      <c r="BP365" s="228"/>
      <c r="BQ365" s="228"/>
      <c r="BR365" s="228"/>
      <c r="BS365" s="241">
        <f>+BS347+BS351</f>
        <v>6519</v>
      </c>
      <c r="BT365" s="228"/>
      <c r="BU365" s="228"/>
      <c r="BV365" s="228"/>
      <c r="BW365" s="228"/>
      <c r="BX365" s="241">
        <f>+BX347+BX351</f>
        <v>7314</v>
      </c>
      <c r="BY365" s="228"/>
      <c r="BZ365" s="228"/>
      <c r="CA365" s="228"/>
      <c r="CB365" s="228"/>
      <c r="CC365" s="241">
        <f>+CC347+CC351</f>
        <v>7332</v>
      </c>
      <c r="CD365" s="228"/>
      <c r="CE365" s="228"/>
      <c r="CF365" s="228"/>
      <c r="CG365" s="228"/>
      <c r="CH365" s="241">
        <f>+CH347+CH351</f>
        <v>6030</v>
      </c>
      <c r="CI365" s="228"/>
      <c r="CJ365" s="228"/>
      <c r="CK365" s="228"/>
      <c r="CL365" s="228"/>
      <c r="CM365" s="241">
        <f>+CM347+CM351</f>
        <v>5962</v>
      </c>
      <c r="CN365" s="228"/>
      <c r="CO365" s="228"/>
      <c r="CP365" s="228"/>
      <c r="CQ365" s="228"/>
      <c r="CR365" s="241">
        <f>+CR347+CR351</f>
        <v>7257</v>
      </c>
      <c r="CS365" s="228"/>
      <c r="CT365" s="228"/>
      <c r="CU365" s="228"/>
      <c r="CV365" s="228"/>
      <c r="CW365" s="241">
        <f>+CW347+CW351</f>
        <v>7832</v>
      </c>
      <c r="CX365" s="228"/>
      <c r="CY365" s="228"/>
      <c r="CZ365" s="228"/>
      <c r="DA365" s="228"/>
      <c r="DB365" s="241">
        <f>+DB347+DB351</f>
        <v>8008</v>
      </c>
      <c r="DC365" s="228"/>
      <c r="DD365" s="228"/>
      <c r="DE365" s="228"/>
      <c r="DF365" s="228"/>
      <c r="DG365" s="241">
        <f>+DG347+DG351</f>
        <v>8664</v>
      </c>
      <c r="DH365" s="228"/>
      <c r="DI365" s="228"/>
      <c r="DJ365" s="228"/>
      <c r="DK365" s="228"/>
      <c r="DL365" s="241">
        <f>+DL347+DL351</f>
        <v>9241</v>
      </c>
      <c r="DM365" s="228"/>
      <c r="DN365" s="228"/>
      <c r="DO365" s="228"/>
      <c r="DP365" s="228"/>
      <c r="DQ365" s="241">
        <f>+DQ347+DQ351</f>
        <v>9832</v>
      </c>
      <c r="DR365" s="228"/>
      <c r="DS365" s="228"/>
      <c r="DT365" s="228"/>
      <c r="DU365" s="228"/>
      <c r="DV365" s="241">
        <f>+DV347+DV351</f>
        <v>9555</v>
      </c>
      <c r="DW365" s="228"/>
      <c r="DX365" s="228"/>
      <c r="DY365" s="228"/>
      <c r="DZ365" s="228"/>
      <c r="EA365" s="241">
        <f>+EA347+EA351</f>
        <v>9742</v>
      </c>
      <c r="EB365" s="841"/>
      <c r="EC365" s="203"/>
      <c r="ED365" s="203"/>
      <c r="EE365" s="203"/>
      <c r="EF365" s="241">
        <f>+EF347+EF351</f>
        <v>10535</v>
      </c>
      <c r="EG365" s="841"/>
      <c r="EH365" s="203"/>
      <c r="EI365" s="203"/>
      <c r="EJ365" s="203"/>
      <c r="EK365" s="241">
        <f>+EK347+EK351</f>
        <v>11293</v>
      </c>
      <c r="EL365" s="203"/>
      <c r="EM365" s="203"/>
      <c r="EN365" s="203"/>
      <c r="EO365" s="203"/>
      <c r="EP365" s="241">
        <f>+EP347+EP351</f>
        <v>11809</v>
      </c>
      <c r="EQ365" s="203"/>
      <c r="ER365" s="203"/>
      <c r="ES365" s="203"/>
      <c r="ET365" s="203"/>
      <c r="EU365" s="241">
        <f>+EU347+EU351</f>
        <v>14009</v>
      </c>
      <c r="EV365" s="203"/>
      <c r="EW365" s="203"/>
      <c r="EX365" s="203"/>
      <c r="EY365" s="203"/>
      <c r="EZ365" s="241">
        <f>+EZ347+EZ351</f>
        <v>14009</v>
      </c>
      <c r="FA365" s="203"/>
      <c r="FB365" s="203"/>
      <c r="FC365" s="203"/>
      <c r="FD365" s="203"/>
      <c r="FE365" s="241">
        <f>+FE347+FE351</f>
        <v>13209</v>
      </c>
      <c r="FF365" s="45"/>
      <c r="FG365" s="494"/>
      <c r="FH365" s="819"/>
      <c r="FI365" s="819"/>
      <c r="FJ365" s="819"/>
      <c r="FK365" s="45"/>
      <c r="FL365" s="1388"/>
      <c r="FM365"/>
      <c r="FN365"/>
      <c r="FO365"/>
      <c r="FP365"/>
      <c r="FQ365"/>
      <c r="FR365" s="1619"/>
      <c r="FS365" s="1619"/>
      <c r="FT365" s="205"/>
      <c r="FU365" s="205"/>
      <c r="FV365" s="205"/>
      <c r="FW365" s="205"/>
      <c r="FX365" s="205"/>
      <c r="FY365" s="205"/>
      <c r="FZ365" s="494"/>
      <c r="GA365"/>
      <c r="GB365"/>
      <c r="GC365"/>
      <c r="GD365"/>
      <c r="GE365"/>
      <c r="GF365"/>
      <c r="GG365"/>
      <c r="GH365"/>
      <c r="GI365"/>
      <c r="GJ365"/>
      <c r="GK365"/>
      <c r="GL365"/>
      <c r="GM365"/>
      <c r="GN365"/>
      <c r="GO365"/>
      <c r="GP365"/>
      <c r="GQ365"/>
      <c r="GR365"/>
      <c r="GS365"/>
      <c r="GT365"/>
      <c r="GU365"/>
      <c r="GV365"/>
      <c r="GW365"/>
      <c r="GX365"/>
      <c r="GY365"/>
      <c r="GZ365"/>
      <c r="HA365"/>
      <c r="HB365"/>
      <c r="HC365"/>
      <c r="HD365"/>
      <c r="HE365"/>
      <c r="HF365"/>
      <c r="HG365"/>
      <c r="HH365"/>
      <c r="HI365"/>
      <c r="HJ365"/>
      <c r="HK365"/>
      <c r="HL365"/>
      <c r="HM365"/>
      <c r="HN365"/>
      <c r="HO365"/>
      <c r="HP365"/>
      <c r="HQ365"/>
      <c r="HR365"/>
      <c r="HS365"/>
      <c r="HT365"/>
      <c r="HU365"/>
      <c r="HV365"/>
      <c r="HW365"/>
      <c r="HX365"/>
      <c r="HY365"/>
      <c r="HZ365"/>
      <c r="IA365"/>
      <c r="IB365"/>
      <c r="IC365"/>
      <c r="ID365"/>
      <c r="IE365"/>
      <c r="IF365"/>
      <c r="IG365"/>
      <c r="IH365"/>
      <c r="II365"/>
      <c r="IJ365"/>
      <c r="IK365"/>
      <c r="IL365"/>
      <c r="IM365"/>
      <c r="IN365"/>
      <c r="IO365"/>
      <c r="IP365"/>
      <c r="IQ365"/>
      <c r="IR365"/>
      <c r="IS365"/>
      <c r="IT365"/>
      <c r="IU365"/>
      <c r="IV365"/>
      <c r="IW365"/>
      <c r="IX365"/>
    </row>
    <row r="366" spans="1:258" s="931" customFormat="1" x14ac:dyDescent="0.2">
      <c r="A366" s="927" t="s">
        <v>549</v>
      </c>
      <c r="B366" s="928"/>
      <c r="C366" s="928"/>
      <c r="D366" s="928"/>
      <c r="E366" s="928"/>
      <c r="F366" s="929"/>
      <c r="G366" s="928"/>
      <c r="H366" s="928"/>
      <c r="I366" s="928"/>
      <c r="J366" s="928"/>
      <c r="K366" s="929"/>
      <c r="L366" s="928"/>
      <c r="M366" s="928"/>
      <c r="N366" s="928"/>
      <c r="O366" s="928"/>
      <c r="P366" s="241">
        <f>P359</f>
        <v>0</v>
      </c>
      <c r="Q366" s="928"/>
      <c r="R366" s="928"/>
      <c r="S366" s="928"/>
      <c r="T366" s="928"/>
      <c r="U366" s="241"/>
      <c r="V366" s="930"/>
      <c r="W366" s="930"/>
      <c r="X366" s="930"/>
      <c r="Y366" s="930"/>
      <c r="Z366" s="241"/>
      <c r="AA366" s="930"/>
      <c r="AB366" s="930"/>
      <c r="AC366" s="930"/>
      <c r="AD366" s="930"/>
      <c r="AE366" s="241"/>
      <c r="AF366" s="930"/>
      <c r="AG366" s="930"/>
      <c r="AH366" s="930"/>
      <c r="AI366" s="930"/>
      <c r="AJ366" s="241"/>
      <c r="AK366" s="930"/>
      <c r="AL366" s="930"/>
      <c r="AM366" s="930"/>
      <c r="AN366" s="930"/>
      <c r="AO366" s="241"/>
      <c r="AP366" s="930"/>
      <c r="AQ366" s="930"/>
      <c r="AR366" s="930"/>
      <c r="AS366" s="930"/>
      <c r="AT366" s="241">
        <f>+AT359</f>
        <v>5766</v>
      </c>
      <c r="AU366" s="930"/>
      <c r="AV366" s="930"/>
      <c r="AW366" s="930"/>
      <c r="AX366" s="930"/>
      <c r="AY366" s="241">
        <f>+AY359</f>
        <v>5880</v>
      </c>
      <c r="AZ366" s="228"/>
      <c r="BA366" s="228"/>
      <c r="BB366" s="228"/>
      <c r="BC366" s="228"/>
      <c r="BD366" s="241">
        <f>+BD359</f>
        <v>5756</v>
      </c>
      <c r="BE366" s="228"/>
      <c r="BF366" s="228"/>
      <c r="BG366" s="228"/>
      <c r="BH366" s="228"/>
      <c r="BI366" s="241">
        <f>+BI359</f>
        <v>6017</v>
      </c>
      <c r="BJ366" s="228"/>
      <c r="BK366" s="228"/>
      <c r="BL366" s="228"/>
      <c r="BM366" s="228"/>
      <c r="BN366" s="241">
        <f>+BN359</f>
        <v>6120</v>
      </c>
      <c r="BO366" s="228"/>
      <c r="BP366" s="228"/>
      <c r="BQ366" s="228"/>
      <c r="BR366" s="228"/>
      <c r="BS366" s="241">
        <f>+BS359</f>
        <v>6241</v>
      </c>
      <c r="BT366" s="228"/>
      <c r="BU366" s="228"/>
      <c r="BV366" s="228"/>
      <c r="BW366" s="228"/>
      <c r="BX366" s="241">
        <f>+BX359</f>
        <v>6441</v>
      </c>
      <c r="BY366" s="228"/>
      <c r="BZ366" s="228"/>
      <c r="CA366" s="228"/>
      <c r="CB366" s="228"/>
      <c r="CC366" s="241">
        <f>+CC359</f>
        <v>6811</v>
      </c>
      <c r="CD366" s="228"/>
      <c r="CE366" s="228"/>
      <c r="CF366" s="228"/>
      <c r="CG366" s="228"/>
      <c r="CH366" s="241">
        <f>+CH359</f>
        <v>7954</v>
      </c>
      <c r="CI366" s="228"/>
      <c r="CJ366" s="228"/>
      <c r="CK366" s="228"/>
      <c r="CL366" s="228"/>
      <c r="CM366" s="241">
        <f>+CM359</f>
        <v>8942</v>
      </c>
      <c r="CN366" s="228"/>
      <c r="CO366" s="228"/>
      <c r="CP366" s="228"/>
      <c r="CQ366" s="228"/>
      <c r="CR366" s="241">
        <f>+CR359</f>
        <v>8685</v>
      </c>
      <c r="CS366" s="228"/>
      <c r="CT366" s="228"/>
      <c r="CU366" s="228"/>
      <c r="CV366" s="228"/>
      <c r="CW366" s="241">
        <f>+CW359</f>
        <v>8048</v>
      </c>
      <c r="CX366" s="228"/>
      <c r="CY366" s="228"/>
      <c r="CZ366" s="228"/>
      <c r="DA366" s="228"/>
      <c r="DB366" s="241">
        <f>+DB359</f>
        <v>8860</v>
      </c>
      <c r="DC366" s="228"/>
      <c r="DD366" s="228"/>
      <c r="DE366" s="228"/>
      <c r="DF366" s="228"/>
      <c r="DG366" s="241">
        <f>+DG359</f>
        <v>8700</v>
      </c>
      <c r="DH366" s="228"/>
      <c r="DI366" s="228"/>
      <c r="DJ366" s="228"/>
      <c r="DK366" s="228"/>
      <c r="DL366" s="241">
        <f>+DL359</f>
        <v>8468</v>
      </c>
      <c r="DM366" s="228"/>
      <c r="DN366" s="228"/>
      <c r="DO366" s="228"/>
      <c r="DP366" s="228"/>
      <c r="DQ366" s="241">
        <f>+DQ359</f>
        <v>9136</v>
      </c>
      <c r="DR366" s="228"/>
      <c r="DS366" s="228"/>
      <c r="DT366" s="228"/>
      <c r="DU366" s="228"/>
      <c r="DV366" s="241">
        <f>+DV359</f>
        <v>10504</v>
      </c>
      <c r="DW366" s="228"/>
      <c r="DX366" s="228"/>
      <c r="DY366" s="228"/>
      <c r="DZ366" s="228"/>
      <c r="EA366" s="241">
        <f>+EA359</f>
        <v>11176</v>
      </c>
      <c r="EB366" s="841"/>
      <c r="EC366" s="203"/>
      <c r="ED366" s="203"/>
      <c r="EE366" s="203"/>
      <c r="EF366" s="241">
        <f>+EF359</f>
        <v>11668</v>
      </c>
      <c r="EG366" s="841"/>
      <c r="EH366" s="203"/>
      <c r="EI366" s="203"/>
      <c r="EJ366" s="203"/>
      <c r="EK366" s="241">
        <f>+EK359</f>
        <v>11694</v>
      </c>
      <c r="EL366" s="203"/>
      <c r="EM366" s="203"/>
      <c r="EN366" s="203"/>
      <c r="EO366" s="203"/>
      <c r="EP366" s="241">
        <f>+EP359</f>
        <v>14721</v>
      </c>
      <c r="EQ366" s="203"/>
      <c r="ER366" s="203"/>
      <c r="ES366" s="203"/>
      <c r="ET366" s="203"/>
      <c r="EU366" s="241">
        <f ca="1">+EU359</f>
        <v>12848.926284691799</v>
      </c>
      <c r="EV366" s="203"/>
      <c r="EW366" s="203"/>
      <c r="EX366" s="203"/>
      <c r="EY366" s="203"/>
      <c r="EZ366" s="241">
        <f ca="1">+EZ359</f>
        <v>12993.565691651231</v>
      </c>
      <c r="FA366" s="203"/>
      <c r="FB366" s="203"/>
      <c r="FC366" s="203"/>
      <c r="FD366" s="203"/>
      <c r="FE366" s="241">
        <f ca="1">+FE359</f>
        <v>13930.085820867898</v>
      </c>
      <c r="FF366" s="45"/>
      <c r="FG366" s="494"/>
      <c r="FH366" s="819"/>
      <c r="FI366" s="819"/>
      <c r="FJ366" s="819"/>
      <c r="FK366" s="45"/>
      <c r="FL366" s="1388"/>
      <c r="FM366"/>
      <c r="FN366"/>
      <c r="FO366"/>
      <c r="FP366"/>
      <c r="FQ366"/>
      <c r="FR366" s="1619"/>
      <c r="FS366" s="1619"/>
      <c r="FT366" s="205"/>
      <c r="FU366" s="205"/>
      <c r="FV366" s="205"/>
      <c r="FW366" s="205"/>
      <c r="FX366" s="205"/>
      <c r="FY366" s="205"/>
      <c r="FZ366" s="494"/>
      <c r="GA366"/>
      <c r="GB366"/>
      <c r="GC366"/>
      <c r="GD366"/>
      <c r="GE366"/>
      <c r="GF366"/>
      <c r="GG366"/>
      <c r="GH366"/>
      <c r="GI366"/>
      <c r="GJ366"/>
      <c r="GK366"/>
      <c r="GL366"/>
      <c r="GM366"/>
      <c r="GN366"/>
      <c r="GO366"/>
      <c r="GP366"/>
      <c r="GQ366"/>
      <c r="GR366"/>
      <c r="GS366"/>
      <c r="GT366"/>
      <c r="GU366"/>
      <c r="GV366"/>
      <c r="GW366"/>
      <c r="GX366"/>
      <c r="GY366"/>
      <c r="GZ366"/>
      <c r="HA366"/>
      <c r="HB366"/>
      <c r="HC366"/>
      <c r="HD366"/>
      <c r="HE366"/>
      <c r="HF366"/>
      <c r="HG366"/>
      <c r="HH366"/>
      <c r="HI366"/>
      <c r="HJ366"/>
      <c r="HK366"/>
      <c r="HL366"/>
      <c r="HM366"/>
      <c r="HN366"/>
      <c r="HO366"/>
      <c r="HP366"/>
      <c r="HQ366"/>
      <c r="HR366"/>
      <c r="HS366"/>
      <c r="HT366"/>
      <c r="HU366"/>
      <c r="HV366"/>
      <c r="HW366"/>
      <c r="HX366"/>
      <c r="HY366"/>
      <c r="HZ366"/>
      <c r="IA366"/>
      <c r="IB366"/>
      <c r="IC366"/>
      <c r="ID366"/>
      <c r="IE366"/>
      <c r="IF366"/>
      <c r="IG366"/>
      <c r="IH366"/>
      <c r="II366"/>
      <c r="IJ366"/>
      <c r="IK366"/>
      <c r="IL366"/>
      <c r="IM366"/>
      <c r="IN366"/>
      <c r="IO366"/>
      <c r="IP366"/>
      <c r="IQ366"/>
      <c r="IR366"/>
      <c r="IS366"/>
      <c r="IT366"/>
      <c r="IU366"/>
      <c r="IV366"/>
      <c r="IW366"/>
      <c r="IX366"/>
    </row>
    <row r="367" spans="1:258" s="931" customFormat="1" x14ac:dyDescent="0.2">
      <c r="A367" s="927" t="s">
        <v>550</v>
      </c>
      <c r="B367" s="928"/>
      <c r="C367" s="928"/>
      <c r="D367" s="928"/>
      <c r="E367" s="928"/>
      <c r="F367" s="929"/>
      <c r="G367" s="928"/>
      <c r="H367" s="928"/>
      <c r="I367" s="928"/>
      <c r="J367" s="928"/>
      <c r="K367" s="929"/>
      <c r="L367" s="928"/>
      <c r="M367" s="928"/>
      <c r="N367" s="928"/>
      <c r="O367" s="928"/>
      <c r="P367" s="241">
        <f>P366+P365</f>
        <v>0</v>
      </c>
      <c r="Q367" s="928"/>
      <c r="R367" s="928"/>
      <c r="S367" s="928"/>
      <c r="T367" s="928"/>
      <c r="U367" s="241"/>
      <c r="V367" s="930"/>
      <c r="W367" s="930"/>
      <c r="X367" s="930"/>
      <c r="Y367" s="930"/>
      <c r="Z367" s="241"/>
      <c r="AA367" s="930"/>
      <c r="AB367" s="930"/>
      <c r="AC367" s="930"/>
      <c r="AD367" s="930"/>
      <c r="AE367" s="241"/>
      <c r="AF367" s="930"/>
      <c r="AG367" s="930"/>
      <c r="AH367" s="930"/>
      <c r="AI367" s="930"/>
      <c r="AJ367" s="241"/>
      <c r="AK367" s="930"/>
      <c r="AL367" s="930"/>
      <c r="AM367" s="930"/>
      <c r="AN367" s="930"/>
      <c r="AO367" s="241"/>
      <c r="AP367" s="930"/>
      <c r="AQ367" s="930"/>
      <c r="AR367" s="930"/>
      <c r="AS367" s="930"/>
      <c r="AT367" s="241">
        <f>AT366+AT365</f>
        <v>12537</v>
      </c>
      <c r="AU367" s="930"/>
      <c r="AV367" s="930"/>
      <c r="AW367" s="930"/>
      <c r="AX367" s="930"/>
      <c r="AY367" s="241">
        <f>AY366+AY365</f>
        <v>12599</v>
      </c>
      <c r="AZ367" s="228"/>
      <c r="BA367" s="228"/>
      <c r="BB367" s="228"/>
      <c r="BC367" s="228"/>
      <c r="BD367" s="241">
        <f>BD366+BD365</f>
        <v>11952</v>
      </c>
      <c r="BE367" s="228"/>
      <c r="BF367" s="228"/>
      <c r="BG367" s="228"/>
      <c r="BH367" s="228"/>
      <c r="BI367" s="241">
        <f>BI366+BI365</f>
        <v>11827</v>
      </c>
      <c r="BJ367" s="228"/>
      <c r="BK367" s="228"/>
      <c r="BL367" s="228"/>
      <c r="BM367" s="228"/>
      <c r="BN367" s="241">
        <f>BN366+BN365</f>
        <v>11959</v>
      </c>
      <c r="BO367" s="228"/>
      <c r="BP367" s="228"/>
      <c r="BQ367" s="228"/>
      <c r="BR367" s="228"/>
      <c r="BS367" s="241">
        <f>BS366+BS365</f>
        <v>12760</v>
      </c>
      <c r="BT367" s="228"/>
      <c r="BU367" s="228"/>
      <c r="BV367" s="228"/>
      <c r="BW367" s="228"/>
      <c r="BX367" s="241">
        <f>BX366+BX365</f>
        <v>13755</v>
      </c>
      <c r="BY367" s="228"/>
      <c r="BZ367" s="228"/>
      <c r="CA367" s="228"/>
      <c r="CB367" s="228"/>
      <c r="CC367" s="241">
        <f>CC366+CC365</f>
        <v>14143</v>
      </c>
      <c r="CD367" s="228"/>
      <c r="CE367" s="228"/>
      <c r="CF367" s="228"/>
      <c r="CG367" s="228"/>
      <c r="CH367" s="241">
        <f>CH366+CH365</f>
        <v>13984</v>
      </c>
      <c r="CI367" s="228"/>
      <c r="CJ367" s="228"/>
      <c r="CK367" s="228"/>
      <c r="CL367" s="228"/>
      <c r="CM367" s="241">
        <f>CM366+CM365</f>
        <v>14904</v>
      </c>
      <c r="CN367" s="228"/>
      <c r="CO367" s="228"/>
      <c r="CP367" s="228"/>
      <c r="CQ367" s="228"/>
      <c r="CR367" s="241">
        <f>CR366+CR365</f>
        <v>15942</v>
      </c>
      <c r="CS367" s="228"/>
      <c r="CT367" s="228"/>
      <c r="CU367" s="228"/>
      <c r="CV367" s="228"/>
      <c r="CW367" s="241">
        <f>CW366+CW365</f>
        <v>15880</v>
      </c>
      <c r="CX367" s="228"/>
      <c r="CY367" s="228"/>
      <c r="CZ367" s="228"/>
      <c r="DA367" s="228"/>
      <c r="DB367" s="241">
        <f>DB366+DB365</f>
        <v>16868</v>
      </c>
      <c r="DC367" s="228"/>
      <c r="DD367" s="228"/>
      <c r="DE367" s="228"/>
      <c r="DF367" s="228"/>
      <c r="DG367" s="241">
        <f>DG366+DG365</f>
        <v>17364</v>
      </c>
      <c r="DH367" s="228"/>
      <c r="DI367" s="228"/>
      <c r="DJ367" s="228"/>
      <c r="DK367" s="228"/>
      <c r="DL367" s="241">
        <f>DL366+DL365</f>
        <v>17709</v>
      </c>
      <c r="DM367" s="228"/>
      <c r="DN367" s="228"/>
      <c r="DO367" s="228"/>
      <c r="DP367" s="228"/>
      <c r="DQ367" s="241">
        <f>DQ366+DQ365</f>
        <v>18968</v>
      </c>
      <c r="DR367" s="228"/>
      <c r="DS367" s="228"/>
      <c r="DT367" s="228"/>
      <c r="DU367" s="228"/>
      <c r="DV367" s="241">
        <f>DV366+DV365</f>
        <v>20059</v>
      </c>
      <c r="DW367" s="228"/>
      <c r="DX367" s="228"/>
      <c r="DY367" s="228"/>
      <c r="DZ367" s="228"/>
      <c r="EA367" s="241">
        <f>EA366+EA365</f>
        <v>20918</v>
      </c>
      <c r="EB367" s="841"/>
      <c r="EC367" s="203"/>
      <c r="ED367" s="203"/>
      <c r="EE367" s="203"/>
      <c r="EF367" s="241">
        <f>EF366+EF365</f>
        <v>22203</v>
      </c>
      <c r="EG367" s="841"/>
      <c r="EH367" s="203"/>
      <c r="EI367" s="203"/>
      <c r="EJ367" s="203"/>
      <c r="EK367" s="241">
        <f>EK366+EK365</f>
        <v>22987</v>
      </c>
      <c r="EL367" s="203"/>
      <c r="EM367" s="203"/>
      <c r="EN367" s="203"/>
      <c r="EO367" s="203"/>
      <c r="EP367" s="241">
        <f>EP366+EP365</f>
        <v>26530</v>
      </c>
      <c r="EQ367" s="203"/>
      <c r="ER367" s="203"/>
      <c r="ES367" s="203"/>
      <c r="ET367" s="203"/>
      <c r="EU367" s="241">
        <f ca="1">EU366+EU365</f>
        <v>26857.926284691799</v>
      </c>
      <c r="EV367" s="203"/>
      <c r="EW367" s="203"/>
      <c r="EX367" s="203"/>
      <c r="EY367" s="203"/>
      <c r="EZ367" s="241">
        <f ca="1">EZ366+EZ365</f>
        <v>27002.565691651231</v>
      </c>
      <c r="FA367" s="203"/>
      <c r="FB367" s="203"/>
      <c r="FC367" s="203"/>
      <c r="FD367" s="203"/>
      <c r="FE367" s="241">
        <f ca="1">FE366+FE365</f>
        <v>27139.085820867898</v>
      </c>
      <c r="FF367" s="45"/>
      <c r="FG367" s="494"/>
      <c r="FH367" s="819"/>
      <c r="FI367" s="819"/>
      <c r="FJ367" s="819"/>
      <c r="FK367" s="45"/>
      <c r="FL367" s="1388"/>
      <c r="FM367"/>
      <c r="FN367"/>
      <c r="FO367"/>
      <c r="FP367"/>
      <c r="FQ367"/>
      <c r="FR367" s="1619"/>
      <c r="FS367" s="1619"/>
      <c r="FT367" s="205"/>
      <c r="FU367" s="205"/>
      <c r="FV367" s="205"/>
      <c r="FW367" s="205"/>
      <c r="FX367" s="205"/>
      <c r="FY367" s="205"/>
      <c r="FZ367" s="494"/>
      <c r="GA367"/>
      <c r="GB367"/>
      <c r="GC367"/>
      <c r="GD367"/>
      <c r="GE367"/>
      <c r="GF367"/>
      <c r="GG367"/>
      <c r="GH367"/>
      <c r="GI367"/>
      <c r="GJ367"/>
      <c r="GK367"/>
      <c r="GL367"/>
      <c r="GM367"/>
      <c r="GN367"/>
      <c r="GO367"/>
      <c r="GP367"/>
      <c r="GQ367"/>
      <c r="GR367"/>
      <c r="GS367"/>
      <c r="GT367"/>
      <c r="GU367"/>
      <c r="GV367"/>
      <c r="GW367"/>
      <c r="GX367"/>
      <c r="GY367"/>
      <c r="GZ367"/>
      <c r="HA367"/>
      <c r="HB367"/>
      <c r="HC367"/>
      <c r="HD367"/>
      <c r="HE367"/>
      <c r="HF367"/>
      <c r="HG367"/>
      <c r="HH367"/>
      <c r="HI367"/>
      <c r="HJ367"/>
      <c r="HK367"/>
      <c r="HL367"/>
      <c r="HM367"/>
      <c r="HN367"/>
      <c r="HO367"/>
      <c r="HP367"/>
      <c r="HQ367"/>
      <c r="HR367"/>
      <c r="HS367"/>
      <c r="HT367"/>
      <c r="HU367"/>
      <c r="HV367"/>
      <c r="HW367"/>
      <c r="HX367"/>
      <c r="HY367"/>
      <c r="HZ367"/>
      <c r="IA367"/>
      <c r="IB367"/>
      <c r="IC367"/>
      <c r="ID367"/>
      <c r="IE367"/>
      <c r="IF367"/>
      <c r="IG367"/>
      <c r="IH367"/>
      <c r="II367"/>
      <c r="IJ367"/>
      <c r="IK367"/>
      <c r="IL367"/>
      <c r="IM367"/>
      <c r="IN367"/>
      <c r="IO367"/>
      <c r="IP367"/>
      <c r="IQ367"/>
      <c r="IR367"/>
      <c r="IS367"/>
      <c r="IT367"/>
      <c r="IU367"/>
      <c r="IV367"/>
      <c r="IW367"/>
      <c r="IX367"/>
    </row>
    <row r="368" spans="1:258" s="931" customFormat="1" x14ac:dyDescent="0.2">
      <c r="A368" s="927" t="s">
        <v>551</v>
      </c>
      <c r="B368" s="928"/>
      <c r="C368" s="928"/>
      <c r="D368" s="928"/>
      <c r="E368" s="928"/>
      <c r="F368" s="929"/>
      <c r="G368" s="928"/>
      <c r="H368" s="928"/>
      <c r="I368" s="928"/>
      <c r="J368" s="928"/>
      <c r="K368" s="929"/>
      <c r="L368" s="928"/>
      <c r="M368" s="928"/>
      <c r="N368" s="928"/>
      <c r="O368" s="928"/>
      <c r="P368" s="241">
        <f>P365-P329</f>
        <v>0</v>
      </c>
      <c r="Q368" s="928"/>
      <c r="R368" s="928"/>
      <c r="S368" s="928"/>
      <c r="T368" s="928"/>
      <c r="U368" s="241"/>
      <c r="V368" s="930"/>
      <c r="W368" s="930"/>
      <c r="X368" s="930"/>
      <c r="Y368" s="930"/>
      <c r="Z368" s="241"/>
      <c r="AA368" s="930"/>
      <c r="AB368" s="930"/>
      <c r="AC368" s="930"/>
      <c r="AD368" s="930"/>
      <c r="AE368" s="241"/>
      <c r="AF368" s="930"/>
      <c r="AG368" s="930"/>
      <c r="AH368" s="930"/>
      <c r="AI368" s="930"/>
      <c r="AJ368" s="241"/>
      <c r="AK368" s="930"/>
      <c r="AL368" s="930"/>
      <c r="AM368" s="930"/>
      <c r="AN368" s="930"/>
      <c r="AO368" s="241"/>
      <c r="AP368" s="930"/>
      <c r="AQ368" s="930"/>
      <c r="AR368" s="930"/>
      <c r="AS368" s="930"/>
      <c r="AT368" s="241">
        <f>+AT365-AT336</f>
        <v>6520</v>
      </c>
      <c r="AU368" s="930"/>
      <c r="AV368" s="930"/>
      <c r="AW368" s="930"/>
      <c r="AX368" s="930"/>
      <c r="AY368" s="241">
        <f>+AY365-AY336</f>
        <v>6614</v>
      </c>
      <c r="AZ368" s="228"/>
      <c r="BA368" s="228"/>
      <c r="BB368" s="228"/>
      <c r="BC368" s="228"/>
      <c r="BD368" s="241">
        <f>+BD365-BD336</f>
        <v>5570</v>
      </c>
      <c r="BE368" s="228"/>
      <c r="BF368" s="228"/>
      <c r="BG368" s="228"/>
      <c r="BH368" s="228"/>
      <c r="BI368" s="241">
        <f>+BI365-BI336</f>
        <v>5550</v>
      </c>
      <c r="BJ368" s="228"/>
      <c r="BK368" s="228"/>
      <c r="BL368" s="228"/>
      <c r="BM368" s="228"/>
      <c r="BN368" s="241">
        <f>+BN365-BN336</f>
        <v>5702</v>
      </c>
      <c r="BO368" s="228"/>
      <c r="BP368" s="228"/>
      <c r="BQ368" s="228"/>
      <c r="BR368" s="228"/>
      <c r="BS368" s="241">
        <f>+BS365-BS336</f>
        <v>6392</v>
      </c>
      <c r="BT368" s="228"/>
      <c r="BU368" s="228"/>
      <c r="BV368" s="228"/>
      <c r="BW368" s="228"/>
      <c r="BX368" s="241">
        <f>+BX365-BX336</f>
        <v>7018</v>
      </c>
      <c r="BY368" s="228"/>
      <c r="BZ368" s="228"/>
      <c r="CA368" s="228"/>
      <c r="CB368" s="228"/>
      <c r="CC368" s="241">
        <f>+CC365-CC336</f>
        <v>6810</v>
      </c>
      <c r="CD368" s="228"/>
      <c r="CE368" s="228"/>
      <c r="CF368" s="228"/>
      <c r="CG368" s="228"/>
      <c r="CH368" s="241">
        <f>+CH365-CH336</f>
        <v>5721</v>
      </c>
      <c r="CI368" s="228"/>
      <c r="CJ368" s="228"/>
      <c r="CK368" s="228"/>
      <c r="CL368" s="228"/>
      <c r="CM368" s="241">
        <f>+CM365-CM336</f>
        <v>5501</v>
      </c>
      <c r="CN368" s="228"/>
      <c r="CO368" s="228"/>
      <c r="CP368" s="228"/>
      <c r="CQ368" s="228"/>
      <c r="CR368" s="241">
        <f>+CR365-CR336</f>
        <v>6889</v>
      </c>
      <c r="CS368" s="228"/>
      <c r="CT368" s="228"/>
      <c r="CU368" s="228"/>
      <c r="CV368" s="228"/>
      <c r="CW368" s="241">
        <f>+CW365-CW336</f>
        <v>7163</v>
      </c>
      <c r="CX368" s="228"/>
      <c r="CY368" s="228"/>
      <c r="CZ368" s="228"/>
      <c r="DA368" s="228"/>
      <c r="DB368" s="241">
        <f>+DB365-DB336</f>
        <v>6979</v>
      </c>
      <c r="DC368" s="228"/>
      <c r="DD368" s="228"/>
      <c r="DE368" s="228"/>
      <c r="DF368" s="228"/>
      <c r="DG368" s="241">
        <f>+DG365-DG336</f>
        <v>7372</v>
      </c>
      <c r="DH368" s="228"/>
      <c r="DI368" s="228"/>
      <c r="DJ368" s="228"/>
      <c r="DK368" s="228"/>
      <c r="DL368" s="241">
        <f>+DL365-DL336</f>
        <v>8458</v>
      </c>
      <c r="DM368" s="228"/>
      <c r="DN368" s="228"/>
      <c r="DO368" s="228"/>
      <c r="DP368" s="228"/>
      <c r="DQ368" s="241">
        <f>+DQ365-DQ336</f>
        <v>9048</v>
      </c>
      <c r="DR368" s="228"/>
      <c r="DS368" s="228"/>
      <c r="DT368" s="228"/>
      <c r="DU368" s="228"/>
      <c r="DV368" s="241">
        <f>+DV365-DV336</f>
        <v>8963</v>
      </c>
      <c r="DW368" s="228"/>
      <c r="DX368" s="228"/>
      <c r="DY368" s="228"/>
      <c r="DZ368" s="228"/>
      <c r="EA368" s="241">
        <f>+EA365-EA336</f>
        <v>9073</v>
      </c>
      <c r="EB368" s="841"/>
      <c r="EC368" s="203"/>
      <c r="ED368" s="203"/>
      <c r="EE368" s="203"/>
      <c r="EF368" s="241">
        <f>+EF365-EF336</f>
        <v>9907</v>
      </c>
      <c r="EG368" s="841"/>
      <c r="EH368" s="203"/>
      <c r="EI368" s="203"/>
      <c r="EJ368" s="203"/>
      <c r="EK368" s="241">
        <f>+EK365-EK336</f>
        <v>10690</v>
      </c>
      <c r="EL368" s="203"/>
      <c r="EM368" s="203"/>
      <c r="EN368" s="203"/>
      <c r="EO368" s="203"/>
      <c r="EP368" s="241">
        <f>+EP365-EP336</f>
        <v>11408</v>
      </c>
      <c r="EQ368" s="203"/>
      <c r="ER368" s="203"/>
      <c r="ES368" s="203"/>
      <c r="ET368" s="203"/>
      <c r="EU368" s="241">
        <f ca="1">+EU365-EU336</f>
        <v>13365.913996687832</v>
      </c>
      <c r="EV368" s="203"/>
      <c r="EW368" s="203"/>
      <c r="EX368" s="203"/>
      <c r="EY368" s="203"/>
      <c r="EZ368" s="241">
        <f ca="1">+EZ365-EZ336</f>
        <v>13258.57879869182</v>
      </c>
      <c r="FA368" s="203"/>
      <c r="FB368" s="203"/>
      <c r="FC368" s="203"/>
      <c r="FD368" s="203"/>
      <c r="FE368" s="241">
        <f ca="1">+FE365-FE336</f>
        <v>12336.438347505515</v>
      </c>
      <c r="FF368" s="45"/>
      <c r="FG368" s="494"/>
      <c r="FH368" s="819"/>
      <c r="FI368" s="819"/>
      <c r="FJ368" s="819"/>
      <c r="FK368" s="45"/>
      <c r="FL368" s="1388"/>
      <c r="FM368"/>
      <c r="FN368"/>
      <c r="FO368"/>
      <c r="FP368"/>
      <c r="FQ368"/>
      <c r="FR368" s="1619"/>
      <c r="FS368" s="1619"/>
      <c r="FT368" s="205"/>
      <c r="FU368" s="205"/>
      <c r="FV368" s="205"/>
      <c r="FW368" s="205"/>
      <c r="FX368" s="205"/>
      <c r="FY368" s="205"/>
      <c r="FZ368" s="494"/>
      <c r="GA368"/>
      <c r="GB368"/>
      <c r="GC368"/>
      <c r="GD368"/>
      <c r="GE368"/>
      <c r="GF368"/>
      <c r="GG368"/>
      <c r="GH368"/>
      <c r="GI368"/>
      <c r="GJ368"/>
      <c r="GK368"/>
      <c r="GL368"/>
      <c r="GM368"/>
      <c r="GN368"/>
      <c r="GO368"/>
      <c r="GP368"/>
      <c r="GQ368"/>
      <c r="GR368"/>
      <c r="GS368"/>
      <c r="GT368"/>
      <c r="GU368"/>
      <c r="GV368"/>
      <c r="GW368"/>
      <c r="GX368"/>
      <c r="GY368"/>
      <c r="GZ368"/>
      <c r="HA368"/>
      <c r="HB368"/>
      <c r="HC368"/>
      <c r="HD368"/>
      <c r="HE368"/>
      <c r="HF368"/>
      <c r="HG368"/>
      <c r="HH368"/>
      <c r="HI368"/>
      <c r="HJ368"/>
      <c r="HK368"/>
      <c r="HL368"/>
      <c r="HM368"/>
      <c r="HN368"/>
      <c r="HO368"/>
      <c r="HP368"/>
      <c r="HQ368"/>
      <c r="HR368"/>
      <c r="HS368"/>
      <c r="HT368"/>
      <c r="HU368"/>
      <c r="HV368"/>
      <c r="HW368"/>
      <c r="HX368"/>
      <c r="HY368"/>
      <c r="HZ368"/>
      <c r="IA368"/>
      <c r="IB368"/>
      <c r="IC368"/>
      <c r="ID368"/>
      <c r="IE368"/>
      <c r="IF368"/>
      <c r="IG368"/>
      <c r="IH368"/>
      <c r="II368"/>
      <c r="IJ368"/>
      <c r="IK368"/>
      <c r="IL368"/>
      <c r="IM368"/>
      <c r="IN368"/>
      <c r="IO368"/>
      <c r="IP368"/>
      <c r="IQ368"/>
      <c r="IR368"/>
      <c r="IS368"/>
      <c r="IT368"/>
      <c r="IU368"/>
      <c r="IV368"/>
      <c r="IW368"/>
      <c r="IX368"/>
    </row>
    <row r="369" spans="1:258" s="931" customFormat="1" x14ac:dyDescent="0.2">
      <c r="A369" s="927" t="s">
        <v>552</v>
      </c>
      <c r="B369" s="928"/>
      <c r="C369" s="928"/>
      <c r="D369" s="928"/>
      <c r="E369" s="928"/>
      <c r="F369" s="929"/>
      <c r="G369" s="928"/>
      <c r="H369" s="928"/>
      <c r="I369" s="928"/>
      <c r="J369" s="928"/>
      <c r="K369" s="929"/>
      <c r="L369" s="928"/>
      <c r="M369" s="928"/>
      <c r="N369" s="928"/>
      <c r="O369" s="928"/>
      <c r="P369" s="241">
        <f>P235</f>
        <v>0</v>
      </c>
      <c r="Q369" s="928"/>
      <c r="R369" s="928"/>
      <c r="S369" s="928"/>
      <c r="T369" s="928"/>
      <c r="U369" s="241"/>
      <c r="V369" s="930"/>
      <c r="W369" s="930"/>
      <c r="X369" s="930"/>
      <c r="Y369" s="930"/>
      <c r="Z369" s="241"/>
      <c r="AA369" s="930"/>
      <c r="AB369" s="930"/>
      <c r="AC369" s="930"/>
      <c r="AD369" s="930"/>
      <c r="AE369" s="241"/>
      <c r="AF369" s="930"/>
      <c r="AG369" s="930"/>
      <c r="AH369" s="930"/>
      <c r="AI369" s="930"/>
      <c r="AJ369" s="241"/>
      <c r="AK369" s="930"/>
      <c r="AL369" s="930"/>
      <c r="AM369" s="930"/>
      <c r="AN369" s="930"/>
      <c r="AO369" s="241"/>
      <c r="AP369" s="930"/>
      <c r="AQ369" s="930"/>
      <c r="AR369" s="930"/>
      <c r="AS369" s="930"/>
      <c r="AT369" s="241">
        <f>+AT238</f>
        <v>10002.599999999999</v>
      </c>
      <c r="AU369" s="930"/>
      <c r="AV369" s="930"/>
      <c r="AW369" s="930"/>
      <c r="AX369" s="930"/>
      <c r="AY369" s="241">
        <f>+AY238</f>
        <v>9909</v>
      </c>
      <c r="AZ369" s="228"/>
      <c r="BA369" s="228"/>
      <c r="BB369" s="228"/>
      <c r="BC369" s="228"/>
      <c r="BD369" s="241">
        <f>+BD238</f>
        <v>10811</v>
      </c>
      <c r="BE369" s="228"/>
      <c r="BF369" s="228"/>
      <c r="BG369" s="228"/>
      <c r="BH369" s="228"/>
      <c r="BI369" s="241">
        <f>+BI238</f>
        <v>7243</v>
      </c>
      <c r="BJ369" s="228"/>
      <c r="BK369" s="228"/>
      <c r="BL369" s="228"/>
      <c r="BM369" s="228"/>
      <c r="BN369" s="241">
        <f>+BN238</f>
        <v>7194</v>
      </c>
      <c r="BO369" s="228"/>
      <c r="BP369" s="228"/>
      <c r="BQ369" s="228"/>
      <c r="BR369" s="228"/>
      <c r="BS369" s="241">
        <f>+BS238</f>
        <v>7183</v>
      </c>
      <c r="BT369" s="228"/>
      <c r="BU369" s="228"/>
      <c r="BV369" s="228"/>
      <c r="BW369" s="228"/>
      <c r="BX369" s="241">
        <f>+BX238</f>
        <v>7445</v>
      </c>
      <c r="BY369" s="228"/>
      <c r="BZ369" s="228"/>
      <c r="CA369" s="228"/>
      <c r="CB369" s="228"/>
      <c r="CC369" s="241">
        <f>+CC238</f>
        <v>8039</v>
      </c>
      <c r="CD369" s="228"/>
      <c r="CE369" s="228"/>
      <c r="CF369" s="228"/>
      <c r="CG369" s="228"/>
      <c r="CH369" s="241">
        <f>+CH238</f>
        <v>8601</v>
      </c>
      <c r="CI369" s="228"/>
      <c r="CJ369" s="228"/>
      <c r="CK369" s="228"/>
      <c r="CL369" s="228"/>
      <c r="CM369" s="241">
        <f>+CM238</f>
        <v>9566</v>
      </c>
      <c r="CN369" s="228"/>
      <c r="CO369" s="228"/>
      <c r="CP369" s="228"/>
      <c r="CQ369" s="228"/>
      <c r="CR369" s="241">
        <f>+CR238</f>
        <v>10030</v>
      </c>
      <c r="CS369" s="228"/>
      <c r="CT369" s="228"/>
      <c r="CU369" s="228"/>
      <c r="CV369" s="228"/>
      <c r="CW369" s="241">
        <f>+CW238</f>
        <v>11255</v>
      </c>
      <c r="CX369" s="228"/>
      <c r="CY369" s="228"/>
      <c r="CZ369" s="228"/>
      <c r="DA369" s="228"/>
      <c r="DB369" s="241">
        <f>+DB238</f>
        <v>9041</v>
      </c>
      <c r="DC369" s="228"/>
      <c r="DD369" s="228"/>
      <c r="DE369" s="228"/>
      <c r="DF369" s="228"/>
      <c r="DG369" s="241">
        <f>+DG238</f>
        <v>10636</v>
      </c>
      <c r="DH369" s="228"/>
      <c r="DI369" s="228"/>
      <c r="DJ369" s="228"/>
      <c r="DK369" s="228"/>
      <c r="DL369" s="241">
        <f>+DL238</f>
        <v>11795</v>
      </c>
      <c r="DM369" s="228"/>
      <c r="DN369" s="228"/>
      <c r="DO369" s="228"/>
      <c r="DP369" s="228"/>
      <c r="DQ369" s="241">
        <f>+DQ238</f>
        <v>11763</v>
      </c>
      <c r="DR369" s="228"/>
      <c r="DS369" s="228"/>
      <c r="DT369" s="228"/>
      <c r="DU369" s="228"/>
      <c r="DV369" s="241">
        <f>+DV238</f>
        <v>11927</v>
      </c>
      <c r="DW369" s="228"/>
      <c r="DX369" s="228"/>
      <c r="DY369" s="228"/>
      <c r="DZ369" s="228"/>
      <c r="EA369" s="241">
        <f>+EA238</f>
        <v>12586.074180287373</v>
      </c>
      <c r="EB369" s="841"/>
      <c r="EC369" s="203"/>
      <c r="ED369" s="203"/>
      <c r="EE369" s="203"/>
      <c r="EF369" s="241">
        <f>+EF238</f>
        <v>11714</v>
      </c>
      <c r="EG369" s="841"/>
      <c r="EH369" s="203"/>
      <c r="EI369" s="203"/>
      <c r="EJ369" s="203"/>
      <c r="EK369" s="241">
        <f>+EK238</f>
        <v>11069</v>
      </c>
      <c r="EL369" s="203"/>
      <c r="EM369" s="203"/>
      <c r="EN369" s="203"/>
      <c r="EO369" s="203"/>
      <c r="EP369" s="241">
        <f>+EP238</f>
        <v>11408</v>
      </c>
      <c r="EQ369" s="203"/>
      <c r="ER369" s="203"/>
      <c r="ES369" s="203"/>
      <c r="ET369" s="203"/>
      <c r="EU369" s="241">
        <f>+EU238</f>
        <v>11671.949822611861</v>
      </c>
      <c r="EV369" s="203"/>
      <c r="EW369" s="203"/>
      <c r="EX369" s="203"/>
      <c r="EY369" s="203"/>
      <c r="EZ369" s="241">
        <f>+EZ238</f>
        <v>11926.077068356344</v>
      </c>
      <c r="FA369" s="203"/>
      <c r="FB369" s="203"/>
      <c r="FC369" s="203"/>
      <c r="FD369" s="203"/>
      <c r="FE369" s="241">
        <f>+FE238</f>
        <v>12234.682084017999</v>
      </c>
      <c r="FF369" s="45"/>
      <c r="FG369" s="494"/>
      <c r="FH369" s="819"/>
      <c r="FI369" s="819"/>
      <c r="FJ369" s="819"/>
      <c r="FK369" s="45"/>
      <c r="FL369" s="1388"/>
      <c r="FM369"/>
      <c r="FN369"/>
      <c r="FO369"/>
      <c r="FP369"/>
      <c r="FQ369"/>
      <c r="FR369" s="1619"/>
      <c r="FS369" s="1619"/>
      <c r="FT369" s="205"/>
      <c r="FU369" s="205"/>
      <c r="FV369" s="205"/>
      <c r="FW369" s="205"/>
      <c r="FX369" s="205"/>
      <c r="FY369" s="205"/>
      <c r="FZ369" s="494"/>
      <c r="GA369"/>
      <c r="GB369"/>
      <c r="GC369"/>
      <c r="GD369"/>
      <c r="GE369"/>
      <c r="GF369"/>
      <c r="GG369"/>
      <c r="GH369"/>
      <c r="GI369"/>
      <c r="GJ369"/>
      <c r="GK369"/>
      <c r="GL369"/>
      <c r="GM369"/>
      <c r="GN369"/>
      <c r="GO369"/>
      <c r="GP369"/>
      <c r="GQ369"/>
      <c r="GR369"/>
      <c r="GS369"/>
      <c r="GT369"/>
      <c r="GU369"/>
      <c r="GV369"/>
      <c r="GW369"/>
      <c r="GX369"/>
      <c r="GY369"/>
      <c r="GZ369"/>
      <c r="HA369"/>
      <c r="HB369"/>
      <c r="HC369"/>
      <c r="HD369"/>
      <c r="HE369"/>
      <c r="HF369"/>
      <c r="HG369"/>
      <c r="HH369"/>
      <c r="HI369"/>
      <c r="HJ369"/>
      <c r="HK369"/>
      <c r="HL369"/>
      <c r="HM369"/>
      <c r="HN369"/>
      <c r="HO369"/>
      <c r="HP369"/>
      <c r="HQ369"/>
      <c r="HR369"/>
      <c r="HS369"/>
      <c r="HT369"/>
      <c r="HU369"/>
      <c r="HV369"/>
      <c r="HW369"/>
      <c r="HX369"/>
      <c r="HY369"/>
      <c r="HZ369"/>
      <c r="IA369"/>
      <c r="IB369"/>
      <c r="IC369"/>
      <c r="ID369"/>
      <c r="IE369"/>
      <c r="IF369"/>
      <c r="IG369"/>
      <c r="IH369"/>
      <c r="II369"/>
      <c r="IJ369"/>
      <c r="IK369"/>
      <c r="IL369"/>
      <c r="IM369"/>
      <c r="IN369"/>
      <c r="IO369"/>
      <c r="IP369"/>
      <c r="IQ369"/>
      <c r="IR369"/>
      <c r="IS369"/>
      <c r="IT369"/>
      <c r="IU369"/>
      <c r="IV369"/>
      <c r="IW369"/>
      <c r="IX369"/>
    </row>
    <row r="370" spans="1:258" s="931" customFormat="1" x14ac:dyDescent="0.2">
      <c r="A370" s="927" t="s">
        <v>553</v>
      </c>
      <c r="B370" s="928"/>
      <c r="C370" s="928"/>
      <c r="D370" s="928"/>
      <c r="E370" s="928"/>
      <c r="F370" s="929"/>
      <c r="G370" s="928"/>
      <c r="H370" s="928"/>
      <c r="I370" s="928"/>
      <c r="J370" s="928"/>
      <c r="K370" s="929"/>
      <c r="L370" s="928"/>
      <c r="M370" s="928"/>
      <c r="N370" s="928"/>
      <c r="O370" s="928"/>
      <c r="P370" s="241">
        <f>P248</f>
        <v>0</v>
      </c>
      <c r="Q370" s="928"/>
      <c r="R370" s="928"/>
      <c r="S370" s="928"/>
      <c r="T370" s="928"/>
      <c r="U370" s="241"/>
      <c r="V370" s="930"/>
      <c r="W370" s="930"/>
      <c r="X370" s="930"/>
      <c r="Y370" s="930"/>
      <c r="Z370" s="241"/>
      <c r="AA370" s="930"/>
      <c r="AB370" s="930"/>
      <c r="AC370" s="930"/>
      <c r="AD370" s="930"/>
      <c r="AE370" s="241"/>
      <c r="AF370" s="930"/>
      <c r="AG370" s="930"/>
      <c r="AH370" s="930"/>
      <c r="AI370" s="930"/>
      <c r="AJ370" s="241"/>
      <c r="AK370" s="930"/>
      <c r="AL370" s="930"/>
      <c r="AM370" s="930"/>
      <c r="AN370" s="930"/>
      <c r="AO370" s="241"/>
      <c r="AP370" s="930"/>
      <c r="AQ370" s="930"/>
      <c r="AR370" s="930"/>
      <c r="AS370" s="930"/>
      <c r="AT370" s="241">
        <f>+AT251</f>
        <v>1513.5999999999985</v>
      </c>
      <c r="AU370" s="930"/>
      <c r="AV370" s="930"/>
      <c r="AW370" s="930"/>
      <c r="AX370" s="930"/>
      <c r="AY370" s="241">
        <f>+AY251</f>
        <v>1130</v>
      </c>
      <c r="AZ370" s="228"/>
      <c r="BA370" s="228"/>
      <c r="BB370" s="228"/>
      <c r="BC370" s="228"/>
      <c r="BD370" s="241">
        <f>+BD251</f>
        <v>1023</v>
      </c>
      <c r="BE370" s="228"/>
      <c r="BF370" s="228"/>
      <c r="BG370" s="228"/>
      <c r="BH370" s="228"/>
      <c r="BI370" s="241">
        <f>+BI251</f>
        <v>823</v>
      </c>
      <c r="BJ370" s="228"/>
      <c r="BK370" s="228"/>
      <c r="BL370" s="228"/>
      <c r="BM370" s="228"/>
      <c r="BN370" s="241">
        <f>+BN251</f>
        <v>1017</v>
      </c>
      <c r="BO370" s="228"/>
      <c r="BP370" s="228"/>
      <c r="BQ370" s="228"/>
      <c r="BR370" s="228"/>
      <c r="BS370" s="241">
        <f>+BS251</f>
        <v>1116</v>
      </c>
      <c r="BT370" s="228"/>
      <c r="BU370" s="228"/>
      <c r="BV370" s="228"/>
      <c r="BW370" s="228"/>
      <c r="BX370" s="241">
        <f>+BX251</f>
        <v>994</v>
      </c>
      <c r="BY370" s="228"/>
      <c r="BZ370" s="228"/>
      <c r="CA370" s="228"/>
      <c r="CB370" s="228"/>
      <c r="CC370" s="241">
        <f>+CC251</f>
        <v>1109</v>
      </c>
      <c r="CD370" s="228"/>
      <c r="CE370" s="228"/>
      <c r="CF370" s="228"/>
      <c r="CG370" s="228"/>
      <c r="CH370" s="241">
        <f>+CH251</f>
        <v>1533</v>
      </c>
      <c r="CI370" s="228"/>
      <c r="CJ370" s="228"/>
      <c r="CK370" s="228"/>
      <c r="CL370" s="228"/>
      <c r="CM370" s="241">
        <f>+CM251</f>
        <v>1970</v>
      </c>
      <c r="CN370" s="228"/>
      <c r="CO370" s="228"/>
      <c r="CP370" s="228"/>
      <c r="CQ370" s="228"/>
      <c r="CR370" s="241">
        <f>+CR251</f>
        <v>2239</v>
      </c>
      <c r="CS370" s="228"/>
      <c r="CT370" s="228"/>
      <c r="CU370" s="228"/>
      <c r="CV370" s="228"/>
      <c r="CW370" s="241">
        <f>+CW251</f>
        <v>2766</v>
      </c>
      <c r="CX370" s="228"/>
      <c r="CY370" s="228"/>
      <c r="CZ370" s="228"/>
      <c r="DA370" s="228"/>
      <c r="DB370" s="241">
        <f>+DB251</f>
        <v>2285</v>
      </c>
      <c r="DC370" s="228"/>
      <c r="DD370" s="228"/>
      <c r="DE370" s="228"/>
      <c r="DF370" s="228"/>
      <c r="DG370" s="241">
        <f>+DG251</f>
        <v>3073</v>
      </c>
      <c r="DH370" s="228"/>
      <c r="DI370" s="228"/>
      <c r="DJ370" s="228"/>
      <c r="DK370" s="228"/>
      <c r="DL370" s="241">
        <f>+DL251</f>
        <v>3470</v>
      </c>
      <c r="DM370" s="228"/>
      <c r="DN370" s="228"/>
      <c r="DO370" s="228"/>
      <c r="DP370" s="228"/>
      <c r="DQ370" s="241">
        <f>+DQ251</f>
        <v>3464</v>
      </c>
      <c r="DR370" s="228"/>
      <c r="DS370" s="228"/>
      <c r="DT370" s="228"/>
      <c r="DU370" s="228"/>
      <c r="DV370" s="241">
        <f>+DV251</f>
        <v>3348</v>
      </c>
      <c r="DW370" s="228"/>
      <c r="DX370" s="228"/>
      <c r="DY370" s="228"/>
      <c r="DZ370" s="228"/>
      <c r="EA370" s="241">
        <f>+EA251</f>
        <v>3530.0741802873727</v>
      </c>
      <c r="EB370" s="841"/>
      <c r="EC370" s="203"/>
      <c r="ED370" s="203"/>
      <c r="EE370" s="203"/>
      <c r="EF370" s="241">
        <f>+EF251</f>
        <v>3470</v>
      </c>
      <c r="EG370" s="841"/>
      <c r="EH370" s="203"/>
      <c r="EI370" s="203"/>
      <c r="EJ370" s="203"/>
      <c r="EK370" s="241">
        <f>+EK251</f>
        <v>3376</v>
      </c>
      <c r="EL370" s="203"/>
      <c r="EM370" s="203"/>
      <c r="EN370" s="203"/>
      <c r="EO370" s="203"/>
      <c r="EP370" s="241">
        <f>+EP251</f>
        <v>3826</v>
      </c>
      <c r="EQ370" s="203"/>
      <c r="ER370" s="203"/>
      <c r="ES370" s="203"/>
      <c r="ET370" s="203"/>
      <c r="EU370" s="241">
        <f>+EU251</f>
        <v>4193.5073771709212</v>
      </c>
      <c r="EV370" s="203"/>
      <c r="EW370" s="203"/>
      <c r="EX370" s="203"/>
      <c r="EY370" s="203"/>
      <c r="EZ370" s="241">
        <f>+EZ251</f>
        <v>4363.34960424577</v>
      </c>
      <c r="FA370" s="203"/>
      <c r="FB370" s="203"/>
      <c r="FC370" s="203"/>
      <c r="FD370" s="203"/>
      <c r="FE370" s="241">
        <f>+FE251</f>
        <v>4701.3357320504529</v>
      </c>
      <c r="FF370" s="45"/>
      <c r="FG370" s="494"/>
      <c r="FH370" s="819"/>
      <c r="FI370" s="819"/>
      <c r="FJ370" s="819"/>
      <c r="FK370" s="45"/>
      <c r="FL370" s="1388"/>
      <c r="FM370"/>
      <c r="FN370"/>
      <c r="FO370"/>
      <c r="FP370"/>
      <c r="FQ370"/>
      <c r="FR370" s="1619"/>
      <c r="FS370" s="1619"/>
      <c r="FT370" s="205"/>
      <c r="FU370" s="205"/>
      <c r="FV370" s="205"/>
      <c r="FW370" s="205"/>
      <c r="FX370" s="205"/>
      <c r="FY370" s="205"/>
      <c r="FZ370" s="494"/>
      <c r="GA370"/>
      <c r="GB370"/>
      <c r="GC370"/>
      <c r="GD370"/>
      <c r="GE370"/>
      <c r="GF370"/>
      <c r="GG370"/>
      <c r="GH370"/>
      <c r="GI370"/>
      <c r="GJ370"/>
      <c r="GK370"/>
      <c r="GL370"/>
      <c r="GM370"/>
      <c r="GN370"/>
      <c r="GO370"/>
      <c r="GP370"/>
      <c r="GQ370"/>
      <c r="GR370"/>
      <c r="GS370"/>
      <c r="GT370"/>
      <c r="GU370"/>
      <c r="GV370"/>
      <c r="GW370"/>
      <c r="GX370"/>
      <c r="GY370"/>
      <c r="GZ370"/>
      <c r="HA370"/>
      <c r="HB370"/>
      <c r="HC370"/>
      <c r="HD370"/>
      <c r="HE370"/>
      <c r="HF370"/>
      <c r="HG370"/>
      <c r="HH370"/>
      <c r="HI370"/>
      <c r="HJ370"/>
      <c r="HK370"/>
      <c r="HL370"/>
      <c r="HM370"/>
      <c r="HN370"/>
      <c r="HO370"/>
      <c r="HP370"/>
      <c r="HQ370"/>
      <c r="HR370"/>
      <c r="HS370"/>
      <c r="HT370"/>
      <c r="HU370"/>
      <c r="HV370"/>
      <c r="HW370"/>
      <c r="HX370"/>
      <c r="HY370"/>
      <c r="HZ370"/>
      <c r="IA370"/>
      <c r="IB370"/>
      <c r="IC370"/>
      <c r="ID370"/>
      <c r="IE370"/>
      <c r="IF370"/>
      <c r="IG370"/>
      <c r="IH370"/>
      <c r="II370"/>
      <c r="IJ370"/>
      <c r="IK370"/>
      <c r="IL370"/>
      <c r="IM370"/>
      <c r="IN370"/>
      <c r="IO370"/>
      <c r="IP370"/>
      <c r="IQ370"/>
      <c r="IR370"/>
      <c r="IS370"/>
      <c r="IT370"/>
      <c r="IU370"/>
      <c r="IV370"/>
      <c r="IW370"/>
      <c r="IX370"/>
    </row>
    <row r="371" spans="1:258" s="931" customFormat="1" x14ac:dyDescent="0.2">
      <c r="A371" s="927" t="s">
        <v>554</v>
      </c>
      <c r="B371" s="928"/>
      <c r="C371" s="928"/>
      <c r="D371" s="928"/>
      <c r="E371" s="928"/>
      <c r="F371" s="929"/>
      <c r="G371" s="928"/>
      <c r="H371" s="928"/>
      <c r="I371" s="928"/>
      <c r="J371" s="928"/>
      <c r="K371" s="929"/>
      <c r="L371" s="928"/>
      <c r="M371" s="928"/>
      <c r="N371" s="928"/>
      <c r="O371" s="928"/>
      <c r="P371" s="241">
        <f>P261</f>
        <v>0</v>
      </c>
      <c r="Q371" s="928"/>
      <c r="R371" s="928"/>
      <c r="S371" s="928"/>
      <c r="T371" s="928"/>
      <c r="U371" s="241"/>
      <c r="V371" s="930"/>
      <c r="W371" s="930"/>
      <c r="X371" s="930"/>
      <c r="Y371" s="930"/>
      <c r="Z371" s="241"/>
      <c r="AA371" s="930"/>
      <c r="AB371" s="930"/>
      <c r="AC371" s="930"/>
      <c r="AD371" s="930"/>
      <c r="AE371" s="241"/>
      <c r="AF371" s="930"/>
      <c r="AG371" s="930"/>
      <c r="AH371" s="930"/>
      <c r="AI371" s="930"/>
      <c r="AJ371" s="241"/>
      <c r="AK371" s="930"/>
      <c r="AL371" s="930"/>
      <c r="AM371" s="930"/>
      <c r="AN371" s="930"/>
      <c r="AO371" s="241"/>
      <c r="AP371" s="930"/>
      <c r="AQ371" s="930"/>
      <c r="AR371" s="930"/>
      <c r="AS371" s="930"/>
      <c r="AT371" s="241">
        <f>+AT270</f>
        <v>1381.5499999999986</v>
      </c>
      <c r="AU371" s="930"/>
      <c r="AV371" s="930"/>
      <c r="AW371" s="930"/>
      <c r="AX371" s="930"/>
      <c r="AY371" s="241">
        <f>+AY270</f>
        <v>914</v>
      </c>
      <c r="AZ371" s="228"/>
      <c r="BA371" s="228"/>
      <c r="BB371" s="228"/>
      <c r="BC371" s="228"/>
      <c r="BD371" s="241">
        <f>+BD270</f>
        <v>717</v>
      </c>
      <c r="BE371" s="228"/>
      <c r="BF371" s="228"/>
      <c r="BG371" s="228"/>
      <c r="BH371" s="228"/>
      <c r="BI371" s="241">
        <f>+BI270</f>
        <v>295</v>
      </c>
      <c r="BJ371" s="228"/>
      <c r="BK371" s="228"/>
      <c r="BL371" s="228"/>
      <c r="BM371" s="228"/>
      <c r="BN371" s="241">
        <f>+BN270</f>
        <v>508</v>
      </c>
      <c r="BO371" s="228"/>
      <c r="BP371" s="228"/>
      <c r="BQ371" s="228"/>
      <c r="BR371" s="228"/>
      <c r="BS371" s="241">
        <f>+BS270</f>
        <v>712</v>
      </c>
      <c r="BT371" s="228"/>
      <c r="BU371" s="228"/>
      <c r="BV371" s="228"/>
      <c r="BW371" s="228"/>
      <c r="BX371" s="241">
        <f>+BX270</f>
        <v>633</v>
      </c>
      <c r="BY371" s="228"/>
      <c r="BZ371" s="228"/>
      <c r="CA371" s="228"/>
      <c r="CB371" s="228"/>
      <c r="CC371" s="241">
        <f>+CC270</f>
        <v>713</v>
      </c>
      <c r="CD371" s="228"/>
      <c r="CE371" s="228"/>
      <c r="CF371" s="228"/>
      <c r="CG371" s="228"/>
      <c r="CH371" s="241">
        <f>+CH270</f>
        <v>1211</v>
      </c>
      <c r="CI371" s="228"/>
      <c r="CJ371" s="228"/>
      <c r="CK371" s="228"/>
      <c r="CL371" s="228"/>
      <c r="CM371" s="241">
        <f>+CM270</f>
        <v>1647</v>
      </c>
      <c r="CN371" s="228"/>
      <c r="CO371" s="228"/>
      <c r="CP371" s="228"/>
      <c r="CQ371" s="228"/>
      <c r="CR371" s="241">
        <f>+CR270</f>
        <v>1919</v>
      </c>
      <c r="CS371" s="228"/>
      <c r="CT371" s="228"/>
      <c r="CU371" s="228"/>
      <c r="CV371" s="228"/>
      <c r="CW371" s="241">
        <f>+CW270</f>
        <v>2292</v>
      </c>
      <c r="CX371" s="228"/>
      <c r="CY371" s="228"/>
      <c r="CZ371" s="228"/>
      <c r="DA371" s="228"/>
      <c r="DB371" s="241">
        <f>+DB270</f>
        <v>1749</v>
      </c>
      <c r="DC371" s="228"/>
      <c r="DD371" s="228"/>
      <c r="DE371" s="228"/>
      <c r="DF371" s="228"/>
      <c r="DG371" s="241">
        <f>+DG270</f>
        <v>2548</v>
      </c>
      <c r="DH371" s="228"/>
      <c r="DI371" s="228"/>
      <c r="DJ371" s="228"/>
      <c r="DK371" s="228"/>
      <c r="DL371" s="241">
        <f>+DL270</f>
        <v>2940</v>
      </c>
      <c r="DM371" s="228"/>
      <c r="DN371" s="228"/>
      <c r="DO371" s="228"/>
      <c r="DP371" s="228"/>
      <c r="DQ371" s="241">
        <f>+DQ270</f>
        <v>2971</v>
      </c>
      <c r="DR371" s="228"/>
      <c r="DS371" s="228"/>
      <c r="DT371" s="228"/>
      <c r="DU371" s="228"/>
      <c r="DV371" s="241">
        <f>+DV270</f>
        <v>2800</v>
      </c>
      <c r="DW371" s="228"/>
      <c r="DX371" s="228"/>
      <c r="DY371" s="228"/>
      <c r="DZ371" s="228"/>
      <c r="EA371" s="241">
        <f>+EA270</f>
        <v>2981.0741802873727</v>
      </c>
      <c r="EB371" s="841"/>
      <c r="EC371" s="203"/>
      <c r="ED371" s="203"/>
      <c r="EE371" s="203"/>
      <c r="EF371" s="241">
        <f>+EF270</f>
        <v>3024</v>
      </c>
      <c r="EG371" s="841"/>
      <c r="EH371" s="203"/>
      <c r="EI371" s="203"/>
      <c r="EJ371" s="203"/>
      <c r="EK371" s="241">
        <f>+EK270</f>
        <v>2728</v>
      </c>
      <c r="EL371" s="203"/>
      <c r="EM371" s="203"/>
      <c r="EN371" s="203"/>
      <c r="EO371" s="203"/>
      <c r="EP371" s="241">
        <f>+EP270</f>
        <v>3325</v>
      </c>
      <c r="EQ371" s="203"/>
      <c r="ER371" s="203"/>
      <c r="ES371" s="203"/>
      <c r="ET371" s="203"/>
      <c r="EU371" s="241">
        <f>+EU270</f>
        <v>3659.5073771709212</v>
      </c>
      <c r="EV371" s="203"/>
      <c r="EW371" s="203"/>
      <c r="EX371" s="203"/>
      <c r="EY371" s="203"/>
      <c r="EZ371" s="241">
        <f>+EZ270</f>
        <v>3788.0507680010428</v>
      </c>
      <c r="FA371" s="203"/>
      <c r="FB371" s="203"/>
      <c r="FC371" s="203"/>
      <c r="FD371" s="203"/>
      <c r="FE371" s="241">
        <f>+FE270</f>
        <v>4145.3568652360282</v>
      </c>
      <c r="FF371" s="45"/>
      <c r="FG371" s="494"/>
      <c r="FH371" s="819"/>
      <c r="FI371" s="819"/>
      <c r="FJ371" s="819"/>
      <c r="FK371" s="45"/>
      <c r="FL371" s="1388"/>
      <c r="FM371"/>
      <c r="FN371"/>
      <c r="FO371"/>
      <c r="FP371"/>
      <c r="FQ371"/>
      <c r="FR371" s="1619"/>
      <c r="FS371" s="1619"/>
      <c r="FT371" s="205"/>
      <c r="FU371" s="205"/>
      <c r="FV371" s="205"/>
      <c r="FW371" s="205"/>
      <c r="FX371" s="205"/>
      <c r="FY371" s="205"/>
      <c r="FZ371" s="494"/>
      <c r="GA371"/>
      <c r="GB371"/>
      <c r="GC371"/>
      <c r="GD371"/>
      <c r="GE371"/>
      <c r="GF371"/>
      <c r="GG371"/>
      <c r="GH371"/>
      <c r="GI371"/>
      <c r="GJ371"/>
      <c r="GK371"/>
      <c r="GL371"/>
      <c r="GM371"/>
      <c r="GN371"/>
      <c r="GO371"/>
      <c r="GP371"/>
      <c r="GQ371"/>
      <c r="GR371"/>
      <c r="GS371"/>
      <c r="GT371"/>
      <c r="GU371"/>
      <c r="GV371"/>
      <c r="GW371"/>
      <c r="GX371"/>
      <c r="GY371"/>
      <c r="GZ371"/>
      <c r="HA371"/>
      <c r="HB371"/>
      <c r="HC371"/>
      <c r="HD371"/>
      <c r="HE371"/>
      <c r="HF371"/>
      <c r="HG371"/>
      <c r="HH371"/>
      <c r="HI371"/>
      <c r="HJ371"/>
      <c r="HK371"/>
      <c r="HL371"/>
      <c r="HM371"/>
      <c r="HN371"/>
      <c r="HO371"/>
      <c r="HP371"/>
      <c r="HQ371"/>
      <c r="HR371"/>
      <c r="HS371"/>
      <c r="HT371"/>
      <c r="HU371"/>
      <c r="HV371"/>
      <c r="HW371"/>
      <c r="HX371"/>
      <c r="HY371"/>
      <c r="HZ371"/>
      <c r="IA371"/>
      <c r="IB371"/>
      <c r="IC371"/>
      <c r="ID371"/>
      <c r="IE371"/>
      <c r="IF371"/>
      <c r="IG371"/>
      <c r="IH371"/>
      <c r="II371"/>
      <c r="IJ371"/>
      <c r="IK371"/>
      <c r="IL371"/>
      <c r="IM371"/>
      <c r="IN371"/>
      <c r="IO371"/>
      <c r="IP371"/>
      <c r="IQ371"/>
      <c r="IR371"/>
      <c r="IS371"/>
      <c r="IT371"/>
      <c r="IU371"/>
      <c r="IV371"/>
      <c r="IW371"/>
      <c r="IX371"/>
    </row>
    <row r="372" spans="1:258" s="931" customFormat="1" x14ac:dyDescent="0.2">
      <c r="A372" s="927" t="s">
        <v>555</v>
      </c>
      <c r="B372" s="928"/>
      <c r="C372" s="928"/>
      <c r="D372" s="928"/>
      <c r="E372" s="928"/>
      <c r="F372" s="929"/>
      <c r="G372" s="928"/>
      <c r="H372" s="928"/>
      <c r="I372" s="928"/>
      <c r="J372" s="928"/>
      <c r="K372" s="929"/>
      <c r="L372" s="928"/>
      <c r="M372" s="928"/>
      <c r="N372" s="928"/>
      <c r="O372" s="928"/>
      <c r="P372" s="241">
        <f>P264</f>
        <v>0</v>
      </c>
      <c r="Q372" s="928"/>
      <c r="R372" s="928"/>
      <c r="S372" s="928"/>
      <c r="T372" s="928"/>
      <c r="U372" s="241"/>
      <c r="V372" s="930"/>
      <c r="W372" s="930"/>
      <c r="X372" s="930"/>
      <c r="Y372" s="930"/>
      <c r="Z372" s="241"/>
      <c r="AA372" s="930"/>
      <c r="AB372" s="930"/>
      <c r="AC372" s="930"/>
      <c r="AD372" s="930"/>
      <c r="AE372" s="241"/>
      <c r="AF372" s="930"/>
      <c r="AG372" s="930"/>
      <c r="AH372" s="930"/>
      <c r="AI372" s="930"/>
      <c r="AJ372" s="241"/>
      <c r="AK372" s="930"/>
      <c r="AL372" s="930"/>
      <c r="AM372" s="930"/>
      <c r="AN372" s="930"/>
      <c r="AO372" s="241"/>
      <c r="AP372" s="930"/>
      <c r="AQ372" s="930"/>
      <c r="AR372" s="930"/>
      <c r="AS372" s="930"/>
      <c r="AT372" s="241">
        <f>+AT273</f>
        <v>897.6857177419339</v>
      </c>
      <c r="AU372" s="930"/>
      <c r="AV372" s="930"/>
      <c r="AW372" s="930"/>
      <c r="AX372" s="930"/>
      <c r="AY372" s="241">
        <f>+AY273</f>
        <v>597.22</v>
      </c>
      <c r="AZ372" s="228"/>
      <c r="BA372" s="228"/>
      <c r="BB372" s="228"/>
      <c r="BC372" s="228"/>
      <c r="BD372" s="241">
        <f>+BD273</f>
        <v>453.11</v>
      </c>
      <c r="BE372" s="228"/>
      <c r="BF372" s="228"/>
      <c r="BG372" s="228"/>
      <c r="BH372" s="228"/>
      <c r="BI372" s="241">
        <f>+BI273</f>
        <v>196</v>
      </c>
      <c r="BJ372" s="228"/>
      <c r="BK372" s="228"/>
      <c r="BL372" s="228"/>
      <c r="BM372" s="228"/>
      <c r="BN372" s="241">
        <f>+BN273</f>
        <v>330.5</v>
      </c>
      <c r="BO372" s="228"/>
      <c r="BP372" s="228"/>
      <c r="BQ372" s="228"/>
      <c r="BR372" s="228"/>
      <c r="BS372" s="241">
        <f>+BS273</f>
        <v>460.4</v>
      </c>
      <c r="BT372" s="228"/>
      <c r="BU372" s="228"/>
      <c r="BV372" s="228"/>
      <c r="BW372" s="228"/>
      <c r="BX372" s="241">
        <f>+BX273</f>
        <v>421.7</v>
      </c>
      <c r="BY372" s="228"/>
      <c r="BZ372" s="228"/>
      <c r="CA372" s="228"/>
      <c r="CB372" s="228"/>
      <c r="CC372" s="241">
        <f>+CC273</f>
        <v>462.2</v>
      </c>
      <c r="CD372" s="228"/>
      <c r="CE372" s="228"/>
      <c r="CF372" s="228"/>
      <c r="CG372" s="228"/>
      <c r="CH372" s="241">
        <f>+CH273</f>
        <v>762</v>
      </c>
      <c r="CI372" s="228"/>
      <c r="CJ372" s="228"/>
      <c r="CK372" s="228"/>
      <c r="CL372" s="228"/>
      <c r="CM372" s="241">
        <f>+CM273</f>
        <v>1029.7</v>
      </c>
      <c r="CN372" s="228"/>
      <c r="CO372" s="228"/>
      <c r="CP372" s="228"/>
      <c r="CQ372" s="228"/>
      <c r="CR372" s="241">
        <f>+CR273</f>
        <v>1225.2452780888391</v>
      </c>
      <c r="CS372" s="228"/>
      <c r="CT372" s="228"/>
      <c r="CU372" s="228"/>
      <c r="CV372" s="228"/>
      <c r="CW372" s="241">
        <f>+CW273</f>
        <v>1448.44512455516</v>
      </c>
      <c r="CX372" s="228"/>
      <c r="CY372" s="228"/>
      <c r="CZ372" s="228"/>
      <c r="DA372" s="228"/>
      <c r="DB372" s="241">
        <f>+DB273</f>
        <v>1129</v>
      </c>
      <c r="DC372" s="228"/>
      <c r="DD372" s="228"/>
      <c r="DE372" s="228"/>
      <c r="DF372" s="228"/>
      <c r="DG372" s="241">
        <f>+DG273</f>
        <v>1564</v>
      </c>
      <c r="DH372" s="228"/>
      <c r="DI372" s="228"/>
      <c r="DJ372" s="228"/>
      <c r="DK372" s="228"/>
      <c r="DL372" s="241">
        <f>+DL273</f>
        <v>1854.9679999999998</v>
      </c>
      <c r="DM372" s="228"/>
      <c r="DN372" s="228"/>
      <c r="DO372" s="228"/>
      <c r="DP372" s="228"/>
      <c r="DQ372" s="241">
        <f>+DQ273</f>
        <v>1866.0199999999998</v>
      </c>
      <c r="DR372" s="228"/>
      <c r="DS372" s="228"/>
      <c r="DT372" s="228"/>
      <c r="DU372" s="228"/>
      <c r="DV372" s="241">
        <f>+DV273</f>
        <v>1748.2950000000001</v>
      </c>
      <c r="DW372" s="228"/>
      <c r="DX372" s="228"/>
      <c r="DY372" s="228"/>
      <c r="DZ372" s="228"/>
      <c r="EA372" s="241">
        <f>+EA273</f>
        <v>1861.3141802873727</v>
      </c>
      <c r="EB372" s="841"/>
      <c r="EC372" s="203"/>
      <c r="ED372" s="203"/>
      <c r="EE372" s="203"/>
      <c r="EF372" s="241">
        <f>+EF273</f>
        <v>1898.5761356807268</v>
      </c>
      <c r="EG372" s="841"/>
      <c r="EH372" s="203"/>
      <c r="EI372" s="203"/>
      <c r="EJ372" s="203"/>
      <c r="EK372" s="241">
        <f>+EK273</f>
        <v>1701</v>
      </c>
      <c r="EL372" s="203"/>
      <c r="EM372" s="203"/>
      <c r="EN372" s="203"/>
      <c r="EO372" s="203"/>
      <c r="EP372" s="241">
        <f>+EP273</f>
        <v>2096.61</v>
      </c>
      <c r="EQ372" s="203"/>
      <c r="ER372" s="203"/>
      <c r="ES372" s="203"/>
      <c r="ET372" s="203"/>
      <c r="EU372" s="241">
        <f>+EU273</f>
        <v>2755.6305328781909</v>
      </c>
      <c r="EV372" s="203"/>
      <c r="EW372" s="203"/>
      <c r="EX372" s="203"/>
      <c r="EY372" s="203"/>
      <c r="EZ372" s="241">
        <f>+EZ273</f>
        <v>2841.038076000782</v>
      </c>
      <c r="FA372" s="203"/>
      <c r="FB372" s="203"/>
      <c r="FC372" s="203"/>
      <c r="FD372" s="203"/>
      <c r="FE372" s="241">
        <f>+FE273</f>
        <v>3109.0176489270211</v>
      </c>
      <c r="FF372" s="45"/>
      <c r="FG372" s="494"/>
      <c r="FH372" s="819"/>
      <c r="FI372" s="819"/>
      <c r="FJ372" s="819"/>
      <c r="FK372" s="45"/>
      <c r="FL372" s="1388"/>
      <c r="FM372"/>
      <c r="FN372"/>
      <c r="FO372"/>
      <c r="FP372"/>
      <c r="FQ372"/>
      <c r="FR372" s="1619"/>
      <c r="FS372" s="1619"/>
      <c r="FT372" s="205"/>
      <c r="FU372" s="205"/>
      <c r="FV372" s="205"/>
      <c r="FW372" s="205"/>
      <c r="FX372" s="205"/>
      <c r="FY372" s="205"/>
      <c r="FZ372" s="494"/>
      <c r="GA372"/>
      <c r="GB372"/>
      <c r="GC372"/>
      <c r="GD372"/>
      <c r="GE372"/>
      <c r="GF372"/>
      <c r="GG372"/>
      <c r="GH372"/>
      <c r="GI372"/>
      <c r="GJ372"/>
      <c r="GK372"/>
      <c r="GL372"/>
      <c r="GM372"/>
      <c r="GN372"/>
      <c r="GO372"/>
      <c r="GP372"/>
      <c r="GQ372"/>
      <c r="GR372"/>
      <c r="GS372"/>
      <c r="GT372"/>
      <c r="GU372"/>
      <c r="GV372"/>
      <c r="GW372"/>
      <c r="GX372"/>
      <c r="GY372"/>
      <c r="GZ372"/>
      <c r="HA372"/>
      <c r="HB372"/>
      <c r="HC372"/>
      <c r="HD372"/>
      <c r="HE372"/>
      <c r="HF372"/>
      <c r="HG372"/>
      <c r="HH372"/>
      <c r="HI372"/>
      <c r="HJ372"/>
      <c r="HK372"/>
      <c r="HL372"/>
      <c r="HM372"/>
      <c r="HN372"/>
      <c r="HO372"/>
      <c r="HP372"/>
      <c r="HQ372"/>
      <c r="HR372"/>
      <c r="HS372"/>
      <c r="HT372"/>
      <c r="HU372"/>
      <c r="HV372"/>
      <c r="HW372"/>
      <c r="HX372"/>
      <c r="HY372"/>
      <c r="HZ372"/>
      <c r="IA372"/>
      <c r="IB372"/>
      <c r="IC372"/>
      <c r="ID372"/>
      <c r="IE372"/>
      <c r="IF372"/>
      <c r="IG372"/>
      <c r="IH372"/>
      <c r="II372"/>
      <c r="IJ372"/>
      <c r="IK372"/>
      <c r="IL372"/>
      <c r="IM372"/>
      <c r="IN372"/>
      <c r="IO372"/>
      <c r="IP372"/>
      <c r="IQ372"/>
      <c r="IR372"/>
      <c r="IS372"/>
      <c r="IT372"/>
      <c r="IU372"/>
      <c r="IV372"/>
      <c r="IW372"/>
      <c r="IX372"/>
    </row>
    <row r="373" spans="1:258" s="931" customFormat="1" x14ac:dyDescent="0.2">
      <c r="A373" s="927" t="s">
        <v>556</v>
      </c>
      <c r="B373" s="928"/>
      <c r="C373" s="928"/>
      <c r="D373" s="928"/>
      <c r="E373" s="928"/>
      <c r="F373" s="929"/>
      <c r="G373" s="928"/>
      <c r="H373" s="928"/>
      <c r="I373" s="928"/>
      <c r="J373" s="928"/>
      <c r="K373" s="929"/>
      <c r="L373" s="928"/>
      <c r="M373" s="928"/>
      <c r="N373" s="928"/>
      <c r="O373" s="928"/>
      <c r="P373" s="241">
        <f>P250</f>
        <v>0</v>
      </c>
      <c r="Q373" s="928"/>
      <c r="R373" s="928"/>
      <c r="S373" s="928"/>
      <c r="T373" s="928"/>
      <c r="U373" s="241"/>
      <c r="V373" s="930"/>
      <c r="W373" s="930"/>
      <c r="X373" s="930"/>
      <c r="Y373" s="930"/>
      <c r="Z373" s="241"/>
      <c r="AA373" s="930"/>
      <c r="AB373" s="930"/>
      <c r="AC373" s="930"/>
      <c r="AD373" s="930"/>
      <c r="AE373" s="241"/>
      <c r="AF373" s="930"/>
      <c r="AG373" s="930"/>
      <c r="AH373" s="930"/>
      <c r="AI373" s="930"/>
      <c r="AJ373" s="241"/>
      <c r="AK373" s="930"/>
      <c r="AL373" s="930"/>
      <c r="AM373" s="930"/>
      <c r="AN373" s="930"/>
      <c r="AO373" s="241"/>
      <c r="AP373" s="930"/>
      <c r="AQ373" s="930"/>
      <c r="AR373" s="930"/>
      <c r="AS373" s="930"/>
      <c r="AT373" s="241">
        <f>+AT253</f>
        <v>1956.6000000000004</v>
      </c>
      <c r="AU373" s="930"/>
      <c r="AV373" s="930"/>
      <c r="AW373" s="930"/>
      <c r="AX373" s="930"/>
      <c r="AY373" s="241">
        <f>+AY253</f>
        <v>1598</v>
      </c>
      <c r="AZ373" s="228"/>
      <c r="BA373" s="228"/>
      <c r="BB373" s="228"/>
      <c r="BC373" s="228"/>
      <c r="BD373" s="241">
        <f>+BD253</f>
        <v>1516</v>
      </c>
      <c r="BE373" s="228"/>
      <c r="BF373" s="228"/>
      <c r="BG373" s="228"/>
      <c r="BH373" s="228"/>
      <c r="BI373" s="241">
        <f>+BI253</f>
        <v>1368</v>
      </c>
      <c r="BJ373" s="228"/>
      <c r="BK373" s="228"/>
      <c r="BL373" s="228"/>
      <c r="BM373" s="228"/>
      <c r="BN373" s="241">
        <f>+BN253</f>
        <v>1598</v>
      </c>
      <c r="BO373" s="228"/>
      <c r="BP373" s="228"/>
      <c r="BQ373" s="228"/>
      <c r="BR373" s="228"/>
      <c r="BS373" s="241">
        <f>+BS253</f>
        <v>1721</v>
      </c>
      <c r="BT373" s="228"/>
      <c r="BU373" s="228"/>
      <c r="BV373" s="228"/>
      <c r="BW373" s="228"/>
      <c r="BX373" s="241">
        <f>+BX253</f>
        <v>1605</v>
      </c>
      <c r="BY373" s="228"/>
      <c r="BZ373" s="228"/>
      <c r="CA373" s="228"/>
      <c r="CB373" s="228"/>
      <c r="CC373" s="241">
        <f>+CC253</f>
        <v>1811</v>
      </c>
      <c r="CD373" s="228"/>
      <c r="CE373" s="228"/>
      <c r="CF373" s="228"/>
      <c r="CG373" s="228"/>
      <c r="CH373" s="241">
        <f>+CH253</f>
        <v>2351</v>
      </c>
      <c r="CI373" s="228"/>
      <c r="CJ373" s="228"/>
      <c r="CK373" s="228"/>
      <c r="CL373" s="228"/>
      <c r="CM373" s="241">
        <f>+CM253</f>
        <v>2826</v>
      </c>
      <c r="CN373" s="228"/>
      <c r="CO373" s="228"/>
      <c r="CP373" s="228"/>
      <c r="CQ373" s="228"/>
      <c r="CR373" s="241">
        <f>+CR253</f>
        <v>3122</v>
      </c>
      <c r="CS373" s="228"/>
      <c r="CT373" s="228"/>
      <c r="CU373" s="228"/>
      <c r="CV373" s="228"/>
      <c r="CW373" s="241">
        <f>+CW253</f>
        <v>3670</v>
      </c>
      <c r="CX373" s="228"/>
      <c r="CY373" s="228"/>
      <c r="CZ373" s="228"/>
      <c r="DA373" s="228"/>
      <c r="DB373" s="241">
        <f>+DB253</f>
        <v>3193</v>
      </c>
      <c r="DC373" s="228"/>
      <c r="DD373" s="228"/>
      <c r="DE373" s="228"/>
      <c r="DF373" s="228"/>
      <c r="DG373" s="241">
        <f>+DG253</f>
        <v>4021</v>
      </c>
      <c r="DH373" s="228"/>
      <c r="DI373" s="228"/>
      <c r="DJ373" s="228"/>
      <c r="DK373" s="228"/>
      <c r="DL373" s="241">
        <f>+DL253</f>
        <v>4446</v>
      </c>
      <c r="DM373" s="228"/>
      <c r="DN373" s="228"/>
      <c r="DO373" s="228"/>
      <c r="DP373" s="228"/>
      <c r="DQ373" s="241">
        <f>+DQ253</f>
        <v>4523</v>
      </c>
      <c r="DR373" s="228"/>
      <c r="DS373" s="228"/>
      <c r="DT373" s="228"/>
      <c r="DU373" s="228"/>
      <c r="DV373" s="241">
        <f>+DV253</f>
        <v>4452</v>
      </c>
      <c r="DW373" s="228"/>
      <c r="DX373" s="228"/>
      <c r="DY373" s="228"/>
      <c r="DZ373" s="228"/>
      <c r="EA373" s="241">
        <f>+EA253</f>
        <v>4681.0741802873727</v>
      </c>
      <c r="EB373" s="841"/>
      <c r="EC373" s="203"/>
      <c r="ED373" s="203"/>
      <c r="EE373" s="203"/>
      <c r="EF373" s="241">
        <f>+EF253</f>
        <v>4678</v>
      </c>
      <c r="EG373" s="841"/>
      <c r="EH373" s="203"/>
      <c r="EI373" s="203"/>
      <c r="EJ373" s="203"/>
      <c r="EK373" s="241">
        <f>+EK253</f>
        <v>4690</v>
      </c>
      <c r="EL373" s="203"/>
      <c r="EM373" s="203"/>
      <c r="EN373" s="203"/>
      <c r="EO373" s="203"/>
      <c r="EP373" s="241">
        <f>+EP253</f>
        <v>5141</v>
      </c>
      <c r="EQ373" s="203"/>
      <c r="ER373" s="203"/>
      <c r="ES373" s="203"/>
      <c r="ET373" s="203"/>
      <c r="EU373" s="241">
        <f>+EU253</f>
        <v>5516.4823771709216</v>
      </c>
      <c r="EV373" s="203"/>
      <c r="EW373" s="203"/>
      <c r="EX373" s="203"/>
      <c r="EY373" s="203"/>
      <c r="EZ373" s="241">
        <f>+EZ253</f>
        <v>5699.5543542457699</v>
      </c>
      <c r="FA373" s="203"/>
      <c r="FB373" s="203"/>
      <c r="FC373" s="203"/>
      <c r="FD373" s="203"/>
      <c r="FE373" s="241">
        <f>+FE253</f>
        <v>6057.5835533004529</v>
      </c>
      <c r="FF373" s="45"/>
      <c r="FG373" s="494"/>
      <c r="FH373" s="819"/>
      <c r="FI373" s="819"/>
      <c r="FJ373" s="819"/>
      <c r="FK373" s="45"/>
      <c r="FL373" s="1388"/>
      <c r="FM373"/>
      <c r="FN373"/>
      <c r="FO373"/>
      <c r="FP373"/>
      <c r="FQ373"/>
      <c r="FR373" s="1619"/>
      <c r="FS373" s="1619"/>
      <c r="FT373" s="205"/>
      <c r="FU373" s="205"/>
      <c r="FV373" s="205"/>
      <c r="FW373" s="205"/>
      <c r="FX373" s="205"/>
      <c r="FY373" s="205"/>
      <c r="FZ373" s="494"/>
      <c r="GA373"/>
      <c r="GB373"/>
      <c r="GC373"/>
      <c r="GD373"/>
      <c r="GE373"/>
      <c r="GF373"/>
      <c r="GG373"/>
      <c r="GH373"/>
      <c r="GI373"/>
      <c r="GJ373"/>
      <c r="GK373"/>
      <c r="GL373"/>
      <c r="GM373"/>
      <c r="GN373"/>
      <c r="GO373"/>
      <c r="GP373"/>
      <c r="GQ373"/>
      <c r="GR373"/>
      <c r="GS373"/>
      <c r="GT373"/>
      <c r="GU373"/>
      <c r="GV373"/>
      <c r="GW373"/>
      <c r="GX373"/>
      <c r="GY373"/>
      <c r="GZ373"/>
      <c r="HA373"/>
      <c r="HB373"/>
      <c r="HC373"/>
      <c r="HD373"/>
      <c r="HE373"/>
      <c r="HF373"/>
      <c r="HG373"/>
      <c r="HH373"/>
      <c r="HI373"/>
      <c r="HJ373"/>
      <c r="HK373"/>
      <c r="HL373"/>
      <c r="HM373"/>
      <c r="HN373"/>
      <c r="HO373"/>
      <c r="HP373"/>
      <c r="HQ373"/>
      <c r="HR373"/>
      <c r="HS373"/>
      <c r="HT373"/>
      <c r="HU373"/>
      <c r="HV373"/>
      <c r="HW373"/>
      <c r="HX373"/>
      <c r="HY373"/>
      <c r="HZ373"/>
      <c r="IA373"/>
      <c r="IB373"/>
      <c r="IC373"/>
      <c r="ID373"/>
      <c r="IE373"/>
      <c r="IF373"/>
      <c r="IG373"/>
      <c r="IH373"/>
      <c r="II373"/>
      <c r="IJ373"/>
      <c r="IK373"/>
      <c r="IL373"/>
      <c r="IM373"/>
      <c r="IN373"/>
      <c r="IO373"/>
      <c r="IP373"/>
      <c r="IQ373"/>
      <c r="IR373"/>
      <c r="IS373"/>
      <c r="IT373"/>
      <c r="IU373"/>
      <c r="IV373"/>
      <c r="IW373"/>
      <c r="IX373"/>
    </row>
    <row r="374" spans="1:258" s="45" customFormat="1" ht="12.75" customHeight="1" x14ac:dyDescent="0.2">
      <c r="A374" s="932" t="s">
        <v>557</v>
      </c>
      <c r="B374" s="933"/>
      <c r="C374" s="933"/>
      <c r="D374" s="933"/>
      <c r="E374" s="933"/>
      <c r="F374" s="924"/>
      <c r="G374" s="933"/>
      <c r="H374" s="933"/>
      <c r="I374" s="933"/>
      <c r="J374" s="933"/>
      <c r="K374" s="924"/>
      <c r="L374" s="934"/>
      <c r="M374" s="934"/>
      <c r="N374" s="934"/>
      <c r="O374" s="934"/>
      <c r="P374" s="924"/>
      <c r="Q374" s="934"/>
      <c r="R374" s="934"/>
      <c r="S374" s="934"/>
      <c r="T374" s="934"/>
      <c r="U374" s="924"/>
      <c r="V374" s="934"/>
      <c r="W374" s="934"/>
      <c r="X374" s="934"/>
      <c r="Y374" s="934"/>
      <c r="Z374" s="924"/>
      <c r="AA374" s="934"/>
      <c r="AB374" s="934"/>
      <c r="AC374" s="934"/>
      <c r="AD374" s="934"/>
      <c r="AE374" s="924"/>
      <c r="AF374" s="934"/>
      <c r="AG374" s="934"/>
      <c r="AH374" s="934"/>
      <c r="AI374" s="934"/>
      <c r="AJ374" s="924"/>
      <c r="AK374" s="934"/>
      <c r="AL374" s="934"/>
      <c r="AM374" s="934"/>
      <c r="AN374" s="934"/>
      <c r="AO374" s="924"/>
      <c r="AP374" s="934"/>
      <c r="AQ374" s="934"/>
      <c r="AR374" s="934"/>
      <c r="AS374" s="934"/>
      <c r="AT374" s="924"/>
      <c r="AU374" s="934"/>
      <c r="AV374" s="934"/>
      <c r="AW374" s="934"/>
      <c r="AX374" s="934"/>
      <c r="AY374" s="924"/>
      <c r="AZ374" s="933"/>
      <c r="BA374" s="933"/>
      <c r="BB374" s="933"/>
      <c r="BC374" s="933"/>
      <c r="BD374" s="924"/>
      <c r="BE374" s="933"/>
      <c r="BF374" s="933"/>
      <c r="BG374" s="933"/>
      <c r="BH374" s="933"/>
      <c r="BI374" s="924"/>
      <c r="BJ374" s="933"/>
      <c r="BK374" s="933"/>
      <c r="BL374" s="933"/>
      <c r="BM374" s="933"/>
      <c r="BN374" s="924"/>
      <c r="BO374" s="933"/>
      <c r="BP374" s="933"/>
      <c r="BQ374" s="933"/>
      <c r="BR374" s="933"/>
      <c r="BS374" s="924"/>
      <c r="BT374" s="933"/>
      <c r="BU374" s="933"/>
      <c r="BV374" s="933"/>
      <c r="BW374" s="933"/>
      <c r="BX374" s="924"/>
      <c r="BY374" s="933"/>
      <c r="BZ374" s="933"/>
      <c r="CA374" s="933"/>
      <c r="CB374" s="933"/>
      <c r="CC374" s="924"/>
      <c r="CD374" s="933"/>
      <c r="CE374" s="933"/>
      <c r="CF374" s="933"/>
      <c r="CG374" s="933"/>
      <c r="CH374" s="924"/>
      <c r="CI374" s="933"/>
      <c r="CJ374" s="933"/>
      <c r="CK374" s="933"/>
      <c r="CL374" s="933"/>
      <c r="CM374" s="924"/>
      <c r="CN374" s="933"/>
      <c r="CO374" s="933"/>
      <c r="CP374" s="933"/>
      <c r="CQ374" s="933"/>
      <c r="CR374" s="924"/>
      <c r="CS374" s="933"/>
      <c r="CT374" s="933"/>
      <c r="CU374" s="933"/>
      <c r="CV374" s="933"/>
      <c r="CW374" s="924"/>
      <c r="CX374" s="933"/>
      <c r="CY374" s="933"/>
      <c r="CZ374" s="933"/>
      <c r="DA374" s="933"/>
      <c r="DB374" s="924"/>
      <c r="DC374" s="933"/>
      <c r="DD374" s="933"/>
      <c r="DE374" s="933"/>
      <c r="DF374" s="933"/>
      <c r="DG374" s="924"/>
      <c r="DH374" s="933"/>
      <c r="DI374" s="933"/>
      <c r="DJ374" s="933"/>
      <c r="DK374" s="933"/>
      <c r="DL374" s="924"/>
      <c r="DM374" s="933"/>
      <c r="DN374" s="933"/>
      <c r="DO374" s="933"/>
      <c r="DP374" s="933"/>
      <c r="DQ374" s="924"/>
      <c r="DR374" s="933"/>
      <c r="DS374" s="933"/>
      <c r="DT374" s="933"/>
      <c r="DU374" s="933"/>
      <c r="DV374" s="924"/>
      <c r="DW374" s="933"/>
      <c r="DX374" s="933"/>
      <c r="DY374" s="933"/>
      <c r="DZ374" s="933"/>
      <c r="EA374" s="924"/>
      <c r="EB374" s="933"/>
      <c r="EC374" s="933"/>
      <c r="ED374" s="933"/>
      <c r="EE374" s="933"/>
      <c r="EF374" s="924"/>
      <c r="EG374" s="933"/>
      <c r="EH374" s="933"/>
      <c r="EI374" s="933"/>
      <c r="EJ374" s="933"/>
      <c r="EK374" s="924"/>
      <c r="EL374" s="933"/>
      <c r="EM374" s="933"/>
      <c r="EN374" s="933"/>
      <c r="EO374" s="933"/>
      <c r="EP374" s="924"/>
      <c r="EQ374" s="933"/>
      <c r="ER374" s="933"/>
      <c r="ES374" s="933"/>
      <c r="ET374" s="933"/>
      <c r="EU374" s="924"/>
      <c r="EV374" s="203"/>
      <c r="EW374" s="203"/>
      <c r="EX374" s="203"/>
      <c r="EY374" s="203"/>
      <c r="EZ374" s="924"/>
      <c r="FA374" s="203"/>
      <c r="FB374" s="203"/>
      <c r="FC374" s="203"/>
      <c r="FD374" s="203"/>
      <c r="FE374" s="924"/>
      <c r="FG374" s="494"/>
      <c r="FH374" s="819"/>
      <c r="FI374" s="819"/>
      <c r="FJ374" s="819"/>
      <c r="FL374" s="1388"/>
      <c r="FM374"/>
      <c r="FN374"/>
      <c r="FO374"/>
      <c r="FP374"/>
      <c r="FQ374"/>
      <c r="FR374" s="1619"/>
      <c r="FS374" s="1619"/>
      <c r="FT374" s="205"/>
      <c r="FU374" s="205"/>
      <c r="FV374" s="205"/>
      <c r="FW374" s="205"/>
      <c r="FX374" s="205"/>
      <c r="FY374" s="205"/>
      <c r="FZ374" s="494"/>
      <c r="GA374"/>
      <c r="GB374"/>
      <c r="GC374"/>
      <c r="GD374"/>
      <c r="GE374"/>
      <c r="GF374"/>
      <c r="GG374"/>
      <c r="GH374"/>
      <c r="GI374"/>
      <c r="GJ374"/>
      <c r="GK374"/>
      <c r="GL374"/>
      <c r="GM374"/>
      <c r="GN374"/>
      <c r="GO374"/>
      <c r="GP374"/>
      <c r="GQ374"/>
      <c r="GR374"/>
      <c r="GS374"/>
      <c r="GT374"/>
      <c r="GU374"/>
      <c r="GV374"/>
      <c r="GW374"/>
      <c r="GX374"/>
      <c r="GY374"/>
      <c r="GZ374"/>
      <c r="HA374"/>
      <c r="HB374"/>
      <c r="HC374"/>
      <c r="HD374"/>
      <c r="HE374"/>
      <c r="HF374"/>
      <c r="HG374"/>
      <c r="HH374"/>
      <c r="HI374"/>
      <c r="HJ374"/>
      <c r="HK374"/>
      <c r="HL374"/>
      <c r="HM374"/>
      <c r="HN374"/>
      <c r="HO374"/>
      <c r="HP374"/>
      <c r="HQ374"/>
      <c r="HR374"/>
      <c r="HS374"/>
      <c r="HT374"/>
      <c r="HU374"/>
      <c r="HV374"/>
      <c r="HW374"/>
      <c r="HX374"/>
      <c r="HY374"/>
      <c r="HZ374"/>
      <c r="IA374"/>
      <c r="IB374"/>
      <c r="IC374"/>
      <c r="ID374"/>
      <c r="IE374"/>
      <c r="IF374"/>
      <c r="IG374"/>
      <c r="IH374"/>
      <c r="II374"/>
      <c r="IJ374"/>
      <c r="IK374"/>
      <c r="IL374"/>
      <c r="IM374"/>
      <c r="IN374"/>
      <c r="IO374"/>
      <c r="IP374"/>
      <c r="IQ374"/>
      <c r="IR374"/>
      <c r="IS374"/>
      <c r="IT374"/>
      <c r="IU374"/>
      <c r="IV374"/>
      <c r="IW374"/>
      <c r="IX374"/>
    </row>
    <row r="375" spans="1:258" s="943" customFormat="1" ht="12.6" customHeight="1" x14ac:dyDescent="0.2">
      <c r="A375" s="935" t="s">
        <v>558</v>
      </c>
      <c r="B375" s="936"/>
      <c r="C375" s="936"/>
      <c r="D375" s="936"/>
      <c r="E375" s="936"/>
      <c r="F375" s="937"/>
      <c r="G375" s="936"/>
      <c r="H375" s="936"/>
      <c r="I375" s="936"/>
      <c r="J375" s="936"/>
      <c r="K375" s="937"/>
      <c r="L375" s="936"/>
      <c r="M375" s="936"/>
      <c r="N375" s="936"/>
      <c r="O375" s="936"/>
      <c r="P375" s="938" t="e">
        <f>P369/AVERAGE(P364,K364)</f>
        <v>#DIV/0!</v>
      </c>
      <c r="Q375" s="936"/>
      <c r="R375" s="936"/>
      <c r="S375" s="936"/>
      <c r="T375" s="936"/>
      <c r="U375" s="938"/>
      <c r="V375" s="939"/>
      <c r="W375" s="939"/>
      <c r="X375" s="939"/>
      <c r="Y375" s="939"/>
      <c r="Z375" s="938"/>
      <c r="AA375" s="939"/>
      <c r="AB375" s="939"/>
      <c r="AC375" s="939"/>
      <c r="AD375" s="939"/>
      <c r="AE375" s="938"/>
      <c r="AF375" s="939"/>
      <c r="AG375" s="939"/>
      <c r="AH375" s="939"/>
      <c r="AI375" s="939"/>
      <c r="AJ375" s="938"/>
      <c r="AK375" s="939"/>
      <c r="AL375" s="939"/>
      <c r="AM375" s="939"/>
      <c r="AN375" s="939"/>
      <c r="AO375" s="938"/>
      <c r="AP375" s="939"/>
      <c r="AQ375" s="939"/>
      <c r="AR375" s="939"/>
      <c r="AS375" s="939"/>
      <c r="AT375" s="938"/>
      <c r="AU375" s="939"/>
      <c r="AV375" s="939"/>
      <c r="AW375" s="939"/>
      <c r="AX375" s="939"/>
      <c r="AY375" s="938">
        <f>AY369/AVERAGE(AY364,AT364)</f>
        <v>0.49073890649762281</v>
      </c>
      <c r="AZ375" s="940"/>
      <c r="BA375" s="940"/>
      <c r="BB375" s="940"/>
      <c r="BC375" s="940"/>
      <c r="BD375" s="938">
        <f>BD369/AVERAGE(BD364,AY364)</f>
        <v>0.52548180912338693</v>
      </c>
      <c r="BE375" s="940"/>
      <c r="BF375" s="940"/>
      <c r="BG375" s="940"/>
      <c r="BH375" s="940"/>
      <c r="BI375" s="938">
        <f>BI369/AVERAGE(BI364,BD364)</f>
        <v>0.35150809249957538</v>
      </c>
      <c r="BJ375" s="940"/>
      <c r="BK375" s="940"/>
      <c r="BL375" s="940"/>
      <c r="BM375" s="940"/>
      <c r="BN375" s="938">
        <f>BN369/AVERAGE(BN364,BI364)</f>
        <v>0.34844521941296136</v>
      </c>
      <c r="BO375" s="940"/>
      <c r="BP375" s="940"/>
      <c r="BQ375" s="940"/>
      <c r="BR375" s="940"/>
      <c r="BS375" s="938">
        <f>BS369/AVERAGE(BS364,BN364)</f>
        <v>0.34398869812992361</v>
      </c>
      <c r="BT375" s="940"/>
      <c r="BU375" s="940"/>
      <c r="BV375" s="940"/>
      <c r="BW375" s="940"/>
      <c r="BX375" s="938">
        <f>BX369/AVERAGE(BX364,BS364)</f>
        <v>0.34865478727140747</v>
      </c>
      <c r="BY375" s="940"/>
      <c r="BZ375" s="940"/>
      <c r="CA375" s="940"/>
      <c r="CB375" s="940"/>
      <c r="CC375" s="938">
        <f>CC369/AVERAGE(CC364,BX364)</f>
        <v>0.34688241639697948</v>
      </c>
      <c r="CD375" s="940"/>
      <c r="CE375" s="940"/>
      <c r="CF375" s="940"/>
      <c r="CG375" s="940"/>
      <c r="CH375" s="938">
        <f>CH369/AVERAGE(CH364,CC364)</f>
        <v>0.35223293814116347</v>
      </c>
      <c r="CI375" s="940"/>
      <c r="CJ375" s="940"/>
      <c r="CK375" s="940"/>
      <c r="CL375" s="940"/>
      <c r="CM375" s="938">
        <f>CM369/AVERAGE(CM364,CH364)</f>
        <v>0.38759344421709446</v>
      </c>
      <c r="CN375" s="940"/>
      <c r="CO375" s="940"/>
      <c r="CP375" s="940"/>
      <c r="CQ375" s="940"/>
      <c r="CR375" s="938">
        <f>CR369/AVERAGE(CR364,CM364)</f>
        <v>0.39594970688668257</v>
      </c>
      <c r="CS375" s="940"/>
      <c r="CT375" s="940"/>
      <c r="CU375" s="940"/>
      <c r="CV375" s="940"/>
      <c r="CW375" s="938">
        <f>CW369/AVERAGE(CW364,CR364)</f>
        <v>0.43437150245069661</v>
      </c>
      <c r="CX375" s="940"/>
      <c r="CY375" s="940"/>
      <c r="CZ375" s="940"/>
      <c r="DA375" s="940"/>
      <c r="DB375" s="938">
        <f>DB369/AVERAGE(DB364,CW364)</f>
        <v>0.3390968419473408</v>
      </c>
      <c r="DC375" s="940"/>
      <c r="DD375" s="940"/>
      <c r="DE375" s="940"/>
      <c r="DF375" s="940"/>
      <c r="DG375" s="938">
        <f>DG369/AVERAGE(DG364,DB364)</f>
        <v>0.38552295340449827</v>
      </c>
      <c r="DH375" s="940"/>
      <c r="DI375" s="940"/>
      <c r="DJ375" s="940"/>
      <c r="DK375" s="940"/>
      <c r="DL375" s="938">
        <f>DL369/AVERAGE(DL364,DG364)</f>
        <v>0.41036792206662609</v>
      </c>
      <c r="DM375" s="940"/>
      <c r="DN375" s="940"/>
      <c r="DO375" s="940"/>
      <c r="DP375" s="940"/>
      <c r="DQ375" s="938">
        <f>DQ369/AVERAGE(DQ364,DL364)</f>
        <v>0.39166264338155726</v>
      </c>
      <c r="DR375" s="940"/>
      <c r="DS375" s="940"/>
      <c r="DT375" s="940"/>
      <c r="DU375" s="940"/>
      <c r="DV375" s="938">
        <f>DV369/AVERAGE(DV364,DQ364)</f>
        <v>0.38163346932245418</v>
      </c>
      <c r="DW375" s="940"/>
      <c r="DX375" s="940"/>
      <c r="DY375" s="940"/>
      <c r="DZ375" s="940"/>
      <c r="EA375" s="938">
        <f>EA369/AVERAGE(EA364,DV364)</f>
        <v>0.38824937704287416</v>
      </c>
      <c r="EB375" s="941"/>
      <c r="EC375" s="942"/>
      <c r="ED375" s="942"/>
      <c r="EE375" s="942"/>
      <c r="EF375" s="938">
        <f>EF369/AVERAGE(EF364,EA364)</f>
        <v>0.34555591610371988</v>
      </c>
      <c r="EG375" s="941"/>
      <c r="EH375" s="942"/>
      <c r="EI375" s="942"/>
      <c r="EJ375" s="942"/>
      <c r="EK375" s="938">
        <f>EK369/AVERAGE(EK364,EF364)</f>
        <v>0.31554041534229393</v>
      </c>
      <c r="EL375" s="942"/>
      <c r="EM375" s="942"/>
      <c r="EN375" s="942"/>
      <c r="EO375" s="942"/>
      <c r="EP375" s="938">
        <f>EP369/AVERAGE(EP364,EK364)</f>
        <v>0.32066111056455804</v>
      </c>
      <c r="EQ375" s="942"/>
      <c r="ER375" s="942"/>
      <c r="ES375" s="942"/>
      <c r="ET375" s="942"/>
      <c r="EU375" s="938">
        <f ca="1">EU369/AVERAGE(EU364,EP364)</f>
        <v>0.32353508190384156</v>
      </c>
      <c r="EV375" s="942"/>
      <c r="EW375" s="942"/>
      <c r="EX375" s="942"/>
      <c r="EY375" s="942"/>
      <c r="EZ375" s="938">
        <f ca="1">EZ369/AVERAGE(EZ364,EU364)</f>
        <v>0.3251308884846531</v>
      </c>
      <c r="FA375" s="942"/>
      <c r="FB375" s="942"/>
      <c r="FC375" s="942"/>
      <c r="FD375" s="942"/>
      <c r="FE375" s="938">
        <f ca="1">FE369/AVERAGE(FE364,EZ364)</f>
        <v>0.32878518082470265</v>
      </c>
      <c r="FF375" s="45"/>
      <c r="FG375" s="494"/>
      <c r="FH375" s="819"/>
      <c r="FI375" s="819"/>
      <c r="FJ375" s="819"/>
      <c r="FK375" s="45"/>
      <c r="FL375" s="1388"/>
      <c r="FM375"/>
      <c r="FN375"/>
      <c r="FO375"/>
      <c r="FP375"/>
      <c r="FQ375"/>
      <c r="FR375" s="1619"/>
      <c r="FS375" s="1619"/>
      <c r="FT375" s="205"/>
      <c r="FU375" s="205"/>
      <c r="FV375" s="205"/>
      <c r="FW375" s="205"/>
      <c r="FX375" s="205"/>
      <c r="FY375" s="205"/>
      <c r="FZ375" s="494"/>
      <c r="GA375"/>
      <c r="GB375"/>
      <c r="GC375"/>
      <c r="GD375"/>
      <c r="GE375"/>
      <c r="GF375"/>
      <c r="GG375"/>
      <c r="GH375"/>
      <c r="GI375"/>
      <c r="GJ375"/>
      <c r="GK375"/>
      <c r="GL375"/>
      <c r="GM375"/>
      <c r="GN375"/>
      <c r="GO375"/>
      <c r="GP375"/>
      <c r="GQ375"/>
      <c r="GR375"/>
      <c r="GS375"/>
      <c r="GT375"/>
      <c r="GU375"/>
      <c r="GV375"/>
      <c r="GW375"/>
      <c r="GX375"/>
      <c r="GY375"/>
      <c r="GZ375"/>
      <c r="HA375"/>
      <c r="HB375"/>
      <c r="HC375"/>
      <c r="HD375"/>
      <c r="HE375"/>
      <c r="HF375"/>
      <c r="HG375"/>
      <c r="HH375"/>
      <c r="HI375"/>
      <c r="HJ375"/>
      <c r="HK375"/>
      <c r="HL375"/>
      <c r="HM375"/>
      <c r="HN375"/>
      <c r="HO375"/>
      <c r="HP375"/>
      <c r="HQ375"/>
      <c r="HR375"/>
      <c r="HS375"/>
      <c r="HT375"/>
      <c r="HU375"/>
      <c r="HV375"/>
      <c r="HW375"/>
      <c r="HX375"/>
      <c r="HY375"/>
      <c r="HZ375"/>
      <c r="IA375"/>
      <c r="IB375"/>
      <c r="IC375"/>
      <c r="ID375"/>
      <c r="IE375"/>
      <c r="IF375"/>
      <c r="IG375"/>
      <c r="IH375"/>
      <c r="II375"/>
      <c r="IJ375"/>
      <c r="IK375"/>
      <c r="IL375"/>
      <c r="IM375"/>
      <c r="IN375"/>
      <c r="IO375"/>
      <c r="IP375"/>
      <c r="IQ375"/>
      <c r="IR375"/>
      <c r="IS375"/>
      <c r="IT375"/>
      <c r="IU375"/>
      <c r="IV375"/>
      <c r="IW375"/>
      <c r="IX375"/>
    </row>
    <row r="376" spans="1:258" s="155" customFormat="1" ht="12.6" customHeight="1" x14ac:dyDescent="0.2">
      <c r="A376" s="944" t="s">
        <v>559</v>
      </c>
      <c r="B376" s="298"/>
      <c r="C376" s="298"/>
      <c r="D376" s="298"/>
      <c r="E376" s="298"/>
      <c r="F376" s="251"/>
      <c r="G376" s="298"/>
      <c r="H376" s="298"/>
      <c r="I376" s="298"/>
      <c r="J376" s="298"/>
      <c r="K376" s="251"/>
      <c r="L376" s="298"/>
      <c r="M376" s="298"/>
      <c r="N376" s="298"/>
      <c r="O376" s="298"/>
      <c r="P376" s="9" t="e">
        <f>P372/P369</f>
        <v>#DIV/0!</v>
      </c>
      <c r="Q376" s="298"/>
      <c r="R376" s="298"/>
      <c r="S376" s="298"/>
      <c r="T376" s="298"/>
      <c r="U376" s="9"/>
      <c r="V376" s="250"/>
      <c r="W376" s="250"/>
      <c r="X376" s="250"/>
      <c r="Y376" s="250"/>
      <c r="Z376" s="9"/>
      <c r="AA376" s="250"/>
      <c r="AB376" s="250"/>
      <c r="AC376" s="250"/>
      <c r="AD376" s="250"/>
      <c r="AE376" s="9"/>
      <c r="AF376" s="250"/>
      <c r="AG376" s="250"/>
      <c r="AH376" s="250"/>
      <c r="AI376" s="250"/>
      <c r="AJ376" s="9"/>
      <c r="AK376" s="250"/>
      <c r="AL376" s="250"/>
      <c r="AM376" s="250"/>
      <c r="AN376" s="250"/>
      <c r="AO376" s="9"/>
      <c r="AP376" s="250"/>
      <c r="AQ376" s="250"/>
      <c r="AR376" s="250"/>
      <c r="AS376" s="250"/>
      <c r="AT376" s="9"/>
      <c r="AU376" s="250"/>
      <c r="AV376" s="250"/>
      <c r="AW376" s="250"/>
      <c r="AX376" s="250"/>
      <c r="AY376" s="9">
        <f>AY372/AY369</f>
        <v>6.0270461196891716E-2</v>
      </c>
      <c r="AZ376" s="6"/>
      <c r="BA376" s="6"/>
      <c r="BB376" s="6"/>
      <c r="BC376" s="6"/>
      <c r="BD376" s="9">
        <f>BD372/BD369</f>
        <v>4.1911941541023033E-2</v>
      </c>
      <c r="BE376" s="6"/>
      <c r="BF376" s="6"/>
      <c r="BG376" s="6"/>
      <c r="BH376" s="6"/>
      <c r="BI376" s="9">
        <f>BI372/BI369</f>
        <v>2.7060610244373878E-2</v>
      </c>
      <c r="BJ376" s="6"/>
      <c r="BK376" s="6"/>
      <c r="BL376" s="6"/>
      <c r="BM376" s="6"/>
      <c r="BN376" s="9">
        <f>BN372/BN369</f>
        <v>4.5941061996107868E-2</v>
      </c>
      <c r="BO376" s="6"/>
      <c r="BP376" s="6"/>
      <c r="BQ376" s="6"/>
      <c r="BR376" s="6"/>
      <c r="BS376" s="9">
        <f>BS372/BS369</f>
        <v>6.4095781706807742E-2</v>
      </c>
      <c r="BT376" s="6"/>
      <c r="BU376" s="6"/>
      <c r="BV376" s="6"/>
      <c r="BW376" s="6"/>
      <c r="BX376" s="9">
        <f>BX372/BX369</f>
        <v>5.6642041638683679E-2</v>
      </c>
      <c r="BY376" s="6"/>
      <c r="BZ376" s="6"/>
      <c r="CA376" s="6"/>
      <c r="CB376" s="6"/>
      <c r="CC376" s="9">
        <f>CC372/CC369</f>
        <v>5.7494713272795123E-2</v>
      </c>
      <c r="CD376" s="6"/>
      <c r="CE376" s="6"/>
      <c r="CF376" s="6"/>
      <c r="CG376" s="6"/>
      <c r="CH376" s="9">
        <f>CH372/CH369</f>
        <v>8.8594349494244856E-2</v>
      </c>
      <c r="CI376" s="6"/>
      <c r="CJ376" s="6"/>
      <c r="CK376" s="6"/>
      <c r="CL376" s="6"/>
      <c r="CM376" s="9">
        <f>CM372/CM369</f>
        <v>0.10764164750156806</v>
      </c>
      <c r="CN376" s="6"/>
      <c r="CO376" s="6"/>
      <c r="CP376" s="6"/>
      <c r="CQ376" s="6"/>
      <c r="CR376" s="9">
        <f>CR372/CR369</f>
        <v>0.12215805364794009</v>
      </c>
      <c r="CS376" s="6"/>
      <c r="CT376" s="6"/>
      <c r="CU376" s="6"/>
      <c r="CV376" s="6"/>
      <c r="CW376" s="9">
        <f>CW372/CW369</f>
        <v>0.12869348063573166</v>
      </c>
      <c r="CX376" s="6"/>
      <c r="CY376" s="6"/>
      <c r="CZ376" s="6"/>
      <c r="DA376" s="6"/>
      <c r="DB376" s="9">
        <f>DB372/DB369</f>
        <v>0.12487556686207278</v>
      </c>
      <c r="DC376" s="6"/>
      <c r="DD376" s="6"/>
      <c r="DE376" s="6"/>
      <c r="DF376" s="6"/>
      <c r="DG376" s="9">
        <f>DG372/DG369</f>
        <v>0.14704776231666039</v>
      </c>
      <c r="DH376" s="6"/>
      <c r="DI376" s="6"/>
      <c r="DJ376" s="6"/>
      <c r="DK376" s="6"/>
      <c r="DL376" s="9">
        <f>DL372/DL369</f>
        <v>0.1572673166596015</v>
      </c>
      <c r="DM376" s="6"/>
      <c r="DN376" s="6"/>
      <c r="DO376" s="6"/>
      <c r="DP376" s="6"/>
      <c r="DQ376" s="9">
        <f>DQ372/DQ369</f>
        <v>0.15863470203179458</v>
      </c>
      <c r="DR376" s="6"/>
      <c r="DS376" s="6"/>
      <c r="DT376" s="6"/>
      <c r="DU376" s="6"/>
      <c r="DV376" s="9">
        <f>DV372/DV369</f>
        <v>0.14658296302506918</v>
      </c>
      <c r="DW376" s="6"/>
      <c r="DX376" s="6"/>
      <c r="DY376" s="6"/>
      <c r="DZ376" s="6"/>
      <c r="EA376" s="9">
        <f>EA372/EA369</f>
        <v>0.14788679564614438</v>
      </c>
      <c r="EB376" s="202"/>
      <c r="EC376" s="203"/>
      <c r="ED376" s="203"/>
      <c r="EE376" s="203"/>
      <c r="EF376" s="9">
        <f>EF372/EF369</f>
        <v>0.16207752566849298</v>
      </c>
      <c r="EG376" s="202"/>
      <c r="EH376" s="203"/>
      <c r="EI376" s="203"/>
      <c r="EJ376" s="203"/>
      <c r="EK376" s="9">
        <f>EK372/EK369</f>
        <v>0.15367241846598609</v>
      </c>
      <c r="EL376" s="203"/>
      <c r="EM376" s="203"/>
      <c r="EN376" s="203"/>
      <c r="EO376" s="203"/>
      <c r="EP376" s="9">
        <f>EP372/EP369</f>
        <v>0.18378418653576439</v>
      </c>
      <c r="EQ376" s="203"/>
      <c r="ER376" s="203"/>
      <c r="ES376" s="203"/>
      <c r="ET376" s="203"/>
      <c r="EU376" s="9">
        <f>EU372/EU369</f>
        <v>0.23608999136885911</v>
      </c>
      <c r="EV376" s="203"/>
      <c r="EW376" s="203"/>
      <c r="EX376" s="203"/>
      <c r="EY376" s="203"/>
      <c r="EZ376" s="9">
        <f>EZ372/EZ369</f>
        <v>0.23822067052869841</v>
      </c>
      <c r="FA376" s="203"/>
      <c r="FB376" s="203"/>
      <c r="FC376" s="203"/>
      <c r="FD376" s="203"/>
      <c r="FE376" s="9">
        <f>FE372/FE369</f>
        <v>0.25411511533988196</v>
      </c>
      <c r="FF376" s="45"/>
      <c r="FG376" s="494"/>
      <c r="FH376" s="819"/>
      <c r="FI376" s="819"/>
      <c r="FJ376" s="819"/>
      <c r="FK376" s="45"/>
      <c r="FL376" s="1388"/>
      <c r="FM376"/>
      <c r="FN376"/>
      <c r="FO376"/>
      <c r="FP376"/>
      <c r="FQ376"/>
      <c r="FR376" s="1619"/>
      <c r="FS376" s="1619"/>
      <c r="FT376" s="205"/>
      <c r="FU376" s="205"/>
      <c r="FV376" s="205"/>
      <c r="FW376" s="205"/>
      <c r="FX376" s="205"/>
      <c r="FY376" s="205"/>
      <c r="FZ376" s="494"/>
      <c r="GA376"/>
      <c r="GB376"/>
      <c r="GC376"/>
      <c r="GD376"/>
      <c r="GE376"/>
      <c r="GF376"/>
      <c r="GG376"/>
      <c r="GH376"/>
      <c r="GI376"/>
      <c r="GJ376"/>
      <c r="GK376"/>
      <c r="GL376"/>
      <c r="GM376"/>
      <c r="GN376"/>
      <c r="GO376"/>
      <c r="GP376"/>
      <c r="GQ376"/>
      <c r="GR376"/>
      <c r="GS376"/>
      <c r="GT376"/>
      <c r="GU376"/>
      <c r="GV376"/>
      <c r="GW376"/>
      <c r="GX376"/>
      <c r="GY376"/>
      <c r="GZ376"/>
      <c r="HA376"/>
      <c r="HB376"/>
      <c r="HC376"/>
      <c r="HD376"/>
      <c r="HE376"/>
      <c r="HF376"/>
      <c r="HG376"/>
      <c r="HH376"/>
      <c r="HI376"/>
      <c r="HJ376"/>
      <c r="HK376"/>
      <c r="HL376"/>
      <c r="HM376"/>
      <c r="HN376"/>
      <c r="HO376"/>
      <c r="HP376"/>
      <c r="HQ376"/>
      <c r="HR376"/>
      <c r="HS376"/>
      <c r="HT376"/>
      <c r="HU376"/>
      <c r="HV376"/>
      <c r="HW376"/>
      <c r="HX376"/>
      <c r="HY376"/>
      <c r="HZ376"/>
      <c r="IA376"/>
      <c r="IB376"/>
      <c r="IC376"/>
      <c r="ID376"/>
      <c r="IE376"/>
      <c r="IF376"/>
      <c r="IG376"/>
      <c r="IH376"/>
      <c r="II376"/>
      <c r="IJ376"/>
      <c r="IK376"/>
      <c r="IL376"/>
      <c r="IM376"/>
      <c r="IN376"/>
      <c r="IO376"/>
      <c r="IP376"/>
      <c r="IQ376"/>
      <c r="IR376"/>
      <c r="IS376"/>
      <c r="IT376"/>
      <c r="IU376"/>
      <c r="IV376"/>
      <c r="IW376"/>
      <c r="IX376"/>
    </row>
    <row r="377" spans="1:258" s="155" customFormat="1" ht="12.6" customHeight="1" x14ac:dyDescent="0.2">
      <c r="A377" s="944" t="s">
        <v>560</v>
      </c>
      <c r="B377" s="298"/>
      <c r="C377" s="298"/>
      <c r="D377" s="298"/>
      <c r="E377" s="298"/>
      <c r="F377" s="251"/>
      <c r="G377" s="298"/>
      <c r="H377" s="298"/>
      <c r="I377" s="298"/>
      <c r="J377" s="298"/>
      <c r="K377" s="251"/>
      <c r="L377" s="298"/>
      <c r="M377" s="298"/>
      <c r="N377" s="298"/>
      <c r="O377" s="298"/>
      <c r="P377" s="9" t="e">
        <f>P376*P375</f>
        <v>#DIV/0!</v>
      </c>
      <c r="Q377" s="298"/>
      <c r="R377" s="298"/>
      <c r="S377" s="298"/>
      <c r="T377" s="298"/>
      <c r="U377" s="9"/>
      <c r="V377" s="250"/>
      <c r="W377" s="250"/>
      <c r="X377" s="250"/>
      <c r="Y377" s="250"/>
      <c r="Z377" s="9"/>
      <c r="AA377" s="250"/>
      <c r="AB377" s="250"/>
      <c r="AC377" s="250"/>
      <c r="AD377" s="250"/>
      <c r="AE377" s="9"/>
      <c r="AF377" s="250"/>
      <c r="AG377" s="250"/>
      <c r="AH377" s="250"/>
      <c r="AI377" s="250"/>
      <c r="AJ377" s="9"/>
      <c r="AK377" s="250"/>
      <c r="AL377" s="250"/>
      <c r="AM377" s="250"/>
      <c r="AN377" s="250"/>
      <c r="AO377" s="9"/>
      <c r="AP377" s="250"/>
      <c r="AQ377" s="250"/>
      <c r="AR377" s="250"/>
      <c r="AS377" s="250"/>
      <c r="AT377" s="9"/>
      <c r="AU377" s="250"/>
      <c r="AV377" s="250"/>
      <c r="AW377" s="250"/>
      <c r="AX377" s="250"/>
      <c r="AY377" s="9">
        <f>AY376*AY375</f>
        <v>2.9577060221870049E-2</v>
      </c>
      <c r="AZ377" s="6"/>
      <c r="BA377" s="6"/>
      <c r="BB377" s="6"/>
      <c r="BC377" s="6"/>
      <c r="BD377" s="9">
        <f>BD376*BD375</f>
        <v>2.2023962864850418E-2</v>
      </c>
      <c r="BE377" s="6"/>
      <c r="BF377" s="6"/>
      <c r="BG377" s="6"/>
      <c r="BH377" s="6"/>
      <c r="BI377" s="9">
        <f>BI376*BI375</f>
        <v>9.5120234888743296E-3</v>
      </c>
      <c r="BJ377" s="6"/>
      <c r="BK377" s="6"/>
      <c r="BL377" s="6"/>
      <c r="BM377" s="6"/>
      <c r="BN377" s="9">
        <f>BN376*BN375</f>
        <v>1.6007943427298266E-2</v>
      </c>
      <c r="BO377" s="6"/>
      <c r="BP377" s="6"/>
      <c r="BQ377" s="6"/>
      <c r="BR377" s="6"/>
      <c r="BS377" s="9">
        <f>BS376*BS375</f>
        <v>2.2048224504944567E-2</v>
      </c>
      <c r="BT377" s="6"/>
      <c r="BU377" s="6"/>
      <c r="BV377" s="6"/>
      <c r="BW377" s="6"/>
      <c r="BX377" s="9">
        <f>BX376*BX375</f>
        <v>1.9748518978153464E-2</v>
      </c>
      <c r="BY377" s="6"/>
      <c r="BZ377" s="6"/>
      <c r="CA377" s="6"/>
      <c r="CB377" s="6"/>
      <c r="CC377" s="9">
        <f>CC376*CC375</f>
        <v>1.9943905070118659E-2</v>
      </c>
      <c r="CD377" s="6"/>
      <c r="CE377" s="6"/>
      <c r="CF377" s="6"/>
      <c r="CG377" s="6"/>
      <c r="CH377" s="9">
        <f>CH376*CH375</f>
        <v>3.1205848025062963E-2</v>
      </c>
      <c r="CI377" s="6"/>
      <c r="CJ377" s="6"/>
      <c r="CK377" s="6"/>
      <c r="CL377" s="6"/>
      <c r="CM377" s="9">
        <f>CM376*CM375</f>
        <v>4.1721196896335168E-2</v>
      </c>
      <c r="CN377" s="6"/>
      <c r="CO377" s="6"/>
      <c r="CP377" s="6"/>
      <c r="CQ377" s="6"/>
      <c r="CR377" s="9">
        <f>CR376*CR375</f>
        <v>4.8368445535749524E-2</v>
      </c>
      <c r="CS377" s="6"/>
      <c r="CT377" s="6"/>
      <c r="CU377" s="6"/>
      <c r="CV377" s="6"/>
      <c r="CW377" s="9">
        <f>CW376*CW375</f>
        <v>5.5900780539352393E-2</v>
      </c>
      <c r="CX377" s="6"/>
      <c r="CY377" s="6"/>
      <c r="CZ377" s="6"/>
      <c r="DA377" s="6"/>
      <c r="DB377" s="9">
        <f>DB376*DB375</f>
        <v>4.2344910359312884E-2</v>
      </c>
      <c r="DC377" s="6"/>
      <c r="DD377" s="6"/>
      <c r="DE377" s="6"/>
      <c r="DF377" s="6"/>
      <c r="DG377" s="9">
        <f>DG376*DG375</f>
        <v>5.6690287619841601E-2</v>
      </c>
      <c r="DH377" s="6"/>
      <c r="DI377" s="6"/>
      <c r="DJ377" s="6"/>
      <c r="DK377" s="6"/>
      <c r="DL377" s="9">
        <f>DL376*DL375</f>
        <v>6.4537461946594751E-2</v>
      </c>
      <c r="DM377" s="6"/>
      <c r="DN377" s="6"/>
      <c r="DO377" s="6"/>
      <c r="DP377" s="6"/>
      <c r="DQ377" s="9">
        <f>DQ376*DQ375</f>
        <v>6.2131286729818359E-2</v>
      </c>
      <c r="DR377" s="6"/>
      <c r="DS377" s="6"/>
      <c r="DT377" s="6"/>
      <c r="DU377" s="6"/>
      <c r="DV377" s="9">
        <f>DV376*DV375</f>
        <v>5.5940964722822173E-2</v>
      </c>
      <c r="DW377" s="6"/>
      <c r="DX377" s="6"/>
      <c r="DY377" s="6"/>
      <c r="DZ377" s="6"/>
      <c r="EA377" s="9">
        <f>EA376*EA375</f>
        <v>5.741695628248239E-2</v>
      </c>
      <c r="EB377" s="202"/>
      <c r="EC377" s="203"/>
      <c r="ED377" s="203"/>
      <c r="EE377" s="203"/>
      <c r="EF377" s="9">
        <f>EF376*EF375</f>
        <v>5.6006847862200268E-2</v>
      </c>
      <c r="EG377" s="202"/>
      <c r="EH377" s="203"/>
      <c r="EI377" s="203"/>
      <c r="EJ377" s="203"/>
      <c r="EK377" s="9">
        <f>EK376*EK375</f>
        <v>4.848985874941205E-2</v>
      </c>
      <c r="EL377" s="203"/>
      <c r="EM377" s="203"/>
      <c r="EN377" s="203"/>
      <c r="EO377" s="203"/>
      <c r="EP377" s="9">
        <f>EP376*EP375</f>
        <v>5.8932441358762105E-2</v>
      </c>
      <c r="EQ377" s="203"/>
      <c r="ER377" s="203"/>
      <c r="ES377" s="203"/>
      <c r="ET377" s="203"/>
      <c r="EU377" s="9">
        <f ca="1">EU376*EU375</f>
        <v>7.6383394694201079E-2</v>
      </c>
      <c r="EV377" s="203"/>
      <c r="EW377" s="203"/>
      <c r="EX377" s="203"/>
      <c r="EY377" s="203"/>
      <c r="EZ377" s="9">
        <f ca="1">EZ376*EZ375</f>
        <v>7.7452898264405531E-2</v>
      </c>
      <c r="FA377" s="203"/>
      <c r="FB377" s="203"/>
      <c r="FC377" s="203"/>
      <c r="FD377" s="203"/>
      <c r="FE377" s="9">
        <f ca="1">FE376*FE375</f>
        <v>8.354928414731326E-2</v>
      </c>
      <c r="FF377" s="45"/>
      <c r="FG377" s="494"/>
      <c r="FH377" s="819"/>
      <c r="FI377" s="819"/>
      <c r="FJ377" s="819"/>
      <c r="FK377" s="45"/>
      <c r="FL377" s="1388"/>
      <c r="FM377"/>
      <c r="FN377"/>
      <c r="FO377"/>
      <c r="FP377"/>
      <c r="FQ377"/>
      <c r="FR377" s="1619"/>
      <c r="FS377" s="1619"/>
      <c r="FT377" s="205"/>
      <c r="FU377" s="205"/>
      <c r="FV377" s="205"/>
      <c r="FW377" s="205"/>
      <c r="FX377" s="205"/>
      <c r="FY377" s="205"/>
      <c r="FZ377" s="494"/>
      <c r="GA377"/>
      <c r="GB377"/>
      <c r="GC377"/>
      <c r="GD377"/>
      <c r="GE377"/>
      <c r="GF377"/>
      <c r="GG377"/>
      <c r="GH377"/>
      <c r="GI377"/>
      <c r="GJ377"/>
      <c r="GK377"/>
      <c r="GL377"/>
      <c r="GM377"/>
      <c r="GN377"/>
      <c r="GO377"/>
      <c r="GP377"/>
      <c r="GQ377"/>
      <c r="GR377"/>
      <c r="GS377"/>
      <c r="GT377"/>
      <c r="GU377"/>
      <c r="GV377"/>
      <c r="GW377"/>
      <c r="GX377"/>
      <c r="GY377"/>
      <c r="GZ377"/>
      <c r="HA377"/>
      <c r="HB377"/>
      <c r="HC377"/>
      <c r="HD377"/>
      <c r="HE377"/>
      <c r="HF377"/>
      <c r="HG377"/>
      <c r="HH377"/>
      <c r="HI377"/>
      <c r="HJ377"/>
      <c r="HK377"/>
      <c r="HL377"/>
      <c r="HM377"/>
      <c r="HN377"/>
      <c r="HO377"/>
      <c r="HP377"/>
      <c r="HQ377"/>
      <c r="HR377"/>
      <c r="HS377"/>
      <c r="HT377"/>
      <c r="HU377"/>
      <c r="HV377"/>
      <c r="HW377"/>
      <c r="HX377"/>
      <c r="HY377"/>
      <c r="HZ377"/>
      <c r="IA377"/>
      <c r="IB377"/>
      <c r="IC377"/>
      <c r="ID377"/>
      <c r="IE377"/>
      <c r="IF377"/>
      <c r="IG377"/>
      <c r="IH377"/>
      <c r="II377"/>
      <c r="IJ377"/>
      <c r="IK377"/>
      <c r="IL377"/>
      <c r="IM377"/>
      <c r="IN377"/>
      <c r="IO377"/>
      <c r="IP377"/>
      <c r="IQ377"/>
      <c r="IR377"/>
      <c r="IS377"/>
      <c r="IT377"/>
      <c r="IU377"/>
      <c r="IV377"/>
      <c r="IW377"/>
      <c r="IX377"/>
    </row>
    <row r="378" spans="1:258" s="953" customFormat="1" ht="12.6" customHeight="1" x14ac:dyDescent="0.2">
      <c r="A378" s="945" t="s">
        <v>561</v>
      </c>
      <c r="B378" s="946"/>
      <c r="C378" s="946"/>
      <c r="D378" s="946"/>
      <c r="E378" s="946"/>
      <c r="F378" s="947"/>
      <c r="G378" s="946"/>
      <c r="H378" s="946"/>
      <c r="I378" s="946"/>
      <c r="J378" s="946"/>
      <c r="K378" s="947"/>
      <c r="L378" s="946"/>
      <c r="M378" s="946"/>
      <c r="N378" s="946"/>
      <c r="O378" s="946"/>
      <c r="P378" s="948" t="e">
        <f>P364/P366</f>
        <v>#DIV/0!</v>
      </c>
      <c r="Q378" s="946"/>
      <c r="R378" s="946"/>
      <c r="S378" s="946"/>
      <c r="T378" s="946"/>
      <c r="U378" s="948"/>
      <c r="V378" s="949"/>
      <c r="W378" s="949"/>
      <c r="X378" s="949"/>
      <c r="Y378" s="949"/>
      <c r="Z378" s="948"/>
      <c r="AA378" s="949"/>
      <c r="AB378" s="949"/>
      <c r="AC378" s="949"/>
      <c r="AD378" s="949"/>
      <c r="AE378" s="948"/>
      <c r="AF378" s="949"/>
      <c r="AG378" s="949"/>
      <c r="AH378" s="949"/>
      <c r="AI378" s="949"/>
      <c r="AJ378" s="948"/>
      <c r="AK378" s="949"/>
      <c r="AL378" s="949"/>
      <c r="AM378" s="949"/>
      <c r="AN378" s="949"/>
      <c r="AO378" s="948"/>
      <c r="AP378" s="949"/>
      <c r="AQ378" s="949"/>
      <c r="AR378" s="949"/>
      <c r="AS378" s="949"/>
      <c r="AT378" s="948"/>
      <c r="AU378" s="949"/>
      <c r="AV378" s="949"/>
      <c r="AW378" s="949"/>
      <c r="AX378" s="949"/>
      <c r="AY378" s="948">
        <f>AY364/AY366</f>
        <v>3.4739795918367347</v>
      </c>
      <c r="AZ378" s="950"/>
      <c r="BA378" s="950"/>
      <c r="BB378" s="950"/>
      <c r="BC378" s="950"/>
      <c r="BD378" s="948">
        <f>BD364/BD366</f>
        <v>3.5997220291869354</v>
      </c>
      <c r="BE378" s="950"/>
      <c r="BF378" s="950"/>
      <c r="BG378" s="950"/>
      <c r="BH378" s="950"/>
      <c r="BI378" s="948">
        <f>BI364/BI366</f>
        <v>3.405517699850424</v>
      </c>
      <c r="BJ378" s="950"/>
      <c r="BK378" s="950"/>
      <c r="BL378" s="950"/>
      <c r="BM378" s="950"/>
      <c r="BN378" s="948">
        <f>BN364/BN366</f>
        <v>3.3988562091503267</v>
      </c>
      <c r="BO378" s="950"/>
      <c r="BP378" s="950"/>
      <c r="BQ378" s="950"/>
      <c r="BR378" s="950"/>
      <c r="BS378" s="948">
        <f>BS364/BS366</f>
        <v>3.3587566095177057</v>
      </c>
      <c r="BT378" s="950"/>
      <c r="BU378" s="950"/>
      <c r="BV378" s="950"/>
      <c r="BW378" s="950"/>
      <c r="BX378" s="948">
        <f>BX364/BX366</f>
        <v>3.3760285669927028</v>
      </c>
      <c r="BY378" s="950"/>
      <c r="BZ378" s="950"/>
      <c r="CA378" s="950"/>
      <c r="CB378" s="950"/>
      <c r="CC378" s="948">
        <f>CC364/CC366</f>
        <v>3.6125385405960944</v>
      </c>
      <c r="CD378" s="950"/>
      <c r="CE378" s="950"/>
      <c r="CF378" s="950"/>
      <c r="CG378" s="950"/>
      <c r="CH378" s="948">
        <f>CH364/CH366</f>
        <v>3.0465174754840332</v>
      </c>
      <c r="CI378" s="950"/>
      <c r="CJ378" s="950"/>
      <c r="CK378" s="950"/>
      <c r="CL378" s="950"/>
      <c r="CM378" s="948">
        <f>CM364/CM366</f>
        <v>2.8102214269738313</v>
      </c>
      <c r="CN378" s="950"/>
      <c r="CO378" s="950"/>
      <c r="CP378" s="950"/>
      <c r="CQ378" s="950"/>
      <c r="CR378" s="948">
        <f>CR364/CR366</f>
        <v>2.9400115141047785</v>
      </c>
      <c r="CS378" s="950"/>
      <c r="CT378" s="950"/>
      <c r="CU378" s="950"/>
      <c r="CV378" s="950"/>
      <c r="CW378" s="948">
        <f>CW364/CW366</f>
        <v>3.2664015904572565</v>
      </c>
      <c r="CX378" s="950"/>
      <c r="CY378" s="950"/>
      <c r="CZ378" s="950"/>
      <c r="DA378" s="950"/>
      <c r="DB378" s="948">
        <f>DB364/DB366</f>
        <v>3.0514672686230249</v>
      </c>
      <c r="DC378" s="950"/>
      <c r="DD378" s="950"/>
      <c r="DE378" s="950"/>
      <c r="DF378" s="950"/>
      <c r="DG378" s="948">
        <f>DG364/DG366</f>
        <v>3.2345977011494251</v>
      </c>
      <c r="DH378" s="950"/>
      <c r="DI378" s="950"/>
      <c r="DJ378" s="950"/>
      <c r="DK378" s="950"/>
      <c r="DL378" s="948">
        <f>DL364/DL366</f>
        <v>3.4652810581010867</v>
      </c>
      <c r="DM378" s="950"/>
      <c r="DN378" s="950"/>
      <c r="DO378" s="950"/>
      <c r="DP378" s="950"/>
      <c r="DQ378" s="948">
        <f>DQ364/DQ366</f>
        <v>3.3628502626970227</v>
      </c>
      <c r="DR378" s="950"/>
      <c r="DS378" s="950"/>
      <c r="DT378" s="950"/>
      <c r="DU378" s="950"/>
      <c r="DV378" s="948">
        <f>DV364/DV366</f>
        <v>3.0257044935262756</v>
      </c>
      <c r="DW378" s="950"/>
      <c r="DX378" s="950"/>
      <c r="DY378" s="950"/>
      <c r="DZ378" s="950"/>
      <c r="EA378" s="948">
        <f>EA364/EA366</f>
        <v>2.9574982104509662</v>
      </c>
      <c r="EB378" s="951"/>
      <c r="EC378" s="952"/>
      <c r="ED378" s="952"/>
      <c r="EE378" s="952"/>
      <c r="EF378" s="948">
        <f>EF364/EF366</f>
        <v>2.9778025368529311</v>
      </c>
      <c r="EG378" s="951"/>
      <c r="EH378" s="952"/>
      <c r="EI378" s="952"/>
      <c r="EJ378" s="952"/>
      <c r="EK378" s="948">
        <f>EK364/EK366</f>
        <v>3.0283906276723105</v>
      </c>
      <c r="EL378" s="952"/>
      <c r="EM378" s="952"/>
      <c r="EN378" s="952"/>
      <c r="EO378" s="952"/>
      <c r="EP378" s="948">
        <f>EP364/EP366</f>
        <v>2.4277562665579784</v>
      </c>
      <c r="EQ378" s="952"/>
      <c r="ER378" s="952"/>
      <c r="ES378" s="952"/>
      <c r="ET378" s="952"/>
      <c r="EU378" s="948">
        <f ca="1">EU364/EU366</f>
        <v>2.8339805432465646</v>
      </c>
      <c r="EV378" s="952"/>
      <c r="EW378" s="952"/>
      <c r="EX378" s="952"/>
      <c r="EY378" s="952"/>
      <c r="EZ378" s="948">
        <f ca="1">EZ364/EZ366</f>
        <v>2.8435682742154915</v>
      </c>
      <c r="FA378" s="952"/>
      <c r="FB378" s="952"/>
      <c r="FC378" s="952"/>
      <c r="FD378" s="952"/>
      <c r="FE378" s="948">
        <f ca="1">FE364/FE366</f>
        <v>2.690254097633459</v>
      </c>
      <c r="FF378" s="45"/>
      <c r="FG378" s="494"/>
      <c r="FH378" s="819"/>
      <c r="FI378" s="819"/>
      <c r="FJ378" s="819"/>
      <c r="FK378" s="45"/>
      <c r="FL378" s="1388"/>
      <c r="FM378"/>
      <c r="FN378"/>
      <c r="FO378"/>
      <c r="FP378"/>
      <c r="FQ378"/>
      <c r="FR378" s="1619"/>
      <c r="FS378" s="1619"/>
      <c r="FT378" s="205"/>
      <c r="FU378" s="205"/>
      <c r="FV378" s="205"/>
      <c r="FW378" s="205"/>
      <c r="FX378" s="205"/>
      <c r="FY378" s="205"/>
      <c r="FZ378" s="494"/>
      <c r="GA378"/>
      <c r="GB378"/>
      <c r="GC378"/>
      <c r="GD378"/>
      <c r="GE378"/>
      <c r="GF378"/>
      <c r="GG378"/>
      <c r="GH378"/>
      <c r="GI378"/>
      <c r="GJ378"/>
      <c r="GK378"/>
      <c r="GL378"/>
      <c r="GM378"/>
      <c r="GN378"/>
      <c r="GO378"/>
      <c r="GP378"/>
      <c r="GQ378"/>
      <c r="GR378"/>
      <c r="GS378"/>
      <c r="GT378"/>
      <c r="GU378"/>
      <c r="GV378"/>
      <c r="GW378"/>
      <c r="GX378"/>
      <c r="GY378"/>
      <c r="GZ378"/>
      <c r="HA378"/>
      <c r="HB378"/>
      <c r="HC378"/>
      <c r="HD378"/>
      <c r="HE378"/>
      <c r="HF378"/>
      <c r="HG378"/>
      <c r="HH378"/>
      <c r="HI378"/>
      <c r="HJ378"/>
      <c r="HK378"/>
      <c r="HL378"/>
      <c r="HM378"/>
      <c r="HN378"/>
      <c r="HO378"/>
      <c r="HP378"/>
      <c r="HQ378"/>
      <c r="HR378"/>
      <c r="HS378"/>
      <c r="HT378"/>
      <c r="HU378"/>
      <c r="HV378"/>
      <c r="HW378"/>
      <c r="HX378"/>
      <c r="HY378"/>
      <c r="HZ378"/>
      <c r="IA378"/>
      <c r="IB378"/>
      <c r="IC378"/>
      <c r="ID378"/>
      <c r="IE378"/>
      <c r="IF378"/>
      <c r="IG378"/>
      <c r="IH378"/>
      <c r="II378"/>
      <c r="IJ378"/>
      <c r="IK378"/>
      <c r="IL378"/>
      <c r="IM378"/>
      <c r="IN378"/>
      <c r="IO378"/>
      <c r="IP378"/>
      <c r="IQ378"/>
      <c r="IR378"/>
      <c r="IS378"/>
      <c r="IT378"/>
      <c r="IU378"/>
      <c r="IV378"/>
      <c r="IW378"/>
      <c r="IX378"/>
    </row>
    <row r="379" spans="1:258" s="953" customFormat="1" ht="12.6" customHeight="1" x14ac:dyDescent="0.2">
      <c r="A379" s="945" t="s">
        <v>562</v>
      </c>
      <c r="B379" s="946"/>
      <c r="C379" s="946"/>
      <c r="D379" s="946"/>
      <c r="E379" s="946"/>
      <c r="F379" s="947"/>
      <c r="G379" s="946"/>
      <c r="H379" s="946"/>
      <c r="I379" s="946"/>
      <c r="J379" s="946"/>
      <c r="K379" s="947"/>
      <c r="L379" s="946"/>
      <c r="M379" s="946"/>
      <c r="N379" s="946"/>
      <c r="O379" s="946"/>
      <c r="P379" s="948" t="e">
        <f>+P368/P373</f>
        <v>#DIV/0!</v>
      </c>
      <c r="Q379" s="946"/>
      <c r="R379" s="946"/>
      <c r="S379" s="946"/>
      <c r="T379" s="946"/>
      <c r="U379" s="948"/>
      <c r="V379" s="949"/>
      <c r="W379" s="949"/>
      <c r="X379" s="949"/>
      <c r="Y379" s="949"/>
      <c r="Z379" s="948"/>
      <c r="AA379" s="949"/>
      <c r="AB379" s="949"/>
      <c r="AC379" s="949"/>
      <c r="AD379" s="949"/>
      <c r="AE379" s="948"/>
      <c r="AF379" s="949"/>
      <c r="AG379" s="949"/>
      <c r="AH379" s="949"/>
      <c r="AI379" s="949"/>
      <c r="AJ379" s="948"/>
      <c r="AK379" s="949"/>
      <c r="AL379" s="949"/>
      <c r="AM379" s="949"/>
      <c r="AN379" s="949"/>
      <c r="AO379" s="948"/>
      <c r="AP379" s="949"/>
      <c r="AQ379" s="949"/>
      <c r="AR379" s="949"/>
      <c r="AS379" s="949"/>
      <c r="AT379" s="948"/>
      <c r="AU379" s="949"/>
      <c r="AV379" s="949"/>
      <c r="AW379" s="949"/>
      <c r="AX379" s="949"/>
      <c r="AY379" s="948">
        <f>+AY368/AY373</f>
        <v>4.1389236545682104</v>
      </c>
      <c r="AZ379" s="950"/>
      <c r="BA379" s="950"/>
      <c r="BB379" s="950"/>
      <c r="BC379" s="950"/>
      <c r="BD379" s="948">
        <f>+BD368/BD373</f>
        <v>3.6741424802110818</v>
      </c>
      <c r="BE379" s="950"/>
      <c r="BF379" s="950"/>
      <c r="BG379" s="950"/>
      <c r="BH379" s="950"/>
      <c r="BI379" s="948">
        <f>+BI368/BI373</f>
        <v>4.057017543859649</v>
      </c>
      <c r="BJ379" s="950"/>
      <c r="BK379" s="950"/>
      <c r="BL379" s="950"/>
      <c r="BM379" s="950"/>
      <c r="BN379" s="948">
        <f>+BN368/BN373</f>
        <v>3.5682102628285355</v>
      </c>
      <c r="BO379" s="950"/>
      <c r="BP379" s="950"/>
      <c r="BQ379" s="950"/>
      <c r="BR379" s="950"/>
      <c r="BS379" s="948">
        <f>+BS368/BS373</f>
        <v>3.7141196978500872</v>
      </c>
      <c r="BT379" s="950"/>
      <c r="BU379" s="950"/>
      <c r="BV379" s="950"/>
      <c r="BW379" s="950"/>
      <c r="BX379" s="948">
        <f>+BX368/BX373</f>
        <v>4.3725856697819312</v>
      </c>
      <c r="BY379" s="950"/>
      <c r="BZ379" s="950"/>
      <c r="CA379" s="950"/>
      <c r="CB379" s="950"/>
      <c r="CC379" s="948">
        <f>+CC368/CC373</f>
        <v>3.7603533959138598</v>
      </c>
      <c r="CD379" s="950"/>
      <c r="CE379" s="950"/>
      <c r="CF379" s="950"/>
      <c r="CG379" s="950"/>
      <c r="CH379" s="948">
        <f>+CH368/CH373</f>
        <v>2.4334325818800511</v>
      </c>
      <c r="CI379" s="950"/>
      <c r="CJ379" s="950"/>
      <c r="CK379" s="950"/>
      <c r="CL379" s="950"/>
      <c r="CM379" s="948">
        <f>+CM368/CM373</f>
        <v>1.9465675866949752</v>
      </c>
      <c r="CN379" s="950"/>
      <c r="CO379" s="950"/>
      <c r="CP379" s="950"/>
      <c r="CQ379" s="950"/>
      <c r="CR379" s="948">
        <f>+CR368/CR373</f>
        <v>2.2065983344010252</v>
      </c>
      <c r="CS379" s="950"/>
      <c r="CT379" s="950"/>
      <c r="CU379" s="950"/>
      <c r="CV379" s="950"/>
      <c r="CW379" s="948">
        <f>+CW368/CW373</f>
        <v>1.9517711171662124</v>
      </c>
      <c r="CX379" s="950"/>
      <c r="CY379" s="950"/>
      <c r="CZ379" s="950"/>
      <c r="DA379" s="950"/>
      <c r="DB379" s="948">
        <f>+DB368/DB373</f>
        <v>2.1857187597870342</v>
      </c>
      <c r="DC379" s="950"/>
      <c r="DD379" s="950"/>
      <c r="DE379" s="950"/>
      <c r="DF379" s="950"/>
      <c r="DG379" s="948">
        <f>+DG368/DG373</f>
        <v>1.8333747823924398</v>
      </c>
      <c r="DH379" s="950"/>
      <c r="DI379" s="950"/>
      <c r="DJ379" s="950"/>
      <c r="DK379" s="950"/>
      <c r="DL379" s="948">
        <f>+DL368/DL373</f>
        <v>1.9023841655420604</v>
      </c>
      <c r="DM379" s="950"/>
      <c r="DN379" s="950"/>
      <c r="DO379" s="950"/>
      <c r="DP379" s="950"/>
      <c r="DQ379" s="948">
        <f>+DQ368/DQ373</f>
        <v>2.0004421843908911</v>
      </c>
      <c r="DR379" s="950"/>
      <c r="DS379" s="950"/>
      <c r="DT379" s="950"/>
      <c r="DU379" s="950"/>
      <c r="DV379" s="948">
        <f>+DV368/DV373</f>
        <v>2.0132524707996406</v>
      </c>
      <c r="DW379" s="950"/>
      <c r="DX379" s="950"/>
      <c r="DY379" s="950"/>
      <c r="DZ379" s="950"/>
      <c r="EA379" s="948">
        <f>+EA368/EA373</f>
        <v>1.9382303399949552</v>
      </c>
      <c r="EB379" s="951"/>
      <c r="EC379" s="952"/>
      <c r="ED379" s="952"/>
      <c r="EE379" s="952"/>
      <c r="EF379" s="948">
        <f>+EF368/EF373</f>
        <v>2.1177853783668232</v>
      </c>
      <c r="EG379" s="951"/>
      <c r="EH379" s="952"/>
      <c r="EI379" s="952"/>
      <c r="EJ379" s="952"/>
      <c r="EK379" s="948">
        <f>+EK368/EK373</f>
        <v>2.2793176972281448</v>
      </c>
      <c r="EL379" s="952"/>
      <c r="EM379" s="952"/>
      <c r="EN379" s="952"/>
      <c r="EO379" s="952"/>
      <c r="EP379" s="2028">
        <f>+EP368/EP373</f>
        <v>2.219023536276989</v>
      </c>
      <c r="EQ379" s="952"/>
      <c r="ER379" s="952"/>
      <c r="ES379" s="952"/>
      <c r="ET379" s="952"/>
      <c r="EU379" s="2028">
        <f ca="1">+EU368/EU373</f>
        <v>2.4229052288829065</v>
      </c>
      <c r="EV379" s="952"/>
      <c r="EW379" s="952"/>
      <c r="EX379" s="952"/>
      <c r="EY379" s="952"/>
      <c r="EZ379" s="2028">
        <f ca="1">+EZ368/EZ373</f>
        <v>2.3262483300672629</v>
      </c>
      <c r="FA379" s="952"/>
      <c r="FB379" s="952"/>
      <c r="FC379" s="952"/>
      <c r="FD379" s="952"/>
      <c r="FE379" s="2028">
        <f ca="1">+FE368/FE373</f>
        <v>2.0365279717494031</v>
      </c>
      <c r="FF379" s="45"/>
      <c r="FG379" s="494"/>
      <c r="FH379" s="819"/>
      <c r="FI379" s="819"/>
      <c r="FJ379" s="819"/>
      <c r="FK379" s="45"/>
      <c r="FL379" s="1388"/>
      <c r="FM379"/>
      <c r="FN379"/>
      <c r="FO379"/>
      <c r="FP379"/>
      <c r="FQ379"/>
      <c r="FR379" s="1615" t="s">
        <v>668</v>
      </c>
      <c r="FS379" s="1619"/>
      <c r="FT379" s="205"/>
      <c r="FU379" s="205"/>
      <c r="FV379" s="205"/>
      <c r="FW379" s="205"/>
      <c r="FX379" s="205"/>
      <c r="FY379" s="205"/>
      <c r="FZ379" s="494"/>
      <c r="GA379"/>
      <c r="GB379"/>
      <c r="GC379"/>
      <c r="GD379"/>
      <c r="GE379"/>
      <c r="GF379"/>
      <c r="GG379"/>
      <c r="GH379"/>
      <c r="GI379"/>
      <c r="GJ379"/>
      <c r="GK379"/>
      <c r="GL379"/>
      <c r="GM379"/>
      <c r="GN379"/>
      <c r="GO379"/>
      <c r="GP379"/>
      <c r="GQ379"/>
      <c r="GR379"/>
      <c r="GS379"/>
      <c r="GT379"/>
      <c r="GU379"/>
      <c r="GV379"/>
      <c r="GW379"/>
      <c r="GX379"/>
      <c r="GY379"/>
      <c r="GZ379"/>
      <c r="HA379"/>
      <c r="HB379"/>
      <c r="HC379"/>
      <c r="HD379"/>
      <c r="HE379"/>
      <c r="HF379"/>
      <c r="HG379"/>
      <c r="HH379"/>
      <c r="HI379"/>
      <c r="HJ379"/>
      <c r="HK379"/>
      <c r="HL379"/>
      <c r="HM379"/>
      <c r="HN379"/>
      <c r="HO379"/>
      <c r="HP379"/>
      <c r="HQ379"/>
      <c r="HR379"/>
      <c r="HS379"/>
      <c r="HT379"/>
      <c r="HU379"/>
      <c r="HV379"/>
      <c r="HW379"/>
      <c r="HX379"/>
      <c r="HY379"/>
      <c r="HZ379"/>
      <c r="IA379"/>
      <c r="IB379"/>
      <c r="IC379"/>
      <c r="ID379"/>
      <c r="IE379"/>
      <c r="IF379"/>
      <c r="IG379"/>
      <c r="IH379"/>
      <c r="II379"/>
      <c r="IJ379"/>
      <c r="IK379"/>
      <c r="IL379"/>
      <c r="IM379"/>
      <c r="IN379"/>
      <c r="IO379"/>
      <c r="IP379"/>
      <c r="IQ379"/>
      <c r="IR379"/>
      <c r="IS379"/>
      <c r="IT379"/>
      <c r="IU379"/>
      <c r="IV379"/>
      <c r="IW379"/>
      <c r="IX379"/>
    </row>
    <row r="380" spans="1:258" s="155" customFormat="1" ht="12.6" customHeight="1" x14ac:dyDescent="0.2">
      <c r="A380" s="954" t="s">
        <v>563</v>
      </c>
      <c r="B380" s="955"/>
      <c r="C380" s="955"/>
      <c r="D380" s="955"/>
      <c r="E380" s="955"/>
      <c r="F380" s="956"/>
      <c r="G380" s="955"/>
      <c r="H380" s="955"/>
      <c r="I380" s="955"/>
      <c r="J380" s="955"/>
      <c r="K380" s="956"/>
      <c r="L380" s="955"/>
      <c r="M380" s="955"/>
      <c r="N380" s="955"/>
      <c r="O380" s="955"/>
      <c r="P380" s="365" t="e">
        <f>P377*P378</f>
        <v>#DIV/0!</v>
      </c>
      <c r="Q380" s="955"/>
      <c r="R380" s="955"/>
      <c r="S380" s="955"/>
      <c r="T380" s="955"/>
      <c r="U380" s="365"/>
      <c r="V380" s="957"/>
      <c r="W380" s="957"/>
      <c r="X380" s="957"/>
      <c r="Y380" s="957"/>
      <c r="Z380" s="365"/>
      <c r="AA380" s="957"/>
      <c r="AB380" s="957"/>
      <c r="AC380" s="957"/>
      <c r="AD380" s="957"/>
      <c r="AE380" s="365"/>
      <c r="AF380" s="957"/>
      <c r="AG380" s="957"/>
      <c r="AH380" s="957"/>
      <c r="AI380" s="957"/>
      <c r="AJ380" s="365"/>
      <c r="AK380" s="957"/>
      <c r="AL380" s="957"/>
      <c r="AM380" s="957"/>
      <c r="AN380" s="957"/>
      <c r="AO380" s="365"/>
      <c r="AP380" s="957"/>
      <c r="AQ380" s="957"/>
      <c r="AR380" s="957"/>
      <c r="AS380" s="957"/>
      <c r="AT380" s="365"/>
      <c r="AU380" s="957"/>
      <c r="AV380" s="957"/>
      <c r="AW380" s="957"/>
      <c r="AX380" s="957"/>
      <c r="AY380" s="365">
        <f>AY377*AY378</f>
        <v>0.10275010359730263</v>
      </c>
      <c r="AZ380" s="21"/>
      <c r="BA380" s="21"/>
      <c r="BB380" s="21"/>
      <c r="BC380" s="21"/>
      <c r="BD380" s="365">
        <f>BD377*BD378</f>
        <v>7.9280144294597052E-2</v>
      </c>
      <c r="BE380" s="21"/>
      <c r="BF380" s="21"/>
      <c r="BG380" s="21"/>
      <c r="BH380" s="21"/>
      <c r="BI380" s="365">
        <f>BI377*BI378</f>
        <v>3.2393364352754514E-2</v>
      </c>
      <c r="BJ380" s="21"/>
      <c r="BK380" s="21"/>
      <c r="BL380" s="21"/>
      <c r="BM380" s="21"/>
      <c r="BN380" s="365">
        <f>BN377*BN378</f>
        <v>5.4408697913599875E-2</v>
      </c>
      <c r="BO380" s="21"/>
      <c r="BP380" s="21"/>
      <c r="BQ380" s="21"/>
      <c r="BR380" s="21"/>
      <c r="BS380" s="365">
        <f>BS377*BS378</f>
        <v>7.4054619784112805E-2</v>
      </c>
      <c r="BT380" s="21"/>
      <c r="BU380" s="21"/>
      <c r="BV380" s="21"/>
      <c r="BW380" s="21"/>
      <c r="BX380" s="365">
        <f>BX377*BX378</f>
        <v>6.6671564226043631E-2</v>
      </c>
      <c r="BY380" s="21"/>
      <c r="BZ380" s="21"/>
      <c r="CA380" s="21"/>
      <c r="CB380" s="21"/>
      <c r="CC380" s="365">
        <f>CC377*CC378</f>
        <v>7.2048125715793512E-2</v>
      </c>
      <c r="CD380" s="21"/>
      <c r="CE380" s="21"/>
      <c r="CF380" s="21"/>
      <c r="CG380" s="21"/>
      <c r="CH380" s="365">
        <f>CH377*CH378</f>
        <v>9.5069161345653228E-2</v>
      </c>
      <c r="CI380" s="21"/>
      <c r="CJ380" s="21"/>
      <c r="CK380" s="21"/>
      <c r="CL380" s="21"/>
      <c r="CM380" s="365">
        <f>CM377*CM378</f>
        <v>0.1172458014770752</v>
      </c>
      <c r="CN380" s="21"/>
      <c r="CO380" s="21"/>
      <c r="CP380" s="21"/>
      <c r="CQ380" s="21"/>
      <c r="CR380" s="365">
        <f>CR377*CR378</f>
        <v>0.14220378679445347</v>
      </c>
      <c r="CS380" s="21"/>
      <c r="CT380" s="21"/>
      <c r="CU380" s="21"/>
      <c r="CV380" s="21"/>
      <c r="CW380" s="365">
        <f>CW377*CW378</f>
        <v>0.18259439846154271</v>
      </c>
      <c r="CX380" s="21"/>
      <c r="CY380" s="21"/>
      <c r="CZ380" s="21"/>
      <c r="DA380" s="21"/>
      <c r="DB380" s="365">
        <f>DB377*DB378</f>
        <v>0.12921410795421931</v>
      </c>
      <c r="DC380" s="21"/>
      <c r="DD380" s="21"/>
      <c r="DE380" s="21"/>
      <c r="DF380" s="21"/>
      <c r="DG380" s="365">
        <f>DG377*DG378</f>
        <v>0.18337027401263936</v>
      </c>
      <c r="DH380" s="21"/>
      <c r="DI380" s="21"/>
      <c r="DJ380" s="21"/>
      <c r="DK380" s="21"/>
      <c r="DL380" s="365">
        <f>DL377*DL378</f>
        <v>0.22364044442145448</v>
      </c>
      <c r="DM380" s="21"/>
      <c r="DN380" s="21"/>
      <c r="DO380" s="21"/>
      <c r="DP380" s="21"/>
      <c r="DQ380" s="365">
        <f>DQ377*DQ378</f>
        <v>0.2089382139010737</v>
      </c>
      <c r="DR380" s="21"/>
      <c r="DS380" s="21"/>
      <c r="DT380" s="21"/>
      <c r="DU380" s="21"/>
      <c r="DV380" s="365">
        <f>DV377*DV378</f>
        <v>0.16926082833403791</v>
      </c>
      <c r="DW380" s="21"/>
      <c r="DX380" s="21"/>
      <c r="DY380" s="21"/>
      <c r="DZ380" s="21"/>
      <c r="EA380" s="365">
        <f>EA377*EA378</f>
        <v>0.16981054545498303</v>
      </c>
      <c r="EB380" s="958"/>
      <c r="EC380" s="203"/>
      <c r="ED380" s="203"/>
      <c r="EE380" s="203"/>
      <c r="EF380" s="365">
        <f>EF377*EF378</f>
        <v>0.16677733364519612</v>
      </c>
      <c r="EG380" s="958"/>
      <c r="EH380" s="203"/>
      <c r="EI380" s="203"/>
      <c r="EJ380" s="203"/>
      <c r="EK380" s="365">
        <f>EK377*EK378</f>
        <v>0.14684623377387362</v>
      </c>
      <c r="EL380" s="203"/>
      <c r="EM380" s="203"/>
      <c r="EN380" s="203"/>
      <c r="EO380" s="203"/>
      <c r="EP380" s="365">
        <f>EP377*EP378</f>
        <v>0.14307360381229528</v>
      </c>
      <c r="EQ380" s="203"/>
      <c r="ER380" s="203"/>
      <c r="ES380" s="203"/>
      <c r="ET380" s="203"/>
      <c r="EU380" s="365">
        <f ca="1">EU377*EU378</f>
        <v>0.21646905439048872</v>
      </c>
      <c r="EV380" s="203"/>
      <c r="EW380" s="203"/>
      <c r="EX380" s="203"/>
      <c r="EY380" s="203"/>
      <c r="EZ380" s="365">
        <f ca="1">EZ377*EZ378</f>
        <v>0.22024260425070369</v>
      </c>
      <c r="FA380" s="203"/>
      <c r="FB380" s="203"/>
      <c r="FC380" s="203"/>
      <c r="FD380" s="203"/>
      <c r="FE380" s="365">
        <f ca="1">FE377*FE378</f>
        <v>0.2247688040316517</v>
      </c>
      <c r="FF380" s="45"/>
      <c r="FG380" s="494"/>
      <c r="FH380" s="819"/>
      <c r="FI380" s="819"/>
      <c r="FJ380" s="819"/>
      <c r="FK380" s="45"/>
      <c r="FL380" s="1388"/>
      <c r="FM380"/>
      <c r="FN380"/>
      <c r="FO380"/>
      <c r="FP380"/>
      <c r="FQ380"/>
      <c r="FR380" s="1619"/>
      <c r="FS380" s="1619"/>
      <c r="FT380" s="205"/>
      <c r="FU380" s="205"/>
      <c r="FV380" s="205"/>
      <c r="FW380" s="205"/>
      <c r="FX380" s="205"/>
      <c r="FY380" s="205"/>
      <c r="FZ380" s="494"/>
      <c r="GA380"/>
      <c r="GB380"/>
      <c r="GC380"/>
      <c r="GD380"/>
      <c r="GE380"/>
      <c r="GF380"/>
      <c r="GG380"/>
      <c r="GH380"/>
      <c r="GI380"/>
      <c r="GJ380"/>
      <c r="GK380"/>
      <c r="GL380"/>
      <c r="GM380"/>
      <c r="GN380"/>
      <c r="GO380"/>
      <c r="GP380"/>
      <c r="GQ380"/>
      <c r="GR380"/>
      <c r="GS380"/>
      <c r="GT380"/>
      <c r="GU380"/>
      <c r="GV380"/>
      <c r="GW380"/>
      <c r="GX380"/>
      <c r="GY380"/>
      <c r="GZ380"/>
      <c r="HA380"/>
      <c r="HB380"/>
      <c r="HC380"/>
      <c r="HD380"/>
      <c r="HE380"/>
      <c r="HF380"/>
      <c r="HG380"/>
      <c r="HH380"/>
      <c r="HI380"/>
      <c r="HJ380"/>
      <c r="HK380"/>
      <c r="HL380"/>
      <c r="HM380"/>
      <c r="HN380"/>
      <c r="HO380"/>
      <c r="HP380"/>
      <c r="HQ380"/>
      <c r="HR380"/>
      <c r="HS380"/>
      <c r="HT380"/>
      <c r="HU380"/>
      <c r="HV380"/>
      <c r="HW380"/>
      <c r="HX380"/>
      <c r="HY380"/>
      <c r="HZ380"/>
      <c r="IA380"/>
      <c r="IB380"/>
      <c r="IC380"/>
      <c r="ID380"/>
      <c r="IE380"/>
      <c r="IF380"/>
      <c r="IG380"/>
      <c r="IH380"/>
      <c r="II380"/>
      <c r="IJ380"/>
      <c r="IK380"/>
      <c r="IL380"/>
      <c r="IM380"/>
      <c r="IN380"/>
      <c r="IO380"/>
      <c r="IP380"/>
      <c r="IQ380"/>
      <c r="IR380"/>
      <c r="IS380"/>
      <c r="IT380"/>
      <c r="IU380"/>
      <c r="IV380"/>
      <c r="IW380"/>
      <c r="IX380"/>
    </row>
    <row r="381" spans="1:258" s="155" customFormat="1" ht="12.6" customHeight="1" x14ac:dyDescent="0.2">
      <c r="A381" s="954" t="s">
        <v>564</v>
      </c>
      <c r="B381" s="955"/>
      <c r="C381" s="955"/>
      <c r="D381" s="955"/>
      <c r="E381" s="955"/>
      <c r="F381" s="956"/>
      <c r="G381" s="955"/>
      <c r="H381" s="955"/>
      <c r="I381" s="955"/>
      <c r="J381" s="955"/>
      <c r="K381" s="956"/>
      <c r="L381" s="955"/>
      <c r="M381" s="955"/>
      <c r="N381" s="955"/>
      <c r="O381" s="955"/>
      <c r="P381" s="365" t="e">
        <f>(P370*(1-P262)/AVERAGE(P367,K367))</f>
        <v>#DIV/0!</v>
      </c>
      <c r="Q381" s="955"/>
      <c r="R381" s="955"/>
      <c r="S381" s="955"/>
      <c r="T381" s="955"/>
      <c r="U381" s="365"/>
      <c r="V381" s="957"/>
      <c r="W381" s="957"/>
      <c r="X381" s="957"/>
      <c r="Y381" s="957"/>
      <c r="Z381" s="365"/>
      <c r="AA381" s="957"/>
      <c r="AB381" s="957"/>
      <c r="AC381" s="957"/>
      <c r="AD381" s="957"/>
      <c r="AE381" s="365"/>
      <c r="AF381" s="957"/>
      <c r="AG381" s="957"/>
      <c r="AH381" s="957"/>
      <c r="AI381" s="957"/>
      <c r="AJ381" s="365"/>
      <c r="AK381" s="957"/>
      <c r="AL381" s="957"/>
      <c r="AM381" s="957"/>
      <c r="AN381" s="957"/>
      <c r="AO381" s="365"/>
      <c r="AP381" s="957"/>
      <c r="AQ381" s="957"/>
      <c r="AR381" s="957"/>
      <c r="AS381" s="957"/>
      <c r="AT381" s="365"/>
      <c r="AU381" s="957"/>
      <c r="AV381" s="957"/>
      <c r="AW381" s="957"/>
      <c r="AX381" s="957"/>
      <c r="AY381" s="365">
        <f>(AY370*(1-AY271)/AVERAGE(AY367,AT367))</f>
        <v>5.874899191723066E-2</v>
      </c>
      <c r="AZ381" s="21"/>
      <c r="BA381" s="21"/>
      <c r="BB381" s="21"/>
      <c r="BC381" s="21"/>
      <c r="BD381" s="365">
        <f>(BD370*(1-BD271)/AVERAGE(BD367,AY367))</f>
        <v>5.2664860049672024E-2</v>
      </c>
      <c r="BE381" s="21"/>
      <c r="BF381" s="21"/>
      <c r="BG381" s="21"/>
      <c r="BH381" s="21"/>
      <c r="BI381" s="365">
        <f>(BI370*(1-BI271)/AVERAGE(BI367,BD367))</f>
        <v>4.5990729606881442E-2</v>
      </c>
      <c r="BJ381" s="21"/>
      <c r="BK381" s="21"/>
      <c r="BL381" s="21"/>
      <c r="BM381" s="21"/>
      <c r="BN381" s="365">
        <f>(BN370*(1-BN271)/AVERAGE(BN367,BI367))</f>
        <v>5.5633615618530315E-2</v>
      </c>
      <c r="BO381" s="21"/>
      <c r="BP381" s="21"/>
      <c r="BQ381" s="21"/>
      <c r="BR381" s="21"/>
      <c r="BS381" s="365">
        <f>(BS370*(1-BS271)/AVERAGE(BS367,BN367))</f>
        <v>5.8387329766349041E-2</v>
      </c>
      <c r="BT381" s="21"/>
      <c r="BU381" s="21"/>
      <c r="BV381" s="21"/>
      <c r="BW381" s="21"/>
      <c r="BX381" s="365">
        <f>(BX370*(1-BX271)/AVERAGE(BX367,BS367))</f>
        <v>4.9948751772149601E-2</v>
      </c>
      <c r="BY381" s="21"/>
      <c r="BZ381" s="21"/>
      <c r="CA381" s="21"/>
      <c r="CB381" s="21"/>
      <c r="CC381" s="365">
        <f>(CC370*(1-CC271)/AVERAGE(CC367,BX367))</f>
        <v>5.1538156882259017E-2</v>
      </c>
      <c r="CD381" s="21"/>
      <c r="CE381" s="21"/>
      <c r="CF381" s="21"/>
      <c r="CG381" s="21"/>
      <c r="CH381" s="365">
        <f>(CH370*(1-CH271)/AVERAGE(CH367,CC367))</f>
        <v>6.8589804583710015E-2</v>
      </c>
      <c r="CI381" s="21"/>
      <c r="CJ381" s="21"/>
      <c r="CK381" s="21"/>
      <c r="CL381" s="21"/>
      <c r="CM381" s="365">
        <f>(CM370*(1-CM271)/AVERAGE(CM367,CH367))</f>
        <v>8.5269920873563665E-2</v>
      </c>
      <c r="CN381" s="21"/>
      <c r="CO381" s="21"/>
      <c r="CP381" s="21"/>
      <c r="CQ381" s="21"/>
      <c r="CR381" s="365">
        <f>(CR370*(1-CR271)/AVERAGE(CR367,CM367))</f>
        <v>9.2690088695956949E-2</v>
      </c>
      <c r="CS381" s="21"/>
      <c r="CT381" s="21"/>
      <c r="CU381" s="21"/>
      <c r="CV381" s="21"/>
      <c r="CW381" s="365">
        <f>(CW370*(1-CW271)/AVERAGE(CW367,CR367))</f>
        <v>0.10986064210244234</v>
      </c>
      <c r="CX381" s="21"/>
      <c r="CY381" s="21"/>
      <c r="CZ381" s="21"/>
      <c r="DA381" s="21"/>
      <c r="DB381" s="365">
        <f>(DB370*(1-DB271)/AVERAGE(DB367,CW367))</f>
        <v>9.0081487873892307E-2</v>
      </c>
      <c r="DC381" s="21"/>
      <c r="DD381" s="21"/>
      <c r="DE381" s="21"/>
      <c r="DF381" s="21"/>
      <c r="DG381" s="365">
        <f>(DG370*(1-DG271)/AVERAGE(DG367,DB367))</f>
        <v>0.11020406328889619</v>
      </c>
      <c r="DH381" s="21"/>
      <c r="DI381" s="21"/>
      <c r="DJ381" s="21"/>
      <c r="DK381" s="21"/>
      <c r="DL381" s="365">
        <f>(DL370*(1-DL271)/AVERAGE(DL367,DG367))</f>
        <v>0.12484629163158432</v>
      </c>
      <c r="DM381" s="21"/>
      <c r="DN381" s="21"/>
      <c r="DO381" s="21"/>
      <c r="DP381" s="21"/>
      <c r="DQ381" s="365">
        <f>(DQ370*(1-DQ271)/AVERAGE(DQ367,DL367))</f>
        <v>0.11863906521665332</v>
      </c>
      <c r="DR381" s="21"/>
      <c r="DS381" s="21"/>
      <c r="DT381" s="21"/>
      <c r="DU381" s="21"/>
      <c r="DV381" s="365">
        <f>(DV370*(1-DV271)/AVERAGE(DV367,DQ367))</f>
        <v>0.10712897774068501</v>
      </c>
      <c r="DW381" s="21"/>
      <c r="DX381" s="21"/>
      <c r="DY381" s="21"/>
      <c r="DZ381" s="21"/>
      <c r="EA381" s="365">
        <f>(EA370*(1-EA271)/AVERAGE(EA367,DV367))</f>
        <v>0.10757728277946049</v>
      </c>
      <c r="EB381" s="202"/>
      <c r="EC381" s="203"/>
      <c r="ED381" s="203"/>
      <c r="EE381" s="203"/>
      <c r="EF381" s="365">
        <f>(EF370*(1-EF271)/AVERAGE(EF367,EA367))</f>
        <v>0.10104547678637719</v>
      </c>
      <c r="EG381" s="202"/>
      <c r="EH381" s="203"/>
      <c r="EI381" s="203"/>
      <c r="EJ381" s="203"/>
      <c r="EK381" s="365">
        <f>(EK370*(1-EK271)/AVERAGE(EK367,EF367))</f>
        <v>9.3164410417014121E-2</v>
      </c>
      <c r="EL381" s="203"/>
      <c r="EM381" s="203"/>
      <c r="EN381" s="203"/>
      <c r="EO381" s="203"/>
      <c r="EP381" s="365">
        <f>(EP370*(1-EP271)/AVERAGE(EP367,EK367))</f>
        <v>9.7442101041929713E-2</v>
      </c>
      <c r="EQ381" s="203"/>
      <c r="ER381" s="203"/>
      <c r="ES381" s="203"/>
      <c r="ET381" s="203"/>
      <c r="EU381" s="365">
        <f ca="1">(EU370*(1-EU271)/AVERAGE(EU367,EP367))</f>
        <v>0.11829399966267964</v>
      </c>
      <c r="EV381" s="203"/>
      <c r="EW381" s="203"/>
      <c r="EX381" s="203"/>
      <c r="EY381" s="203"/>
      <c r="EZ381" s="365">
        <f ca="1">(EZ370*(1-EZ271)/AVERAGE(EZ367,EU367))</f>
        <v>0.12151809547605702</v>
      </c>
      <c r="FA381" s="203"/>
      <c r="FB381" s="203"/>
      <c r="FC381" s="203"/>
      <c r="FD381" s="203"/>
      <c r="FE381" s="365">
        <f ca="1">(FE370*(1-FE271)/AVERAGE(FE367,EZ367))</f>
        <v>0.13025098793754103</v>
      </c>
      <c r="FF381" s="45"/>
      <c r="FG381" s="494"/>
      <c r="FH381" s="819"/>
      <c r="FI381" s="819"/>
      <c r="FJ381" s="819"/>
      <c r="FK381" s="45"/>
      <c r="FL381" s="1388"/>
      <c r="FM381"/>
      <c r="FN381"/>
      <c r="FO381"/>
      <c r="FP381"/>
      <c r="FQ381"/>
      <c r="FR381" s="1619"/>
      <c r="FS381" s="1619"/>
      <c r="FT381" s="205"/>
      <c r="FU381" s="205"/>
      <c r="FV381" s="205"/>
      <c r="FW381" s="205"/>
      <c r="FX381" s="205"/>
      <c r="FY381" s="205"/>
      <c r="FZ381" s="494"/>
      <c r="GA381"/>
      <c r="GB381"/>
      <c r="GC381"/>
      <c r="GD381"/>
      <c r="GE381"/>
      <c r="GF381"/>
      <c r="GG381"/>
      <c r="GH381"/>
      <c r="GI381"/>
      <c r="GJ381"/>
      <c r="GK381"/>
      <c r="GL381"/>
      <c r="GM381"/>
      <c r="GN381"/>
      <c r="GO381"/>
      <c r="GP381"/>
      <c r="GQ381"/>
      <c r="GR381"/>
      <c r="GS381"/>
      <c r="GT381"/>
      <c r="GU381"/>
      <c r="GV381"/>
      <c r="GW381"/>
      <c r="GX381"/>
      <c r="GY381"/>
      <c r="GZ381"/>
      <c r="HA381"/>
      <c r="HB381"/>
      <c r="HC381"/>
      <c r="HD381"/>
      <c r="HE381"/>
      <c r="HF381"/>
      <c r="HG381"/>
      <c r="HH381"/>
      <c r="HI381"/>
      <c r="HJ381"/>
      <c r="HK381"/>
      <c r="HL381"/>
      <c r="HM381"/>
      <c r="HN381"/>
      <c r="HO381"/>
      <c r="HP381"/>
      <c r="HQ381"/>
      <c r="HR381"/>
      <c r="HS381"/>
      <c r="HT381"/>
      <c r="HU381"/>
      <c r="HV381"/>
      <c r="HW381"/>
      <c r="HX381"/>
      <c r="HY381"/>
      <c r="HZ381"/>
      <c r="IA381"/>
      <c r="IB381"/>
      <c r="IC381"/>
      <c r="ID381"/>
      <c r="IE381"/>
      <c r="IF381"/>
      <c r="IG381"/>
      <c r="IH381"/>
      <c r="II381"/>
      <c r="IJ381"/>
      <c r="IK381"/>
      <c r="IL381"/>
      <c r="IM381"/>
      <c r="IN381"/>
      <c r="IO381"/>
      <c r="IP381"/>
      <c r="IQ381"/>
      <c r="IR381"/>
      <c r="IS381"/>
      <c r="IT381"/>
      <c r="IU381"/>
      <c r="IV381"/>
      <c r="IW381"/>
      <c r="IX381"/>
    </row>
    <row r="382" spans="1:258" s="45" customFormat="1" ht="12.75" customHeight="1" x14ac:dyDescent="0.2">
      <c r="A382" s="932" t="s">
        <v>565</v>
      </c>
      <c r="B382" s="933"/>
      <c r="C382" s="933"/>
      <c r="D382" s="933"/>
      <c r="E382" s="933"/>
      <c r="F382" s="924"/>
      <c r="G382" s="933"/>
      <c r="H382" s="933"/>
      <c r="I382" s="933"/>
      <c r="J382" s="933"/>
      <c r="K382" s="924"/>
      <c r="L382" s="934"/>
      <c r="M382" s="934"/>
      <c r="N382" s="934"/>
      <c r="O382" s="934"/>
      <c r="P382" s="924"/>
      <c r="Q382" s="934"/>
      <c r="R382" s="934"/>
      <c r="S382" s="934"/>
      <c r="T382" s="934"/>
      <c r="U382" s="924"/>
      <c r="V382" s="934"/>
      <c r="W382" s="934"/>
      <c r="X382" s="934"/>
      <c r="Y382" s="934"/>
      <c r="Z382" s="924"/>
      <c r="AA382" s="934"/>
      <c r="AB382" s="934"/>
      <c r="AC382" s="934"/>
      <c r="AD382" s="934"/>
      <c r="AE382" s="924"/>
      <c r="AF382" s="934"/>
      <c r="AG382" s="934"/>
      <c r="AH382" s="934"/>
      <c r="AI382" s="934"/>
      <c r="AJ382" s="924"/>
      <c r="AK382" s="934"/>
      <c r="AL382" s="934"/>
      <c r="AM382" s="934"/>
      <c r="AN382" s="934"/>
      <c r="AO382" s="924"/>
      <c r="AP382" s="934"/>
      <c r="AQ382" s="934"/>
      <c r="AR382" s="934"/>
      <c r="AS382" s="934"/>
      <c r="AT382" s="924"/>
      <c r="AU382" s="934"/>
      <c r="AV382" s="934"/>
      <c r="AW382" s="934"/>
      <c r="AX382" s="934"/>
      <c r="AY382" s="924"/>
      <c r="AZ382" s="933"/>
      <c r="BA382" s="933"/>
      <c r="BB382" s="933"/>
      <c r="BC382" s="933"/>
      <c r="BD382" s="924"/>
      <c r="BE382" s="933"/>
      <c r="BF382" s="933"/>
      <c r="BG382" s="933"/>
      <c r="BH382" s="933"/>
      <c r="BI382" s="924"/>
      <c r="BJ382" s="933"/>
      <c r="BK382" s="933"/>
      <c r="BL382" s="933"/>
      <c r="BM382" s="933"/>
      <c r="BN382" s="924"/>
      <c r="BO382" s="933"/>
      <c r="BP382" s="933"/>
      <c r="BQ382" s="933"/>
      <c r="BR382" s="933"/>
      <c r="BS382" s="924"/>
      <c r="BT382" s="933"/>
      <c r="BU382" s="933"/>
      <c r="BV382" s="933"/>
      <c r="BW382" s="933"/>
      <c r="BX382" s="924"/>
      <c r="BY382" s="933"/>
      <c r="BZ382" s="933"/>
      <c r="CA382" s="933"/>
      <c r="CB382" s="933"/>
      <c r="CC382" s="924"/>
      <c r="CD382" s="933"/>
      <c r="CE382" s="933"/>
      <c r="CF382" s="933"/>
      <c r="CG382" s="933"/>
      <c r="CH382" s="924"/>
      <c r="CI382" s="933"/>
      <c r="CJ382" s="933"/>
      <c r="CK382" s="933"/>
      <c r="CL382" s="933"/>
      <c r="CM382" s="924"/>
      <c r="CN382" s="933"/>
      <c r="CO382" s="933"/>
      <c r="CP382" s="933"/>
      <c r="CQ382" s="933"/>
      <c r="CR382" s="924"/>
      <c r="CS382" s="933"/>
      <c r="CT382" s="933"/>
      <c r="CU382" s="933"/>
      <c r="CV382" s="933"/>
      <c r="CW382" s="924"/>
      <c r="CX382" s="933"/>
      <c r="CY382" s="933"/>
      <c r="CZ382" s="933"/>
      <c r="DA382" s="933"/>
      <c r="DB382" s="924"/>
      <c r="DC382" s="933"/>
      <c r="DD382" s="933"/>
      <c r="DE382" s="933"/>
      <c r="DF382" s="933"/>
      <c r="DG382" s="924"/>
      <c r="DH382" s="933"/>
      <c r="DI382" s="933"/>
      <c r="DJ382" s="933"/>
      <c r="DK382" s="933"/>
      <c r="DL382" s="924"/>
      <c r="DM382" s="933"/>
      <c r="DN382" s="933"/>
      <c r="DO382" s="933"/>
      <c r="DP382" s="933"/>
      <c r="DQ382" s="924"/>
      <c r="DR382" s="933"/>
      <c r="DS382" s="933"/>
      <c r="DT382" s="933"/>
      <c r="DU382" s="933"/>
      <c r="DV382" s="924"/>
      <c r="DW382" s="933"/>
      <c r="DX382" s="933"/>
      <c r="DY382" s="933"/>
      <c r="DZ382" s="933"/>
      <c r="EA382" s="924"/>
      <c r="EB382" s="933"/>
      <c r="EC382" s="933"/>
      <c r="ED382" s="933"/>
      <c r="EE382" s="933"/>
      <c r="EF382" s="924"/>
      <c r="EG382" s="933"/>
      <c r="EH382" s="933"/>
      <c r="EI382" s="933"/>
      <c r="EJ382" s="933"/>
      <c r="EK382" s="924"/>
      <c r="EL382" s="933"/>
      <c r="EM382" s="933"/>
      <c r="EN382" s="933"/>
      <c r="EO382" s="933"/>
      <c r="EP382" s="924"/>
      <c r="EQ382" s="933"/>
      <c r="ER382" s="933"/>
      <c r="ES382" s="933"/>
      <c r="ET382" s="933"/>
      <c r="EU382" s="924"/>
      <c r="EV382" s="203"/>
      <c r="EW382" s="203"/>
      <c r="EX382" s="203"/>
      <c r="EY382" s="203"/>
      <c r="EZ382" s="924"/>
      <c r="FA382" s="203"/>
      <c r="FB382" s="203"/>
      <c r="FC382" s="203"/>
      <c r="FD382" s="203"/>
      <c r="FE382" s="924"/>
      <c r="FG382" s="494"/>
      <c r="FH382" s="819"/>
      <c r="FI382" s="819"/>
      <c r="FJ382" s="819"/>
      <c r="FL382" s="1388"/>
      <c r="FM382"/>
      <c r="FN382"/>
      <c r="FO382"/>
      <c r="FP382"/>
      <c r="FQ382"/>
      <c r="FR382" s="1619"/>
      <c r="FS382" s="1619"/>
      <c r="FT382" s="205"/>
      <c r="FU382" s="205"/>
      <c r="FV382" s="205"/>
      <c r="FW382" s="205"/>
      <c r="FX382" s="205"/>
      <c r="FY382" s="205"/>
      <c r="FZ382" s="494"/>
      <c r="GA382"/>
      <c r="GB382"/>
      <c r="GC382"/>
      <c r="GD382"/>
      <c r="GE382"/>
      <c r="GF382"/>
      <c r="GG382"/>
      <c r="GH382"/>
      <c r="GI382"/>
      <c r="GJ382"/>
      <c r="GK382"/>
      <c r="GL382"/>
      <c r="GM382"/>
      <c r="GN382"/>
      <c r="GO382"/>
      <c r="GP382"/>
      <c r="GQ382"/>
      <c r="GR382"/>
      <c r="GS382"/>
      <c r="GT382"/>
      <c r="GU382"/>
      <c r="GV382"/>
      <c r="GW382"/>
      <c r="GX382"/>
      <c r="GY382"/>
      <c r="GZ382"/>
      <c r="HA382"/>
      <c r="HB382"/>
      <c r="HC382"/>
      <c r="HD382"/>
      <c r="HE382"/>
      <c r="HF382"/>
      <c r="HG382"/>
      <c r="HH382"/>
      <c r="HI382"/>
      <c r="HJ382"/>
      <c r="HK382"/>
      <c r="HL382"/>
      <c r="HM382"/>
      <c r="HN382"/>
      <c r="HO382"/>
      <c r="HP382"/>
      <c r="HQ382"/>
      <c r="HR382"/>
      <c r="HS382"/>
      <c r="HT382"/>
      <c r="HU382"/>
      <c r="HV382"/>
      <c r="HW382"/>
      <c r="HX382"/>
      <c r="HY382"/>
      <c r="HZ382"/>
      <c r="IA382"/>
      <c r="IB382"/>
      <c r="IC382"/>
      <c r="ID382"/>
      <c r="IE382"/>
      <c r="IF382"/>
      <c r="IG382"/>
      <c r="IH382"/>
      <c r="II382"/>
      <c r="IJ382"/>
      <c r="IK382"/>
      <c r="IL382"/>
      <c r="IM382"/>
      <c r="IN382"/>
      <c r="IO382"/>
      <c r="IP382"/>
      <c r="IQ382"/>
      <c r="IR382"/>
      <c r="IS382"/>
      <c r="IT382"/>
      <c r="IU382"/>
      <c r="IV382"/>
      <c r="IW382"/>
      <c r="IX382"/>
    </row>
    <row r="383" spans="1:258" s="961" customFormat="1" x14ac:dyDescent="0.2">
      <c r="A383" s="959" t="s">
        <v>566</v>
      </c>
      <c r="B383" s="960"/>
      <c r="C383" s="960"/>
      <c r="D383" s="960"/>
      <c r="E383" s="960"/>
      <c r="F383" s="54"/>
      <c r="G383" s="960"/>
      <c r="H383" s="960"/>
      <c r="I383" s="960"/>
      <c r="J383" s="960"/>
      <c r="K383" s="54"/>
      <c r="L383" s="960"/>
      <c r="M383" s="960"/>
      <c r="N383" s="960"/>
      <c r="O383" s="960"/>
      <c r="P383" s="54" t="e">
        <f>P248/P235</f>
        <v>#DIV/0!</v>
      </c>
      <c r="Q383" s="960"/>
      <c r="R383" s="960"/>
      <c r="S383" s="960"/>
      <c r="T383" s="960"/>
      <c r="U383" s="54"/>
      <c r="V383" s="960"/>
      <c r="W383" s="960"/>
      <c r="X383" s="960"/>
      <c r="Y383" s="960"/>
      <c r="Z383" s="54"/>
      <c r="AA383" s="55"/>
      <c r="AB383" s="55"/>
      <c r="AC383" s="55"/>
      <c r="AD383" s="55"/>
      <c r="AE383" s="54"/>
      <c r="AF383" s="55"/>
      <c r="AG383" s="55"/>
      <c r="AH383" s="55"/>
      <c r="AI383" s="55"/>
      <c r="AJ383" s="54"/>
      <c r="AK383" s="55"/>
      <c r="AL383" s="55"/>
      <c r="AM383" s="55"/>
      <c r="AN383" s="55"/>
      <c r="AO383" s="54"/>
      <c r="AP383" s="55"/>
      <c r="AQ383" s="55"/>
      <c r="AR383" s="55"/>
      <c r="AS383" s="55"/>
      <c r="AT383" s="54"/>
      <c r="AU383" s="55"/>
      <c r="AV383" s="55"/>
      <c r="AW383" s="55"/>
      <c r="AX383" s="55"/>
      <c r="AY383" s="54">
        <f t="shared" ref="AY383:CD383" si="1499">+AY251/AY238</f>
        <v>0.11403774346553638</v>
      </c>
      <c r="AZ383" s="55">
        <f t="shared" si="1499"/>
        <v>0.10861865407319952</v>
      </c>
      <c r="BA383" s="55">
        <f t="shared" si="1499"/>
        <v>0.10489296636085631</v>
      </c>
      <c r="BB383" s="55">
        <f t="shared" si="1499"/>
        <v>0.10874053682037164</v>
      </c>
      <c r="BC383" s="55">
        <f t="shared" si="1499"/>
        <v>5.6986899563318746E-2</v>
      </c>
      <c r="BD383" s="54">
        <f t="shared" si="1499"/>
        <v>9.4625844047729168E-2</v>
      </c>
      <c r="BE383" s="55">
        <f t="shared" si="1499"/>
        <v>8.3837913367489525E-2</v>
      </c>
      <c r="BF383" s="55">
        <f t="shared" si="1499"/>
        <v>9.1780821917808217E-2</v>
      </c>
      <c r="BG383" s="55">
        <f t="shared" si="1499"/>
        <v>0.10985777341834232</v>
      </c>
      <c r="BH383" s="55">
        <f t="shared" si="1499"/>
        <v>0.10649731314118221</v>
      </c>
      <c r="BI383" s="54">
        <f t="shared" si="1499"/>
        <v>0.11362695015877398</v>
      </c>
      <c r="BJ383" s="55">
        <f t="shared" si="1499"/>
        <v>9.3333333333333338E-2</v>
      </c>
      <c r="BK383" s="55">
        <f t="shared" si="1499"/>
        <v>0.12882839086047643</v>
      </c>
      <c r="BL383" s="55">
        <f t="shared" si="1499"/>
        <v>0.13967310549777118</v>
      </c>
      <c r="BM383" s="55">
        <f t="shared" si="1499"/>
        <v>0.13994023904382469</v>
      </c>
      <c r="BN383" s="54">
        <f t="shared" si="1499"/>
        <v>0.14136780650542119</v>
      </c>
      <c r="BO383" s="55">
        <f t="shared" si="1499"/>
        <v>0.1079429735234216</v>
      </c>
      <c r="BP383" s="55">
        <f t="shared" si="1499"/>
        <v>0.14954172696575013</v>
      </c>
      <c r="BQ383" s="55">
        <f t="shared" si="1499"/>
        <v>0.1343065693430657</v>
      </c>
      <c r="BR383" s="55">
        <f t="shared" si="1499"/>
        <v>0.15436893203883495</v>
      </c>
      <c r="BS383" s="54">
        <f t="shared" si="1499"/>
        <v>0.15536683836836976</v>
      </c>
      <c r="BT383" s="55">
        <f t="shared" si="1499"/>
        <v>8.7797619047619041E-2</v>
      </c>
      <c r="BU383" s="55">
        <f t="shared" si="1499"/>
        <v>0.14719505918682449</v>
      </c>
      <c r="BV383" s="55">
        <f t="shared" si="1499"/>
        <v>0.13481953290870488</v>
      </c>
      <c r="BW383" s="55">
        <f t="shared" si="1499"/>
        <v>0.14161554192229039</v>
      </c>
      <c r="BX383" s="54">
        <f t="shared" si="1499"/>
        <v>0.13351242444593686</v>
      </c>
      <c r="BY383" s="55">
        <f t="shared" si="1499"/>
        <v>0.11133706151499746</v>
      </c>
      <c r="BZ383" s="55">
        <f t="shared" si="1499"/>
        <v>0.15036855036855037</v>
      </c>
      <c r="CA383" s="55">
        <f t="shared" si="1499"/>
        <v>0.13450881612090679</v>
      </c>
      <c r="CB383" s="55">
        <f t="shared" si="1499"/>
        <v>0.14527956003666362</v>
      </c>
      <c r="CC383" s="54">
        <f t="shared" si="1499"/>
        <v>0.13795248165194676</v>
      </c>
      <c r="CD383" s="55">
        <f t="shared" si="1499"/>
        <v>0.16769303647560399</v>
      </c>
      <c r="CE383" s="55">
        <f t="shared" ref="CE383:DJ383" si="1500">+CE251/CE238</f>
        <v>0.19184430027803523</v>
      </c>
      <c r="CF383" s="55">
        <f t="shared" si="1500"/>
        <v>0.16611764705882354</v>
      </c>
      <c r="CG383" s="55">
        <f t="shared" si="1500"/>
        <v>0.18566922036953581</v>
      </c>
      <c r="CH383" s="54">
        <f t="shared" si="1500"/>
        <v>0.17823508894314616</v>
      </c>
      <c r="CI383" s="55">
        <f t="shared" si="1500"/>
        <v>0.21196581196581196</v>
      </c>
      <c r="CJ383" s="55">
        <f t="shared" si="1500"/>
        <v>0.21469859620148637</v>
      </c>
      <c r="CK383" s="55">
        <f t="shared" si="1500"/>
        <v>0.19602977667493796</v>
      </c>
      <c r="CL383" s="55">
        <f t="shared" si="1500"/>
        <v>0.20016680567139283</v>
      </c>
      <c r="CM383" s="54">
        <f t="shared" si="1500"/>
        <v>0.20593769600669037</v>
      </c>
      <c r="CN383" s="55">
        <f t="shared" si="1500"/>
        <v>0.19314898885678911</v>
      </c>
      <c r="CO383" s="55">
        <f t="shared" si="1500"/>
        <v>0.24219676017384434</v>
      </c>
      <c r="CP383" s="55">
        <f t="shared" si="1500"/>
        <v>0.22404153354632589</v>
      </c>
      <c r="CQ383" s="55">
        <f t="shared" si="1500"/>
        <v>0.23166472642607683</v>
      </c>
      <c r="CR383" s="54">
        <f t="shared" si="1500"/>
        <v>0.22323030907278166</v>
      </c>
      <c r="CS383" s="55">
        <f t="shared" si="1500"/>
        <v>0.23000368595650572</v>
      </c>
      <c r="CT383" s="55">
        <f t="shared" si="1500"/>
        <v>0.24664602683178535</v>
      </c>
      <c r="CU383" s="55">
        <f t="shared" si="1500"/>
        <v>0.24755150287065181</v>
      </c>
      <c r="CV383" s="55">
        <f t="shared" si="1500"/>
        <v>0.25878833208676139</v>
      </c>
      <c r="CW383" s="54">
        <f t="shared" si="1500"/>
        <v>0.24575744113727233</v>
      </c>
      <c r="CX383" s="55">
        <f t="shared" si="1500"/>
        <v>0.23230974632843793</v>
      </c>
      <c r="CY383" s="55">
        <f t="shared" si="1500"/>
        <v>0.26636155606407325</v>
      </c>
      <c r="CZ383" s="55">
        <f t="shared" si="1500"/>
        <v>0.26124945391000437</v>
      </c>
      <c r="DA383" s="55">
        <f t="shared" si="1500"/>
        <v>0.25129310344827588</v>
      </c>
      <c r="DB383" s="54">
        <f t="shared" si="1500"/>
        <v>0.25273752903439883</v>
      </c>
      <c r="DC383" s="55">
        <f t="shared" si="1500"/>
        <v>0.25451625853071058</v>
      </c>
      <c r="DD383" s="55">
        <f t="shared" si="1500"/>
        <v>0.28839654524971836</v>
      </c>
      <c r="DE383" s="55">
        <f t="shared" si="1500"/>
        <v>0.30945236309077268</v>
      </c>
      <c r="DF383" s="55">
        <f t="shared" si="1500"/>
        <v>0.30042613636363635</v>
      </c>
      <c r="DG383" s="54">
        <f t="shared" si="1500"/>
        <v>0.28892440767205718</v>
      </c>
      <c r="DH383" s="55">
        <f t="shared" si="1500"/>
        <v>0.2794481782808631</v>
      </c>
      <c r="DI383" s="55">
        <f t="shared" si="1500"/>
        <v>0.30534351145038169</v>
      </c>
      <c r="DJ383" s="55">
        <f t="shared" si="1500"/>
        <v>0.29608372721134368</v>
      </c>
      <c r="DK383" s="55">
        <f t="shared" ref="DK383:DV383" si="1501">+DK251/DK238</f>
        <v>0.29502171734046106</v>
      </c>
      <c r="DL383" s="54">
        <f t="shared" si="1501"/>
        <v>0.29419245442984315</v>
      </c>
      <c r="DM383" s="55">
        <f t="shared" si="1501"/>
        <v>0.30086149768058318</v>
      </c>
      <c r="DN383" s="55">
        <f t="shared" si="1501"/>
        <v>0.30709979906229068</v>
      </c>
      <c r="DO383" s="55">
        <f t="shared" si="1501"/>
        <v>0.28770949720670391</v>
      </c>
      <c r="DP383" s="55">
        <f t="shared" si="1501"/>
        <v>0.28151986183074268</v>
      </c>
      <c r="DQ383" s="54">
        <f t="shared" si="1501"/>
        <v>0.29448269999149879</v>
      </c>
      <c r="DR383" s="55">
        <f t="shared" si="1501"/>
        <v>0.28249744114636643</v>
      </c>
      <c r="DS383" s="55">
        <f t="shared" si="1501"/>
        <v>0.2976897689768977</v>
      </c>
      <c r="DT383" s="55">
        <f t="shared" si="1501"/>
        <v>0.27436946148602592</v>
      </c>
      <c r="DU383" s="55">
        <f>+DU251/DU238</f>
        <v>0.26813984168865435</v>
      </c>
      <c r="DV383" s="54">
        <f t="shared" si="1501"/>
        <v>0.28070763813196947</v>
      </c>
      <c r="DW383" s="55">
        <f t="shared" ref="DW383:EA383" si="1502">+DW251/DW238</f>
        <v>0.23131552248900913</v>
      </c>
      <c r="DX383" s="55">
        <f t="shared" si="1502"/>
        <v>0.30497989483451904</v>
      </c>
      <c r="DY383" s="55">
        <f t="shared" si="1502"/>
        <v>0.29931335830212236</v>
      </c>
      <c r="DZ383" s="55">
        <f t="shared" si="1502"/>
        <v>0.28228484972308865</v>
      </c>
      <c r="EA383" s="54">
        <f t="shared" si="1502"/>
        <v>0.28047460468779567</v>
      </c>
      <c r="EB383" s="55">
        <f t="shared" ref="EB383:EE383" si="1503">+EB251/EB238</f>
        <v>0.25940996948118006</v>
      </c>
      <c r="EC383" s="55">
        <f t="shared" si="1503"/>
        <v>0.32216748768472908</v>
      </c>
      <c r="ED383" s="55">
        <f t="shared" si="1503"/>
        <v>0.31745491663831238</v>
      </c>
      <c r="EE383" s="55">
        <f t="shared" si="1503"/>
        <v>0.28443006112909025</v>
      </c>
      <c r="EF383" s="54">
        <f>+EF251/EF238</f>
        <v>0.2962267372374936</v>
      </c>
      <c r="EG383" s="55">
        <f t="shared" ref="EG383:EH383" si="1504">+EG251/EG238</f>
        <v>0.26890756302521007</v>
      </c>
      <c r="EH383" s="55">
        <f t="shared" si="1504"/>
        <v>0.31065088757396447</v>
      </c>
      <c r="EI383" s="55">
        <f t="shared" ref="EI383:EJ383" si="1505">+EI251/EI238</f>
        <v>0.31033210332103323</v>
      </c>
      <c r="EJ383" s="55">
        <f t="shared" si="1505"/>
        <v>0.33058939743167598</v>
      </c>
      <c r="EK383" s="54">
        <f>+EK251/EK238</f>
        <v>0.30499593459210406</v>
      </c>
      <c r="EL383" s="55"/>
      <c r="EM383" s="55"/>
      <c r="EN383" s="55"/>
      <c r="EO383" s="55"/>
      <c r="EP383" s="54">
        <f>+EP251/EP238</f>
        <v>0.33537868162692847</v>
      </c>
      <c r="EQ383" s="55"/>
      <c r="ER383" s="55"/>
      <c r="ES383" s="55"/>
      <c r="ET383" s="55"/>
      <c r="EU383" s="54">
        <f>+EU251/EU238</f>
        <v>0.3592807920615726</v>
      </c>
      <c r="EV383" s="203"/>
      <c r="EW383" s="203"/>
      <c r="EX383" s="203"/>
      <c r="EY383" s="203"/>
      <c r="EZ383" s="54">
        <f>+EZ251/EZ238</f>
        <v>0.3658662927663881</v>
      </c>
      <c r="FA383" s="203"/>
      <c r="FB383" s="203"/>
      <c r="FC383" s="203"/>
      <c r="FD383" s="203"/>
      <c r="FE383" s="54">
        <f>+FE251/FE238</f>
        <v>0.38426300738878572</v>
      </c>
      <c r="FF383" s="45"/>
      <c r="FG383" s="494"/>
      <c r="FH383" s="819"/>
      <c r="FI383" s="819"/>
      <c r="FJ383" s="819"/>
      <c r="FK383" s="45"/>
      <c r="FL383" s="1388"/>
      <c r="FM383"/>
      <c r="FN383"/>
      <c r="FO383"/>
      <c r="FP383"/>
      <c r="FQ383"/>
      <c r="FR383" s="1619"/>
      <c r="FS383" s="1619"/>
      <c r="FT383" s="205"/>
      <c r="FU383" s="205"/>
      <c r="FV383" s="205"/>
      <c r="FW383" s="205"/>
      <c r="FX383" s="205"/>
      <c r="FY383" s="205"/>
      <c r="FZ383" s="494"/>
      <c r="GA383"/>
      <c r="GB383"/>
      <c r="GC383"/>
      <c r="GD383"/>
      <c r="GE383"/>
      <c r="GF383"/>
      <c r="GG383"/>
      <c r="GH383"/>
      <c r="GI383"/>
      <c r="GJ383"/>
      <c r="GK383"/>
      <c r="GL383"/>
      <c r="GM383"/>
      <c r="GN383"/>
      <c r="GO383"/>
      <c r="GP383"/>
      <c r="GQ383"/>
      <c r="GR383"/>
      <c r="GS383"/>
      <c r="GT383"/>
      <c r="GU383"/>
      <c r="GV383"/>
      <c r="GW383"/>
      <c r="GX383"/>
      <c r="GY383"/>
      <c r="GZ383"/>
      <c r="HA383"/>
      <c r="HB383"/>
      <c r="HC383"/>
      <c r="HD383"/>
      <c r="HE383"/>
      <c r="HF383"/>
      <c r="HG383"/>
      <c r="HH383"/>
      <c r="HI383"/>
      <c r="HJ383"/>
      <c r="HK383"/>
      <c r="HL383"/>
      <c r="HM383"/>
      <c r="HN383"/>
      <c r="HO383"/>
      <c r="HP383"/>
      <c r="HQ383"/>
      <c r="HR383"/>
      <c r="HS383"/>
      <c r="HT383"/>
      <c r="HU383"/>
      <c r="HV383"/>
      <c r="HW383"/>
      <c r="HX383"/>
      <c r="HY383"/>
      <c r="HZ383"/>
      <c r="IA383"/>
      <c r="IB383"/>
      <c r="IC383"/>
      <c r="ID383"/>
      <c r="IE383"/>
      <c r="IF383"/>
      <c r="IG383"/>
      <c r="IH383"/>
      <c r="II383"/>
      <c r="IJ383"/>
      <c r="IK383"/>
      <c r="IL383"/>
      <c r="IM383"/>
      <c r="IN383"/>
      <c r="IO383"/>
      <c r="IP383"/>
      <c r="IQ383"/>
      <c r="IR383"/>
      <c r="IS383"/>
      <c r="IT383"/>
      <c r="IU383"/>
      <c r="IV383"/>
      <c r="IW383"/>
      <c r="IX383"/>
    </row>
    <row r="384" spans="1:258" s="961" customFormat="1" x14ac:dyDescent="0.2">
      <c r="A384" s="959" t="s">
        <v>195</v>
      </c>
      <c r="B384" s="960"/>
      <c r="C384" s="960"/>
      <c r="D384" s="960"/>
      <c r="E384" s="960"/>
      <c r="F384" s="54"/>
      <c r="G384" s="960"/>
      <c r="H384" s="960"/>
      <c r="I384" s="960"/>
      <c r="J384" s="960"/>
      <c r="K384" s="54"/>
      <c r="L384" s="960"/>
      <c r="M384" s="960"/>
      <c r="N384" s="960"/>
      <c r="O384" s="960"/>
      <c r="P384" s="54" t="e">
        <f>P261/P235</f>
        <v>#DIV/0!</v>
      </c>
      <c r="Q384" s="960"/>
      <c r="R384" s="960"/>
      <c r="S384" s="960"/>
      <c r="T384" s="960"/>
      <c r="U384" s="54"/>
      <c r="V384" s="960"/>
      <c r="W384" s="960"/>
      <c r="X384" s="960"/>
      <c r="Y384" s="960"/>
      <c r="Z384" s="54"/>
      <c r="AA384" s="55"/>
      <c r="AB384" s="55"/>
      <c r="AC384" s="55"/>
      <c r="AD384" s="55"/>
      <c r="AE384" s="54"/>
      <c r="AF384" s="55"/>
      <c r="AG384" s="55"/>
      <c r="AH384" s="55"/>
      <c r="AI384" s="55"/>
      <c r="AJ384" s="54"/>
      <c r="AK384" s="55"/>
      <c r="AL384" s="55"/>
      <c r="AM384" s="55"/>
      <c r="AN384" s="55"/>
      <c r="AO384" s="54"/>
      <c r="AP384" s="55"/>
      <c r="AQ384" s="55"/>
      <c r="AR384" s="55"/>
      <c r="AS384" s="55"/>
      <c r="AT384" s="54"/>
      <c r="AU384" s="55"/>
      <c r="AV384" s="55"/>
      <c r="AW384" s="55"/>
      <c r="AX384" s="55"/>
      <c r="AY384" s="54">
        <f t="shared" ref="AY384:CD384" si="1506">+AY270/AY238</f>
        <v>9.2239378342920578E-2</v>
      </c>
      <c r="AZ384" s="55">
        <f t="shared" si="1506"/>
        <v>8.3038173947264857E-2</v>
      </c>
      <c r="BA384" s="55">
        <f t="shared" si="1506"/>
        <v>8.8073394495412877E-2</v>
      </c>
      <c r="BB384" s="55">
        <f t="shared" si="1506"/>
        <v>6.8823124569855468E-2</v>
      </c>
      <c r="BC384" s="55">
        <f t="shared" si="1506"/>
        <v>2.7510917030567652E-2</v>
      </c>
      <c r="BD384" s="54">
        <f t="shared" si="1506"/>
        <v>6.6321339376560914E-2</v>
      </c>
      <c r="BE384" s="55">
        <f t="shared" si="1506"/>
        <v>1.9096413600372612E-2</v>
      </c>
      <c r="BF384" s="55">
        <f t="shared" si="1506"/>
        <v>3.9269406392694065E-2</v>
      </c>
      <c r="BG384" s="55">
        <f t="shared" si="1506"/>
        <v>4.2667974497302599E-2</v>
      </c>
      <c r="BH384" s="55">
        <f t="shared" si="1506"/>
        <v>3.957010258915486E-2</v>
      </c>
      <c r="BI384" s="54">
        <f t="shared" si="1506"/>
        <v>4.0728979704542319E-2</v>
      </c>
      <c r="BJ384" s="55">
        <f t="shared" si="1506"/>
        <v>1.3333333333333334E-2</v>
      </c>
      <c r="BK384" s="55">
        <f t="shared" si="1506"/>
        <v>8.1186193485658725E-2</v>
      </c>
      <c r="BL384" s="55">
        <f t="shared" si="1506"/>
        <v>7.7761267954432889E-2</v>
      </c>
      <c r="BM384" s="55">
        <f t="shared" si="1506"/>
        <v>7.8187250996015936E-2</v>
      </c>
      <c r="BN384" s="54">
        <f t="shared" si="1506"/>
        <v>7.0614400889630252E-2</v>
      </c>
      <c r="BO384" s="55">
        <f t="shared" si="1506"/>
        <v>5.4480651731160894E-2</v>
      </c>
      <c r="BP384" s="55">
        <f t="shared" si="1506"/>
        <v>9.5513748191027495E-2</v>
      </c>
      <c r="BQ384" s="55">
        <f t="shared" si="1506"/>
        <v>9.537712895377129E-2</v>
      </c>
      <c r="BR384" s="55">
        <f t="shared" si="1506"/>
        <v>0.10242718446601942</v>
      </c>
      <c r="BS384" s="54">
        <f t="shared" si="1506"/>
        <v>9.9122929138243068E-2</v>
      </c>
      <c r="BT384" s="55">
        <f t="shared" si="1506"/>
        <v>3.1746031746031744E-2</v>
      </c>
      <c r="BU384" s="55">
        <f t="shared" si="1506"/>
        <v>0.1029336078229542</v>
      </c>
      <c r="BV384" s="55">
        <f t="shared" si="1506"/>
        <v>9.1295116772823773E-2</v>
      </c>
      <c r="BW384" s="55">
        <f t="shared" si="1506"/>
        <v>0.10071574642126789</v>
      </c>
      <c r="BX384" s="54">
        <f t="shared" si="1506"/>
        <v>8.5023505708529221E-2</v>
      </c>
      <c r="BY384" s="55">
        <f t="shared" si="1506"/>
        <v>5.1347229283172341E-2</v>
      </c>
      <c r="BZ384" s="55">
        <f t="shared" si="1506"/>
        <v>9.7788697788697795E-2</v>
      </c>
      <c r="CA384" s="55">
        <f t="shared" si="1506"/>
        <v>8.5642317380352648E-2</v>
      </c>
      <c r="CB384" s="55">
        <f t="shared" si="1506"/>
        <v>0.11136571952337306</v>
      </c>
      <c r="CC384" s="54">
        <f t="shared" si="1506"/>
        <v>8.8692623460629436E-2</v>
      </c>
      <c r="CD384" s="55">
        <f t="shared" si="1506"/>
        <v>0.11274277593557555</v>
      </c>
      <c r="CE384" s="55">
        <f t="shared" ref="CE384:DJ384" si="1507">+CE270/CE238</f>
        <v>0.15477293790546803</v>
      </c>
      <c r="CF384" s="55">
        <f t="shared" si="1507"/>
        <v>0.12423529411764705</v>
      </c>
      <c r="CG384" s="55">
        <f t="shared" si="1507"/>
        <v>0.1689950428120775</v>
      </c>
      <c r="CH384" s="54">
        <f t="shared" si="1507"/>
        <v>0.14079758167654924</v>
      </c>
      <c r="CI384" s="55">
        <f t="shared" si="1507"/>
        <v>0.16880341880341881</v>
      </c>
      <c r="CJ384" s="55">
        <f t="shared" si="1507"/>
        <v>0.17877786952931463</v>
      </c>
      <c r="CK384" s="55">
        <f t="shared" si="1507"/>
        <v>0.16625310173697269</v>
      </c>
      <c r="CL384" s="55">
        <f t="shared" si="1507"/>
        <v>0.17389491242702251</v>
      </c>
      <c r="CM384" s="54">
        <f t="shared" si="1507"/>
        <v>0.17217227681371525</v>
      </c>
      <c r="CN384" s="55">
        <f t="shared" si="1507"/>
        <v>0.14775072224515065</v>
      </c>
      <c r="CO384" s="55">
        <f t="shared" si="1507"/>
        <v>0.20663769261161596</v>
      </c>
      <c r="CP384" s="55">
        <f t="shared" si="1507"/>
        <v>0.19009584664536741</v>
      </c>
      <c r="CQ384" s="55">
        <f t="shared" si="1507"/>
        <v>0.21808304229724484</v>
      </c>
      <c r="CR384" s="54">
        <f t="shared" si="1507"/>
        <v>0.1913260219341974</v>
      </c>
      <c r="CS384" s="55">
        <f t="shared" si="1507"/>
        <v>0.19535569480280132</v>
      </c>
      <c r="CT384" s="55">
        <f t="shared" si="1507"/>
        <v>0.20295837633298933</v>
      </c>
      <c r="CU384" s="55">
        <f t="shared" si="1507"/>
        <v>0.20601148260722729</v>
      </c>
      <c r="CV384" s="55">
        <f t="shared" si="1507"/>
        <v>0.21017202692595363</v>
      </c>
      <c r="CW384" s="54">
        <f t="shared" si="1507"/>
        <v>0.20364282541092849</v>
      </c>
      <c r="CX384" s="55">
        <f t="shared" si="1507"/>
        <v>0.16555407209612816</v>
      </c>
      <c r="CY384" s="55">
        <f t="shared" si="1507"/>
        <v>0.20732265446224257</v>
      </c>
      <c r="CZ384" s="55">
        <f t="shared" si="1507"/>
        <v>0.20270860637833116</v>
      </c>
      <c r="DA384" s="55">
        <f t="shared" si="1507"/>
        <v>0.19827586206896552</v>
      </c>
      <c r="DB384" s="54">
        <f t="shared" si="1507"/>
        <v>0.19345205176418537</v>
      </c>
      <c r="DC384" s="55">
        <f t="shared" si="1507"/>
        <v>0.20192693697310318</v>
      </c>
      <c r="DD384" s="55">
        <f t="shared" si="1507"/>
        <v>0.24108148704468643</v>
      </c>
      <c r="DE384" s="55">
        <f t="shared" si="1507"/>
        <v>0.26331582895723932</v>
      </c>
      <c r="DF384" s="55">
        <f t="shared" si="1507"/>
        <v>0.24893465909090909</v>
      </c>
      <c r="DG384" s="54">
        <f t="shared" si="1507"/>
        <v>0.23956374576908612</v>
      </c>
      <c r="DH384" s="55">
        <f t="shared" si="1507"/>
        <v>0.23169437566324727</v>
      </c>
      <c r="DI384" s="55">
        <f t="shared" si="1507"/>
        <v>0.2608695652173913</v>
      </c>
      <c r="DJ384" s="55">
        <f t="shared" si="1507"/>
        <v>0.25151924375422013</v>
      </c>
      <c r="DK384" s="55">
        <f t="shared" ref="DK384:DV384" si="1508">+DK270/DK238</f>
        <v>0.25192114934847981</v>
      </c>
      <c r="DL384" s="54">
        <f t="shared" si="1508"/>
        <v>0.24925816023738873</v>
      </c>
      <c r="DM384" s="55">
        <f t="shared" si="1508"/>
        <v>0.25447316103379719</v>
      </c>
      <c r="DN384" s="55">
        <f t="shared" si="1508"/>
        <v>0.26155391828533153</v>
      </c>
      <c r="DO384" s="55">
        <f t="shared" si="1508"/>
        <v>0.24162011173184358</v>
      </c>
      <c r="DP384" s="55">
        <f t="shared" si="1508"/>
        <v>0.25215889464594127</v>
      </c>
      <c r="DQ384" s="54">
        <f t="shared" si="1508"/>
        <v>0.25257162288531837</v>
      </c>
      <c r="DR384" s="55">
        <f t="shared" si="1508"/>
        <v>0.23132036847492324</v>
      </c>
      <c r="DS384" s="55">
        <f t="shared" si="1508"/>
        <v>0.25445544554455446</v>
      </c>
      <c r="DT384" s="55">
        <f t="shared" si="1508"/>
        <v>0.23006134969325154</v>
      </c>
      <c r="DU384" s="55">
        <f>+DU270/DU238</f>
        <v>0.22295514511873352</v>
      </c>
      <c r="DV384" s="54">
        <f t="shared" si="1508"/>
        <v>0.23476146558229227</v>
      </c>
      <c r="DW384" s="55">
        <f t="shared" ref="DW384:EA384" si="1509">+DW270/DW238</f>
        <v>0.18667568481569158</v>
      </c>
      <c r="DX384" s="55">
        <f t="shared" si="1509"/>
        <v>0.26507887411073305</v>
      </c>
      <c r="DY384" s="55">
        <f t="shared" si="1509"/>
        <v>0.24875156054931336</v>
      </c>
      <c r="DZ384" s="55">
        <f t="shared" si="1509"/>
        <v>0.24281208283749683</v>
      </c>
      <c r="EA384" s="54">
        <f t="shared" si="1509"/>
        <v>0.23685496665484512</v>
      </c>
      <c r="EB384" s="55">
        <f t="shared" ref="EB384:EE384" si="1510">+EB270/EB238</f>
        <v>0.21464903357070192</v>
      </c>
      <c r="EC384" s="55">
        <f t="shared" si="1510"/>
        <v>0.2794745484400657</v>
      </c>
      <c r="ED384" s="55">
        <f t="shared" si="1510"/>
        <v>0.2718611772711807</v>
      </c>
      <c r="EE384" s="55">
        <f t="shared" si="1510"/>
        <v>0.26645091693635381</v>
      </c>
      <c r="EF384" s="54">
        <f>+EF270/EF238</f>
        <v>0.25815263786921633</v>
      </c>
      <c r="EG384" s="55">
        <f t="shared" ref="EG384:EH384" si="1511">+EG270/EG238</f>
        <v>0.21695951107715813</v>
      </c>
      <c r="EH384" s="55">
        <f t="shared" si="1511"/>
        <v>0.26146449704142011</v>
      </c>
      <c r="EI384" s="55">
        <f t="shared" ref="EI384:EJ384" si="1512">+EI270/EI238</f>
        <v>0.26383763837638374</v>
      </c>
      <c r="EJ384" s="55">
        <f t="shared" si="1512"/>
        <v>0.24728350345735925</v>
      </c>
      <c r="EK384" s="54">
        <f>+EK270/EK238</f>
        <v>0.24645406089077604</v>
      </c>
      <c r="EL384" s="55"/>
      <c r="EM384" s="55"/>
      <c r="EN384" s="55"/>
      <c r="EO384" s="55"/>
      <c r="EP384" s="54">
        <f>+EP270/EP238</f>
        <v>0.29146213183730713</v>
      </c>
      <c r="EQ384" s="55"/>
      <c r="ER384" s="55"/>
      <c r="ES384" s="55"/>
      <c r="ET384" s="55"/>
      <c r="EU384" s="54">
        <f>+EU270/EU238</f>
        <v>0.31353008133066357</v>
      </c>
      <c r="EV384" s="203"/>
      <c r="EW384" s="203"/>
      <c r="EX384" s="203"/>
      <c r="EY384" s="203"/>
      <c r="EZ384" s="54">
        <f>+EZ270/EZ238</f>
        <v>0.3176275607049312</v>
      </c>
      <c r="FA384" s="203"/>
      <c r="FB384" s="203"/>
      <c r="FC384" s="203"/>
      <c r="FD384" s="203"/>
      <c r="FE384" s="54">
        <f>+FE270/FE238</f>
        <v>0.33882015378650926</v>
      </c>
      <c r="FF384" s="45"/>
      <c r="FG384" s="494"/>
      <c r="FH384" s="819"/>
      <c r="FI384" s="819"/>
      <c r="FJ384" s="819"/>
      <c r="FK384" s="45"/>
      <c r="FL384" s="1388"/>
      <c r="FM384"/>
      <c r="FN384"/>
      <c r="FO384"/>
      <c r="FP384"/>
      <c r="FQ384"/>
      <c r="FR384" s="1619"/>
      <c r="FS384" s="1619"/>
      <c r="FT384" s="205"/>
      <c r="FU384" s="205"/>
      <c r="FV384" s="205"/>
      <c r="FW384" s="205"/>
      <c r="FX384" s="205"/>
      <c r="FY384" s="205"/>
      <c r="FZ384" s="494"/>
      <c r="GA384"/>
      <c r="GB384"/>
      <c r="GC384"/>
      <c r="GD384"/>
      <c r="GE384"/>
      <c r="GF384"/>
      <c r="GG384"/>
      <c r="GH384"/>
      <c r="GI384"/>
      <c r="GJ384"/>
      <c r="GK384"/>
      <c r="GL384"/>
      <c r="GM384"/>
      <c r="GN384"/>
      <c r="GO384"/>
      <c r="GP384"/>
      <c r="GQ384"/>
      <c r="GR384"/>
      <c r="GS384"/>
      <c r="GT384"/>
      <c r="GU384"/>
      <c r="GV384"/>
      <c r="GW384"/>
      <c r="GX384"/>
      <c r="GY384"/>
      <c r="GZ384"/>
      <c r="HA384"/>
      <c r="HB384"/>
      <c r="HC384"/>
      <c r="HD384"/>
      <c r="HE384"/>
      <c r="HF384"/>
      <c r="HG384"/>
      <c r="HH384"/>
      <c r="HI384"/>
      <c r="HJ384"/>
      <c r="HK384"/>
      <c r="HL384"/>
      <c r="HM384"/>
      <c r="HN384"/>
      <c r="HO384"/>
      <c r="HP384"/>
      <c r="HQ384"/>
      <c r="HR384"/>
      <c r="HS384"/>
      <c r="HT384"/>
      <c r="HU384"/>
      <c r="HV384"/>
      <c r="HW384"/>
      <c r="HX384"/>
      <c r="HY384"/>
      <c r="HZ384"/>
      <c r="IA384"/>
      <c r="IB384"/>
      <c r="IC384"/>
      <c r="ID384"/>
      <c r="IE384"/>
      <c r="IF384"/>
      <c r="IG384"/>
      <c r="IH384"/>
      <c r="II384"/>
      <c r="IJ384"/>
      <c r="IK384"/>
      <c r="IL384"/>
      <c r="IM384"/>
      <c r="IN384"/>
      <c r="IO384"/>
      <c r="IP384"/>
      <c r="IQ384"/>
      <c r="IR384"/>
      <c r="IS384"/>
      <c r="IT384"/>
      <c r="IU384"/>
      <c r="IV384"/>
      <c r="IW384"/>
      <c r="IX384"/>
    </row>
    <row r="385" spans="1:258" s="961" customFormat="1" x14ac:dyDescent="0.2">
      <c r="A385" s="959" t="s">
        <v>559</v>
      </c>
      <c r="B385" s="960"/>
      <c r="C385" s="960"/>
      <c r="D385" s="960"/>
      <c r="E385" s="960"/>
      <c r="F385" s="54"/>
      <c r="G385" s="960"/>
      <c r="H385" s="960"/>
      <c r="I385" s="960"/>
      <c r="J385" s="960"/>
      <c r="K385" s="54"/>
      <c r="L385" s="960"/>
      <c r="M385" s="960"/>
      <c r="N385" s="960"/>
      <c r="O385" s="960"/>
      <c r="P385" s="54"/>
      <c r="Q385" s="960"/>
      <c r="R385" s="960"/>
      <c r="S385" s="960"/>
      <c r="T385" s="960"/>
      <c r="U385" s="54"/>
      <c r="V385" s="960"/>
      <c r="W385" s="960"/>
      <c r="X385" s="960"/>
      <c r="Y385" s="960"/>
      <c r="Z385" s="54"/>
      <c r="AA385" s="55"/>
      <c r="AB385" s="55"/>
      <c r="AC385" s="55"/>
      <c r="AD385" s="55"/>
      <c r="AE385" s="54"/>
      <c r="AF385" s="55"/>
      <c r="AG385" s="55"/>
      <c r="AH385" s="55"/>
      <c r="AI385" s="55"/>
      <c r="AJ385" s="54"/>
      <c r="AK385" s="55"/>
      <c r="AL385" s="55"/>
      <c r="AM385" s="55"/>
      <c r="AN385" s="55"/>
      <c r="AO385" s="54"/>
      <c r="AP385" s="55"/>
      <c r="AQ385" s="55"/>
      <c r="AR385" s="55"/>
      <c r="AS385" s="55"/>
      <c r="AT385" s="54"/>
      <c r="AU385" s="55"/>
      <c r="AV385" s="55"/>
      <c r="AW385" s="55"/>
      <c r="AX385" s="55"/>
      <c r="AY385" s="54">
        <f t="shared" ref="AY385:CD385" si="1513">+AY273/AY238</f>
        <v>6.0270461196891716E-2</v>
      </c>
      <c r="AZ385" s="55">
        <f t="shared" si="1513"/>
        <v>5.397481306572216E-2</v>
      </c>
      <c r="BA385" s="55">
        <f t="shared" si="1513"/>
        <v>5.7247706422018388E-2</v>
      </c>
      <c r="BB385" s="55">
        <f t="shared" si="1513"/>
        <v>4.2326221610461116E-2</v>
      </c>
      <c r="BC385" s="55">
        <f t="shared" si="1513"/>
        <v>1.5720524017467215E-2</v>
      </c>
      <c r="BD385" s="54">
        <f t="shared" si="1513"/>
        <v>4.1911941541023033E-2</v>
      </c>
      <c r="BE385" s="55">
        <f t="shared" si="1513"/>
        <v>1.3507219375873311E-2</v>
      </c>
      <c r="BF385" s="55">
        <f t="shared" si="1513"/>
        <v>2.4657534246575342E-2</v>
      </c>
      <c r="BG385" s="55">
        <f t="shared" si="1513"/>
        <v>2.8935752820009809E-2</v>
      </c>
      <c r="BH385" s="55">
        <f t="shared" si="1513"/>
        <v>2.6380068392769906E-2</v>
      </c>
      <c r="BI385" s="54">
        <f t="shared" si="1513"/>
        <v>2.7060610244373878E-2</v>
      </c>
      <c r="BJ385" s="55">
        <f t="shared" si="1513"/>
        <v>1.0123456790123457E-2</v>
      </c>
      <c r="BK385" s="55">
        <f t="shared" si="1513"/>
        <v>5.2503646086533788E-2</v>
      </c>
      <c r="BL385" s="55">
        <f t="shared" si="1513"/>
        <v>4.9529470034670627E-2</v>
      </c>
      <c r="BM385" s="55">
        <f t="shared" si="1513"/>
        <v>5.0796812749003988E-2</v>
      </c>
      <c r="BN385" s="54">
        <f t="shared" si="1513"/>
        <v>4.5941061996107868E-2</v>
      </c>
      <c r="BO385" s="55">
        <f t="shared" si="1513"/>
        <v>3.4623217922606926E-2</v>
      </c>
      <c r="BP385" s="55">
        <f t="shared" si="1513"/>
        <v>6.1698022190062714E-2</v>
      </c>
      <c r="BQ385" s="55">
        <f t="shared" si="1513"/>
        <v>6.2043795620437957E-2</v>
      </c>
      <c r="BR385" s="55">
        <f t="shared" si="1513"/>
        <v>6.650485436893204E-2</v>
      </c>
      <c r="BS385" s="54">
        <f t="shared" si="1513"/>
        <v>6.4095781706807742E-2</v>
      </c>
      <c r="BT385" s="55">
        <f t="shared" si="1513"/>
        <v>2.0833333333333332E-2</v>
      </c>
      <c r="BU385" s="55">
        <f t="shared" si="1513"/>
        <v>6.587750900669069E-2</v>
      </c>
      <c r="BV385" s="55">
        <f t="shared" si="1513"/>
        <v>6.3004246284501061E-2</v>
      </c>
      <c r="BW385" s="55">
        <f t="shared" si="1513"/>
        <v>6.7995910020449898E-2</v>
      </c>
      <c r="BX385" s="54">
        <f t="shared" si="1513"/>
        <v>5.6642041638683679E-2</v>
      </c>
      <c r="BY385" s="55">
        <f t="shared" si="1513"/>
        <v>3.3553634977122521E-2</v>
      </c>
      <c r="BZ385" s="55">
        <f t="shared" si="1513"/>
        <v>6.3243243243243236E-2</v>
      </c>
      <c r="CA385" s="55">
        <f t="shared" si="1513"/>
        <v>5.4659949622166248E-2</v>
      </c>
      <c r="CB385" s="55">
        <f t="shared" si="1513"/>
        <v>7.2868927589367555E-2</v>
      </c>
      <c r="CC385" s="54">
        <f t="shared" si="1513"/>
        <v>5.7494713272795123E-2</v>
      </c>
      <c r="CD385" s="55">
        <f t="shared" si="1513"/>
        <v>7.2951207958313599E-2</v>
      </c>
      <c r="CE385" s="55">
        <f t="shared" ref="CE385:DJ385" si="1514">+CE273/CE238</f>
        <v>9.5922150139017615E-2</v>
      </c>
      <c r="CF385" s="55">
        <f t="shared" si="1514"/>
        <v>7.7176470588235291E-2</v>
      </c>
      <c r="CG385" s="55">
        <f t="shared" si="1514"/>
        <v>0.10680486705723299</v>
      </c>
      <c r="CH385" s="54">
        <f t="shared" si="1514"/>
        <v>8.8594349494244856E-2</v>
      </c>
      <c r="CI385" s="55">
        <f t="shared" si="1514"/>
        <v>0.1047008547008547</v>
      </c>
      <c r="CJ385" s="55">
        <f t="shared" si="1514"/>
        <v>0.11218001651527662</v>
      </c>
      <c r="CK385" s="55">
        <f t="shared" si="1514"/>
        <v>0.10339123242349049</v>
      </c>
      <c r="CL385" s="55">
        <f t="shared" si="1514"/>
        <v>0.10967472894078399</v>
      </c>
      <c r="CM385" s="54">
        <f t="shared" si="1514"/>
        <v>0.10764164750156806</v>
      </c>
      <c r="CN385" s="55">
        <f t="shared" si="1514"/>
        <v>9.4510936855138256E-2</v>
      </c>
      <c r="CO385" s="55">
        <f t="shared" si="1514"/>
        <v>0.13156854998024498</v>
      </c>
      <c r="CP385" s="55">
        <f t="shared" si="1514"/>
        <v>0.12115338862075997</v>
      </c>
      <c r="CQ385" s="55">
        <f t="shared" si="1514"/>
        <v>0.13964966743595503</v>
      </c>
      <c r="CR385" s="54">
        <f t="shared" si="1514"/>
        <v>0.12215805364794009</v>
      </c>
      <c r="CS385" s="55">
        <f t="shared" si="1514"/>
        <v>0.12228718192228534</v>
      </c>
      <c r="CT385" s="55">
        <f t="shared" si="1514"/>
        <v>0.1263845889232886</v>
      </c>
      <c r="CU385" s="55">
        <f t="shared" si="1514"/>
        <v>0.12901046943600136</v>
      </c>
      <c r="CV385" s="55">
        <f t="shared" si="1514"/>
        <v>0.13735228122662677</v>
      </c>
      <c r="CW385" s="54">
        <f t="shared" si="1514"/>
        <v>0.12869348063573166</v>
      </c>
      <c r="CX385" s="55">
        <f t="shared" si="1514"/>
        <v>0.10947930574098798</v>
      </c>
      <c r="CY385" s="55">
        <f t="shared" si="1514"/>
        <v>0.13043478260869565</v>
      </c>
      <c r="CZ385" s="55">
        <f t="shared" si="1514"/>
        <v>0.12800349497597205</v>
      </c>
      <c r="DA385" s="55">
        <f t="shared" si="1514"/>
        <v>0.13146551724137931</v>
      </c>
      <c r="DB385" s="54">
        <f t="shared" si="1514"/>
        <v>0.12487556686207278</v>
      </c>
      <c r="DC385" s="55">
        <f t="shared" si="1514"/>
        <v>0.12284223203532718</v>
      </c>
      <c r="DD385" s="55">
        <f t="shared" si="1514"/>
        <v>0.15546376267367631</v>
      </c>
      <c r="DE385" s="55">
        <f t="shared" si="1514"/>
        <v>0.15528882220555137</v>
      </c>
      <c r="DF385" s="55">
        <f t="shared" si="1514"/>
        <v>0.15269886363636365</v>
      </c>
      <c r="DG385" s="54">
        <f t="shared" si="1514"/>
        <v>0.14704776231666039</v>
      </c>
      <c r="DH385" s="55">
        <f t="shared" si="1514"/>
        <v>0.14340290060134417</v>
      </c>
      <c r="DI385" s="55">
        <f t="shared" si="1514"/>
        <v>0.16661135081314304</v>
      </c>
      <c r="DJ385" s="55">
        <f t="shared" si="1514"/>
        <v>0.15648210668467252</v>
      </c>
      <c r="DK385" s="55">
        <f t="shared" ref="DK385:DV385" si="1515">+DK273/DK238</f>
        <v>0.16173337788172401</v>
      </c>
      <c r="DL385" s="54">
        <f t="shared" si="1515"/>
        <v>0.1572673166596015</v>
      </c>
      <c r="DM385" s="55">
        <f t="shared" si="1515"/>
        <v>0.15955467196819081</v>
      </c>
      <c r="DN385" s="55">
        <f t="shared" si="1515"/>
        <v>0.16610850636302746</v>
      </c>
      <c r="DO385" s="55">
        <f t="shared" si="1515"/>
        <v>0.15270391061452512</v>
      </c>
      <c r="DP385" s="55">
        <f t="shared" si="1515"/>
        <v>0.15583419689119171</v>
      </c>
      <c r="DQ385" s="54">
        <f t="shared" si="1515"/>
        <v>0.15863470203179458</v>
      </c>
      <c r="DR385" s="55">
        <f t="shared" si="1515"/>
        <v>0.14343227567383146</v>
      </c>
      <c r="DS385" s="55">
        <f t="shared" si="1515"/>
        <v>0.15776237623762376</v>
      </c>
      <c r="DT385" s="55">
        <f t="shared" si="1515"/>
        <v>0.14378834355828221</v>
      </c>
      <c r="DU385" s="55">
        <f>+DU273/DU238</f>
        <v>0.14116094986807387</v>
      </c>
      <c r="DV385" s="54">
        <f t="shared" si="1515"/>
        <v>0.14658296302506918</v>
      </c>
      <c r="DW385" s="55">
        <f t="shared" ref="DW385:EA385" si="1516">+DW273/DW238</f>
        <v>0.11630030436252958</v>
      </c>
      <c r="DX385" s="55">
        <f t="shared" si="1516"/>
        <v>0.16496752242499227</v>
      </c>
      <c r="DY385" s="55">
        <f t="shared" si="1516"/>
        <v>0.15387016229712858</v>
      </c>
      <c r="DZ385" s="55">
        <f t="shared" si="1516"/>
        <v>0.15384171938108354</v>
      </c>
      <c r="EA385" s="54">
        <f t="shared" si="1516"/>
        <v>0.14788679564614438</v>
      </c>
      <c r="EB385" s="55">
        <f t="shared" ref="EB385:EE385" si="1517">+EB273/EB238</f>
        <v>0.13369522863837602</v>
      </c>
      <c r="EC385" s="55">
        <f t="shared" si="1517"/>
        <v>0.17448568355538785</v>
      </c>
      <c r="ED385" s="55">
        <f t="shared" si="1517"/>
        <v>0.17250765566519224</v>
      </c>
      <c r="EE385" s="55">
        <f t="shared" si="1517"/>
        <v>0.1675656238763035</v>
      </c>
      <c r="EF385" s="54">
        <f>+EF273/EF238</f>
        <v>0.16207752566849298</v>
      </c>
      <c r="EG385" s="55">
        <f t="shared" ref="EG385:EH385" si="1518">+EG273/EG238</f>
        <v>0.1359816653934301</v>
      </c>
      <c r="EH385" s="55">
        <f t="shared" si="1518"/>
        <v>0.16457100591715976</v>
      </c>
      <c r="EI385" s="55">
        <f t="shared" ref="EI385:EJ385" si="1519">+EI273/EI238</f>
        <v>0.16789667896678967</v>
      </c>
      <c r="EJ385" s="55">
        <f t="shared" si="1519"/>
        <v>0.15080671715508726</v>
      </c>
      <c r="EK385" s="54">
        <f>+EK273/EK238</f>
        <v>0.15367241846598609</v>
      </c>
      <c r="EL385" s="55"/>
      <c r="EM385" s="55"/>
      <c r="EN385" s="55"/>
      <c r="EO385" s="55"/>
      <c r="EP385" s="54">
        <f>+EP273/EP238</f>
        <v>0.18378418653576439</v>
      </c>
      <c r="EQ385" s="55"/>
      <c r="ER385" s="55"/>
      <c r="ES385" s="55"/>
      <c r="ET385" s="55"/>
      <c r="EU385" s="54">
        <f>+EU273/EU238</f>
        <v>0.23608999136885911</v>
      </c>
      <c r="EV385" s="203"/>
      <c r="EW385" s="203"/>
      <c r="EX385" s="203"/>
      <c r="EY385" s="203"/>
      <c r="EZ385" s="54">
        <f>+EZ273/EZ238</f>
        <v>0.23822067052869841</v>
      </c>
      <c r="FA385" s="203"/>
      <c r="FB385" s="203"/>
      <c r="FC385" s="203"/>
      <c r="FD385" s="203"/>
      <c r="FE385" s="54">
        <f>+FE273/FE238</f>
        <v>0.25411511533988196</v>
      </c>
      <c r="FF385" s="45"/>
      <c r="FG385" s="494"/>
      <c r="FH385" s="819"/>
      <c r="FI385" s="819"/>
      <c r="FJ385" s="819"/>
      <c r="FK385" s="45"/>
      <c r="FL385" s="1388"/>
      <c r="FM385"/>
      <c r="FN385"/>
      <c r="FO385"/>
      <c r="FP385"/>
      <c r="FQ385"/>
      <c r="FR385" s="1619"/>
      <c r="FS385" s="1619"/>
      <c r="FT385" s="205"/>
      <c r="FU385" s="205"/>
      <c r="FV385" s="205"/>
      <c r="FW385" s="205"/>
      <c r="FX385" s="205"/>
      <c r="FY385" s="205"/>
      <c r="FZ385" s="494"/>
      <c r="GA385"/>
      <c r="GB385"/>
      <c r="GC385"/>
      <c r="GD385"/>
      <c r="GE385"/>
      <c r="GF385"/>
      <c r="GG385"/>
      <c r="GH385"/>
      <c r="GI385"/>
      <c r="GJ385"/>
      <c r="GK385"/>
      <c r="GL385"/>
      <c r="GM385"/>
      <c r="GN385"/>
      <c r="GO385"/>
      <c r="GP385"/>
      <c r="GQ385"/>
      <c r="GR385"/>
      <c r="GS385"/>
      <c r="GT385"/>
      <c r="GU385"/>
      <c r="GV385"/>
      <c r="GW385"/>
      <c r="GX385"/>
      <c r="GY385"/>
      <c r="GZ385"/>
      <c r="HA385"/>
      <c r="HB385"/>
      <c r="HC385"/>
      <c r="HD385"/>
      <c r="HE385"/>
      <c r="HF385"/>
      <c r="HG385"/>
      <c r="HH385"/>
      <c r="HI385"/>
      <c r="HJ385"/>
      <c r="HK385"/>
      <c r="HL385"/>
      <c r="HM385"/>
      <c r="HN385"/>
      <c r="HO385"/>
      <c r="HP385"/>
      <c r="HQ385"/>
      <c r="HR385"/>
      <c r="HS385"/>
      <c r="HT385"/>
      <c r="HU385"/>
      <c r="HV385"/>
      <c r="HW385"/>
      <c r="HX385"/>
      <c r="HY385"/>
      <c r="HZ385"/>
      <c r="IA385"/>
      <c r="IB385"/>
      <c r="IC385"/>
      <c r="ID385"/>
      <c r="IE385"/>
      <c r="IF385"/>
      <c r="IG385"/>
      <c r="IH385"/>
      <c r="II385"/>
      <c r="IJ385"/>
      <c r="IK385"/>
      <c r="IL385"/>
      <c r="IM385"/>
      <c r="IN385"/>
      <c r="IO385"/>
      <c r="IP385"/>
      <c r="IQ385"/>
      <c r="IR385"/>
      <c r="IS385"/>
      <c r="IT385"/>
      <c r="IU385"/>
      <c r="IV385"/>
      <c r="IW385"/>
      <c r="IX385"/>
    </row>
    <row r="386" spans="1:258" s="45" customFormat="1" ht="12.75" customHeight="1" x14ac:dyDescent="0.2">
      <c r="A386" s="932" t="s">
        <v>196</v>
      </c>
      <c r="B386" s="933"/>
      <c r="C386" s="933"/>
      <c r="D386" s="933"/>
      <c r="E386" s="933"/>
      <c r="F386" s="924"/>
      <c r="G386" s="933"/>
      <c r="H386" s="933"/>
      <c r="I386" s="933"/>
      <c r="J386" s="933"/>
      <c r="K386" s="924"/>
      <c r="L386" s="934"/>
      <c r="M386" s="934"/>
      <c r="N386" s="934"/>
      <c r="O386" s="934"/>
      <c r="P386" s="924"/>
      <c r="Q386" s="934"/>
      <c r="R386" s="934"/>
      <c r="S386" s="934"/>
      <c r="T386" s="934"/>
      <c r="U386" s="924"/>
      <c r="V386" s="934"/>
      <c r="W386" s="934"/>
      <c r="X386" s="934"/>
      <c r="Y386" s="934"/>
      <c r="Z386" s="924"/>
      <c r="AA386" s="934"/>
      <c r="AB386" s="934"/>
      <c r="AC386" s="934"/>
      <c r="AD386" s="934"/>
      <c r="AE386" s="924"/>
      <c r="AF386" s="934"/>
      <c r="AG386" s="934"/>
      <c r="AH386" s="934"/>
      <c r="AI386" s="934"/>
      <c r="AJ386" s="924"/>
      <c r="AK386" s="934"/>
      <c r="AL386" s="934"/>
      <c r="AM386" s="934"/>
      <c r="AN386" s="934"/>
      <c r="AO386" s="924"/>
      <c r="AP386" s="934"/>
      <c r="AQ386" s="934"/>
      <c r="AR386" s="934"/>
      <c r="AS386" s="934"/>
      <c r="AT386" s="924"/>
      <c r="AU386" s="934"/>
      <c r="AV386" s="934"/>
      <c r="AW386" s="934"/>
      <c r="AX386" s="934"/>
      <c r="AY386" s="962"/>
      <c r="AZ386" s="963"/>
      <c r="BA386" s="963"/>
      <c r="BB386" s="963"/>
      <c r="BC386" s="963"/>
      <c r="BD386" s="962"/>
      <c r="BE386" s="963"/>
      <c r="BF386" s="963"/>
      <c r="BG386" s="963"/>
      <c r="BH386" s="963"/>
      <c r="BI386" s="962"/>
      <c r="BJ386" s="963"/>
      <c r="BK386" s="963"/>
      <c r="BL386" s="963"/>
      <c r="BM386" s="963"/>
      <c r="BN386" s="962"/>
      <c r="BO386" s="963"/>
      <c r="BP386" s="963"/>
      <c r="BQ386" s="963"/>
      <c r="BR386" s="963"/>
      <c r="BS386" s="962"/>
      <c r="BT386" s="963"/>
      <c r="BU386" s="963"/>
      <c r="BV386" s="963"/>
      <c r="BW386" s="963"/>
      <c r="BX386" s="962"/>
      <c r="BY386" s="963"/>
      <c r="BZ386" s="963"/>
      <c r="CA386" s="963"/>
      <c r="CB386" s="963"/>
      <c r="CC386" s="962"/>
      <c r="CD386" s="963"/>
      <c r="CE386" s="963"/>
      <c r="CF386" s="963"/>
      <c r="CG386" s="963"/>
      <c r="CH386" s="962"/>
      <c r="CI386" s="963"/>
      <c r="CJ386" s="963"/>
      <c r="CK386" s="963"/>
      <c r="CL386" s="963"/>
      <c r="CM386" s="962"/>
      <c r="CN386" s="963"/>
      <c r="CO386" s="963"/>
      <c r="CP386" s="963"/>
      <c r="CQ386" s="963"/>
      <c r="CR386" s="962"/>
      <c r="CS386" s="963"/>
      <c r="CT386" s="963"/>
      <c r="CU386" s="963"/>
      <c r="CV386" s="963"/>
      <c r="CW386" s="962"/>
      <c r="CX386" s="963"/>
      <c r="CY386" s="963"/>
      <c r="CZ386" s="963"/>
      <c r="DA386" s="963"/>
      <c r="DB386" s="962"/>
      <c r="DC386" s="963"/>
      <c r="DD386" s="963"/>
      <c r="DE386" s="963"/>
      <c r="DF386" s="963"/>
      <c r="DG386" s="962"/>
      <c r="DH386" s="963"/>
      <c r="DI386" s="963"/>
      <c r="DJ386" s="963"/>
      <c r="DK386" s="963"/>
      <c r="DL386" s="962"/>
      <c r="DM386" s="963"/>
      <c r="DN386" s="963"/>
      <c r="DO386" s="963"/>
      <c r="DP386" s="963"/>
      <c r="DQ386" s="962"/>
      <c r="DR386" s="963"/>
      <c r="DS386" s="963"/>
      <c r="DT386" s="963"/>
      <c r="DU386" s="963"/>
      <c r="DV386" s="962"/>
      <c r="DW386" s="963"/>
      <c r="DX386" s="963"/>
      <c r="DY386" s="963"/>
      <c r="DZ386" s="963"/>
      <c r="EA386" s="962"/>
      <c r="EB386" s="963"/>
      <c r="EC386" s="963"/>
      <c r="ED386" s="963"/>
      <c r="EE386" s="963"/>
      <c r="EF386" s="962"/>
      <c r="EG386" s="963"/>
      <c r="EH386" s="963"/>
      <c r="EI386" s="963"/>
      <c r="EJ386" s="963"/>
      <c r="EK386" s="962"/>
      <c r="EL386" s="963"/>
      <c r="EM386" s="963"/>
      <c r="EN386" s="963"/>
      <c r="EO386" s="963"/>
      <c r="EP386" s="962"/>
      <c r="EQ386" s="963"/>
      <c r="ER386" s="963"/>
      <c r="ES386" s="963"/>
      <c r="ET386" s="963"/>
      <c r="EU386" s="962"/>
      <c r="EV386" s="203"/>
      <c r="EW386" s="203"/>
      <c r="EX386" s="203"/>
      <c r="EY386" s="203"/>
      <c r="EZ386" s="962"/>
      <c r="FA386" s="203"/>
      <c r="FB386" s="203"/>
      <c r="FC386" s="203"/>
      <c r="FD386" s="203"/>
      <c r="FE386" s="962"/>
      <c r="FG386" s="494"/>
      <c r="FH386" s="819"/>
      <c r="FI386" s="819"/>
      <c r="FJ386" s="819"/>
      <c r="FL386" s="1388"/>
      <c r="FM386"/>
      <c r="FN386"/>
      <c r="FO386"/>
      <c r="FP386"/>
      <c r="FQ386"/>
      <c r="FR386" s="1619"/>
      <c r="FS386" s="1619"/>
      <c r="FT386" s="205"/>
      <c r="FU386" s="205"/>
      <c r="FV386" s="205"/>
      <c r="FW386" s="205"/>
      <c r="FX386" s="205"/>
      <c r="FY386" s="205"/>
      <c r="FZ386" s="494"/>
      <c r="GA386"/>
      <c r="GB386"/>
      <c r="GC386"/>
      <c r="GD386"/>
      <c r="GE386"/>
      <c r="GF386"/>
      <c r="GG386"/>
      <c r="GH386"/>
      <c r="GI386"/>
      <c r="GJ386"/>
      <c r="GK386"/>
      <c r="GL386"/>
      <c r="GM386"/>
      <c r="GN386"/>
      <c r="GO386"/>
      <c r="GP386"/>
      <c r="GQ386"/>
      <c r="GR386"/>
      <c r="GS386"/>
      <c r="GT386"/>
      <c r="GU386"/>
      <c r="GV386"/>
      <c r="GW386"/>
      <c r="GX386"/>
      <c r="GY386"/>
      <c r="GZ386"/>
      <c r="HA386"/>
      <c r="HB386"/>
      <c r="HC386"/>
      <c r="HD386"/>
      <c r="HE386"/>
      <c r="HF386"/>
      <c r="HG386"/>
      <c r="HH386"/>
      <c r="HI386"/>
      <c r="HJ386"/>
      <c r="HK386"/>
      <c r="HL386"/>
      <c r="HM386"/>
      <c r="HN386"/>
      <c r="HO386"/>
      <c r="HP386"/>
      <c r="HQ386"/>
      <c r="HR386"/>
      <c r="HS386"/>
      <c r="HT386"/>
      <c r="HU386"/>
      <c r="HV386"/>
      <c r="HW386"/>
      <c r="HX386"/>
      <c r="HY386"/>
      <c r="HZ386"/>
      <c r="IA386"/>
      <c r="IB386"/>
      <c r="IC386"/>
      <c r="ID386"/>
      <c r="IE386"/>
      <c r="IF386"/>
      <c r="IG386"/>
      <c r="IH386"/>
      <c r="II386"/>
      <c r="IJ386"/>
      <c r="IK386"/>
      <c r="IL386"/>
      <c r="IM386"/>
      <c r="IN386"/>
      <c r="IO386"/>
      <c r="IP386"/>
      <c r="IQ386"/>
      <c r="IR386"/>
      <c r="IS386"/>
      <c r="IT386"/>
      <c r="IU386"/>
      <c r="IV386"/>
      <c r="IW386"/>
      <c r="IX386"/>
    </row>
    <row r="387" spans="1:258" s="45" customFormat="1" ht="12.75" customHeight="1" x14ac:dyDescent="0.2">
      <c r="A387" s="959" t="s">
        <v>454</v>
      </c>
      <c r="B387" s="31"/>
      <c r="C387" s="31"/>
      <c r="D387" s="31"/>
      <c r="E387" s="31"/>
      <c r="F387" s="9"/>
      <c r="G387" s="31"/>
      <c r="H387" s="31"/>
      <c r="I387" s="31"/>
      <c r="J387" s="31"/>
      <c r="K387" s="9"/>
      <c r="L387" s="10"/>
      <c r="M387" s="10"/>
      <c r="N387" s="10"/>
      <c r="O387" s="10"/>
      <c r="P387" s="9"/>
      <c r="Q387" s="10"/>
      <c r="R387" s="10"/>
      <c r="S387" s="10"/>
      <c r="T387" s="10"/>
      <c r="U387" s="9"/>
      <c r="V387" s="10"/>
      <c r="W387" s="10"/>
      <c r="X387" s="10"/>
      <c r="Y387" s="10"/>
      <c r="Z387" s="9"/>
      <c r="AA387" s="10"/>
      <c r="AB387" s="10"/>
      <c r="AC387" s="10"/>
      <c r="AD387" s="10"/>
      <c r="AE387" s="9"/>
      <c r="AF387" s="10"/>
      <c r="AG387" s="10"/>
      <c r="AH387" s="10"/>
      <c r="AI387" s="10"/>
      <c r="AJ387" s="9"/>
      <c r="AK387" s="10"/>
      <c r="AL387" s="10"/>
      <c r="AM387" s="10"/>
      <c r="AN387" s="10"/>
      <c r="AO387" s="9"/>
      <c r="AP387" s="10"/>
      <c r="AQ387" s="10"/>
      <c r="AR387" s="10"/>
      <c r="AS387" s="10"/>
      <c r="AT387" s="9"/>
      <c r="AU387" s="10"/>
      <c r="AV387" s="10"/>
      <c r="AW387" s="10"/>
      <c r="AX387" s="10"/>
      <c r="AY387" s="964">
        <f t="shared" ref="AY387:CD387" si="1520">+AY5/AY$23</f>
        <v>0.30700836820083682</v>
      </c>
      <c r="AZ387" s="965">
        <f t="shared" si="1520"/>
        <v>0.27927321668909827</v>
      </c>
      <c r="BA387" s="965">
        <f t="shared" si="1520"/>
        <v>0.26403061224489793</v>
      </c>
      <c r="BB387" s="965">
        <f t="shared" si="1520"/>
        <v>0.25177111716621253</v>
      </c>
      <c r="BC387" s="965">
        <f t="shared" si="1520"/>
        <v>0.23806941431670281</v>
      </c>
      <c r="BD387" s="964">
        <f t="shared" si="1520"/>
        <v>0.25694341304024954</v>
      </c>
      <c r="BE387" s="965">
        <f t="shared" si="1520"/>
        <v>0.22523010286951814</v>
      </c>
      <c r="BF387" s="965">
        <f t="shared" si="1520"/>
        <v>0.23345884884346424</v>
      </c>
      <c r="BG387" s="965">
        <f t="shared" si="1520"/>
        <v>0.25205930807248766</v>
      </c>
      <c r="BH387" s="965">
        <f t="shared" si="1520"/>
        <v>0.24902289223897264</v>
      </c>
      <c r="BI387" s="964">
        <f t="shared" si="1520"/>
        <v>0.23981962284777261</v>
      </c>
      <c r="BJ387" s="965">
        <f t="shared" si="1520"/>
        <v>0.25606316976875354</v>
      </c>
      <c r="BK387" s="965">
        <f t="shared" si="1520"/>
        <v>0.25264329437952143</v>
      </c>
      <c r="BL387" s="965">
        <f t="shared" si="1520"/>
        <v>0.25028184892897409</v>
      </c>
      <c r="BM387" s="965">
        <f t="shared" si="1520"/>
        <v>0.25197294250281849</v>
      </c>
      <c r="BN387" s="964">
        <f t="shared" si="1520"/>
        <v>0.25273953357684742</v>
      </c>
      <c r="BO387" s="965">
        <f t="shared" si="1520"/>
        <v>0.23851590106007067</v>
      </c>
      <c r="BP387" s="965">
        <f t="shared" si="1520"/>
        <v>0.22596685082872928</v>
      </c>
      <c r="BQ387" s="965">
        <f t="shared" si="1520"/>
        <v>0.23013245033112584</v>
      </c>
      <c r="BR387" s="965">
        <f t="shared" si="1520"/>
        <v>0.233201581027668</v>
      </c>
      <c r="BS387" s="964">
        <f t="shared" si="1520"/>
        <v>0.23184318149767311</v>
      </c>
      <c r="BT387" s="965">
        <f t="shared" si="1520"/>
        <v>0.2202517162471396</v>
      </c>
      <c r="BU387" s="965">
        <f t="shared" si="1520"/>
        <v>0.22631293990254467</v>
      </c>
      <c r="BV387" s="965">
        <f t="shared" si="1520"/>
        <v>0.22405271828665568</v>
      </c>
      <c r="BW387" s="965">
        <f t="shared" si="1520"/>
        <v>0.22710230316014998</v>
      </c>
      <c r="BX387" s="964">
        <f t="shared" si="1520"/>
        <v>0.22449540024715089</v>
      </c>
      <c r="BY387" s="965">
        <f t="shared" si="1520"/>
        <v>0.23026315789473684</v>
      </c>
      <c r="BZ387" s="965">
        <f t="shared" si="1520"/>
        <v>0.22402938090241342</v>
      </c>
      <c r="CA387" s="965">
        <f t="shared" si="1520"/>
        <v>0.23280132085855806</v>
      </c>
      <c r="CB387" s="965">
        <f t="shared" si="1520"/>
        <v>0.23197175995965708</v>
      </c>
      <c r="CC387" s="964">
        <f t="shared" si="1520"/>
        <v>0.2297476759628154</v>
      </c>
      <c r="CD387" s="965">
        <f t="shared" si="1520"/>
        <v>0.24837310195227766</v>
      </c>
      <c r="CE387" s="965">
        <f t="shared" ref="CE387:DJ387" si="1521">+CE5/CE$23</f>
        <v>0.24558587479935795</v>
      </c>
      <c r="CF387" s="965">
        <f t="shared" si="1521"/>
        <v>0.24299065420560748</v>
      </c>
      <c r="CG387" s="965">
        <f t="shared" si="1521"/>
        <v>0.24752475247524752</v>
      </c>
      <c r="CH387" s="964">
        <f t="shared" si="1521"/>
        <v>0.24612244897959185</v>
      </c>
      <c r="CI387" s="965">
        <f t="shared" si="1521"/>
        <v>0.26067907995618839</v>
      </c>
      <c r="CJ387" s="965">
        <f t="shared" si="1521"/>
        <v>0.25133689839572193</v>
      </c>
      <c r="CK387" s="965">
        <f t="shared" si="1521"/>
        <v>0.25647948164146867</v>
      </c>
      <c r="CL387" s="965">
        <f t="shared" si="1521"/>
        <v>0.26022099447513813</v>
      </c>
      <c r="CM387" s="964">
        <f t="shared" si="1521"/>
        <v>0.25713509105735255</v>
      </c>
      <c r="CN387" s="965">
        <f t="shared" si="1521"/>
        <v>0.26324786324786326</v>
      </c>
      <c r="CO387" s="965">
        <f t="shared" si="1521"/>
        <v>0.25506294471811713</v>
      </c>
      <c r="CP387" s="965">
        <f t="shared" si="1521"/>
        <v>0.26226734348561759</v>
      </c>
      <c r="CQ387" s="965">
        <f t="shared" si="1521"/>
        <v>0.26632595116411129</v>
      </c>
      <c r="CR387" s="964">
        <f t="shared" si="1521"/>
        <v>0.261663856098932</v>
      </c>
      <c r="CS387" s="965">
        <f t="shared" si="1521"/>
        <v>0.26965637740244613</v>
      </c>
      <c r="CT387" s="965">
        <f t="shared" si="1521"/>
        <v>0.26873239436619717</v>
      </c>
      <c r="CU387" s="965">
        <f t="shared" si="1521"/>
        <v>0.2702078521939954</v>
      </c>
      <c r="CV387" s="965">
        <f t="shared" si="1521"/>
        <v>0.29382407985028075</v>
      </c>
      <c r="CW387" s="964">
        <f t="shared" si="1521"/>
        <v>0.27523070162589719</v>
      </c>
      <c r="CX387" s="965">
        <f t="shared" si="1521"/>
        <v>0.3037350246652572</v>
      </c>
      <c r="CY387" s="965">
        <f t="shared" si="1521"/>
        <v>0.26576895818568391</v>
      </c>
      <c r="CZ387" s="965">
        <f t="shared" si="1521"/>
        <v>0.26075085324232083</v>
      </c>
      <c r="DA387" s="965">
        <f t="shared" si="1521"/>
        <v>0.24365821094793058</v>
      </c>
      <c r="DB387" s="964">
        <f t="shared" si="1521"/>
        <v>0.26808216813395475</v>
      </c>
      <c r="DC387" s="965">
        <f t="shared" si="1521"/>
        <v>0.25100942126514131</v>
      </c>
      <c r="DD387" s="965">
        <f t="shared" si="1521"/>
        <v>0.25093867334167708</v>
      </c>
      <c r="DE387" s="965">
        <f t="shared" si="1521"/>
        <v>0.24362958359229334</v>
      </c>
      <c r="DF387" s="965">
        <f t="shared" si="1521"/>
        <v>0.24068598462448257</v>
      </c>
      <c r="DG387" s="964">
        <f t="shared" si="1521"/>
        <v>0.24639724310776942</v>
      </c>
      <c r="DH387" s="965">
        <f t="shared" si="1521"/>
        <v>0.24183417085427136</v>
      </c>
      <c r="DI387" s="965">
        <f t="shared" si="1521"/>
        <v>0.23572296476306198</v>
      </c>
      <c r="DJ387" s="965">
        <f t="shared" si="1521"/>
        <v>0.23841877702285361</v>
      </c>
      <c r="DK387" s="965">
        <f t="shared" ref="DK387:EI387" si="1522">+DK5/DK$23</f>
        <v>0.23100679431747992</v>
      </c>
      <c r="DL387" s="964">
        <f t="shared" si="1522"/>
        <v>0.23672019765287214</v>
      </c>
      <c r="DM387" s="965">
        <f t="shared" si="1522"/>
        <v>0.20661672908863921</v>
      </c>
      <c r="DN387" s="965">
        <f t="shared" si="1522"/>
        <v>0.20182926829268294</v>
      </c>
      <c r="DO387" s="965">
        <f t="shared" si="1522"/>
        <v>0.201875</v>
      </c>
      <c r="DP387" s="965">
        <f t="shared" si="1522"/>
        <v>0.19463943841735801</v>
      </c>
      <c r="DQ387" s="964">
        <f t="shared" si="1522"/>
        <v>0.20127945077235138</v>
      </c>
      <c r="DR387" s="965">
        <f t="shared" si="1522"/>
        <v>0.18697122982501793</v>
      </c>
      <c r="DS387" s="965">
        <f t="shared" si="1522"/>
        <v>0.18719806763285024</v>
      </c>
      <c r="DT387" s="965">
        <f t="shared" si="1522"/>
        <v>0.18198417528910529</v>
      </c>
      <c r="DU387" s="965">
        <f t="shared" si="1522"/>
        <v>0.17388688327316487</v>
      </c>
      <c r="DV387" s="964">
        <f t="shared" si="1522"/>
        <v>0.18244834080154942</v>
      </c>
      <c r="DW387" s="965">
        <f t="shared" si="1522"/>
        <v>0.18086419753086419</v>
      </c>
      <c r="DX387" s="965">
        <f t="shared" si="1522"/>
        <v>0.18528916339135318</v>
      </c>
      <c r="DY387" s="965">
        <f t="shared" si="1522"/>
        <v>0.18145620022753128</v>
      </c>
      <c r="DZ387" s="965">
        <f t="shared" si="1522"/>
        <v>0.18147791073555264</v>
      </c>
      <c r="EA387" s="964">
        <f t="shared" si="1522"/>
        <v>0.18230934804905882</v>
      </c>
      <c r="EB387" s="965">
        <f t="shared" si="1522"/>
        <v>0.176776790247304</v>
      </c>
      <c r="EC387" s="965">
        <f t="shared" si="1522"/>
        <v>0.16770892552586697</v>
      </c>
      <c r="ED387" s="965">
        <f t="shared" si="1522"/>
        <v>0.15245327102803738</v>
      </c>
      <c r="EE387" s="965">
        <f t="shared" si="1522"/>
        <v>0.13172205438066464</v>
      </c>
      <c r="EF387" s="964">
        <f t="shared" si="1522"/>
        <v>0.15722921593946307</v>
      </c>
      <c r="EG387" s="965">
        <f t="shared" si="1522"/>
        <v>0.12894906511927789</v>
      </c>
      <c r="EH387" s="965">
        <f t="shared" si="1522"/>
        <v>0.12225705329153605</v>
      </c>
      <c r="EI387" s="965">
        <f t="shared" si="1522"/>
        <v>0.13151207115628971</v>
      </c>
      <c r="EJ387" s="965">
        <f t="shared" ref="EJ387" si="1523">+EJ5/EJ$23</f>
        <v>0.13633737723859041</v>
      </c>
      <c r="EK387" s="964">
        <f>+EK5/EK$23</f>
        <v>0.12990234072236861</v>
      </c>
      <c r="EL387" s="965"/>
      <c r="EM387" s="965"/>
      <c r="EN387" s="965"/>
      <c r="EO387" s="965"/>
      <c r="EP387" s="964">
        <f>+EP5/EP$23</f>
        <v>0.13359375000000001</v>
      </c>
      <c r="EQ387" s="965"/>
      <c r="ER387" s="965"/>
      <c r="ES387" s="965"/>
      <c r="ET387" s="965"/>
      <c r="EU387" s="964">
        <f>+EU5/EU$23</f>
        <v>0.12754087047288626</v>
      </c>
      <c r="EV387" s="203"/>
      <c r="EW387" s="203"/>
      <c r="EX387" s="203"/>
      <c r="EY387" s="203"/>
      <c r="EZ387" s="964">
        <f>+EZ5/EZ$23</f>
        <v>0.11840532948871438</v>
      </c>
      <c r="FA387" s="203"/>
      <c r="FB387" s="203"/>
      <c r="FC387" s="203"/>
      <c r="FD387" s="203"/>
      <c r="FE387" s="964">
        <f>+FE5/FE$23</f>
        <v>0.10950324887549043</v>
      </c>
      <c r="FG387" s="494"/>
      <c r="FH387" s="819"/>
      <c r="FI387" s="819"/>
      <c r="FJ387" s="819"/>
      <c r="FL387" s="1388"/>
      <c r="FM387"/>
      <c r="FN387"/>
      <c r="FO387"/>
      <c r="FP387"/>
      <c r="FQ387"/>
      <c r="FR387" s="1619"/>
      <c r="FS387" s="1619"/>
      <c r="FT387" s="205"/>
      <c r="FU387" s="205"/>
      <c r="FV387" s="205"/>
      <c r="FW387" s="205"/>
      <c r="FX387" s="205"/>
      <c r="FY387" s="205"/>
      <c r="FZ387" s="494"/>
      <c r="GA387"/>
      <c r="GB387"/>
      <c r="GC387"/>
      <c r="GD387"/>
      <c r="GE387"/>
      <c r="GF387"/>
      <c r="GG387"/>
      <c r="GH387"/>
      <c r="GI387"/>
      <c r="GJ387"/>
      <c r="GK387"/>
      <c r="GL387"/>
      <c r="GM387"/>
      <c r="GN387"/>
      <c r="GO387"/>
      <c r="GP387"/>
      <c r="GQ387"/>
      <c r="GR387"/>
      <c r="GS387"/>
      <c r="GT387"/>
      <c r="GU387"/>
      <c r="GV387"/>
      <c r="GW387"/>
      <c r="GX387"/>
      <c r="GY387"/>
      <c r="GZ387"/>
      <c r="HA387"/>
      <c r="HB387"/>
      <c r="HC387"/>
      <c r="HD387"/>
      <c r="HE387"/>
      <c r="HF387"/>
      <c r="HG387"/>
      <c r="HH387"/>
      <c r="HI387"/>
      <c r="HJ387"/>
      <c r="HK387"/>
      <c r="HL387"/>
      <c r="HM387"/>
      <c r="HN387"/>
      <c r="HO387"/>
      <c r="HP387"/>
      <c r="HQ387"/>
      <c r="HR387"/>
      <c r="HS387"/>
      <c r="HT387"/>
      <c r="HU387"/>
      <c r="HV387"/>
      <c r="HW387"/>
      <c r="HX387"/>
      <c r="HY387"/>
      <c r="HZ387"/>
      <c r="IA387"/>
      <c r="IB387"/>
      <c r="IC387"/>
      <c r="ID387"/>
      <c r="IE387"/>
      <c r="IF387"/>
      <c r="IG387"/>
      <c r="IH387"/>
      <c r="II387"/>
      <c r="IJ387"/>
      <c r="IK387"/>
      <c r="IL387"/>
      <c r="IM387"/>
      <c r="IN387"/>
      <c r="IO387"/>
      <c r="IP387"/>
      <c r="IQ387"/>
      <c r="IR387"/>
      <c r="IS387"/>
      <c r="IT387"/>
      <c r="IU387"/>
      <c r="IV387"/>
      <c r="IW387"/>
      <c r="IX387"/>
    </row>
    <row r="388" spans="1:258" s="45" customFormat="1" ht="12.75" customHeight="1" x14ac:dyDescent="0.2">
      <c r="A388" s="959" t="s">
        <v>455</v>
      </c>
      <c r="B388" s="31"/>
      <c r="C388" s="31"/>
      <c r="D388" s="31"/>
      <c r="E388" s="31"/>
      <c r="F388" s="9"/>
      <c r="G388" s="31"/>
      <c r="H388" s="31"/>
      <c r="I388" s="31"/>
      <c r="J388" s="31"/>
      <c r="K388" s="9"/>
      <c r="L388" s="10"/>
      <c r="M388" s="10"/>
      <c r="N388" s="10"/>
      <c r="O388" s="10"/>
      <c r="P388" s="9"/>
      <c r="Q388" s="10"/>
      <c r="R388" s="10"/>
      <c r="S388" s="10"/>
      <c r="T388" s="10"/>
      <c r="U388" s="9"/>
      <c r="V388" s="10"/>
      <c r="W388" s="10"/>
      <c r="X388" s="10"/>
      <c r="Y388" s="10"/>
      <c r="Z388" s="9"/>
      <c r="AA388" s="10"/>
      <c r="AB388" s="10"/>
      <c r="AC388" s="10"/>
      <c r="AD388" s="10"/>
      <c r="AE388" s="9"/>
      <c r="AF388" s="10"/>
      <c r="AG388" s="10"/>
      <c r="AH388" s="10"/>
      <c r="AI388" s="10"/>
      <c r="AJ388" s="9"/>
      <c r="AK388" s="10"/>
      <c r="AL388" s="10"/>
      <c r="AM388" s="10"/>
      <c r="AN388" s="10"/>
      <c r="AO388" s="9"/>
      <c r="AP388" s="10"/>
      <c r="AQ388" s="10"/>
      <c r="AR388" s="10"/>
      <c r="AS388" s="10"/>
      <c r="AT388" s="9"/>
      <c r="AU388" s="10"/>
      <c r="AV388" s="10"/>
      <c r="AW388" s="10"/>
      <c r="AX388" s="10"/>
      <c r="AY388" s="964">
        <f t="shared" ref="AY388:CD388" si="1524">+AY6/AY$23</f>
        <v>0.18148535564853557</v>
      </c>
      <c r="AZ388" s="965">
        <f t="shared" si="1524"/>
        <v>0.1857335127860027</v>
      </c>
      <c r="BA388" s="965">
        <f t="shared" si="1524"/>
        <v>0.22066326530612246</v>
      </c>
      <c r="BB388" s="965">
        <f t="shared" si="1524"/>
        <v>0.27465940054495913</v>
      </c>
      <c r="BC388" s="965">
        <f t="shared" si="1524"/>
        <v>0.28145336225596529</v>
      </c>
      <c r="BD388" s="964">
        <f t="shared" si="1524"/>
        <v>0.2443190256943413</v>
      </c>
      <c r="BE388" s="965">
        <f t="shared" si="1524"/>
        <v>0.2858689767190038</v>
      </c>
      <c r="BF388" s="965">
        <f t="shared" si="1524"/>
        <v>0.27918235610543302</v>
      </c>
      <c r="BG388" s="965">
        <f t="shared" si="1524"/>
        <v>0.27896760021965955</v>
      </c>
      <c r="BH388" s="965">
        <f t="shared" si="1524"/>
        <v>0.27749860413176997</v>
      </c>
      <c r="BI388" s="964">
        <f t="shared" si="1524"/>
        <v>0.28040448209893415</v>
      </c>
      <c r="BJ388" s="965">
        <f t="shared" si="1524"/>
        <v>0.27129159616469262</v>
      </c>
      <c r="BK388" s="965">
        <f t="shared" si="1524"/>
        <v>0.27657206455203115</v>
      </c>
      <c r="BL388" s="965">
        <f t="shared" si="1524"/>
        <v>0.29143179255918827</v>
      </c>
      <c r="BM388" s="965">
        <f t="shared" si="1524"/>
        <v>0.28692220969560317</v>
      </c>
      <c r="BN388" s="964">
        <f t="shared" si="1524"/>
        <v>0.28153975835908962</v>
      </c>
      <c r="BO388" s="965">
        <f t="shared" si="1524"/>
        <v>0.28327444051825679</v>
      </c>
      <c r="BP388" s="965">
        <f t="shared" si="1524"/>
        <v>0.29668508287292816</v>
      </c>
      <c r="BQ388" s="965">
        <f t="shared" si="1524"/>
        <v>0.31236203090507725</v>
      </c>
      <c r="BR388" s="965">
        <f t="shared" si="1524"/>
        <v>0.30208921513269338</v>
      </c>
      <c r="BS388" s="964">
        <f t="shared" si="1524"/>
        <v>0.2988295021858694</v>
      </c>
      <c r="BT388" s="965">
        <f t="shared" si="1524"/>
        <v>0.3009153318077803</v>
      </c>
      <c r="BU388" s="965">
        <f t="shared" si="1524"/>
        <v>0.30590146182999456</v>
      </c>
      <c r="BV388" s="965">
        <f t="shared" si="1524"/>
        <v>0.30971993410214166</v>
      </c>
      <c r="BW388" s="965">
        <f t="shared" si="1524"/>
        <v>0.30798071772897695</v>
      </c>
      <c r="BX388" s="964">
        <f t="shared" si="1524"/>
        <v>0.30619250308938623</v>
      </c>
      <c r="BY388" s="965">
        <f t="shared" si="1524"/>
        <v>0.30098684210526316</v>
      </c>
      <c r="BZ388" s="965">
        <f t="shared" si="1524"/>
        <v>0.30902413431269676</v>
      </c>
      <c r="CA388" s="965">
        <f t="shared" si="1524"/>
        <v>0.3076499724821134</v>
      </c>
      <c r="CB388" s="965">
        <f t="shared" si="1524"/>
        <v>0.30711043872919819</v>
      </c>
      <c r="CC388" s="964">
        <f t="shared" si="1524"/>
        <v>0.30624169986719785</v>
      </c>
      <c r="CD388" s="965">
        <f t="shared" si="1524"/>
        <v>0.28633405639913234</v>
      </c>
      <c r="CE388" s="965">
        <f t="shared" ref="CE388:DJ388" si="1525">+CE6/CE$23</f>
        <v>0.29052969502407705</v>
      </c>
      <c r="CF388" s="965">
        <f t="shared" si="1525"/>
        <v>0.29906542056074764</v>
      </c>
      <c r="CG388" s="965">
        <f t="shared" si="1525"/>
        <v>0.30253025302530251</v>
      </c>
      <c r="CH388" s="964">
        <f t="shared" si="1525"/>
        <v>0.29455782312925172</v>
      </c>
      <c r="CI388" s="965">
        <f t="shared" si="1525"/>
        <v>0.28258488499452356</v>
      </c>
      <c r="CJ388" s="965">
        <f t="shared" si="1525"/>
        <v>0.29251336898395724</v>
      </c>
      <c r="CK388" s="965">
        <f t="shared" si="1525"/>
        <v>0.30453563714902809</v>
      </c>
      <c r="CL388" s="965">
        <f t="shared" si="1525"/>
        <v>0.30497237569060776</v>
      </c>
      <c r="CM388" s="964">
        <f t="shared" si="1525"/>
        <v>0.29614025550421308</v>
      </c>
      <c r="CN388" s="965">
        <f t="shared" si="1525"/>
        <v>0.29002849002849002</v>
      </c>
      <c r="CO388" s="965">
        <f t="shared" si="1525"/>
        <v>0.2950191570881226</v>
      </c>
      <c r="CP388" s="965">
        <f t="shared" si="1525"/>
        <v>0.29892836999435984</v>
      </c>
      <c r="CQ388" s="965">
        <f t="shared" si="1525"/>
        <v>0.30266893810335038</v>
      </c>
      <c r="CR388" s="964">
        <f t="shared" si="1525"/>
        <v>0.29665542439572795</v>
      </c>
      <c r="CS388" s="965">
        <f t="shared" si="1525"/>
        <v>0.29586488060570765</v>
      </c>
      <c r="CT388" s="965">
        <f t="shared" si="1525"/>
        <v>0.29859154929577464</v>
      </c>
      <c r="CU388" s="965">
        <f t="shared" si="1525"/>
        <v>0.30715935334872979</v>
      </c>
      <c r="CV388" s="965">
        <f t="shared" si="1525"/>
        <v>0.31129132875857768</v>
      </c>
      <c r="CW388" s="964">
        <f t="shared" si="1525"/>
        <v>0.3030613739563498</v>
      </c>
      <c r="CX388" s="965">
        <f t="shared" si="1525"/>
        <v>0.31007751937984496</v>
      </c>
      <c r="CY388" s="965">
        <f t="shared" si="1525"/>
        <v>0.32388377037562011</v>
      </c>
      <c r="CZ388" s="965">
        <f t="shared" si="1525"/>
        <v>0.32832764505119455</v>
      </c>
      <c r="DA388" s="965">
        <f t="shared" si="1525"/>
        <v>0.34979973297730305</v>
      </c>
      <c r="DB388" s="964">
        <f t="shared" si="1525"/>
        <v>0.32832729155877782</v>
      </c>
      <c r="DC388" s="965">
        <f t="shared" si="1525"/>
        <v>0.3364737550471063</v>
      </c>
      <c r="DD388" s="965">
        <f t="shared" si="1525"/>
        <v>0.33667083854818525</v>
      </c>
      <c r="DE388" s="965">
        <f t="shared" si="1525"/>
        <v>0.3567433188315724</v>
      </c>
      <c r="DF388" s="965">
        <f t="shared" si="1525"/>
        <v>0.36132465996451801</v>
      </c>
      <c r="DG388" s="964">
        <f t="shared" si="1525"/>
        <v>0.3482142857142857</v>
      </c>
      <c r="DH388" s="965">
        <f t="shared" si="1525"/>
        <v>0.34736180904522612</v>
      </c>
      <c r="DI388" s="965">
        <f t="shared" si="1525"/>
        <v>0.35297691373025514</v>
      </c>
      <c r="DJ388" s="965">
        <f t="shared" si="1525"/>
        <v>0.355775169857937</v>
      </c>
      <c r="DK388" s="965">
        <f t="shared" ref="DK388:EI388" si="1526">+DK6/DK$23</f>
        <v>0.3576281655342804</v>
      </c>
      <c r="DL388" s="964">
        <f t="shared" si="1526"/>
        <v>0.35345892526250772</v>
      </c>
      <c r="DM388" s="965">
        <f t="shared" si="1526"/>
        <v>0.37453183520599254</v>
      </c>
      <c r="DN388" s="965">
        <f t="shared" si="1526"/>
        <v>0.38353658536585367</v>
      </c>
      <c r="DO388" s="965">
        <f t="shared" si="1526"/>
        <v>0.38874999999999998</v>
      </c>
      <c r="DP388" s="965">
        <f t="shared" si="1526"/>
        <v>0.38289725590299939</v>
      </c>
      <c r="DQ388" s="964">
        <f t="shared" si="1526"/>
        <v>0.38243095646746761</v>
      </c>
      <c r="DR388" s="965">
        <f t="shared" si="1526"/>
        <v>0.39032997162967525</v>
      </c>
      <c r="DS388" s="965">
        <f t="shared" si="1526"/>
        <v>0.3888888888888889</v>
      </c>
      <c r="DT388" s="965">
        <f t="shared" si="1526"/>
        <v>0.3998782714546561</v>
      </c>
      <c r="DU388" s="965">
        <f t="shared" si="1526"/>
        <v>0.4007220216606498</v>
      </c>
      <c r="DV388" s="964">
        <f t="shared" si="1526"/>
        <v>0.39500718264416157</v>
      </c>
      <c r="DW388" s="965">
        <f t="shared" si="1526"/>
        <v>0.39938271604938269</v>
      </c>
      <c r="DX388" s="965">
        <f t="shared" si="1526"/>
        <v>0.38798427849522737</v>
      </c>
      <c r="DY388" s="965">
        <f t="shared" si="1526"/>
        <v>0.3930602957906712</v>
      </c>
      <c r="DZ388" s="965">
        <f t="shared" si="1526"/>
        <v>0.39658594680428744</v>
      </c>
      <c r="EA388" s="964">
        <f t="shared" si="1526"/>
        <v>0.39413200814758104</v>
      </c>
      <c r="EB388" s="965">
        <f t="shared" si="1526"/>
        <v>0.40065327893420111</v>
      </c>
      <c r="EC388" s="965">
        <f t="shared" si="1526"/>
        <v>0.41102899374644686</v>
      </c>
      <c r="ED388" s="965">
        <f t="shared" si="1526"/>
        <v>0.4269859813084112</v>
      </c>
      <c r="EE388" s="965">
        <f t="shared" si="1526"/>
        <v>0.44048338368580059</v>
      </c>
      <c r="EF388" s="964">
        <f t="shared" si="1526"/>
        <v>0.41977094528334541</v>
      </c>
      <c r="EG388" s="965">
        <f t="shared" si="1526"/>
        <v>0.43713733075435202</v>
      </c>
      <c r="EH388" s="965">
        <f t="shared" si="1526"/>
        <v>0.43510971786833857</v>
      </c>
      <c r="EI388" s="965">
        <f t="shared" si="1526"/>
        <v>0.43265565438373571</v>
      </c>
      <c r="EJ388" s="965">
        <f t="shared" ref="EJ388" si="1527">+EJ6/EJ$23</f>
        <v>0.43789716926632005</v>
      </c>
      <c r="EK388" s="964">
        <f>+EK6/EK$23</f>
        <v>0.43574639590761122</v>
      </c>
      <c r="EL388" s="965"/>
      <c r="EM388" s="965"/>
      <c r="EN388" s="965"/>
      <c r="EO388" s="965"/>
      <c r="EP388" s="964">
        <f>+EP6/EP$23</f>
        <v>0.44421875</v>
      </c>
      <c r="EQ388" s="965"/>
      <c r="ER388" s="965"/>
      <c r="ES388" s="965"/>
      <c r="ET388" s="965"/>
      <c r="EU388" s="964">
        <f>+EU6/EU$23</f>
        <v>0.45837653104615367</v>
      </c>
      <c r="EV388" s="203"/>
      <c r="EW388" s="203"/>
      <c r="EX388" s="203"/>
      <c r="EY388" s="203"/>
      <c r="EZ388" s="964">
        <f>+EZ6/EZ$23</f>
        <v>0.47081439543918263</v>
      </c>
      <c r="FA388" s="203"/>
      <c r="FB388" s="203"/>
      <c r="FC388" s="203"/>
      <c r="FD388" s="203"/>
      <c r="FE388" s="964">
        <f>+FE6/FE$23</f>
        <v>0.48173807488213971</v>
      </c>
      <c r="FG388" s="494"/>
      <c r="FH388" s="819"/>
      <c r="FI388" s="819"/>
      <c r="FJ388" s="819"/>
      <c r="FL388" s="1388"/>
      <c r="FM388"/>
      <c r="FN388"/>
      <c r="FO388"/>
      <c r="FP388"/>
      <c r="FQ388"/>
      <c r="FR388" s="1619"/>
      <c r="FS388" s="1619"/>
      <c r="FT388" s="205"/>
      <c r="FU388" s="205"/>
      <c r="FV388" s="205"/>
      <c r="FW388" s="205"/>
      <c r="FX388" s="205"/>
      <c r="FY388" s="205"/>
      <c r="FZ388" s="494"/>
      <c r="GA388"/>
      <c r="GB388"/>
      <c r="GC388"/>
      <c r="GD388"/>
      <c r="GE388"/>
      <c r="GF388"/>
      <c r="GG388"/>
      <c r="GH388"/>
      <c r="GI388"/>
      <c r="GJ388"/>
      <c r="GK388"/>
      <c r="GL388"/>
      <c r="GM388"/>
      <c r="GN388"/>
      <c r="GO388"/>
      <c r="GP388"/>
      <c r="GQ388"/>
      <c r="GR388"/>
      <c r="GS388"/>
      <c r="GT388"/>
      <c r="GU388"/>
      <c r="GV388"/>
      <c r="GW388"/>
      <c r="GX388"/>
      <c r="GY388"/>
      <c r="GZ388"/>
      <c r="HA388"/>
      <c r="HB388"/>
      <c r="HC388"/>
      <c r="HD388"/>
      <c r="HE388"/>
      <c r="HF388"/>
      <c r="HG388"/>
      <c r="HH388"/>
      <c r="HI388"/>
      <c r="HJ388"/>
      <c r="HK388"/>
      <c r="HL388"/>
      <c r="HM388"/>
      <c r="HN388"/>
      <c r="HO388"/>
      <c r="HP388"/>
      <c r="HQ388"/>
      <c r="HR388"/>
      <c r="HS388"/>
      <c r="HT388"/>
      <c r="HU388"/>
      <c r="HV388"/>
      <c r="HW388"/>
      <c r="HX388"/>
      <c r="HY388"/>
      <c r="HZ388"/>
      <c r="IA388"/>
      <c r="IB388"/>
      <c r="IC388"/>
      <c r="ID388"/>
      <c r="IE388"/>
      <c r="IF388"/>
      <c r="IG388"/>
      <c r="IH388"/>
      <c r="II388"/>
      <c r="IJ388"/>
      <c r="IK388"/>
      <c r="IL388"/>
      <c r="IM388"/>
      <c r="IN388"/>
      <c r="IO388"/>
      <c r="IP388"/>
      <c r="IQ388"/>
      <c r="IR388"/>
      <c r="IS388"/>
      <c r="IT388"/>
      <c r="IU388"/>
      <c r="IV388"/>
      <c r="IW388"/>
      <c r="IX388"/>
    </row>
    <row r="389" spans="1:258" s="45" customFormat="1" ht="12.75" customHeight="1" x14ac:dyDescent="0.2">
      <c r="A389" s="959" t="s">
        <v>156</v>
      </c>
      <c r="B389" s="31"/>
      <c r="C389" s="31"/>
      <c r="D389" s="31"/>
      <c r="E389" s="31"/>
      <c r="F389" s="9"/>
      <c r="G389" s="31"/>
      <c r="H389" s="31"/>
      <c r="I389" s="31"/>
      <c r="J389" s="31"/>
      <c r="K389" s="9"/>
      <c r="L389" s="10"/>
      <c r="M389" s="10"/>
      <c r="N389" s="10"/>
      <c r="O389" s="10"/>
      <c r="P389" s="9"/>
      <c r="Q389" s="10"/>
      <c r="R389" s="10"/>
      <c r="S389" s="10"/>
      <c r="T389" s="10"/>
      <c r="U389" s="9"/>
      <c r="V389" s="10"/>
      <c r="W389" s="10"/>
      <c r="X389" s="10"/>
      <c r="Y389" s="10"/>
      <c r="Z389" s="9"/>
      <c r="AA389" s="10"/>
      <c r="AB389" s="10"/>
      <c r="AC389" s="10"/>
      <c r="AD389" s="10"/>
      <c r="AE389" s="9"/>
      <c r="AF389" s="10"/>
      <c r="AG389" s="10"/>
      <c r="AH389" s="10"/>
      <c r="AI389" s="10"/>
      <c r="AJ389" s="9"/>
      <c r="AK389" s="10"/>
      <c r="AL389" s="10"/>
      <c r="AM389" s="10"/>
      <c r="AN389" s="10"/>
      <c r="AO389" s="9"/>
      <c r="AP389" s="10"/>
      <c r="AQ389" s="10"/>
      <c r="AR389" s="10"/>
      <c r="AS389" s="10"/>
      <c r="AT389" s="9"/>
      <c r="AU389" s="10"/>
      <c r="AV389" s="10"/>
      <c r="AW389" s="10"/>
      <c r="AX389" s="10"/>
      <c r="AY389" s="964">
        <f t="shared" ref="AY389:CD389" si="1528">+AY8/AY$23</f>
        <v>4.8291492329149234E-2</v>
      </c>
      <c r="AZ389" s="965">
        <f t="shared" si="1528"/>
        <v>5.1144010767160158E-2</v>
      </c>
      <c r="BA389" s="965">
        <f t="shared" si="1528"/>
        <v>4.6556122448979595E-2</v>
      </c>
      <c r="BB389" s="965">
        <f t="shared" si="1528"/>
        <v>4.5776566757493191E-2</v>
      </c>
      <c r="BC389" s="965">
        <f t="shared" si="1528"/>
        <v>5.0433839479392624E-2</v>
      </c>
      <c r="BD389" s="964">
        <f t="shared" si="1528"/>
        <v>4.8418238526659739E-2</v>
      </c>
      <c r="BE389" s="965">
        <f t="shared" si="1528"/>
        <v>4.981050351922036E-2</v>
      </c>
      <c r="BF389" s="965">
        <f t="shared" si="1528"/>
        <v>4.6799354491662185E-2</v>
      </c>
      <c r="BG389" s="965">
        <f t="shared" si="1528"/>
        <v>4.7226798462383306E-2</v>
      </c>
      <c r="BH389" s="965">
        <f t="shared" si="1528"/>
        <v>5.3601340033500838E-2</v>
      </c>
      <c r="BI389" s="964">
        <f t="shared" si="1528"/>
        <v>4.9330418147034712E-2</v>
      </c>
      <c r="BJ389" s="965">
        <f t="shared" si="1528"/>
        <v>5.640157924421884E-2</v>
      </c>
      <c r="BK389" s="965">
        <f t="shared" si="1528"/>
        <v>5.1196438508625486E-2</v>
      </c>
      <c r="BL389" s="965">
        <f t="shared" si="1528"/>
        <v>4.96054114994363E-2</v>
      </c>
      <c r="BM389" s="965">
        <f t="shared" si="1528"/>
        <v>5.1860202931228859E-2</v>
      </c>
      <c r="BN389" s="964">
        <f t="shared" si="1528"/>
        <v>5.2261871312166336E-2</v>
      </c>
      <c r="BO389" s="965">
        <f t="shared" si="1528"/>
        <v>5.4770318021201414E-2</v>
      </c>
      <c r="BP389" s="965">
        <f t="shared" si="1528"/>
        <v>4.861878453038674E-2</v>
      </c>
      <c r="BQ389" s="965">
        <f t="shared" si="1528"/>
        <v>4.8013245033112585E-2</v>
      </c>
      <c r="BR389" s="965">
        <f t="shared" si="1528"/>
        <v>5.2512704686617728E-2</v>
      </c>
      <c r="BS389" s="964">
        <f t="shared" si="1528"/>
        <v>5.090960372302919E-2</v>
      </c>
      <c r="BT389" s="965">
        <f t="shared" si="1528"/>
        <v>5.205949656750572E-2</v>
      </c>
      <c r="BU389" s="965">
        <f t="shared" si="1528"/>
        <v>4.8186247969680567E-2</v>
      </c>
      <c r="BV389" s="965">
        <f t="shared" si="1528"/>
        <v>4.832509610104338E-2</v>
      </c>
      <c r="BW389" s="965">
        <f t="shared" si="1528"/>
        <v>5.0883770755222282E-2</v>
      </c>
      <c r="BX389" s="964">
        <f t="shared" si="1528"/>
        <v>4.9842098036523411E-2</v>
      </c>
      <c r="BY389" s="965">
        <f t="shared" si="1528"/>
        <v>5.0438596491228067E-2</v>
      </c>
      <c r="BZ389" s="965">
        <f t="shared" si="1528"/>
        <v>4.6694648478488983E-2</v>
      </c>
      <c r="CA389" s="965">
        <f t="shared" si="1528"/>
        <v>4.5129334067143645E-2</v>
      </c>
      <c r="CB389" s="965">
        <f t="shared" si="1528"/>
        <v>4.6898638426626324E-2</v>
      </c>
      <c r="CC389" s="964">
        <f t="shared" si="1528"/>
        <v>4.7277556440903055E-2</v>
      </c>
      <c r="CD389" s="965">
        <f t="shared" si="1528"/>
        <v>4.9891540130151846E-2</v>
      </c>
      <c r="CE389" s="965">
        <f t="shared" ref="CE389:DJ389" si="1529">+CE8/CE$23</f>
        <v>4.6548956661316213E-2</v>
      </c>
      <c r="CF389" s="965">
        <f t="shared" si="1529"/>
        <v>4.8378229796591531E-2</v>
      </c>
      <c r="CG389" s="965">
        <f t="shared" si="1529"/>
        <v>4.9504950495049507E-2</v>
      </c>
      <c r="CH389" s="964">
        <f t="shared" si="1529"/>
        <v>4.8571428571428571E-2</v>
      </c>
      <c r="CI389" s="965">
        <f t="shared" si="1529"/>
        <v>5.257393209200438E-2</v>
      </c>
      <c r="CJ389" s="965">
        <f t="shared" si="1529"/>
        <v>5.1336898395721926E-2</v>
      </c>
      <c r="CK389" s="965">
        <f t="shared" si="1529"/>
        <v>5.5075593952483799E-2</v>
      </c>
      <c r="CL389" s="965">
        <f t="shared" si="1529"/>
        <v>5.6906077348066297E-2</v>
      </c>
      <c r="CM389" s="964">
        <f t="shared" si="1529"/>
        <v>5.3954879043218266E-2</v>
      </c>
      <c r="CN389" s="965">
        <f t="shared" si="1529"/>
        <v>5.5270655270655271E-2</v>
      </c>
      <c r="CO389" s="965">
        <f t="shared" si="1529"/>
        <v>5.6376573617952931E-2</v>
      </c>
      <c r="CP389" s="965">
        <f t="shared" si="1529"/>
        <v>5.6965595036661029E-2</v>
      </c>
      <c r="CQ389" s="965">
        <f t="shared" si="1529"/>
        <v>6.1896649630891538E-2</v>
      </c>
      <c r="CR389" s="964">
        <f t="shared" si="1529"/>
        <v>5.7616638560989322E-2</v>
      </c>
      <c r="CS389" s="965">
        <f t="shared" si="1529"/>
        <v>6.3482818870122304E-2</v>
      </c>
      <c r="CT389" s="965">
        <f t="shared" si="1529"/>
        <v>6.0845070422535209E-2</v>
      </c>
      <c r="CU389" s="965">
        <f t="shared" si="1529"/>
        <v>6.1200923787528866E-2</v>
      </c>
      <c r="CV389" s="965">
        <f t="shared" si="1529"/>
        <v>6.799750467872738E-2</v>
      </c>
      <c r="CW389" s="964">
        <f t="shared" si="1529"/>
        <v>6.3278160246081738E-2</v>
      </c>
      <c r="CX389" s="965">
        <f t="shared" si="1529"/>
        <v>7.6814658210007047E-2</v>
      </c>
      <c r="CY389" s="965">
        <f t="shared" si="1529"/>
        <v>7.5124025513819984E-2</v>
      </c>
      <c r="CZ389" s="965">
        <f t="shared" si="1529"/>
        <v>6.8941979522184296E-2</v>
      </c>
      <c r="DA389" s="965">
        <f t="shared" si="1529"/>
        <v>7.476635514018691E-2</v>
      </c>
      <c r="DB389" s="964">
        <f t="shared" si="1529"/>
        <v>7.3882271707232869E-2</v>
      </c>
      <c r="DC389" s="965">
        <f t="shared" si="1529"/>
        <v>7.6716016150740238E-2</v>
      </c>
      <c r="DD389" s="965">
        <f t="shared" si="1529"/>
        <v>6.6958698372966211E-2</v>
      </c>
      <c r="DE389" s="965">
        <f t="shared" si="1529"/>
        <v>6.463642013673089E-2</v>
      </c>
      <c r="DF389" s="965">
        <f t="shared" si="1529"/>
        <v>7.1555292726197511E-2</v>
      </c>
      <c r="DG389" s="964">
        <f t="shared" si="1529"/>
        <v>6.9862155388471181E-2</v>
      </c>
      <c r="DH389" s="965">
        <f t="shared" si="1529"/>
        <v>6.846733668341709E-2</v>
      </c>
      <c r="DI389" s="965">
        <f t="shared" si="1529"/>
        <v>6.6221142162818949E-2</v>
      </c>
      <c r="DJ389" s="965">
        <f t="shared" si="1529"/>
        <v>5.92958616429895E-2</v>
      </c>
      <c r="DK389" s="965">
        <f t="shared" ref="DK389:EI389" si="1530">+DK8/DK$23</f>
        <v>6.7943174799258807E-2</v>
      </c>
      <c r="DL389" s="964">
        <f t="shared" si="1530"/>
        <v>6.5472513897467569E-2</v>
      </c>
      <c r="DM389" s="965">
        <f t="shared" si="1530"/>
        <v>6.741573033707865E-2</v>
      </c>
      <c r="DN389" s="965">
        <f t="shared" si="1530"/>
        <v>6.1585365853658536E-2</v>
      </c>
      <c r="DO389" s="965">
        <f t="shared" si="1530"/>
        <v>5.5E-2</v>
      </c>
      <c r="DP389" s="965">
        <f t="shared" si="1530"/>
        <v>6.1901723037651561E-2</v>
      </c>
      <c r="DQ389" s="964">
        <f t="shared" si="1530"/>
        <v>6.1476049305663909E-2</v>
      </c>
      <c r="DR389" s="965">
        <f t="shared" si="1530"/>
        <v>6.0294873666372602E-2</v>
      </c>
      <c r="DS389" s="965">
        <f t="shared" si="1530"/>
        <v>5.7367149758454104E-2</v>
      </c>
      <c r="DT389" s="965">
        <f t="shared" si="1530"/>
        <v>5.2951917224589168E-2</v>
      </c>
      <c r="DU389" s="965">
        <f t="shared" si="1530"/>
        <v>6.7990373044524668E-2</v>
      </c>
      <c r="DV389" s="964">
        <f t="shared" si="1530"/>
        <v>5.9664136805276144E-2</v>
      </c>
      <c r="DW389" s="965">
        <f t="shared" si="1530"/>
        <v>7.9629629629629634E-2</v>
      </c>
      <c r="DX389" s="965">
        <f t="shared" si="1530"/>
        <v>7.2992700729927001E-2</v>
      </c>
      <c r="DY389" s="965">
        <f t="shared" si="1530"/>
        <v>6.882821387940842E-2</v>
      </c>
      <c r="DZ389" s="965">
        <f t="shared" si="1530"/>
        <v>7.5426756649464063E-2</v>
      </c>
      <c r="EA389" s="964">
        <f t="shared" si="1530"/>
        <v>7.4108316599973995E-2</v>
      </c>
      <c r="EB389" s="965">
        <f t="shared" si="1530"/>
        <v>8.0742340182159617E-2</v>
      </c>
      <c r="EC389" s="965">
        <f t="shared" si="1530"/>
        <v>7.1063104036384314E-2</v>
      </c>
      <c r="ED389" s="965">
        <f t="shared" si="1530"/>
        <v>7.0677570093457945E-2</v>
      </c>
      <c r="EE389" s="965">
        <f t="shared" si="1530"/>
        <v>7.5528700906344406E-2</v>
      </c>
      <c r="EF389" s="964">
        <f t="shared" si="1530"/>
        <v>7.439914921688609E-2</v>
      </c>
      <c r="EG389" s="965">
        <f t="shared" si="1530"/>
        <v>7.8014184397163122E-2</v>
      </c>
      <c r="EH389" s="965">
        <f t="shared" si="1530"/>
        <v>7.2727272727272724E-2</v>
      </c>
      <c r="EI389" s="965">
        <f t="shared" si="1530"/>
        <v>6.9250317662007621E-2</v>
      </c>
      <c r="EJ389" s="965">
        <f t="shared" ref="EJ389" si="1531">+EJ8/EJ$23</f>
        <v>7.5678798382437892E-2</v>
      </c>
      <c r="EK389" s="964">
        <f>+EK8/EK$23</f>
        <v>7.3942024492326772E-2</v>
      </c>
      <c r="EL389" s="965"/>
      <c r="EM389" s="965"/>
      <c r="EN389" s="965"/>
      <c r="EO389" s="965"/>
      <c r="EP389" s="964">
        <f>+EP8/EP$23</f>
        <v>7.0937500000000001E-2</v>
      </c>
      <c r="EQ389" s="965"/>
      <c r="ER389" s="965"/>
      <c r="ES389" s="965"/>
      <c r="ET389" s="965"/>
      <c r="EU389" s="964">
        <f>+EU8/EU$23</f>
        <v>6.7678469107118014E-2</v>
      </c>
      <c r="EV389" s="203"/>
      <c r="EW389" s="203"/>
      <c r="EX389" s="203"/>
      <c r="EY389" s="203"/>
      <c r="EZ389" s="964">
        <f>+EZ8/EZ$23</f>
        <v>6.7843866192647345E-2</v>
      </c>
      <c r="FA389" s="203"/>
      <c r="FB389" s="203"/>
      <c r="FC389" s="203"/>
      <c r="FD389" s="203"/>
      <c r="FE389" s="964">
        <f>+FE8/FE$23</f>
        <v>6.7749256182360634E-2</v>
      </c>
      <c r="FG389" s="494"/>
      <c r="FH389" s="819"/>
      <c r="FI389" s="819"/>
      <c r="FJ389" s="819"/>
      <c r="FL389" s="1388"/>
      <c r="FM389"/>
      <c r="FN389"/>
      <c r="FO389"/>
      <c r="FP389"/>
      <c r="FQ389"/>
      <c r="FR389" s="1619"/>
      <c r="FS389" s="1619"/>
      <c r="FT389" s="205"/>
      <c r="FU389" s="205"/>
      <c r="FV389" s="205"/>
      <c r="FW389" s="205"/>
      <c r="FX389" s="205"/>
      <c r="FY389" s="205"/>
      <c r="FZ389" s="494"/>
      <c r="GA389"/>
      <c r="GB389"/>
      <c r="GC389"/>
      <c r="GD389"/>
      <c r="GE389"/>
      <c r="GF389"/>
      <c r="GG389"/>
      <c r="GH389"/>
      <c r="GI389"/>
      <c r="GJ389"/>
      <c r="GK389"/>
      <c r="GL389"/>
      <c r="GM389"/>
      <c r="GN389"/>
      <c r="GO389"/>
      <c r="GP389"/>
      <c r="GQ389"/>
      <c r="GR389"/>
      <c r="GS389"/>
      <c r="GT389"/>
      <c r="GU389"/>
      <c r="GV389"/>
      <c r="GW389"/>
      <c r="GX389"/>
      <c r="GY389"/>
      <c r="GZ389"/>
      <c r="HA389"/>
      <c r="HB389"/>
      <c r="HC389"/>
      <c r="HD389"/>
      <c r="HE389"/>
      <c r="HF389"/>
      <c r="HG389"/>
      <c r="HH389"/>
      <c r="HI389"/>
      <c r="HJ389"/>
      <c r="HK389"/>
      <c r="HL389"/>
      <c r="HM389"/>
      <c r="HN389"/>
      <c r="HO389"/>
      <c r="HP389"/>
      <c r="HQ389"/>
      <c r="HR389"/>
      <c r="HS389"/>
      <c r="HT389"/>
      <c r="HU389"/>
      <c r="HV389"/>
      <c r="HW389"/>
      <c r="HX389"/>
      <c r="HY389"/>
      <c r="HZ389"/>
      <c r="IA389"/>
      <c r="IB389"/>
      <c r="IC389"/>
      <c r="ID389"/>
      <c r="IE389"/>
      <c r="IF389"/>
      <c r="IG389"/>
      <c r="IH389"/>
      <c r="II389"/>
      <c r="IJ389"/>
      <c r="IK389"/>
      <c r="IL389"/>
      <c r="IM389"/>
      <c r="IN389"/>
      <c r="IO389"/>
      <c r="IP389"/>
      <c r="IQ389"/>
      <c r="IR389"/>
      <c r="IS389"/>
      <c r="IT389"/>
      <c r="IU389"/>
      <c r="IV389"/>
      <c r="IW389"/>
      <c r="IX389"/>
    </row>
    <row r="390" spans="1:258" s="45" customFormat="1" ht="12.75" customHeight="1" x14ac:dyDescent="0.2">
      <c r="A390" s="959" t="s">
        <v>157</v>
      </c>
      <c r="B390" s="31"/>
      <c r="C390" s="31"/>
      <c r="D390" s="31"/>
      <c r="E390" s="31"/>
      <c r="F390" s="9"/>
      <c r="G390" s="31"/>
      <c r="H390" s="31"/>
      <c r="I390" s="31"/>
      <c r="J390" s="31"/>
      <c r="K390" s="9"/>
      <c r="L390" s="10"/>
      <c r="M390" s="10"/>
      <c r="N390" s="10"/>
      <c r="O390" s="10"/>
      <c r="P390" s="9"/>
      <c r="Q390" s="10"/>
      <c r="R390" s="10"/>
      <c r="S390" s="10"/>
      <c r="T390" s="10"/>
      <c r="U390" s="9"/>
      <c r="V390" s="10"/>
      <c r="W390" s="10"/>
      <c r="X390" s="10"/>
      <c r="Y390" s="10"/>
      <c r="Z390" s="9"/>
      <c r="AA390" s="10"/>
      <c r="AB390" s="10"/>
      <c r="AC390" s="10"/>
      <c r="AD390" s="10"/>
      <c r="AE390" s="9"/>
      <c r="AF390" s="10"/>
      <c r="AG390" s="10"/>
      <c r="AH390" s="10"/>
      <c r="AI390" s="10"/>
      <c r="AJ390" s="9"/>
      <c r="AK390" s="10"/>
      <c r="AL390" s="10"/>
      <c r="AM390" s="10"/>
      <c r="AN390" s="10"/>
      <c r="AO390" s="9"/>
      <c r="AP390" s="10"/>
      <c r="AQ390" s="10"/>
      <c r="AR390" s="10"/>
      <c r="AS390" s="10"/>
      <c r="AT390" s="9"/>
      <c r="AU390" s="10"/>
      <c r="AV390" s="10"/>
      <c r="AW390" s="10"/>
      <c r="AX390" s="10"/>
      <c r="AY390" s="964">
        <f t="shared" ref="AY390:CD390" si="1532">+AY9/AY$23</f>
        <v>7.1827057182705711E-2</v>
      </c>
      <c r="AZ390" s="965">
        <f t="shared" si="1532"/>
        <v>8.0080753701211302E-2</v>
      </c>
      <c r="BA390" s="965">
        <f t="shared" si="1532"/>
        <v>8.4183673469387751E-2</v>
      </c>
      <c r="BB390" s="965">
        <f t="shared" si="1532"/>
        <v>7.901907356948229E-2</v>
      </c>
      <c r="BC390" s="965">
        <f t="shared" si="1532"/>
        <v>8.5140997830802603E-2</v>
      </c>
      <c r="BD390" s="964">
        <f t="shared" si="1532"/>
        <v>8.213277885043814E-2</v>
      </c>
      <c r="BE390" s="965">
        <f t="shared" si="1532"/>
        <v>8.5544125609095828E-2</v>
      </c>
      <c r="BF390" s="965">
        <f t="shared" si="1532"/>
        <v>8.49919311457773E-2</v>
      </c>
      <c r="BG390" s="965">
        <f t="shared" si="1532"/>
        <v>7.248764415156507E-2</v>
      </c>
      <c r="BH390" s="965">
        <f t="shared" si="1532"/>
        <v>7.705192629815745E-2</v>
      </c>
      <c r="BI390" s="964">
        <f t="shared" si="1532"/>
        <v>8.007652364033889E-2</v>
      </c>
      <c r="BJ390" s="965">
        <f t="shared" si="1532"/>
        <v>7.1630005640157923E-2</v>
      </c>
      <c r="BK390" s="965">
        <f t="shared" si="1532"/>
        <v>7.73511407902059E-2</v>
      </c>
      <c r="BL390" s="965">
        <f t="shared" si="1532"/>
        <v>6.7080045095828641E-2</v>
      </c>
      <c r="BM390" s="965">
        <f t="shared" si="1532"/>
        <v>7.3844419391206312E-2</v>
      </c>
      <c r="BN390" s="964">
        <f t="shared" si="1532"/>
        <v>7.2492273110424277E-2</v>
      </c>
      <c r="BO390" s="965">
        <f t="shared" si="1532"/>
        <v>7.5971731448763249E-2</v>
      </c>
      <c r="BP390" s="965">
        <f t="shared" si="1532"/>
        <v>8.1767955801104977E-2</v>
      </c>
      <c r="BQ390" s="965">
        <f t="shared" si="1532"/>
        <v>6.8432671081677707E-2</v>
      </c>
      <c r="BR390" s="965">
        <f t="shared" si="1532"/>
        <v>7.7357425183512143E-2</v>
      </c>
      <c r="BS390" s="964">
        <f t="shared" si="1532"/>
        <v>7.5870822168946556E-2</v>
      </c>
      <c r="BT390" s="965">
        <f t="shared" si="1532"/>
        <v>7.4942791762013725E-2</v>
      </c>
      <c r="BU390" s="965">
        <f t="shared" si="1532"/>
        <v>7.5257173795343801E-2</v>
      </c>
      <c r="BV390" s="965">
        <f t="shared" si="1532"/>
        <v>6.589785831960461E-2</v>
      </c>
      <c r="BW390" s="965">
        <f t="shared" si="1532"/>
        <v>7.4450990894483121E-2</v>
      </c>
      <c r="BX390" s="964">
        <f t="shared" si="1532"/>
        <v>7.2634903199231091E-2</v>
      </c>
      <c r="BY390" s="965">
        <f t="shared" si="1532"/>
        <v>6.853070175438597E-2</v>
      </c>
      <c r="BZ390" s="965">
        <f t="shared" si="1532"/>
        <v>7.0828961175236099E-2</v>
      </c>
      <c r="CA390" s="965">
        <f t="shared" si="1532"/>
        <v>6.1640066042927905E-2</v>
      </c>
      <c r="CB390" s="965">
        <f t="shared" si="1532"/>
        <v>6.8078668683812404E-2</v>
      </c>
      <c r="CC390" s="964">
        <f t="shared" si="1532"/>
        <v>6.7330677290836652E-2</v>
      </c>
      <c r="CD390" s="965">
        <f t="shared" si="1532"/>
        <v>6.7787418655097617E-2</v>
      </c>
      <c r="CE390" s="965">
        <f t="shared" ref="CE390:DJ390" si="1533">+CE9/CE$23</f>
        <v>6.6345639379347246E-2</v>
      </c>
      <c r="CF390" s="965">
        <f t="shared" si="1533"/>
        <v>6.2671797691039033E-2</v>
      </c>
      <c r="CG390" s="965">
        <f t="shared" si="1533"/>
        <v>6.8756875687568761E-2</v>
      </c>
      <c r="CH390" s="964">
        <f t="shared" si="1533"/>
        <v>6.6394557823129252E-2</v>
      </c>
      <c r="CI390" s="965">
        <f t="shared" si="1533"/>
        <v>6.9550930996714125E-2</v>
      </c>
      <c r="CJ390" s="965">
        <f t="shared" si="1533"/>
        <v>6.6310160427807491E-2</v>
      </c>
      <c r="CK390" s="965">
        <f t="shared" si="1533"/>
        <v>5.3995680345572353E-2</v>
      </c>
      <c r="CL390" s="965">
        <f t="shared" si="1533"/>
        <v>6.1878453038674036E-2</v>
      </c>
      <c r="CM390" s="964">
        <f t="shared" si="1533"/>
        <v>6.2924707801032889E-2</v>
      </c>
      <c r="CN390" s="965">
        <f t="shared" si="1533"/>
        <v>6.2108262108262105E-2</v>
      </c>
      <c r="CO390" s="965">
        <f t="shared" si="1533"/>
        <v>6.5134099616858232E-2</v>
      </c>
      <c r="CP390" s="965">
        <f t="shared" si="1533"/>
        <v>5.7529610829103212E-2</v>
      </c>
      <c r="CQ390" s="965">
        <f t="shared" si="1533"/>
        <v>6.1896649630891538E-2</v>
      </c>
      <c r="CR390" s="964">
        <f t="shared" si="1533"/>
        <v>6.1691961776278809E-2</v>
      </c>
      <c r="CS390" s="965">
        <f t="shared" si="1533"/>
        <v>5.5911473500291207E-2</v>
      </c>
      <c r="CT390" s="965">
        <f t="shared" si="1533"/>
        <v>5.1830985915492955E-2</v>
      </c>
      <c r="CU390" s="965">
        <f t="shared" si="1533"/>
        <v>4.5612009237875291E-2</v>
      </c>
      <c r="CV390" s="965">
        <f t="shared" si="1533"/>
        <v>4.7411104179663134E-2</v>
      </c>
      <c r="CW390" s="964">
        <f t="shared" si="1533"/>
        <v>5.0241687417606561E-2</v>
      </c>
      <c r="CX390" s="965">
        <f t="shared" si="1533"/>
        <v>3.1712473572938688E-2</v>
      </c>
      <c r="CY390" s="965">
        <f t="shared" si="1533"/>
        <v>3.8270729978738482E-2</v>
      </c>
      <c r="CZ390" s="965">
        <f t="shared" si="1533"/>
        <v>3.8907849829351533E-2</v>
      </c>
      <c r="DA390" s="965">
        <f t="shared" si="1533"/>
        <v>5.2069425901201602E-2</v>
      </c>
      <c r="DB390" s="964">
        <f t="shared" si="1533"/>
        <v>4.0393578456758159E-2</v>
      </c>
      <c r="DC390" s="965">
        <f t="shared" si="1533"/>
        <v>4.9798115746971738E-2</v>
      </c>
      <c r="DD390" s="965">
        <f t="shared" si="1533"/>
        <v>5.5068836045056323E-2</v>
      </c>
      <c r="DE390" s="965">
        <f t="shared" si="1533"/>
        <v>5.09633312616532E-2</v>
      </c>
      <c r="DF390" s="965">
        <f t="shared" si="1533"/>
        <v>5.6771141336487287E-2</v>
      </c>
      <c r="DG390" s="964">
        <f t="shared" si="1533"/>
        <v>5.3258145363408518E-2</v>
      </c>
      <c r="DH390" s="965">
        <f t="shared" si="1533"/>
        <v>5.5904522613065326E-2</v>
      </c>
      <c r="DI390" s="965">
        <f t="shared" si="1533"/>
        <v>5.2855407047387608E-2</v>
      </c>
      <c r="DJ390" s="965">
        <f t="shared" si="1533"/>
        <v>5.3119209388511425E-2</v>
      </c>
      <c r="DK390" s="965">
        <f t="shared" ref="DK390:EI390" si="1534">+DK9/DK$23</f>
        <v>6.1148857319332922E-2</v>
      </c>
      <c r="DL390" s="964">
        <f t="shared" si="1534"/>
        <v>5.5744286596664611E-2</v>
      </c>
      <c r="DM390" s="965">
        <f t="shared" si="1534"/>
        <v>6.5543071161048683E-2</v>
      </c>
      <c r="DN390" s="965">
        <f t="shared" si="1534"/>
        <v>6.7682926829268297E-2</v>
      </c>
      <c r="DO390" s="965">
        <f t="shared" si="1534"/>
        <v>6.25E-2</v>
      </c>
      <c r="DP390" s="965">
        <f t="shared" si="1534"/>
        <v>6.9559668155711546E-2</v>
      </c>
      <c r="DQ390" s="964">
        <f t="shared" si="1534"/>
        <v>6.6312997347480113E-2</v>
      </c>
      <c r="DR390" s="965">
        <f t="shared" si="1534"/>
        <v>6.6641702473359196E-2</v>
      </c>
      <c r="DS390" s="965">
        <f t="shared" si="1534"/>
        <v>6.8236714975845408E-2</v>
      </c>
      <c r="DT390" s="965">
        <f t="shared" si="1534"/>
        <v>6.1472915398660989E-2</v>
      </c>
      <c r="DU390" s="965">
        <f t="shared" si="1534"/>
        <v>6.7990373044524668E-2</v>
      </c>
      <c r="DV390" s="964">
        <f t="shared" si="1534"/>
        <v>6.6089505384305886E-2</v>
      </c>
      <c r="DW390" s="965">
        <f t="shared" si="1534"/>
        <v>6.0493827160493827E-2</v>
      </c>
      <c r="DX390" s="965">
        <f t="shared" si="1534"/>
        <v>6.4008983717012913E-2</v>
      </c>
      <c r="DY390" s="965">
        <f t="shared" si="1534"/>
        <v>6.2002275312855515E-2</v>
      </c>
      <c r="DZ390" s="965">
        <f t="shared" si="1534"/>
        <v>6.4651505699540632E-2</v>
      </c>
      <c r="EA390" s="964">
        <f t="shared" si="1534"/>
        <v>6.2840385421030584E-2</v>
      </c>
      <c r="EB390" s="965">
        <f t="shared" si="1534"/>
        <v>6.174342286353933E-2</v>
      </c>
      <c r="EC390" s="965">
        <f t="shared" si="1534"/>
        <v>6.8220579874928938E-2</v>
      </c>
      <c r="ED390" s="965">
        <f t="shared" si="1534"/>
        <v>6.3668224299065421E-2</v>
      </c>
      <c r="EE390" s="965">
        <f t="shared" si="1534"/>
        <v>7.2507552870090641E-2</v>
      </c>
      <c r="EF390" s="964">
        <f t="shared" si="1534"/>
        <v>6.6551000394921928E-2</v>
      </c>
      <c r="EG390" s="965">
        <f t="shared" si="1534"/>
        <v>7.2856221792392012E-2</v>
      </c>
      <c r="EH390" s="965">
        <f t="shared" si="1534"/>
        <v>7.586206896551724E-2</v>
      </c>
      <c r="EI390" s="965">
        <f t="shared" si="1534"/>
        <v>7.3062261753494284E-2</v>
      </c>
      <c r="EJ390" s="965">
        <f t="shared" ref="EJ390" si="1535">+EJ9/EJ$23</f>
        <v>7.6834199884459844E-2</v>
      </c>
      <c r="EK390" s="964">
        <f>+EK9/EK$23</f>
        <v>7.4717098124321812E-2</v>
      </c>
      <c r="EL390" s="965"/>
      <c r="EM390" s="965"/>
      <c r="EN390" s="965"/>
      <c r="EO390" s="965"/>
      <c r="EP390" s="964">
        <f>+EP9/EP$23</f>
        <v>7.1406250000000004E-2</v>
      </c>
      <c r="EQ390" s="965"/>
      <c r="ER390" s="965"/>
      <c r="ES390" s="965"/>
      <c r="ET390" s="965"/>
      <c r="EU390" s="964">
        <f>+EU9/EU$23</f>
        <v>7.1895404287361533E-2</v>
      </c>
      <c r="EV390" s="203"/>
      <c r="EW390" s="203"/>
      <c r="EX390" s="203"/>
      <c r="EY390" s="203"/>
      <c r="EZ390" s="964">
        <f>+EZ9/EZ$23</f>
        <v>6.8875836242390381E-2</v>
      </c>
      <c r="FA390" s="203"/>
      <c r="FB390" s="203"/>
      <c r="FC390" s="203"/>
      <c r="FD390" s="203"/>
      <c r="FE390" s="964">
        <f>+FE9/FE$23</f>
        <v>6.8440970438082227E-2</v>
      </c>
      <c r="FG390" s="494"/>
      <c r="FH390" s="819"/>
      <c r="FI390" s="819"/>
      <c r="FJ390" s="819"/>
      <c r="FL390" s="1388"/>
      <c r="FM390"/>
      <c r="FN390"/>
      <c r="FO390"/>
      <c r="FP390"/>
      <c r="FQ390"/>
      <c r="FR390" s="1619"/>
      <c r="FS390" s="1619"/>
      <c r="FT390" s="205"/>
      <c r="FU390" s="205"/>
      <c r="FV390" s="205"/>
      <c r="FW390" s="205"/>
      <c r="FX390" s="205"/>
      <c r="FY390" s="205"/>
      <c r="FZ390" s="494"/>
      <c r="GA390"/>
      <c r="GB390"/>
      <c r="GC390"/>
      <c r="GD390"/>
      <c r="GE390"/>
      <c r="GF390"/>
      <c r="GG390"/>
      <c r="GH390"/>
      <c r="GI390"/>
      <c r="GJ390"/>
      <c r="GK390"/>
      <c r="GL390"/>
      <c r="GM390"/>
      <c r="GN390"/>
      <c r="GO390"/>
      <c r="GP390"/>
      <c r="GQ390"/>
      <c r="GR390"/>
      <c r="GS390"/>
      <c r="GT390"/>
      <c r="GU390"/>
      <c r="GV390"/>
      <c r="GW390"/>
      <c r="GX390"/>
      <c r="GY390"/>
      <c r="GZ390"/>
      <c r="HA390"/>
      <c r="HB390"/>
      <c r="HC390"/>
      <c r="HD390"/>
      <c r="HE390"/>
      <c r="HF390"/>
      <c r="HG390"/>
      <c r="HH390"/>
      <c r="HI390"/>
      <c r="HJ390"/>
      <c r="HK390"/>
      <c r="HL390"/>
      <c r="HM390"/>
      <c r="HN390"/>
      <c r="HO390"/>
      <c r="HP390"/>
      <c r="HQ390"/>
      <c r="HR390"/>
      <c r="HS390"/>
      <c r="HT390"/>
      <c r="HU390"/>
      <c r="HV390"/>
      <c r="HW390"/>
      <c r="HX390"/>
      <c r="HY390"/>
      <c r="HZ390"/>
      <c r="IA390"/>
      <c r="IB390"/>
      <c r="IC390"/>
      <c r="ID390"/>
      <c r="IE390"/>
      <c r="IF390"/>
      <c r="IG390"/>
      <c r="IH390"/>
      <c r="II390"/>
      <c r="IJ390"/>
      <c r="IK390"/>
      <c r="IL390"/>
      <c r="IM390"/>
      <c r="IN390"/>
      <c r="IO390"/>
      <c r="IP390"/>
      <c r="IQ390"/>
      <c r="IR390"/>
      <c r="IS390"/>
      <c r="IT390"/>
      <c r="IU390"/>
      <c r="IV390"/>
      <c r="IW390"/>
      <c r="IX390"/>
    </row>
    <row r="391" spans="1:258" s="45" customFormat="1" ht="12.75" customHeight="1" x14ac:dyDescent="0.2">
      <c r="A391" s="959" t="s">
        <v>158</v>
      </c>
      <c r="B391" s="31"/>
      <c r="C391" s="31"/>
      <c r="D391" s="31"/>
      <c r="E391" s="31"/>
      <c r="F391" s="9"/>
      <c r="G391" s="31"/>
      <c r="H391" s="31"/>
      <c r="I391" s="31"/>
      <c r="J391" s="31"/>
      <c r="K391" s="9"/>
      <c r="L391" s="10"/>
      <c r="M391" s="10"/>
      <c r="N391" s="10"/>
      <c r="O391" s="10"/>
      <c r="P391" s="9"/>
      <c r="Q391" s="10"/>
      <c r="R391" s="10"/>
      <c r="S391" s="10"/>
      <c r="T391" s="10"/>
      <c r="U391" s="9"/>
      <c r="V391" s="10"/>
      <c r="W391" s="10"/>
      <c r="X391" s="10"/>
      <c r="Y391" s="10"/>
      <c r="Z391" s="9"/>
      <c r="AA391" s="10"/>
      <c r="AB391" s="10"/>
      <c r="AC391" s="10"/>
      <c r="AD391" s="10"/>
      <c r="AE391" s="9"/>
      <c r="AF391" s="10"/>
      <c r="AG391" s="10"/>
      <c r="AH391" s="10"/>
      <c r="AI391" s="10"/>
      <c r="AJ391" s="9"/>
      <c r="AK391" s="10"/>
      <c r="AL391" s="10"/>
      <c r="AM391" s="10"/>
      <c r="AN391" s="10"/>
      <c r="AO391" s="9"/>
      <c r="AP391" s="10"/>
      <c r="AQ391" s="10"/>
      <c r="AR391" s="10"/>
      <c r="AS391" s="10"/>
      <c r="AT391" s="9"/>
      <c r="AU391" s="10"/>
      <c r="AV391" s="10"/>
      <c r="AW391" s="10"/>
      <c r="AX391" s="10"/>
      <c r="AY391" s="964">
        <f t="shared" ref="AY391:CD391" si="1536">+AY10/AY$23</f>
        <v>9.3967921896792192E-2</v>
      </c>
      <c r="AZ391" s="965">
        <f t="shared" si="1536"/>
        <v>9.9596231493943477E-2</v>
      </c>
      <c r="BA391" s="965">
        <f t="shared" si="1536"/>
        <v>8.1632653061224483E-2</v>
      </c>
      <c r="BB391" s="965">
        <f t="shared" si="1536"/>
        <v>6.9209809264305172E-2</v>
      </c>
      <c r="BC391" s="965">
        <f t="shared" si="1536"/>
        <v>6.7245119305856832E-2</v>
      </c>
      <c r="BD391" s="964">
        <f t="shared" si="1536"/>
        <v>7.8271201544630922E-2</v>
      </c>
      <c r="BE391" s="965">
        <f t="shared" si="1536"/>
        <v>7.0925825663237685E-2</v>
      </c>
      <c r="BF391" s="965">
        <f t="shared" si="1536"/>
        <v>6.6164604626143084E-2</v>
      </c>
      <c r="BG391" s="965">
        <f t="shared" si="1536"/>
        <v>6.3152114222954414E-2</v>
      </c>
      <c r="BH391" s="965">
        <f t="shared" si="1536"/>
        <v>6.5884980457844786E-2</v>
      </c>
      <c r="BI391" s="964">
        <f t="shared" si="1536"/>
        <v>6.6548237223285053E-2</v>
      </c>
      <c r="BJ391" s="965">
        <f t="shared" si="1536"/>
        <v>6.7117879300620423E-2</v>
      </c>
      <c r="BK391" s="965">
        <f t="shared" si="1536"/>
        <v>5.8430717863105178E-2</v>
      </c>
      <c r="BL391" s="965">
        <f t="shared" si="1536"/>
        <v>5.6933483652762122E-2</v>
      </c>
      <c r="BM391" s="965">
        <f t="shared" si="1536"/>
        <v>6.538895152198422E-2</v>
      </c>
      <c r="BN391" s="964">
        <f t="shared" si="1536"/>
        <v>6.1955605507164932E-2</v>
      </c>
      <c r="BO391" s="965">
        <f t="shared" si="1536"/>
        <v>7.0082449941107183E-2</v>
      </c>
      <c r="BP391" s="965">
        <f t="shared" si="1536"/>
        <v>6.5745856353591162E-2</v>
      </c>
      <c r="BQ391" s="965">
        <f t="shared" si="1536"/>
        <v>6.2362030905077262E-2</v>
      </c>
      <c r="BR391" s="965">
        <f t="shared" si="1536"/>
        <v>6.3241106719367585E-2</v>
      </c>
      <c r="BS391" s="964">
        <f t="shared" si="1536"/>
        <v>6.5294034691862929E-2</v>
      </c>
      <c r="BT391" s="965">
        <f t="shared" si="1536"/>
        <v>6.6933638443935933E-2</v>
      </c>
      <c r="BU391" s="965">
        <f t="shared" si="1536"/>
        <v>6.1180292365998916E-2</v>
      </c>
      <c r="BV391" s="965">
        <f t="shared" si="1536"/>
        <v>6.260296540362438E-2</v>
      </c>
      <c r="BW391" s="965">
        <f t="shared" si="1536"/>
        <v>6.2131762185324048E-2</v>
      </c>
      <c r="BX391" s="964">
        <f t="shared" si="1536"/>
        <v>6.3160785390635729E-2</v>
      </c>
      <c r="BY391" s="965">
        <f t="shared" si="1536"/>
        <v>6.5789473684210523E-2</v>
      </c>
      <c r="BZ391" s="965">
        <f t="shared" si="1536"/>
        <v>6.348373557187828E-2</v>
      </c>
      <c r="CA391" s="965">
        <f t="shared" si="1536"/>
        <v>5.8888277380297192E-2</v>
      </c>
      <c r="CB391" s="965">
        <f t="shared" si="1536"/>
        <v>6.2027231467473527E-2</v>
      </c>
      <c r="CC391" s="964">
        <f t="shared" si="1536"/>
        <v>6.2549800796812743E-2</v>
      </c>
      <c r="CD391" s="965">
        <f t="shared" si="1536"/>
        <v>6.3449023861171364E-2</v>
      </c>
      <c r="CE391" s="965">
        <f t="shared" ref="CE391:DJ391" si="1537">+CE10/CE$23</f>
        <v>6.2600321027287326E-2</v>
      </c>
      <c r="CF391" s="965">
        <f t="shared" si="1537"/>
        <v>6.1022539857064323E-2</v>
      </c>
      <c r="CG391" s="965">
        <f t="shared" si="1537"/>
        <v>5.4455445544554455E-2</v>
      </c>
      <c r="CH391" s="964">
        <f t="shared" si="1537"/>
        <v>6.0408163265306125E-2</v>
      </c>
      <c r="CI391" s="965">
        <f t="shared" si="1537"/>
        <v>4.8192771084337352E-2</v>
      </c>
      <c r="CJ391" s="965">
        <f t="shared" si="1537"/>
        <v>5.0267379679144387E-2</v>
      </c>
      <c r="CK391" s="965">
        <f t="shared" si="1537"/>
        <v>5.0215982721382287E-2</v>
      </c>
      <c r="CL391" s="965">
        <f t="shared" si="1537"/>
        <v>4.8066298342541433E-2</v>
      </c>
      <c r="CM391" s="964">
        <f t="shared" si="1537"/>
        <v>4.9198151671649905E-2</v>
      </c>
      <c r="CN391" s="965">
        <f t="shared" si="1537"/>
        <v>5.242165242165242E-2</v>
      </c>
      <c r="CO391" s="965">
        <f t="shared" si="1537"/>
        <v>4.8713738368910783E-2</v>
      </c>
      <c r="CP391" s="965">
        <f t="shared" si="1537"/>
        <v>5.0761421319796954E-2</v>
      </c>
      <c r="CQ391" s="965">
        <f t="shared" si="1537"/>
        <v>5.224304372515616E-2</v>
      </c>
      <c r="CR391" s="964">
        <f t="shared" si="1537"/>
        <v>5.1011804384485666E-2</v>
      </c>
      <c r="CS391" s="965">
        <f t="shared" si="1537"/>
        <v>5.2999417588817703E-2</v>
      </c>
      <c r="CT391" s="965">
        <f t="shared" si="1537"/>
        <v>5.0704225352112678E-2</v>
      </c>
      <c r="CU391" s="965">
        <f t="shared" si="1537"/>
        <v>5.023094688221709E-2</v>
      </c>
      <c r="CV391" s="965">
        <f t="shared" si="1537"/>
        <v>4.1172800998128506E-2</v>
      </c>
      <c r="CW391" s="964">
        <f t="shared" si="1537"/>
        <v>4.8923392412479859E-2</v>
      </c>
      <c r="CX391" s="965">
        <f t="shared" si="1537"/>
        <v>4.2283298097251586E-2</v>
      </c>
      <c r="CY391" s="965">
        <f t="shared" si="1537"/>
        <v>5.2445074415308289E-2</v>
      </c>
      <c r="CZ391" s="965">
        <f t="shared" si="1537"/>
        <v>5.2559726962457337E-2</v>
      </c>
      <c r="DA391" s="965">
        <f t="shared" si="1537"/>
        <v>5.2069425901201602E-2</v>
      </c>
      <c r="DB391" s="964">
        <f t="shared" si="1537"/>
        <v>4.9887795615397891E-2</v>
      </c>
      <c r="DC391" s="965">
        <f t="shared" si="1537"/>
        <v>5.3162853297442803E-2</v>
      </c>
      <c r="DD391" s="965">
        <f t="shared" si="1537"/>
        <v>5.0062578222778473E-2</v>
      </c>
      <c r="DE391" s="965">
        <f t="shared" si="1537"/>
        <v>4.8477315102548164E-2</v>
      </c>
      <c r="DF391" s="965">
        <f t="shared" si="1537"/>
        <v>4.49438202247191E-2</v>
      </c>
      <c r="DG391" s="964">
        <f t="shared" si="1537"/>
        <v>4.9028822055137845E-2</v>
      </c>
      <c r="DH391" s="965">
        <f t="shared" si="1537"/>
        <v>5.2135678391959796E-2</v>
      </c>
      <c r="DI391" s="965">
        <f t="shared" si="1537"/>
        <v>4.8602673147023087E-2</v>
      </c>
      <c r="DJ391" s="965">
        <f t="shared" si="1537"/>
        <v>4.9413218035824581E-2</v>
      </c>
      <c r="DK391" s="965">
        <f t="shared" ref="DK391:EI391" si="1538">+DK10/DK$23</f>
        <v>4.8177887584928969E-2</v>
      </c>
      <c r="DL391" s="964">
        <f t="shared" si="1538"/>
        <v>4.9567634342186535E-2</v>
      </c>
      <c r="DM391" s="965">
        <f t="shared" si="1538"/>
        <v>4.9937578027465665E-2</v>
      </c>
      <c r="DN391" s="965">
        <f t="shared" si="1538"/>
        <v>4.8170731707317074E-2</v>
      </c>
      <c r="DO391" s="965">
        <f t="shared" si="1538"/>
        <v>0.05</v>
      </c>
      <c r="DP391" s="965">
        <f t="shared" si="1538"/>
        <v>5.2329291640076582E-2</v>
      </c>
      <c r="DQ391" s="964">
        <f t="shared" si="1538"/>
        <v>5.0085816820096739E-2</v>
      </c>
      <c r="DR391" s="965">
        <f t="shared" si="1538"/>
        <v>5.331336197868735E-2</v>
      </c>
      <c r="DS391" s="965">
        <f t="shared" si="1538"/>
        <v>5.1932367149758456E-2</v>
      </c>
      <c r="DT391" s="965">
        <f t="shared" si="1538"/>
        <v>4.8691418137553254E-2</v>
      </c>
      <c r="DU391" s="965">
        <f t="shared" si="1538"/>
        <v>4.6329723225030081E-2</v>
      </c>
      <c r="DV391" s="964">
        <f t="shared" si="1538"/>
        <v>5.0026083936731539E-2</v>
      </c>
      <c r="DW391" s="965">
        <f t="shared" si="1538"/>
        <v>5.1234567901234568E-2</v>
      </c>
      <c r="DX391" s="965">
        <f t="shared" si="1538"/>
        <v>4.8287478944413251E-2</v>
      </c>
      <c r="DY391" s="965">
        <f t="shared" si="1538"/>
        <v>4.6643913538111488E-2</v>
      </c>
      <c r="DZ391" s="965">
        <f t="shared" si="1538"/>
        <v>4.4802359212839558E-2</v>
      </c>
      <c r="EA391" s="964">
        <f t="shared" si="1538"/>
        <v>4.7672016526299064E-2</v>
      </c>
      <c r="EB391" s="965">
        <f t="shared" si="1538"/>
        <v>4.7711382834912504E-2</v>
      </c>
      <c r="EC391" s="965">
        <f t="shared" si="1538"/>
        <v>4.4343376918703811E-2</v>
      </c>
      <c r="ED391" s="965">
        <f t="shared" si="1538"/>
        <v>4.1471962616822428E-2</v>
      </c>
      <c r="EE391" s="965">
        <f t="shared" si="1538"/>
        <v>4.4712990936555889E-2</v>
      </c>
      <c r="EF391" s="964">
        <f t="shared" si="1538"/>
        <v>4.4521160863385117E-2</v>
      </c>
      <c r="EG391" s="965">
        <f t="shared" si="1538"/>
        <v>4.9000644745325596E-2</v>
      </c>
      <c r="EH391" s="965">
        <f t="shared" si="1538"/>
        <v>4.5141065830721E-2</v>
      </c>
      <c r="EI391" s="965">
        <f t="shared" si="1538"/>
        <v>4.5743329097839895E-2</v>
      </c>
      <c r="EJ391" s="965">
        <f t="shared" ref="EJ391" si="1539">+EJ10/EJ$23</f>
        <v>4.6216060080878106E-2</v>
      </c>
      <c r="EK391" s="964">
        <f>+EK10/EK$23</f>
        <v>4.6504417919702369E-2</v>
      </c>
      <c r="EL391" s="965"/>
      <c r="EM391" s="965"/>
      <c r="EN391" s="965"/>
      <c r="EO391" s="965"/>
      <c r="EP391" s="964">
        <f>+EP10/EP$23</f>
        <v>4.5468750000000002E-2</v>
      </c>
      <c r="EQ391" s="965"/>
      <c r="ER391" s="965"/>
      <c r="ES391" s="965"/>
      <c r="ET391" s="965"/>
      <c r="EU391" s="964">
        <f>+EU10/EU$23</f>
        <v>4.155469321698313E-2</v>
      </c>
      <c r="EV391" s="203"/>
      <c r="EW391" s="203"/>
      <c r="EX391" s="203"/>
      <c r="EY391" s="203"/>
      <c r="EZ391" s="964">
        <f>+EZ10/EZ$23</f>
        <v>4.1451044115417411E-2</v>
      </c>
      <c r="FA391" s="203"/>
      <c r="FB391" s="203"/>
      <c r="FC391" s="203"/>
      <c r="FD391" s="203"/>
      <c r="FE391" s="964">
        <f>+FE10/FE$23</f>
        <v>4.1189331987883639E-2</v>
      </c>
      <c r="FG391" s="494"/>
      <c r="FH391" s="819"/>
      <c r="FI391" s="819"/>
      <c r="FJ391" s="819"/>
      <c r="FL391" s="1388"/>
      <c r="FM391"/>
      <c r="FN391"/>
      <c r="FO391"/>
      <c r="FP391"/>
      <c r="FQ391"/>
      <c r="FR391" s="1619"/>
      <c r="FS391" s="1619"/>
      <c r="FT391" s="205"/>
      <c r="FU391" s="205"/>
      <c r="FV391" s="205"/>
      <c r="FW391" s="205"/>
      <c r="FX391" s="205"/>
      <c r="FY391" s="205"/>
      <c r="FZ391" s="494"/>
      <c r="GA391"/>
      <c r="GB391"/>
      <c r="GC391"/>
      <c r="GD391"/>
      <c r="GE391"/>
      <c r="GF391"/>
      <c r="GG391"/>
      <c r="GH391"/>
      <c r="GI391"/>
      <c r="GJ391"/>
      <c r="GK391"/>
      <c r="GL391"/>
      <c r="GM391"/>
      <c r="GN391"/>
      <c r="GO391"/>
      <c r="GP391"/>
      <c r="GQ391"/>
      <c r="GR391"/>
      <c r="GS391"/>
      <c r="GT391"/>
      <c r="GU391"/>
      <c r="GV391"/>
      <c r="GW391"/>
      <c r="GX391"/>
      <c r="GY391"/>
      <c r="GZ391"/>
      <c r="HA391"/>
      <c r="HB391"/>
      <c r="HC391"/>
      <c r="HD391"/>
      <c r="HE391"/>
      <c r="HF391"/>
      <c r="HG391"/>
      <c r="HH391"/>
      <c r="HI391"/>
      <c r="HJ391"/>
      <c r="HK391"/>
      <c r="HL391"/>
      <c r="HM391"/>
      <c r="HN391"/>
      <c r="HO391"/>
      <c r="HP391"/>
      <c r="HQ391"/>
      <c r="HR391"/>
      <c r="HS391"/>
      <c r="HT391"/>
      <c r="HU391"/>
      <c r="HV391"/>
      <c r="HW391"/>
      <c r="HX391"/>
      <c r="HY391"/>
      <c r="HZ391"/>
      <c r="IA391"/>
      <c r="IB391"/>
      <c r="IC391"/>
      <c r="ID391"/>
      <c r="IE391"/>
      <c r="IF391"/>
      <c r="IG391"/>
      <c r="IH391"/>
      <c r="II391"/>
      <c r="IJ391"/>
      <c r="IK391"/>
      <c r="IL391"/>
      <c r="IM391"/>
      <c r="IN391"/>
      <c r="IO391"/>
      <c r="IP391"/>
      <c r="IQ391"/>
      <c r="IR391"/>
      <c r="IS391"/>
      <c r="IT391"/>
      <c r="IU391"/>
      <c r="IV391"/>
      <c r="IW391"/>
      <c r="IX391"/>
    </row>
    <row r="392" spans="1:258" s="45" customFormat="1" x14ac:dyDescent="0.2">
      <c r="A392" s="959" t="s">
        <v>159</v>
      </c>
      <c r="B392" s="10"/>
      <c r="C392" s="10"/>
      <c r="D392" s="10"/>
      <c r="E392" s="10"/>
      <c r="F392" s="9"/>
      <c r="G392" s="10"/>
      <c r="H392" s="10"/>
      <c r="I392" s="10"/>
      <c r="J392" s="10"/>
      <c r="K392" s="9"/>
      <c r="L392" s="10"/>
      <c r="M392" s="10"/>
      <c r="N392" s="10"/>
      <c r="O392" s="10"/>
      <c r="P392" s="9"/>
      <c r="Q392" s="10"/>
      <c r="R392" s="10"/>
      <c r="S392" s="10"/>
      <c r="T392" s="10"/>
      <c r="U392" s="9"/>
      <c r="V392" s="10"/>
      <c r="W392" s="292"/>
      <c r="X392" s="10"/>
      <c r="Y392" s="10"/>
      <c r="Z392" s="9"/>
      <c r="AA392" s="10"/>
      <c r="AB392" s="292"/>
      <c r="AC392" s="10"/>
      <c r="AD392" s="10"/>
      <c r="AE392" s="9"/>
      <c r="AF392" s="10"/>
      <c r="AG392" s="292"/>
      <c r="AH392" s="10"/>
      <c r="AI392" s="10"/>
      <c r="AJ392" s="9"/>
      <c r="AK392" s="10"/>
      <c r="AL392" s="292"/>
      <c r="AM392" s="10"/>
      <c r="AN392" s="10"/>
      <c r="AO392" s="9"/>
      <c r="AP392" s="10"/>
      <c r="AQ392" s="292"/>
      <c r="AR392" s="10"/>
      <c r="AS392" s="10"/>
      <c r="AT392" s="9"/>
      <c r="AU392" s="10"/>
      <c r="AV392" s="292"/>
      <c r="AW392" s="10"/>
      <c r="AX392" s="10"/>
      <c r="AY392" s="964">
        <f t="shared" ref="AY392:CD392" si="1540">+AY11/AY$23</f>
        <v>7.9672245467224553E-2</v>
      </c>
      <c r="AZ392" s="965">
        <f t="shared" si="1540"/>
        <v>8.1426648721399736E-2</v>
      </c>
      <c r="BA392" s="965">
        <f t="shared" si="1540"/>
        <v>7.7168367346938771E-2</v>
      </c>
      <c r="BB392" s="965">
        <f t="shared" si="1540"/>
        <v>7.1934604904632146E-2</v>
      </c>
      <c r="BC392" s="965">
        <f t="shared" si="1540"/>
        <v>7.10412147505423E-2</v>
      </c>
      <c r="BD392" s="964">
        <f t="shared" si="1540"/>
        <v>7.5003713055101742E-2</v>
      </c>
      <c r="BE392" s="965">
        <f t="shared" si="1540"/>
        <v>8.2837033026529505E-2</v>
      </c>
      <c r="BF392" s="965">
        <f t="shared" si="1540"/>
        <v>8.1226465841850462E-2</v>
      </c>
      <c r="BG392" s="965">
        <f t="shared" si="1540"/>
        <v>7.7979132344865462E-2</v>
      </c>
      <c r="BH392" s="965">
        <f t="shared" si="1540"/>
        <v>7.6493579006141815E-2</v>
      </c>
      <c r="BI392" s="964">
        <f t="shared" si="1540"/>
        <v>7.9666575567094833E-2</v>
      </c>
      <c r="BJ392" s="965">
        <f t="shared" si="1540"/>
        <v>7.670614777213762E-2</v>
      </c>
      <c r="BK392" s="965">
        <f t="shared" si="1540"/>
        <v>7.456872565386756E-2</v>
      </c>
      <c r="BL392" s="965">
        <f t="shared" si="1540"/>
        <v>7.4408117249154457E-2</v>
      </c>
      <c r="BM392" s="965">
        <f t="shared" si="1540"/>
        <v>7.158962795941376E-2</v>
      </c>
      <c r="BN392" s="964">
        <f t="shared" si="1540"/>
        <v>7.4318628828322561E-2</v>
      </c>
      <c r="BO392" s="965">
        <f t="shared" si="1540"/>
        <v>6.4782096584216728E-2</v>
      </c>
      <c r="BP392" s="965">
        <f t="shared" si="1540"/>
        <v>6.2983425414364635E-2</v>
      </c>
      <c r="BQ392" s="965">
        <f t="shared" si="1540"/>
        <v>6.2913907284768214E-2</v>
      </c>
      <c r="BR392" s="965">
        <f t="shared" si="1540"/>
        <v>6.2676453980801808E-2</v>
      </c>
      <c r="BS392" s="964">
        <f t="shared" si="1540"/>
        <v>6.3319701029473985E-2</v>
      </c>
      <c r="BT392" s="965">
        <f t="shared" si="1540"/>
        <v>6.5217391304347824E-2</v>
      </c>
      <c r="BU392" s="965">
        <f t="shared" si="1540"/>
        <v>6.2804547915538717E-2</v>
      </c>
      <c r="BV392" s="965">
        <f t="shared" si="1540"/>
        <v>6.3152114222954414E-2</v>
      </c>
      <c r="BW392" s="965">
        <f t="shared" si="1540"/>
        <v>6.106052490626674E-2</v>
      </c>
      <c r="BX392" s="964">
        <f t="shared" si="1540"/>
        <v>6.3023479335438698E-2</v>
      </c>
      <c r="BY392" s="965">
        <f t="shared" si="1540"/>
        <v>6.25E-2</v>
      </c>
      <c r="BZ392" s="965">
        <f t="shared" si="1540"/>
        <v>6.0335781741867787E-2</v>
      </c>
      <c r="CA392" s="965">
        <f t="shared" si="1540"/>
        <v>6.3291139240506333E-2</v>
      </c>
      <c r="CB392" s="965">
        <f t="shared" si="1540"/>
        <v>6.1018658598083711E-2</v>
      </c>
      <c r="CC392" s="964">
        <f t="shared" si="1540"/>
        <v>6.1752988047808766E-2</v>
      </c>
      <c r="CD392" s="965">
        <f t="shared" si="1540"/>
        <v>6.1279826464208244E-2</v>
      </c>
      <c r="CE392" s="965">
        <f t="shared" ref="CE392:DJ392" si="1541">+CE11/CE$23</f>
        <v>6.0460139111824504E-2</v>
      </c>
      <c r="CF392" s="965">
        <f t="shared" si="1541"/>
        <v>5.8823529411764705E-2</v>
      </c>
      <c r="CG392" s="965">
        <f t="shared" si="1541"/>
        <v>5.8305830583058306E-2</v>
      </c>
      <c r="CH392" s="964">
        <f t="shared" si="1541"/>
        <v>5.9727891156462584E-2</v>
      </c>
      <c r="CI392" s="965">
        <f t="shared" si="1541"/>
        <v>5.8050383351588172E-2</v>
      </c>
      <c r="CJ392" s="965">
        <f t="shared" si="1541"/>
        <v>5.5080213903743312E-2</v>
      </c>
      <c r="CK392" s="965">
        <f t="shared" si="1541"/>
        <v>5.3995680345572353E-2</v>
      </c>
      <c r="CL392" s="965">
        <f t="shared" si="1541"/>
        <v>5.2486187845303865E-2</v>
      </c>
      <c r="CM392" s="964">
        <f t="shared" si="1541"/>
        <v>5.4906224517531937E-2</v>
      </c>
      <c r="CN392" s="965">
        <f t="shared" si="1541"/>
        <v>5.8119658119658121E-2</v>
      </c>
      <c r="CO392" s="965">
        <f t="shared" si="1541"/>
        <v>5.4734537493158181E-2</v>
      </c>
      <c r="CP392" s="965">
        <f t="shared" si="1541"/>
        <v>5.4145516074450083E-2</v>
      </c>
      <c r="CQ392" s="965">
        <f t="shared" si="1541"/>
        <v>4.9403747870528106E-2</v>
      </c>
      <c r="CR392" s="964">
        <f t="shared" si="1541"/>
        <v>5.4103428892636314E-2</v>
      </c>
      <c r="CS392" s="965">
        <f t="shared" si="1541"/>
        <v>5.0669772859638904E-2</v>
      </c>
      <c r="CT392" s="965">
        <f t="shared" si="1541"/>
        <v>5.0704225352112678E-2</v>
      </c>
      <c r="CU392" s="965">
        <f t="shared" si="1541"/>
        <v>5.1963048498845268E-2</v>
      </c>
      <c r="CV392" s="965">
        <f t="shared" si="1541"/>
        <v>4.8034934497816595E-2</v>
      </c>
      <c r="CW392" s="964">
        <f t="shared" si="1541"/>
        <v>5.0388164640398421E-2</v>
      </c>
      <c r="CX392" s="965">
        <f t="shared" si="1541"/>
        <v>4.5806906272022552E-2</v>
      </c>
      <c r="CY392" s="965">
        <f t="shared" si="1541"/>
        <v>4.5357902197023389E-2</v>
      </c>
      <c r="CZ392" s="965">
        <f t="shared" si="1541"/>
        <v>4.5733788395904439E-2</v>
      </c>
      <c r="DA392" s="965">
        <f t="shared" si="1541"/>
        <v>4.1388518024032039E-2</v>
      </c>
      <c r="DB392" s="964">
        <f t="shared" si="1541"/>
        <v>4.4536509580528225E-2</v>
      </c>
      <c r="DC392" s="965">
        <f t="shared" si="1541"/>
        <v>4.23956931359354E-2</v>
      </c>
      <c r="DD392" s="965">
        <f t="shared" si="1541"/>
        <v>4.0675844806007506E-2</v>
      </c>
      <c r="DE392" s="965">
        <f t="shared" si="1541"/>
        <v>4.1640770665009326E-2</v>
      </c>
      <c r="DF392" s="965">
        <f t="shared" si="1541"/>
        <v>4.1395623891188643E-2</v>
      </c>
      <c r="DG392" s="964">
        <f t="shared" si="1541"/>
        <v>4.1510025062656643E-2</v>
      </c>
      <c r="DH392" s="965">
        <f t="shared" si="1541"/>
        <v>4.3341708542713568E-2</v>
      </c>
      <c r="DI392" s="965">
        <f t="shared" si="1541"/>
        <v>4.25273390036452E-2</v>
      </c>
      <c r="DJ392" s="965">
        <f t="shared" si="1541"/>
        <v>4.5089561457689935E-2</v>
      </c>
      <c r="DK392" s="965">
        <f t="shared" ref="DK392:EI392" si="1542">+DK11/DK$23</f>
        <v>4.2618900555898703E-2</v>
      </c>
      <c r="DL392" s="964">
        <f t="shared" si="1542"/>
        <v>4.339098208770846E-2</v>
      </c>
      <c r="DM392" s="965">
        <f t="shared" si="1542"/>
        <v>4.5568039950062422E-2</v>
      </c>
      <c r="DN392" s="965">
        <f t="shared" si="1542"/>
        <v>4.3292682926829265E-2</v>
      </c>
      <c r="DO392" s="965">
        <f t="shared" si="1542"/>
        <v>4.5624999999999999E-2</v>
      </c>
      <c r="DP392" s="965">
        <f t="shared" si="1542"/>
        <v>4.4033184428844928E-2</v>
      </c>
      <c r="DQ392" s="964">
        <f t="shared" si="1542"/>
        <v>4.4624746450304259E-2</v>
      </c>
      <c r="DR392" s="965">
        <f t="shared" si="1542"/>
        <v>4.6331850291002105E-2</v>
      </c>
      <c r="DS392" s="965">
        <f t="shared" si="1542"/>
        <v>4.4685990338164248E-2</v>
      </c>
      <c r="DT392" s="965">
        <f t="shared" si="1542"/>
        <v>4.6865489957395007E-2</v>
      </c>
      <c r="DU392" s="965">
        <f t="shared" si="1542"/>
        <v>4.4524669073405534E-2</v>
      </c>
      <c r="DV392" s="964">
        <f t="shared" si="1542"/>
        <v>4.5589519917877672E-2</v>
      </c>
      <c r="DW392" s="965">
        <f t="shared" si="1542"/>
        <v>4.5679012345679011E-2</v>
      </c>
      <c r="DX392" s="965">
        <f t="shared" si="1542"/>
        <v>4.4357102751263332E-2</v>
      </c>
      <c r="DY392" s="965">
        <f t="shared" si="1542"/>
        <v>4.379977246871445E-2</v>
      </c>
      <c r="DZ392" s="965">
        <f t="shared" si="1542"/>
        <v>4.3668122270742356E-2</v>
      </c>
      <c r="EA392" s="964">
        <f t="shared" si="1542"/>
        <v>4.4349421435072159E-2</v>
      </c>
      <c r="EB392" s="965">
        <f t="shared" si="1542"/>
        <v>4.4585675574830411E-2</v>
      </c>
      <c r="EC392" s="965">
        <f t="shared" si="1542"/>
        <v>4.2069357589539509E-2</v>
      </c>
      <c r="ED392" s="965">
        <f t="shared" si="1542"/>
        <v>4.2640186915887848E-2</v>
      </c>
      <c r="EE392" s="965">
        <f t="shared" si="1542"/>
        <v>4.2296072507552872E-2</v>
      </c>
      <c r="EF392" s="964">
        <f t="shared" si="1542"/>
        <v>4.2877871503942559E-2</v>
      </c>
      <c r="EG392" s="965">
        <f t="shared" si="1542"/>
        <v>4.3842682140554479E-2</v>
      </c>
      <c r="EH392" s="965">
        <f t="shared" si="1542"/>
        <v>4.2633228840125395E-2</v>
      </c>
      <c r="EI392" s="965">
        <f t="shared" si="1542"/>
        <v>4.3202033036848796E-2</v>
      </c>
      <c r="EJ392" s="965">
        <f t="shared" ref="EJ392" si="1543">+EJ11/EJ$23</f>
        <v>4.0439052570768345E-2</v>
      </c>
      <c r="EK392" s="964">
        <f>+EK11/EK$23</f>
        <v>4.2474035033328167E-2</v>
      </c>
      <c r="EL392" s="965"/>
      <c r="EM392" s="965"/>
      <c r="EN392" s="965"/>
      <c r="EO392" s="965"/>
      <c r="EP392" s="964">
        <f>+EP11/EP$23</f>
        <v>4.1250000000000002E-2</v>
      </c>
      <c r="EQ392" s="965"/>
      <c r="ER392" s="965"/>
      <c r="ES392" s="965"/>
      <c r="ET392" s="965"/>
      <c r="EU392" s="964">
        <f>+EU11/EU$23</f>
        <v>4.1395919515881688E-2</v>
      </c>
      <c r="EV392" s="203"/>
      <c r="EW392" s="203"/>
      <c r="EX392" s="203"/>
      <c r="EY392" s="203"/>
      <c r="EZ392" s="964">
        <f>+EZ11/EZ$23</f>
        <v>4.1088247299822495E-2</v>
      </c>
      <c r="FA392" s="203"/>
      <c r="FB392" s="203"/>
      <c r="FC392" s="203"/>
      <c r="FD392" s="203"/>
      <c r="FE392" s="964">
        <f>+FE11/FE$23</f>
        <v>4.0626702885984668E-2</v>
      </c>
      <c r="FG392" s="494"/>
      <c r="FH392" s="819"/>
      <c r="FI392" s="819"/>
      <c r="FJ392" s="819"/>
      <c r="FL392" s="1388"/>
      <c r="FM392"/>
      <c r="FN392"/>
      <c r="FO392"/>
      <c r="FP392"/>
      <c r="FQ392"/>
      <c r="FR392" s="1619"/>
      <c r="FS392" s="1619"/>
      <c r="FT392" s="205"/>
      <c r="FU392" s="205"/>
      <c r="FV392" s="205"/>
      <c r="FW392" s="205"/>
      <c r="FX392" s="205"/>
      <c r="FY392" s="205"/>
      <c r="FZ392" s="494"/>
      <c r="GA392"/>
      <c r="GB392"/>
      <c r="GC392"/>
      <c r="GD392"/>
      <c r="GE392"/>
      <c r="GF392"/>
      <c r="GG392"/>
      <c r="GH392"/>
      <c r="GI392"/>
      <c r="GJ392"/>
      <c r="GK392"/>
      <c r="GL392"/>
      <c r="GM392"/>
      <c r="GN392"/>
      <c r="GO392"/>
      <c r="GP392"/>
      <c r="GQ392"/>
      <c r="GR392"/>
      <c r="GS392"/>
      <c r="GT392"/>
      <c r="GU392"/>
      <c r="GV392"/>
      <c r="GW392"/>
      <c r="GX392"/>
      <c r="GY392"/>
      <c r="GZ392"/>
      <c r="HA392"/>
      <c r="HB392"/>
      <c r="HC392"/>
      <c r="HD392"/>
      <c r="HE392"/>
      <c r="HF392"/>
      <c r="HG392"/>
      <c r="HH392"/>
      <c r="HI392"/>
      <c r="HJ392"/>
      <c r="HK392"/>
      <c r="HL392"/>
      <c r="HM392"/>
      <c r="HN392"/>
      <c r="HO392"/>
      <c r="HP392"/>
      <c r="HQ392"/>
      <c r="HR392"/>
      <c r="HS392"/>
      <c r="HT392"/>
      <c r="HU392"/>
      <c r="HV392"/>
      <c r="HW392"/>
      <c r="HX392"/>
      <c r="HY392"/>
      <c r="HZ392"/>
      <c r="IA392"/>
      <c r="IB392"/>
      <c r="IC392"/>
      <c r="ID392"/>
      <c r="IE392"/>
      <c r="IF392"/>
      <c r="IG392"/>
      <c r="IH392"/>
      <c r="II392"/>
      <c r="IJ392"/>
      <c r="IK392"/>
      <c r="IL392"/>
      <c r="IM392"/>
      <c r="IN392"/>
      <c r="IO392"/>
      <c r="IP392"/>
      <c r="IQ392"/>
      <c r="IR392"/>
      <c r="IS392"/>
      <c r="IT392"/>
      <c r="IU392"/>
      <c r="IV392"/>
      <c r="IW392"/>
      <c r="IX392"/>
    </row>
    <row r="393" spans="1:258" s="45" customFormat="1" x14ac:dyDescent="0.2">
      <c r="A393" s="959" t="s">
        <v>155</v>
      </c>
      <c r="B393" s="10"/>
      <c r="C393" s="10"/>
      <c r="D393" s="10"/>
      <c r="E393" s="10"/>
      <c r="F393" s="9"/>
      <c r="G393" s="10"/>
      <c r="H393" s="10"/>
      <c r="I393" s="10"/>
      <c r="J393" s="10"/>
      <c r="K393" s="9"/>
      <c r="L393" s="10"/>
      <c r="M393" s="10"/>
      <c r="N393" s="10"/>
      <c r="O393" s="10"/>
      <c r="P393" s="9"/>
      <c r="Q393" s="10"/>
      <c r="R393" s="10"/>
      <c r="S393" s="10"/>
      <c r="T393" s="10"/>
      <c r="U393" s="9"/>
      <c r="V393" s="10"/>
      <c r="W393" s="292"/>
      <c r="X393" s="10"/>
      <c r="Y393" s="10"/>
      <c r="Z393" s="9"/>
      <c r="AA393" s="10"/>
      <c r="AB393" s="292"/>
      <c r="AC393" s="10"/>
      <c r="AD393" s="10"/>
      <c r="AE393" s="9"/>
      <c r="AF393" s="10"/>
      <c r="AG393" s="292"/>
      <c r="AH393" s="10"/>
      <c r="AI393" s="10"/>
      <c r="AJ393" s="9"/>
      <c r="AK393" s="10"/>
      <c r="AL393" s="292"/>
      <c r="AM393" s="10"/>
      <c r="AN393" s="10"/>
      <c r="AO393" s="9"/>
      <c r="AP393" s="10"/>
      <c r="AQ393" s="292"/>
      <c r="AR393" s="10"/>
      <c r="AS393" s="10"/>
      <c r="AT393" s="9"/>
      <c r="AU393" s="10"/>
      <c r="AV393" s="292"/>
      <c r="AW393" s="10"/>
      <c r="AX393" s="10"/>
      <c r="AY393" s="964">
        <f t="shared" ref="AY393:CD393" si="1544">+AY12/AY$23</f>
        <v>7.0083682008368203E-2</v>
      </c>
      <c r="AZ393" s="965">
        <f t="shared" si="1544"/>
        <v>6.9986541049798109E-2</v>
      </c>
      <c r="BA393" s="965">
        <f t="shared" si="1544"/>
        <v>7.1428571428571425E-2</v>
      </c>
      <c r="BB393" s="965">
        <f t="shared" si="1544"/>
        <v>5.9945504087193457E-2</v>
      </c>
      <c r="BC393" s="965">
        <f t="shared" si="1544"/>
        <v>5.8026030368763561E-2</v>
      </c>
      <c r="BD393" s="964">
        <f t="shared" si="1544"/>
        <v>6.4310114362097132E-2</v>
      </c>
      <c r="BE393" s="965">
        <f t="shared" si="1544"/>
        <v>5.1976177585273418E-2</v>
      </c>
      <c r="BF393" s="965">
        <f t="shared" si="1544"/>
        <v>6.1861215707369556E-2</v>
      </c>
      <c r="BG393" s="965">
        <f t="shared" si="1544"/>
        <v>6.3152114222954414E-2</v>
      </c>
      <c r="BH393" s="965">
        <f t="shared" si="1544"/>
        <v>5.8068118369625908E-2</v>
      </c>
      <c r="BI393" s="964">
        <f t="shared" si="1544"/>
        <v>5.8759223831647993E-2</v>
      </c>
      <c r="BJ393" s="965">
        <f t="shared" si="1544"/>
        <v>5.4145516074450083E-2</v>
      </c>
      <c r="BK393" s="965">
        <f t="shared" si="1544"/>
        <v>6.2882582081246516E-2</v>
      </c>
      <c r="BL393" s="965">
        <f t="shared" si="1544"/>
        <v>6.6516347237880497E-2</v>
      </c>
      <c r="BM393" s="965">
        <f t="shared" si="1544"/>
        <v>6.0879368658399095E-2</v>
      </c>
      <c r="BN393" s="964">
        <f t="shared" si="1544"/>
        <v>6.1112672098904183E-2</v>
      </c>
      <c r="BO393" s="965">
        <f t="shared" si="1544"/>
        <v>5.4770318021201414E-2</v>
      </c>
      <c r="BP393" s="965">
        <f t="shared" si="1544"/>
        <v>6.3535911602209949E-2</v>
      </c>
      <c r="BQ393" s="965">
        <f t="shared" si="1544"/>
        <v>6.3465783664459166E-2</v>
      </c>
      <c r="BR393" s="965">
        <f t="shared" si="1544"/>
        <v>5.7029926595143984E-2</v>
      </c>
      <c r="BS393" s="964">
        <f t="shared" si="1544"/>
        <v>5.9794105203779438E-2</v>
      </c>
      <c r="BT393" s="965">
        <f t="shared" si="1544"/>
        <v>5.7780320366132724E-2</v>
      </c>
      <c r="BU393" s="965">
        <f t="shared" si="1544"/>
        <v>6.7677314564158098E-2</v>
      </c>
      <c r="BV393" s="965">
        <f t="shared" si="1544"/>
        <v>7.1389346512905003E-2</v>
      </c>
      <c r="BW393" s="965">
        <f t="shared" si="1544"/>
        <v>6.427423674343867E-2</v>
      </c>
      <c r="BX393" s="964">
        <f t="shared" si="1544"/>
        <v>6.535768227378827E-2</v>
      </c>
      <c r="BY393" s="965">
        <f t="shared" si="1544"/>
        <v>6.1403508771929821E-2</v>
      </c>
      <c r="BZ393" s="965">
        <f t="shared" si="1544"/>
        <v>7.0304302203567676E-2</v>
      </c>
      <c r="CA393" s="965">
        <f t="shared" si="1544"/>
        <v>6.9345074298293896E-2</v>
      </c>
      <c r="CB393" s="965">
        <f t="shared" si="1544"/>
        <v>6.7574382249117493E-2</v>
      </c>
      <c r="CC393" s="964">
        <f t="shared" si="1544"/>
        <v>6.719787516600266E-2</v>
      </c>
      <c r="CD393" s="965">
        <f t="shared" si="1544"/>
        <v>6.2364425162689807E-2</v>
      </c>
      <c r="CE393" s="965">
        <f t="shared" ref="CE393:DJ393" si="1545">+CE12/CE$23</f>
        <v>7.2766185125735683E-2</v>
      </c>
      <c r="CF393" s="965">
        <f t="shared" si="1545"/>
        <v>7.2567344694887306E-2</v>
      </c>
      <c r="CG393" s="965">
        <f t="shared" si="1545"/>
        <v>6.7106710671067105E-2</v>
      </c>
      <c r="CH393" s="964">
        <f t="shared" si="1545"/>
        <v>6.8707482993197275E-2</v>
      </c>
      <c r="CI393" s="965">
        <f t="shared" si="1545"/>
        <v>6.7907995618838993E-2</v>
      </c>
      <c r="CJ393" s="965">
        <f t="shared" si="1545"/>
        <v>7.7005347593582893E-2</v>
      </c>
      <c r="CK393" s="965">
        <f t="shared" si="1545"/>
        <v>7.1814254859611237E-2</v>
      </c>
      <c r="CL393" s="965">
        <f t="shared" si="1545"/>
        <v>6.7955801104972374E-2</v>
      </c>
      <c r="CM393" s="964">
        <f t="shared" si="1545"/>
        <v>7.1215004077194888E-2</v>
      </c>
      <c r="CN393" s="965">
        <f t="shared" si="1545"/>
        <v>7.293447293447293E-2</v>
      </c>
      <c r="CO393" s="965">
        <f t="shared" si="1545"/>
        <v>8.2101806239737271E-2</v>
      </c>
      <c r="CP393" s="965">
        <f t="shared" si="1545"/>
        <v>7.8962210941906377E-2</v>
      </c>
      <c r="CQ393" s="965">
        <f t="shared" si="1545"/>
        <v>7.2685973878478138E-2</v>
      </c>
      <c r="CR393" s="964">
        <f t="shared" si="1545"/>
        <v>7.672849915682968E-2</v>
      </c>
      <c r="CS393" s="965">
        <f t="shared" si="1545"/>
        <v>6.6977285963890507E-2</v>
      </c>
      <c r="CT393" s="965">
        <f t="shared" si="1545"/>
        <v>7.4929577464788732E-2</v>
      </c>
      <c r="CU393" s="965">
        <f t="shared" si="1545"/>
        <v>7.2748267898383373E-2</v>
      </c>
      <c r="CV393" s="965">
        <f t="shared" si="1545"/>
        <v>7.0492825951341237E-2</v>
      </c>
      <c r="CW393" s="964">
        <f t="shared" si="1545"/>
        <v>7.1334407499633809E-2</v>
      </c>
      <c r="CX393" s="965">
        <f t="shared" si="1545"/>
        <v>6.4129668780831567E-2</v>
      </c>
      <c r="CY393" s="965">
        <f t="shared" si="1545"/>
        <v>7.5124025513819984E-2</v>
      </c>
      <c r="CZ393" s="965">
        <f t="shared" si="1545"/>
        <v>7.4402730375426621E-2</v>
      </c>
      <c r="DA393" s="965">
        <f t="shared" si="1545"/>
        <v>6.608811748998665E-2</v>
      </c>
      <c r="DB393" s="964">
        <f t="shared" si="1545"/>
        <v>6.991196271361988E-2</v>
      </c>
      <c r="DC393" s="965">
        <f t="shared" si="1545"/>
        <v>5.7200538358008077E-2</v>
      </c>
      <c r="DD393" s="965">
        <f t="shared" si="1545"/>
        <v>7.07133917396746E-2</v>
      </c>
      <c r="DE393" s="965">
        <f t="shared" si="1545"/>
        <v>7.0229956494717222E-2</v>
      </c>
      <c r="DF393" s="965">
        <f t="shared" si="1545"/>
        <v>6.3276167947959788E-2</v>
      </c>
      <c r="DG393" s="964">
        <f t="shared" si="1545"/>
        <v>6.5476190476190479E-2</v>
      </c>
      <c r="DH393" s="965">
        <f t="shared" si="1545"/>
        <v>5.9673366834170856E-2</v>
      </c>
      <c r="DI393" s="965">
        <f t="shared" si="1545"/>
        <v>7.1081409477521257E-2</v>
      </c>
      <c r="DJ393" s="965">
        <f t="shared" si="1545"/>
        <v>7.1649166151945651E-2</v>
      </c>
      <c r="DK393" s="965">
        <f t="shared" ref="DK393:EI393" si="1546">+DK12/DK$23</f>
        <v>6.856084002470661E-2</v>
      </c>
      <c r="DL393" s="964">
        <f t="shared" si="1546"/>
        <v>6.7788758492896853E-2</v>
      </c>
      <c r="DM393" s="965">
        <f t="shared" si="1546"/>
        <v>5.6803995006242197E-2</v>
      </c>
      <c r="DN393" s="965">
        <f t="shared" si="1546"/>
        <v>6.4634146341463417E-2</v>
      </c>
      <c r="DO393" s="965">
        <f t="shared" si="1546"/>
        <v>6.6875000000000004E-2</v>
      </c>
      <c r="DP393" s="965">
        <f t="shared" si="1546"/>
        <v>6.636885768985322E-2</v>
      </c>
      <c r="DQ393" s="964">
        <f t="shared" si="1546"/>
        <v>6.3660477453580902E-2</v>
      </c>
      <c r="DR393" s="965">
        <f t="shared" si="1546"/>
        <v>5.6486776382180644E-2</v>
      </c>
      <c r="DS393" s="965">
        <f t="shared" si="1546"/>
        <v>6.6425120772946863E-2</v>
      </c>
      <c r="DT393" s="965">
        <f t="shared" si="1546"/>
        <v>7.3037127206329891E-2</v>
      </c>
      <c r="DU393" s="965">
        <f t="shared" si="1546"/>
        <v>6.3778580024067388E-2</v>
      </c>
      <c r="DV393" s="964">
        <f t="shared" si="1546"/>
        <v>6.501861062113426E-2</v>
      </c>
      <c r="DW393" s="965">
        <f t="shared" si="1546"/>
        <v>3.271604938271605E-2</v>
      </c>
      <c r="DX393" s="965">
        <f t="shared" si="1546"/>
        <v>4.3795620437956206E-2</v>
      </c>
      <c r="DY393" s="965">
        <f t="shared" si="1546"/>
        <v>4.7212741751990896E-2</v>
      </c>
      <c r="DZ393" s="965">
        <f t="shared" si="1546"/>
        <v>4.1966766857596545E-2</v>
      </c>
      <c r="EA393" s="964">
        <f t="shared" si="1546"/>
        <v>4.1604668968406457E-2</v>
      </c>
      <c r="EB393" s="965">
        <f t="shared" si="1546"/>
        <v>3.6089379323844074E-2</v>
      </c>
      <c r="EC393" s="965">
        <f t="shared" si="1546"/>
        <v>4.6617396247868106E-2</v>
      </c>
      <c r="ED393" s="965">
        <f t="shared" si="1546"/>
        <v>5.0817757009345793E-2</v>
      </c>
      <c r="EE393" s="965">
        <f t="shared" si="1546"/>
        <v>4.7129909365558914E-2</v>
      </c>
      <c r="EF393" s="964">
        <f t="shared" si="1546"/>
        <v>4.5260715030550985E-2</v>
      </c>
      <c r="EG393" s="965">
        <f t="shared" si="1546"/>
        <v>3.7395228884590584E-2</v>
      </c>
      <c r="EH393" s="965">
        <f t="shared" si="1546"/>
        <v>5.3918495297805645E-2</v>
      </c>
      <c r="EI393" s="965">
        <f t="shared" si="1546"/>
        <v>5.4637865311308764E-2</v>
      </c>
      <c r="EJ393" s="965">
        <f t="shared" ref="EJ393" si="1547">+EJ12/EJ$23</f>
        <v>4.6216060080878106E-2</v>
      </c>
      <c r="EK393" s="964">
        <f>+EK12/EK$23</f>
        <v>4.8054565183692451E-2</v>
      </c>
      <c r="EL393" s="965"/>
      <c r="EM393" s="965"/>
      <c r="EN393" s="965"/>
      <c r="EO393" s="965"/>
      <c r="EP393" s="964">
        <f>+EP12/EP$23</f>
        <v>4.8125000000000001E-2</v>
      </c>
      <c r="EQ393" s="965"/>
      <c r="ER393" s="965"/>
      <c r="ES393" s="965"/>
      <c r="ET393" s="965"/>
      <c r="EU393" s="964">
        <f>+EU12/EU$23</f>
        <v>4.9109020154041928E-2</v>
      </c>
      <c r="EV393" s="203"/>
      <c r="EW393" s="203"/>
      <c r="EX393" s="203"/>
      <c r="EY393" s="203"/>
      <c r="EZ393" s="964">
        <f>+EZ12/EZ$23</f>
        <v>4.9229036001235876E-2</v>
      </c>
      <c r="FA393" s="203"/>
      <c r="FB393" s="203"/>
      <c r="FC393" s="203"/>
      <c r="FD393" s="203"/>
      <c r="FE393" s="964">
        <f>+FE12/FE$23</f>
        <v>4.9160384848760917E-2</v>
      </c>
      <c r="FG393" s="494"/>
      <c r="FH393" s="819"/>
      <c r="FI393" s="819"/>
      <c r="FJ393" s="819"/>
      <c r="FL393" s="1388"/>
      <c r="FM393"/>
      <c r="FN393"/>
      <c r="FO393"/>
      <c r="FP393"/>
      <c r="FQ393"/>
      <c r="FR393" s="1619"/>
      <c r="FS393" s="1619"/>
      <c r="FT393" s="205"/>
      <c r="FU393" s="205"/>
      <c r="FV393" s="205"/>
      <c r="FW393" s="205"/>
      <c r="FX393" s="205"/>
      <c r="FY393" s="205"/>
      <c r="FZ393" s="494"/>
      <c r="GA393"/>
      <c r="GB393"/>
      <c r="GC393"/>
      <c r="GD393"/>
      <c r="GE393"/>
      <c r="GF393"/>
      <c r="GG393"/>
      <c r="GH393"/>
      <c r="GI393"/>
      <c r="GJ393"/>
      <c r="GK393"/>
      <c r="GL393"/>
      <c r="GM393"/>
      <c r="GN393"/>
      <c r="GO393"/>
      <c r="GP393"/>
      <c r="GQ393"/>
      <c r="GR393"/>
      <c r="GS393"/>
      <c r="GT393"/>
      <c r="GU393"/>
      <c r="GV393"/>
      <c r="GW393"/>
      <c r="GX393"/>
      <c r="GY393"/>
      <c r="GZ393"/>
      <c r="HA393"/>
      <c r="HB393"/>
      <c r="HC393"/>
      <c r="HD393"/>
      <c r="HE393"/>
      <c r="HF393"/>
      <c r="HG393"/>
      <c r="HH393"/>
      <c r="HI393"/>
      <c r="HJ393"/>
      <c r="HK393"/>
      <c r="HL393"/>
      <c r="HM393"/>
      <c r="HN393"/>
      <c r="HO393"/>
      <c r="HP393"/>
      <c r="HQ393"/>
      <c r="HR393"/>
      <c r="HS393"/>
      <c r="HT393"/>
      <c r="HU393"/>
      <c r="HV393"/>
      <c r="HW393"/>
      <c r="HX393"/>
      <c r="HY393"/>
      <c r="HZ393"/>
      <c r="IA393"/>
      <c r="IB393"/>
      <c r="IC393"/>
      <c r="ID393"/>
      <c r="IE393"/>
      <c r="IF393"/>
      <c r="IG393"/>
      <c r="IH393"/>
      <c r="II393"/>
      <c r="IJ393"/>
      <c r="IK393"/>
      <c r="IL393"/>
      <c r="IM393"/>
      <c r="IN393"/>
      <c r="IO393"/>
      <c r="IP393"/>
      <c r="IQ393"/>
      <c r="IR393"/>
      <c r="IS393"/>
      <c r="IT393"/>
      <c r="IU393"/>
      <c r="IV393"/>
      <c r="IW393"/>
      <c r="IX393"/>
    </row>
    <row r="394" spans="1:258" s="45" customFormat="1" x14ac:dyDescent="0.2">
      <c r="A394" s="959" t="s">
        <v>160</v>
      </c>
      <c r="B394" s="10"/>
      <c r="C394" s="10"/>
      <c r="D394" s="10"/>
      <c r="E394" s="10"/>
      <c r="F394" s="9"/>
      <c r="G394" s="10"/>
      <c r="H394" s="10"/>
      <c r="I394" s="10"/>
      <c r="J394" s="10"/>
      <c r="K394" s="9"/>
      <c r="L394" s="10"/>
      <c r="M394" s="10"/>
      <c r="N394" s="10"/>
      <c r="O394" s="10"/>
      <c r="P394" s="9"/>
      <c r="Q394" s="10"/>
      <c r="R394" s="10"/>
      <c r="S394" s="10"/>
      <c r="T394" s="10"/>
      <c r="U394" s="9"/>
      <c r="V394" s="10"/>
      <c r="W394" s="292"/>
      <c r="X394" s="10"/>
      <c r="Y394" s="10"/>
      <c r="Z394" s="9"/>
      <c r="AA394" s="10"/>
      <c r="AB394" s="292"/>
      <c r="AC394" s="10"/>
      <c r="AD394" s="10"/>
      <c r="AE394" s="9"/>
      <c r="AF394" s="10"/>
      <c r="AG394" s="292"/>
      <c r="AH394" s="10"/>
      <c r="AI394" s="10"/>
      <c r="AJ394" s="9"/>
      <c r="AK394" s="10"/>
      <c r="AL394" s="292"/>
      <c r="AM394" s="10"/>
      <c r="AN394" s="10"/>
      <c r="AO394" s="9"/>
      <c r="AP394" s="10"/>
      <c r="AQ394" s="292"/>
      <c r="AR394" s="10"/>
      <c r="AS394" s="10"/>
      <c r="AT394" s="9"/>
      <c r="AU394" s="10"/>
      <c r="AV394" s="292"/>
      <c r="AW394" s="10"/>
      <c r="AX394" s="10"/>
      <c r="AY394" s="964">
        <f t="shared" ref="AY394:CD394" si="1548">+AY16/AY$23</f>
        <v>4.6722454672245464E-2</v>
      </c>
      <c r="AZ394" s="965">
        <f t="shared" si="1548"/>
        <v>4.8452220726783311E-2</v>
      </c>
      <c r="BA394" s="965">
        <f t="shared" si="1548"/>
        <v>4.9744897959183673E-2</v>
      </c>
      <c r="BB394" s="965">
        <f t="shared" si="1548"/>
        <v>4.632152588555858E-2</v>
      </c>
      <c r="BC394" s="965">
        <f t="shared" si="1548"/>
        <v>4.5553145336225599E-2</v>
      </c>
      <c r="BD394" s="964">
        <f t="shared" si="1548"/>
        <v>4.737858309817318E-2</v>
      </c>
      <c r="BE394" s="965">
        <f t="shared" si="1548"/>
        <v>4.9269085002707096E-2</v>
      </c>
      <c r="BF394" s="965">
        <f t="shared" si="1548"/>
        <v>4.7875201721355565E-2</v>
      </c>
      <c r="BG394" s="965">
        <f t="shared" si="1548"/>
        <v>4.6128500823723231E-2</v>
      </c>
      <c r="BH394" s="965">
        <f t="shared" si="1548"/>
        <v>4.4109436069235064E-2</v>
      </c>
      <c r="BI394" s="964">
        <f t="shared" si="1548"/>
        <v>4.6870729707570377E-2</v>
      </c>
      <c r="BJ394" s="965">
        <f t="shared" si="1548"/>
        <v>4.5685279187817257E-2</v>
      </c>
      <c r="BK394" s="965">
        <f t="shared" si="1548"/>
        <v>4.618809126321647E-2</v>
      </c>
      <c r="BL394" s="965">
        <f t="shared" si="1548"/>
        <v>4.5659526493799327E-2</v>
      </c>
      <c r="BM394" s="965">
        <f t="shared" si="1548"/>
        <v>4.1713641488162347E-2</v>
      </c>
      <c r="BN394" s="964">
        <f t="shared" si="1548"/>
        <v>4.4815959539196405E-2</v>
      </c>
      <c r="BO394" s="965">
        <f t="shared" si="1548"/>
        <v>4.5347467608951711E-2</v>
      </c>
      <c r="BP394" s="965">
        <f t="shared" si="1548"/>
        <v>4.4198895027624308E-2</v>
      </c>
      <c r="BQ394" s="965">
        <f t="shared" si="1548"/>
        <v>4.5805739514348784E-2</v>
      </c>
      <c r="BR394" s="965">
        <f t="shared" si="1548"/>
        <v>4.4607566346696784E-2</v>
      </c>
      <c r="BS394" s="964">
        <f t="shared" si="1548"/>
        <v>4.4986602735862358E-2</v>
      </c>
      <c r="BT394" s="965">
        <f t="shared" si="1548"/>
        <v>5.0343249427917618E-2</v>
      </c>
      <c r="BU394" s="965">
        <f t="shared" si="1548"/>
        <v>4.710341093665403E-2</v>
      </c>
      <c r="BV394" s="965">
        <f t="shared" si="1548"/>
        <v>4.6677649643053265E-2</v>
      </c>
      <c r="BW394" s="965">
        <f t="shared" si="1548"/>
        <v>4.7134440278521691E-2</v>
      </c>
      <c r="BX394" s="964">
        <f t="shared" si="1548"/>
        <v>4.7782507208567901E-2</v>
      </c>
      <c r="BY394" s="965">
        <f t="shared" si="1548"/>
        <v>5.1535087719298246E-2</v>
      </c>
      <c r="BZ394" s="965">
        <f t="shared" si="1548"/>
        <v>4.9842602308499476E-2</v>
      </c>
      <c r="CA394" s="965">
        <f t="shared" si="1548"/>
        <v>5.2283984589983491E-2</v>
      </c>
      <c r="CB394" s="965">
        <f t="shared" si="1548"/>
        <v>4.8411497730711045E-2</v>
      </c>
      <c r="CC394" s="964">
        <f t="shared" si="1548"/>
        <v>5.0464807436918988E-2</v>
      </c>
      <c r="CD394" s="965">
        <f t="shared" si="1548"/>
        <v>5.0433839479392624E-2</v>
      </c>
      <c r="CE394" s="965">
        <f t="shared" ref="CE394:DJ394" si="1549">+CE16/CE$23</f>
        <v>4.9224184055644729E-2</v>
      </c>
      <c r="CF394" s="965">
        <f t="shared" si="1549"/>
        <v>4.8378229796591531E-2</v>
      </c>
      <c r="CG394" s="965">
        <f t="shared" si="1549"/>
        <v>4.8404840484048403E-2</v>
      </c>
      <c r="CH394" s="964">
        <f t="shared" si="1549"/>
        <v>4.9115646258503398E-2</v>
      </c>
      <c r="CI394" s="965">
        <f t="shared" si="1549"/>
        <v>5.1478641840087623E-2</v>
      </c>
      <c r="CJ394" s="965">
        <f t="shared" si="1549"/>
        <v>5.0802139037433157E-2</v>
      </c>
      <c r="CK394" s="965">
        <f t="shared" si="1549"/>
        <v>4.913606911447084E-2</v>
      </c>
      <c r="CL394" s="965">
        <f t="shared" si="1549"/>
        <v>4.6408839779005527E-2</v>
      </c>
      <c r="CM394" s="964">
        <f t="shared" si="1549"/>
        <v>4.9469964664310952E-2</v>
      </c>
      <c r="CN394" s="965">
        <f t="shared" si="1549"/>
        <v>5.2991452991452991E-2</v>
      </c>
      <c r="CO394" s="965">
        <f t="shared" si="1549"/>
        <v>5.1450465243568694E-2</v>
      </c>
      <c r="CP394" s="965">
        <f t="shared" si="1549"/>
        <v>5.0197405527354765E-2</v>
      </c>
      <c r="CQ394" s="965">
        <f t="shared" si="1549"/>
        <v>4.4860874503123226E-2</v>
      </c>
      <c r="CR394" s="964">
        <f t="shared" si="1549"/>
        <v>4.9887577290612703E-2</v>
      </c>
      <c r="CS394" s="965">
        <f t="shared" si="1549"/>
        <v>5.3581828771112408E-2</v>
      </c>
      <c r="CT394" s="965">
        <f t="shared" si="1549"/>
        <v>5.4084507042253524E-2</v>
      </c>
      <c r="CU394" s="965">
        <f t="shared" si="1549"/>
        <v>5.3117782909930716E-2</v>
      </c>
      <c r="CV394" s="965">
        <f t="shared" si="1549"/>
        <v>3.5558328134747345E-2</v>
      </c>
      <c r="CW394" s="964">
        <f t="shared" si="1549"/>
        <v>4.9362824080855426E-2</v>
      </c>
      <c r="CX394" s="965">
        <f t="shared" si="1549"/>
        <v>3.382663847780127E-2</v>
      </c>
      <c r="CY394" s="965">
        <f t="shared" si="1549"/>
        <v>3.1892274982282066E-2</v>
      </c>
      <c r="CZ394" s="965">
        <f t="shared" si="1549"/>
        <v>3.7542662116040959E-2</v>
      </c>
      <c r="DA394" s="965">
        <f t="shared" si="1549"/>
        <v>3.4712950600801068E-2</v>
      </c>
      <c r="DB394" s="964">
        <f t="shared" si="1549"/>
        <v>3.4524426031417227E-2</v>
      </c>
      <c r="DC394" s="965">
        <f t="shared" si="1549"/>
        <v>4.1049798115746973E-2</v>
      </c>
      <c r="DD394" s="965">
        <f t="shared" si="1549"/>
        <v>4.0675844806007506E-2</v>
      </c>
      <c r="DE394" s="965">
        <f t="shared" si="1549"/>
        <v>3.5425730267246734E-2</v>
      </c>
      <c r="DF394" s="965">
        <f t="shared" si="1549"/>
        <v>3.5481963335304553E-2</v>
      </c>
      <c r="DG394" s="964">
        <f t="shared" si="1549"/>
        <v>3.8063909774436092E-2</v>
      </c>
      <c r="DH394" s="965">
        <f t="shared" si="1549"/>
        <v>4.2085427135678394E-2</v>
      </c>
      <c r="DI394" s="965">
        <f t="shared" si="1549"/>
        <v>4.1312272174969626E-2</v>
      </c>
      <c r="DJ394" s="965">
        <f t="shared" si="1549"/>
        <v>4.0765904879555281E-2</v>
      </c>
      <c r="DK394" s="965">
        <f t="shared" ref="DK394:EI394" si="1550">+DK16/DK$23</f>
        <v>3.9530574428659669E-2</v>
      </c>
      <c r="DL394" s="964">
        <f t="shared" si="1550"/>
        <v>4.0920321185917236E-2</v>
      </c>
      <c r="DM394" s="965">
        <f t="shared" si="1550"/>
        <v>4.49438202247191E-2</v>
      </c>
      <c r="DN394" s="965">
        <f t="shared" si="1550"/>
        <v>4.0853658536585367E-2</v>
      </c>
      <c r="DO394" s="965">
        <f t="shared" si="1550"/>
        <v>0.04</v>
      </c>
      <c r="DP394" s="965">
        <f t="shared" si="1550"/>
        <v>3.8289725590299938E-2</v>
      </c>
      <c r="DQ394" s="964">
        <f t="shared" si="1550"/>
        <v>4.1036043064440628E-2</v>
      </c>
      <c r="DR394" s="965">
        <f t="shared" si="1550"/>
        <v>4.188907012611149E-2</v>
      </c>
      <c r="DS394" s="965">
        <f t="shared" si="1550"/>
        <v>3.9855072463768113E-2</v>
      </c>
      <c r="DT394" s="965">
        <f t="shared" si="1550"/>
        <v>4.0779062690200853E-2</v>
      </c>
      <c r="DU394" s="965">
        <f t="shared" si="1550"/>
        <v>3.7906137184115521E-2</v>
      </c>
      <c r="DV394" s="964">
        <f t="shared" si="1550"/>
        <v>4.0082061135852179E-2</v>
      </c>
      <c r="DW394" s="965">
        <f t="shared" si="1550"/>
        <v>4.8148148148148148E-2</v>
      </c>
      <c r="DX394" s="965">
        <f t="shared" si="1550"/>
        <v>4.8848961257720383E-2</v>
      </c>
      <c r="DY394" s="965">
        <f t="shared" si="1550"/>
        <v>4.9488054607508533E-2</v>
      </c>
      <c r="DZ394" s="965">
        <f t="shared" si="1550"/>
        <v>4.4802359212839558E-2</v>
      </c>
      <c r="EA394" s="964">
        <f t="shared" si="1550"/>
        <v>4.7816477182439358E-2</v>
      </c>
      <c r="EB394" s="965">
        <f t="shared" si="1550"/>
        <v>4.4041276462996153E-2</v>
      </c>
      <c r="EC394" s="965">
        <f t="shared" si="1550"/>
        <v>4.2637862421830583E-2</v>
      </c>
      <c r="ED394" s="965">
        <f t="shared" si="1550"/>
        <v>4.2056074766355138E-2</v>
      </c>
      <c r="EE394" s="965">
        <f t="shared" si="1550"/>
        <v>3.9274924471299093E-2</v>
      </c>
      <c r="EF394" s="964">
        <f t="shared" si="1550"/>
        <v>4.2006676695021172E-2</v>
      </c>
      <c r="EG394" s="965">
        <f t="shared" si="1550"/>
        <v>3.9974210186976146E-2</v>
      </c>
      <c r="EH394" s="965">
        <f t="shared" si="1550"/>
        <v>4.4514106583072102E-2</v>
      </c>
      <c r="EI394" s="965">
        <f t="shared" si="1550"/>
        <v>4.0025412960609914E-2</v>
      </c>
      <c r="EJ394" s="965">
        <f t="shared" ref="EJ394" si="1551">+EJ16/EJ$23</f>
        <v>3.6395147313691506E-2</v>
      </c>
      <c r="EK394" s="964">
        <f>+EK16/EK$23</f>
        <v>4.0148814137343045E-2</v>
      </c>
      <c r="EL394" s="965"/>
      <c r="EM394" s="965"/>
      <c r="EN394" s="965"/>
      <c r="EO394" s="965"/>
      <c r="EP394" s="964">
        <f>+EP16/EP$23</f>
        <v>0.04</v>
      </c>
      <c r="EQ394" s="965"/>
      <c r="ER394" s="965"/>
      <c r="ES394" s="965"/>
      <c r="ET394" s="965"/>
      <c r="EU394" s="964">
        <f>+EU16/EU$23</f>
        <v>4.0189396589195056E-2</v>
      </c>
      <c r="EV394" s="203"/>
      <c r="EW394" s="203"/>
      <c r="EX394" s="203"/>
      <c r="EY394" s="203"/>
      <c r="EZ394" s="964">
        <f>+EZ16/EZ$23</f>
        <v>4.0287614074796196E-2</v>
      </c>
      <c r="FA394" s="203"/>
      <c r="FB394" s="203"/>
      <c r="FC394" s="203"/>
      <c r="FD394" s="203"/>
      <c r="FE394" s="964">
        <f>+FE16/FE$23</f>
        <v>4.0231431964371948E-2</v>
      </c>
      <c r="FG394" s="494"/>
      <c r="FH394" s="819"/>
      <c r="FI394" s="819"/>
      <c r="FJ394" s="819"/>
      <c r="FL394" s="1388"/>
      <c r="FM394"/>
      <c r="FN394"/>
      <c r="FO394"/>
      <c r="FP394"/>
      <c r="FQ394"/>
      <c r="FR394" s="1619"/>
      <c r="FS394" s="1619"/>
      <c r="FT394" s="205"/>
      <c r="FU394" s="205"/>
      <c r="FV394" s="205"/>
      <c r="FW394" s="205"/>
      <c r="FX394" s="205"/>
      <c r="FY394" s="205"/>
      <c r="FZ394" s="494"/>
      <c r="GA394"/>
      <c r="GB394"/>
      <c r="GC394"/>
      <c r="GD394"/>
      <c r="GE394"/>
      <c r="GF394"/>
      <c r="GG394"/>
      <c r="GH394"/>
      <c r="GI394"/>
      <c r="GJ394"/>
      <c r="GK394"/>
      <c r="GL394"/>
      <c r="GM394"/>
      <c r="GN394"/>
      <c r="GO394"/>
      <c r="GP394"/>
      <c r="GQ394"/>
      <c r="GR394"/>
      <c r="GS394"/>
      <c r="GT394"/>
      <c r="GU394"/>
      <c r="GV394"/>
      <c r="GW394"/>
      <c r="GX394"/>
      <c r="GY394"/>
      <c r="GZ394"/>
      <c r="HA394"/>
      <c r="HB394"/>
      <c r="HC394"/>
      <c r="HD394"/>
      <c r="HE394"/>
      <c r="HF394"/>
      <c r="HG394"/>
      <c r="HH394"/>
      <c r="HI394"/>
      <c r="HJ394"/>
      <c r="HK394"/>
      <c r="HL394"/>
      <c r="HM394"/>
      <c r="HN394"/>
      <c r="HO394"/>
      <c r="HP394"/>
      <c r="HQ394"/>
      <c r="HR394"/>
      <c r="HS394"/>
      <c r="HT394"/>
      <c r="HU394"/>
      <c r="HV394"/>
      <c r="HW394"/>
      <c r="HX394"/>
      <c r="HY394"/>
      <c r="HZ394"/>
      <c r="IA394"/>
      <c r="IB394"/>
      <c r="IC394"/>
      <c r="ID394"/>
      <c r="IE394"/>
      <c r="IF394"/>
      <c r="IG394"/>
      <c r="IH394"/>
      <c r="II394"/>
      <c r="IJ394"/>
      <c r="IK394"/>
      <c r="IL394"/>
      <c r="IM394"/>
      <c r="IN394"/>
      <c r="IO394"/>
      <c r="IP394"/>
      <c r="IQ394"/>
      <c r="IR394"/>
      <c r="IS394"/>
      <c r="IT394"/>
      <c r="IU394"/>
      <c r="IV394"/>
      <c r="IW394"/>
      <c r="IX394"/>
    </row>
    <row r="395" spans="1:258" s="45" customFormat="1" x14ac:dyDescent="0.2">
      <c r="A395" s="959" t="s">
        <v>161</v>
      </c>
      <c r="B395" s="10"/>
      <c r="C395" s="10"/>
      <c r="D395" s="10"/>
      <c r="E395" s="10"/>
      <c r="F395" s="9"/>
      <c r="G395" s="10"/>
      <c r="H395" s="10"/>
      <c r="I395" s="10"/>
      <c r="J395" s="10"/>
      <c r="K395" s="9"/>
      <c r="L395" s="10"/>
      <c r="M395" s="10"/>
      <c r="N395" s="10"/>
      <c r="O395" s="10"/>
      <c r="P395" s="9"/>
      <c r="Q395" s="10"/>
      <c r="R395" s="10"/>
      <c r="S395" s="10"/>
      <c r="T395" s="10"/>
      <c r="U395" s="9"/>
      <c r="V395" s="10"/>
      <c r="W395" s="292"/>
      <c r="X395" s="10"/>
      <c r="Y395" s="10"/>
      <c r="Z395" s="9"/>
      <c r="AA395" s="10"/>
      <c r="AB395" s="292"/>
      <c r="AC395" s="10"/>
      <c r="AD395" s="10"/>
      <c r="AE395" s="9"/>
      <c r="AF395" s="10"/>
      <c r="AG395" s="292"/>
      <c r="AH395" s="10"/>
      <c r="AI395" s="10"/>
      <c r="AJ395" s="9"/>
      <c r="AK395" s="10"/>
      <c r="AL395" s="292"/>
      <c r="AM395" s="10"/>
      <c r="AN395" s="10"/>
      <c r="AO395" s="9"/>
      <c r="AP395" s="10"/>
      <c r="AQ395" s="292"/>
      <c r="AR395" s="10"/>
      <c r="AS395" s="10"/>
      <c r="AT395" s="9"/>
      <c r="AU395" s="10"/>
      <c r="AV395" s="292"/>
      <c r="AW395" s="10"/>
      <c r="AX395" s="10"/>
      <c r="AY395" s="964">
        <f t="shared" ref="AY395:CD395" si="1552">+AY19/AY$23</f>
        <v>7.7405857740585768E-2</v>
      </c>
      <c r="AZ395" s="965">
        <f t="shared" si="1552"/>
        <v>8.1426648721399736E-2</v>
      </c>
      <c r="BA395" s="965">
        <f t="shared" si="1552"/>
        <v>8.2270408163265307E-2</v>
      </c>
      <c r="BB395" s="965">
        <f t="shared" si="1552"/>
        <v>8.0108991825613082E-2</v>
      </c>
      <c r="BC395" s="965">
        <f t="shared" si="1552"/>
        <v>8.0260303687635579E-2</v>
      </c>
      <c r="BD395" s="964">
        <f t="shared" si="1552"/>
        <v>8.0944601217882078E-2</v>
      </c>
      <c r="BE395" s="965">
        <f t="shared" si="1552"/>
        <v>7.6881429344883595E-2</v>
      </c>
      <c r="BF395" s="965">
        <f t="shared" si="1552"/>
        <v>7.7998924152770308E-2</v>
      </c>
      <c r="BG395" s="965">
        <f t="shared" si="1552"/>
        <v>7.6880834706205381E-2</v>
      </c>
      <c r="BH395" s="965">
        <f t="shared" si="1552"/>
        <v>7.6493579006141815E-2</v>
      </c>
      <c r="BI395" s="964">
        <f t="shared" si="1552"/>
        <v>7.7070237769882477E-2</v>
      </c>
      <c r="BJ395" s="965">
        <f t="shared" si="1552"/>
        <v>7.8962210941906377E-2</v>
      </c>
      <c r="BK395" s="965">
        <f t="shared" si="1552"/>
        <v>7.6794657762938229E-2</v>
      </c>
      <c r="BL395" s="965">
        <f t="shared" si="1552"/>
        <v>7.4971815107102588E-2</v>
      </c>
      <c r="BM395" s="965">
        <f t="shared" si="1552"/>
        <v>7.2717023675310036E-2</v>
      </c>
      <c r="BN395" s="964">
        <f t="shared" si="1552"/>
        <v>7.5864006743467272E-2</v>
      </c>
      <c r="BO395" s="965">
        <f t="shared" si="1552"/>
        <v>7.8916372202591289E-2</v>
      </c>
      <c r="BP395" s="965">
        <f t="shared" si="1552"/>
        <v>7.6795580110497239E-2</v>
      </c>
      <c r="BQ395" s="965">
        <f t="shared" si="1552"/>
        <v>7.3399558498896247E-2</v>
      </c>
      <c r="BR395" s="965">
        <f t="shared" si="1552"/>
        <v>7.5098814229249009E-2</v>
      </c>
      <c r="BS395" s="964">
        <f t="shared" si="1552"/>
        <v>7.6011846001974331E-2</v>
      </c>
      <c r="BT395" s="965">
        <f t="shared" si="1552"/>
        <v>7.8375286041189929E-2</v>
      </c>
      <c r="BU395" s="965">
        <f t="shared" si="1552"/>
        <v>7.2008662696264214E-2</v>
      </c>
      <c r="BV395" s="965">
        <f t="shared" si="1552"/>
        <v>7.4684239428885232E-2</v>
      </c>
      <c r="BW395" s="965">
        <f t="shared" si="1552"/>
        <v>7.2308516336368506E-2</v>
      </c>
      <c r="BX395" s="964">
        <f t="shared" si="1552"/>
        <v>7.4282575861595493E-2</v>
      </c>
      <c r="BY395" s="965">
        <f t="shared" si="1552"/>
        <v>7.6206140350877194E-2</v>
      </c>
      <c r="BZ395" s="965">
        <f t="shared" si="1552"/>
        <v>7.3452256033578175E-2</v>
      </c>
      <c r="CA395" s="965">
        <f t="shared" si="1552"/>
        <v>7.6499724821133736E-2</v>
      </c>
      <c r="CB395" s="965">
        <f t="shared" si="1552"/>
        <v>7.3625819465456377E-2</v>
      </c>
      <c r="CC395" s="964">
        <f t="shared" si="1552"/>
        <v>7.4900398406374497E-2</v>
      </c>
      <c r="CD395" s="965">
        <f t="shared" si="1552"/>
        <v>7.5921908893709325E-2</v>
      </c>
      <c r="CE395" s="965">
        <f t="shared" ref="CE395:DJ395" si="1553">+CE19/CE$23</f>
        <v>7.2231139646869988E-2</v>
      </c>
      <c r="CF395" s="965">
        <f t="shared" si="1553"/>
        <v>7.2017592083562398E-2</v>
      </c>
      <c r="CG395" s="965">
        <f t="shared" si="1553"/>
        <v>6.9856985698569851E-2</v>
      </c>
      <c r="CH395" s="964">
        <f t="shared" si="1553"/>
        <v>7.2517006802721093E-2</v>
      </c>
      <c r="CI395" s="965">
        <f t="shared" si="1553"/>
        <v>7.3932092004381167E-2</v>
      </c>
      <c r="CJ395" s="965">
        <f t="shared" si="1553"/>
        <v>7.1657754010695185E-2</v>
      </c>
      <c r="CK395" s="965">
        <f t="shared" si="1553"/>
        <v>7.1814254859611237E-2</v>
      </c>
      <c r="CL395" s="965">
        <f t="shared" si="1553"/>
        <v>6.9613259668508287E-2</v>
      </c>
      <c r="CM395" s="964">
        <f t="shared" si="1553"/>
        <v>7.1758630062516982E-2</v>
      </c>
      <c r="CN395" s="965">
        <f t="shared" si="1553"/>
        <v>7.635327635327635E-2</v>
      </c>
      <c r="CO395" s="965">
        <f t="shared" si="1553"/>
        <v>7.443897099069513E-2</v>
      </c>
      <c r="CP395" s="965">
        <f t="shared" si="1553"/>
        <v>7.388606880992668E-2</v>
      </c>
      <c r="CQ395" s="965">
        <f t="shared" si="1553"/>
        <v>7.1550255536626917E-2</v>
      </c>
      <c r="CR395" s="964">
        <f t="shared" si="1553"/>
        <v>7.4058459808881399E-2</v>
      </c>
      <c r="CS395" s="965">
        <f t="shared" si="1553"/>
        <v>7.5131042516016308E-2</v>
      </c>
      <c r="CT395" s="965">
        <f t="shared" si="1553"/>
        <v>7.3802816901408455E-2</v>
      </c>
      <c r="CU395" s="965">
        <f t="shared" si="1553"/>
        <v>7.2170900692840642E-2</v>
      </c>
      <c r="CV395" s="965">
        <f t="shared" si="1553"/>
        <v>6.7373674360573926E-2</v>
      </c>
      <c r="CW395" s="964">
        <f t="shared" si="1553"/>
        <v>7.2213270836384943E-2</v>
      </c>
      <c r="CX395" s="965">
        <f t="shared" si="1553"/>
        <v>7.399577167019028E-2</v>
      </c>
      <c r="CY395" s="965">
        <f t="shared" si="1553"/>
        <v>7.44153082919915E-2</v>
      </c>
      <c r="CZ395" s="965">
        <f t="shared" si="1553"/>
        <v>7.5085324232081918E-2</v>
      </c>
      <c r="DA395" s="965">
        <f t="shared" si="1553"/>
        <v>6.9425901201602136E-2</v>
      </c>
      <c r="DB395" s="964">
        <f t="shared" si="1553"/>
        <v>7.319178318660452E-2</v>
      </c>
      <c r="DC395" s="965">
        <f t="shared" si="1553"/>
        <v>7.5370121130551818E-2</v>
      </c>
      <c r="DD395" s="965">
        <f t="shared" si="1553"/>
        <v>7.2590738423028781E-2</v>
      </c>
      <c r="DE395" s="965">
        <f t="shared" si="1553"/>
        <v>7.2094468614045989E-2</v>
      </c>
      <c r="DF395" s="965">
        <f t="shared" si="1553"/>
        <v>6.9189828503843878E-2</v>
      </c>
      <c r="DG395" s="964">
        <f t="shared" si="1553"/>
        <v>7.221177944862156E-2</v>
      </c>
      <c r="DH395" s="965">
        <f t="shared" si="1553"/>
        <v>7.3492462311557788E-2</v>
      </c>
      <c r="DI395" s="965">
        <f t="shared" si="1553"/>
        <v>7.2296476306196844E-2</v>
      </c>
      <c r="DJ395" s="965">
        <f t="shared" si="1553"/>
        <v>7.1649166151945651E-2</v>
      </c>
      <c r="DK395" s="965">
        <f t="shared" ref="DK395:EI395" si="1554">+DK19/DK$23</f>
        <v>6.7943174799258807E-2</v>
      </c>
      <c r="DL395" s="964">
        <f t="shared" si="1554"/>
        <v>7.1340333539221742E-2</v>
      </c>
      <c r="DM395" s="965">
        <f t="shared" si="1554"/>
        <v>7.3033707865168537E-2</v>
      </c>
      <c r="DN395" s="965">
        <f t="shared" si="1554"/>
        <v>7.3170731707317069E-2</v>
      </c>
      <c r="DO395" s="965">
        <f t="shared" si="1554"/>
        <v>7.3749999999999996E-2</v>
      </c>
      <c r="DP395" s="965">
        <f t="shared" si="1554"/>
        <v>7.4026802807913211E-2</v>
      </c>
      <c r="DQ395" s="964">
        <f t="shared" si="1554"/>
        <v>7.3490404119207361E-2</v>
      </c>
      <c r="DR395" s="965">
        <f t="shared" si="1554"/>
        <v>8.2508774490825665E-2</v>
      </c>
      <c r="DS395" s="965">
        <f t="shared" si="1554"/>
        <v>8.0314009661835745E-2</v>
      </c>
      <c r="DT395" s="965">
        <f t="shared" si="1554"/>
        <v>8.0340839926962879E-2</v>
      </c>
      <c r="DU395" s="965">
        <f t="shared" si="1554"/>
        <v>8.2430806257521055E-2</v>
      </c>
      <c r="DV395" s="964">
        <f t="shared" si="1554"/>
        <v>8.1388002001043361E-2</v>
      </c>
      <c r="DW395" s="965">
        <f t="shared" si="1554"/>
        <v>0.10185185185185185</v>
      </c>
      <c r="DX395" s="965">
        <f t="shared" si="1554"/>
        <v>0.10443571027512634</v>
      </c>
      <c r="DY395" s="965">
        <f t="shared" si="1554"/>
        <v>0.10750853242320819</v>
      </c>
      <c r="DZ395" s="965">
        <f t="shared" si="1554"/>
        <v>0.10661827255713717</v>
      </c>
      <c r="EA395" s="964">
        <f t="shared" si="1554"/>
        <v>0.10516735767013853</v>
      </c>
      <c r="EB395" s="965">
        <f t="shared" si="1554"/>
        <v>0.10765645357621283</v>
      </c>
      <c r="EC395" s="965">
        <f t="shared" si="1554"/>
        <v>0.10631040363843093</v>
      </c>
      <c r="ED395" s="965">
        <f t="shared" si="1554"/>
        <v>0.10922897196261683</v>
      </c>
      <c r="EE395" s="965">
        <f t="shared" si="1554"/>
        <v>0.10634441087613293</v>
      </c>
      <c r="EF395" s="964">
        <f t="shared" si="1554"/>
        <v>0.10738326507248371</v>
      </c>
      <c r="EG395" s="965">
        <f t="shared" si="1554"/>
        <v>0.11283043197936815</v>
      </c>
      <c r="EH395" s="965">
        <f t="shared" si="1554"/>
        <v>0.10783699059561129</v>
      </c>
      <c r="EI395" s="965">
        <f t="shared" si="1554"/>
        <v>0.10991105463786531</v>
      </c>
      <c r="EJ395" s="965">
        <f t="shared" ref="EJ395" si="1555">+EJ19/EJ$23</f>
        <v>0.10398613518197573</v>
      </c>
      <c r="EK395" s="964">
        <f>+EK19/EK$23</f>
        <v>0.10851030847930554</v>
      </c>
      <c r="EL395" s="965"/>
      <c r="EM395" s="965"/>
      <c r="EN395" s="965"/>
      <c r="EO395" s="965"/>
      <c r="EP395" s="964">
        <f>+EP19/EP$23</f>
        <v>0.105</v>
      </c>
      <c r="EQ395" s="965"/>
      <c r="ER395" s="965"/>
      <c r="ES395" s="965"/>
      <c r="ET395" s="965"/>
      <c r="EU395" s="964">
        <f>+EU19/EU$23</f>
        <v>0.10225969561037877</v>
      </c>
      <c r="EV395" s="203"/>
      <c r="EW395" s="203"/>
      <c r="EX395" s="203"/>
      <c r="EY395" s="203"/>
      <c r="EZ395" s="964">
        <f>+EZ19/EZ$23</f>
        <v>0.10200463114579339</v>
      </c>
      <c r="FA395" s="203"/>
      <c r="FB395" s="203"/>
      <c r="FC395" s="203"/>
      <c r="FD395" s="203"/>
      <c r="FE395" s="964">
        <f>+FE19/FE$23</f>
        <v>0.10136059793492588</v>
      </c>
      <c r="FG395" s="494"/>
      <c r="FH395" s="819"/>
      <c r="FI395" s="819"/>
      <c r="FJ395" s="819"/>
      <c r="FL395" s="1388"/>
      <c r="FM395"/>
      <c r="FN395"/>
      <c r="FO395"/>
      <c r="FP395"/>
      <c r="FQ395"/>
      <c r="FR395" s="1619"/>
      <c r="FS395" s="1619"/>
      <c r="FT395" s="205"/>
      <c r="FU395" s="205"/>
      <c r="FV395" s="205"/>
      <c r="FW395" s="205"/>
      <c r="FX395" s="205"/>
      <c r="FY395" s="205"/>
      <c r="FZ395" s="494"/>
      <c r="GA395"/>
      <c r="GB395"/>
      <c r="GC395"/>
      <c r="GD395"/>
      <c r="GE395"/>
      <c r="GF395"/>
      <c r="GG395"/>
      <c r="GH395"/>
      <c r="GI395"/>
      <c r="GJ395"/>
      <c r="GK395"/>
      <c r="GL395"/>
      <c r="GM395"/>
      <c r="GN395"/>
      <c r="GO395"/>
      <c r="GP395"/>
      <c r="GQ395"/>
      <c r="GR395"/>
      <c r="GS395"/>
      <c r="GT395"/>
      <c r="GU395"/>
      <c r="GV395"/>
      <c r="GW395"/>
      <c r="GX395"/>
      <c r="GY395"/>
      <c r="GZ395"/>
      <c r="HA395"/>
      <c r="HB395"/>
      <c r="HC395"/>
      <c r="HD395"/>
      <c r="HE395"/>
      <c r="HF395"/>
      <c r="HG395"/>
      <c r="HH395"/>
      <c r="HI395"/>
      <c r="HJ395"/>
      <c r="HK395"/>
      <c r="HL395"/>
      <c r="HM395"/>
      <c r="HN395"/>
      <c r="HO395"/>
      <c r="HP395"/>
      <c r="HQ395"/>
      <c r="HR395"/>
      <c r="HS395"/>
      <c r="HT395"/>
      <c r="HU395"/>
      <c r="HV395"/>
      <c r="HW395"/>
      <c r="HX395"/>
      <c r="HY395"/>
      <c r="HZ395"/>
      <c r="IA395"/>
      <c r="IB395"/>
      <c r="IC395"/>
      <c r="ID395"/>
      <c r="IE395"/>
      <c r="IF395"/>
      <c r="IG395"/>
      <c r="IH395"/>
      <c r="II395"/>
      <c r="IJ395"/>
      <c r="IK395"/>
      <c r="IL395"/>
      <c r="IM395"/>
      <c r="IN395"/>
      <c r="IO395"/>
      <c r="IP395"/>
      <c r="IQ395"/>
      <c r="IR395"/>
      <c r="IS395"/>
      <c r="IT395"/>
      <c r="IU395"/>
      <c r="IV395"/>
      <c r="IW395"/>
      <c r="IX395"/>
    </row>
    <row r="396" spans="1:258" s="45" customFormat="1" x14ac:dyDescent="0.2">
      <c r="A396" s="959" t="s">
        <v>162</v>
      </c>
      <c r="B396" s="10"/>
      <c r="C396" s="10"/>
      <c r="D396" s="10"/>
      <c r="E396" s="10"/>
      <c r="F396" s="9"/>
      <c r="G396" s="10"/>
      <c r="H396" s="10"/>
      <c r="I396" s="10"/>
      <c r="J396" s="10"/>
      <c r="K396" s="9"/>
      <c r="L396" s="10"/>
      <c r="M396" s="10"/>
      <c r="N396" s="10"/>
      <c r="O396" s="10"/>
      <c r="P396" s="9"/>
      <c r="Q396" s="10"/>
      <c r="R396" s="10"/>
      <c r="S396" s="10"/>
      <c r="T396" s="10"/>
      <c r="U396" s="9"/>
      <c r="V396" s="10"/>
      <c r="W396" s="292"/>
      <c r="X396" s="10"/>
      <c r="Y396" s="10"/>
      <c r="Z396" s="9"/>
      <c r="AA396" s="10"/>
      <c r="AB396" s="292"/>
      <c r="AC396" s="10"/>
      <c r="AD396" s="10"/>
      <c r="AE396" s="9"/>
      <c r="AF396" s="10"/>
      <c r="AG396" s="292"/>
      <c r="AH396" s="10"/>
      <c r="AI396" s="10"/>
      <c r="AJ396" s="9"/>
      <c r="AK396" s="10"/>
      <c r="AL396" s="292"/>
      <c r="AM396" s="10"/>
      <c r="AN396" s="10"/>
      <c r="AO396" s="9"/>
      <c r="AP396" s="10"/>
      <c r="AQ396" s="292"/>
      <c r="AR396" s="10"/>
      <c r="AS396" s="10"/>
      <c r="AT396" s="9"/>
      <c r="AU396" s="10"/>
      <c r="AV396" s="292"/>
      <c r="AW396" s="10"/>
      <c r="AX396" s="10"/>
      <c r="AY396" s="964">
        <f t="shared" ref="AY396:CD396" si="1556">+AY22/AY$23</f>
        <v>2.3535564853556484E-2</v>
      </c>
      <c r="AZ396" s="965">
        <f t="shared" si="1556"/>
        <v>2.2880215343203229E-2</v>
      </c>
      <c r="BA396" s="965">
        <f t="shared" si="1556"/>
        <v>2.2321428571428572E-2</v>
      </c>
      <c r="BB396" s="965">
        <f t="shared" si="1556"/>
        <v>2.125340599455041E-2</v>
      </c>
      <c r="BC396" s="965">
        <f t="shared" si="1556"/>
        <v>2.27765726681128E-2</v>
      </c>
      <c r="BD396" s="964">
        <f t="shared" si="1556"/>
        <v>2.2278330610426257E-2</v>
      </c>
      <c r="BE396" s="965">
        <f t="shared" si="1556"/>
        <v>2.1656740660530589E-2</v>
      </c>
      <c r="BF396" s="965">
        <f t="shared" si="1556"/>
        <v>2.0441097364174286E-2</v>
      </c>
      <c r="BG396" s="965">
        <f t="shared" si="1556"/>
        <v>2.1965952773201538E-2</v>
      </c>
      <c r="BH396" s="965">
        <f t="shared" si="1556"/>
        <v>2.1775544388609715E-2</v>
      </c>
      <c r="BI396" s="964">
        <f t="shared" si="1556"/>
        <v>2.1453949166438918E-2</v>
      </c>
      <c r="BJ396" s="965">
        <f t="shared" si="1556"/>
        <v>2.1996615905245348E-2</v>
      </c>
      <c r="BK396" s="965">
        <f t="shared" si="1556"/>
        <v>2.337228714524207E-2</v>
      </c>
      <c r="BL396" s="965">
        <f t="shared" si="1556"/>
        <v>2.3111612175873732E-2</v>
      </c>
      <c r="BM396" s="965">
        <f t="shared" si="1556"/>
        <v>2.3111612175873732E-2</v>
      </c>
      <c r="BN396" s="964">
        <f t="shared" si="1556"/>
        <v>2.289969092441697E-2</v>
      </c>
      <c r="BO396" s="965">
        <f t="shared" si="1556"/>
        <v>3.3568904593639579E-2</v>
      </c>
      <c r="BP396" s="965">
        <f t="shared" si="1556"/>
        <v>3.3701657458563537E-2</v>
      </c>
      <c r="BQ396" s="965">
        <f t="shared" si="1556"/>
        <v>3.3112582781456956E-2</v>
      </c>
      <c r="BR396" s="965">
        <f t="shared" si="1556"/>
        <v>3.2185206098249576E-2</v>
      </c>
      <c r="BS396" s="964">
        <f t="shared" si="1556"/>
        <v>3.31406007615287E-2</v>
      </c>
      <c r="BT396" s="965">
        <f t="shared" si="1556"/>
        <v>3.3180778032036611E-2</v>
      </c>
      <c r="BU396" s="965">
        <f t="shared" si="1556"/>
        <v>3.3567948023822416E-2</v>
      </c>
      <c r="BV396" s="965">
        <f t="shared" si="1556"/>
        <v>3.3498077979132346E-2</v>
      </c>
      <c r="BW396" s="965">
        <f t="shared" si="1556"/>
        <v>3.2672737011247989E-2</v>
      </c>
      <c r="BX396" s="964">
        <f t="shared" si="1556"/>
        <v>3.3228065357682274E-2</v>
      </c>
      <c r="BY396" s="965">
        <f t="shared" si="1556"/>
        <v>3.2346491228070179E-2</v>
      </c>
      <c r="BZ396" s="965">
        <f t="shared" si="1556"/>
        <v>3.2004197271773345E-2</v>
      </c>
      <c r="CA396" s="965">
        <f t="shared" si="1556"/>
        <v>3.2471106219042374E-2</v>
      </c>
      <c r="CB396" s="965">
        <f t="shared" si="1556"/>
        <v>3.3282904689863842E-2</v>
      </c>
      <c r="CC396" s="964">
        <f t="shared" si="1556"/>
        <v>3.2536520584329348E-2</v>
      </c>
      <c r="CD396" s="965">
        <f t="shared" si="1556"/>
        <v>3.4164859002169194E-2</v>
      </c>
      <c r="CE396" s="965">
        <f t="shared" ref="CE396:DJ396" si="1557">+CE22/CE$23</f>
        <v>3.3707865168539325E-2</v>
      </c>
      <c r="CF396" s="965">
        <f t="shared" si="1557"/>
        <v>3.4084661902144035E-2</v>
      </c>
      <c r="CG396" s="965">
        <f t="shared" si="1557"/>
        <v>3.3553355335533552E-2</v>
      </c>
      <c r="CH396" s="964">
        <f t="shared" si="1557"/>
        <v>3.387755102040816E-2</v>
      </c>
      <c r="CI396" s="965">
        <f t="shared" si="1557"/>
        <v>3.5049288061336253E-2</v>
      </c>
      <c r="CJ396" s="965">
        <f t="shared" si="1557"/>
        <v>3.3689839572192515E-2</v>
      </c>
      <c r="CK396" s="965">
        <f t="shared" si="1557"/>
        <v>3.2937365010799136E-2</v>
      </c>
      <c r="CL396" s="965">
        <f t="shared" si="1557"/>
        <v>3.1491712707182318E-2</v>
      </c>
      <c r="CM396" s="964">
        <f t="shared" si="1557"/>
        <v>3.3297091600978525E-2</v>
      </c>
      <c r="CN396" s="965">
        <f t="shared" si="1557"/>
        <v>1.6524216524216526E-2</v>
      </c>
      <c r="CO396" s="965">
        <f t="shared" si="1557"/>
        <v>1.6967706622879036E-2</v>
      </c>
      <c r="CP396" s="965">
        <f t="shared" si="1557"/>
        <v>1.6356457980823462E-2</v>
      </c>
      <c r="CQ396" s="965">
        <f t="shared" si="1557"/>
        <v>1.6467915956842702E-2</v>
      </c>
      <c r="CR396" s="964">
        <f t="shared" si="1557"/>
        <v>1.6582349634626195E-2</v>
      </c>
      <c r="CS396" s="965">
        <f t="shared" si="1557"/>
        <v>1.5725101921956901E-2</v>
      </c>
      <c r="CT396" s="965">
        <f t="shared" si="1557"/>
        <v>1.5774647887323943E-2</v>
      </c>
      <c r="CU396" s="965">
        <f t="shared" si="1557"/>
        <v>1.558891454965358E-2</v>
      </c>
      <c r="CV396" s="965">
        <f t="shared" si="1557"/>
        <v>1.6843418590143482E-2</v>
      </c>
      <c r="CW396" s="964">
        <f t="shared" si="1557"/>
        <v>1.5966017284312288E-2</v>
      </c>
      <c r="CX396" s="965">
        <f t="shared" si="1557"/>
        <v>1.7618040873854827E-2</v>
      </c>
      <c r="CY396" s="965">
        <f t="shared" si="1557"/>
        <v>1.771793054571226E-2</v>
      </c>
      <c r="CZ396" s="965">
        <f t="shared" si="1557"/>
        <v>1.7747440273037544E-2</v>
      </c>
      <c r="DA396" s="965">
        <f t="shared" si="1557"/>
        <v>1.602136181575434E-2</v>
      </c>
      <c r="DB396" s="964">
        <f t="shared" si="1557"/>
        <v>1.7262213015708613E-2</v>
      </c>
      <c r="DC396" s="965">
        <f t="shared" si="1557"/>
        <v>1.6823687752355317E-2</v>
      </c>
      <c r="DD396" s="965">
        <f t="shared" si="1557"/>
        <v>1.5644555694618274E-2</v>
      </c>
      <c r="DE396" s="965">
        <f t="shared" si="1557"/>
        <v>1.6159105034182723E-2</v>
      </c>
      <c r="DF396" s="965">
        <f t="shared" si="1557"/>
        <v>1.537551744529864E-2</v>
      </c>
      <c r="DG396" s="964">
        <f t="shared" si="1557"/>
        <v>1.5977443609022556E-2</v>
      </c>
      <c r="DH396" s="965">
        <f t="shared" si="1557"/>
        <v>1.5703517587939697E-2</v>
      </c>
      <c r="DI396" s="965">
        <f t="shared" si="1557"/>
        <v>1.6403402187120292E-2</v>
      </c>
      <c r="DJ396" s="965">
        <f t="shared" si="1557"/>
        <v>1.4823965410747375E-2</v>
      </c>
      <c r="DK396" s="965">
        <f t="shared" ref="DK396:EI396" si="1558">+DK22/DK$23</f>
        <v>1.5441630636195183E-2</v>
      </c>
      <c r="DL396" s="964">
        <f t="shared" si="1558"/>
        <v>1.5596046942557134E-2</v>
      </c>
      <c r="DM396" s="965">
        <f t="shared" si="1558"/>
        <v>1.5605493133583021E-2</v>
      </c>
      <c r="DN396" s="965">
        <f t="shared" si="1558"/>
        <v>1.524390243902439E-2</v>
      </c>
      <c r="DO396" s="965">
        <f t="shared" si="1558"/>
        <v>1.5625E-2</v>
      </c>
      <c r="DP396" s="965">
        <f t="shared" si="1558"/>
        <v>1.5954052329291639E-2</v>
      </c>
      <c r="DQ396" s="964">
        <f t="shared" si="1558"/>
        <v>1.5603058199407084E-2</v>
      </c>
      <c r="DR396" s="965">
        <f t="shared" si="1558"/>
        <v>1.5232389136767815E-2</v>
      </c>
      <c r="DS396" s="965">
        <f t="shared" si="1558"/>
        <v>1.5096618357487922E-2</v>
      </c>
      <c r="DT396" s="965">
        <f t="shared" si="1558"/>
        <v>1.399878271454656E-2</v>
      </c>
      <c r="DU396" s="965">
        <f t="shared" si="1558"/>
        <v>1.444043321299639E-2</v>
      </c>
      <c r="DV396" s="964">
        <f t="shared" si="1558"/>
        <v>1.4686556752067974E-2</v>
      </c>
      <c r="DW396" s="965">
        <f t="shared" si="1558"/>
        <v>0</v>
      </c>
      <c r="DX396" s="965">
        <f t="shared" si="1558"/>
        <v>0</v>
      </c>
      <c r="DY396" s="965">
        <f t="shared" si="1558"/>
        <v>0</v>
      </c>
      <c r="DZ396" s="965">
        <f t="shared" si="1558"/>
        <v>0</v>
      </c>
      <c r="EA396" s="964">
        <f t="shared" si="1558"/>
        <v>0</v>
      </c>
      <c r="EB396" s="965">
        <f t="shared" si="1558"/>
        <v>0</v>
      </c>
      <c r="EC396" s="965">
        <f t="shared" si="1558"/>
        <v>0</v>
      </c>
      <c r="ED396" s="965">
        <f t="shared" si="1558"/>
        <v>0</v>
      </c>
      <c r="EE396" s="965">
        <f t="shared" si="1558"/>
        <v>0</v>
      </c>
      <c r="EF396" s="964">
        <f t="shared" si="1558"/>
        <v>0</v>
      </c>
      <c r="EG396" s="965">
        <f t="shared" si="1558"/>
        <v>0</v>
      </c>
      <c r="EH396" s="965">
        <f t="shared" si="1558"/>
        <v>0</v>
      </c>
      <c r="EI396" s="965">
        <f t="shared" si="1558"/>
        <v>0</v>
      </c>
      <c r="EJ396" s="965">
        <f t="shared" ref="EJ396" si="1559">+EJ22/EJ$23</f>
        <v>0</v>
      </c>
      <c r="EK396" s="964">
        <f>+EK22/EK$23</f>
        <v>0</v>
      </c>
      <c r="EL396" s="965"/>
      <c r="EM396" s="965"/>
      <c r="EN396" s="965"/>
      <c r="EO396" s="965"/>
      <c r="EP396" s="964">
        <f>+EP22/EP$23</f>
        <v>0</v>
      </c>
      <c r="EQ396" s="965"/>
      <c r="ER396" s="965"/>
      <c r="ES396" s="965"/>
      <c r="ET396" s="965"/>
      <c r="EU396" s="964">
        <f>+EU22/EU$23</f>
        <v>0</v>
      </c>
      <c r="EV396" s="203"/>
      <c r="EW396" s="203"/>
      <c r="EX396" s="203"/>
      <c r="EY396" s="203"/>
      <c r="EZ396" s="964">
        <f>+EZ22/EZ$23</f>
        <v>0</v>
      </c>
      <c r="FA396" s="203"/>
      <c r="FB396" s="203"/>
      <c r="FC396" s="203"/>
      <c r="FD396" s="203"/>
      <c r="FE396" s="964">
        <f>+FE22/FE$23</f>
        <v>0</v>
      </c>
      <c r="FG396" s="494"/>
      <c r="FH396" s="819"/>
      <c r="FI396" s="819"/>
      <c r="FJ396" s="819"/>
      <c r="FL396" s="1388"/>
      <c r="FM396"/>
      <c r="FN396"/>
      <c r="FO396"/>
      <c r="FP396"/>
      <c r="FQ396"/>
      <c r="FR396" s="1619"/>
      <c r="FS396" s="1619"/>
      <c r="FT396" s="205"/>
      <c r="FU396" s="205"/>
      <c r="FV396" s="205"/>
      <c r="FW396" s="205"/>
      <c r="FX396" s="205"/>
      <c r="FY396" s="205"/>
      <c r="FZ396" s="494"/>
      <c r="GA396"/>
      <c r="GB396"/>
      <c r="GC396"/>
      <c r="GD396"/>
      <c r="GE396"/>
      <c r="GF396"/>
      <c r="GG396"/>
      <c r="GH396"/>
      <c r="GI396"/>
      <c r="GJ396"/>
      <c r="GK396"/>
      <c r="GL396"/>
      <c r="GM396"/>
      <c r="GN396"/>
      <c r="GO396"/>
      <c r="GP396"/>
      <c r="GQ396"/>
      <c r="GR396"/>
      <c r="GS396"/>
      <c r="GT396"/>
      <c r="GU396"/>
      <c r="GV396"/>
      <c r="GW396"/>
      <c r="GX396"/>
      <c r="GY396"/>
      <c r="GZ396"/>
      <c r="HA396"/>
      <c r="HB396"/>
      <c r="HC396"/>
      <c r="HD396"/>
      <c r="HE396"/>
      <c r="HF396"/>
      <c r="HG396"/>
      <c r="HH396"/>
      <c r="HI396"/>
      <c r="HJ396"/>
      <c r="HK396"/>
      <c r="HL396"/>
      <c r="HM396"/>
      <c r="HN396"/>
      <c r="HO396"/>
      <c r="HP396"/>
      <c r="HQ396"/>
      <c r="HR396"/>
      <c r="HS396"/>
      <c r="HT396"/>
      <c r="HU396"/>
      <c r="HV396"/>
      <c r="HW396"/>
      <c r="HX396"/>
      <c r="HY396"/>
      <c r="HZ396"/>
      <c r="IA396"/>
      <c r="IB396"/>
      <c r="IC396"/>
      <c r="ID396"/>
      <c r="IE396"/>
      <c r="IF396"/>
      <c r="IG396"/>
      <c r="IH396"/>
      <c r="II396"/>
      <c r="IJ396"/>
      <c r="IK396"/>
      <c r="IL396"/>
      <c r="IM396"/>
      <c r="IN396"/>
      <c r="IO396"/>
      <c r="IP396"/>
      <c r="IQ396"/>
      <c r="IR396"/>
      <c r="IS396"/>
      <c r="IT396"/>
      <c r="IU396"/>
      <c r="IV396"/>
      <c r="IW396"/>
      <c r="IX396"/>
    </row>
    <row r="397" spans="1:258" s="207" customFormat="1" x14ac:dyDescent="0.2">
      <c r="A397" s="213" t="s">
        <v>634</v>
      </c>
      <c r="B397" s="205"/>
      <c r="C397" s="205"/>
      <c r="D397" s="205"/>
      <c r="E397" s="205"/>
      <c r="F397" s="206"/>
      <c r="G397" s="205"/>
      <c r="H397" s="205"/>
      <c r="I397" s="205"/>
      <c r="J397" s="205"/>
      <c r="K397" s="206"/>
      <c r="L397" s="205"/>
      <c r="M397" s="205"/>
      <c r="N397" s="205"/>
      <c r="O397" s="205"/>
      <c r="P397" s="206"/>
      <c r="Q397" s="205"/>
      <c r="R397" s="205"/>
      <c r="S397" s="205"/>
      <c r="T397" s="205"/>
      <c r="U397" s="206"/>
      <c r="V397" s="205"/>
      <c r="W397" s="205"/>
      <c r="X397" s="205"/>
      <c r="Y397" s="205"/>
      <c r="Z397" s="206"/>
      <c r="AA397" s="205"/>
      <c r="AB397" s="205"/>
      <c r="AC397" s="205"/>
      <c r="AD397" s="205"/>
      <c r="AE397" s="206"/>
      <c r="AF397" s="205"/>
      <c r="AG397" s="205"/>
      <c r="AH397" s="205"/>
      <c r="AI397" s="205"/>
      <c r="AJ397" s="206"/>
      <c r="AK397" s="205"/>
      <c r="AL397" s="205"/>
      <c r="AM397" s="205"/>
      <c r="AN397" s="205"/>
      <c r="AO397" s="206"/>
      <c r="AP397" s="205"/>
      <c r="AQ397" s="205"/>
      <c r="AR397" s="205"/>
      <c r="AS397" s="205"/>
      <c r="AT397" s="206"/>
      <c r="AU397" s="205"/>
      <c r="AV397" s="205"/>
      <c r="AW397" s="205"/>
      <c r="AX397" s="205"/>
      <c r="AY397" s="206"/>
      <c r="AZ397" s="205"/>
      <c r="BA397" s="205"/>
      <c r="BB397" s="205"/>
      <c r="BC397" s="205"/>
      <c r="BD397" s="206"/>
      <c r="BE397" s="205"/>
      <c r="BF397" s="205"/>
      <c r="BG397" s="205"/>
      <c r="BH397" s="205"/>
      <c r="BI397" s="206"/>
      <c r="BJ397" s="205"/>
      <c r="BK397" s="205"/>
      <c r="BL397" s="205"/>
      <c r="BM397" s="205"/>
      <c r="BN397" s="206"/>
      <c r="BO397" s="205"/>
      <c r="BP397" s="205"/>
      <c r="BQ397" s="205"/>
      <c r="BR397" s="205"/>
      <c r="BS397" s="206"/>
      <c r="BT397" s="205"/>
      <c r="BU397" s="205"/>
      <c r="BV397" s="205"/>
      <c r="BW397" s="205"/>
      <c r="BX397" s="206"/>
      <c r="BY397" s="205"/>
      <c r="BZ397" s="205"/>
      <c r="CA397" s="205"/>
      <c r="CB397" s="205"/>
      <c r="CC397" s="206"/>
      <c r="CD397" s="205"/>
      <c r="CE397" s="205"/>
      <c r="CF397" s="205"/>
      <c r="CG397" s="205"/>
      <c r="CH397" s="206"/>
      <c r="CI397" s="205"/>
      <c r="CJ397" s="205"/>
      <c r="CK397" s="205"/>
      <c r="CL397" s="205"/>
      <c r="CM397" s="206"/>
      <c r="CN397" s="205"/>
      <c r="CO397" s="205"/>
      <c r="CP397" s="205"/>
      <c r="CQ397" s="205"/>
      <c r="CR397" s="206"/>
      <c r="CS397" s="205"/>
      <c r="CT397" s="205"/>
      <c r="CU397" s="205"/>
      <c r="CV397" s="205"/>
      <c r="CW397" s="206"/>
      <c r="CX397" s="205"/>
      <c r="CY397" s="205"/>
      <c r="CZ397" s="205"/>
      <c r="DA397" s="205"/>
      <c r="DB397" s="206"/>
      <c r="DC397" s="205"/>
      <c r="DD397" s="205"/>
      <c r="DE397" s="205"/>
      <c r="DF397" s="205"/>
      <c r="DG397" s="206"/>
      <c r="DH397" s="205"/>
      <c r="DI397" s="205"/>
      <c r="DJ397" s="205"/>
      <c r="DK397" s="205"/>
      <c r="DL397" s="206"/>
      <c r="DM397" s="205"/>
      <c r="DN397" s="205"/>
      <c r="DO397" s="205"/>
      <c r="DP397" s="205"/>
      <c r="DQ397" s="206"/>
      <c r="DR397" s="205"/>
      <c r="DS397" s="205"/>
      <c r="DT397" s="205"/>
      <c r="DU397" s="205"/>
      <c r="DV397" s="844">
        <f>+DV345-DV360</f>
        <v>0</v>
      </c>
      <c r="DW397" s="205"/>
      <c r="DX397" s="205"/>
      <c r="DY397" s="205"/>
      <c r="DZ397" s="205"/>
      <c r="EA397" s="844">
        <f>+EA345-EA360</f>
        <v>0</v>
      </c>
      <c r="EB397" s="205"/>
      <c r="EC397" s="205"/>
      <c r="ED397" s="205"/>
      <c r="EE397" s="205"/>
      <c r="EF397" s="844">
        <f>+EF345-EF360</f>
        <v>0</v>
      </c>
      <c r="EG397" s="205"/>
      <c r="EH397" s="205"/>
      <c r="EI397" s="205"/>
      <c r="EJ397" s="205"/>
      <c r="EK397" s="844">
        <f>+EK345-EK360</f>
        <v>0</v>
      </c>
      <c r="EL397" s="205"/>
      <c r="EM397" s="205"/>
      <c r="EN397" s="205"/>
      <c r="EO397" s="205"/>
      <c r="EP397" s="844">
        <f>+EP345-EP360</f>
        <v>0</v>
      </c>
      <c r="EQ397" s="205"/>
      <c r="ER397" s="205"/>
      <c r="ES397" s="205"/>
      <c r="ET397" s="205"/>
      <c r="EU397" s="844">
        <f ca="1">+EU345-EU360</f>
        <v>0</v>
      </c>
      <c r="EV397" s="205"/>
      <c r="EW397" s="205"/>
      <c r="EX397" s="205"/>
      <c r="EY397" s="205"/>
      <c r="EZ397" s="844">
        <f ca="1">+EZ345-EZ360</f>
        <v>0</v>
      </c>
      <c r="FA397" s="205"/>
      <c r="FB397" s="205"/>
      <c r="FC397" s="205"/>
      <c r="FD397" s="205"/>
      <c r="FE397" s="844">
        <f ca="1">+FE345-FE360</f>
        <v>0</v>
      </c>
      <c r="FF397" s="45"/>
      <c r="FG397" s="494"/>
      <c r="FH397" s="819"/>
      <c r="FI397" s="819"/>
      <c r="FJ397" s="819"/>
      <c r="FK397" s="45"/>
      <c r="FL397" s="1388"/>
      <c r="FM397"/>
      <c r="FN397"/>
      <c r="FO397"/>
      <c r="FP397"/>
      <c r="FQ397"/>
      <c r="FR397" s="1619"/>
      <c r="FS397" s="1619"/>
      <c r="FT397" s="205"/>
      <c r="FU397" s="205"/>
      <c r="FV397" s="205"/>
      <c r="FW397" s="205"/>
      <c r="FX397" s="205"/>
      <c r="FY397" s="205"/>
      <c r="FZ397" s="494"/>
      <c r="GA397"/>
      <c r="GB397"/>
      <c r="GC397"/>
      <c r="GD397"/>
      <c r="GE397"/>
      <c r="GF397"/>
      <c r="GG397"/>
      <c r="GH397"/>
      <c r="GI397"/>
      <c r="GJ397"/>
      <c r="GK397"/>
      <c r="GL397"/>
      <c r="GM397"/>
      <c r="GN397"/>
      <c r="GO397"/>
      <c r="GP397"/>
      <c r="GQ397"/>
      <c r="GR397"/>
      <c r="GS397"/>
      <c r="GT397"/>
      <c r="GU397"/>
      <c r="GV397"/>
      <c r="GW397"/>
      <c r="GX397"/>
      <c r="GY397"/>
      <c r="GZ397"/>
      <c r="HA397"/>
      <c r="HB397"/>
      <c r="HC397"/>
      <c r="HD397"/>
      <c r="HE397"/>
      <c r="HF397"/>
      <c r="HG397"/>
      <c r="HH397"/>
      <c r="HI397"/>
      <c r="HJ397"/>
      <c r="HK397"/>
      <c r="HL397"/>
      <c r="HM397"/>
      <c r="HN397"/>
      <c r="HO397"/>
      <c r="HP397"/>
      <c r="HQ397"/>
      <c r="HR397"/>
      <c r="HS397"/>
      <c r="HT397"/>
      <c r="HU397"/>
      <c r="HV397"/>
      <c r="HW397"/>
      <c r="HX397"/>
      <c r="HY397"/>
      <c r="HZ397"/>
      <c r="IA397"/>
      <c r="IB397"/>
      <c r="IC397"/>
      <c r="ID397"/>
      <c r="IE397"/>
      <c r="IF397"/>
      <c r="IG397"/>
      <c r="IH397"/>
      <c r="II397"/>
      <c r="IJ397"/>
      <c r="IK397"/>
      <c r="IL397"/>
      <c r="IM397"/>
      <c r="IN397"/>
      <c r="IO397"/>
      <c r="IP397"/>
      <c r="IQ397"/>
      <c r="IR397"/>
      <c r="IS397"/>
      <c r="IT397"/>
      <c r="IU397"/>
      <c r="IV397"/>
      <c r="IW397"/>
      <c r="IX397"/>
    </row>
    <row r="398" spans="1:258" s="158" customFormat="1" x14ac:dyDescent="0.2">
      <c r="A398" s="214" t="s">
        <v>20</v>
      </c>
      <c r="B398" s="152">
        <f t="shared" ref="B398:BM398" si="1560">B322</f>
        <v>0</v>
      </c>
      <c r="C398" s="152">
        <f t="shared" si="1560"/>
        <v>0</v>
      </c>
      <c r="D398" s="152">
        <f t="shared" si="1560"/>
        <v>0</v>
      </c>
      <c r="E398" s="152">
        <f t="shared" si="1560"/>
        <v>0</v>
      </c>
      <c r="F398" s="156">
        <f t="shared" si="1560"/>
        <v>0</v>
      </c>
      <c r="G398" s="152">
        <f t="shared" si="1560"/>
        <v>0</v>
      </c>
      <c r="H398" s="152">
        <f t="shared" si="1560"/>
        <v>0</v>
      </c>
      <c r="I398" s="152">
        <f t="shared" si="1560"/>
        <v>0</v>
      </c>
      <c r="J398" s="152">
        <f t="shared" si="1560"/>
        <v>0</v>
      </c>
      <c r="K398" s="156">
        <f t="shared" si="1560"/>
        <v>0</v>
      </c>
      <c r="L398" s="152">
        <f t="shared" si="1560"/>
        <v>0</v>
      </c>
      <c r="M398" s="152">
        <f t="shared" si="1560"/>
        <v>0</v>
      </c>
      <c r="N398" s="152">
        <f t="shared" si="1560"/>
        <v>0</v>
      </c>
      <c r="O398" s="152">
        <f t="shared" si="1560"/>
        <v>0</v>
      </c>
      <c r="P398" s="156">
        <f t="shared" si="1560"/>
        <v>0</v>
      </c>
      <c r="Q398" s="152">
        <f t="shared" si="1560"/>
        <v>0</v>
      </c>
      <c r="R398" s="152">
        <f t="shared" si="1560"/>
        <v>0</v>
      </c>
      <c r="S398" s="152">
        <f t="shared" si="1560"/>
        <v>0</v>
      </c>
      <c r="T398" s="152">
        <f t="shared" si="1560"/>
        <v>0</v>
      </c>
      <c r="U398" s="156">
        <f t="shared" si="1560"/>
        <v>0</v>
      </c>
      <c r="V398" s="152">
        <f t="shared" si="1560"/>
        <v>0</v>
      </c>
      <c r="W398" s="152">
        <f t="shared" si="1560"/>
        <v>0</v>
      </c>
      <c r="X398" s="152">
        <f t="shared" si="1560"/>
        <v>0</v>
      </c>
      <c r="Y398" s="152">
        <f t="shared" si="1560"/>
        <v>0</v>
      </c>
      <c r="Z398" s="156">
        <f t="shared" si="1560"/>
        <v>0</v>
      </c>
      <c r="AA398" s="152">
        <f t="shared" si="1560"/>
        <v>0</v>
      </c>
      <c r="AB398" s="152">
        <f t="shared" si="1560"/>
        <v>0</v>
      </c>
      <c r="AC398" s="152">
        <f t="shared" si="1560"/>
        <v>0</v>
      </c>
      <c r="AD398" s="152">
        <f t="shared" si="1560"/>
        <v>0</v>
      </c>
      <c r="AE398" s="156">
        <f t="shared" si="1560"/>
        <v>0</v>
      </c>
      <c r="AF398" s="152">
        <f t="shared" si="1560"/>
        <v>0</v>
      </c>
      <c r="AG398" s="152">
        <f t="shared" si="1560"/>
        <v>0</v>
      </c>
      <c r="AH398" s="152">
        <f t="shared" si="1560"/>
        <v>0</v>
      </c>
      <c r="AI398" s="152">
        <f t="shared" si="1560"/>
        <v>0</v>
      </c>
      <c r="AJ398" s="156">
        <f t="shared" si="1560"/>
        <v>0</v>
      </c>
      <c r="AK398" s="152">
        <f t="shared" si="1560"/>
        <v>0</v>
      </c>
      <c r="AL398" s="152">
        <f t="shared" si="1560"/>
        <v>0</v>
      </c>
      <c r="AM398" s="152">
        <f t="shared" si="1560"/>
        <v>0</v>
      </c>
      <c r="AN398" s="152">
        <f t="shared" si="1560"/>
        <v>0</v>
      </c>
      <c r="AO398" s="156">
        <f t="shared" si="1560"/>
        <v>0</v>
      </c>
      <c r="AP398" s="152">
        <f t="shared" si="1560"/>
        <v>0</v>
      </c>
      <c r="AQ398" s="152">
        <f t="shared" si="1560"/>
        <v>0</v>
      </c>
      <c r="AR398" s="152">
        <f t="shared" si="1560"/>
        <v>0</v>
      </c>
      <c r="AS398" s="152">
        <f t="shared" si="1560"/>
        <v>0</v>
      </c>
      <c r="AT398" s="156">
        <f t="shared" si="1560"/>
        <v>0</v>
      </c>
      <c r="AU398" s="152">
        <f t="shared" si="1560"/>
        <v>0</v>
      </c>
      <c r="AV398" s="152">
        <f t="shared" si="1560"/>
        <v>0</v>
      </c>
      <c r="AW398" s="152">
        <f t="shared" si="1560"/>
        <v>0</v>
      </c>
      <c r="AX398" s="152">
        <f t="shared" si="1560"/>
        <v>0</v>
      </c>
      <c r="AY398" s="156">
        <f t="shared" si="1560"/>
        <v>0</v>
      </c>
      <c r="AZ398" s="152">
        <f t="shared" si="1560"/>
        <v>0</v>
      </c>
      <c r="BA398" s="152">
        <f t="shared" si="1560"/>
        <v>0</v>
      </c>
      <c r="BB398" s="152">
        <f t="shared" si="1560"/>
        <v>0</v>
      </c>
      <c r="BC398" s="152">
        <f t="shared" si="1560"/>
        <v>0</v>
      </c>
      <c r="BD398" s="156">
        <f t="shared" si="1560"/>
        <v>0</v>
      </c>
      <c r="BE398" s="152">
        <f t="shared" si="1560"/>
        <v>0</v>
      </c>
      <c r="BF398" s="152">
        <f t="shared" si="1560"/>
        <v>0</v>
      </c>
      <c r="BG398" s="152">
        <f t="shared" si="1560"/>
        <v>0</v>
      </c>
      <c r="BH398" s="152">
        <f t="shared" si="1560"/>
        <v>0</v>
      </c>
      <c r="BI398" s="156">
        <f t="shared" si="1560"/>
        <v>0</v>
      </c>
      <c r="BJ398" s="152">
        <f t="shared" si="1560"/>
        <v>0</v>
      </c>
      <c r="BK398" s="152">
        <f t="shared" si="1560"/>
        <v>0</v>
      </c>
      <c r="BL398" s="152">
        <f t="shared" si="1560"/>
        <v>0</v>
      </c>
      <c r="BM398" s="152">
        <f t="shared" si="1560"/>
        <v>0</v>
      </c>
      <c r="BN398" s="156">
        <f t="shared" ref="BN398:DJ398" si="1561">BN322</f>
        <v>0</v>
      </c>
      <c r="BO398" s="152">
        <f t="shared" si="1561"/>
        <v>0</v>
      </c>
      <c r="BP398" s="152">
        <f t="shared" si="1561"/>
        <v>0</v>
      </c>
      <c r="BQ398" s="152">
        <f t="shared" si="1561"/>
        <v>0</v>
      </c>
      <c r="BR398" s="152">
        <f t="shared" si="1561"/>
        <v>0</v>
      </c>
      <c r="BS398" s="156">
        <f t="shared" si="1561"/>
        <v>0</v>
      </c>
      <c r="BT398" s="152">
        <f t="shared" si="1561"/>
        <v>0</v>
      </c>
      <c r="BU398" s="152">
        <f t="shared" si="1561"/>
        <v>0</v>
      </c>
      <c r="BV398" s="152">
        <f t="shared" si="1561"/>
        <v>0</v>
      </c>
      <c r="BW398" s="152">
        <f t="shared" si="1561"/>
        <v>0</v>
      </c>
      <c r="BX398" s="156">
        <f t="shared" si="1561"/>
        <v>0</v>
      </c>
      <c r="BY398" s="152">
        <f t="shared" si="1561"/>
        <v>0</v>
      </c>
      <c r="BZ398" s="152">
        <f t="shared" si="1561"/>
        <v>0</v>
      </c>
      <c r="CA398" s="152">
        <f t="shared" si="1561"/>
        <v>0</v>
      </c>
      <c r="CB398" s="152">
        <f t="shared" si="1561"/>
        <v>0</v>
      </c>
      <c r="CC398" s="156">
        <f t="shared" si="1561"/>
        <v>0</v>
      </c>
      <c r="CD398" s="152">
        <f t="shared" si="1561"/>
        <v>0</v>
      </c>
      <c r="CE398" s="152">
        <f t="shared" si="1561"/>
        <v>0</v>
      </c>
      <c r="CF398" s="152">
        <f t="shared" si="1561"/>
        <v>0</v>
      </c>
      <c r="CG398" s="152">
        <f t="shared" si="1561"/>
        <v>0</v>
      </c>
      <c r="CH398" s="156">
        <f t="shared" si="1561"/>
        <v>0</v>
      </c>
      <c r="CI398" s="862">
        <f t="shared" si="1561"/>
        <v>0</v>
      </c>
      <c r="CJ398" s="240">
        <f t="shared" si="1561"/>
        <v>0</v>
      </c>
      <c r="CK398" s="240">
        <f t="shared" si="1561"/>
        <v>0</v>
      </c>
      <c r="CL398" s="240">
        <f t="shared" si="1561"/>
        <v>0</v>
      </c>
      <c r="CM398" s="156">
        <f t="shared" si="1561"/>
        <v>0</v>
      </c>
      <c r="CN398" s="862">
        <f t="shared" si="1561"/>
        <v>0</v>
      </c>
      <c r="CO398" s="240">
        <f t="shared" si="1561"/>
        <v>0</v>
      </c>
      <c r="CP398" s="240">
        <f t="shared" si="1561"/>
        <v>0</v>
      </c>
      <c r="CQ398" s="240">
        <f t="shared" si="1561"/>
        <v>0</v>
      </c>
      <c r="CR398" s="156">
        <f t="shared" si="1561"/>
        <v>0</v>
      </c>
      <c r="CS398" s="862">
        <f t="shared" si="1561"/>
        <v>0</v>
      </c>
      <c r="CT398" s="240">
        <f t="shared" si="1561"/>
        <v>0</v>
      </c>
      <c r="CU398" s="240">
        <f t="shared" si="1561"/>
        <v>0</v>
      </c>
      <c r="CV398" s="240">
        <f t="shared" si="1561"/>
        <v>0</v>
      </c>
      <c r="CW398" s="156">
        <f t="shared" si="1561"/>
        <v>0</v>
      </c>
      <c r="CX398" s="862">
        <f t="shared" si="1561"/>
        <v>0</v>
      </c>
      <c r="CY398" s="240">
        <f t="shared" si="1561"/>
        <v>0</v>
      </c>
      <c r="CZ398" s="240">
        <f t="shared" si="1561"/>
        <v>0</v>
      </c>
      <c r="DA398" s="240">
        <f t="shared" si="1561"/>
        <v>0</v>
      </c>
      <c r="DB398" s="156">
        <f t="shared" si="1561"/>
        <v>0</v>
      </c>
      <c r="DC398" s="862">
        <f t="shared" si="1561"/>
        <v>0</v>
      </c>
      <c r="DD398" s="240">
        <f t="shared" si="1561"/>
        <v>0</v>
      </c>
      <c r="DE398" s="240">
        <f t="shared" si="1561"/>
        <v>0</v>
      </c>
      <c r="DF398" s="240">
        <f t="shared" si="1561"/>
        <v>0</v>
      </c>
      <c r="DG398" s="156">
        <f t="shared" si="1561"/>
        <v>0</v>
      </c>
      <c r="DH398" s="862">
        <f t="shared" si="1561"/>
        <v>0</v>
      </c>
      <c r="DI398" s="240">
        <f t="shared" si="1561"/>
        <v>0</v>
      </c>
      <c r="DJ398" s="240">
        <f t="shared" si="1561"/>
        <v>0</v>
      </c>
      <c r="DK398" s="240">
        <f>DK322</f>
        <v>0</v>
      </c>
      <c r="DL398" s="156">
        <f t="shared" ref="DL398:DQ398" si="1562">DL322</f>
        <v>0</v>
      </c>
      <c r="DM398" s="862">
        <f t="shared" si="1562"/>
        <v>0</v>
      </c>
      <c r="DN398" s="240">
        <f t="shared" si="1562"/>
        <v>0</v>
      </c>
      <c r="DO398" s="240">
        <f t="shared" si="1562"/>
        <v>0</v>
      </c>
      <c r="DP398" s="240">
        <f>DP322</f>
        <v>0</v>
      </c>
      <c r="DQ398" s="156">
        <f t="shared" si="1562"/>
        <v>0</v>
      </c>
      <c r="DR398" s="862">
        <f t="shared" ref="DR398:DW398" si="1563">DR322</f>
        <v>0</v>
      </c>
      <c r="DS398" s="240">
        <f t="shared" si="1563"/>
        <v>0</v>
      </c>
      <c r="DT398" s="240">
        <f t="shared" si="1563"/>
        <v>0</v>
      </c>
      <c r="DU398" s="240">
        <f t="shared" si="1563"/>
        <v>0</v>
      </c>
      <c r="DV398" s="156">
        <f t="shared" si="1563"/>
        <v>0</v>
      </c>
      <c r="DW398" s="862">
        <f t="shared" si="1563"/>
        <v>0</v>
      </c>
      <c r="DX398" s="240">
        <f>DX322</f>
        <v>0</v>
      </c>
      <c r="DY398" s="240">
        <f>DY322</f>
        <v>0</v>
      </c>
      <c r="DZ398" s="240">
        <f>DZ322</f>
        <v>0</v>
      </c>
      <c r="EA398" s="156">
        <f>EA322</f>
        <v>0</v>
      </c>
      <c r="EB398" s="862">
        <f t="shared" ref="EB398" si="1564">EB322</f>
        <v>0</v>
      </c>
      <c r="EC398" s="240">
        <f>EC322</f>
        <v>0</v>
      </c>
      <c r="ED398" s="240">
        <f>ED322</f>
        <v>0</v>
      </c>
      <c r="EE398" s="240">
        <f>EE322</f>
        <v>0</v>
      </c>
      <c r="EF398" s="156">
        <f>EF322</f>
        <v>0</v>
      </c>
      <c r="EG398" s="862">
        <f t="shared" ref="EG398" si="1565">EG322</f>
        <v>0</v>
      </c>
      <c r="EH398" s="240">
        <f>EH322</f>
        <v>0</v>
      </c>
      <c r="EI398" s="240">
        <f>EI322</f>
        <v>0</v>
      </c>
      <c r="EJ398" s="240">
        <f>EJ322</f>
        <v>0</v>
      </c>
      <c r="EK398" s="156">
        <f>EK322</f>
        <v>0</v>
      </c>
      <c r="EL398" s="862">
        <f t="shared" ref="EL398" si="1566">EL322</f>
        <v>0</v>
      </c>
      <c r="EM398" s="240">
        <f>EM322</f>
        <v>0</v>
      </c>
      <c r="EN398" s="240">
        <f>EN322</f>
        <v>0</v>
      </c>
      <c r="EO398" s="240">
        <f>EO322</f>
        <v>0</v>
      </c>
      <c r="EP398" s="156">
        <f>EP322</f>
        <v>0</v>
      </c>
      <c r="EQ398" s="862">
        <f t="shared" ref="EQ398" si="1567">EQ322</f>
        <v>0</v>
      </c>
      <c r="ER398" s="240">
        <f>ER322</f>
        <v>0</v>
      </c>
      <c r="ES398" s="240">
        <f>ES322</f>
        <v>0</v>
      </c>
      <c r="ET398" s="240">
        <f>ET322</f>
        <v>0</v>
      </c>
      <c r="EU398" s="156">
        <f>EU322</f>
        <v>0</v>
      </c>
      <c r="EV398" s="152"/>
      <c r="EW398" s="152"/>
      <c r="EX398" s="152"/>
      <c r="EY398" s="152"/>
      <c r="EZ398" s="156">
        <f>EZ322</f>
        <v>0</v>
      </c>
      <c r="FA398" s="152"/>
      <c r="FB398" s="152"/>
      <c r="FC398" s="152"/>
      <c r="FD398" s="152"/>
      <c r="FE398" s="156">
        <f>FE322</f>
        <v>0</v>
      </c>
      <c r="FF398" s="45"/>
      <c r="FG398" s="494"/>
      <c r="FH398" s="819"/>
      <c r="FI398" s="819"/>
      <c r="FJ398" s="819"/>
      <c r="FK398" s="45"/>
      <c r="FL398" s="1388"/>
      <c r="FM398"/>
      <c r="FN398"/>
      <c r="FO398"/>
      <c r="FP398"/>
      <c r="FQ398"/>
      <c r="FR398" s="1619"/>
      <c r="FS398" s="1619"/>
      <c r="FT398" s="205"/>
      <c r="FU398" s="205"/>
      <c r="FV398" s="205"/>
      <c r="FW398" s="205"/>
      <c r="FX398" s="205"/>
      <c r="FY398" s="205"/>
      <c r="FZ398" s="494"/>
      <c r="GA398"/>
      <c r="GB398"/>
      <c r="GC398"/>
      <c r="GD398"/>
      <c r="GE398"/>
      <c r="GF398"/>
      <c r="GG398"/>
      <c r="GH398"/>
      <c r="GI398"/>
      <c r="GJ398"/>
      <c r="GK398"/>
      <c r="GL398"/>
      <c r="GM398"/>
      <c r="GN398"/>
      <c r="GO398"/>
      <c r="GP398"/>
      <c r="GQ398"/>
      <c r="GR398"/>
      <c r="GS398"/>
      <c r="GT398"/>
      <c r="GU398"/>
      <c r="GV398"/>
      <c r="GW398"/>
      <c r="GX398"/>
      <c r="GY398"/>
      <c r="GZ398"/>
      <c r="HA398"/>
      <c r="HB398"/>
      <c r="HC398"/>
      <c r="HD398"/>
      <c r="HE398"/>
      <c r="HF398"/>
      <c r="HG398"/>
      <c r="HH398"/>
      <c r="HI398"/>
      <c r="HJ398"/>
      <c r="HK398"/>
      <c r="HL398"/>
      <c r="HM398"/>
      <c r="HN398"/>
      <c r="HO398"/>
      <c r="HP398"/>
      <c r="HQ398"/>
      <c r="HR398"/>
      <c r="HS398"/>
      <c r="HT398"/>
      <c r="HU398"/>
      <c r="HV398"/>
      <c r="HW398"/>
      <c r="HX398"/>
      <c r="HY398"/>
      <c r="HZ398"/>
      <c r="IA398"/>
      <c r="IB398"/>
      <c r="IC398"/>
      <c r="ID398"/>
      <c r="IE398"/>
      <c r="IF398"/>
      <c r="IG398"/>
      <c r="IH398"/>
      <c r="II398"/>
      <c r="IJ398"/>
      <c r="IK398"/>
      <c r="IL398"/>
      <c r="IM398"/>
      <c r="IN398"/>
      <c r="IO398"/>
      <c r="IP398"/>
      <c r="IQ398"/>
      <c r="IR398"/>
      <c r="IS398"/>
      <c r="IT398"/>
      <c r="IU398"/>
      <c r="IV398"/>
      <c r="IW398"/>
      <c r="IX398"/>
    </row>
    <row r="399" spans="1:258" s="158" customFormat="1" x14ac:dyDescent="0.2">
      <c r="A399" s="214" t="s">
        <v>328</v>
      </c>
      <c r="B399" s="152">
        <f t="shared" ref="B399:BM399" si="1568">B320</f>
        <v>0</v>
      </c>
      <c r="C399" s="152">
        <f t="shared" si="1568"/>
        <v>0</v>
      </c>
      <c r="D399" s="152">
        <f t="shared" si="1568"/>
        <v>0</v>
      </c>
      <c r="E399" s="152">
        <f t="shared" si="1568"/>
        <v>0</v>
      </c>
      <c r="F399" s="156">
        <f t="shared" si="1568"/>
        <v>0</v>
      </c>
      <c r="G399" s="152">
        <f t="shared" si="1568"/>
        <v>0</v>
      </c>
      <c r="H399" s="152">
        <f t="shared" si="1568"/>
        <v>0</v>
      </c>
      <c r="I399" s="152">
        <f t="shared" si="1568"/>
        <v>0</v>
      </c>
      <c r="J399" s="152">
        <f t="shared" si="1568"/>
        <v>0</v>
      </c>
      <c r="K399" s="156">
        <f t="shared" si="1568"/>
        <v>0</v>
      </c>
      <c r="L399" s="152">
        <f t="shared" si="1568"/>
        <v>0</v>
      </c>
      <c r="M399" s="152">
        <f t="shared" si="1568"/>
        <v>0</v>
      </c>
      <c r="N399" s="152">
        <f t="shared" si="1568"/>
        <v>0</v>
      </c>
      <c r="O399" s="152">
        <f t="shared" si="1568"/>
        <v>0</v>
      </c>
      <c r="P399" s="156">
        <f t="shared" si="1568"/>
        <v>0</v>
      </c>
      <c r="Q399" s="152">
        <f t="shared" si="1568"/>
        <v>0</v>
      </c>
      <c r="R399" s="152">
        <f t="shared" si="1568"/>
        <v>0</v>
      </c>
      <c r="S399" s="152">
        <f t="shared" si="1568"/>
        <v>0</v>
      </c>
      <c r="T399" s="152">
        <f t="shared" si="1568"/>
        <v>0</v>
      </c>
      <c r="U399" s="156">
        <f t="shared" si="1568"/>
        <v>0</v>
      </c>
      <c r="V399" s="152">
        <f t="shared" si="1568"/>
        <v>0</v>
      </c>
      <c r="W399" s="152">
        <f t="shared" si="1568"/>
        <v>0</v>
      </c>
      <c r="X399" s="152">
        <f t="shared" si="1568"/>
        <v>0</v>
      </c>
      <c r="Y399" s="152">
        <f t="shared" si="1568"/>
        <v>0</v>
      </c>
      <c r="Z399" s="156">
        <f t="shared" si="1568"/>
        <v>0</v>
      </c>
      <c r="AA399" s="152">
        <f t="shared" si="1568"/>
        <v>0</v>
      </c>
      <c r="AB399" s="152">
        <f t="shared" si="1568"/>
        <v>0</v>
      </c>
      <c r="AC399" s="152">
        <f t="shared" si="1568"/>
        <v>0</v>
      </c>
      <c r="AD399" s="152">
        <f t="shared" si="1568"/>
        <v>0</v>
      </c>
      <c r="AE399" s="156">
        <f t="shared" si="1568"/>
        <v>0</v>
      </c>
      <c r="AF399" s="152">
        <f t="shared" si="1568"/>
        <v>0</v>
      </c>
      <c r="AG399" s="152">
        <f t="shared" si="1568"/>
        <v>0</v>
      </c>
      <c r="AH399" s="152">
        <f t="shared" si="1568"/>
        <v>0</v>
      </c>
      <c r="AI399" s="152">
        <f t="shared" si="1568"/>
        <v>0</v>
      </c>
      <c r="AJ399" s="156">
        <f t="shared" si="1568"/>
        <v>0</v>
      </c>
      <c r="AK399" s="152">
        <f t="shared" si="1568"/>
        <v>0</v>
      </c>
      <c r="AL399" s="152">
        <f t="shared" si="1568"/>
        <v>0</v>
      </c>
      <c r="AM399" s="152">
        <f t="shared" si="1568"/>
        <v>0</v>
      </c>
      <c r="AN399" s="152">
        <f t="shared" si="1568"/>
        <v>0</v>
      </c>
      <c r="AO399" s="156">
        <f t="shared" si="1568"/>
        <v>0</v>
      </c>
      <c r="AP399" s="152">
        <f t="shared" si="1568"/>
        <v>0</v>
      </c>
      <c r="AQ399" s="152">
        <f t="shared" si="1568"/>
        <v>0</v>
      </c>
      <c r="AR399" s="152">
        <f t="shared" si="1568"/>
        <v>0</v>
      </c>
      <c r="AS399" s="152">
        <f t="shared" si="1568"/>
        <v>0</v>
      </c>
      <c r="AT399" s="156">
        <f t="shared" si="1568"/>
        <v>-235</v>
      </c>
      <c r="AU399" s="152">
        <f t="shared" si="1568"/>
        <v>0</v>
      </c>
      <c r="AV399" s="152">
        <f t="shared" si="1568"/>
        <v>0</v>
      </c>
      <c r="AW399" s="152">
        <f t="shared" si="1568"/>
        <v>0</v>
      </c>
      <c r="AX399" s="152">
        <f t="shared" si="1568"/>
        <v>0</v>
      </c>
      <c r="AY399" s="156">
        <f t="shared" si="1568"/>
        <v>-262</v>
      </c>
      <c r="AZ399" s="152">
        <f t="shared" si="1568"/>
        <v>0</v>
      </c>
      <c r="BA399" s="152">
        <f t="shared" si="1568"/>
        <v>0</v>
      </c>
      <c r="BB399" s="152">
        <f t="shared" si="1568"/>
        <v>0</v>
      </c>
      <c r="BC399" s="152">
        <f t="shared" si="1568"/>
        <v>0</v>
      </c>
      <c r="BD399" s="156">
        <f t="shared" si="1568"/>
        <v>-262</v>
      </c>
      <c r="BE399" s="152">
        <f t="shared" si="1568"/>
        <v>0</v>
      </c>
      <c r="BF399" s="152">
        <f t="shared" si="1568"/>
        <v>0</v>
      </c>
      <c r="BG399" s="152">
        <f t="shared" si="1568"/>
        <v>0</v>
      </c>
      <c r="BH399" s="152">
        <f t="shared" si="1568"/>
        <v>0</v>
      </c>
      <c r="BI399" s="156">
        <f t="shared" si="1568"/>
        <v>-262</v>
      </c>
      <c r="BJ399" s="152">
        <f t="shared" si="1568"/>
        <v>0</v>
      </c>
      <c r="BK399" s="152">
        <f t="shared" si="1568"/>
        <v>0</v>
      </c>
      <c r="BL399" s="152">
        <f t="shared" si="1568"/>
        <v>0</v>
      </c>
      <c r="BM399" s="152">
        <f t="shared" si="1568"/>
        <v>0</v>
      </c>
      <c r="BN399" s="156">
        <f t="shared" ref="BN399:DJ399" si="1569">BN320</f>
        <v>-171</v>
      </c>
      <c r="BO399" s="152">
        <f t="shared" si="1569"/>
        <v>0</v>
      </c>
      <c r="BP399" s="152">
        <f t="shared" si="1569"/>
        <v>0</v>
      </c>
      <c r="BQ399" s="152">
        <f t="shared" si="1569"/>
        <v>0</v>
      </c>
      <c r="BR399" s="152">
        <f t="shared" si="1569"/>
        <v>0</v>
      </c>
      <c r="BS399" s="156">
        <f t="shared" si="1569"/>
        <v>-86</v>
      </c>
      <c r="BT399" s="152">
        <f t="shared" si="1569"/>
        <v>0</v>
      </c>
      <c r="BU399" s="152">
        <f t="shared" si="1569"/>
        <v>0</v>
      </c>
      <c r="BV399" s="152">
        <f t="shared" si="1569"/>
        <v>0</v>
      </c>
      <c r="BW399" s="152">
        <f t="shared" si="1569"/>
        <v>0</v>
      </c>
      <c r="BX399" s="156">
        <f t="shared" si="1569"/>
        <v>-86</v>
      </c>
      <c r="BY399" s="152">
        <f t="shared" si="1569"/>
        <v>0</v>
      </c>
      <c r="BZ399" s="152">
        <f t="shared" si="1569"/>
        <v>0</v>
      </c>
      <c r="CA399" s="152">
        <f t="shared" si="1569"/>
        <v>0</v>
      </c>
      <c r="CB399" s="152">
        <f t="shared" si="1569"/>
        <v>0</v>
      </c>
      <c r="CC399" s="156">
        <f t="shared" si="1569"/>
        <v>-86</v>
      </c>
      <c r="CD399" s="152">
        <f t="shared" si="1569"/>
        <v>0</v>
      </c>
      <c r="CE399" s="152">
        <f t="shared" si="1569"/>
        <v>0</v>
      </c>
      <c r="CF399" s="152">
        <f t="shared" si="1569"/>
        <v>0</v>
      </c>
      <c r="CG399" s="152">
        <f t="shared" si="1569"/>
        <v>0</v>
      </c>
      <c r="CH399" s="156">
        <f t="shared" si="1569"/>
        <v>-93</v>
      </c>
      <c r="CI399" s="862">
        <f t="shared" si="1569"/>
        <v>0</v>
      </c>
      <c r="CJ399" s="240">
        <f t="shared" si="1569"/>
        <v>0</v>
      </c>
      <c r="CK399" s="240">
        <f t="shared" si="1569"/>
        <v>0</v>
      </c>
      <c r="CL399" s="240">
        <f t="shared" si="1569"/>
        <v>0</v>
      </c>
      <c r="CM399" s="156">
        <f t="shared" si="1569"/>
        <v>-145</v>
      </c>
      <c r="CN399" s="862">
        <f t="shared" si="1569"/>
        <v>0</v>
      </c>
      <c r="CO399" s="240">
        <f t="shared" si="1569"/>
        <v>0</v>
      </c>
      <c r="CP399" s="240">
        <f t="shared" si="1569"/>
        <v>0</v>
      </c>
      <c r="CQ399" s="240">
        <f t="shared" si="1569"/>
        <v>0</v>
      </c>
      <c r="CR399" s="156">
        <f t="shared" si="1569"/>
        <v>-231</v>
      </c>
      <c r="CS399" s="862">
        <f t="shared" si="1569"/>
        <v>0</v>
      </c>
      <c r="CT399" s="240">
        <f t="shared" si="1569"/>
        <v>0</v>
      </c>
      <c r="CU399" s="240">
        <f t="shared" si="1569"/>
        <v>0</v>
      </c>
      <c r="CV399" s="240">
        <f t="shared" si="1569"/>
        <v>0</v>
      </c>
      <c r="CW399" s="156">
        <f t="shared" si="1569"/>
        <v>-308</v>
      </c>
      <c r="CX399" s="862">
        <f t="shared" si="1569"/>
        <v>0</v>
      </c>
      <c r="CY399" s="240">
        <f t="shared" si="1569"/>
        <v>0</v>
      </c>
      <c r="CZ399" s="240">
        <f t="shared" si="1569"/>
        <v>0</v>
      </c>
      <c r="DA399" s="240">
        <f t="shared" si="1569"/>
        <v>0</v>
      </c>
      <c r="DB399" s="156">
        <f t="shared" si="1569"/>
        <v>-345</v>
      </c>
      <c r="DC399" s="862">
        <f t="shared" si="1569"/>
        <v>0</v>
      </c>
      <c r="DD399" s="240">
        <f t="shared" si="1569"/>
        <v>0</v>
      </c>
      <c r="DE399" s="240">
        <f t="shared" si="1569"/>
        <v>0</v>
      </c>
      <c r="DF399" s="240">
        <f t="shared" si="1569"/>
        <v>0</v>
      </c>
      <c r="DG399" s="156">
        <f t="shared" si="1569"/>
        <v>-372</v>
      </c>
      <c r="DH399" s="862">
        <f t="shared" si="1569"/>
        <v>0</v>
      </c>
      <c r="DI399" s="240">
        <f t="shared" si="1569"/>
        <v>0</v>
      </c>
      <c r="DJ399" s="240">
        <f t="shared" si="1569"/>
        <v>0</v>
      </c>
      <c r="DK399" s="240">
        <f>DK320</f>
        <v>0</v>
      </c>
      <c r="DL399" s="156">
        <f t="shared" ref="DL399:DQ399" si="1570">DL320</f>
        <v>-480</v>
      </c>
      <c r="DM399" s="862">
        <f t="shared" si="1570"/>
        <v>0</v>
      </c>
      <c r="DN399" s="240">
        <f t="shared" si="1570"/>
        <v>0</v>
      </c>
      <c r="DO399" s="240">
        <f t="shared" si="1570"/>
        <v>0</v>
      </c>
      <c r="DP399" s="240">
        <f>DP320</f>
        <v>0</v>
      </c>
      <c r="DQ399" s="156">
        <f t="shared" si="1570"/>
        <v>-558</v>
      </c>
      <c r="DR399" s="862">
        <f t="shared" ref="DR399:DW399" si="1571">DR320</f>
        <v>-143</v>
      </c>
      <c r="DS399" s="240">
        <f t="shared" si="1571"/>
        <v>-153</v>
      </c>
      <c r="DT399" s="240">
        <f t="shared" si="1571"/>
        <v>-152</v>
      </c>
      <c r="DU399" s="240">
        <f t="shared" si="1571"/>
        <v>-152</v>
      </c>
      <c r="DV399" s="156">
        <f t="shared" si="1571"/>
        <v>-600</v>
      </c>
      <c r="DW399" s="862">
        <f t="shared" si="1571"/>
        <v>-151</v>
      </c>
      <c r="DX399" s="240">
        <f>DX320</f>
        <v>-160</v>
      </c>
      <c r="DY399" s="240">
        <f>DY320</f>
        <v>-159</v>
      </c>
      <c r="DZ399" s="240">
        <f>DZ320</f>
        <v>-159</v>
      </c>
      <c r="EA399" s="156">
        <f>EA320</f>
        <v>-629</v>
      </c>
      <c r="EB399" s="862">
        <f t="shared" ref="EB399" si="1572">EB320</f>
        <v>-158</v>
      </c>
      <c r="EC399" s="240">
        <f>EC320</f>
        <v>-178</v>
      </c>
      <c r="ED399" s="240">
        <f>ED320</f>
        <v>-176</v>
      </c>
      <c r="EE399" s="240">
        <f>EE320</f>
        <v>-174</v>
      </c>
      <c r="EF399" s="156">
        <f>EF320</f>
        <v>-686</v>
      </c>
      <c r="EG399" s="862">
        <f t="shared" ref="EG399" si="1573">EG320</f>
        <v>-173</v>
      </c>
      <c r="EH399" s="240">
        <f>EH320</f>
        <v>-171</v>
      </c>
      <c r="EI399" s="240">
        <f>EI320</f>
        <v>-169</v>
      </c>
      <c r="EJ399" s="240">
        <f>EJ320</f>
        <v>-167</v>
      </c>
      <c r="EK399" s="156">
        <f>EK320</f>
        <v>-680</v>
      </c>
      <c r="EL399" s="862">
        <f t="shared" ref="EL399" si="1574">EL320</f>
        <v>-166</v>
      </c>
      <c r="EM399" s="240">
        <f>EM320</f>
        <v>-184</v>
      </c>
      <c r="EN399" s="240">
        <f>EN320</f>
        <v>-180</v>
      </c>
      <c r="EO399" s="240">
        <f>EO320</f>
        <v>-178</v>
      </c>
      <c r="EP399" s="156">
        <f>EP320</f>
        <v>-708</v>
      </c>
      <c r="EQ399" s="862">
        <f t="shared" ref="EQ399" si="1575">EQ320</f>
        <v>0</v>
      </c>
      <c r="ER399" s="240">
        <f>ER320</f>
        <v>0</v>
      </c>
      <c r="ES399" s="240">
        <f>ES320</f>
        <v>0</v>
      </c>
      <c r="ET399" s="240">
        <f>ET320</f>
        <v>0</v>
      </c>
      <c r="EU399" s="156">
        <f>EU320</f>
        <v>-754.03936386281248</v>
      </c>
      <c r="EV399" s="152"/>
      <c r="EW399" s="152"/>
      <c r="EX399" s="152"/>
      <c r="EY399" s="152"/>
      <c r="EZ399" s="156">
        <f>EZ320</f>
        <v>-777.40993140329442</v>
      </c>
      <c r="FA399" s="152"/>
      <c r="FB399" s="152"/>
      <c r="FC399" s="152"/>
      <c r="FD399" s="152"/>
      <c r="FE399" s="156">
        <f>FE320</f>
        <v>-850.73875552779532</v>
      </c>
      <c r="FF399" s="45"/>
      <c r="FG399" s="494"/>
      <c r="FH399" s="819"/>
      <c r="FI399" s="819"/>
      <c r="FJ399" s="819"/>
      <c r="FK399" s="45"/>
      <c r="FL399" s="1388"/>
      <c r="FM399"/>
      <c r="FN399"/>
      <c r="FO399"/>
      <c r="FP399"/>
      <c r="FQ399"/>
      <c r="FR399" s="1619"/>
      <c r="FS399" s="1619"/>
      <c r="FT399" s="205"/>
      <c r="FU399" s="205"/>
      <c r="FV399" s="205"/>
      <c r="FW399" s="205"/>
      <c r="FX399" s="205"/>
      <c r="FY399" s="205"/>
      <c r="FZ399" s="494"/>
      <c r="GA399"/>
      <c r="GB399"/>
      <c r="GC399"/>
      <c r="GD399"/>
      <c r="GE399"/>
      <c r="GF399"/>
      <c r="GG399"/>
      <c r="GH399"/>
      <c r="GI399"/>
      <c r="GJ399"/>
      <c r="GK399"/>
      <c r="GL399"/>
      <c r="GM399"/>
      <c r="GN399"/>
      <c r="GO399"/>
      <c r="GP399"/>
      <c r="GQ399"/>
      <c r="GR399"/>
      <c r="GS399"/>
      <c r="GT399"/>
      <c r="GU399"/>
      <c r="GV399"/>
      <c r="GW399"/>
      <c r="GX399"/>
      <c r="GY399"/>
      <c r="GZ399"/>
      <c r="HA399"/>
      <c r="HB399"/>
      <c r="HC399"/>
      <c r="HD399"/>
      <c r="HE399"/>
      <c r="HF399"/>
      <c r="HG399"/>
      <c r="HH399"/>
      <c r="HI399"/>
      <c r="HJ399"/>
      <c r="HK399"/>
      <c r="HL399"/>
      <c r="HM399"/>
      <c r="HN399"/>
      <c r="HO399"/>
      <c r="HP399"/>
      <c r="HQ399"/>
      <c r="HR399"/>
      <c r="HS399"/>
      <c r="HT399"/>
      <c r="HU399"/>
      <c r="HV399"/>
      <c r="HW399"/>
      <c r="HX399"/>
      <c r="HY399"/>
      <c r="HZ399"/>
      <c r="IA399"/>
      <c r="IB399"/>
      <c r="IC399"/>
      <c r="ID399"/>
      <c r="IE399"/>
      <c r="IF399"/>
      <c r="IG399"/>
      <c r="IH399"/>
      <c r="II399"/>
      <c r="IJ399"/>
      <c r="IK399"/>
      <c r="IL399"/>
      <c r="IM399"/>
      <c r="IN399"/>
      <c r="IO399"/>
      <c r="IP399"/>
      <c r="IQ399"/>
      <c r="IR399"/>
      <c r="IS399"/>
      <c r="IT399"/>
      <c r="IU399"/>
      <c r="IV399"/>
      <c r="IW399"/>
      <c r="IX399"/>
    </row>
    <row r="400" spans="1:258" s="158" customFormat="1" x14ac:dyDescent="0.2">
      <c r="A400" s="215" t="s">
        <v>329</v>
      </c>
      <c r="B400" s="152">
        <v>0</v>
      </c>
      <c r="C400" s="152">
        <v>0</v>
      </c>
      <c r="D400" s="152">
        <v>0</v>
      </c>
      <c r="E400" s="152">
        <v>0</v>
      </c>
      <c r="F400" s="156">
        <v>0</v>
      </c>
      <c r="G400" s="152">
        <v>0</v>
      </c>
      <c r="H400" s="152">
        <v>0</v>
      </c>
      <c r="I400" s="152">
        <v>0</v>
      </c>
      <c r="J400" s="152">
        <v>0</v>
      </c>
      <c r="K400" s="156">
        <v>0</v>
      </c>
      <c r="L400" s="152">
        <v>0</v>
      </c>
      <c r="M400" s="152">
        <v>0</v>
      </c>
      <c r="N400" s="152">
        <v>0</v>
      </c>
      <c r="O400" s="152">
        <v>0</v>
      </c>
      <c r="P400" s="156">
        <v>0</v>
      </c>
      <c r="Q400" s="152">
        <v>0</v>
      </c>
      <c r="R400" s="152">
        <v>0</v>
      </c>
      <c r="S400" s="152">
        <v>0</v>
      </c>
      <c r="T400" s="152">
        <v>0</v>
      </c>
      <c r="U400" s="156">
        <v>0</v>
      </c>
      <c r="V400" s="152">
        <v>0</v>
      </c>
      <c r="W400" s="152">
        <v>0</v>
      </c>
      <c r="X400" s="152">
        <v>0</v>
      </c>
      <c r="Y400" s="152">
        <v>0</v>
      </c>
      <c r="Z400" s="156">
        <v>0</v>
      </c>
      <c r="AA400" s="152">
        <v>0</v>
      </c>
      <c r="AB400" s="152">
        <v>0</v>
      </c>
      <c r="AC400" s="152">
        <v>0</v>
      </c>
      <c r="AD400" s="152">
        <v>0</v>
      </c>
      <c r="AE400" s="156">
        <v>0</v>
      </c>
      <c r="AF400" s="152">
        <v>0</v>
      </c>
      <c r="AG400" s="152">
        <v>0</v>
      </c>
      <c r="AH400" s="152">
        <v>0</v>
      </c>
      <c r="AI400" s="152">
        <v>0</v>
      </c>
      <c r="AJ400" s="156">
        <v>0</v>
      </c>
      <c r="AK400" s="152">
        <v>0</v>
      </c>
      <c r="AL400" s="152">
        <v>0</v>
      </c>
      <c r="AM400" s="152">
        <v>0</v>
      </c>
      <c r="AN400" s="152">
        <v>0</v>
      </c>
      <c r="AO400" s="156">
        <v>0</v>
      </c>
      <c r="AP400" s="152">
        <v>0</v>
      </c>
      <c r="AQ400" s="152">
        <v>0</v>
      </c>
      <c r="AR400" s="152">
        <v>0</v>
      </c>
      <c r="AS400" s="152">
        <v>0</v>
      </c>
      <c r="AT400" s="156">
        <v>0</v>
      </c>
      <c r="AU400" s="152">
        <v>0</v>
      </c>
      <c r="AV400" s="152">
        <v>0</v>
      </c>
      <c r="AW400" s="152">
        <v>0</v>
      </c>
      <c r="AX400" s="152">
        <v>0</v>
      </c>
      <c r="AY400" s="156">
        <v>0</v>
      </c>
      <c r="AZ400" s="152">
        <v>0</v>
      </c>
      <c r="BA400" s="152">
        <v>0</v>
      </c>
      <c r="BB400" s="152">
        <v>0</v>
      </c>
      <c r="BC400" s="152">
        <v>0</v>
      </c>
      <c r="BD400" s="156">
        <v>0</v>
      </c>
      <c r="BE400" s="152">
        <v>0</v>
      </c>
      <c r="BF400" s="152">
        <v>0</v>
      </c>
      <c r="BG400" s="152">
        <v>0</v>
      </c>
      <c r="BH400" s="152">
        <v>0</v>
      </c>
      <c r="BI400" s="156">
        <v>0</v>
      </c>
      <c r="BJ400" s="152">
        <v>0</v>
      </c>
      <c r="BK400" s="152">
        <v>0</v>
      </c>
      <c r="BL400" s="152">
        <v>0</v>
      </c>
      <c r="BM400" s="152">
        <v>0</v>
      </c>
      <c r="BN400" s="156">
        <v>0</v>
      </c>
      <c r="BO400" s="152">
        <v>0</v>
      </c>
      <c r="BP400" s="152">
        <v>0</v>
      </c>
      <c r="BQ400" s="152">
        <v>0</v>
      </c>
      <c r="BR400" s="152">
        <v>0</v>
      </c>
      <c r="BS400" s="156">
        <v>0</v>
      </c>
      <c r="BT400" s="152">
        <v>0</v>
      </c>
      <c r="BU400" s="152">
        <v>0</v>
      </c>
      <c r="BV400" s="152">
        <v>0</v>
      </c>
      <c r="BW400" s="152">
        <v>0</v>
      </c>
      <c r="BX400" s="156">
        <v>0</v>
      </c>
      <c r="BY400" s="152">
        <v>0</v>
      </c>
      <c r="BZ400" s="152">
        <v>0</v>
      </c>
      <c r="CA400" s="152">
        <v>0</v>
      </c>
      <c r="CB400" s="152">
        <v>0</v>
      </c>
      <c r="CC400" s="156">
        <v>0</v>
      </c>
      <c r="CD400" s="152">
        <v>0</v>
      </c>
      <c r="CE400" s="152">
        <v>0</v>
      </c>
      <c r="CF400" s="152">
        <v>0</v>
      </c>
      <c r="CG400" s="152">
        <v>0</v>
      </c>
      <c r="CH400" s="156">
        <v>0</v>
      </c>
      <c r="CI400" s="862">
        <v>0</v>
      </c>
      <c r="CJ400" s="240">
        <v>0</v>
      </c>
      <c r="CK400" s="240">
        <v>0</v>
      </c>
      <c r="CL400" s="240">
        <v>0</v>
      </c>
      <c r="CM400" s="156">
        <v>0</v>
      </c>
      <c r="CN400" s="862">
        <v>0</v>
      </c>
      <c r="CO400" s="240">
        <v>0</v>
      </c>
      <c r="CP400" s="240">
        <v>0</v>
      </c>
      <c r="CQ400" s="240">
        <v>0</v>
      </c>
      <c r="CR400" s="156">
        <v>0</v>
      </c>
      <c r="CS400" s="862">
        <v>0</v>
      </c>
      <c r="CT400" s="240">
        <v>0</v>
      </c>
      <c r="CU400" s="240">
        <v>0</v>
      </c>
      <c r="CV400" s="240">
        <v>0</v>
      </c>
      <c r="CW400" s="156">
        <v>0</v>
      </c>
      <c r="CX400" s="862">
        <v>0</v>
      </c>
      <c r="CY400" s="240">
        <v>0</v>
      </c>
      <c r="CZ400" s="240">
        <v>0</v>
      </c>
      <c r="DA400" s="240">
        <v>0</v>
      </c>
      <c r="DB400" s="156">
        <v>0</v>
      </c>
      <c r="DC400" s="862">
        <v>0</v>
      </c>
      <c r="DD400" s="240">
        <v>0</v>
      </c>
      <c r="DE400" s="240">
        <v>0</v>
      </c>
      <c r="DF400" s="240">
        <v>0</v>
      </c>
      <c r="DG400" s="156">
        <v>0</v>
      </c>
      <c r="DH400" s="862">
        <v>0</v>
      </c>
      <c r="DI400" s="240">
        <v>0</v>
      </c>
      <c r="DJ400" s="240">
        <v>0</v>
      </c>
      <c r="DK400" s="240">
        <v>0</v>
      </c>
      <c r="DL400" s="156">
        <v>0</v>
      </c>
      <c r="DM400" s="862">
        <v>0</v>
      </c>
      <c r="DN400" s="240">
        <v>0</v>
      </c>
      <c r="DO400" s="240">
        <v>0</v>
      </c>
      <c r="DP400" s="240">
        <v>0</v>
      </c>
      <c r="DQ400" s="156">
        <v>0</v>
      </c>
      <c r="DR400" s="862">
        <v>0</v>
      </c>
      <c r="DS400" s="240">
        <v>0</v>
      </c>
      <c r="DT400" s="240">
        <v>0</v>
      </c>
      <c r="DU400" s="240">
        <v>0</v>
      </c>
      <c r="DV400" s="156">
        <v>0</v>
      </c>
      <c r="DW400" s="862">
        <v>0</v>
      </c>
      <c r="DX400" s="240">
        <v>0</v>
      </c>
      <c r="DY400" s="240">
        <v>0</v>
      </c>
      <c r="DZ400" s="240">
        <v>0</v>
      </c>
      <c r="EA400" s="220">
        <v>0</v>
      </c>
      <c r="EB400" s="862">
        <v>0</v>
      </c>
      <c r="EC400" s="240">
        <v>0</v>
      </c>
      <c r="ED400" s="240">
        <v>0</v>
      </c>
      <c r="EE400" s="240">
        <v>0</v>
      </c>
      <c r="EF400" s="220">
        <v>0</v>
      </c>
      <c r="EG400" s="862">
        <v>0</v>
      </c>
      <c r="EH400" s="240">
        <v>0</v>
      </c>
      <c r="EI400" s="240">
        <v>0</v>
      </c>
      <c r="EJ400" s="240">
        <v>0</v>
      </c>
      <c r="EK400" s="220">
        <v>0</v>
      </c>
      <c r="EL400" s="862">
        <v>0</v>
      </c>
      <c r="EM400" s="240">
        <v>0</v>
      </c>
      <c r="EN400" s="240">
        <v>0</v>
      </c>
      <c r="EO400" s="240">
        <v>0</v>
      </c>
      <c r="EP400" s="220">
        <v>0</v>
      </c>
      <c r="EQ400" s="862">
        <v>0</v>
      </c>
      <c r="ER400" s="240">
        <v>0</v>
      </c>
      <c r="ES400" s="240">
        <v>0</v>
      </c>
      <c r="ET400" s="240">
        <v>0</v>
      </c>
      <c r="EU400" s="220">
        <v>0</v>
      </c>
      <c r="EV400" s="221"/>
      <c r="EW400" s="221"/>
      <c r="EX400" s="221"/>
      <c r="EY400" s="221"/>
      <c r="EZ400" s="220">
        <v>0</v>
      </c>
      <c r="FA400" s="221"/>
      <c r="FB400" s="221"/>
      <c r="FC400" s="221"/>
      <c r="FD400" s="221"/>
      <c r="FE400" s="220">
        <v>0</v>
      </c>
      <c r="FF400" s="45"/>
      <c r="FG400" s="494"/>
      <c r="FH400" s="819"/>
      <c r="FI400" s="819"/>
      <c r="FJ400" s="819"/>
      <c r="FK400" s="45"/>
      <c r="FL400" s="1388"/>
      <c r="FM400"/>
      <c r="FN400"/>
      <c r="FO400"/>
      <c r="FP400"/>
      <c r="FQ400"/>
      <c r="FR400" s="1619"/>
      <c r="FS400" s="1619"/>
      <c r="FT400" s="205"/>
      <c r="FU400" s="205"/>
      <c r="FV400" s="205"/>
      <c r="FW400" s="205"/>
      <c r="FX400" s="205"/>
      <c r="FY400" s="205"/>
      <c r="FZ400" s="494"/>
      <c r="GA400"/>
      <c r="GB400"/>
      <c r="GC400"/>
      <c r="GD400"/>
      <c r="GE400"/>
      <c r="GF400"/>
      <c r="GG400"/>
      <c r="GH400"/>
      <c r="GI400"/>
      <c r="GJ400"/>
      <c r="GK400"/>
      <c r="GL400"/>
      <c r="GM400"/>
      <c r="GN400"/>
      <c r="GO400"/>
      <c r="GP400"/>
      <c r="GQ400"/>
      <c r="GR400"/>
      <c r="GS400"/>
      <c r="GT400"/>
      <c r="GU400"/>
      <c r="GV400"/>
      <c r="GW400"/>
      <c r="GX400"/>
      <c r="GY400"/>
      <c r="GZ400"/>
      <c r="HA400"/>
      <c r="HB400"/>
      <c r="HC400"/>
      <c r="HD400"/>
      <c r="HE400"/>
      <c r="HF400"/>
      <c r="HG400"/>
      <c r="HH400"/>
      <c r="HI400"/>
      <c r="HJ400"/>
      <c r="HK400"/>
      <c r="HL400"/>
      <c r="HM400"/>
      <c r="HN400"/>
      <c r="HO400"/>
      <c r="HP400"/>
      <c r="HQ400"/>
      <c r="HR400"/>
      <c r="HS400"/>
      <c r="HT400"/>
      <c r="HU400"/>
      <c r="HV400"/>
      <c r="HW400"/>
      <c r="HX400"/>
      <c r="HY400"/>
      <c r="HZ400"/>
      <c r="IA400"/>
      <c r="IB400"/>
      <c r="IC400"/>
      <c r="ID400"/>
      <c r="IE400"/>
      <c r="IF400"/>
      <c r="IG400"/>
      <c r="IH400"/>
      <c r="II400"/>
      <c r="IJ400"/>
      <c r="IK400"/>
      <c r="IL400"/>
      <c r="IM400"/>
      <c r="IN400"/>
      <c r="IO400"/>
      <c r="IP400"/>
      <c r="IQ400"/>
      <c r="IR400"/>
      <c r="IS400"/>
      <c r="IT400"/>
      <c r="IU400"/>
      <c r="IV400"/>
      <c r="IW400"/>
      <c r="IX400"/>
    </row>
    <row r="401" spans="1:258" s="119" customFormat="1" x14ac:dyDescent="0.2">
      <c r="A401" s="249" t="s">
        <v>66</v>
      </c>
      <c r="B401" s="250">
        <v>0.36</v>
      </c>
      <c r="C401" s="250">
        <v>0.36</v>
      </c>
      <c r="D401" s="250">
        <v>0.36</v>
      </c>
      <c r="E401" s="250">
        <v>0.36</v>
      </c>
      <c r="F401" s="251">
        <v>0.36</v>
      </c>
      <c r="G401" s="250">
        <v>0.36</v>
      </c>
      <c r="H401" s="250">
        <v>0.36</v>
      </c>
      <c r="I401" s="250">
        <v>0.36</v>
      </c>
      <c r="J401" s="250">
        <v>0.36</v>
      </c>
      <c r="K401" s="251">
        <v>0.36</v>
      </c>
      <c r="L401" s="250">
        <v>0.36</v>
      </c>
      <c r="M401" s="250">
        <v>0.36</v>
      </c>
      <c r="N401" s="250">
        <v>0.36</v>
      </c>
      <c r="O401" s="250">
        <v>0.36</v>
      </c>
      <c r="P401" s="251">
        <v>0.36</v>
      </c>
      <c r="Q401" s="250">
        <v>0.36</v>
      </c>
      <c r="R401" s="250">
        <v>0.36</v>
      </c>
      <c r="S401" s="250">
        <v>0.36</v>
      </c>
      <c r="T401" s="250">
        <v>0.36</v>
      </c>
      <c r="U401" s="251">
        <v>0.36</v>
      </c>
      <c r="V401" s="250">
        <v>0.36</v>
      </c>
      <c r="W401" s="250">
        <v>0.36</v>
      </c>
      <c r="X401" s="250">
        <v>0.36</v>
      </c>
      <c r="Y401" s="250">
        <v>0.36</v>
      </c>
      <c r="Z401" s="251">
        <v>0.36</v>
      </c>
      <c r="AA401" s="250">
        <v>0.36</v>
      </c>
      <c r="AB401" s="250">
        <v>0.36</v>
      </c>
      <c r="AC401" s="250">
        <v>0.36</v>
      </c>
      <c r="AD401" s="250">
        <v>0.36</v>
      </c>
      <c r="AE401" s="251">
        <v>0.36</v>
      </c>
      <c r="AF401" s="250">
        <v>0.36</v>
      </c>
      <c r="AG401" s="250">
        <v>0.36</v>
      </c>
      <c r="AH401" s="250">
        <v>0.36</v>
      </c>
      <c r="AI401" s="250">
        <v>0.36</v>
      </c>
      <c r="AJ401" s="251">
        <v>0.36</v>
      </c>
      <c r="AK401" s="250">
        <v>0.36</v>
      </c>
      <c r="AL401" s="250">
        <v>0.36</v>
      </c>
      <c r="AM401" s="250">
        <v>0.36</v>
      </c>
      <c r="AN401" s="250">
        <v>0.36</v>
      </c>
      <c r="AO401" s="251">
        <v>0.36</v>
      </c>
      <c r="AP401" s="250">
        <v>0.36</v>
      </c>
      <c r="AQ401" s="250">
        <v>0.36</v>
      </c>
      <c r="AR401" s="250">
        <v>0.36</v>
      </c>
      <c r="AS401" s="250">
        <v>0.36</v>
      </c>
      <c r="AT401" s="251">
        <v>0.36</v>
      </c>
      <c r="AU401" s="250">
        <v>0.36</v>
      </c>
      <c r="AV401" s="250">
        <v>0.36</v>
      </c>
      <c r="AW401" s="250">
        <v>0.36</v>
      </c>
      <c r="AX401" s="250">
        <v>0.36</v>
      </c>
      <c r="AY401" s="251">
        <v>0.36</v>
      </c>
      <c r="AZ401" s="250">
        <v>0.36</v>
      </c>
      <c r="BA401" s="250">
        <v>0.36</v>
      </c>
      <c r="BB401" s="250">
        <v>0.36</v>
      </c>
      <c r="BC401" s="250">
        <v>0.36</v>
      </c>
      <c r="BD401" s="251">
        <v>0.36</v>
      </c>
      <c r="BE401" s="250">
        <v>0.36</v>
      </c>
      <c r="BF401" s="250">
        <v>0.36</v>
      </c>
      <c r="BG401" s="250">
        <v>0.36</v>
      </c>
      <c r="BH401" s="250">
        <v>0.36</v>
      </c>
      <c r="BI401" s="251">
        <v>0.36</v>
      </c>
      <c r="BJ401" s="250">
        <v>0.36</v>
      </c>
      <c r="BK401" s="250">
        <v>0.36</v>
      </c>
      <c r="BL401" s="250">
        <v>0.36</v>
      </c>
      <c r="BM401" s="250">
        <v>0.36</v>
      </c>
      <c r="BN401" s="251">
        <v>0.36</v>
      </c>
      <c r="BO401" s="250">
        <v>0.36</v>
      </c>
      <c r="BP401" s="250">
        <v>0.36</v>
      </c>
      <c r="BQ401" s="250">
        <v>0.36</v>
      </c>
      <c r="BR401" s="250">
        <v>0.36</v>
      </c>
      <c r="BS401" s="251">
        <v>0.36</v>
      </c>
      <c r="BT401" s="250">
        <v>0.36</v>
      </c>
      <c r="BU401" s="250">
        <v>0.36</v>
      </c>
      <c r="BV401" s="250">
        <v>0.36</v>
      </c>
      <c r="BW401" s="250">
        <v>0.36</v>
      </c>
      <c r="BX401" s="251">
        <v>0.36</v>
      </c>
      <c r="BY401" s="250">
        <v>0.36</v>
      </c>
      <c r="BZ401" s="250">
        <v>0.36</v>
      </c>
      <c r="CA401" s="250">
        <v>0.36</v>
      </c>
      <c r="CB401" s="250">
        <v>0.36</v>
      </c>
      <c r="CC401" s="251">
        <v>0.36</v>
      </c>
      <c r="CD401" s="250">
        <v>0.36</v>
      </c>
      <c r="CE401" s="250">
        <v>0.36</v>
      </c>
      <c r="CF401" s="250">
        <v>0.36</v>
      </c>
      <c r="CG401" s="250">
        <v>0.36</v>
      </c>
      <c r="CH401" s="251">
        <v>0.36</v>
      </c>
      <c r="CI401" s="250">
        <v>0.36</v>
      </c>
      <c r="CJ401" s="250">
        <v>0.36</v>
      </c>
      <c r="CK401" s="250">
        <v>0.36</v>
      </c>
      <c r="CL401" s="250">
        <v>0.36</v>
      </c>
      <c r="CM401" s="251">
        <v>0.36</v>
      </c>
      <c r="CN401" s="250">
        <v>0.36</v>
      </c>
      <c r="CO401" s="250">
        <v>0.36</v>
      </c>
      <c r="CP401" s="250">
        <v>0.36</v>
      </c>
      <c r="CQ401" s="250">
        <v>0.36</v>
      </c>
      <c r="CR401" s="251">
        <v>0.36</v>
      </c>
      <c r="CS401" s="250">
        <v>0.36</v>
      </c>
      <c r="CT401" s="250">
        <v>0.36</v>
      </c>
      <c r="CU401" s="250">
        <v>0.36</v>
      </c>
      <c r="CV401" s="250">
        <v>0.36</v>
      </c>
      <c r="CW401" s="251">
        <v>0.36</v>
      </c>
      <c r="CX401" s="250">
        <v>0.36</v>
      </c>
      <c r="CY401" s="250">
        <v>0.36</v>
      </c>
      <c r="CZ401" s="250">
        <v>0.36</v>
      </c>
      <c r="DA401" s="250">
        <v>0.36</v>
      </c>
      <c r="DB401" s="251">
        <v>0.36</v>
      </c>
      <c r="DC401" s="250">
        <v>0.36</v>
      </c>
      <c r="DD401" s="334">
        <v>0.36</v>
      </c>
      <c r="DE401" s="334">
        <v>0.36</v>
      </c>
      <c r="DF401" s="334">
        <v>0.36</v>
      </c>
      <c r="DG401" s="251">
        <v>0.36</v>
      </c>
      <c r="DH401" s="334">
        <v>0.36</v>
      </c>
      <c r="DI401" s="334">
        <v>0.36</v>
      </c>
      <c r="DJ401" s="334">
        <v>0.36</v>
      </c>
      <c r="DK401" s="334">
        <v>0.36</v>
      </c>
      <c r="DL401" s="251">
        <v>0.36</v>
      </c>
      <c r="DM401" s="334">
        <v>0.36</v>
      </c>
      <c r="DN401" s="334">
        <v>0.36</v>
      </c>
      <c r="DO401" s="334">
        <v>0.36</v>
      </c>
      <c r="DP401" s="334">
        <v>0.36</v>
      </c>
      <c r="DQ401" s="251">
        <v>0.36</v>
      </c>
      <c r="DR401" s="334">
        <v>0.36</v>
      </c>
      <c r="DS401" s="334">
        <v>0.36</v>
      </c>
      <c r="DT401" s="250">
        <v>0.36</v>
      </c>
      <c r="DU401" s="334">
        <v>0.36</v>
      </c>
      <c r="DV401" s="251">
        <v>0.36</v>
      </c>
      <c r="DW401" s="334">
        <v>0.36</v>
      </c>
      <c r="DX401" s="334">
        <v>0.36</v>
      </c>
      <c r="DY401" s="334">
        <v>0.36</v>
      </c>
      <c r="DZ401" s="334">
        <v>0.36</v>
      </c>
      <c r="EA401" s="251">
        <v>0.36</v>
      </c>
      <c r="EB401" s="334">
        <v>0.36</v>
      </c>
      <c r="EC401" s="334">
        <v>0.36</v>
      </c>
      <c r="ED401" s="334">
        <v>0.36</v>
      </c>
      <c r="EE401" s="334">
        <v>0.36</v>
      </c>
      <c r="EF401" s="251">
        <v>0.36</v>
      </c>
      <c r="EG401" s="334">
        <v>0.36</v>
      </c>
      <c r="EH401" s="334">
        <v>0.36</v>
      </c>
      <c r="EI401" s="334">
        <v>0.36</v>
      </c>
      <c r="EJ401" s="334">
        <v>0.36</v>
      </c>
      <c r="EK401" s="251">
        <v>0.36</v>
      </c>
      <c r="EL401" s="334">
        <v>0.36</v>
      </c>
      <c r="EM401" s="334">
        <v>0.36</v>
      </c>
      <c r="EN401" s="334">
        <v>0.36</v>
      </c>
      <c r="EO401" s="334">
        <v>0.36</v>
      </c>
      <c r="EP401" s="251">
        <v>0.36</v>
      </c>
      <c r="EQ401" s="334">
        <v>0.36</v>
      </c>
      <c r="ER401" s="334">
        <v>0.36</v>
      </c>
      <c r="ES401" s="334">
        <v>0.36</v>
      </c>
      <c r="ET401" s="334">
        <v>0.36</v>
      </c>
      <c r="EU401" s="251">
        <v>0.36</v>
      </c>
      <c r="EV401" s="6"/>
      <c r="EW401" s="6"/>
      <c r="EX401" s="6"/>
      <c r="EY401" s="6"/>
      <c r="EZ401" s="251">
        <v>0.36</v>
      </c>
      <c r="FA401" s="6"/>
      <c r="FB401" s="6"/>
      <c r="FC401" s="6"/>
      <c r="FD401" s="6"/>
      <c r="FE401" s="251">
        <v>0.36</v>
      </c>
      <c r="FF401" s="45"/>
      <c r="FG401" s="494"/>
      <c r="FH401" s="819"/>
      <c r="FI401" s="819"/>
      <c r="FJ401" s="819"/>
      <c r="FK401" s="45"/>
      <c r="FL401" s="1388"/>
      <c r="FM401"/>
      <c r="FN401"/>
      <c r="FO401"/>
      <c r="FP401"/>
      <c r="FQ401"/>
      <c r="FR401" s="1619"/>
      <c r="FS401" s="1619"/>
      <c r="FT401" s="205"/>
      <c r="FU401" s="205"/>
      <c r="FV401" s="205"/>
      <c r="FW401" s="205"/>
      <c r="FX401" s="205"/>
      <c r="FY401" s="205"/>
      <c r="FZ401" s="494"/>
      <c r="GA401"/>
      <c r="GB401"/>
      <c r="GC401"/>
      <c r="GD401"/>
      <c r="GE401"/>
      <c r="GF401"/>
      <c r="GG401"/>
      <c r="GH401"/>
      <c r="GI401"/>
      <c r="GJ401"/>
      <c r="GK401"/>
      <c r="GL401"/>
      <c r="GM401"/>
      <c r="GN401"/>
      <c r="GO401"/>
      <c r="GP401"/>
      <c r="GQ401"/>
      <c r="GR401"/>
      <c r="GS401"/>
      <c r="GT401"/>
      <c r="GU401"/>
      <c r="GV401"/>
      <c r="GW401"/>
      <c r="GX401"/>
      <c r="GY401"/>
      <c r="GZ401"/>
      <c r="HA401"/>
      <c r="HB401"/>
      <c r="HC401"/>
      <c r="HD401"/>
      <c r="HE401"/>
      <c r="HF401"/>
      <c r="HG401"/>
      <c r="HH401"/>
      <c r="HI401"/>
      <c r="HJ401"/>
      <c r="HK401"/>
      <c r="HL401"/>
      <c r="HM401"/>
      <c r="HN401"/>
      <c r="HO401"/>
      <c r="HP401"/>
      <c r="HQ401"/>
      <c r="HR401"/>
      <c r="HS401"/>
      <c r="HT401"/>
      <c r="HU401"/>
      <c r="HV401"/>
      <c r="HW401"/>
      <c r="HX401"/>
      <c r="HY401"/>
      <c r="HZ401"/>
      <c r="IA401"/>
      <c r="IB401"/>
      <c r="IC401"/>
      <c r="ID401"/>
      <c r="IE401"/>
      <c r="IF401"/>
      <c r="IG401"/>
      <c r="IH401"/>
      <c r="II401"/>
      <c r="IJ401"/>
      <c r="IK401"/>
      <c r="IL401"/>
      <c r="IM401"/>
      <c r="IN401"/>
      <c r="IO401"/>
      <c r="IP401"/>
      <c r="IQ401"/>
      <c r="IR401"/>
      <c r="IS401"/>
      <c r="IT401"/>
      <c r="IU401"/>
      <c r="IV401"/>
      <c r="IW401"/>
      <c r="IX401"/>
    </row>
    <row r="402" spans="1:258" s="102" customFormat="1" x14ac:dyDescent="0.2">
      <c r="A402" s="299" t="s">
        <v>292</v>
      </c>
      <c r="B402" s="300"/>
      <c r="C402" s="300"/>
      <c r="D402" s="300"/>
      <c r="E402" s="300"/>
      <c r="F402" s="301"/>
      <c r="G402" s="300"/>
      <c r="H402" s="300"/>
      <c r="I402" s="300"/>
      <c r="J402" s="300"/>
      <c r="K402" s="301"/>
      <c r="L402" s="300"/>
      <c r="M402" s="300"/>
      <c r="N402" s="300"/>
      <c r="O402" s="300"/>
      <c r="P402" s="301"/>
      <c r="Q402" s="300"/>
      <c r="R402" s="300"/>
      <c r="S402" s="300"/>
      <c r="T402" s="300"/>
      <c r="U402" s="301"/>
      <c r="V402" s="300"/>
      <c r="W402" s="300"/>
      <c r="X402" s="300"/>
      <c r="Y402" s="300"/>
      <c r="Z402" s="301"/>
      <c r="AA402" s="300"/>
      <c r="AB402" s="300"/>
      <c r="AC402" s="300"/>
      <c r="AD402" s="300"/>
      <c r="AE402" s="301"/>
      <c r="AF402" s="300"/>
      <c r="AG402" s="300"/>
      <c r="AH402" s="300"/>
      <c r="AI402" s="300"/>
      <c r="AJ402" s="301"/>
      <c r="AK402" s="300"/>
      <c r="AL402" s="300"/>
      <c r="AM402" s="300"/>
      <c r="AN402" s="300"/>
      <c r="AO402" s="301"/>
      <c r="AP402" s="300"/>
      <c r="AQ402" s="300"/>
      <c r="AR402" s="300"/>
      <c r="AS402" s="300"/>
      <c r="AT402" s="301"/>
      <c r="AU402" s="300"/>
      <c r="AV402" s="300"/>
      <c r="AW402" s="300"/>
      <c r="AX402" s="300"/>
      <c r="AY402" s="301"/>
      <c r="AZ402" s="300"/>
      <c r="BA402" s="300"/>
      <c r="BB402" s="300"/>
      <c r="BC402" s="300"/>
      <c r="BD402" s="301"/>
      <c r="BE402" s="300"/>
      <c r="BF402" s="300"/>
      <c r="BG402" s="300"/>
      <c r="BH402" s="300"/>
      <c r="BI402" s="301"/>
      <c r="BJ402" s="300"/>
      <c r="BK402" s="300"/>
      <c r="BL402" s="300"/>
      <c r="BM402" s="300"/>
      <c r="BN402" s="301"/>
      <c r="BO402" s="300">
        <v>1274.4000000000001</v>
      </c>
      <c r="BP402" s="300">
        <v>1277.4000000000001</v>
      </c>
      <c r="BQ402" s="300">
        <v>1278</v>
      </c>
      <c r="BR402" s="300">
        <v>1288.2</v>
      </c>
      <c r="BS402" s="301">
        <f>BR402</f>
        <v>1288.2</v>
      </c>
      <c r="BT402" s="300">
        <v>1282.2</v>
      </c>
      <c r="BU402" s="300">
        <v>1284</v>
      </c>
      <c r="BV402" s="300">
        <v>1283.4000000000001</v>
      </c>
      <c r="BW402" s="300">
        <v>1290.5999999999999</v>
      </c>
      <c r="BX402" s="301">
        <f>BW402</f>
        <v>1290.5999999999999</v>
      </c>
      <c r="BY402" s="300">
        <v>1288.2</v>
      </c>
      <c r="BZ402" s="300">
        <v>1288.884</v>
      </c>
      <c r="CA402" s="300">
        <v>1288.9740000000002</v>
      </c>
      <c r="CB402" s="300">
        <v>1293.174</v>
      </c>
      <c r="CC402" s="301">
        <f>CB402</f>
        <v>1293.174</v>
      </c>
      <c r="CD402" s="300">
        <v>1299.3663300000001</v>
      </c>
      <c r="CE402" s="300">
        <v>1301.757114</v>
      </c>
      <c r="CF402" s="300">
        <v>1303.434714</v>
      </c>
      <c r="CG402" s="300">
        <v>1309.2180000000001</v>
      </c>
      <c r="CH402" s="301">
        <f>CG402</f>
        <v>1309.2180000000001</v>
      </c>
      <c r="CI402" s="300">
        <v>1329.516936</v>
      </c>
      <c r="CJ402" s="300">
        <v>1330.5924480000001</v>
      </c>
      <c r="CK402" s="300">
        <v>1305.5449530000001</v>
      </c>
      <c r="CL402" s="300">
        <v>1313.290767</v>
      </c>
      <c r="CM402" s="301">
        <f>CL402</f>
        <v>1313.290767</v>
      </c>
      <c r="CN402" s="300">
        <v>1311.470196</v>
      </c>
      <c r="CO402" s="300">
        <v>1317.03</v>
      </c>
      <c r="CP402" s="300">
        <v>1261.276431</v>
      </c>
      <c r="CQ402" s="300">
        <v>1224</v>
      </c>
      <c r="CR402" s="301">
        <f>CQ402</f>
        <v>1224</v>
      </c>
      <c r="CS402" s="300">
        <v>1214.665704</v>
      </c>
      <c r="CT402" s="300">
        <v>1222.9264410000001</v>
      </c>
      <c r="CU402" s="300">
        <v>1183.4080799999999</v>
      </c>
      <c r="CV402" s="300">
        <v>1171.578</v>
      </c>
      <c r="CW402" s="301">
        <f>CV402</f>
        <v>1171.578</v>
      </c>
      <c r="CX402" s="300">
        <v>1174.379316</v>
      </c>
      <c r="CY402" s="300">
        <v>1176</v>
      </c>
      <c r="CZ402" s="300">
        <v>1177.6767749999999</v>
      </c>
      <c r="DA402" s="300">
        <v>1177.674</v>
      </c>
      <c r="DB402" s="301">
        <f>DA402</f>
        <v>1177.674</v>
      </c>
      <c r="DC402" s="300">
        <v>1167.6778949999998</v>
      </c>
      <c r="DD402" s="300">
        <v>1138.94235</v>
      </c>
      <c r="DE402" s="300">
        <v>1122.5538630000001</v>
      </c>
      <c r="DF402" s="300">
        <v>1118.05125</v>
      </c>
      <c r="DG402" s="301">
        <f>DF402</f>
        <v>1118.05125</v>
      </c>
      <c r="DH402" s="300">
        <f t="shared" ref="DH402:ET402" si="1576">DH403</f>
        <v>1108.7145446433558</v>
      </c>
      <c r="DI402" s="300">
        <f t="shared" si="1576"/>
        <v>1102.9877605807553</v>
      </c>
      <c r="DJ402" s="300">
        <f t="shared" si="1576"/>
        <v>1071.161242692041</v>
      </c>
      <c r="DK402" s="300">
        <f t="shared" si="1576"/>
        <v>1050.2750903275721</v>
      </c>
      <c r="DL402" s="301">
        <f t="shared" si="1576"/>
        <v>1083.284659560931</v>
      </c>
      <c r="DM402" s="300">
        <f t="shared" si="1576"/>
        <v>1043.313039539416</v>
      </c>
      <c r="DN402" s="300">
        <f t="shared" si="1576"/>
        <v>1037.345567435282</v>
      </c>
      <c r="DO402" s="300">
        <f t="shared" si="1576"/>
        <v>1034.3618313832148</v>
      </c>
      <c r="DP402" s="300">
        <f t="shared" si="1576"/>
        <v>1022.4268871749471</v>
      </c>
      <c r="DQ402" s="301">
        <f t="shared" si="1576"/>
        <v>1034.3618313832151</v>
      </c>
      <c r="DR402" s="300">
        <f t="shared" si="1576"/>
        <v>1017.4539937548354</v>
      </c>
      <c r="DS402" s="300">
        <f t="shared" si="1576"/>
        <v>1017.4539937548354</v>
      </c>
      <c r="DT402" s="300">
        <f t="shared" si="1576"/>
        <v>1011.9838109927126</v>
      </c>
      <c r="DU402" s="300">
        <f t="shared" si="1576"/>
        <v>1007.5082069146122</v>
      </c>
      <c r="DV402" s="301">
        <f t="shared" si="1576"/>
        <v>1013.6000013542489</v>
      </c>
      <c r="DW402" s="300">
        <f t="shared" si="1576"/>
        <v>1002.0380241524895</v>
      </c>
      <c r="DX402" s="300">
        <f t="shared" si="1576"/>
        <v>997.56242007438902</v>
      </c>
      <c r="DY402" s="300">
        <f t="shared" si="1576"/>
        <v>993.58410533829976</v>
      </c>
      <c r="DZ402" s="300">
        <f t="shared" si="1576"/>
        <v>989.62165626416902</v>
      </c>
      <c r="EA402" s="302">
        <f t="shared" si="1576"/>
        <v>995.70155145733668</v>
      </c>
      <c r="EB402" s="300">
        <f t="shared" si="1576"/>
        <v>986.62205455014362</v>
      </c>
      <c r="EC402" s="300">
        <f t="shared" si="1576"/>
        <v>983.63831849807661</v>
      </c>
      <c r="ED402" s="300">
        <f t="shared" si="1576"/>
        <v>976.67626770992035</v>
      </c>
      <c r="EE402" s="300">
        <f t="shared" si="1576"/>
        <v>967.72505955371946</v>
      </c>
      <c r="EF402" s="302">
        <f>EF403</f>
        <v>978.66542507796476</v>
      </c>
      <c r="EG402" s="300">
        <f t="shared" si="1576"/>
        <v>957.7792727134962</v>
      </c>
      <c r="EH402" s="300">
        <f t="shared" si="1576"/>
        <v>946.83890718925056</v>
      </c>
      <c r="EI402" s="300">
        <f t="shared" si="1576"/>
        <v>937.88769903304967</v>
      </c>
      <c r="EJ402" s="300">
        <f t="shared" si="1576"/>
        <v>929.93106956087104</v>
      </c>
      <c r="EK402" s="302">
        <f>EK403</f>
        <v>943.10923712416673</v>
      </c>
      <c r="EL402" s="300">
        <f t="shared" si="1576"/>
        <v>923.96359745673703</v>
      </c>
      <c r="EM402" s="300">
        <f t="shared" si="1576"/>
        <v>918.9907040366254</v>
      </c>
      <c r="EN402" s="300">
        <f t="shared" si="1576"/>
        <v>901.08828772422362</v>
      </c>
      <c r="EO402" s="300">
        <f t="shared" si="1576"/>
        <v>891.14250088400047</v>
      </c>
      <c r="EP402" s="302">
        <f>EP403</f>
        <v>908.79627252539672</v>
      </c>
      <c r="EQ402" s="300">
        <f t="shared" si="1576"/>
        <v>883.18587141182195</v>
      </c>
      <c r="ER402" s="300">
        <f t="shared" si="1576"/>
        <v>862.21020696579114</v>
      </c>
      <c r="ES402" s="300">
        <f t="shared" si="1576"/>
        <v>841.73271455035353</v>
      </c>
      <c r="ET402" s="300">
        <f t="shared" si="1576"/>
        <v>821.74156257978257</v>
      </c>
      <c r="EU402" s="302">
        <f>EU403</f>
        <v>852.21758887693738</v>
      </c>
      <c r="EV402" s="1"/>
      <c r="EW402" s="1"/>
      <c r="EX402" s="1"/>
      <c r="EY402" s="1"/>
      <c r="EZ402" s="302">
        <f>EZ403</f>
        <v>796.29224416968782</v>
      </c>
      <c r="FA402" s="1"/>
      <c r="FB402" s="1"/>
      <c r="FC402" s="1"/>
      <c r="FD402" s="1"/>
      <c r="FE402" s="302">
        <f>FE403</f>
        <v>772.40347684459721</v>
      </c>
      <c r="FF402" s="45"/>
      <c r="FG402" s="494"/>
      <c r="FH402" s="819"/>
      <c r="FI402" s="819"/>
      <c r="FJ402" s="819"/>
      <c r="FK402" s="45"/>
      <c r="FL402" s="1388"/>
      <c r="FM402"/>
      <c r="FN402"/>
      <c r="FO402"/>
      <c r="FP402"/>
      <c r="FQ402"/>
      <c r="FR402" s="1619"/>
      <c r="FS402" s="1619"/>
      <c r="FT402" s="205"/>
      <c r="FU402" s="205"/>
      <c r="FV402" s="205"/>
      <c r="FW402" s="205"/>
      <c r="FX402" s="205"/>
      <c r="FY402" s="205"/>
      <c r="FZ402" s="494"/>
      <c r="GA402"/>
      <c r="GB402"/>
      <c r="GC402"/>
      <c r="GD402"/>
      <c r="GE402"/>
      <c r="GF402"/>
      <c r="GG402"/>
      <c r="GH402"/>
      <c r="GI402"/>
      <c r="GJ402"/>
      <c r="GK402"/>
      <c r="GL402"/>
      <c r="GM402"/>
      <c r="GN402"/>
      <c r="GO402"/>
      <c r="GP402"/>
      <c r="GQ402"/>
      <c r="GR402"/>
      <c r="GS402"/>
      <c r="GT402"/>
      <c r="GU402"/>
      <c r="GV402"/>
      <c r="GW402"/>
      <c r="GX402"/>
      <c r="GY402"/>
      <c r="GZ402"/>
      <c r="HA402"/>
      <c r="HB402"/>
      <c r="HC402"/>
      <c r="HD402"/>
      <c r="HE402"/>
      <c r="HF402"/>
      <c r="HG402"/>
      <c r="HH402"/>
      <c r="HI402"/>
      <c r="HJ402"/>
      <c r="HK402"/>
      <c r="HL402"/>
      <c r="HM402"/>
      <c r="HN402"/>
      <c r="HO402"/>
      <c r="HP402"/>
      <c r="HQ402"/>
      <c r="HR402"/>
      <c r="HS402"/>
      <c r="HT402"/>
      <c r="HU402"/>
      <c r="HV402"/>
      <c r="HW402"/>
      <c r="HX402"/>
      <c r="HY402"/>
      <c r="HZ402"/>
      <c r="IA402"/>
      <c r="IB402"/>
      <c r="IC402"/>
      <c r="ID402"/>
      <c r="IE402"/>
      <c r="IF402"/>
      <c r="IG402"/>
      <c r="IH402"/>
      <c r="II402"/>
      <c r="IJ402"/>
      <c r="IK402"/>
      <c r="IL402"/>
      <c r="IM402"/>
      <c r="IN402"/>
      <c r="IO402"/>
      <c r="IP402"/>
      <c r="IQ402"/>
      <c r="IR402"/>
      <c r="IS402"/>
      <c r="IT402"/>
      <c r="IU402"/>
      <c r="IV402"/>
      <c r="IW402"/>
      <c r="IX402"/>
    </row>
    <row r="403" spans="1:258" s="306" customFormat="1" x14ac:dyDescent="0.2">
      <c r="A403" s="303" t="s">
        <v>597</v>
      </c>
      <c r="B403" s="304"/>
      <c r="C403" s="304"/>
      <c r="D403" s="304"/>
      <c r="E403" s="304"/>
      <c r="F403" s="301"/>
      <c r="G403" s="304"/>
      <c r="H403" s="304"/>
      <c r="I403" s="304"/>
      <c r="J403" s="304"/>
      <c r="K403" s="301"/>
      <c r="L403" s="304"/>
      <c r="M403" s="304"/>
      <c r="N403" s="304"/>
      <c r="O403" s="304"/>
      <c r="P403" s="301"/>
      <c r="Q403" s="304"/>
      <c r="R403" s="304"/>
      <c r="S403" s="304"/>
      <c r="T403" s="304"/>
      <c r="U403" s="301"/>
      <c r="V403" s="304"/>
      <c r="W403" s="304"/>
      <c r="X403" s="304"/>
      <c r="Y403" s="304"/>
      <c r="Z403" s="301"/>
      <c r="AA403" s="304"/>
      <c r="AB403" s="304"/>
      <c r="AC403" s="304"/>
      <c r="AD403" s="304"/>
      <c r="AE403" s="301"/>
      <c r="AF403" s="304"/>
      <c r="AG403" s="304"/>
      <c r="AH403" s="304"/>
      <c r="AI403" s="304"/>
      <c r="AJ403" s="301">
        <v>210.3</v>
      </c>
      <c r="AK403" s="304"/>
      <c r="AL403" s="304"/>
      <c r="AM403" s="304"/>
      <c r="AN403" s="304"/>
      <c r="AO403" s="301">
        <v>427.2</v>
      </c>
      <c r="AP403" s="304"/>
      <c r="AQ403" s="304"/>
      <c r="AR403" s="304"/>
      <c r="AS403" s="304"/>
      <c r="AT403" s="301">
        <v>435.6</v>
      </c>
      <c r="AU403" s="304"/>
      <c r="AV403" s="304"/>
      <c r="AW403" s="304"/>
      <c r="AX403" s="304"/>
      <c r="AY403" s="301">
        <v>421.8</v>
      </c>
      <c r="AZ403" s="304"/>
      <c r="BA403" s="304"/>
      <c r="BB403" s="304"/>
      <c r="BC403" s="304"/>
      <c r="BD403" s="301"/>
      <c r="BE403" s="304">
        <v>1267.2</v>
      </c>
      <c r="BF403" s="304">
        <v>1266</v>
      </c>
      <c r="BG403" s="304">
        <v>1265.4000000000001</v>
      </c>
      <c r="BH403" s="304">
        <v>1264.8</v>
      </c>
      <c r="BI403" s="301">
        <f>AVERAGE(BE403:BH403)</f>
        <v>1265.8499999999999</v>
      </c>
      <c r="BJ403" s="304">
        <v>1267.8</v>
      </c>
      <c r="BK403" s="304">
        <v>1270.2</v>
      </c>
      <c r="BL403" s="304">
        <v>1271.4000000000001</v>
      </c>
      <c r="BM403" s="304">
        <v>1270.8</v>
      </c>
      <c r="BN403" s="301">
        <f>AVERAGE(BJ403:BM403)</f>
        <v>1270.05</v>
      </c>
      <c r="BO403" s="304">
        <v>1272.5999999999999</v>
      </c>
      <c r="BP403" s="304">
        <v>1275.5999999999999</v>
      </c>
      <c r="BQ403" s="304">
        <v>1278</v>
      </c>
      <c r="BR403" s="304">
        <v>1279.8</v>
      </c>
      <c r="BS403" s="301">
        <f>AVERAGE(BO403:BR403)</f>
        <v>1276.5</v>
      </c>
      <c r="BT403" s="304">
        <v>1283.4000000000001</v>
      </c>
      <c r="BU403" s="304">
        <v>1282.8</v>
      </c>
      <c r="BV403" s="304">
        <v>1283.7</v>
      </c>
      <c r="BW403" s="304">
        <v>1285.2</v>
      </c>
      <c r="BX403" s="301">
        <f>AVERAGE(BT403:BW403)</f>
        <v>1283.7749999999999</v>
      </c>
      <c r="BY403" s="304">
        <v>1288.02</v>
      </c>
      <c r="BZ403" s="304">
        <v>1288.404</v>
      </c>
      <c r="CA403" s="304">
        <v>1288.9259999999999</v>
      </c>
      <c r="CB403" s="304">
        <v>1289.7539999999999</v>
      </c>
      <c r="CC403" s="301">
        <f>AVERAGE(BY403:CB403)</f>
        <v>1288.7759999999998</v>
      </c>
      <c r="CD403" s="304">
        <v>1292.136</v>
      </c>
      <c r="CE403" s="304">
        <v>1298.508</v>
      </c>
      <c r="CF403" s="304">
        <v>1300.23</v>
      </c>
      <c r="CG403" s="304">
        <v>1298.55</v>
      </c>
      <c r="CH403" s="301">
        <f>AVERAGE(CD403:CG403)</f>
        <v>1297.356</v>
      </c>
      <c r="CI403" s="304">
        <v>1318.086</v>
      </c>
      <c r="CJ403" s="304">
        <v>1331.4479999999999</v>
      </c>
      <c r="CK403" s="304">
        <v>1320.2640000000001</v>
      </c>
      <c r="CL403" s="304">
        <v>1311.21</v>
      </c>
      <c r="CM403" s="301">
        <f>AVERAGE(CI403:CL403)</f>
        <v>1320.252</v>
      </c>
      <c r="CN403" s="304">
        <v>1312.9110000000001</v>
      </c>
      <c r="CO403" s="304">
        <v>1315.884</v>
      </c>
      <c r="CP403" s="304">
        <v>1297.587</v>
      </c>
      <c r="CQ403" s="304">
        <v>1242.6382155000001</v>
      </c>
      <c r="CR403" s="301">
        <f>AVERAGE(CN403:CQ403)</f>
        <v>1292.2550538750002</v>
      </c>
      <c r="CS403" s="304">
        <v>1212.8399999999999</v>
      </c>
      <c r="CT403" s="304">
        <v>1218.42</v>
      </c>
      <c r="CU403" s="304">
        <v>1206.5070000000001</v>
      </c>
      <c r="CV403" s="304">
        <v>1170.3</v>
      </c>
      <c r="CW403" s="301">
        <f>AVERAGE(CS403:CV403)</f>
        <v>1202.01675</v>
      </c>
      <c r="CX403" s="304">
        <v>1173.48</v>
      </c>
      <c r="CY403" s="304">
        <v>1173.7890000000002</v>
      </c>
      <c r="CZ403" s="304">
        <v>1177.056</v>
      </c>
      <c r="DA403" s="304">
        <v>1177.056</v>
      </c>
      <c r="DB403" s="301">
        <f>AVERAGE(CX403:DA403)</f>
        <v>1175.3452500000001</v>
      </c>
      <c r="DC403" s="304">
        <v>1173.2370000000001</v>
      </c>
      <c r="DD403" s="304">
        <v>1149.492</v>
      </c>
      <c r="DE403" s="304">
        <v>1134.1500000000001</v>
      </c>
      <c r="DF403" s="304">
        <v>1122.275625</v>
      </c>
      <c r="DG403" s="301">
        <f>AVERAGE(DC403:DF403)</f>
        <v>1144.78865625</v>
      </c>
      <c r="DH403" s="304">
        <f>DF403*(1+(DH279/4))</f>
        <v>1108.7145446433558</v>
      </c>
      <c r="DI403" s="304">
        <f>DH403*(1+(DI279/4))</f>
        <v>1102.9877605807553</v>
      </c>
      <c r="DJ403" s="304">
        <f>DI403*(1+(DJ279/4))</f>
        <v>1071.161242692041</v>
      </c>
      <c r="DK403" s="304">
        <f>DJ403*(1+(DK279/4))</f>
        <v>1050.2750903275721</v>
      </c>
      <c r="DL403" s="301">
        <f>AVERAGE(DH403:DK403)</f>
        <v>1083.284659560931</v>
      </c>
      <c r="DM403" s="304">
        <f>DK403*(1+(DM279/4))</f>
        <v>1043.313039539416</v>
      </c>
      <c r="DN403" s="304">
        <f>DM403*(1+(DN279/4))</f>
        <v>1037.345567435282</v>
      </c>
      <c r="DO403" s="304">
        <f>DN403*(1+(DO279/4))</f>
        <v>1034.3618313832148</v>
      </c>
      <c r="DP403" s="304">
        <f>DO403*(1+(DP279/4))</f>
        <v>1022.4268871749471</v>
      </c>
      <c r="DQ403" s="301">
        <f>AVERAGE(DM403:DP403)</f>
        <v>1034.3618313832151</v>
      </c>
      <c r="DR403" s="304">
        <f>DP403*(1+(DR279/4))</f>
        <v>1017.4539937548354</v>
      </c>
      <c r="DS403" s="304">
        <f>DR403*(1+(DS279/4))</f>
        <v>1017.4539937548354</v>
      </c>
      <c r="DT403" s="304">
        <f>DS403*(1+(DT279/4))</f>
        <v>1011.9838109927126</v>
      </c>
      <c r="DU403" s="304">
        <f>DT403*(1+(DU279/4))</f>
        <v>1007.5082069146122</v>
      </c>
      <c r="DV403" s="301">
        <f>AVERAGE(DR403:DU403)</f>
        <v>1013.6000013542489</v>
      </c>
      <c r="DW403" s="304">
        <f>DU403*(1+(DW279/4))</f>
        <v>1002.0380241524895</v>
      </c>
      <c r="DX403" s="304">
        <f>DW403*(1+(DX279/4))</f>
        <v>997.56242007438902</v>
      </c>
      <c r="DY403" s="304">
        <f>DX403*(1+(DY279/4))</f>
        <v>993.58410533829976</v>
      </c>
      <c r="DZ403" s="304">
        <f>DY403*(1+(DZ279/4))</f>
        <v>989.62165626416902</v>
      </c>
      <c r="EA403" s="101">
        <f>DV403*(1+(EA279))</f>
        <v>995.70155145733668</v>
      </c>
      <c r="EB403" s="304">
        <f>DZ403*(1+(EB279/4))</f>
        <v>986.62205455014362</v>
      </c>
      <c r="EC403" s="304">
        <f>EB403*(1+(EC279/4))</f>
        <v>983.63831849807661</v>
      </c>
      <c r="ED403" s="304">
        <f>EC403*(1+(ED279/4))</f>
        <v>976.67626770992035</v>
      </c>
      <c r="EE403" s="304">
        <f>ED403*(1+(EE279/4))</f>
        <v>967.72505955371946</v>
      </c>
      <c r="EF403" s="101">
        <f>EA403*(1+(EF279))</f>
        <v>978.66542507796476</v>
      </c>
      <c r="EG403" s="304">
        <f>EE403*(1+(EG279/4))</f>
        <v>957.7792727134962</v>
      </c>
      <c r="EH403" s="304">
        <f>EG403*(1+(EH279/4))</f>
        <v>946.83890718925056</v>
      </c>
      <c r="EI403" s="304">
        <f>EH403*(1+(EI279/4))</f>
        <v>937.88769903304967</v>
      </c>
      <c r="EJ403" s="304">
        <f>EI403*(1+(EJ279/4))</f>
        <v>929.93106956087104</v>
      </c>
      <c r="EK403" s="101">
        <f>EF403*(1+(EK279))</f>
        <v>943.10923712416673</v>
      </c>
      <c r="EL403" s="304">
        <f>EJ403*(1+(EL279/4))</f>
        <v>923.96359745673703</v>
      </c>
      <c r="EM403" s="304">
        <f>EL403*(1+(EM279/4))</f>
        <v>918.9907040366254</v>
      </c>
      <c r="EN403" s="304">
        <f>EM403*(1+(EN279/4))</f>
        <v>901.08828772422362</v>
      </c>
      <c r="EO403" s="304">
        <f>EN403*(1+(EO279/4))</f>
        <v>891.14250088400047</v>
      </c>
      <c r="EP403" s="101">
        <f>EK403*(1+(EP279))</f>
        <v>908.79627252539672</v>
      </c>
      <c r="EQ403" s="304">
        <f>EO403*(1+(EQ279/4))</f>
        <v>883.18587141182195</v>
      </c>
      <c r="ER403" s="304">
        <f>EQ403*(1+(ER279/4))</f>
        <v>862.21020696579114</v>
      </c>
      <c r="ES403" s="304">
        <f>ER403*(1+(ES279/4))</f>
        <v>841.73271455035353</v>
      </c>
      <c r="ET403" s="304">
        <f>ES403*(1+(ET279/4))</f>
        <v>821.74156257978257</v>
      </c>
      <c r="EU403" s="101">
        <f>EP403*(1+(EU279))</f>
        <v>852.21758887693738</v>
      </c>
      <c r="EV403" s="305"/>
      <c r="EW403" s="305"/>
      <c r="EX403" s="305"/>
      <c r="EY403" s="305"/>
      <c r="EZ403" s="101">
        <f>EU403*(1+(EZ279))</f>
        <v>796.29224416968782</v>
      </c>
      <c r="FA403" s="305"/>
      <c r="FB403" s="305"/>
      <c r="FC403" s="305"/>
      <c r="FD403" s="305"/>
      <c r="FE403" s="101">
        <f>EZ403*(1+(FE279))</f>
        <v>772.40347684459721</v>
      </c>
      <c r="FF403" s="45"/>
      <c r="FG403" s="494"/>
      <c r="FH403" s="819"/>
      <c r="FI403" s="819"/>
      <c r="FJ403" s="819"/>
      <c r="FK403" s="45"/>
      <c r="FL403" s="1388"/>
      <c r="FM403"/>
      <c r="FN403"/>
      <c r="FO403"/>
      <c r="FP403"/>
      <c r="FQ403"/>
      <c r="FR403" s="1619"/>
      <c r="FS403" s="1619"/>
      <c r="FT403" s="205"/>
      <c r="FU403" s="205"/>
      <c r="FV403" s="205"/>
      <c r="FW403" s="205"/>
      <c r="FX403" s="205"/>
      <c r="FY403" s="205"/>
      <c r="FZ403" s="494"/>
      <c r="GA403"/>
      <c r="GB403"/>
      <c r="GC403"/>
      <c r="GD403"/>
      <c r="GE403"/>
      <c r="GF403"/>
      <c r="GG403"/>
      <c r="GH403"/>
      <c r="GI403"/>
      <c r="GJ403"/>
      <c r="GK403"/>
      <c r="GL403"/>
      <c r="GM403"/>
      <c r="GN403"/>
      <c r="GO403"/>
      <c r="GP403"/>
      <c r="GQ403"/>
      <c r="GR403"/>
      <c r="GS403"/>
      <c r="GT403"/>
      <c r="GU403"/>
      <c r="GV403"/>
      <c r="GW403"/>
      <c r="GX403"/>
      <c r="GY403"/>
      <c r="GZ403"/>
      <c r="HA403"/>
      <c r="HB403"/>
      <c r="HC403"/>
      <c r="HD403"/>
      <c r="HE403"/>
      <c r="HF403"/>
      <c r="HG403"/>
      <c r="HH403"/>
      <c r="HI403"/>
      <c r="HJ403"/>
      <c r="HK403"/>
      <c r="HL403"/>
      <c r="HM403"/>
      <c r="HN403"/>
      <c r="HO403"/>
      <c r="HP403"/>
      <c r="HQ403"/>
      <c r="HR403"/>
      <c r="HS403"/>
      <c r="HT403"/>
      <c r="HU403"/>
      <c r="HV403"/>
      <c r="HW403"/>
      <c r="HX403"/>
      <c r="HY403"/>
      <c r="HZ403"/>
      <c r="IA403"/>
      <c r="IB403"/>
      <c r="IC403"/>
      <c r="ID403"/>
      <c r="IE403"/>
      <c r="IF403"/>
      <c r="IG403"/>
      <c r="IH403"/>
      <c r="II403"/>
      <c r="IJ403"/>
      <c r="IK403"/>
      <c r="IL403"/>
      <c r="IM403"/>
      <c r="IN403"/>
      <c r="IO403"/>
      <c r="IP403"/>
      <c r="IQ403"/>
      <c r="IR403"/>
      <c r="IS403"/>
      <c r="IT403"/>
      <c r="IU403"/>
      <c r="IV403"/>
      <c r="IW403"/>
      <c r="IX403"/>
    </row>
    <row r="404" spans="1:258" s="306" customFormat="1" x14ac:dyDescent="0.2">
      <c r="A404" s="303" t="s">
        <v>4</v>
      </c>
      <c r="B404" s="304">
        <v>0</v>
      </c>
      <c r="C404" s="304">
        <v>0</v>
      </c>
      <c r="D404" s="304">
        <v>0</v>
      </c>
      <c r="E404" s="304">
        <v>0</v>
      </c>
      <c r="F404" s="301">
        <v>0</v>
      </c>
      <c r="G404" s="304">
        <v>0</v>
      </c>
      <c r="H404" s="304">
        <v>0</v>
      </c>
      <c r="I404" s="304">
        <v>0</v>
      </c>
      <c r="J404" s="304">
        <v>0</v>
      </c>
      <c r="K404" s="301">
        <v>0</v>
      </c>
      <c r="L404" s="304">
        <v>0</v>
      </c>
      <c r="M404" s="304">
        <v>0</v>
      </c>
      <c r="N404" s="304">
        <v>0</v>
      </c>
      <c r="O404" s="304">
        <v>0</v>
      </c>
      <c r="P404" s="301">
        <v>0</v>
      </c>
      <c r="Q404" s="304">
        <v>0</v>
      </c>
      <c r="R404" s="304">
        <v>0</v>
      </c>
      <c r="S404" s="304">
        <v>0</v>
      </c>
      <c r="T404" s="304">
        <v>0</v>
      </c>
      <c r="U404" s="301">
        <v>0</v>
      </c>
      <c r="V404" s="304">
        <v>0</v>
      </c>
      <c r="W404" s="304">
        <v>0</v>
      </c>
      <c r="X404" s="304">
        <v>0</v>
      </c>
      <c r="Y404" s="304">
        <v>0</v>
      </c>
      <c r="Z404" s="301">
        <v>0</v>
      </c>
      <c r="AA404" s="304">
        <v>0</v>
      </c>
      <c r="AB404" s="304">
        <v>0</v>
      </c>
      <c r="AC404" s="304">
        <v>0</v>
      </c>
      <c r="AD404" s="304">
        <v>0</v>
      </c>
      <c r="AE404" s="301">
        <v>0</v>
      </c>
      <c r="AF404" s="304">
        <v>0</v>
      </c>
      <c r="AG404" s="304">
        <v>0</v>
      </c>
      <c r="AH404" s="304">
        <v>0</v>
      </c>
      <c r="AI404" s="304">
        <v>0</v>
      </c>
      <c r="AJ404" s="301">
        <v>0</v>
      </c>
      <c r="AK404" s="304">
        <v>0</v>
      </c>
      <c r="AL404" s="304">
        <v>0</v>
      </c>
      <c r="AM404" s="304">
        <v>0</v>
      </c>
      <c r="AN404" s="304">
        <v>0</v>
      </c>
      <c r="AO404" s="301">
        <v>0</v>
      </c>
      <c r="AP404" s="304">
        <v>0</v>
      </c>
      <c r="AQ404" s="304">
        <v>0</v>
      </c>
      <c r="AR404" s="304">
        <v>0</v>
      </c>
      <c r="AS404" s="304">
        <v>0</v>
      </c>
      <c r="AT404" s="301">
        <v>0</v>
      </c>
      <c r="AU404" s="304">
        <v>0</v>
      </c>
      <c r="AV404" s="304">
        <v>0</v>
      </c>
      <c r="AW404" s="304">
        <v>0</v>
      </c>
      <c r="AX404" s="304">
        <v>0</v>
      </c>
      <c r="AY404" s="301">
        <v>0</v>
      </c>
      <c r="AZ404" s="304">
        <v>0</v>
      </c>
      <c r="BA404" s="304">
        <v>0</v>
      </c>
      <c r="BB404" s="304">
        <v>0</v>
      </c>
      <c r="BC404" s="304">
        <v>0</v>
      </c>
      <c r="BD404" s="301">
        <v>0</v>
      </c>
      <c r="BE404" s="304">
        <v>0</v>
      </c>
      <c r="BF404" s="304">
        <v>0</v>
      </c>
      <c r="BG404" s="304">
        <v>0</v>
      </c>
      <c r="BH404" s="304">
        <v>0</v>
      </c>
      <c r="BI404" s="301">
        <v>0</v>
      </c>
      <c r="BJ404" s="304">
        <v>0</v>
      </c>
      <c r="BK404" s="304">
        <v>0</v>
      </c>
      <c r="BL404" s="304">
        <v>0</v>
      </c>
      <c r="BM404" s="304">
        <v>0</v>
      </c>
      <c r="BN404" s="301">
        <v>0</v>
      </c>
      <c r="BO404" s="304">
        <v>0</v>
      </c>
      <c r="BP404" s="304">
        <v>0</v>
      </c>
      <c r="BQ404" s="304">
        <v>0</v>
      </c>
      <c r="BR404" s="304">
        <v>0</v>
      </c>
      <c r="BS404" s="301">
        <v>0</v>
      </c>
      <c r="BT404" s="304">
        <v>0</v>
      </c>
      <c r="BU404" s="304">
        <v>0</v>
      </c>
      <c r="BV404" s="304">
        <v>0</v>
      </c>
      <c r="BW404" s="304">
        <v>0</v>
      </c>
      <c r="BX404" s="301">
        <v>0</v>
      </c>
      <c r="BY404" s="304">
        <v>0</v>
      </c>
      <c r="BZ404" s="304">
        <v>0</v>
      </c>
      <c r="CA404" s="304">
        <v>0</v>
      </c>
      <c r="CB404" s="304">
        <v>0</v>
      </c>
      <c r="CC404" s="301">
        <v>0</v>
      </c>
      <c r="CD404" s="304">
        <v>0</v>
      </c>
      <c r="CE404" s="304">
        <v>0</v>
      </c>
      <c r="CF404" s="304">
        <v>0</v>
      </c>
      <c r="CG404" s="304">
        <v>0</v>
      </c>
      <c r="CH404" s="301">
        <v>0</v>
      </c>
      <c r="CI404" s="304">
        <v>0</v>
      </c>
      <c r="CJ404" s="304">
        <v>0</v>
      </c>
      <c r="CK404" s="304">
        <v>0</v>
      </c>
      <c r="CL404" s="304">
        <v>0</v>
      </c>
      <c r="CM404" s="301">
        <v>0</v>
      </c>
      <c r="CN404" s="304">
        <v>0</v>
      </c>
      <c r="CO404" s="304">
        <v>0</v>
      </c>
      <c r="CP404" s="304">
        <v>0</v>
      </c>
      <c r="CQ404" s="304">
        <v>0</v>
      </c>
      <c r="CR404" s="301">
        <v>0</v>
      </c>
      <c r="CS404" s="304">
        <v>0</v>
      </c>
      <c r="CT404" s="304">
        <v>0</v>
      </c>
      <c r="CU404" s="304">
        <v>0</v>
      </c>
      <c r="CV404" s="304">
        <v>0</v>
      </c>
      <c r="CW404" s="301">
        <v>0</v>
      </c>
      <c r="CX404" s="304">
        <v>0</v>
      </c>
      <c r="CY404" s="304">
        <v>0</v>
      </c>
      <c r="CZ404" s="304">
        <v>0</v>
      </c>
      <c r="DA404" s="304">
        <v>0</v>
      </c>
      <c r="DB404" s="301">
        <v>0</v>
      </c>
      <c r="DC404" s="304">
        <v>0</v>
      </c>
      <c r="DD404" s="304">
        <v>0</v>
      </c>
      <c r="DE404" s="304">
        <v>0</v>
      </c>
      <c r="DF404" s="304">
        <v>0</v>
      </c>
      <c r="DG404" s="301">
        <v>0</v>
      </c>
      <c r="DH404" s="304">
        <v>0</v>
      </c>
      <c r="DI404" s="304">
        <v>0</v>
      </c>
      <c r="DJ404" s="304">
        <v>0</v>
      </c>
      <c r="DK404" s="304">
        <v>0</v>
      </c>
      <c r="DL404" s="301">
        <v>0</v>
      </c>
      <c r="DM404" s="304">
        <v>0</v>
      </c>
      <c r="DN404" s="304">
        <v>0</v>
      </c>
      <c r="DO404" s="304">
        <v>0</v>
      </c>
      <c r="DP404" s="304">
        <v>0</v>
      </c>
      <c r="DQ404" s="301">
        <v>0</v>
      </c>
      <c r="DR404" s="304">
        <v>0</v>
      </c>
      <c r="DS404" s="304">
        <v>0</v>
      </c>
      <c r="DT404" s="304">
        <v>0</v>
      </c>
      <c r="DU404" s="304">
        <v>0</v>
      </c>
      <c r="DV404" s="301">
        <v>0</v>
      </c>
      <c r="DW404" s="304">
        <v>0</v>
      </c>
      <c r="DX404" s="304">
        <v>0</v>
      </c>
      <c r="DY404" s="304">
        <v>0</v>
      </c>
      <c r="DZ404" s="304">
        <v>0</v>
      </c>
      <c r="EA404" s="101">
        <v>0</v>
      </c>
      <c r="EB404" s="304">
        <v>0</v>
      </c>
      <c r="EC404" s="304">
        <v>0</v>
      </c>
      <c r="ED404" s="304">
        <v>0</v>
      </c>
      <c r="EE404" s="304">
        <v>0</v>
      </c>
      <c r="EF404" s="101">
        <v>0</v>
      </c>
      <c r="EG404" s="304">
        <v>0</v>
      </c>
      <c r="EH404" s="304">
        <v>0</v>
      </c>
      <c r="EI404" s="304">
        <v>0</v>
      </c>
      <c r="EJ404" s="304">
        <v>0</v>
      </c>
      <c r="EK404" s="101">
        <v>0</v>
      </c>
      <c r="EL404" s="304">
        <v>0</v>
      </c>
      <c r="EM404" s="304">
        <v>0</v>
      </c>
      <c r="EN404" s="304">
        <v>0</v>
      </c>
      <c r="EO404" s="304">
        <v>0</v>
      </c>
      <c r="EP404" s="101">
        <v>0</v>
      </c>
      <c r="EQ404" s="304">
        <v>0</v>
      </c>
      <c r="ER404" s="304">
        <v>0</v>
      </c>
      <c r="ES404" s="304">
        <v>0</v>
      </c>
      <c r="ET404" s="304">
        <v>0</v>
      </c>
      <c r="EU404" s="101">
        <v>0</v>
      </c>
      <c r="EV404" s="305"/>
      <c r="EW404" s="305"/>
      <c r="EX404" s="305"/>
      <c r="EY404" s="305"/>
      <c r="EZ404" s="101">
        <v>0</v>
      </c>
      <c r="FA404" s="305"/>
      <c r="FB404" s="305"/>
      <c r="FC404" s="305"/>
      <c r="FD404" s="305"/>
      <c r="FE404" s="101">
        <v>0</v>
      </c>
      <c r="FF404" s="45"/>
      <c r="FG404" s="494"/>
      <c r="FH404" s="819"/>
      <c r="FI404" s="819"/>
      <c r="FJ404" s="819"/>
      <c r="FK404" s="45"/>
      <c r="FL404" s="1388"/>
      <c r="FM404"/>
      <c r="FN404"/>
      <c r="FO404"/>
      <c r="FP404"/>
      <c r="FQ404"/>
      <c r="FR404" s="1619"/>
      <c r="FS404" s="1619"/>
      <c r="FT404" s="205"/>
      <c r="FU404" s="205"/>
      <c r="FV404" s="205"/>
      <c r="FW404" s="205"/>
      <c r="FX404" s="205"/>
      <c r="FY404" s="205"/>
      <c r="FZ404" s="494"/>
      <c r="GA404"/>
      <c r="GB404"/>
      <c r="GC404"/>
      <c r="GD404"/>
      <c r="GE404"/>
      <c r="GF404"/>
      <c r="GG404"/>
      <c r="GH404"/>
      <c r="GI404"/>
      <c r="GJ404"/>
      <c r="GK404"/>
      <c r="GL404"/>
      <c r="GM404"/>
      <c r="GN404"/>
      <c r="GO404"/>
      <c r="GP404"/>
      <c r="GQ404"/>
      <c r="GR404"/>
      <c r="GS404"/>
      <c r="GT404"/>
      <c r="GU404"/>
      <c r="GV404"/>
      <c r="GW404"/>
      <c r="GX404"/>
      <c r="GY404"/>
      <c r="GZ404"/>
      <c r="HA404"/>
      <c r="HB404"/>
      <c r="HC404"/>
      <c r="HD404"/>
      <c r="HE404"/>
      <c r="HF404"/>
      <c r="HG404"/>
      <c r="HH404"/>
      <c r="HI404"/>
      <c r="HJ404"/>
      <c r="HK404"/>
      <c r="HL404"/>
      <c r="HM404"/>
      <c r="HN404"/>
      <c r="HO404"/>
      <c r="HP404"/>
      <c r="HQ404"/>
      <c r="HR404"/>
      <c r="HS404"/>
      <c r="HT404"/>
      <c r="HU404"/>
      <c r="HV404"/>
      <c r="HW404"/>
      <c r="HX404"/>
      <c r="HY404"/>
      <c r="HZ404"/>
      <c r="IA404"/>
      <c r="IB404"/>
      <c r="IC404"/>
      <c r="ID404"/>
      <c r="IE404"/>
      <c r="IF404"/>
      <c r="IG404"/>
      <c r="IH404"/>
      <c r="II404"/>
      <c r="IJ404"/>
      <c r="IK404"/>
      <c r="IL404"/>
      <c r="IM404"/>
      <c r="IN404"/>
      <c r="IO404"/>
      <c r="IP404"/>
      <c r="IQ404"/>
      <c r="IR404"/>
      <c r="IS404"/>
      <c r="IT404"/>
      <c r="IU404"/>
      <c r="IV404"/>
      <c r="IW404"/>
      <c r="IX404"/>
    </row>
    <row r="405" spans="1:258" s="306" customFormat="1" x14ac:dyDescent="0.2">
      <c r="A405" s="303" t="s">
        <v>5</v>
      </c>
      <c r="B405" s="304">
        <v>0</v>
      </c>
      <c r="C405" s="304">
        <v>0</v>
      </c>
      <c r="D405" s="304">
        <v>0</v>
      </c>
      <c r="E405" s="304">
        <v>0</v>
      </c>
      <c r="F405" s="301">
        <v>0</v>
      </c>
      <c r="G405" s="304">
        <v>0</v>
      </c>
      <c r="H405" s="304">
        <v>0</v>
      </c>
      <c r="I405" s="304">
        <v>0</v>
      </c>
      <c r="J405" s="304">
        <v>0</v>
      </c>
      <c r="K405" s="301">
        <v>0</v>
      </c>
      <c r="L405" s="304">
        <v>0</v>
      </c>
      <c r="M405" s="304">
        <v>0</v>
      </c>
      <c r="N405" s="304">
        <v>0</v>
      </c>
      <c r="O405" s="304">
        <v>0</v>
      </c>
      <c r="P405" s="301">
        <v>0</v>
      </c>
      <c r="Q405" s="304">
        <v>0</v>
      </c>
      <c r="R405" s="304">
        <v>0</v>
      </c>
      <c r="S405" s="304">
        <v>0</v>
      </c>
      <c r="T405" s="304">
        <v>0</v>
      </c>
      <c r="U405" s="301">
        <v>0</v>
      </c>
      <c r="V405" s="304">
        <v>0</v>
      </c>
      <c r="W405" s="304">
        <v>0</v>
      </c>
      <c r="X405" s="304">
        <v>0</v>
      </c>
      <c r="Y405" s="304">
        <v>0</v>
      </c>
      <c r="Z405" s="301">
        <v>0</v>
      </c>
      <c r="AA405" s="304">
        <v>0</v>
      </c>
      <c r="AB405" s="304">
        <v>0</v>
      </c>
      <c r="AC405" s="304">
        <v>0</v>
      </c>
      <c r="AD405" s="304">
        <v>0</v>
      </c>
      <c r="AE405" s="301">
        <v>0</v>
      </c>
      <c r="AF405" s="304">
        <v>0</v>
      </c>
      <c r="AG405" s="304">
        <v>0</v>
      </c>
      <c r="AH405" s="304">
        <v>0</v>
      </c>
      <c r="AI405" s="304">
        <v>0</v>
      </c>
      <c r="AJ405" s="301">
        <v>0</v>
      </c>
      <c r="AK405" s="304">
        <v>0</v>
      </c>
      <c r="AL405" s="304">
        <v>0</v>
      </c>
      <c r="AM405" s="304">
        <v>0</v>
      </c>
      <c r="AN405" s="304">
        <v>0</v>
      </c>
      <c r="AO405" s="301">
        <v>0</v>
      </c>
      <c r="AP405" s="304">
        <v>0</v>
      </c>
      <c r="AQ405" s="304">
        <v>0</v>
      </c>
      <c r="AR405" s="304">
        <v>0</v>
      </c>
      <c r="AS405" s="304">
        <v>0</v>
      </c>
      <c r="AT405" s="301">
        <v>0</v>
      </c>
      <c r="AU405" s="304">
        <v>0</v>
      </c>
      <c r="AV405" s="304">
        <v>0</v>
      </c>
      <c r="AW405" s="304">
        <v>0</v>
      </c>
      <c r="AX405" s="304">
        <v>0</v>
      </c>
      <c r="AY405" s="301">
        <v>0</v>
      </c>
      <c r="AZ405" s="304">
        <v>0</v>
      </c>
      <c r="BA405" s="304">
        <v>0</v>
      </c>
      <c r="BB405" s="304">
        <v>0</v>
      </c>
      <c r="BC405" s="304">
        <v>0</v>
      </c>
      <c r="BD405" s="301">
        <v>0</v>
      </c>
      <c r="BE405" s="304">
        <v>0</v>
      </c>
      <c r="BF405" s="304">
        <v>0</v>
      </c>
      <c r="BG405" s="304">
        <v>0</v>
      </c>
      <c r="BH405" s="304">
        <v>0</v>
      </c>
      <c r="BI405" s="301">
        <v>0</v>
      </c>
      <c r="BJ405" s="304">
        <v>0</v>
      </c>
      <c r="BK405" s="304">
        <v>0</v>
      </c>
      <c r="BL405" s="304">
        <v>0</v>
      </c>
      <c r="BM405" s="304">
        <v>0</v>
      </c>
      <c r="BN405" s="301">
        <v>0</v>
      </c>
      <c r="BO405" s="304">
        <v>0</v>
      </c>
      <c r="BP405" s="304">
        <v>0</v>
      </c>
      <c r="BQ405" s="304">
        <v>0</v>
      </c>
      <c r="BR405" s="304">
        <v>0</v>
      </c>
      <c r="BS405" s="301">
        <v>0</v>
      </c>
      <c r="BT405" s="304">
        <v>0</v>
      </c>
      <c r="BU405" s="304">
        <v>0</v>
      </c>
      <c r="BV405" s="304">
        <v>0</v>
      </c>
      <c r="BW405" s="304">
        <v>0</v>
      </c>
      <c r="BX405" s="301">
        <v>0</v>
      </c>
      <c r="BY405" s="304">
        <v>0</v>
      </c>
      <c r="BZ405" s="304">
        <v>0</v>
      </c>
      <c r="CA405" s="304">
        <v>0</v>
      </c>
      <c r="CB405" s="304">
        <v>0</v>
      </c>
      <c r="CC405" s="301">
        <v>0</v>
      </c>
      <c r="CD405" s="304">
        <v>0</v>
      </c>
      <c r="CE405" s="304">
        <v>0</v>
      </c>
      <c r="CF405" s="304">
        <v>0</v>
      </c>
      <c r="CG405" s="304">
        <v>0</v>
      </c>
      <c r="CH405" s="301">
        <v>0</v>
      </c>
      <c r="CI405" s="304">
        <v>0</v>
      </c>
      <c r="CJ405" s="304">
        <v>0</v>
      </c>
      <c r="CK405" s="304">
        <v>0</v>
      </c>
      <c r="CL405" s="304">
        <v>0</v>
      </c>
      <c r="CM405" s="301">
        <v>0</v>
      </c>
      <c r="CN405" s="304">
        <v>0</v>
      </c>
      <c r="CO405" s="304">
        <v>0</v>
      </c>
      <c r="CP405" s="304">
        <v>0</v>
      </c>
      <c r="CQ405" s="304">
        <v>0</v>
      </c>
      <c r="CR405" s="301">
        <v>0</v>
      </c>
      <c r="CS405" s="304">
        <v>0</v>
      </c>
      <c r="CT405" s="304">
        <v>0</v>
      </c>
      <c r="CU405" s="304">
        <v>0</v>
      </c>
      <c r="CV405" s="304">
        <v>0</v>
      </c>
      <c r="CW405" s="301">
        <v>0</v>
      </c>
      <c r="CX405" s="304">
        <v>0</v>
      </c>
      <c r="CY405" s="304">
        <v>0</v>
      </c>
      <c r="CZ405" s="304">
        <v>0</v>
      </c>
      <c r="DA405" s="304">
        <v>0</v>
      </c>
      <c r="DB405" s="301">
        <v>0</v>
      </c>
      <c r="DC405" s="304">
        <v>0</v>
      </c>
      <c r="DD405" s="304">
        <v>0</v>
      </c>
      <c r="DE405" s="304">
        <v>0</v>
      </c>
      <c r="DF405" s="304">
        <v>0</v>
      </c>
      <c r="DG405" s="301">
        <v>0</v>
      </c>
      <c r="DH405" s="304">
        <v>0</v>
      </c>
      <c r="DI405" s="304">
        <v>0</v>
      </c>
      <c r="DJ405" s="304">
        <v>0</v>
      </c>
      <c r="DK405" s="304">
        <v>0</v>
      </c>
      <c r="DL405" s="301">
        <v>0</v>
      </c>
      <c r="DM405" s="304">
        <v>0</v>
      </c>
      <c r="DN405" s="304">
        <v>0</v>
      </c>
      <c r="DO405" s="304">
        <v>0</v>
      </c>
      <c r="DP405" s="304">
        <v>0</v>
      </c>
      <c r="DQ405" s="301">
        <v>0</v>
      </c>
      <c r="DR405" s="304">
        <v>0</v>
      </c>
      <c r="DS405" s="304">
        <v>0</v>
      </c>
      <c r="DT405" s="304">
        <v>0</v>
      </c>
      <c r="DU405" s="304">
        <v>0</v>
      </c>
      <c r="DV405" s="301">
        <v>0</v>
      </c>
      <c r="DW405" s="304">
        <v>0</v>
      </c>
      <c r="DX405" s="304">
        <v>0</v>
      </c>
      <c r="DY405" s="304">
        <v>0</v>
      </c>
      <c r="DZ405" s="304">
        <v>0</v>
      </c>
      <c r="EA405" s="101">
        <v>0</v>
      </c>
      <c r="EB405" s="304">
        <v>0</v>
      </c>
      <c r="EC405" s="304">
        <v>0</v>
      </c>
      <c r="ED405" s="304">
        <v>0</v>
      </c>
      <c r="EE405" s="304">
        <v>0</v>
      </c>
      <c r="EF405" s="101">
        <v>0</v>
      </c>
      <c r="EG405" s="304">
        <v>0</v>
      </c>
      <c r="EH405" s="304">
        <v>0</v>
      </c>
      <c r="EI405" s="304">
        <v>0</v>
      </c>
      <c r="EJ405" s="304">
        <v>0</v>
      </c>
      <c r="EK405" s="101">
        <v>0</v>
      </c>
      <c r="EL405" s="304">
        <v>0</v>
      </c>
      <c r="EM405" s="304">
        <v>0</v>
      </c>
      <c r="EN405" s="304">
        <v>0</v>
      </c>
      <c r="EO405" s="304">
        <v>0</v>
      </c>
      <c r="EP405" s="101">
        <v>0</v>
      </c>
      <c r="EQ405" s="304">
        <v>0</v>
      </c>
      <c r="ER405" s="304">
        <v>0</v>
      </c>
      <c r="ES405" s="304">
        <v>0</v>
      </c>
      <c r="ET405" s="304">
        <v>0</v>
      </c>
      <c r="EU405" s="101">
        <v>0</v>
      </c>
      <c r="EV405" s="305"/>
      <c r="EW405" s="305"/>
      <c r="EX405" s="305"/>
      <c r="EY405" s="305"/>
      <c r="EZ405" s="101">
        <v>0</v>
      </c>
      <c r="FA405" s="305"/>
      <c r="FB405" s="305"/>
      <c r="FC405" s="305"/>
      <c r="FD405" s="305"/>
      <c r="FE405" s="101">
        <v>0</v>
      </c>
      <c r="FF405" s="45"/>
      <c r="FG405" s="494"/>
      <c r="FH405" s="819"/>
      <c r="FI405" s="819"/>
      <c r="FJ405" s="819"/>
      <c r="FK405" s="45"/>
      <c r="FL405" s="1388"/>
      <c r="FM405"/>
      <c r="FN405"/>
      <c r="FO405"/>
      <c r="FP405"/>
      <c r="FQ405"/>
      <c r="FR405" s="1619"/>
      <c r="FS405" s="1619"/>
      <c r="FT405" s="205"/>
      <c r="FU405" s="205"/>
      <c r="FV405" s="205"/>
      <c r="FW405" s="205"/>
      <c r="FX405" s="205"/>
      <c r="FY405" s="205"/>
      <c r="FZ405" s="494"/>
      <c r="GA405"/>
      <c r="GB405"/>
      <c r="GC405"/>
      <c r="GD405"/>
      <c r="GE405"/>
      <c r="GF405"/>
      <c r="GG405"/>
      <c r="GH405"/>
      <c r="GI405"/>
      <c r="GJ405"/>
      <c r="GK405"/>
      <c r="GL405"/>
      <c r="GM405"/>
      <c r="GN405"/>
      <c r="GO405"/>
      <c r="GP405"/>
      <c r="GQ405"/>
      <c r="GR405"/>
      <c r="GS405"/>
      <c r="GT405"/>
      <c r="GU405"/>
      <c r="GV405"/>
      <c r="GW405"/>
      <c r="GX405"/>
      <c r="GY405"/>
      <c r="GZ405"/>
      <c r="HA405"/>
      <c r="HB405"/>
      <c r="HC405"/>
      <c r="HD405"/>
      <c r="HE405"/>
      <c r="HF405"/>
      <c r="HG405"/>
      <c r="HH405"/>
      <c r="HI405"/>
      <c r="HJ405"/>
      <c r="HK405"/>
      <c r="HL405"/>
      <c r="HM405"/>
      <c r="HN405"/>
      <c r="HO405"/>
      <c r="HP405"/>
      <c r="HQ405"/>
      <c r="HR405"/>
      <c r="HS405"/>
      <c r="HT405"/>
      <c r="HU405"/>
      <c r="HV405"/>
      <c r="HW405"/>
      <c r="HX405"/>
      <c r="HY405"/>
      <c r="HZ405"/>
      <c r="IA405"/>
      <c r="IB405"/>
      <c r="IC405"/>
      <c r="ID405"/>
      <c r="IE405"/>
      <c r="IF405"/>
      <c r="IG405"/>
      <c r="IH405"/>
      <c r="II405"/>
      <c r="IJ405"/>
      <c r="IK405"/>
      <c r="IL405"/>
      <c r="IM405"/>
      <c r="IN405"/>
      <c r="IO405"/>
      <c r="IP405"/>
      <c r="IQ405"/>
      <c r="IR405"/>
      <c r="IS405"/>
      <c r="IT405"/>
      <c r="IU405"/>
      <c r="IV405"/>
      <c r="IW405"/>
      <c r="IX405"/>
    </row>
    <row r="406" spans="1:258" s="306" customFormat="1" x14ac:dyDescent="0.2">
      <c r="A406" s="303" t="s">
        <v>275</v>
      </c>
      <c r="B406" s="304">
        <v>0</v>
      </c>
      <c r="C406" s="304">
        <v>0</v>
      </c>
      <c r="D406" s="304">
        <v>0</v>
      </c>
      <c r="E406" s="304">
        <v>0</v>
      </c>
      <c r="F406" s="301">
        <v>0</v>
      </c>
      <c r="G406" s="304">
        <v>0</v>
      </c>
      <c r="H406" s="304">
        <v>0</v>
      </c>
      <c r="I406" s="304">
        <v>0</v>
      </c>
      <c r="J406" s="304">
        <v>0</v>
      </c>
      <c r="K406" s="301">
        <v>0</v>
      </c>
      <c r="L406" s="304">
        <v>0</v>
      </c>
      <c r="M406" s="304">
        <v>0</v>
      </c>
      <c r="N406" s="304">
        <v>0</v>
      </c>
      <c r="O406" s="304">
        <v>0</v>
      </c>
      <c r="P406" s="301">
        <v>0</v>
      </c>
      <c r="Q406" s="304">
        <v>0</v>
      </c>
      <c r="R406" s="304">
        <v>0</v>
      </c>
      <c r="S406" s="304">
        <v>0</v>
      </c>
      <c r="T406" s="304">
        <v>0</v>
      </c>
      <c r="U406" s="301">
        <v>0</v>
      </c>
      <c r="V406" s="304">
        <v>0</v>
      </c>
      <c r="W406" s="304">
        <v>0</v>
      </c>
      <c r="X406" s="304">
        <v>0</v>
      </c>
      <c r="Y406" s="304">
        <v>0</v>
      </c>
      <c r="Z406" s="301">
        <v>0</v>
      </c>
      <c r="AA406" s="304">
        <v>0</v>
      </c>
      <c r="AB406" s="304">
        <v>0</v>
      </c>
      <c r="AC406" s="304">
        <v>0</v>
      </c>
      <c r="AD406" s="304">
        <v>0</v>
      </c>
      <c r="AE406" s="301">
        <v>0</v>
      </c>
      <c r="AF406" s="304">
        <v>0</v>
      </c>
      <c r="AG406" s="304">
        <v>0</v>
      </c>
      <c r="AH406" s="304">
        <v>0</v>
      </c>
      <c r="AI406" s="304">
        <v>0</v>
      </c>
      <c r="AJ406" s="301">
        <v>0</v>
      </c>
      <c r="AK406" s="304">
        <v>0</v>
      </c>
      <c r="AL406" s="304">
        <v>0</v>
      </c>
      <c r="AM406" s="304">
        <v>0</v>
      </c>
      <c r="AN406" s="304">
        <v>0</v>
      </c>
      <c r="AO406" s="301">
        <v>0</v>
      </c>
      <c r="AP406" s="304">
        <v>0</v>
      </c>
      <c r="AQ406" s="304">
        <v>0</v>
      </c>
      <c r="AR406" s="304">
        <v>0</v>
      </c>
      <c r="AS406" s="304">
        <v>0</v>
      </c>
      <c r="AT406" s="301">
        <v>0</v>
      </c>
      <c r="AU406" s="304">
        <v>0</v>
      </c>
      <c r="AV406" s="304">
        <v>0</v>
      </c>
      <c r="AW406" s="304">
        <v>0</v>
      </c>
      <c r="AX406" s="304">
        <v>0</v>
      </c>
      <c r="AY406" s="301">
        <v>0</v>
      </c>
      <c r="AZ406" s="304">
        <v>0</v>
      </c>
      <c r="BA406" s="304">
        <v>0</v>
      </c>
      <c r="BB406" s="304">
        <v>0</v>
      </c>
      <c r="BC406" s="304">
        <v>0</v>
      </c>
      <c r="BD406" s="301">
        <v>0</v>
      </c>
      <c r="BE406" s="304">
        <v>0</v>
      </c>
      <c r="BF406" s="304">
        <v>0</v>
      </c>
      <c r="BG406" s="304">
        <v>0</v>
      </c>
      <c r="BH406" s="304">
        <v>0</v>
      </c>
      <c r="BI406" s="301">
        <v>0</v>
      </c>
      <c r="BJ406" s="304">
        <v>0</v>
      </c>
      <c r="BK406" s="304">
        <v>0</v>
      </c>
      <c r="BL406" s="304">
        <v>0</v>
      </c>
      <c r="BM406" s="304">
        <v>0</v>
      </c>
      <c r="BN406" s="301">
        <v>0</v>
      </c>
      <c r="BO406" s="304">
        <v>0</v>
      </c>
      <c r="BP406" s="304">
        <v>0</v>
      </c>
      <c r="BQ406" s="304">
        <v>0</v>
      </c>
      <c r="BR406" s="304">
        <v>0</v>
      </c>
      <c r="BS406" s="301">
        <v>0</v>
      </c>
      <c r="BT406" s="304">
        <v>0</v>
      </c>
      <c r="BU406" s="304">
        <v>0</v>
      </c>
      <c r="BV406" s="304">
        <v>0</v>
      </c>
      <c r="BW406" s="304">
        <v>0</v>
      </c>
      <c r="BX406" s="301">
        <v>0</v>
      </c>
      <c r="BY406" s="304">
        <v>0</v>
      </c>
      <c r="BZ406" s="304">
        <v>0</v>
      </c>
      <c r="CA406" s="304">
        <v>0</v>
      </c>
      <c r="CB406" s="304">
        <v>0</v>
      </c>
      <c r="CC406" s="301">
        <v>0</v>
      </c>
      <c r="CD406" s="304">
        <v>0</v>
      </c>
      <c r="CE406" s="304">
        <v>0</v>
      </c>
      <c r="CF406" s="304">
        <v>0</v>
      </c>
      <c r="CG406" s="304">
        <v>0</v>
      </c>
      <c r="CH406" s="301">
        <v>0</v>
      </c>
      <c r="CI406" s="304">
        <v>0</v>
      </c>
      <c r="CJ406" s="304">
        <v>0</v>
      </c>
      <c r="CK406" s="304">
        <v>0</v>
      </c>
      <c r="CL406" s="304">
        <v>0</v>
      </c>
      <c r="CM406" s="301">
        <v>0</v>
      </c>
      <c r="CN406" s="304">
        <v>0</v>
      </c>
      <c r="CO406" s="304">
        <v>0</v>
      </c>
      <c r="CP406" s="304">
        <v>0</v>
      </c>
      <c r="CQ406" s="304">
        <v>0</v>
      </c>
      <c r="CR406" s="301">
        <v>0</v>
      </c>
      <c r="CS406" s="304">
        <v>0</v>
      </c>
      <c r="CT406" s="304">
        <v>0</v>
      </c>
      <c r="CU406" s="304">
        <v>0</v>
      </c>
      <c r="CV406" s="304">
        <v>0</v>
      </c>
      <c r="CW406" s="301">
        <v>0</v>
      </c>
      <c r="CX406" s="304">
        <v>0</v>
      </c>
      <c r="CY406" s="304">
        <v>0</v>
      </c>
      <c r="CZ406" s="304">
        <v>0</v>
      </c>
      <c r="DA406" s="304">
        <v>0</v>
      </c>
      <c r="DB406" s="301">
        <v>0</v>
      </c>
      <c r="DC406" s="304">
        <v>0</v>
      </c>
      <c r="DD406" s="304">
        <v>0</v>
      </c>
      <c r="DE406" s="304">
        <v>0</v>
      </c>
      <c r="DF406" s="304">
        <v>0</v>
      </c>
      <c r="DG406" s="301">
        <v>0</v>
      </c>
      <c r="DH406" s="304">
        <v>0</v>
      </c>
      <c r="DI406" s="304">
        <v>0</v>
      </c>
      <c r="DJ406" s="304">
        <v>0</v>
      </c>
      <c r="DK406" s="304">
        <v>0</v>
      </c>
      <c r="DL406" s="301">
        <v>0</v>
      </c>
      <c r="DM406" s="304">
        <v>0</v>
      </c>
      <c r="DN406" s="304">
        <v>0</v>
      </c>
      <c r="DO406" s="304">
        <v>0</v>
      </c>
      <c r="DP406" s="304">
        <v>0</v>
      </c>
      <c r="DQ406" s="301">
        <v>0</v>
      </c>
      <c r="DR406" s="304">
        <v>0</v>
      </c>
      <c r="DS406" s="304">
        <v>0</v>
      </c>
      <c r="DT406" s="304">
        <v>0</v>
      </c>
      <c r="DU406" s="304">
        <v>0</v>
      </c>
      <c r="DV406" s="301">
        <v>0</v>
      </c>
      <c r="DW406" s="304">
        <v>0</v>
      </c>
      <c r="DX406" s="304">
        <v>0</v>
      </c>
      <c r="DY406" s="304">
        <v>0</v>
      </c>
      <c r="DZ406" s="304">
        <v>0</v>
      </c>
      <c r="EA406" s="101">
        <v>0</v>
      </c>
      <c r="EB406" s="304">
        <v>0</v>
      </c>
      <c r="EC406" s="304">
        <v>0</v>
      </c>
      <c r="ED406" s="304">
        <v>0</v>
      </c>
      <c r="EE406" s="304">
        <v>0</v>
      </c>
      <c r="EF406" s="101">
        <v>0</v>
      </c>
      <c r="EG406" s="304">
        <v>0</v>
      </c>
      <c r="EH406" s="304">
        <v>0</v>
      </c>
      <c r="EI406" s="304">
        <v>0</v>
      </c>
      <c r="EJ406" s="304">
        <v>0</v>
      </c>
      <c r="EK406" s="101">
        <v>0</v>
      </c>
      <c r="EL406" s="304">
        <v>0</v>
      </c>
      <c r="EM406" s="304">
        <v>0</v>
      </c>
      <c r="EN406" s="304">
        <v>0</v>
      </c>
      <c r="EO406" s="304">
        <v>0</v>
      </c>
      <c r="EP406" s="101">
        <v>0</v>
      </c>
      <c r="EQ406" s="304">
        <v>0</v>
      </c>
      <c r="ER406" s="304">
        <v>0</v>
      </c>
      <c r="ES406" s="304">
        <v>0</v>
      </c>
      <c r="ET406" s="304">
        <v>0</v>
      </c>
      <c r="EU406" s="101">
        <v>0</v>
      </c>
      <c r="EV406" s="305"/>
      <c r="EW406" s="305"/>
      <c r="EX406" s="305"/>
      <c r="EY406" s="305"/>
      <c r="EZ406" s="101">
        <v>0</v>
      </c>
      <c r="FA406" s="305"/>
      <c r="FB406" s="305"/>
      <c r="FC406" s="305"/>
      <c r="FD406" s="305"/>
      <c r="FE406" s="101">
        <v>0</v>
      </c>
      <c r="FF406" s="45"/>
      <c r="FG406" s="494"/>
      <c r="FH406" s="819"/>
      <c r="FI406" s="819"/>
      <c r="FJ406" s="819"/>
      <c r="FK406" s="45"/>
      <c r="FL406" s="1388"/>
      <c r="FM406"/>
      <c r="FN406"/>
      <c r="FO406"/>
      <c r="FP406"/>
      <c r="FQ406"/>
      <c r="FR406" s="1619"/>
      <c r="FS406" s="1619"/>
      <c r="FT406" s="205"/>
      <c r="FU406" s="205"/>
      <c r="FV406" s="205"/>
      <c r="FW406" s="205"/>
      <c r="FX406" s="205"/>
      <c r="FY406" s="205"/>
      <c r="FZ406" s="494"/>
      <c r="GA406"/>
      <c r="GB406"/>
      <c r="GC406"/>
      <c r="GD406"/>
      <c r="GE406"/>
      <c r="GF406"/>
      <c r="GG406"/>
      <c r="GH406"/>
      <c r="GI406"/>
      <c r="GJ406"/>
      <c r="GK406"/>
      <c r="GL406"/>
      <c r="GM406"/>
      <c r="GN406"/>
      <c r="GO406"/>
      <c r="GP406"/>
      <c r="GQ406"/>
      <c r="GR406"/>
      <c r="GS406"/>
      <c r="GT406"/>
      <c r="GU406"/>
      <c r="GV406"/>
      <c r="GW406"/>
      <c r="GX406"/>
      <c r="GY406"/>
      <c r="GZ406"/>
      <c r="HA406"/>
      <c r="HB406"/>
      <c r="HC406"/>
      <c r="HD406"/>
      <c r="HE406"/>
      <c r="HF406"/>
      <c r="HG406"/>
      <c r="HH406"/>
      <c r="HI406"/>
      <c r="HJ406"/>
      <c r="HK406"/>
      <c r="HL406"/>
      <c r="HM406"/>
      <c r="HN406"/>
      <c r="HO406"/>
      <c r="HP406"/>
      <c r="HQ406"/>
      <c r="HR406"/>
      <c r="HS406"/>
      <c r="HT406"/>
      <c r="HU406"/>
      <c r="HV406"/>
      <c r="HW406"/>
      <c r="HX406"/>
      <c r="HY406"/>
      <c r="HZ406"/>
      <c r="IA406"/>
      <c r="IB406"/>
      <c r="IC406"/>
      <c r="ID406"/>
      <c r="IE406"/>
      <c r="IF406"/>
      <c r="IG406"/>
      <c r="IH406"/>
      <c r="II406"/>
      <c r="IJ406"/>
      <c r="IK406"/>
      <c r="IL406"/>
      <c r="IM406"/>
      <c r="IN406"/>
      <c r="IO406"/>
      <c r="IP406"/>
      <c r="IQ406"/>
      <c r="IR406"/>
      <c r="IS406"/>
      <c r="IT406"/>
      <c r="IU406"/>
      <c r="IV406"/>
      <c r="IW406"/>
      <c r="IX406"/>
    </row>
    <row r="407" spans="1:258" x14ac:dyDescent="0.2">
      <c r="FL407"/>
      <c r="FR407"/>
      <c r="FS407"/>
    </row>
  </sheetData>
  <mergeCells count="1">
    <mergeCell ref="FM1:FQ1"/>
  </mergeCells>
  <phoneticPr fontId="12" type="noConversion"/>
  <pageMargins left="0.35" right="0.16" top="0.56000000000000005" bottom="0.49" header="0.28000000000000003" footer="0.28000000000000003"/>
  <pageSetup scale="48" fitToHeight="6" orientation="landscape" r:id="rId1"/>
  <headerFooter alignWithMargins="0">
    <oddHeader>&amp;L&amp;"Times New Roman,Bold Italic"&amp;16MORGAN STANLEY&amp;R&amp;"Times New Roman,Bold"&amp;16CSX</oddHeader>
    <oddFooter>&amp;CPage &amp;P</oddFooter>
  </headerFooter>
  <rowBreaks count="1" manualBreakCount="1">
    <brk id="300" max="144" man="1"/>
  </rowBreaks>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2:Z52"/>
  <sheetViews>
    <sheetView showGridLines="0" topLeftCell="B1" zoomScale="85" zoomScaleNormal="85" workbookViewId="0">
      <pane xSplit="1" ySplit="6" topLeftCell="C7" activePane="bottomRight" state="frozen"/>
      <selection activeCell="B1" sqref="B1"/>
      <selection pane="topRight" activeCell="C1" sqref="C1"/>
      <selection pane="bottomLeft" activeCell="B7" sqref="B7"/>
      <selection pane="bottomRight" activeCell="C7" sqref="C7"/>
    </sheetView>
  </sheetViews>
  <sheetFormatPr defaultRowHeight="12.75" x14ac:dyDescent="0.2"/>
  <cols>
    <col min="1" max="1" width="2.42578125" style="1195" customWidth="1"/>
    <col min="2" max="2" width="34" style="1195" customWidth="1"/>
    <col min="3" max="3" width="2.42578125" style="1195" customWidth="1"/>
    <col min="4" max="4" width="3" style="1195" customWidth="1"/>
    <col min="5" max="5" width="10.85546875" style="1195" customWidth="1"/>
    <col min="6" max="7" width="9.140625" style="1195" customWidth="1"/>
    <col min="8" max="8" width="8" style="1195" customWidth="1"/>
    <col min="9" max="10" width="9.140625" style="1195"/>
    <col min="11" max="11" width="10.85546875" style="1195" bestFit="1" customWidth="1"/>
    <col min="12" max="15" width="9.140625" style="1195"/>
    <col min="16" max="16" width="10" style="1195" bestFit="1" customWidth="1"/>
    <col min="17" max="25" width="9.140625" style="1195"/>
    <col min="26" max="26" width="6.7109375" style="1195" customWidth="1"/>
    <col min="27" max="16384" width="9.140625" style="1195"/>
  </cols>
  <sheetData>
    <row r="2" spans="1:25" x14ac:dyDescent="0.2">
      <c r="B2" s="1196" t="s">
        <v>680</v>
      </c>
      <c r="C2" s="1196"/>
      <c r="D2" s="1196"/>
      <c r="E2" s="1196"/>
      <c r="F2" s="1197">
        <v>40178</v>
      </c>
      <c r="G2" s="1197">
        <f t="shared" ref="G2:Q2" si="0">+EOMONTH(F2,12)</f>
        <v>40543</v>
      </c>
      <c r="H2" s="1197">
        <f t="shared" si="0"/>
        <v>40908</v>
      </c>
      <c r="I2" s="1197">
        <f t="shared" si="0"/>
        <v>41274</v>
      </c>
      <c r="J2" s="1197">
        <f t="shared" si="0"/>
        <v>41639</v>
      </c>
      <c r="K2" s="1197">
        <f t="shared" si="0"/>
        <v>42004</v>
      </c>
      <c r="L2" s="1197">
        <f t="shared" si="0"/>
        <v>42369</v>
      </c>
      <c r="M2" s="1197">
        <f t="shared" si="0"/>
        <v>42735</v>
      </c>
      <c r="N2" s="1197">
        <f t="shared" si="0"/>
        <v>43100</v>
      </c>
      <c r="O2" s="1197">
        <f t="shared" si="0"/>
        <v>43465</v>
      </c>
      <c r="P2" s="1197">
        <f t="shared" si="0"/>
        <v>43830</v>
      </c>
      <c r="Q2" s="1197">
        <f t="shared" si="0"/>
        <v>44196</v>
      </c>
      <c r="R2" s="1197">
        <f>+EOMONTH(Q2,12)</f>
        <v>44561</v>
      </c>
      <c r="S2" s="1197">
        <f>+EOMONTH(R2,12)</f>
        <v>44926</v>
      </c>
      <c r="T2" s="1197">
        <f>+EOMONTH(S2,12)</f>
        <v>45291</v>
      </c>
      <c r="U2" s="1197">
        <f>+EOMONTH(T2,12)</f>
        <v>45657</v>
      </c>
      <c r="V2" s="1197">
        <f>+EOMONTH(U2,12)</f>
        <v>46022</v>
      </c>
      <c r="W2" s="1197">
        <f t="shared" ref="W2:Y2" si="1">+EOMONTH(V2,12)</f>
        <v>46387</v>
      </c>
      <c r="X2" s="1197">
        <f t="shared" si="1"/>
        <v>46752</v>
      </c>
      <c r="Y2" s="1197">
        <f t="shared" si="1"/>
        <v>47118</v>
      </c>
    </row>
    <row r="3" spans="1:25" ht="13.5" x14ac:dyDescent="0.2">
      <c r="A3" s="1196"/>
      <c r="B3" s="1198"/>
      <c r="C3" s="1198"/>
      <c r="D3" s="1198"/>
      <c r="E3" s="1198"/>
      <c r="F3" s="1199"/>
      <c r="G3" s="1199"/>
      <c r="H3" s="1199"/>
      <c r="I3" s="1199"/>
      <c r="J3" s="1199"/>
      <c r="K3" s="1199"/>
      <c r="L3" s="1199"/>
      <c r="M3" s="1199"/>
      <c r="N3" s="1199"/>
      <c r="O3" s="1199"/>
      <c r="P3" s="1199"/>
      <c r="Q3" s="1199"/>
      <c r="R3" s="1199"/>
    </row>
    <row r="4" spans="1:25" ht="13.5" thickBot="1" x14ac:dyDescent="0.25">
      <c r="A4" s="1196"/>
      <c r="B4" s="1200" t="s">
        <v>681</v>
      </c>
      <c r="C4" s="1200"/>
      <c r="D4" s="1200"/>
      <c r="E4" s="1200"/>
      <c r="F4" s="1201">
        <v>40178</v>
      </c>
      <c r="G4" s="1201">
        <f t="shared" ref="G4:V4" si="2">+EOMONTH(F4,12)</f>
        <v>40543</v>
      </c>
      <c r="H4" s="1201">
        <f t="shared" si="2"/>
        <v>40908</v>
      </c>
      <c r="I4" s="1201">
        <f t="shared" si="2"/>
        <v>41274</v>
      </c>
      <c r="J4" s="1201">
        <f t="shared" si="2"/>
        <v>41639</v>
      </c>
      <c r="K4" s="1201">
        <f t="shared" si="2"/>
        <v>42004</v>
      </c>
      <c r="L4" s="1201">
        <f t="shared" si="2"/>
        <v>42369</v>
      </c>
      <c r="M4" s="1201">
        <f t="shared" si="2"/>
        <v>42735</v>
      </c>
      <c r="N4" s="1201">
        <f t="shared" si="2"/>
        <v>43100</v>
      </c>
      <c r="O4" s="1202">
        <f t="shared" si="2"/>
        <v>43465</v>
      </c>
      <c r="P4" s="1202">
        <f t="shared" si="2"/>
        <v>43830</v>
      </c>
      <c r="Q4" s="1202">
        <f t="shared" si="2"/>
        <v>44196</v>
      </c>
      <c r="R4" s="1202">
        <f t="shared" si="2"/>
        <v>44561</v>
      </c>
      <c r="S4" s="1202">
        <f t="shared" si="2"/>
        <v>44926</v>
      </c>
      <c r="T4" s="1202">
        <f t="shared" si="2"/>
        <v>45291</v>
      </c>
      <c r="U4" s="1202">
        <f t="shared" si="2"/>
        <v>45657</v>
      </c>
      <c r="V4" s="1202">
        <f t="shared" si="2"/>
        <v>46022</v>
      </c>
      <c r="W4" s="1202">
        <f t="shared" ref="W4" si="3">+EOMONTH(V4,12)</f>
        <v>46387</v>
      </c>
      <c r="X4" s="1202">
        <f t="shared" ref="X4:Y4" si="4">+EOMONTH(W4,12)</f>
        <v>46752</v>
      </c>
      <c r="Y4" s="1202">
        <f t="shared" si="4"/>
        <v>47118</v>
      </c>
    </row>
    <row r="5" spans="1:25" x14ac:dyDescent="0.2">
      <c r="A5" s="1196"/>
      <c r="B5" s="1203"/>
      <c r="C5" s="1203"/>
      <c r="D5" s="1203"/>
      <c r="E5" s="1203"/>
      <c r="F5" s="1204"/>
      <c r="G5" s="1203"/>
      <c r="H5" s="1203"/>
      <c r="I5" s="1203"/>
      <c r="J5" s="1203"/>
      <c r="K5" s="1203"/>
      <c r="L5" s="1203"/>
      <c r="M5" s="1203"/>
      <c r="N5" s="1203"/>
      <c r="O5" s="1203"/>
      <c r="P5" s="1203"/>
      <c r="Q5" s="1203"/>
      <c r="R5" s="1203"/>
    </row>
    <row r="6" spans="1:25" x14ac:dyDescent="0.2">
      <c r="A6" s="1196"/>
      <c r="B6" s="1205" t="s">
        <v>682</v>
      </c>
      <c r="C6" s="1205"/>
      <c r="D6" s="1205"/>
      <c r="E6" s="1205"/>
      <c r="F6" s="1205"/>
      <c r="G6" s="1205"/>
      <c r="H6" s="1205"/>
      <c r="I6" s="1205"/>
      <c r="J6" s="1205"/>
      <c r="K6" s="1205"/>
      <c r="L6" s="1205"/>
      <c r="M6" s="1205"/>
      <c r="N6" s="1205"/>
      <c r="O6" s="1205"/>
      <c r="P6" s="1205"/>
      <c r="Q6" s="1205"/>
      <c r="R6" s="1205"/>
      <c r="S6" s="1205"/>
      <c r="T6" s="1205"/>
      <c r="U6" s="1205"/>
      <c r="V6" s="1205"/>
      <c r="W6" s="1205"/>
      <c r="X6" s="1205"/>
      <c r="Y6" s="1205"/>
    </row>
    <row r="7" spans="1:25" x14ac:dyDescent="0.2">
      <c r="B7" s="1206" t="s">
        <v>683</v>
      </c>
      <c r="C7" s="1203"/>
      <c r="D7" s="1203"/>
      <c r="E7" s="1203"/>
      <c r="F7" s="1207">
        <f>Model!$DB$238</f>
        <v>9041</v>
      </c>
      <c r="G7" s="1207">
        <f>Model!$DG$238</f>
        <v>10636</v>
      </c>
      <c r="H7" s="1207">
        <f>Model!$DL$238</f>
        <v>11795</v>
      </c>
      <c r="I7" s="1207">
        <f>Model!$DQ$238</f>
        <v>11763</v>
      </c>
      <c r="J7" s="1207">
        <f>Model!$DV$238</f>
        <v>11927</v>
      </c>
      <c r="K7" s="1207">
        <f>Model!$EA$238</f>
        <v>12586.074180287373</v>
      </c>
      <c r="L7" s="1207">
        <f>Model!$EF$238</f>
        <v>11714</v>
      </c>
      <c r="M7" s="1207">
        <f>Model!$EK$238</f>
        <v>11069</v>
      </c>
      <c r="N7" s="1207">
        <f>Model!$EP$238</f>
        <v>11408</v>
      </c>
      <c r="O7" s="1207">
        <f>Model!$EU$238</f>
        <v>11671.949822611861</v>
      </c>
      <c r="P7" s="1207">
        <f>Model!$EZ$238</f>
        <v>11926.077068356344</v>
      </c>
      <c r="Q7" s="1207">
        <f>Model!$FE$238</f>
        <v>12234.682084017999</v>
      </c>
      <c r="R7" s="1207">
        <f t="shared" ref="R7:V7" si="5">+Q7*(1+R8)</f>
        <v>12479.375725698359</v>
      </c>
      <c r="S7" s="1207">
        <f t="shared" si="5"/>
        <v>12666.566361583833</v>
      </c>
      <c r="T7" s="1207">
        <f t="shared" si="5"/>
        <v>12856.56485700759</v>
      </c>
      <c r="U7" s="1207">
        <f t="shared" si="5"/>
        <v>13049.413329862702</v>
      </c>
      <c r="V7" s="1207">
        <f t="shared" si="5"/>
        <v>13245.154529810641</v>
      </c>
      <c r="W7" s="1207">
        <f t="shared" ref="W7" si="6">+V7*(1+W8)</f>
        <v>13443.8318477578</v>
      </c>
      <c r="X7" s="1207">
        <f t="shared" ref="X7:Y7" si="7">+W7*(1+X8)</f>
        <v>13645.489325474166</v>
      </c>
      <c r="Y7" s="1207">
        <f t="shared" si="7"/>
        <v>13850.171665356276</v>
      </c>
    </row>
    <row r="8" spans="1:25" x14ac:dyDescent="0.2">
      <c r="B8" s="1208" t="s">
        <v>684</v>
      </c>
      <c r="C8" s="1203"/>
      <c r="D8" s="1203"/>
      <c r="E8" s="1203"/>
      <c r="F8" s="1209" t="str">
        <f t="shared" ref="F8:Q8" si="8">IF(ISERROR(+F7/E7-1), "NA", +F7/E7-1)</f>
        <v>NA</v>
      </c>
      <c r="G8" s="1209">
        <f t="shared" si="8"/>
        <v>0.17641853777237038</v>
      </c>
      <c r="H8" s="1209">
        <f t="shared" si="8"/>
        <v>0.10896953742008275</v>
      </c>
      <c r="I8" s="1209">
        <f t="shared" si="8"/>
        <v>-2.7130139889783855E-3</v>
      </c>
      <c r="J8" s="1209">
        <f t="shared" si="8"/>
        <v>1.394202159313096E-2</v>
      </c>
      <c r="K8" s="1209">
        <f t="shared" si="8"/>
        <v>5.5259007318468445E-2</v>
      </c>
      <c r="L8" s="1209">
        <f t="shared" si="8"/>
        <v>-6.9288816178537771E-2</v>
      </c>
      <c r="M8" s="1209">
        <f t="shared" si="8"/>
        <v>-5.5062318593136372E-2</v>
      </c>
      <c r="N8" s="1209">
        <f t="shared" si="8"/>
        <v>3.0626072815972627E-2</v>
      </c>
      <c r="O8" s="1209">
        <f t="shared" si="8"/>
        <v>2.3137256540310513E-2</v>
      </c>
      <c r="P8" s="1209">
        <f t="shared" si="8"/>
        <v>2.1772475859360485E-2</v>
      </c>
      <c r="Q8" s="1209">
        <f t="shared" si="8"/>
        <v>2.5876490139451036E-2</v>
      </c>
      <c r="R8" s="1652">
        <v>0.02</v>
      </c>
      <c r="S8" s="1652">
        <v>1.4999999999999999E-2</v>
      </c>
      <c r="T8" s="1652">
        <v>1.4999999999999999E-2</v>
      </c>
      <c r="U8" s="1652">
        <v>1.4999999999999999E-2</v>
      </c>
      <c r="V8" s="1652">
        <v>1.4999999999999999E-2</v>
      </c>
      <c r="W8" s="1652">
        <v>1.4999999999999999E-2</v>
      </c>
      <c r="X8" s="1652">
        <v>1.4999999999999999E-2</v>
      </c>
      <c r="Y8" s="1652">
        <v>1.4999999999999999E-2</v>
      </c>
    </row>
    <row r="9" spans="1:25" x14ac:dyDescent="0.2">
      <c r="B9" s="1210"/>
      <c r="C9" s="1203"/>
      <c r="D9" s="1203"/>
      <c r="E9" s="1203"/>
      <c r="F9" s="1207"/>
      <c r="G9" s="1207"/>
      <c r="H9" s="1207"/>
      <c r="I9" s="1207"/>
      <c r="J9" s="1207"/>
      <c r="K9" s="1207"/>
      <c r="L9" s="1207"/>
      <c r="M9" s="1207"/>
      <c r="N9" s="1296"/>
      <c r="O9" s="1296"/>
      <c r="P9" s="1296"/>
      <c r="Q9" s="1296"/>
      <c r="R9" s="1296"/>
      <c r="S9" s="1296"/>
      <c r="T9" s="1296"/>
      <c r="U9" s="1296"/>
      <c r="V9" s="1296"/>
      <c r="W9" s="1296"/>
      <c r="X9" s="1296"/>
      <c r="Y9" s="1296"/>
    </row>
    <row r="10" spans="1:25" x14ac:dyDescent="0.2">
      <c r="B10" s="1206" t="s">
        <v>685</v>
      </c>
      <c r="C10" s="1203"/>
      <c r="D10" s="1203"/>
      <c r="E10" s="1203"/>
      <c r="F10" s="1211">
        <f>Model!$DB$251</f>
        <v>2285</v>
      </c>
      <c r="G10" s="1211">
        <f>Model!$DG$251</f>
        <v>3073</v>
      </c>
      <c r="H10" s="1211">
        <f>Model!$DL$251</f>
        <v>3470</v>
      </c>
      <c r="I10" s="1211">
        <f>Model!$DQ$251</f>
        <v>3464</v>
      </c>
      <c r="J10" s="1211">
        <f>Model!$DV$251</f>
        <v>3348</v>
      </c>
      <c r="K10" s="1211">
        <f>Model!$EA$251</f>
        <v>3530.0741802873727</v>
      </c>
      <c r="L10" s="1211">
        <f>Model!$EF$251</f>
        <v>3470</v>
      </c>
      <c r="M10" s="1211">
        <f>Model!$EK$251</f>
        <v>3376</v>
      </c>
      <c r="N10" s="1211">
        <f>Model!$EP$251</f>
        <v>3826</v>
      </c>
      <c r="O10" s="1211">
        <f>Model!$EU$251</f>
        <v>4193.5073771709212</v>
      </c>
      <c r="P10" s="1211">
        <f>Model!$EZ$251</f>
        <v>4363.34960424577</v>
      </c>
      <c r="Q10" s="1211">
        <f>Model!$FE$251</f>
        <v>4701.3357320504529</v>
      </c>
      <c r="R10" s="1211">
        <f t="shared" ref="R10:V10" si="9">+R7*R19</f>
        <v>4757.9243195143663</v>
      </c>
      <c r="S10" s="1211">
        <f t="shared" si="9"/>
        <v>4791.2934852223298</v>
      </c>
      <c r="T10" s="1211">
        <f t="shared" si="9"/>
        <v>4824.5931929296421</v>
      </c>
      <c r="U10" s="1211">
        <f t="shared" si="9"/>
        <v>4857.813850833998</v>
      </c>
      <c r="V10" s="1211">
        <f t="shared" si="9"/>
        <v>4890.9455950070751</v>
      </c>
      <c r="W10" s="1211">
        <f t="shared" ref="W10:X10" si="10">+W7*W19</f>
        <v>4923.9782833889076</v>
      </c>
      <c r="X10" s="1211">
        <f t="shared" si="10"/>
        <v>4956.901489663318</v>
      </c>
      <c r="Y10" s="1211">
        <f t="shared" ref="Y10" si="11">+Y7*Y19</f>
        <v>4989.7044970121988</v>
      </c>
    </row>
    <row r="11" spans="1:25" x14ac:dyDescent="0.2">
      <c r="B11" s="1206" t="s">
        <v>234</v>
      </c>
      <c r="C11" s="1203"/>
      <c r="D11" s="1203"/>
      <c r="E11" s="1203"/>
      <c r="F11" s="1211">
        <f>Model!$DB$214</f>
        <v>908</v>
      </c>
      <c r="G11" s="1211">
        <f>Model!$DG$214</f>
        <v>948</v>
      </c>
      <c r="H11" s="1211">
        <f>Model!$DL$214</f>
        <v>976</v>
      </c>
      <c r="I11" s="1211">
        <f>Model!$DQ$214</f>
        <v>1059</v>
      </c>
      <c r="J11" s="1211">
        <f>Model!$DV$214</f>
        <v>1104</v>
      </c>
      <c r="K11" s="1211">
        <f>Model!$EA$214</f>
        <v>1151</v>
      </c>
      <c r="L11" s="1211">
        <f>Model!$EF$214</f>
        <v>1208</v>
      </c>
      <c r="M11" s="1211">
        <f>Model!$EK$214</f>
        <v>1301</v>
      </c>
      <c r="N11" s="1211">
        <f>Model!$EP$214</f>
        <v>1315</v>
      </c>
      <c r="O11" s="1211">
        <f>Model!$EU$214</f>
        <v>1322.9749999999999</v>
      </c>
      <c r="P11" s="1211">
        <f>Model!$EZ$214</f>
        <v>1336.2047499999999</v>
      </c>
      <c r="Q11" s="1211">
        <f>Model!$FE$214</f>
        <v>1356.2478212499998</v>
      </c>
      <c r="R11" s="1211">
        <f t="shared" ref="R11:V11" si="12">+R7*R20</f>
        <v>1397.6900812782162</v>
      </c>
      <c r="S11" s="1211">
        <f t="shared" si="12"/>
        <v>1418.6554324973893</v>
      </c>
      <c r="T11" s="1211">
        <f t="shared" si="12"/>
        <v>1439.9352639848501</v>
      </c>
      <c r="U11" s="1211">
        <f t="shared" si="12"/>
        <v>1461.5342929446226</v>
      </c>
      <c r="V11" s="1211">
        <f t="shared" si="12"/>
        <v>1483.4573073387919</v>
      </c>
      <c r="W11" s="1211">
        <f t="shared" ref="W11:X11" si="13">+W7*W20</f>
        <v>1505.7091669488736</v>
      </c>
      <c r="X11" s="1211">
        <f t="shared" si="13"/>
        <v>1528.2948044531065</v>
      </c>
      <c r="Y11" s="1211">
        <f t="shared" ref="Y11" si="14">+Y7*Y20</f>
        <v>1551.219226519903</v>
      </c>
    </row>
    <row r="12" spans="1:25" x14ac:dyDescent="0.2">
      <c r="B12" s="1206" t="s">
        <v>686</v>
      </c>
      <c r="C12" s="1203"/>
      <c r="D12" s="1203"/>
      <c r="E12" s="1203"/>
      <c r="F12" s="1211">
        <f>+F10+F11</f>
        <v>3193</v>
      </c>
      <c r="G12" s="1211">
        <f t="shared" ref="G12:V12" si="15">+G10+G11</f>
        <v>4021</v>
      </c>
      <c r="H12" s="1211">
        <f t="shared" si="15"/>
        <v>4446</v>
      </c>
      <c r="I12" s="1211">
        <f t="shared" si="15"/>
        <v>4523</v>
      </c>
      <c r="J12" s="1211">
        <f t="shared" si="15"/>
        <v>4452</v>
      </c>
      <c r="K12" s="1211">
        <f t="shared" si="15"/>
        <v>4681.0741802873727</v>
      </c>
      <c r="L12" s="1211">
        <f t="shared" si="15"/>
        <v>4678</v>
      </c>
      <c r="M12" s="1211">
        <f t="shared" si="15"/>
        <v>4677</v>
      </c>
      <c r="N12" s="1211">
        <f t="shared" si="15"/>
        <v>5141</v>
      </c>
      <c r="O12" s="1211">
        <f t="shared" si="15"/>
        <v>5516.4823771709216</v>
      </c>
      <c r="P12" s="1211">
        <f t="shared" ref="P12:Q12" si="16">+P10+P11</f>
        <v>5699.5543542457699</v>
      </c>
      <c r="Q12" s="1211">
        <f t="shared" si="16"/>
        <v>6057.5835533004529</v>
      </c>
      <c r="R12" s="1211">
        <f t="shared" si="15"/>
        <v>6155.6144007925823</v>
      </c>
      <c r="S12" s="1211">
        <f t="shared" si="15"/>
        <v>6209.9489177197192</v>
      </c>
      <c r="T12" s="1211">
        <f t="shared" si="15"/>
        <v>6264.5284569144924</v>
      </c>
      <c r="U12" s="1211">
        <f t="shared" si="15"/>
        <v>6319.3481437786204</v>
      </c>
      <c r="V12" s="1211">
        <f t="shared" si="15"/>
        <v>6374.402902345867</v>
      </c>
      <c r="W12" s="1211">
        <f t="shared" ref="W12:X12" si="17">+W10+W11</f>
        <v>6429.6874503377812</v>
      </c>
      <c r="X12" s="1211">
        <f t="shared" si="17"/>
        <v>6485.1962941164247</v>
      </c>
      <c r="Y12" s="1211">
        <f t="shared" ref="Y12" si="18">+Y10+Y11</f>
        <v>6540.9237235321016</v>
      </c>
    </row>
    <row r="13" spans="1:25" x14ac:dyDescent="0.2">
      <c r="B13" s="1206" t="s">
        <v>687</v>
      </c>
      <c r="C13" s="1203"/>
      <c r="D13" s="1203"/>
      <c r="E13" s="1203"/>
      <c r="F13" s="1211">
        <f t="shared" ref="F13:V13" si="19">F10*$E$47</f>
        <v>411.3</v>
      </c>
      <c r="G13" s="1211">
        <f t="shared" si="19"/>
        <v>553.14</v>
      </c>
      <c r="H13" s="1211">
        <f t="shared" si="19"/>
        <v>624.6</v>
      </c>
      <c r="I13" s="1211">
        <f t="shared" si="19"/>
        <v>623.52</v>
      </c>
      <c r="J13" s="1211">
        <f t="shared" si="19"/>
        <v>602.64</v>
      </c>
      <c r="K13" s="1211">
        <f t="shared" si="19"/>
        <v>635.41335245172706</v>
      </c>
      <c r="L13" s="1211">
        <f t="shared" si="19"/>
        <v>624.6</v>
      </c>
      <c r="M13" s="1211">
        <f t="shared" si="19"/>
        <v>607.67999999999995</v>
      </c>
      <c r="N13" s="1211">
        <f t="shared" si="19"/>
        <v>688.68</v>
      </c>
      <c r="O13" s="1211">
        <f t="shared" si="19"/>
        <v>754.83132789076581</v>
      </c>
      <c r="P13" s="1211">
        <f t="shared" ref="P13:Q13" si="20">P10*$E$47</f>
        <v>785.4029287642386</v>
      </c>
      <c r="Q13" s="1211">
        <f t="shared" si="20"/>
        <v>846.24043176908151</v>
      </c>
      <c r="R13" s="1211">
        <f t="shared" si="19"/>
        <v>856.42637751258587</v>
      </c>
      <c r="S13" s="1211">
        <f t="shared" si="19"/>
        <v>862.43282734001934</v>
      </c>
      <c r="T13" s="1211">
        <f t="shared" si="19"/>
        <v>868.42677472733556</v>
      </c>
      <c r="U13" s="1211">
        <f t="shared" si="19"/>
        <v>874.40649315011956</v>
      </c>
      <c r="V13" s="1211">
        <f t="shared" si="19"/>
        <v>880.37020710127354</v>
      </c>
      <c r="W13" s="1211">
        <f t="shared" ref="W13:X13" si="21">W10*$E$47</f>
        <v>886.31609101000333</v>
      </c>
      <c r="X13" s="1211">
        <f t="shared" si="21"/>
        <v>892.2422681393972</v>
      </c>
      <c r="Y13" s="1211">
        <f t="shared" ref="Y13" si="22">Y10*$E$47</f>
        <v>898.14680946219573</v>
      </c>
    </row>
    <row r="14" spans="1:25" x14ac:dyDescent="0.2">
      <c r="B14" s="1206" t="s">
        <v>688</v>
      </c>
      <c r="C14" s="1203"/>
      <c r="D14" s="1203"/>
      <c r="E14" s="1203"/>
      <c r="F14" s="1211">
        <f>Model!$DB$310</f>
        <v>-186</v>
      </c>
      <c r="G14" s="1211">
        <f>Model!$DG$310</f>
        <v>262</v>
      </c>
      <c r="H14" s="1211">
        <f>Model!$DL$310</f>
        <v>84</v>
      </c>
      <c r="I14" s="1211">
        <f>Model!$DQ$310</f>
        <v>-568</v>
      </c>
      <c r="J14" s="1211">
        <f>Model!$DV$310</f>
        <v>-1</v>
      </c>
      <c r="K14" s="1211">
        <f>Model!$EA$310</f>
        <v>-33</v>
      </c>
      <c r="L14" s="1211">
        <f>Model!$EF$310</f>
        <v>-262</v>
      </c>
      <c r="M14" s="1211">
        <f>Model!$EK$310</f>
        <v>-129</v>
      </c>
      <c r="N14" s="1211">
        <f>Model!$EP$310</f>
        <v>-81</v>
      </c>
      <c r="O14" s="1212">
        <f>Model!$EU$310</f>
        <v>-133.59389368466441</v>
      </c>
      <c r="P14" s="1212">
        <f>Model!$EZ$310</f>
        <v>-112.05917743412215</v>
      </c>
      <c r="Q14" s="1212">
        <f>Model!$FE$310</f>
        <v>-147.4852365975853</v>
      </c>
      <c r="R14" s="1653">
        <f>-0.75%*R7</f>
        <v>-93.595317942737694</v>
      </c>
      <c r="S14" s="1653">
        <f t="shared" ref="S14:Y14" si="23">-0.75%*S7</f>
        <v>-94.999247711878738</v>
      </c>
      <c r="T14" s="1653">
        <f t="shared" si="23"/>
        <v>-96.42423642755692</v>
      </c>
      <c r="U14" s="1653">
        <f t="shared" si="23"/>
        <v>-97.870599973970258</v>
      </c>
      <c r="V14" s="1653">
        <f t="shared" si="23"/>
        <v>-99.338658973579811</v>
      </c>
      <c r="W14" s="1653">
        <f t="shared" si="23"/>
        <v>-100.8287388581835</v>
      </c>
      <c r="X14" s="1653">
        <f t="shared" si="23"/>
        <v>-102.34116994105624</v>
      </c>
      <c r="Y14" s="1653">
        <f t="shared" si="23"/>
        <v>-103.87628749017206</v>
      </c>
    </row>
    <row r="15" spans="1:25" x14ac:dyDescent="0.2">
      <c r="B15" s="1206" t="s">
        <v>689</v>
      </c>
      <c r="C15" s="1203"/>
      <c r="D15" s="1203"/>
      <c r="E15" s="1203"/>
      <c r="F15" s="1211">
        <f>Model!$DB$313</f>
        <v>-1427</v>
      </c>
      <c r="G15" s="1211">
        <f>Model!$DG$313</f>
        <v>-1825</v>
      </c>
      <c r="H15" s="1211">
        <f>Model!$DL$313</f>
        <v>-2297</v>
      </c>
      <c r="I15" s="1211">
        <f>Model!$DQ$313</f>
        <v>-2341</v>
      </c>
      <c r="J15" s="1211">
        <f>Model!$DV$313</f>
        <v>-2313</v>
      </c>
      <c r="K15" s="1211">
        <f>Model!$EA$313</f>
        <v>-2449</v>
      </c>
      <c r="L15" s="1211">
        <f>Model!$EF$313</f>
        <v>-2562</v>
      </c>
      <c r="M15" s="1211">
        <f>Model!$EK$313</f>
        <v>-2398</v>
      </c>
      <c r="N15" s="1211">
        <f>Model!$EP$313</f>
        <v>-2040</v>
      </c>
      <c r="O15" s="1211">
        <f>Model!$EU$313</f>
        <v>-1634.0729751656606</v>
      </c>
      <c r="P15" s="1211">
        <f>Model!$EZ$313</f>
        <v>-1633.8725583648193</v>
      </c>
      <c r="Q15" s="1211">
        <f>Model!$FE$313</f>
        <v>-1627.2127171743939</v>
      </c>
      <c r="R15" s="1211">
        <f t="shared" ref="R15:V15" si="24">-R7*R21</f>
        <v>-1678.4760351064294</v>
      </c>
      <c r="S15" s="1211">
        <f t="shared" si="24"/>
        <v>-1722.6530251754014</v>
      </c>
      <c r="T15" s="1211">
        <f t="shared" si="24"/>
        <v>-1767.7776678385437</v>
      </c>
      <c r="U15" s="1211">
        <f t="shared" si="24"/>
        <v>-1813.8684528509157</v>
      </c>
      <c r="V15" s="1211">
        <f t="shared" si="24"/>
        <v>-1854.3216341734899</v>
      </c>
      <c r="W15" s="1211">
        <f t="shared" ref="W15:X15" si="25">-W7*W21</f>
        <v>-1882.1364586860921</v>
      </c>
      <c r="X15" s="1211">
        <f t="shared" si="25"/>
        <v>-1910.3685055663834</v>
      </c>
      <c r="Y15" s="1211">
        <f t="shared" ref="Y15" si="26">-Y7*Y21</f>
        <v>-1939.024033149879</v>
      </c>
    </row>
    <row r="16" spans="1:25" x14ac:dyDescent="0.2">
      <c r="B16" s="1213" t="s">
        <v>690</v>
      </c>
      <c r="C16" s="1213"/>
      <c r="D16" s="1213"/>
      <c r="E16" s="1213"/>
      <c r="F16" s="1214">
        <f>+F12-F13+F14+F15</f>
        <v>1168.6999999999998</v>
      </c>
      <c r="G16" s="1214">
        <f t="shared" ref="G16:V16" si="27">+G12-G13+G14+G15</f>
        <v>1904.8600000000001</v>
      </c>
      <c r="H16" s="1214">
        <f t="shared" si="27"/>
        <v>1608.4</v>
      </c>
      <c r="I16" s="1214">
        <f t="shared" si="27"/>
        <v>990.48</v>
      </c>
      <c r="J16" s="1214">
        <f t="shared" si="27"/>
        <v>1535.3600000000001</v>
      </c>
      <c r="K16" s="1214">
        <f t="shared" si="27"/>
        <v>1563.6608278356457</v>
      </c>
      <c r="L16" s="1214">
        <f t="shared" si="27"/>
        <v>1229.4000000000001</v>
      </c>
      <c r="M16" s="1214">
        <f t="shared" si="27"/>
        <v>1542.3200000000002</v>
      </c>
      <c r="N16" s="1214">
        <f t="shared" si="27"/>
        <v>2331.3199999999997</v>
      </c>
      <c r="O16" s="1214">
        <f t="shared" si="27"/>
        <v>2993.9841804298303</v>
      </c>
      <c r="P16" s="1214">
        <f t="shared" ref="P16:Q16" si="28">+P12-P13+P14+P15</f>
        <v>3168.2196896825899</v>
      </c>
      <c r="Q16" s="1214">
        <f t="shared" si="28"/>
        <v>3436.6451677593923</v>
      </c>
      <c r="R16" s="1214">
        <f t="shared" si="27"/>
        <v>3527.1166702308292</v>
      </c>
      <c r="S16" s="1214">
        <f t="shared" si="27"/>
        <v>3529.8638174924199</v>
      </c>
      <c r="T16" s="1214">
        <f t="shared" si="27"/>
        <v>3531.8997779210567</v>
      </c>
      <c r="U16" s="1214">
        <f t="shared" si="27"/>
        <v>3533.2025978036145</v>
      </c>
      <c r="V16" s="1214">
        <f t="shared" si="27"/>
        <v>3540.3724020975242</v>
      </c>
      <c r="W16" s="1214">
        <f t="shared" ref="W16:X16" si="29">+W12-W13+W14+W15</f>
        <v>3560.4061617835023</v>
      </c>
      <c r="X16" s="1214">
        <f t="shared" si="29"/>
        <v>3580.2443504695875</v>
      </c>
      <c r="Y16" s="1214">
        <f t="shared" ref="Y16" si="30">+Y12-Y13+Y14+Y15</f>
        <v>3599.8765934298544</v>
      </c>
    </row>
    <row r="17" spans="1:26" x14ac:dyDescent="0.2">
      <c r="B17" s="1208" t="s">
        <v>691</v>
      </c>
      <c r="C17" s="1203"/>
      <c r="D17" s="1203"/>
      <c r="E17" s="1203"/>
      <c r="F17" s="1209">
        <f t="shared" ref="F17:V17" si="31">IF(ISERROR(+F16/F7), "NA", +F16/F7)</f>
        <v>0.12926667404048223</v>
      </c>
      <c r="G17" s="1209">
        <f t="shared" si="31"/>
        <v>0.17909552463332082</v>
      </c>
      <c r="H17" s="1209">
        <f t="shared" si="31"/>
        <v>0.13636286562102587</v>
      </c>
      <c r="I17" s="1209">
        <f t="shared" si="31"/>
        <v>8.420300943636827E-2</v>
      </c>
      <c r="J17" s="1209">
        <f t="shared" si="31"/>
        <v>0.12872977278443867</v>
      </c>
      <c r="K17" s="1209">
        <f t="shared" si="31"/>
        <v>0.12423737580417973</v>
      </c>
      <c r="L17" s="1209">
        <f t="shared" si="31"/>
        <v>0.10495134027659211</v>
      </c>
      <c r="M17" s="1209">
        <f t="shared" si="31"/>
        <v>0.13933688680097572</v>
      </c>
      <c r="N17" s="1209">
        <f t="shared" si="31"/>
        <v>0.20435834502103783</v>
      </c>
      <c r="O17" s="1209">
        <f t="shared" si="31"/>
        <v>0.25651105650142858</v>
      </c>
      <c r="P17" s="1209">
        <f t="shared" ref="P17:Q17" si="32">IF(ISERROR(+P16/P7), "NA", +P16/P7)</f>
        <v>0.26565480597881419</v>
      </c>
      <c r="Q17" s="1209">
        <f t="shared" si="32"/>
        <v>0.28089370399322722</v>
      </c>
      <c r="R17" s="1209">
        <f t="shared" si="31"/>
        <v>0.28263566605880425</v>
      </c>
      <c r="S17" s="1209">
        <f t="shared" si="31"/>
        <v>0.27867566605880428</v>
      </c>
      <c r="T17" s="1209">
        <f t="shared" si="31"/>
        <v>0.27471566605880432</v>
      </c>
      <c r="U17" s="1209">
        <f t="shared" si="31"/>
        <v>0.27075566605880425</v>
      </c>
      <c r="V17" s="1209">
        <f t="shared" si="31"/>
        <v>0.26729566605880428</v>
      </c>
      <c r="W17" s="1209">
        <f t="shared" ref="W17:X17" si="33">IF(ISERROR(+W16/W7), "NA", +W16/W7)</f>
        <v>0.26483566605880426</v>
      </c>
      <c r="X17" s="1209">
        <f t="shared" si="33"/>
        <v>0.26237566605880425</v>
      </c>
      <c r="Y17" s="1209">
        <f t="shared" ref="Y17" si="34">IF(ISERROR(+Y16/Y7), "NA", +Y16/Y7)</f>
        <v>0.25991566605880423</v>
      </c>
    </row>
    <row r="18" spans="1:26" x14ac:dyDescent="0.2">
      <c r="B18" s="1210" t="s">
        <v>692</v>
      </c>
      <c r="C18" s="1203"/>
      <c r="D18" s="1203"/>
      <c r="E18" s="1203"/>
      <c r="F18" s="1215"/>
      <c r="G18" s="1215"/>
      <c r="H18" s="1215"/>
      <c r="I18" s="1215"/>
      <c r="J18" s="1215"/>
      <c r="K18" s="1215"/>
      <c r="L18" s="1216"/>
      <c r="M18" s="1216">
        <f t="shared" ref="M18:V18" si="35">+M16/L16-1</f>
        <v>0.25453066536521884</v>
      </c>
      <c r="N18" s="1216">
        <f t="shared" si="35"/>
        <v>0.51156698998910688</v>
      </c>
      <c r="O18" s="1216">
        <f t="shared" si="35"/>
        <v>0.28424419660528399</v>
      </c>
      <c r="P18" s="1216">
        <f t="shared" si="35"/>
        <v>5.8195200359323795E-2</v>
      </c>
      <c r="Q18" s="1216">
        <f t="shared" si="35"/>
        <v>8.4724389205375727E-2</v>
      </c>
      <c r="R18" s="1216">
        <f t="shared" si="35"/>
        <v>2.6325529129451075E-2</v>
      </c>
      <c r="S18" s="1216">
        <f t="shared" si="35"/>
        <v>7.7886486851341807E-4</v>
      </c>
      <c r="T18" s="1216">
        <f t="shared" si="35"/>
        <v>5.7678157965979082E-4</v>
      </c>
      <c r="U18" s="1216">
        <f t="shared" si="35"/>
        <v>3.6887226831927578E-4</v>
      </c>
      <c r="V18" s="1216">
        <f t="shared" si="35"/>
        <v>2.0292649785684791E-3</v>
      </c>
      <c r="W18" s="1216">
        <f t="shared" ref="W18" si="36">+W16/V16-1</f>
        <v>5.6586588671037052E-3</v>
      </c>
      <c r="X18" s="1216">
        <f t="shared" ref="X18:Y18" si="37">+X16/W16-1</f>
        <v>5.5718892128160391E-3</v>
      </c>
      <c r="Y18" s="1216">
        <f t="shared" si="37"/>
        <v>5.4834924766216098E-3</v>
      </c>
    </row>
    <row r="19" spans="1:26" x14ac:dyDescent="0.2">
      <c r="B19" s="1206" t="s">
        <v>693</v>
      </c>
      <c r="C19" s="1203"/>
      <c r="D19" s="1203"/>
      <c r="E19" s="1203"/>
      <c r="F19" s="1217">
        <f t="shared" ref="F19:O19" si="38">IF(ISERROR(+F10/F7), "NA", +F10/F7)</f>
        <v>0.25273752903439883</v>
      </c>
      <c r="G19" s="1217">
        <f t="shared" si="38"/>
        <v>0.28892440767205718</v>
      </c>
      <c r="H19" s="1217">
        <f t="shared" si="38"/>
        <v>0.29419245442984315</v>
      </c>
      <c r="I19" s="1217">
        <f t="shared" si="38"/>
        <v>0.29448269999149879</v>
      </c>
      <c r="J19" s="1217">
        <f t="shared" si="38"/>
        <v>0.28070763813196947</v>
      </c>
      <c r="K19" s="1217">
        <f t="shared" si="38"/>
        <v>0.28047460468779567</v>
      </c>
      <c r="L19" s="1217">
        <f t="shared" si="38"/>
        <v>0.2962267372374936</v>
      </c>
      <c r="M19" s="1217">
        <f t="shared" si="38"/>
        <v>0.30499593459210406</v>
      </c>
      <c r="N19" s="1217">
        <f t="shared" si="38"/>
        <v>0.33537868162692847</v>
      </c>
      <c r="O19" s="1217">
        <f t="shared" si="38"/>
        <v>0.3592807920615726</v>
      </c>
      <c r="P19" s="1217">
        <f t="shared" ref="P19:Q19" si="39">IF(ISERROR(+P10/P7), "NA", +P10/P7)</f>
        <v>0.3658662927663881</v>
      </c>
      <c r="Q19" s="1217">
        <f t="shared" si="39"/>
        <v>0.38426300738878572</v>
      </c>
      <c r="R19" s="1218">
        <f>+Q19-0.3%</f>
        <v>0.38126300738878571</v>
      </c>
      <c r="S19" s="1218">
        <f t="shared" ref="S19:Y19" si="40">+R19-0.3%</f>
        <v>0.37826300738878571</v>
      </c>
      <c r="T19" s="1218">
        <f t="shared" si="40"/>
        <v>0.37526300738878571</v>
      </c>
      <c r="U19" s="1218">
        <f t="shared" si="40"/>
        <v>0.3722630073887857</v>
      </c>
      <c r="V19" s="1218">
        <f t="shared" si="40"/>
        <v>0.3692630073887857</v>
      </c>
      <c r="W19" s="1218">
        <f t="shared" si="40"/>
        <v>0.3662630073887857</v>
      </c>
      <c r="X19" s="1218">
        <f t="shared" si="40"/>
        <v>0.3632630073887857</v>
      </c>
      <c r="Y19" s="1218">
        <f t="shared" si="40"/>
        <v>0.36026300738878569</v>
      </c>
      <c r="Z19" s="1935">
        <f>1-Y19</f>
        <v>0.63973699261121431</v>
      </c>
    </row>
    <row r="20" spans="1:26" x14ac:dyDescent="0.2">
      <c r="B20" s="1206" t="s">
        <v>694</v>
      </c>
      <c r="C20" s="1203"/>
      <c r="D20" s="1203"/>
      <c r="E20" s="1203"/>
      <c r="F20" s="1217">
        <f t="shared" ref="F20:O20" si="41">+F11/F7</f>
        <v>0.10043136821148103</v>
      </c>
      <c r="G20" s="1217">
        <f t="shared" si="41"/>
        <v>8.9131252350507714E-2</v>
      </c>
      <c r="H20" s="1217">
        <f t="shared" si="41"/>
        <v>8.2746926663840606E-2</v>
      </c>
      <c r="I20" s="1217">
        <f t="shared" si="41"/>
        <v>9.0028054067839841E-2</v>
      </c>
      <c r="J20" s="1217">
        <f t="shared" si="41"/>
        <v>9.2563092143875245E-2</v>
      </c>
      <c r="K20" s="1217">
        <f t="shared" si="41"/>
        <v>9.1450279373271548E-2</v>
      </c>
      <c r="L20" s="1217">
        <f t="shared" si="41"/>
        <v>0.10312446645040123</v>
      </c>
      <c r="M20" s="1217">
        <f t="shared" si="41"/>
        <v>0.11753545939109224</v>
      </c>
      <c r="N20" s="1217">
        <f t="shared" si="41"/>
        <v>0.11526998597475456</v>
      </c>
      <c r="O20" s="1217">
        <f t="shared" si="41"/>
        <v>0.11334652908094446</v>
      </c>
      <c r="P20" s="1217">
        <f t="shared" ref="P20:Q20" si="42">+P11/P7</f>
        <v>0.11204059325973785</v>
      </c>
      <c r="Q20" s="1217">
        <f t="shared" si="42"/>
        <v>0.11085272277092088</v>
      </c>
      <c r="R20" s="1218">
        <v>0.112</v>
      </c>
      <c r="S20" s="1218">
        <f>+R20</f>
        <v>0.112</v>
      </c>
      <c r="T20" s="1218">
        <f t="shared" ref="T20:Y21" si="43">+S20</f>
        <v>0.112</v>
      </c>
      <c r="U20" s="1218">
        <f t="shared" si="43"/>
        <v>0.112</v>
      </c>
      <c r="V20" s="1218">
        <f t="shared" si="43"/>
        <v>0.112</v>
      </c>
      <c r="W20" s="1218">
        <f t="shared" si="43"/>
        <v>0.112</v>
      </c>
      <c r="X20" s="1218">
        <f t="shared" si="43"/>
        <v>0.112</v>
      </c>
      <c r="Y20" s="1218">
        <f t="shared" si="43"/>
        <v>0.112</v>
      </c>
    </row>
    <row r="21" spans="1:26" x14ac:dyDescent="0.2">
      <c r="B21" s="1206" t="s">
        <v>695</v>
      </c>
      <c r="C21" s="1203"/>
      <c r="D21" s="1203"/>
      <c r="E21" s="1203"/>
      <c r="F21" s="1217">
        <f t="shared" ref="F21:O21" si="44">-F15/F7</f>
        <v>0.15783652250857205</v>
      </c>
      <c r="G21" s="1217">
        <f t="shared" si="44"/>
        <v>0.17158706280556602</v>
      </c>
      <c r="H21" s="1217">
        <f t="shared" si="44"/>
        <v>0.19474353539635439</v>
      </c>
      <c r="I21" s="1217">
        <f t="shared" si="44"/>
        <v>0.19901385700926635</v>
      </c>
      <c r="J21" s="1217">
        <f t="shared" si="44"/>
        <v>0.19392973924708645</v>
      </c>
      <c r="K21" s="1217">
        <f t="shared" si="44"/>
        <v>0.19458013395755172</v>
      </c>
      <c r="L21" s="1217">
        <f t="shared" si="44"/>
        <v>0.21871265152808606</v>
      </c>
      <c r="M21" s="1217">
        <f t="shared" si="44"/>
        <v>0.2166410696539886</v>
      </c>
      <c r="N21" s="1217">
        <f t="shared" si="44"/>
        <v>0.17882187938288921</v>
      </c>
      <c r="O21" s="1217">
        <f t="shared" si="44"/>
        <v>0.14000000000000001</v>
      </c>
      <c r="P21" s="1217">
        <f t="shared" ref="P21:Q21" si="45">-P15/P7</f>
        <v>0.13700000000000001</v>
      </c>
      <c r="Q21" s="1217">
        <f t="shared" si="45"/>
        <v>0.13300000000000001</v>
      </c>
      <c r="R21" s="1218">
        <f>+Q21+0.15%</f>
        <v>0.13450000000000001</v>
      </c>
      <c r="S21" s="1218">
        <f t="shared" ref="S21:U21" si="46">+R21+0.15%</f>
        <v>0.13600000000000001</v>
      </c>
      <c r="T21" s="1218">
        <f t="shared" si="46"/>
        <v>0.13750000000000001</v>
      </c>
      <c r="U21" s="1218">
        <f t="shared" si="46"/>
        <v>0.13900000000000001</v>
      </c>
      <c r="V21" s="1218">
        <f>+U21+0.1%</f>
        <v>0.14000000000000001</v>
      </c>
      <c r="W21" s="1218">
        <f>+V21</f>
        <v>0.14000000000000001</v>
      </c>
      <c r="X21" s="1218">
        <f t="shared" si="43"/>
        <v>0.14000000000000001</v>
      </c>
      <c r="Y21" s="1218">
        <f t="shared" si="43"/>
        <v>0.14000000000000001</v>
      </c>
    </row>
    <row r="22" spans="1:26" x14ac:dyDescent="0.2">
      <c r="B22" s="1210" t="s">
        <v>734</v>
      </c>
      <c r="C22" s="1203"/>
      <c r="D22" s="1203"/>
      <c r="E22" s="1203"/>
      <c r="F22" s="1651">
        <f>-F11/F15</f>
        <v>0.63629992992291518</v>
      </c>
      <c r="G22" s="1651">
        <f t="shared" ref="G22:V22" si="47">-G11/G15</f>
        <v>0.5194520547945205</v>
      </c>
      <c r="H22" s="1651">
        <f t="shared" si="47"/>
        <v>0.42490204614714844</v>
      </c>
      <c r="I22" s="1651">
        <f t="shared" si="47"/>
        <v>0.45237078171721484</v>
      </c>
      <c r="J22" s="1651">
        <f t="shared" si="47"/>
        <v>0.4773022049286641</v>
      </c>
      <c r="K22" s="1651">
        <f t="shared" si="47"/>
        <v>0.46998775010208249</v>
      </c>
      <c r="L22" s="1651">
        <f t="shared" si="47"/>
        <v>0.47150663544106169</v>
      </c>
      <c r="M22" s="1651">
        <f t="shared" si="47"/>
        <v>0.54253544620517102</v>
      </c>
      <c r="N22" s="1651">
        <f t="shared" si="47"/>
        <v>0.64460784313725494</v>
      </c>
      <c r="O22" s="1651">
        <f t="shared" si="47"/>
        <v>0.80961806486388899</v>
      </c>
      <c r="P22" s="1651">
        <f t="shared" ref="P22:Q22" si="48">-P11/P15</f>
        <v>0.81781454934115205</v>
      </c>
      <c r="Q22" s="1651">
        <f t="shared" si="48"/>
        <v>0.83347911857835244</v>
      </c>
      <c r="R22" s="1651">
        <f t="shared" si="47"/>
        <v>0.83271375464684005</v>
      </c>
      <c r="S22" s="1651">
        <f t="shared" si="47"/>
        <v>0.82352941176470584</v>
      </c>
      <c r="T22" s="1651">
        <f t="shared" si="47"/>
        <v>0.81454545454545446</v>
      </c>
      <c r="U22" s="1651">
        <f t="shared" si="47"/>
        <v>0.80575539568345322</v>
      </c>
      <c r="V22" s="1651">
        <f t="shared" si="47"/>
        <v>0.8</v>
      </c>
      <c r="W22" s="1651">
        <f t="shared" ref="W22:X22" si="49">-W11/W15</f>
        <v>0.8</v>
      </c>
      <c r="X22" s="1651">
        <f t="shared" si="49"/>
        <v>0.79999999999999993</v>
      </c>
      <c r="Y22" s="1651">
        <f t="shared" ref="Y22" si="50">-Y11/Y15</f>
        <v>0.79999999999999993</v>
      </c>
    </row>
    <row r="23" spans="1:26" ht="13.5" thickBot="1" x14ac:dyDescent="0.25">
      <c r="A23" s="1196"/>
      <c r="B23" s="1205" t="s">
        <v>696</v>
      </c>
      <c r="C23" s="1205"/>
      <c r="D23" s="1205"/>
      <c r="E23" s="1205"/>
      <c r="F23" s="1205"/>
      <c r="G23" s="1219"/>
      <c r="H23" s="1219"/>
      <c r="I23" s="1219"/>
      <c r="J23" s="1219"/>
      <c r="K23" s="1219"/>
      <c r="L23" s="1202"/>
      <c r="M23" s="1202"/>
      <c r="N23" s="1202"/>
      <c r="O23" s="1202"/>
      <c r="P23" s="1202">
        <f t="shared" ref="P23:Y23" si="51">P$4</f>
        <v>43830</v>
      </c>
      <c r="Q23" s="1202">
        <f t="shared" si="51"/>
        <v>44196</v>
      </c>
      <c r="R23" s="1202">
        <f t="shared" si="51"/>
        <v>44561</v>
      </c>
      <c r="S23" s="1202">
        <f t="shared" si="51"/>
        <v>44926</v>
      </c>
      <c r="T23" s="1202">
        <f t="shared" si="51"/>
        <v>45291</v>
      </c>
      <c r="U23" s="1202">
        <f t="shared" si="51"/>
        <v>45657</v>
      </c>
      <c r="V23" s="1202">
        <f t="shared" si="51"/>
        <v>46022</v>
      </c>
      <c r="W23" s="1202">
        <f t="shared" si="51"/>
        <v>46387</v>
      </c>
      <c r="X23" s="1202">
        <f t="shared" si="51"/>
        <v>46752</v>
      </c>
      <c r="Y23" s="1202">
        <f t="shared" si="51"/>
        <v>47118</v>
      </c>
    </row>
    <row r="24" spans="1:26" x14ac:dyDescent="0.2">
      <c r="B24" s="1206" t="s">
        <v>697</v>
      </c>
      <c r="C24" s="1203"/>
      <c r="D24" s="1203"/>
      <c r="E24" s="1203"/>
      <c r="F24" s="1207"/>
      <c r="G24" s="1220"/>
      <c r="H24" s="1221"/>
      <c r="I24" s="1221"/>
      <c r="J24" s="1221"/>
      <c r="K24" s="1221"/>
      <c r="L24" s="1222"/>
      <c r="M24" s="1222"/>
      <c r="N24" s="1223"/>
      <c r="O24" s="1223"/>
      <c r="P24" s="1223">
        <f t="shared" ref="P24:V24" si="52">O24+1</f>
        <v>1</v>
      </c>
      <c r="Q24" s="1223">
        <f t="shared" si="52"/>
        <v>2</v>
      </c>
      <c r="R24" s="1223">
        <f t="shared" si="52"/>
        <v>3</v>
      </c>
      <c r="S24" s="1223">
        <f t="shared" si="52"/>
        <v>4</v>
      </c>
      <c r="T24" s="1223">
        <f t="shared" si="52"/>
        <v>5</v>
      </c>
      <c r="U24" s="1223">
        <f t="shared" si="52"/>
        <v>6</v>
      </c>
      <c r="V24" s="1223">
        <f t="shared" si="52"/>
        <v>7</v>
      </c>
      <c r="W24" s="1223">
        <f t="shared" ref="W24" si="53">V24+1</f>
        <v>8</v>
      </c>
      <c r="X24" s="1223">
        <f t="shared" ref="X24:Y24" si="54">W24+1</f>
        <v>9</v>
      </c>
      <c r="Y24" s="1223">
        <f t="shared" si="54"/>
        <v>10</v>
      </c>
    </row>
    <row r="25" spans="1:26" x14ac:dyDescent="0.2">
      <c r="B25" s="1206" t="s">
        <v>698</v>
      </c>
      <c r="C25" s="1203"/>
      <c r="D25" s="1203"/>
      <c r="E25" s="1203"/>
      <c r="F25" s="1224"/>
      <c r="G25" s="1225"/>
      <c r="H25" s="1226"/>
      <c r="I25" s="1221"/>
      <c r="J25" s="1221"/>
      <c r="K25" s="1221"/>
      <c r="L25" s="1221"/>
      <c r="M25" s="1221"/>
      <c r="N25" s="1221"/>
      <c r="O25" s="1221"/>
      <c r="P25" s="1221">
        <f t="shared" ref="P25" si="55">P$16/(1+$E$50)^P24</f>
        <v>2949.5956594073195</v>
      </c>
      <c r="Q25" s="1221">
        <f t="shared" ref="Q25:V25" si="56">Q$16/(1+$E$50)^Q24</f>
        <v>2978.7159256446503</v>
      </c>
      <c r="R25" s="1221">
        <f t="shared" si="56"/>
        <v>2846.1737967020149</v>
      </c>
      <c r="S25" s="1221">
        <f t="shared" si="56"/>
        <v>2651.8364628551271</v>
      </c>
      <c r="T25" s="1221">
        <f t="shared" si="56"/>
        <v>2470.2696098007414</v>
      </c>
      <c r="U25" s="1221">
        <f t="shared" si="56"/>
        <v>2300.6561871625777</v>
      </c>
      <c r="V25" s="1221">
        <f t="shared" si="56"/>
        <v>2146.2451385235481</v>
      </c>
      <c r="W25" s="1221">
        <f t="shared" ref="W25:X25" si="57">W$16/(1+$E$50)^W24</f>
        <v>2009.4496030309765</v>
      </c>
      <c r="X25" s="1221">
        <f t="shared" si="57"/>
        <v>1881.2106967543684</v>
      </c>
      <c r="Y25" s="1221">
        <f t="shared" ref="Y25" si="58">Y$16/(1+$E$50)^Y24</f>
        <v>1761.0009137312045</v>
      </c>
    </row>
    <row r="26" spans="1:26" x14ac:dyDescent="0.2">
      <c r="B26" s="1206"/>
      <c r="C26" s="1203"/>
      <c r="D26" s="1203"/>
      <c r="E26" s="1203"/>
      <c r="F26" s="1224"/>
      <c r="G26" s="1225"/>
      <c r="H26" s="1226"/>
      <c r="I26" s="1221"/>
      <c r="J26" s="1221"/>
      <c r="K26" s="1221"/>
      <c r="L26" s="1221"/>
      <c r="M26" s="1221"/>
      <c r="N26" s="1221"/>
      <c r="O26" s="1221"/>
      <c r="P26" s="1221"/>
      <c r="Q26" s="1221"/>
      <c r="R26" s="1227"/>
    </row>
    <row r="27" spans="1:26" x14ac:dyDescent="0.2">
      <c r="B27" s="1228"/>
      <c r="C27" s="1203"/>
      <c r="D27" s="1203"/>
      <c r="E27" s="1203"/>
      <c r="F27" s="1224"/>
      <c r="G27" s="1224"/>
      <c r="H27" s="1224"/>
      <c r="I27" s="1224"/>
      <c r="J27" s="1227"/>
      <c r="K27" s="1227"/>
      <c r="L27" s="1227"/>
      <c r="M27" s="1227"/>
      <c r="N27" s="1227"/>
      <c r="O27" s="1227"/>
      <c r="P27" s="1205" t="s">
        <v>699</v>
      </c>
      <c r="Q27" s="1205"/>
      <c r="R27" s="1229">
        <v>1.4999999999999999E-2</v>
      </c>
    </row>
    <row r="28" spans="1:26" x14ac:dyDescent="0.2">
      <c r="B28" s="1230" t="s">
        <v>700</v>
      </c>
      <c r="C28" s="1231"/>
      <c r="D28" s="1231"/>
      <c r="E28" s="1232"/>
      <c r="F28" s="1203"/>
      <c r="G28" s="1221"/>
      <c r="H28" s="1203"/>
      <c r="I28" s="1203"/>
      <c r="J28" s="1203"/>
      <c r="K28" s="1203"/>
      <c r="L28" s="1203"/>
      <c r="M28" s="1203"/>
      <c r="N28" s="1227"/>
      <c r="O28" s="1227"/>
      <c r="P28" s="1227"/>
      <c r="Q28" s="1227"/>
      <c r="R28" s="1204"/>
      <c r="T28" s="1196"/>
      <c r="U28" s="1233"/>
      <c r="V28" s="1234"/>
    </row>
    <row r="29" spans="1:26" x14ac:dyDescent="0.2">
      <c r="B29" s="1235" t="s">
        <v>701</v>
      </c>
      <c r="C29" s="1236"/>
      <c r="D29" s="1236"/>
      <c r="E29" s="2007">
        <f>SUM(O25:Y25)</f>
        <v>23995.153993612534</v>
      </c>
      <c r="F29" s="1203"/>
      <c r="G29" s="1221"/>
      <c r="H29" s="1204"/>
      <c r="I29" s="1204"/>
      <c r="J29" s="1237" t="s">
        <v>702</v>
      </c>
      <c r="K29" s="1238"/>
      <c r="L29" s="1238"/>
      <c r="M29" s="1238"/>
      <c r="N29" s="1238"/>
      <c r="O29" s="1239"/>
      <c r="P29" s="1227"/>
      <c r="Q29" s="1227"/>
      <c r="R29" s="1204"/>
      <c r="T29" s="1196"/>
      <c r="U29" s="1233"/>
      <c r="V29" s="1240"/>
    </row>
    <row r="30" spans="1:26" x14ac:dyDescent="0.2">
      <c r="B30" s="1235" t="s">
        <v>703</v>
      </c>
      <c r="C30" s="1236"/>
      <c r="D30" s="1236"/>
      <c r="E30" s="1241">
        <f>(($Y$16)*(1+E51)/($E$50-$E$51))/(1+$E$50)^$Y$24</f>
        <v>30233.692953944057</v>
      </c>
      <c r="F30" s="1203"/>
      <c r="G30" s="1221"/>
      <c r="H30" s="1204"/>
      <c r="I30" s="1204"/>
      <c r="J30" s="1242">
        <f ca="1">+E34</f>
        <v>40862.932950868759</v>
      </c>
      <c r="K30" s="1243">
        <f>+L30-0.01</f>
        <v>5.4119999999999994E-2</v>
      </c>
      <c r="L30" s="1243">
        <f>+M30-0.01</f>
        <v>6.4119999999999996E-2</v>
      </c>
      <c r="M30" s="1244">
        <f>E50</f>
        <v>7.4119999999999991E-2</v>
      </c>
      <c r="N30" s="1243">
        <f>+M30+0.01</f>
        <v>8.4119999999999986E-2</v>
      </c>
      <c r="O30" s="1245">
        <f>+N30+0.01</f>
        <v>9.4119999999999981E-2</v>
      </c>
      <c r="P30" s="1204"/>
      <c r="Q30" s="1204"/>
      <c r="R30" s="1204"/>
      <c r="T30" s="1196"/>
      <c r="U30" s="1233"/>
      <c r="V30" s="1240"/>
    </row>
    <row r="31" spans="1:26" x14ac:dyDescent="0.2">
      <c r="B31" s="1246" t="s">
        <v>704</v>
      </c>
      <c r="C31" s="1247"/>
      <c r="D31" s="1247"/>
      <c r="E31" s="1248">
        <f>E29+E30</f>
        <v>54228.846947556594</v>
      </c>
      <c r="F31" s="1203"/>
      <c r="G31" s="1221"/>
      <c r="H31" s="1204"/>
      <c r="I31" s="1204"/>
      <c r="J31" s="1249">
        <f>+J32-0.005</f>
        <v>9.9999999999999985E-3</v>
      </c>
      <c r="K31" s="1250">
        <f ca="1">$E$29+((($Y$16*(1+$J31))/(K$30-$J31))/(1+K$30)^$Y$24)+($E$33-$E$32)</f>
        <v>59278.1315572655</v>
      </c>
      <c r="L31" s="1251">
        <f t="shared" ref="L31:O33" ca="1" si="59">$E$29+((($Y$16*(1+$J31))/(L$30-$J31))/(1+L$30)^$Y$24)+($E$33-$E$32)</f>
        <v>46715.771481543852</v>
      </c>
      <c r="M31" s="1252">
        <f t="shared" ca="1" si="59"/>
        <v>38368.025444031955</v>
      </c>
      <c r="N31" s="1251">
        <f t="shared" ca="1" si="59"/>
        <v>32501.819912974981</v>
      </c>
      <c r="O31" s="1253">
        <f t="shared" ca="1" si="59"/>
        <v>28210.911231734721</v>
      </c>
      <c r="P31" s="1204"/>
      <c r="Q31" s="1254"/>
      <c r="R31" s="1255"/>
      <c r="S31" s="1255"/>
      <c r="T31" s="1255"/>
      <c r="U31" s="1255"/>
      <c r="V31" s="1255"/>
    </row>
    <row r="32" spans="1:26" x14ac:dyDescent="0.2">
      <c r="A32" s="2006"/>
      <c r="B32" s="1235" t="s">
        <v>796</v>
      </c>
      <c r="C32" s="1236"/>
      <c r="D32" s="1236"/>
      <c r="E32" s="2007">
        <f>Model!$EU$365</f>
        <v>14009</v>
      </c>
      <c r="F32" s="1203"/>
      <c r="G32" s="1221"/>
      <c r="H32" s="1204"/>
      <c r="I32" s="1204"/>
      <c r="J32" s="1256">
        <f>E51</f>
        <v>1.4999999999999999E-2</v>
      </c>
      <c r="K32" s="1257">
        <f t="shared" ref="K32:K33" ca="1" si="60">$E$29+((($Y$16*(1+$J32))/(K$30-$J32))/(1+K$30)^$Y$24)+($E$33-$E$32)</f>
        <v>65767.654726846056</v>
      </c>
      <c r="L32" s="1258">
        <f t="shared" ca="1" si="59"/>
        <v>50585.905633047238</v>
      </c>
      <c r="M32" s="1259">
        <f t="shared" ca="1" si="59"/>
        <v>40862.932950868766</v>
      </c>
      <c r="N32" s="1258">
        <f t="shared" ca="1" si="59"/>
        <v>34200.150649202726</v>
      </c>
      <c r="O32" s="1260">
        <f t="shared" ca="1" si="59"/>
        <v>29414.525877205593</v>
      </c>
      <c r="P32" s="1204"/>
      <c r="Q32" s="1204"/>
      <c r="R32" s="1204"/>
      <c r="S32" s="1261"/>
      <c r="T32" s="1198"/>
      <c r="U32" s="1198"/>
      <c r="V32" s="1262"/>
      <c r="W32" s="1263"/>
    </row>
    <row r="33" spans="1:23" x14ac:dyDescent="0.2">
      <c r="A33" s="2006"/>
      <c r="B33" s="1235" t="s">
        <v>797</v>
      </c>
      <c r="C33" s="1236"/>
      <c r="D33" s="1236"/>
      <c r="E33" s="2007">
        <f ca="1">Model!$EU$336</f>
        <v>643.08600331216712</v>
      </c>
      <c r="F33" s="1203"/>
      <c r="G33" s="1221"/>
      <c r="H33" s="1204"/>
      <c r="I33" s="1204"/>
      <c r="J33" s="1264">
        <f>+J32+0.005</f>
        <v>0.02</v>
      </c>
      <c r="K33" s="1265">
        <f t="shared" ca="1" si="60"/>
        <v>74159.148344721063</v>
      </c>
      <c r="L33" s="1266">
        <f t="shared" ca="1" si="59"/>
        <v>55333.223409098093</v>
      </c>
      <c r="M33" s="1267">
        <f t="shared" ca="1" si="59"/>
        <v>43818.835931991751</v>
      </c>
      <c r="N33" s="1266">
        <f t="shared" ca="1" si="59"/>
        <v>36163.348936308161</v>
      </c>
      <c r="O33" s="1241">
        <f t="shared" ca="1" si="59"/>
        <v>30780.52781969088</v>
      </c>
      <c r="P33" s="1204"/>
      <c r="Q33" s="1204"/>
      <c r="R33" s="1204"/>
      <c r="S33" s="1261"/>
      <c r="T33" s="1268"/>
      <c r="U33" s="1269"/>
      <c r="V33" s="1270"/>
      <c r="W33" s="1271"/>
    </row>
    <row r="34" spans="1:23" x14ac:dyDescent="0.2">
      <c r="B34" s="1246" t="s">
        <v>705</v>
      </c>
      <c r="C34" s="1247"/>
      <c r="D34" s="1247"/>
      <c r="E34" s="1248">
        <f ca="1">E31-E32+E33</f>
        <v>40862.932950868759</v>
      </c>
      <c r="F34" s="1203"/>
      <c r="G34" s="1221"/>
      <c r="H34" s="1204"/>
      <c r="I34" s="1204"/>
      <c r="J34" s="1203"/>
      <c r="K34" s="1203"/>
      <c r="L34" s="1203"/>
      <c r="M34" s="1203"/>
      <c r="N34" s="1203"/>
      <c r="O34" s="1203"/>
      <c r="P34" s="1204"/>
      <c r="Q34" s="1204"/>
      <c r="R34" s="1204"/>
      <c r="S34" s="1261"/>
      <c r="T34" s="1268"/>
      <c r="U34" s="1269"/>
      <c r="V34" s="1270"/>
      <c r="W34" s="1271"/>
    </row>
    <row r="35" spans="1:23" x14ac:dyDescent="0.2">
      <c r="A35" s="2006"/>
      <c r="B35" s="1235" t="s">
        <v>798</v>
      </c>
      <c r="C35" s="1236"/>
      <c r="D35" s="1236"/>
      <c r="E35" s="2008">
        <f>Model!$EU$278</f>
        <v>856.86291348046871</v>
      </c>
      <c r="F35" s="1203"/>
      <c r="G35" s="1221"/>
      <c r="H35" s="1204"/>
      <c r="I35" s="1204"/>
      <c r="J35" s="1237" t="s">
        <v>706</v>
      </c>
      <c r="K35" s="1238"/>
      <c r="L35" s="1238"/>
      <c r="M35" s="1238"/>
      <c r="N35" s="1238"/>
      <c r="O35" s="1239"/>
      <c r="P35" s="1204"/>
      <c r="Q35" s="1204"/>
      <c r="R35" s="1204"/>
      <c r="S35" s="1261"/>
      <c r="T35" s="1268"/>
      <c r="U35" s="1269"/>
      <c r="V35" s="1270"/>
      <c r="W35" s="1271"/>
    </row>
    <row r="36" spans="1:23" x14ac:dyDescent="0.2">
      <c r="B36" s="1246" t="s">
        <v>707</v>
      </c>
      <c r="C36" s="1247"/>
      <c r="D36" s="1247"/>
      <c r="E36" s="2009">
        <f ca="1">ROUND((E34/E35)*(1+E45)^(1/4),0)</f>
        <v>49</v>
      </c>
      <c r="F36" s="2051"/>
      <c r="G36" s="1221"/>
      <c r="H36" s="2016"/>
      <c r="I36" s="1204"/>
      <c r="J36" s="1242">
        <f ca="1">fair_value</f>
        <v>49</v>
      </c>
      <c r="K36" s="1243">
        <f>+K30</f>
        <v>5.4119999999999994E-2</v>
      </c>
      <c r="L36" s="1243">
        <f>+L30</f>
        <v>6.4119999999999996E-2</v>
      </c>
      <c r="M36" s="1272">
        <f>+M30</f>
        <v>7.4119999999999991E-2</v>
      </c>
      <c r="N36" s="1243">
        <f>+N30</f>
        <v>8.4119999999999986E-2</v>
      </c>
      <c r="O36" s="1245">
        <f>+O30</f>
        <v>9.4119999999999981E-2</v>
      </c>
      <c r="P36" s="1204"/>
      <c r="Q36" s="1204"/>
      <c r="R36" s="1204"/>
      <c r="S36" s="1263"/>
      <c r="T36" s="1263"/>
      <c r="U36" s="1263"/>
      <c r="V36" s="1263"/>
      <c r="W36" s="1263"/>
    </row>
    <row r="37" spans="1:23" x14ac:dyDescent="0.2">
      <c r="B37" s="1273" t="s">
        <v>708</v>
      </c>
      <c r="C37" s="1274"/>
      <c r="D37" s="1274"/>
      <c r="E37" s="2010">
        <f>ROUND(((Y16*(1+E51))/(E50-E51))/Y12,0)</f>
        <v>9</v>
      </c>
      <c r="F37" s="1203"/>
      <c r="G37" s="1221"/>
      <c r="H37" s="1204"/>
      <c r="I37" s="1204"/>
      <c r="J37" s="1249">
        <f>+J31</f>
        <v>9.9999999999999985E-3</v>
      </c>
      <c r="K37" s="1250">
        <f t="shared" ref="K37:O39" ca="1" si="61">K31/$E$35</f>
        <v>69.180414538523124</v>
      </c>
      <c r="L37" s="1251">
        <f t="shared" ca="1" si="61"/>
        <v>54.519539527962884</v>
      </c>
      <c r="M37" s="1252">
        <f t="shared" ca="1" si="61"/>
        <v>44.777320666366442</v>
      </c>
      <c r="N37" s="1251">
        <f t="shared" ca="1" si="61"/>
        <v>37.931178256924092</v>
      </c>
      <c r="O37" s="1253">
        <f t="shared" ca="1" si="61"/>
        <v>32.9234826107079</v>
      </c>
      <c r="P37" s="1204"/>
      <c r="Q37" s="1204"/>
      <c r="R37" s="1204"/>
      <c r="S37" s="1263"/>
      <c r="T37" s="1198"/>
      <c r="U37" s="1198"/>
      <c r="V37" s="1275"/>
      <c r="W37" s="1263"/>
    </row>
    <row r="38" spans="1:23" x14ac:dyDescent="0.2">
      <c r="B38" s="1203"/>
      <c r="C38" s="1203"/>
      <c r="D38" s="1203"/>
      <c r="E38" s="1203"/>
      <c r="F38" s="1203"/>
      <c r="G38" s="1221"/>
      <c r="H38" s="1204"/>
      <c r="I38" s="1204"/>
      <c r="J38" s="1276">
        <f>+J32</f>
        <v>1.4999999999999999E-2</v>
      </c>
      <c r="K38" s="1257">
        <f t="shared" ca="1" si="61"/>
        <v>76.753998442651891</v>
      </c>
      <c r="L38" s="1258">
        <f t="shared" ca="1" si="61"/>
        <v>59.036171174188986</v>
      </c>
      <c r="M38" s="1259">
        <f t="shared" ca="1" si="61"/>
        <v>47.688997047250773</v>
      </c>
      <c r="N38" s="1258">
        <f t="shared" ca="1" si="61"/>
        <v>39.913211449759267</v>
      </c>
      <c r="O38" s="1260">
        <f t="shared" ca="1" si="61"/>
        <v>34.328158465544405</v>
      </c>
      <c r="P38" s="1204"/>
      <c r="Q38" s="1204"/>
      <c r="R38" s="1204"/>
      <c r="S38" s="1263"/>
      <c r="T38" s="1268"/>
      <c r="U38" s="1269"/>
      <c r="V38" s="1277"/>
      <c r="W38" s="1263"/>
    </row>
    <row r="39" spans="1:23" x14ac:dyDescent="0.2">
      <c r="B39" s="1221"/>
      <c r="C39" s="1221"/>
      <c r="D39" s="1221"/>
      <c r="E39" s="1221"/>
      <c r="F39" s="1203"/>
      <c r="G39" s="1221"/>
      <c r="H39" s="1204"/>
      <c r="I39" s="1204"/>
      <c r="J39" s="1264">
        <f>+J33</f>
        <v>0.02</v>
      </c>
      <c r="K39" s="1265">
        <f t="shared" ca="1" si="61"/>
        <v>86.547272822785601</v>
      </c>
      <c r="L39" s="1266">
        <f t="shared" ca="1" si="61"/>
        <v>64.576518062080126</v>
      </c>
      <c r="M39" s="1267">
        <f t="shared" ca="1" si="61"/>
        <v>51.13867719400433</v>
      </c>
      <c r="N39" s="1266">
        <f t="shared" ca="1" si="61"/>
        <v>42.204357741913718</v>
      </c>
      <c r="O39" s="1241">
        <f t="shared" ca="1" si="61"/>
        <v>35.922348062263858</v>
      </c>
      <c r="P39" s="1204"/>
      <c r="Q39" s="1204"/>
      <c r="R39" s="1204"/>
      <c r="S39" s="1263"/>
      <c r="T39" s="1268"/>
      <c r="U39" s="1269"/>
      <c r="V39" s="1277"/>
      <c r="W39" s="1263"/>
    </row>
    <row r="40" spans="1:23" x14ac:dyDescent="0.2">
      <c r="B40" s="1230" t="s">
        <v>709</v>
      </c>
      <c r="C40" s="1278"/>
      <c r="D40" s="1278"/>
      <c r="E40" s="1279"/>
      <c r="F40" s="1203"/>
      <c r="G40" s="1221"/>
      <c r="H40" s="1203"/>
      <c r="I40" s="1203"/>
      <c r="J40" s="1203"/>
      <c r="K40" s="1203"/>
      <c r="L40" s="1203"/>
      <c r="M40" s="1203"/>
      <c r="N40" s="1204"/>
      <c r="O40" s="1204"/>
      <c r="P40" s="1204"/>
      <c r="Q40" s="1204"/>
      <c r="R40" s="1204"/>
      <c r="S40" s="1263"/>
      <c r="T40" s="1268"/>
      <c r="U40" s="1269"/>
      <c r="V40" s="1277"/>
      <c r="W40" s="1263"/>
    </row>
    <row r="41" spans="1:23" x14ac:dyDescent="0.2">
      <c r="B41" s="1280" t="s">
        <v>710</v>
      </c>
      <c r="C41" s="1281"/>
      <c r="D41" s="1281"/>
      <c r="E41" s="1282" t="s">
        <v>711</v>
      </c>
      <c r="F41" s="1203"/>
      <c r="G41" s="1221"/>
      <c r="H41" s="1203"/>
      <c r="I41" s="1203"/>
      <c r="J41" s="1203"/>
      <c r="K41" s="1203"/>
      <c r="L41" s="1203"/>
      <c r="M41" s="1203"/>
      <c r="N41" s="1204"/>
      <c r="O41" s="1204"/>
      <c r="P41" s="1204"/>
      <c r="Q41" s="1204"/>
      <c r="R41" s="1204"/>
      <c r="S41" s="1263"/>
      <c r="T41" s="1268"/>
      <c r="U41" s="1268"/>
      <c r="V41" s="1268"/>
      <c r="W41" s="1263"/>
    </row>
    <row r="42" spans="1:23" x14ac:dyDescent="0.2">
      <c r="B42" s="1235" t="s">
        <v>712</v>
      </c>
      <c r="C42" s="1236"/>
      <c r="D42" s="1236"/>
      <c r="E42" s="1283">
        <v>0.03</v>
      </c>
      <c r="F42" s="1203"/>
      <c r="G42" s="1221"/>
      <c r="H42" s="1203"/>
      <c r="I42" s="1203"/>
      <c r="J42" s="1203"/>
      <c r="K42" s="1203"/>
      <c r="L42" s="1203"/>
      <c r="M42" s="1203"/>
      <c r="N42" s="1204"/>
      <c r="O42" s="1204"/>
      <c r="P42" s="1204"/>
      <c r="Q42" s="1204"/>
      <c r="R42" s="1204"/>
      <c r="S42" s="1263"/>
      <c r="T42" s="1268"/>
      <c r="U42" s="1268"/>
      <c r="V42" s="1268"/>
      <c r="W42" s="1263"/>
    </row>
    <row r="43" spans="1:23" x14ac:dyDescent="0.2">
      <c r="B43" s="1235" t="s">
        <v>713</v>
      </c>
      <c r="C43" s="1236"/>
      <c r="D43" s="1236"/>
      <c r="E43" s="1650">
        <v>1.21</v>
      </c>
      <c r="F43" s="1203"/>
      <c r="G43" s="1221"/>
      <c r="H43" s="1203"/>
      <c r="I43" s="1203"/>
      <c r="J43" s="1203"/>
      <c r="K43" s="1203"/>
      <c r="L43" s="1203"/>
      <c r="M43" s="1203"/>
      <c r="N43" s="1204"/>
      <c r="O43" s="1204"/>
      <c r="P43" s="1204"/>
      <c r="Q43" s="1204"/>
      <c r="R43" s="1204"/>
      <c r="S43" s="1263"/>
      <c r="T43" s="1268"/>
      <c r="U43" s="1268"/>
      <c r="V43" s="1268"/>
      <c r="W43" s="1263"/>
    </row>
    <row r="44" spans="1:23" x14ac:dyDescent="0.2">
      <c r="B44" s="1235" t="s">
        <v>714</v>
      </c>
      <c r="C44" s="1236"/>
      <c r="D44" s="1236"/>
      <c r="E44" s="1283">
        <v>0.05</v>
      </c>
      <c r="F44" s="1203"/>
      <c r="G44" s="1221"/>
      <c r="H44" s="1203"/>
      <c r="I44" s="1203"/>
      <c r="J44" s="1203"/>
      <c r="K44" s="1203"/>
      <c r="L44" s="1203"/>
      <c r="M44" s="1203"/>
      <c r="N44" s="1204"/>
      <c r="O44" s="1204"/>
      <c r="P44" s="1204"/>
      <c r="Q44" s="1204"/>
      <c r="R44" s="1204"/>
      <c r="S44" s="1263"/>
      <c r="T44" s="1268"/>
      <c r="U44" s="1268"/>
      <c r="V44" s="1268"/>
      <c r="W44" s="1263"/>
    </row>
    <row r="45" spans="1:23" x14ac:dyDescent="0.2">
      <c r="B45" s="1235" t="s">
        <v>715</v>
      </c>
      <c r="C45" s="1236"/>
      <c r="D45" s="1236"/>
      <c r="E45" s="1284">
        <f>+E42+E44*E43</f>
        <v>9.0499999999999997E-2</v>
      </c>
      <c r="F45" s="1203"/>
      <c r="G45" s="1221"/>
      <c r="H45" s="1203"/>
      <c r="I45" s="1203"/>
      <c r="J45" s="1203"/>
      <c r="K45" s="1203"/>
      <c r="L45" s="1203"/>
      <c r="M45" s="1203"/>
      <c r="N45" s="1204"/>
      <c r="O45" s="1204"/>
      <c r="P45" s="1204"/>
      <c r="Q45" s="1204"/>
      <c r="R45" s="1204"/>
      <c r="S45" s="1263"/>
      <c r="T45" s="1198"/>
      <c r="U45" s="1198"/>
      <c r="V45" s="1285"/>
      <c r="W45" s="1263"/>
    </row>
    <row r="46" spans="1:23" x14ac:dyDescent="0.2">
      <c r="B46" s="1235" t="s">
        <v>716</v>
      </c>
      <c r="C46" s="1236"/>
      <c r="D46" s="1236"/>
      <c r="E46" s="1286">
        <v>0.06</v>
      </c>
      <c r="F46" s="1203"/>
      <c r="G46" s="1221"/>
      <c r="H46" s="1203"/>
      <c r="I46" s="1203"/>
      <c r="J46" s="1203"/>
      <c r="K46" s="1203"/>
      <c r="L46" s="1203"/>
      <c r="M46" s="1203"/>
      <c r="N46" s="1204"/>
      <c r="O46" s="1204"/>
      <c r="P46" s="1204"/>
      <c r="Q46" s="1204"/>
      <c r="R46" s="1204"/>
      <c r="S46" s="1263"/>
      <c r="T46" s="1268"/>
      <c r="U46" s="1269"/>
      <c r="V46" s="1287"/>
      <c r="W46" s="1263"/>
    </row>
    <row r="47" spans="1:23" x14ac:dyDescent="0.2">
      <c r="B47" s="1235" t="s">
        <v>732</v>
      </c>
      <c r="C47" s="1236"/>
      <c r="D47" s="1236"/>
      <c r="E47" s="1286">
        <v>0.18</v>
      </c>
      <c r="F47" s="1203" t="s">
        <v>811</v>
      </c>
      <c r="G47" s="1221"/>
      <c r="H47" s="1203"/>
      <c r="I47" s="1203"/>
      <c r="J47" s="1203"/>
      <c r="K47" s="1203"/>
      <c r="L47" s="1203"/>
      <c r="M47" s="1203"/>
      <c r="N47" s="1204"/>
      <c r="O47" s="1204"/>
      <c r="P47" s="1204"/>
      <c r="Q47" s="1204"/>
      <c r="R47" s="1204"/>
      <c r="S47" s="1263"/>
      <c r="T47" s="1268"/>
      <c r="U47" s="1269"/>
      <c r="V47" s="1287"/>
      <c r="W47" s="1263"/>
    </row>
    <row r="48" spans="1:23" x14ac:dyDescent="0.2">
      <c r="B48" s="1235" t="s">
        <v>733</v>
      </c>
      <c r="C48" s="1236"/>
      <c r="D48" s="1236"/>
      <c r="E48" s="1286">
        <v>0.25</v>
      </c>
      <c r="F48" s="1203"/>
      <c r="G48" s="1221"/>
      <c r="H48" s="1203"/>
      <c r="I48" s="1203"/>
      <c r="J48" s="1203"/>
      <c r="K48" s="1203"/>
      <c r="L48" s="1203"/>
      <c r="M48" s="1203"/>
      <c r="N48" s="1204"/>
      <c r="O48" s="1204"/>
      <c r="P48" s="1204"/>
      <c r="Q48" s="1204"/>
      <c r="R48" s="1204"/>
      <c r="S48" s="1263"/>
      <c r="T48" s="1268"/>
      <c r="U48" s="1269"/>
      <c r="V48" s="1287"/>
      <c r="W48" s="1263"/>
    </row>
    <row r="49" spans="2:23" x14ac:dyDescent="0.2">
      <c r="B49" s="1235" t="s">
        <v>717</v>
      </c>
      <c r="C49" s="1236"/>
      <c r="D49" s="1236"/>
      <c r="E49" s="1283">
        <v>0.36</v>
      </c>
      <c r="F49" s="1203"/>
      <c r="G49" s="1221"/>
      <c r="H49" s="1203"/>
      <c r="I49" s="1203"/>
      <c r="J49" s="1203"/>
      <c r="K49" s="1203"/>
      <c r="L49" s="1203"/>
      <c r="M49" s="1203"/>
      <c r="N49" s="1204"/>
      <c r="O49" s="1204"/>
      <c r="P49" s="1204"/>
      <c r="Q49" s="1204"/>
      <c r="R49" s="1204"/>
      <c r="S49" s="1263"/>
      <c r="T49" s="1268"/>
      <c r="U49" s="1269"/>
      <c r="V49" s="1287"/>
      <c r="W49" s="1263"/>
    </row>
    <row r="50" spans="2:23" x14ac:dyDescent="0.2">
      <c r="B50" s="1230" t="s">
        <v>718</v>
      </c>
      <c r="C50" s="1278"/>
      <c r="D50" s="1278"/>
      <c r="E50" s="1288">
        <f>+(E45*(1-E49))+((1-E48)*E46*E49)</f>
        <v>7.4119999999999991E-2</v>
      </c>
      <c r="F50" s="1203"/>
      <c r="G50" s="1221"/>
      <c r="H50" s="1203"/>
      <c r="I50" s="1203"/>
      <c r="J50" s="1203"/>
      <c r="K50" s="1203"/>
      <c r="L50" s="1203"/>
      <c r="M50" s="1203"/>
      <c r="N50" s="1204"/>
      <c r="O50" s="1204"/>
      <c r="P50" s="1204"/>
      <c r="Q50" s="1204"/>
      <c r="R50" s="1204"/>
      <c r="S50" s="1263"/>
      <c r="T50" s="1268"/>
      <c r="U50" s="1268"/>
      <c r="V50" s="1268"/>
      <c r="W50" s="1263"/>
    </row>
    <row r="51" spans="2:23" x14ac:dyDescent="0.2">
      <c r="B51" s="1273" t="s">
        <v>719</v>
      </c>
      <c r="C51" s="1274"/>
      <c r="D51" s="1274"/>
      <c r="E51" s="1289">
        <f>+R27</f>
        <v>1.4999999999999999E-2</v>
      </c>
      <c r="F51" s="1203"/>
      <c r="G51" s="1221"/>
      <c r="H51" s="1203"/>
      <c r="I51" s="1203"/>
      <c r="J51" s="1203"/>
      <c r="K51" s="1203"/>
      <c r="L51" s="1203"/>
      <c r="M51" s="1203"/>
      <c r="N51" s="1204"/>
      <c r="O51" s="1204"/>
      <c r="P51" s="1204"/>
      <c r="Q51" s="1204"/>
      <c r="R51" s="1204"/>
      <c r="S51" s="1263"/>
      <c r="T51" s="1198"/>
      <c r="U51" s="1198"/>
      <c r="V51" s="1290"/>
      <c r="W51" s="1263"/>
    </row>
    <row r="52" spans="2:23" x14ac:dyDescent="0.2">
      <c r="B52" s="1196"/>
      <c r="C52" s="1196"/>
      <c r="D52" s="1196"/>
      <c r="E52" s="1196"/>
      <c r="F52" s="1196"/>
      <c r="G52" s="1196"/>
      <c r="H52" s="1196"/>
      <c r="I52" s="1196"/>
      <c r="J52" s="1196"/>
      <c r="K52" s="1196"/>
      <c r="L52" s="1196"/>
      <c r="M52" s="1196"/>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P1104"/>
  <sheetViews>
    <sheetView topLeftCell="D1" zoomScaleNormal="100" workbookViewId="0">
      <pane ySplit="3" topLeftCell="A944" activePane="bottomLeft" state="frozen"/>
      <selection activeCell="D54" sqref="D54"/>
      <selection pane="bottomLeft" activeCell="F959" sqref="F959"/>
    </sheetView>
  </sheetViews>
  <sheetFormatPr defaultRowHeight="12.75" outlineLevelRow="1" outlineLevelCol="1" x14ac:dyDescent="0.2"/>
  <cols>
    <col min="1" max="2" width="9.140625" hidden="1" customWidth="1" outlineLevel="1"/>
    <col min="3" max="3" width="9.7109375" hidden="1" customWidth="1" outlineLevel="1"/>
    <col min="4" max="4" width="7" bestFit="1" customWidth="1" collapsed="1"/>
    <col min="5" max="5" width="7" customWidth="1"/>
    <col min="6" max="6" width="14.7109375" customWidth="1"/>
    <col min="8" max="8" width="9.140625" outlineLevel="1"/>
    <col min="13" max="13" width="25.7109375" customWidth="1"/>
    <col min="14" max="19" width="0" hidden="1" customWidth="1" outlineLevel="1"/>
    <col min="20" max="20" width="9.140625" collapsed="1"/>
    <col min="21" max="24" width="0" hidden="1" customWidth="1" outlineLevel="1"/>
    <col min="25" max="25" width="9.140625" collapsed="1"/>
    <col min="26" max="29" width="0" hidden="1" customWidth="1" outlineLevel="1"/>
    <col min="30" max="30" width="9.140625" collapsed="1"/>
    <col min="31" max="34" width="9.140625" hidden="1" customWidth="1" outlineLevel="1"/>
    <col min="35" max="35" width="9.140625" collapsed="1"/>
    <col min="36" max="39" width="0" hidden="1" customWidth="1" outlineLevel="1"/>
    <col min="40" max="40" width="9.140625" collapsed="1"/>
    <col min="41" max="44" width="0" hidden="1" customWidth="1" outlineLevel="1"/>
    <col min="45" max="45" width="9.140625" collapsed="1"/>
    <col min="46" max="49" width="9.140625" outlineLevel="1"/>
    <col min="50" max="50" width="0" hidden="1" customWidth="1"/>
    <col min="51" max="54" width="9.140625" outlineLevel="1"/>
    <col min="55" max="55" width="0" hidden="1" customWidth="1"/>
    <col min="56" max="59" width="9.140625" outlineLevel="1"/>
    <col min="60" max="60" width="0" hidden="1" customWidth="1"/>
    <col min="61" max="64" width="9.140625" outlineLevel="1"/>
    <col min="65" max="65" width="0" hidden="1" customWidth="1"/>
    <col min="66" max="69" width="9.140625" outlineLevel="1"/>
    <col min="70" max="70" width="0" hidden="1" customWidth="1"/>
    <col min="71" max="74" width="9.140625" outlineLevel="1"/>
    <col min="75" max="75" width="0" hidden="1" customWidth="1"/>
    <col min="76" max="79" width="9.140625" outlineLevel="1"/>
    <col min="80" max="80" width="0" hidden="1" customWidth="1"/>
    <col min="81" max="84" width="9.140625" outlineLevel="1"/>
    <col min="86" max="89" width="9.140625" outlineLevel="1"/>
    <col min="91" max="94" width="9.140625" customWidth="1" outlineLevel="1"/>
    <col min="96" max="99" width="9.140625" customWidth="1" outlineLevel="1"/>
    <col min="101" max="104" width="9.140625" customWidth="1" outlineLevel="1"/>
    <col min="106" max="109" width="9.140625" customWidth="1" outlineLevel="1"/>
    <col min="111" max="114" width="9.140625" customWidth="1" outlineLevel="1"/>
    <col min="116" max="119" width="9.140625" customWidth="1" outlineLevel="1"/>
  </cols>
  <sheetData>
    <row r="1" spans="1:120" x14ac:dyDescent="0.2">
      <c r="A1" s="504"/>
      <c r="B1" s="504"/>
      <c r="C1" s="504"/>
      <c r="D1" s="505"/>
      <c r="E1" s="505"/>
      <c r="F1" s="506"/>
      <c r="G1" s="505"/>
      <c r="H1" s="505"/>
      <c r="I1" s="505"/>
      <c r="J1" s="505"/>
      <c r="K1" s="505"/>
      <c r="L1" s="507"/>
      <c r="M1" s="508" t="s">
        <v>26</v>
      </c>
      <c r="N1" s="505"/>
      <c r="O1" s="505"/>
      <c r="P1" s="509" t="str">
        <f>"1Q" &amp; MID(T2,3,2)</f>
        <v>1Q00</v>
      </c>
      <c r="Q1" s="509" t="str">
        <f>"2Q" &amp; MID(T2,3,2)</f>
        <v>2Q00</v>
      </c>
      <c r="R1" s="509" t="str">
        <f>"3Q" &amp; MID(T2,3,2)</f>
        <v>3Q00</v>
      </c>
      <c r="S1" s="509" t="str">
        <f>"4Q" &amp; MID(T2,3,2)</f>
        <v>4Q00</v>
      </c>
      <c r="T1" s="510" t="str">
        <f>LEFT(T2,4)</f>
        <v>2000</v>
      </c>
      <c r="U1" s="509" t="str">
        <f>"1Q" &amp; MID(Y2,3,2)</f>
        <v>1Q01</v>
      </c>
      <c r="V1" s="509" t="str">
        <f>"2Q" &amp; MID(Y2,3,2)</f>
        <v>2Q01</v>
      </c>
      <c r="W1" s="509" t="str">
        <f>"3Q" &amp; MID(Y2,3,2)</f>
        <v>3Q01</v>
      </c>
      <c r="X1" s="509" t="str">
        <f>"4Q" &amp; MID(Y2,3,2)</f>
        <v>4Q01</v>
      </c>
      <c r="Y1" s="510" t="str">
        <f>LEFT(Y2,4)</f>
        <v>2001</v>
      </c>
      <c r="Z1" s="509" t="str">
        <f>"1Q" &amp; MID(AD2,3,2)</f>
        <v>1Q02</v>
      </c>
      <c r="AA1" s="509" t="str">
        <f>"2Q" &amp; MID(AD2,3,2)</f>
        <v>2Q02</v>
      </c>
      <c r="AB1" s="509" t="str">
        <f>"3Q" &amp; MID(AD2,3,2)</f>
        <v>3Q02</v>
      </c>
      <c r="AC1" s="509" t="str">
        <f>"4Q" &amp; MID(AD2,3,2)</f>
        <v>4Q02</v>
      </c>
      <c r="AD1" s="510" t="str">
        <f>LEFT(AD2,4)</f>
        <v>2002</v>
      </c>
      <c r="AE1" s="509" t="str">
        <f>"1Q" &amp; MID(AI2,3,2)</f>
        <v>1Q03</v>
      </c>
      <c r="AF1" s="509" t="str">
        <f>"2Q" &amp; MID(AI2,3,2)</f>
        <v>2Q03</v>
      </c>
      <c r="AG1" s="509" t="str">
        <f>"3Q" &amp; MID(AI2,3,2)</f>
        <v>3Q03</v>
      </c>
      <c r="AH1" s="509" t="str">
        <f>"4Q" &amp; MID(AI2,3,2)</f>
        <v>4Q03</v>
      </c>
      <c r="AI1" s="510" t="str">
        <f>LEFT(AI2,4)</f>
        <v>2003</v>
      </c>
      <c r="AJ1" s="509" t="str">
        <f>"1Q" &amp; MID(AN2,3,2)</f>
        <v>1Q04</v>
      </c>
      <c r="AK1" s="509" t="str">
        <f>"2Q" &amp; MID(AN2,3,2)</f>
        <v>2Q04</v>
      </c>
      <c r="AL1" s="509" t="str">
        <f>"3Q" &amp; MID(AN2,3,2)</f>
        <v>3Q04</v>
      </c>
      <c r="AM1" s="509" t="str">
        <f>"4Q" &amp; MID(AN2,3,2)</f>
        <v>4Q04</v>
      </c>
      <c r="AN1" s="510" t="str">
        <f>LEFT(AN2,4)</f>
        <v>2004</v>
      </c>
      <c r="AO1" s="509" t="str">
        <f>"1Q" &amp; MID(AS2,3,2)</f>
        <v>1Q05</v>
      </c>
      <c r="AP1" s="509" t="str">
        <f>"2Q" &amp; MID(AS2,3,2)</f>
        <v>2Q05</v>
      </c>
      <c r="AQ1" s="509" t="str">
        <f>"3Q" &amp; MID(AS2,3,2)</f>
        <v>3Q05</v>
      </c>
      <c r="AR1" s="509" t="str">
        <f>"4Q" &amp; MID(AS2,3,2)</f>
        <v>4Q05</v>
      </c>
      <c r="AS1" s="510" t="str">
        <f>LEFT(AS2,4)</f>
        <v>2005</v>
      </c>
      <c r="AT1" s="509" t="str">
        <f>"1Q" &amp; MID(AX2,3,2)</f>
        <v>1Q06</v>
      </c>
      <c r="AU1" s="509" t="str">
        <f>"2Q" &amp; MID(AX2,3,2)</f>
        <v>2Q06</v>
      </c>
      <c r="AV1" s="509" t="str">
        <f>"3Q" &amp; MID(AX2,3,2)</f>
        <v>3Q06</v>
      </c>
      <c r="AW1" s="509" t="str">
        <f>"4Q" &amp; MID(AX2,3,2)</f>
        <v>4Q06</v>
      </c>
      <c r="AX1" s="510" t="str">
        <f>LEFT(AX2,4)</f>
        <v>2006</v>
      </c>
      <c r="AY1" s="509" t="str">
        <f>"1Q" &amp; MID(BC2,3,2)</f>
        <v>1Q07</v>
      </c>
      <c r="AZ1" s="509" t="str">
        <f>"2Q" &amp; MID(BC2,3,2)</f>
        <v>2Q07</v>
      </c>
      <c r="BA1" s="509" t="str">
        <f>"3Q" &amp; MID(BC2,3,2)</f>
        <v>3Q07</v>
      </c>
      <c r="BB1" s="509" t="str">
        <f>"4Q" &amp; MID(BC2,3,2)</f>
        <v>4Q07</v>
      </c>
      <c r="BC1" s="510" t="str">
        <f>LEFT(BC2,4)</f>
        <v>2007</v>
      </c>
      <c r="BD1" s="509" t="str">
        <f>"1Q" &amp; MID(BH2,3,2)</f>
        <v>1Q08</v>
      </c>
      <c r="BE1" s="509" t="str">
        <f>"2Q" &amp; MID(BH2,3,2)</f>
        <v>2Q08</v>
      </c>
      <c r="BF1" s="509" t="str">
        <f>"3Q" &amp; MID(BH2,3,2)</f>
        <v>3Q08</v>
      </c>
      <c r="BG1" s="509" t="str">
        <f>"4Q" &amp; MID(BH2,3,2)</f>
        <v>4Q08</v>
      </c>
      <c r="BH1" s="510" t="str">
        <f>LEFT(BH2,4)</f>
        <v>2008</v>
      </c>
      <c r="BI1" s="509" t="str">
        <f>"1Q" &amp; MID(BM2,3,2)</f>
        <v>1Q09</v>
      </c>
      <c r="BJ1" s="509" t="str">
        <f>"2Q" &amp; MID(BM2,3,2)</f>
        <v>2Q09</v>
      </c>
      <c r="BK1" s="509" t="str">
        <f>"3Q" &amp; MID(BM2,3,2)</f>
        <v>3Q09</v>
      </c>
      <c r="BL1" s="509" t="str">
        <f>"4Q" &amp; MID(BM2,3,2)</f>
        <v>4Q09</v>
      </c>
      <c r="BM1" s="510" t="str">
        <f>LEFT(BM2,4)</f>
        <v>2009</v>
      </c>
      <c r="BN1" s="509" t="str">
        <f>"1Q" &amp; MID(BR2,3,2)</f>
        <v>1Q10</v>
      </c>
      <c r="BO1" s="509" t="str">
        <f>"2Q" &amp; MID(BR2,3,2)</f>
        <v>2Q10</v>
      </c>
      <c r="BP1" s="509" t="str">
        <f>"3Q" &amp; MID(BR2,3,2)</f>
        <v>3Q10</v>
      </c>
      <c r="BQ1" s="509" t="str">
        <f>"4Q" &amp; MID(BR2,3,2)</f>
        <v>4Q10</v>
      </c>
      <c r="BR1" s="510" t="str">
        <f>LEFT(BR2,4)</f>
        <v>2010</v>
      </c>
      <c r="BS1" s="509" t="str">
        <f>"1Q" &amp; MID(BW2,3,2)</f>
        <v>1Q11</v>
      </c>
      <c r="BT1" s="509" t="str">
        <f>"2Q" &amp; MID(BW2,3,2)</f>
        <v>2Q11</v>
      </c>
      <c r="BU1" s="509" t="str">
        <f>"3Q" &amp; MID(BW2,3,2)</f>
        <v>3Q11</v>
      </c>
      <c r="BV1" s="509" t="str">
        <f>"4Q" &amp; MID(BW2,3,2)</f>
        <v>4Q11</v>
      </c>
      <c r="BW1" s="510" t="str">
        <f>LEFT(BW2,4)</f>
        <v>2011</v>
      </c>
      <c r="BX1" s="509" t="str">
        <f>"1Q" &amp; MID(CB2,3,2)</f>
        <v>1Q12</v>
      </c>
      <c r="BY1" s="509" t="str">
        <f>"2Q" &amp; MID(CB2,3,2)</f>
        <v>2Q12</v>
      </c>
      <c r="BZ1" s="509" t="str">
        <f>"3Q" &amp; MID(CB2,3,2)</f>
        <v>3Q12</v>
      </c>
      <c r="CA1" s="509" t="str">
        <f>"4Q" &amp; MID(CB2,3,2)</f>
        <v>4Q12</v>
      </c>
      <c r="CB1" s="510" t="str">
        <f>LEFT(CB2,4)</f>
        <v>2012</v>
      </c>
      <c r="CC1" s="509" t="str">
        <f>"1Q" &amp; MID(CG2,3,2)</f>
        <v>1Q13</v>
      </c>
      <c r="CD1" s="509" t="str">
        <f>"2Q" &amp; MID(CG2,3,2)</f>
        <v>2Q13</v>
      </c>
      <c r="CE1" s="509" t="str">
        <f>"3Q" &amp; MID(CG2,3,2)</f>
        <v>3Q13</v>
      </c>
      <c r="CF1" s="509" t="str">
        <f>"4Q" &amp; MID(CG2,3,2)</f>
        <v>4Q13</v>
      </c>
      <c r="CG1" s="510" t="str">
        <f>LEFT(CG2,4)</f>
        <v>2013</v>
      </c>
      <c r="CH1" s="509" t="str">
        <f>"1Q" &amp; MID(CL2,3,2)</f>
        <v>1Q14</v>
      </c>
      <c r="CI1" s="509" t="str">
        <f>"2Q" &amp; MID(CL2,3,2)</f>
        <v>2Q14</v>
      </c>
      <c r="CJ1" s="509" t="str">
        <f>"3Q" &amp; MID(CL2,3,2)</f>
        <v>3Q14</v>
      </c>
      <c r="CK1" s="509" t="str">
        <f>"4Q" &amp; MID(CL2,3,2)</f>
        <v>4Q14</v>
      </c>
      <c r="CL1" s="510" t="str">
        <f>LEFT(CL2,4)</f>
        <v>2014</v>
      </c>
      <c r="CM1" s="509" t="str">
        <f>"1Q" &amp; MID(CQ2,3,2)</f>
        <v>1Q15</v>
      </c>
      <c r="CN1" s="509" t="str">
        <f>"2Q" &amp; MID(CQ2,3,2)</f>
        <v>2Q15</v>
      </c>
      <c r="CO1" s="509" t="str">
        <f>"3Q" &amp; MID(CQ2,3,2)</f>
        <v>3Q15</v>
      </c>
      <c r="CP1" s="509" t="str">
        <f>"4Q" &amp; MID(CQ2,3,2)</f>
        <v>4Q15</v>
      </c>
      <c r="CQ1" s="510" t="str">
        <f>LEFT(CQ2,4)</f>
        <v>2015</v>
      </c>
      <c r="CR1" s="509" t="str">
        <f>"1Q" &amp; MID(CV2,3,2)</f>
        <v>1Q16</v>
      </c>
      <c r="CS1" s="509" t="str">
        <f>"2Q" &amp; MID(CV2,3,2)</f>
        <v>2Q16</v>
      </c>
      <c r="CT1" s="509" t="str">
        <f>"3Q" &amp; MID(CV2,3,2)</f>
        <v>3Q16</v>
      </c>
      <c r="CU1" s="509" t="str">
        <f>"4Q" &amp; MID(CV2,3,2)</f>
        <v>4Q16</v>
      </c>
      <c r="CV1" s="510" t="str">
        <f>LEFT(CV2,4)</f>
        <v>2016</v>
      </c>
      <c r="CW1" s="509" t="str">
        <f>"1Q" &amp; MID(DA2,3,2)</f>
        <v>1Q17</v>
      </c>
      <c r="CX1" s="509" t="str">
        <f>"2Q" &amp; MID(DA2,3,2)</f>
        <v>2Q17</v>
      </c>
      <c r="CY1" s="509" t="str">
        <f>"3Q" &amp; MID(DA2,3,2)</f>
        <v>3Q17</v>
      </c>
      <c r="CZ1" s="509" t="str">
        <f>"4Q" &amp; MID(DA2,3,2)</f>
        <v>4Q17</v>
      </c>
      <c r="DA1" s="510" t="str">
        <f>LEFT(DA2,4)</f>
        <v>2017</v>
      </c>
      <c r="DB1" s="509" t="str">
        <f>"1Q" &amp; MID(DF2,3,2)</f>
        <v>1Q18</v>
      </c>
      <c r="DC1" s="509" t="str">
        <f>"2Q" &amp; MID(DF2,3,2)</f>
        <v>2Q18</v>
      </c>
      <c r="DD1" s="509" t="str">
        <f>"3Q" &amp; MID(DF2,3,2)</f>
        <v>3Q18</v>
      </c>
      <c r="DE1" s="509" t="str">
        <f>"4Q" &amp; MID(DF2,3,2)</f>
        <v>4Q18</v>
      </c>
      <c r="DF1" s="510" t="str">
        <f>LEFT(DF2,4)</f>
        <v>2018</v>
      </c>
      <c r="DG1" s="509" t="str">
        <f>"1Q" &amp; MID(DK2,3,2)</f>
        <v>1Q19</v>
      </c>
      <c r="DH1" s="509" t="str">
        <f>"2Q" &amp; MID(DK2,3,2)</f>
        <v>2Q19</v>
      </c>
      <c r="DI1" s="509" t="str">
        <f>"3Q" &amp; MID(DK2,3,2)</f>
        <v>3Q19</v>
      </c>
      <c r="DJ1" s="509" t="str">
        <f>"4Q" &amp; MID(DK2,3,2)</f>
        <v>4Q19</v>
      </c>
      <c r="DK1" s="510" t="str">
        <f>LEFT(DK2,4)</f>
        <v>2019</v>
      </c>
      <c r="DL1" s="509" t="str">
        <f>"1Q" &amp; MID(DP2,3,2)</f>
        <v>1Q20</v>
      </c>
      <c r="DM1" s="509" t="str">
        <f>"2Q" &amp; MID(DP2,3,2)</f>
        <v>2Q20</v>
      </c>
      <c r="DN1" s="509" t="str">
        <f>"3Q" &amp; MID(DP2,3,2)</f>
        <v>3Q20</v>
      </c>
      <c r="DO1" s="509" t="str">
        <f>"4Q" &amp; MID(DP2,3,2)</f>
        <v>4Q20</v>
      </c>
      <c r="DP1" s="510" t="str">
        <f>LEFT(DP2,4)</f>
        <v>2020</v>
      </c>
    </row>
    <row r="2" spans="1:120" x14ac:dyDescent="0.2">
      <c r="A2" s="504"/>
      <c r="B2" s="504"/>
      <c r="C2" s="504"/>
      <c r="D2" s="505"/>
      <c r="E2" s="505"/>
      <c r="F2" s="506"/>
      <c r="G2" s="505"/>
      <c r="H2" s="505"/>
      <c r="I2" s="2061" t="s">
        <v>27</v>
      </c>
      <c r="J2" s="2061"/>
      <c r="K2" s="2061"/>
      <c r="L2" s="507"/>
      <c r="M2" s="505"/>
      <c r="N2" s="512"/>
      <c r="O2" s="512"/>
      <c r="P2" s="513" t="s">
        <v>120</v>
      </c>
      <c r="Q2" s="513" t="s">
        <v>121</v>
      </c>
      <c r="R2" s="513" t="s">
        <v>403</v>
      </c>
      <c r="S2" s="513" t="s">
        <v>404</v>
      </c>
      <c r="T2" s="513" t="s">
        <v>300</v>
      </c>
      <c r="U2" s="513" t="s">
        <v>120</v>
      </c>
      <c r="V2" s="513" t="s">
        <v>121</v>
      </c>
      <c r="W2" s="513" t="s">
        <v>403</v>
      </c>
      <c r="X2" s="513" t="s">
        <v>404</v>
      </c>
      <c r="Y2" s="513" t="s">
        <v>301</v>
      </c>
      <c r="Z2" s="513" t="s">
        <v>120</v>
      </c>
      <c r="AA2" s="513" t="s">
        <v>121</v>
      </c>
      <c r="AB2" s="513" t="s">
        <v>403</v>
      </c>
      <c r="AC2" s="513" t="s">
        <v>404</v>
      </c>
      <c r="AD2" s="513" t="s">
        <v>302</v>
      </c>
      <c r="AE2" s="513" t="s">
        <v>120</v>
      </c>
      <c r="AF2" s="513" t="s">
        <v>121</v>
      </c>
      <c r="AG2" s="513" t="s">
        <v>403</v>
      </c>
      <c r="AH2" s="513" t="s">
        <v>404</v>
      </c>
      <c r="AI2" s="513" t="s">
        <v>303</v>
      </c>
      <c r="AJ2" s="513" t="s">
        <v>120</v>
      </c>
      <c r="AK2" s="513" t="s">
        <v>121</v>
      </c>
      <c r="AL2" s="513" t="s">
        <v>403</v>
      </c>
      <c r="AM2" s="513" t="s">
        <v>404</v>
      </c>
      <c r="AN2" s="513" t="s">
        <v>304</v>
      </c>
      <c r="AO2" s="513" t="s">
        <v>120</v>
      </c>
      <c r="AP2" s="513" t="s">
        <v>121</v>
      </c>
      <c r="AQ2" s="513" t="s">
        <v>403</v>
      </c>
      <c r="AR2" s="513" t="s">
        <v>404</v>
      </c>
      <c r="AS2" s="513" t="s">
        <v>305</v>
      </c>
      <c r="AT2" s="513" t="s">
        <v>120</v>
      </c>
      <c r="AU2" s="513" t="s">
        <v>121</v>
      </c>
      <c r="AV2" s="513" t="s">
        <v>403</v>
      </c>
      <c r="AW2" s="513" t="s">
        <v>404</v>
      </c>
      <c r="AX2" s="513" t="s">
        <v>306</v>
      </c>
      <c r="AY2" s="513" t="s">
        <v>120</v>
      </c>
      <c r="AZ2" s="513" t="s">
        <v>121</v>
      </c>
      <c r="BA2" s="513" t="s">
        <v>403</v>
      </c>
      <c r="BB2" s="513" t="s">
        <v>404</v>
      </c>
      <c r="BC2" s="513" t="s">
        <v>307</v>
      </c>
      <c r="BD2" s="513" t="s">
        <v>120</v>
      </c>
      <c r="BE2" s="513" t="s">
        <v>121</v>
      </c>
      <c r="BF2" s="513" t="s">
        <v>403</v>
      </c>
      <c r="BG2" s="513" t="s">
        <v>404</v>
      </c>
      <c r="BH2" s="513" t="s">
        <v>271</v>
      </c>
      <c r="BI2" s="513" t="s">
        <v>120</v>
      </c>
      <c r="BJ2" s="513" t="s">
        <v>121</v>
      </c>
      <c r="BK2" s="513" t="s">
        <v>403</v>
      </c>
      <c r="BL2" s="513" t="s">
        <v>404</v>
      </c>
      <c r="BM2" s="513" t="s">
        <v>272</v>
      </c>
      <c r="BN2" s="513" t="s">
        <v>120</v>
      </c>
      <c r="BO2" s="513" t="s">
        <v>121</v>
      </c>
      <c r="BP2" s="513" t="s">
        <v>403</v>
      </c>
      <c r="BQ2" s="513" t="s">
        <v>404</v>
      </c>
      <c r="BR2" s="513" t="s">
        <v>273</v>
      </c>
      <c r="BS2" s="513" t="s">
        <v>120</v>
      </c>
      <c r="BT2" s="513" t="s">
        <v>121</v>
      </c>
      <c r="BU2" s="513" t="s">
        <v>403</v>
      </c>
      <c r="BV2" s="513" t="s">
        <v>274</v>
      </c>
      <c r="BW2" s="513" t="s">
        <v>326</v>
      </c>
      <c r="BX2" s="513" t="str">
        <f>BS2</f>
        <v>1QA</v>
      </c>
      <c r="BY2" s="513" t="str">
        <f>BT2</f>
        <v>2QA</v>
      </c>
      <c r="BZ2" s="513" t="str">
        <f>BU2</f>
        <v>3QA</v>
      </c>
      <c r="CA2" s="513" t="str">
        <f>BV2</f>
        <v>4QE</v>
      </c>
      <c r="CB2" s="513" t="s">
        <v>327</v>
      </c>
      <c r="CC2" s="513" t="str">
        <f>BX2</f>
        <v>1QA</v>
      </c>
      <c r="CD2" s="513" t="s">
        <v>121</v>
      </c>
      <c r="CE2" s="513" t="s">
        <v>403</v>
      </c>
      <c r="CF2" s="513" t="s">
        <v>404</v>
      </c>
      <c r="CG2" s="513" t="s">
        <v>532</v>
      </c>
      <c r="CH2" s="513" t="s">
        <v>120</v>
      </c>
      <c r="CI2" s="513" t="s">
        <v>121</v>
      </c>
      <c r="CJ2" s="513" t="s">
        <v>403</v>
      </c>
      <c r="CK2" s="513" t="s">
        <v>404</v>
      </c>
      <c r="CL2" s="513" t="s">
        <v>664</v>
      </c>
      <c r="CM2" s="513" t="str">
        <f>CH2</f>
        <v>1QA</v>
      </c>
      <c r="CN2" s="513" t="str">
        <f>CI2</f>
        <v>2QA</v>
      </c>
      <c r="CO2" s="513" t="s">
        <v>403</v>
      </c>
      <c r="CP2" s="513" t="s">
        <v>274</v>
      </c>
      <c r="CQ2" s="513" t="s">
        <v>85</v>
      </c>
      <c r="CR2" s="513" t="s">
        <v>671</v>
      </c>
      <c r="CS2" s="513" t="s">
        <v>672</v>
      </c>
      <c r="CT2" s="513" t="str">
        <f>CO2</f>
        <v>3QA</v>
      </c>
      <c r="CU2" s="513" t="str">
        <f>CP2</f>
        <v>4QE</v>
      </c>
      <c r="CV2" s="513" t="s">
        <v>98</v>
      </c>
      <c r="CW2" s="513" t="str">
        <f>CR2</f>
        <v>1QE</v>
      </c>
      <c r="CX2" s="513" t="str">
        <f>CS2</f>
        <v>2QE</v>
      </c>
      <c r="CY2" s="513" t="str">
        <f>CT2</f>
        <v>3QA</v>
      </c>
      <c r="CZ2" s="513" t="str">
        <f>CU2</f>
        <v>4QE</v>
      </c>
      <c r="DA2" s="513" t="s">
        <v>638</v>
      </c>
      <c r="DB2" s="513" t="str">
        <f>CW2</f>
        <v>1QE</v>
      </c>
      <c r="DC2" s="513" t="str">
        <f>CX2</f>
        <v>2QE</v>
      </c>
      <c r="DD2" s="513" t="str">
        <f>CY2</f>
        <v>3QA</v>
      </c>
      <c r="DE2" s="513" t="str">
        <f>CZ2</f>
        <v>4QE</v>
      </c>
      <c r="DF2" s="513" t="s">
        <v>670</v>
      </c>
      <c r="DG2" s="513" t="str">
        <f>DB2</f>
        <v>1QE</v>
      </c>
      <c r="DH2" s="513" t="str">
        <f>DC2</f>
        <v>2QE</v>
      </c>
      <c r="DI2" s="513" t="str">
        <f>DD2</f>
        <v>3QA</v>
      </c>
      <c r="DJ2" s="513" t="str">
        <f>DE2</f>
        <v>4QE</v>
      </c>
      <c r="DK2" s="513" t="s">
        <v>744</v>
      </c>
      <c r="DL2" s="513" t="str">
        <f>DG2</f>
        <v>1QE</v>
      </c>
      <c r="DM2" s="513" t="str">
        <f>DH2</f>
        <v>2QE</v>
      </c>
      <c r="DN2" s="513" t="str">
        <f>DI2</f>
        <v>3QA</v>
      </c>
      <c r="DO2" s="513" t="str">
        <f>DJ2</f>
        <v>4QE</v>
      </c>
      <c r="DP2" s="513" t="s">
        <v>780</v>
      </c>
    </row>
    <row r="3" spans="1:120" ht="33.75" x14ac:dyDescent="0.2">
      <c r="A3" s="514" t="s">
        <v>28</v>
      </c>
      <c r="B3" s="514" t="s">
        <v>99</v>
      </c>
      <c r="C3" s="514" t="s">
        <v>6</v>
      </c>
      <c r="D3" s="514" t="s">
        <v>8</v>
      </c>
      <c r="E3" s="514" t="s">
        <v>9</v>
      </c>
      <c r="F3" s="515" t="s">
        <v>10</v>
      </c>
      <c r="G3" s="515" t="s">
        <v>11</v>
      </c>
      <c r="H3" s="515" t="s">
        <v>12</v>
      </c>
      <c r="I3" s="516" t="s">
        <v>13</v>
      </c>
      <c r="J3" s="516" t="s">
        <v>14</v>
      </c>
      <c r="K3" s="515" t="s">
        <v>15</v>
      </c>
      <c r="L3" s="507"/>
      <c r="M3" s="508" t="s">
        <v>16</v>
      </c>
      <c r="N3" s="516" t="s">
        <v>28</v>
      </c>
      <c r="O3" s="516" t="s">
        <v>17</v>
      </c>
      <c r="P3" s="505"/>
      <c r="Q3" s="505"/>
      <c r="R3" s="505"/>
      <c r="S3" s="505"/>
      <c r="T3" s="505"/>
      <c r="U3" s="505"/>
      <c r="V3" s="505"/>
      <c r="W3" s="505"/>
      <c r="X3" s="505"/>
      <c r="Y3" s="505"/>
      <c r="Z3" s="505"/>
      <c r="AA3" s="505"/>
      <c r="AB3" s="505"/>
      <c r="AC3" s="505"/>
      <c r="AD3" s="505"/>
      <c r="AE3" s="505"/>
      <c r="AF3" s="505"/>
      <c r="AG3" s="505"/>
      <c r="AH3" s="505"/>
      <c r="AI3" s="505"/>
      <c r="AJ3" s="505"/>
      <c r="AK3" s="505"/>
      <c r="AL3" s="505"/>
      <c r="AM3" s="505"/>
      <c r="AN3" s="505"/>
      <c r="AO3" s="505"/>
      <c r="AP3" s="505"/>
      <c r="AQ3" s="505"/>
      <c r="AR3" s="505"/>
      <c r="AS3" s="505"/>
      <c r="AT3" s="505"/>
      <c r="AU3" s="505"/>
      <c r="AV3" s="505"/>
      <c r="AW3" s="505"/>
      <c r="AX3" s="505"/>
      <c r="AY3" s="505"/>
      <c r="AZ3" s="505"/>
      <c r="BA3" s="505"/>
      <c r="BB3" s="505"/>
      <c r="BC3" s="505"/>
      <c r="BD3" s="505"/>
      <c r="BE3" s="505"/>
      <c r="BF3" s="505"/>
      <c r="BG3" s="505"/>
      <c r="BH3" s="505"/>
      <c r="BI3" s="505"/>
      <c r="BJ3" s="505"/>
      <c r="BK3" s="505"/>
      <c r="BL3" s="505"/>
      <c r="BM3" s="505"/>
      <c r="BN3" s="505"/>
      <c r="BO3" s="505"/>
      <c r="BP3" s="505"/>
      <c r="BQ3" s="505"/>
      <c r="BR3" s="505"/>
      <c r="BS3" s="505"/>
      <c r="BT3" s="505"/>
      <c r="BU3" s="505"/>
      <c r="BV3" s="505"/>
      <c r="BW3" s="505"/>
      <c r="BX3" s="505"/>
      <c r="BY3" s="505"/>
      <c r="BZ3" s="505"/>
      <c r="CA3" s="505"/>
      <c r="CB3" s="505"/>
      <c r="CC3" s="505"/>
      <c r="CD3" s="505"/>
      <c r="CE3" s="505"/>
      <c r="CF3" s="505"/>
      <c r="CG3" s="505"/>
      <c r="CH3" s="505"/>
      <c r="CI3" s="505"/>
      <c r="CJ3" s="505"/>
      <c r="CK3" s="505"/>
      <c r="CL3" s="505"/>
      <c r="CM3" s="505"/>
      <c r="CN3" s="505"/>
      <c r="CO3" s="505"/>
      <c r="CP3" s="505"/>
      <c r="CQ3" s="505"/>
      <c r="CR3" s="505"/>
      <c r="CS3" s="505"/>
      <c r="CT3" s="505"/>
      <c r="CU3" s="505"/>
      <c r="CV3" s="505"/>
      <c r="CW3" s="505"/>
      <c r="CX3" s="505"/>
      <c r="CY3" s="505"/>
      <c r="CZ3" s="505"/>
      <c r="DA3" s="505"/>
      <c r="DB3" s="505"/>
      <c r="DC3" s="505"/>
      <c r="DD3" s="505"/>
      <c r="DE3" s="505"/>
      <c r="DF3" s="505"/>
      <c r="DG3" s="505"/>
      <c r="DH3" s="505"/>
      <c r="DI3" s="505"/>
      <c r="DJ3" s="505"/>
      <c r="DK3" s="505"/>
      <c r="DL3" s="505"/>
      <c r="DM3" s="505"/>
      <c r="DN3" s="505"/>
      <c r="DO3" s="505"/>
      <c r="DP3" s="505"/>
    </row>
    <row r="4" spans="1:120" x14ac:dyDescent="0.2">
      <c r="A4" s="517">
        <f>DATE(YEAR(E4),MONTH(E4),1)</f>
        <v>36495</v>
      </c>
      <c r="B4" s="517" t="str">
        <f t="shared" ref="B4:B67" si="0">VLOOKUP(MONTH(A4),$N$4:$O$16,2,FALSE) &amp; "Q" &amp; RIGHT(YEAR(A4),2)</f>
        <v>4Q99</v>
      </c>
      <c r="C4" s="517" t="str">
        <f>VLOOKUP(MONTH(D4),$N$4:$O$16,2,FALSE) &amp; "Q" &amp; RIGHT(YEAR(D4),2)</f>
        <v>1Q00</v>
      </c>
      <c r="D4" s="518">
        <f>E4+60</f>
        <v>36581</v>
      </c>
      <c r="E4" s="519">
        <v>36521</v>
      </c>
      <c r="F4" s="520">
        <v>1.298</v>
      </c>
      <c r="G4" s="521">
        <f t="shared" ref="G4:G67" si="1">INDEX($I$4:$K$153,MATCH(F4,$I$4:$I$153,1),3)</f>
        <v>0.03</v>
      </c>
      <c r="H4" s="521">
        <f t="shared" ref="H4:H67" si="2">G5</f>
        <v>0.04</v>
      </c>
      <c r="I4" s="521">
        <v>0</v>
      </c>
      <c r="J4" s="521">
        <v>1.1499999999999999</v>
      </c>
      <c r="K4" s="521">
        <v>0</v>
      </c>
      <c r="L4" s="505"/>
      <c r="M4" s="508" t="s">
        <v>632</v>
      </c>
      <c r="N4" s="505">
        <v>1</v>
      </c>
      <c r="O4" s="505">
        <v>1</v>
      </c>
      <c r="P4" s="522"/>
      <c r="Q4" s="522">
        <f>SUMIF($B:$B,Q$1,$F:$F)/COUNTIF($B:$B,Q$1)</f>
        <v>1.4207692307692308</v>
      </c>
      <c r="R4" s="522">
        <f>SUMIF($B:$B,R$1,$F:$F)/COUNTIF($B:$B,R$1)</f>
        <v>1.5062307692307693</v>
      </c>
      <c r="S4" s="522">
        <f>SUMIF($B:$B,S$1,$F:$F)/COUNTIF($B:$B,S$1)</f>
        <v>1.6099999999999999</v>
      </c>
      <c r="T4" s="523">
        <f>AVERAGE(P4:S4)</f>
        <v>1.5123333333333333</v>
      </c>
      <c r="U4" s="522">
        <f>SUMIF($B:$B,U$1,$F:$F)/COUNTIF($B:$B,U$1)</f>
        <v>1.4756923076923079</v>
      </c>
      <c r="V4" s="522">
        <f>SUMIF($B:$B,V$1,$F:$F)/COUNTIF($B:$B,V$1)</f>
        <v>1.463153846153846</v>
      </c>
      <c r="W4" s="522">
        <f>SUMIF($B:$B,W$1,$F:$F)/COUNTIF($B:$B,W$1)</f>
        <v>1.4163076923076923</v>
      </c>
      <c r="X4" s="522">
        <f>SUMIF($B:$B,X$1,$F:$F)/COUNTIF($B:$B,X$1)</f>
        <v>1.257857142857143</v>
      </c>
      <c r="Y4" s="523">
        <f>AVERAGE(U4:X4)</f>
        <v>1.4032527472527474</v>
      </c>
      <c r="Z4" s="522">
        <f>SUMIF($B:$B,Z$1,$F:$F)/COUNTIF($B:$B,Z$1)</f>
        <v>1.17825</v>
      </c>
      <c r="AA4" s="522">
        <f>SUMIF($B:$B,AA$1,$F:$F)/COUNTIF($B:$B,AA$1)</f>
        <v>1.3005384615384616</v>
      </c>
      <c r="AB4" s="522">
        <f>SUMIF($B:$B,AB$1,$F:$F)/COUNTIF($B:$B,AB$1)</f>
        <v>1.3471428571428574</v>
      </c>
      <c r="AC4" s="522">
        <f>SUMIF($B:$B,AC$1,$F:$F)/COUNTIF($B:$B,AC$1)</f>
        <v>1.4360769230769228</v>
      </c>
      <c r="AD4" s="523">
        <f>AVERAGE(Z4:AC4)</f>
        <v>1.3155020604395604</v>
      </c>
      <c r="AE4" s="522">
        <f>SUMIF($B:$B,AE$1,$F:$F)/COUNTIF($B:$B,AE$1)</f>
        <v>1.6236923076923075</v>
      </c>
      <c r="AF4" s="522">
        <f>SUMIF($B:$B,AF$1,$F:$F)/COUNTIF($B:$B,AF$1)</f>
        <v>1.4657692307692307</v>
      </c>
      <c r="AG4" s="522">
        <f>SUMIF($B:$B,AG$1,$F:$F)/COUNTIF($B:$B,AG$1)</f>
        <v>1.4629999999999996</v>
      </c>
      <c r="AH4" s="522">
        <f>SUMIF($B:$B,AH$1,$F:$F)/COUNTIF($B:$B,AH$1)</f>
        <v>1.4848461538461537</v>
      </c>
      <c r="AI4" s="523">
        <f>AVERAGE(AE4:AH4)</f>
        <v>1.5093269230769228</v>
      </c>
      <c r="AJ4" s="522">
        <f>SUMIF($B:$B,AJ$1,$F:$F)/COUNTIF($B:$B,AJ$1)</f>
        <v>1.5906923076923076</v>
      </c>
      <c r="AK4" s="522">
        <f>SUMIF($B:$B,AK$1,$F:$F)/COUNTIF($B:$B,AK$1)</f>
        <v>1.7189230769230766</v>
      </c>
      <c r="AL4" s="522">
        <f>SUMIF($B:$B,AL$1,$F:$F)/COUNTIF($B:$B,AL$1)</f>
        <v>1.8296153846153844</v>
      </c>
      <c r="AM4" s="522">
        <f>SUMIF($B:$B,AM$1,$F:$F)/COUNTIF($B:$B,AM$1)</f>
        <v>2.1005384615384615</v>
      </c>
      <c r="AN4" s="523">
        <f>AVERAGE(AJ4:AM4)</f>
        <v>1.8099423076923076</v>
      </c>
      <c r="AO4" s="522">
        <f>SUMIF($B:$B,AO$1,$F:$F)/COUNTIF($B:$B,AO$1)</f>
        <v>2.058153846153846</v>
      </c>
      <c r="AP4" s="522">
        <f>SUMIF($B:$B,AP$1,$F:$F)/COUNTIF($B:$B,AP$1)</f>
        <v>2.2553846153846155</v>
      </c>
      <c r="AQ4" s="522">
        <f>SUMIF($B:$B,AQ$1,$F:$F)/COUNTIF($B:$B,AQ$1)</f>
        <v>2.558846153846154</v>
      </c>
      <c r="AR4" s="522">
        <f>SUMIF($B:$B,AR$1,$F:$F)/COUNTIF($B:$B,AR$1)</f>
        <v>2.7336923076923081</v>
      </c>
      <c r="AS4" s="523">
        <f>AVERAGE(AO4:AR4)</f>
        <v>2.4015192307692312</v>
      </c>
      <c r="AT4" s="522">
        <f>SUMIF($B:$B,AT$1,$F:$F)/COUNTIF($B:$B,AT$1)</f>
        <v>2.497846153846154</v>
      </c>
      <c r="AU4" s="522">
        <f>SUMIF($B:$B,AU$1,$F:$F)/COUNTIF($B:$B,AU$1)</f>
        <v>2.8449999999999998</v>
      </c>
      <c r="AV4" s="522">
        <f>SUMIF($B:$B,AV$1,$F:$F)/COUNTIF($B:$B,AV$1)</f>
        <v>2.9215384615384616</v>
      </c>
      <c r="AW4" s="522">
        <f>SUMIF($B:$B,AW$1,$F:$F)/COUNTIF($B:$B,AW$1)</f>
        <v>2.5550000000000002</v>
      </c>
      <c r="AX4" s="523">
        <f>AVERAGE(AT4:AW4)</f>
        <v>2.7048461538461535</v>
      </c>
      <c r="AY4" s="522">
        <f>SUMIF($B:$B,AY$1,$F:$F)/COUNTIF($B:$B,AY$1)</f>
        <v>2.5418461538461536</v>
      </c>
      <c r="AZ4" s="522">
        <f>SUMIF($B:$B,AZ$1,$F:$F)/COUNTIF($B:$B,AZ$1)</f>
        <v>2.8142307692307691</v>
      </c>
      <c r="BA4" s="522">
        <f>SUMIF($B:$B,BA$1,$F:$F)/COUNTIF($B:$B,BA$1)</f>
        <v>2.8946923076923077</v>
      </c>
      <c r="BB4" s="522">
        <f>SUMIF($B:$B,BB$1,$F:$F)/COUNTIF($B:$B,BB$1)</f>
        <v>3.2612857142857137</v>
      </c>
      <c r="BC4" s="523">
        <f>AVERAGE(AY4:BB4)</f>
        <v>2.8780137362637364</v>
      </c>
      <c r="BD4" s="522">
        <f>SUMIF($B:$B,BD$1,$F:$F)/COUNTIF($B:$B,BD$1)</f>
        <v>3.549461538461538</v>
      </c>
      <c r="BE4" s="522">
        <f>SUMIF($B:$B,BE$1,$F:$F)/COUNTIF($B:$B,BE$1)</f>
        <v>4.4167692307692299</v>
      </c>
      <c r="BF4" s="522">
        <f>SUMIF($B:$B,BF$1,$F:$F)/COUNTIF($B:$B,BF$1)</f>
        <v>4.3183846153846153</v>
      </c>
      <c r="BG4" s="522">
        <f>SUMIF($B:$B,BG$1,$F:$F)/COUNTIF($B:$B,BG$1)</f>
        <v>2.9272307692307686</v>
      </c>
      <c r="BH4" s="523">
        <f>AVERAGE(BD4:BG4)</f>
        <v>3.8029615384615374</v>
      </c>
      <c r="BI4" s="522">
        <f>SUMIF($B:$B,BI$1,$F:$F)/COUNTIF($B:$B,BI$1)</f>
        <v>2.1853846153846153</v>
      </c>
      <c r="BJ4" s="522">
        <f>SUMIF($B:$B,BJ$1,$F:$F)/COUNTIF($B:$B,BJ$1)</f>
        <v>2.340846153846154</v>
      </c>
      <c r="BK4" s="522">
        <f>SUMIF($B:$B,BK$1,$F:$F)/COUNTIF($B:$B,BK$1)</f>
        <v>2.6025384615384612</v>
      </c>
      <c r="BL4" s="522">
        <f>SUMIF($B:$B,BL$1,$F:$F)/COUNTIF($B:$B,BL$1)</f>
        <v>2.7405384615384611</v>
      </c>
      <c r="BM4" s="523">
        <f>AVERAGE(BI4:BL4)</f>
        <v>2.4673269230769233</v>
      </c>
      <c r="BN4" s="522">
        <f>SUMIF($B:$B,BN$1,$F:$F)/COUNTIF($B:$B,BN$1)</f>
        <v>2.8531538461538464</v>
      </c>
      <c r="BO4" s="522">
        <f>SUMIF($B:$B,BO$1,$F:$F)/COUNTIF($B:$B,BO$1)</f>
        <v>3.0285384615384618</v>
      </c>
      <c r="BP4" s="522">
        <f>SUMIF($B:$B,BP$1,$F:$F)/COUNTIF($B:$B,BP$1)</f>
        <v>2.940230769230769</v>
      </c>
      <c r="BQ4" s="522">
        <f>SUMIF($B:$B,BQ$1,$F:$F)/COUNTIF($B:$B,BQ$1)</f>
        <v>3.1443076923076916</v>
      </c>
      <c r="BR4" s="523">
        <f>AVERAGE(BN4:BQ4)</f>
        <v>2.9915576923076923</v>
      </c>
      <c r="BS4" s="522">
        <f>SUMIF($B:$B,BS$1,$F:$F)/COUNTIF($B:$B,BS$1)</f>
        <v>3.6071538461538464</v>
      </c>
      <c r="BT4" s="522">
        <f>SUMIF($B:$B,BT$1,$F:$F)/COUNTIF($B:$B,BT$1)</f>
        <v>4.0171538461538461</v>
      </c>
      <c r="BU4" s="522">
        <f>SUMIF($B:$B,BU$1,$F:$F)/COUNTIF($B:$B,BU$1)</f>
        <v>3.8668461538461538</v>
      </c>
      <c r="BV4" s="522">
        <f>SUMIF($B:$B,BV$1,$F:$F)/COUNTIF($B:$B,BV$1)</f>
        <v>3.8676923076923071</v>
      </c>
      <c r="BW4" s="523">
        <f>AVERAGE(BS4:BV4)</f>
        <v>3.8397115384615383</v>
      </c>
      <c r="BX4" s="522">
        <f>SUMIF($B:$B,BX$1,$F:$F)/COUNTIF($B:$B,BX$1)</f>
        <v>3.9599230769230767</v>
      </c>
      <c r="BY4" s="522">
        <f>SUMIF($B:$B,BY$1,$F:$F)/COUNTIF($B:$B,BY$1)</f>
        <v>3.9633076923076915</v>
      </c>
      <c r="BZ4" s="522">
        <f>SUMIF($B:$B,BZ$1,$F:$F)/COUNTIF($B:$B,BZ$1)</f>
        <v>3.9242307692307694</v>
      </c>
      <c r="CA4" s="522">
        <f>SUMIF($B:$B,CA$1,$F:$F)/COUNTIF($B:$B,CA$1)</f>
        <v>4.0194999999999999</v>
      </c>
      <c r="CB4" s="523">
        <f>AVERAGE(BX4:CA4)</f>
        <v>3.9667403846153846</v>
      </c>
      <c r="CC4" s="522">
        <f>SUMIF($B:$B,CC$1,$F:$F)/COUNTIF($B:$B,CC$1)</f>
        <v>4.0289166666666665</v>
      </c>
      <c r="CD4" s="522">
        <f>SUMIF($B:$B,CD$1,$F:$F)/COUNTIF($B:$B,CD$1)</f>
        <v>3.8867692307692314</v>
      </c>
      <c r="CE4" s="522">
        <f>SUMIF($B:$B,CE$1,$F:$F)/COUNTIF($B:$B,CE$1)</f>
        <v>3.9108571428571426</v>
      </c>
      <c r="CF4" s="522">
        <f>SUMIF($B:$B,CF$1,$F:$F)/COUNTIF($B:$B,CF$1)</f>
        <v>3.8694615384615383</v>
      </c>
      <c r="CG4" s="523">
        <f>AVERAGE(CC4:CF4)</f>
        <v>3.9240011446886447</v>
      </c>
      <c r="CH4" s="522">
        <f>SUMIF($B:$B,CH$1,$F:$F)/COUNTIF($B:$B,CH$1)</f>
        <v>3.9623076923076925</v>
      </c>
      <c r="CI4" s="522">
        <f>SUMIF($B:$B,CI$1,$F:$F)/COUNTIF($B:$B,CI$1)</f>
        <v>3.9353076923076924</v>
      </c>
      <c r="CJ4" s="522">
        <f>SUMIF($B:$B,CJ$1,$F:$F)/COUNTIF($B:$B,CJ$1)</f>
        <v>3.834461538461539</v>
      </c>
      <c r="CK4" s="522">
        <f>SUMIF($B:$B,CK$1,$F:$F)/COUNTIF($B:$B,CK$1)</f>
        <v>3.5664615384615379</v>
      </c>
      <c r="CL4" s="523">
        <f>AVERAGE(CH4:CK4)</f>
        <v>3.8246346153846158</v>
      </c>
      <c r="CM4" s="522">
        <f>SUMIF($B:$B,CM$1,$F:$F)/COUNTIF($B:$B,CM$1)</f>
        <v>2.9157692307692296</v>
      </c>
      <c r="CN4" s="522">
        <f>SUMIF($B:$B,CN$1,$F:$F)/COUNTIF($B:$B,CN$1)</f>
        <v>2.8495384615384611</v>
      </c>
      <c r="CO4" s="522">
        <f>SUMIF($B:$B,CO$1,$F:$F)/COUNTIF($B:$B,CO$1)</f>
        <v>2.6266153846153846</v>
      </c>
      <c r="CP4" s="522">
        <f>SUMIF($B:$B,CP$1,$F:$F)/COUNTIF($B:$B,CP$1)</f>
        <v>2.4346153846153844</v>
      </c>
      <c r="CQ4" s="523">
        <f>AVERAGE(CM4:CP4)</f>
        <v>2.7066346153846146</v>
      </c>
      <c r="CR4" s="522">
        <f>SUMIF($B:$B,CR$1,$F:$F)/COUNTIF($B:$B,CR$1)</f>
        <v>2.0709230769230769</v>
      </c>
      <c r="CS4" s="522">
        <f>SUMIF($B:$B,CS$1,$F:$F)/COUNTIF($B:$B,CS$1)</f>
        <v>2.2976153846153853</v>
      </c>
      <c r="CT4" s="522">
        <f>SUMIF($B:$B,CT$1,$F:$F)/COUNTIF($B:$B,CT$1)</f>
        <v>2.3806153846153846</v>
      </c>
      <c r="CU4" s="522">
        <f>SUMIF($B:$B,CU$1,$F:$F)/COUNTIF($B:$B,CU$1)</f>
        <v>2.4666153846153844</v>
      </c>
      <c r="CV4" s="523">
        <f>AVERAGE(CR4:CU4)</f>
        <v>2.3039423076923078</v>
      </c>
      <c r="CW4" s="522">
        <f>SUMIF($B:$B,CW$1,$F:$F)/COUNTIF($B:$B,CW$1)</f>
        <v>2.5680769230769234</v>
      </c>
      <c r="CX4" s="522">
        <f>SUMIF($B:$B,CX$1,$F:$F)/COUNTIF($B:$B,CX$1)</f>
        <v>2.5518461538461543</v>
      </c>
      <c r="CY4" s="522">
        <f>SUMIF($B:$B,CY$1,$F:$F)/COUNTIF($B:$B,CY$1)</f>
        <v>2.6154615384615383</v>
      </c>
      <c r="CZ4" s="522">
        <f>SUMIF($B:$B,CZ$1,$F:$F)/COUNTIF($B:$B,CZ$1)</f>
        <v>2.8647692307692307</v>
      </c>
      <c r="DA4" s="523">
        <f>AVERAGE(CW4:CZ4)</f>
        <v>2.6500384615384616</v>
      </c>
      <c r="DB4" s="522">
        <f>SUMIF($B:$B,DB$1,$F:$F)/COUNTIF($B:$B,DB$1)</f>
        <v>3.0173076923076922</v>
      </c>
      <c r="DC4" s="522">
        <f>SUMIF($B:$B,DC$1,$F:$F)/COUNTIF($B:$B,DC$1)</f>
        <v>3.0945384615384608</v>
      </c>
      <c r="DD4" s="522">
        <f>SUMIF($B:$B,DD$1,$F:$F)/COUNTIF($B:$B,DD$1)</f>
        <v>3.1039999999999996</v>
      </c>
      <c r="DE4" s="522">
        <f>SUMIF($B:$B,DE$1,$F:$F)/COUNTIF($B:$B,DE$1)</f>
        <v>3.1039999999999996</v>
      </c>
      <c r="DF4" s="523">
        <f>AVERAGE(DB4:DE4)</f>
        <v>3.079961538461538</v>
      </c>
      <c r="DG4" s="522">
        <f>SUMIF($B:$B,DG$1,$F:$F)/COUNTIF($B:$B,DG$1)</f>
        <v>3.1039999999999996</v>
      </c>
      <c r="DH4" s="522">
        <f>SUMIF($B:$B,DH$1,$F:$F)/COUNTIF($B:$B,DH$1)</f>
        <v>3.1039999999999996</v>
      </c>
      <c r="DI4" s="522">
        <f>SUMIF($B:$B,DI$1,$F:$F)/COUNTIF($B:$B,DI$1)</f>
        <v>3.1039999999999996</v>
      </c>
      <c r="DJ4" s="522">
        <f>SUMIF($B:$B,DJ$1,$F:$F)/COUNTIF($B:$B,DJ$1)</f>
        <v>3.1039999999999996</v>
      </c>
      <c r="DK4" s="523">
        <f>AVERAGE(DG4:DJ4)</f>
        <v>3.1039999999999996</v>
      </c>
      <c r="DL4" s="522">
        <f>SUMIF($B:$B,DL$1,$F:$F)/COUNTIF($B:$B,DL$1)</f>
        <v>3.1039999999999996</v>
      </c>
      <c r="DM4" s="522">
        <f>SUMIF($B:$B,DM$1,$F:$F)/COUNTIF($B:$B,DM$1)</f>
        <v>3.1039999999999996</v>
      </c>
      <c r="DN4" s="522">
        <f>SUMIF($B:$B,DN$1,$F:$F)/COUNTIF($B:$B,DN$1)</f>
        <v>3.1039999999999996</v>
      </c>
      <c r="DO4" s="522">
        <f>SUMIF($B:$B,DO$1,$F:$F)/COUNTIF($B:$B,DO$1)</f>
        <v>3.1039999999999996</v>
      </c>
      <c r="DP4" s="523">
        <f>AVERAGE(DL4:DO4)</f>
        <v>3.1039999999999996</v>
      </c>
    </row>
    <row r="5" spans="1:120" x14ac:dyDescent="0.2">
      <c r="A5" s="517">
        <f t="shared" ref="A5:A68" si="3">DATE(YEAR(E5),MONTH(E5),1)</f>
        <v>36526</v>
      </c>
      <c r="B5" s="517" t="str">
        <f t="shared" si="0"/>
        <v>1Q00</v>
      </c>
      <c r="C5" s="517" t="str">
        <f t="shared" ref="C5:C68" si="4">VLOOKUP(MONTH(D5),$N$4:$O$16,2,FALSE) &amp; "Q" &amp; RIGHT(YEAR(D5),2)</f>
        <v>1Q00</v>
      </c>
      <c r="D5" s="518">
        <f t="shared" ref="D5:E68" si="5">D4+7</f>
        <v>36588</v>
      </c>
      <c r="E5" s="518">
        <f t="shared" si="5"/>
        <v>36528</v>
      </c>
      <c r="F5" s="520">
        <v>1.3090000000000002</v>
      </c>
      <c r="G5" s="521">
        <f t="shared" si="1"/>
        <v>0.04</v>
      </c>
      <c r="H5" s="521">
        <f t="shared" si="2"/>
        <v>0.04</v>
      </c>
      <c r="I5" s="521">
        <f>J4</f>
        <v>1.1499999999999999</v>
      </c>
      <c r="J5" s="521">
        <f t="shared" ref="J5:J68" si="6">J4+0.05</f>
        <v>1.2</v>
      </c>
      <c r="K5" s="521">
        <v>0.01</v>
      </c>
      <c r="L5" s="505"/>
      <c r="M5" s="508" t="s">
        <v>2</v>
      </c>
      <c r="N5" s="505">
        <f t="shared" ref="N5:N12" si="7">N4+1</f>
        <v>2</v>
      </c>
      <c r="O5" s="505">
        <v>1</v>
      </c>
      <c r="P5" s="522">
        <f>SUMIF($C:$C,P$1,$F:$F)/COUNTIF($C:$C,P$1)</f>
        <v>1.3463333333333332</v>
      </c>
      <c r="Q5" s="522">
        <f>SUMIF($C:$C,Q$1,$F:$F)/COUNTIF($C:$C,Q$1)</f>
        <v>1.4510769230769232</v>
      </c>
      <c r="R5" s="522">
        <f>SUMIF($C:$C,R$1,$F:$F)/COUNTIF($C:$C,R$1)</f>
        <v>1.4256923076923078</v>
      </c>
      <c r="S5" s="522">
        <f>SUMIF($C:$C,S$1,$F:$F)/COUNTIF($C:$C,S$1)</f>
        <v>1.5844615384615384</v>
      </c>
      <c r="T5" s="523">
        <f>AVERAGE(P5:S5)</f>
        <v>1.4518910256410258</v>
      </c>
      <c r="U5" s="522">
        <f>SUMIF($C:$C,U$1,$F:$F)/COUNTIF($C:$C,U$1)</f>
        <v>1.5663076923076922</v>
      </c>
      <c r="V5" s="522">
        <f>SUMIF($C:$C,V$1,$F:$F)/COUNTIF($C:$C,V$1)</f>
        <v>1.4366153846153844</v>
      </c>
      <c r="W5" s="522">
        <f>SUMIF($C:$C,W$1,$F:$F)/COUNTIF($C:$C,W$1)</f>
        <v>1.4450000000000001</v>
      </c>
      <c r="X5" s="522">
        <f>SUMIF($C:$C,X$1,$F:$F)/COUNTIF($C:$C,X$1)</f>
        <v>1.4061538461538463</v>
      </c>
      <c r="Y5" s="523">
        <f>AVERAGE(U5:X5)</f>
        <v>1.4635192307692308</v>
      </c>
      <c r="Z5" s="522">
        <f>SUMIF($C:$C,Z$1,$F:$F)/COUNTIF($C:$C,Z$1)</f>
        <v>1.1906923076923077</v>
      </c>
      <c r="AA5" s="522">
        <f>SUMIF($C:$C,AA$1,$F:$F)/COUNTIF($C:$C,AA$1)</f>
        <v>1.2363076923076926</v>
      </c>
      <c r="AB5" s="522">
        <f>SUMIF($C:$C,AB$1,$F:$F)/COUNTIF($C:$C,AB$1)</f>
        <v>1.2969230769230771</v>
      </c>
      <c r="AC5" s="522">
        <f>SUMIF($C:$C,AC$1,$F:$F)/COUNTIF($C:$C,AC$1)</f>
        <v>1.4006923076923077</v>
      </c>
      <c r="AD5" s="523">
        <f>AVERAGE(Z5:AC5)</f>
        <v>1.2811538461538463</v>
      </c>
      <c r="AE5" s="522">
        <f>SUMIF($C:$C,AE$1,$F:$F)/COUNTIF($C:$C,AE$1)</f>
        <v>1.4441538461538459</v>
      </c>
      <c r="AF5" s="522">
        <f>SUMIF($C:$C,AF$1,$F:$F)/COUNTIF($C:$C,AF$1)</f>
        <v>1.6374615384615381</v>
      </c>
      <c r="AG5" s="522">
        <f>SUMIF($C:$C,AG$1,$F:$F)/COUNTIF($C:$C,AG$1)</f>
        <v>1.4357692307692309</v>
      </c>
      <c r="AH5" s="522">
        <f>SUMIF($C:$C,AH$1,$F:$F)/COUNTIF($C:$C,AH$1)</f>
        <v>1.4772307692307693</v>
      </c>
      <c r="AI5" s="523">
        <f>AVERAGE(AE5:AH5)</f>
        <v>1.4986538461538461</v>
      </c>
      <c r="AJ5" s="522">
        <f>SUMIF($C:$C,AJ$1,$F:$F)/COUNTIF($C:$C,AJ$1)</f>
        <v>1.5063076923076923</v>
      </c>
      <c r="AK5" s="522">
        <f>SUMIF($C:$C,AK$1,$F:$F)/COUNTIF($C:$C,AK$1)</f>
        <v>1.6341538461538461</v>
      </c>
      <c r="AL5" s="522">
        <f>SUMIF($C:$C,AL$1,$F:$F)/COUNTIF($C:$C,AL$1)</f>
        <v>1.733153846153846</v>
      </c>
      <c r="AM5" s="522">
        <f>SUMIF($C:$C,AM$1,$F:$F)/COUNTIF($C:$C,AM$1)</f>
        <v>1.9695714285714288</v>
      </c>
      <c r="AN5" s="523">
        <f>AVERAGE(AJ5:AM5)</f>
        <v>1.7107967032967033</v>
      </c>
      <c r="AO5" s="522">
        <f>SUMIF($C:$C,AO$1,$F:$F)/COUNTIF($C:$C,AO$1)</f>
        <v>2.0305000000000004</v>
      </c>
      <c r="AP5" s="522">
        <f>SUMIF($C:$C,AP$1,$F:$F)/COUNTIF($C:$C,AP$1)</f>
        <v>2.163153846153846</v>
      </c>
      <c r="AQ5" s="522">
        <f>SUMIF($C:$C,AQ$1,$F:$F)/COUNTIF($C:$C,AQ$1)</f>
        <v>2.2850714285714284</v>
      </c>
      <c r="AR5" s="522">
        <f>SUMIF($C:$C,AR$1,$F:$F)/COUNTIF($C:$C,AR$1)</f>
        <v>2.8386153846153843</v>
      </c>
      <c r="AS5" s="523">
        <f>AVERAGE(AO5:AR5)</f>
        <v>2.329335164835165</v>
      </c>
      <c r="AT5" s="522">
        <f>SUMIF($C:$C,AT$1,$F:$F)/COUNTIF($C:$C,AT$1)</f>
        <v>2.4923076923076923</v>
      </c>
      <c r="AU5" s="522">
        <f>SUMIF($C:$C,AU$1,$F:$F)/COUNTIF($C:$C,AU$1)</f>
        <v>2.6110000000000002</v>
      </c>
      <c r="AV5" s="522">
        <f>SUMIF($C:$C,AV$1,$F:$F)/COUNTIF($C:$C,AV$1)</f>
        <v>2.9111538461538453</v>
      </c>
      <c r="AW5" s="522">
        <f>SUMIF($C:$C,AW$1,$F:$F)/COUNTIF($C:$C,AW$1)</f>
        <v>2.7621538461538462</v>
      </c>
      <c r="AX5" s="523">
        <f>AVERAGE(AT5:AW5)</f>
        <v>2.6941538461538466</v>
      </c>
      <c r="AY5" s="522">
        <f>SUMIF($C:$C,AY$1,$F:$F)/COUNTIF($C:$C,AY$1)</f>
        <v>2.5416923076923079</v>
      </c>
      <c r="AZ5" s="522">
        <f>SUMIF($C:$C,AZ$1,$F:$F)/COUNTIF($C:$C,AZ$1)</f>
        <v>2.6761538461538459</v>
      </c>
      <c r="BA5" s="522">
        <f>SUMIF($C:$C,BA$1,$F:$F)/COUNTIF($C:$C,BA$1)</f>
        <v>2.8275384615384618</v>
      </c>
      <c r="BB5" s="522">
        <f>SUMIF($C:$C,BB$1,$F:$F)/COUNTIF($C:$C,BB$1)</f>
        <v>2.9739999999999993</v>
      </c>
      <c r="BC5" s="523">
        <f>AVERAGE(AY5:BB5)</f>
        <v>2.7548461538461533</v>
      </c>
      <c r="BD5" s="522">
        <f>SUMIF($C:$C,BD$1,$F:$F)/COUNTIF($C:$C,BD$1)</f>
        <v>3.3473846153846156</v>
      </c>
      <c r="BE5" s="522">
        <f>SUMIF($C:$C,BE$1,$F:$F)/COUNTIF($C:$C,BE$1)</f>
        <v>3.788153846153846</v>
      </c>
      <c r="BF5" s="522">
        <f>SUMIF($C:$C,BF$1,$F:$F)/COUNTIF($C:$C,BF$1)</f>
        <v>4.6073846153846159</v>
      </c>
      <c r="BG5" s="522">
        <f>SUMIF($C:$C,BG$1,$F:$F)/COUNTIF($C:$C,BG$1)</f>
        <v>3.9716153846153848</v>
      </c>
      <c r="BH5" s="523">
        <f>AVERAGE(BD5:BG5)</f>
        <v>3.9286346153846154</v>
      </c>
      <c r="BI5" s="522">
        <f>SUMIF($C:$C,BI$1,$F:$F)/COUNTIF($C:$C,BI$1)</f>
        <v>2.5322307692307691</v>
      </c>
      <c r="BJ5" s="522">
        <f>SUMIF($C:$C,BJ$1,$F:$F)/COUNTIF($C:$C,BJ$1)</f>
        <v>2.1630769230769227</v>
      </c>
      <c r="BK5" s="522">
        <f>SUMIF($C:$C,BK$1,$F:$F)/COUNTIF($C:$C,BK$1)</f>
        <v>2.4393846153846153</v>
      </c>
      <c r="BL5" s="522">
        <f>SUMIF($C:$C,BL$1,$F:$F)/COUNTIF($C:$C,BL$1)</f>
        <v>2.6431538461538464</v>
      </c>
      <c r="BM5" s="523">
        <f>AVERAGE(BI5:BL5)</f>
        <v>2.444461538461538</v>
      </c>
      <c r="BN5" s="522">
        <f>SUMIF($C:$C,BN$1,$F:$F)/COUNTIF($C:$C,BN$1)</f>
        <v>2.7936923076923077</v>
      </c>
      <c r="BO5" s="522">
        <f>SUMIF($C:$C,BO$1,$F:$F)/COUNTIF($C:$C,BO$1)</f>
        <v>2.9190769230769238</v>
      </c>
      <c r="BP5" s="522">
        <f>SUMIF($C:$C,BP$1,$F:$F)/COUNTIF($C:$C,BP$1)</f>
        <v>2.983076923076923</v>
      </c>
      <c r="BQ5" s="522">
        <f>SUMIF($C:$C,BQ$1,$F:$F)/COUNTIF($C:$C,BQ$1)</f>
        <v>2.9893571428571435</v>
      </c>
      <c r="BR5" s="523">
        <f>AVERAGE(BN5:BQ5)</f>
        <v>2.9213008241758245</v>
      </c>
      <c r="BS5" s="522">
        <f>SUMIF($C:$C,BS$1,$F:$F)/COUNTIF($C:$C,BS$1)</f>
        <v>3.258666666666667</v>
      </c>
      <c r="BT5" s="522">
        <f>SUMIF($C:$C,BT$1,$F:$F)/COUNTIF($C:$C,BT$1)</f>
        <v>3.8191538461538461</v>
      </c>
      <c r="BU5" s="522">
        <f>SUMIF($C:$C,BU$1,$F:$F)/COUNTIF($C:$C,BU$1)</f>
        <v>3.9660000000000002</v>
      </c>
      <c r="BV5" s="522">
        <f>SUMIF($C:$C,BV$1,$F:$F)/COUNTIF($C:$C,BV$1)</f>
        <v>3.8230000000000004</v>
      </c>
      <c r="BW5" s="523">
        <f>AVERAGE(BS5:BV5)</f>
        <v>3.7167051282051284</v>
      </c>
      <c r="BX5" s="522">
        <f>SUMIF($C:$C,BX$1,$F:$F)/COUNTIF($C:$C,BX$1)</f>
        <v>3.8811538461538464</v>
      </c>
      <c r="BY5" s="522">
        <f>SUMIF($C:$C,BY$1,$F:$F)/COUNTIF($C:$C,BY$1)</f>
        <v>4.0685384615384628</v>
      </c>
      <c r="BZ5" s="522">
        <f>SUMIF($C:$C,BZ$1,$F:$F)/COUNTIF($C:$C,BZ$1)</f>
        <v>3.8117692307692304</v>
      </c>
      <c r="CA5" s="522">
        <f>SUMIF($C:$C,CA$1,$F:$F)/COUNTIF($C:$C,CA$1)</f>
        <v>4.0676153846153849</v>
      </c>
      <c r="CB5" s="523">
        <f>AVERAGE(BX5:CA5)</f>
        <v>3.957269230769231</v>
      </c>
      <c r="CC5" s="522">
        <f>SUMIF($C:$C,CC$1,$F:$F)/COUNTIF($C:$C,CC$1)</f>
        <v>3.9567692307692308</v>
      </c>
      <c r="CD5" s="522">
        <f>SUMIF($C:$C,CD$1,$F:$F)/COUNTIF($C:$C,CD$1)</f>
        <v>4.0279230769230772</v>
      </c>
      <c r="CE5" s="522">
        <f>SUMIF($C:$C,CE$1,$F:$F)/COUNTIF($C:$C,CE$1)</f>
        <v>3.8621538461538467</v>
      </c>
      <c r="CF5" s="522">
        <f>SUMIF($C:$C,CF$1,$F:$F)/COUNTIF($C:$C,CF$1)</f>
        <v>3.9200769230769228</v>
      </c>
      <c r="CG5" s="523">
        <f>AVERAGE(CC5:CF5)</f>
        <v>3.9417307692307695</v>
      </c>
      <c r="CH5" s="522">
        <f>SUMIF($C:$C,CH$1,$F:$F)/COUNTIF($C:$C,CH$1)</f>
        <v>3.8720769230769232</v>
      </c>
      <c r="CI5" s="522">
        <f>SUMIF($C:$C,CI$1,$F:$F)/COUNTIF($C:$C,CI$1)</f>
        <v>3.9841538461538466</v>
      </c>
      <c r="CJ5" s="522">
        <f>SUMIF($C:$C,CJ$1,$F:$F)/COUNTIF($C:$C,CJ$1)</f>
        <v>3.9104615384615378</v>
      </c>
      <c r="CK5" s="522">
        <f>SUMIF($C:$C,CK$1,$F:$F)/COUNTIF($C:$C,CK$1)</f>
        <v>3.7719999999999994</v>
      </c>
      <c r="CL5" s="523">
        <f>AVERAGE(CH5:CK5)</f>
        <v>3.8846730769230771</v>
      </c>
      <c r="CM5" s="522">
        <f>SUMIF($C:$C,CM$1,$F:$F)/COUNTIF($C:$C,CM$1)</f>
        <v>3.3562307692307689</v>
      </c>
      <c r="CN5" s="522">
        <f>SUMIF($C:$C,CN$1,$F:$F)/COUNTIF($C:$C,CN$1)</f>
        <v>2.8496153846153849</v>
      </c>
      <c r="CO5" s="522">
        <f>SUMIF($C:$C,CO$1,$F:$F)/COUNTIF($C:$C,CO$1)</f>
        <v>2.8512307692307695</v>
      </c>
      <c r="CP5" s="522">
        <f>SUMIF($C:$C,CP$1,$F:$F)/COUNTIF($C:$C,CP$1)</f>
        <v>2.5439999999999996</v>
      </c>
      <c r="CQ5" s="523">
        <f>AVERAGE(CM5:CP5)</f>
        <v>2.900269230769231</v>
      </c>
      <c r="CR5" s="522">
        <f>SUMIF($C:$C,CR$1,$F:$F)/COUNTIF($C:$C,CR$1)</f>
        <v>2.3187692307692309</v>
      </c>
      <c r="CS5" s="522">
        <f>SUMIF($C:$C,CS$1,$F:$F)/COUNTIF($C:$C,CS$1)</f>
        <v>2.0736153846153846</v>
      </c>
      <c r="CT5" s="522">
        <f>SUMIF($C:$C,CT$1,$F:$F)/COUNTIF($C:$C,CT$1)</f>
        <v>2.3735000000000004</v>
      </c>
      <c r="CU5" s="522">
        <f>SUMIF($C:$C,CU$1,$F:$F)/COUNTIF($C:$C,CU$1)</f>
        <v>2.4041538461538461</v>
      </c>
      <c r="CV5" s="523">
        <f>AVERAGE(CR5:CU5)</f>
        <v>2.2925096153846156</v>
      </c>
      <c r="CW5" s="522">
        <f>SUMIF($C:$C,CW$1,$F:$F)/COUNTIF($C:$C,CW$1)</f>
        <v>2.5148461538461535</v>
      </c>
      <c r="CX5" s="522">
        <f>SUMIF($C:$C,CX$1,$F:$F)/COUNTIF($C:$C,CX$1)</f>
        <v>2.5691538461538461</v>
      </c>
      <c r="CY5" s="522">
        <f>SUMIF($C:$C,CY$1,$F:$F)/COUNTIF($C:$C,CY$1)</f>
        <v>2.5186923076923078</v>
      </c>
      <c r="CZ5" s="522">
        <f>SUMIF($C:$C,CZ$1,$F:$F)/COUNTIF($C:$C,CZ$1)</f>
        <v>2.73</v>
      </c>
      <c r="DA5" s="523">
        <f>AVERAGE(CW5:CZ5)</f>
        <v>2.5831730769230767</v>
      </c>
      <c r="DB5" s="522">
        <f>SUMIF($C:$C,DB$1,$F:$F)/COUNTIF($C:$C,DB$1)</f>
        <v>2.9509999999999996</v>
      </c>
      <c r="DC5" s="522">
        <f>SUMIF($C:$C,DC$1,$F:$F)/COUNTIF($C:$C,DC$1)</f>
        <v>3.0407692307692309</v>
      </c>
      <c r="DD5" s="522">
        <f>SUMIF($C:$C,DD$1,$F:$F)/COUNTIF($C:$C,DD$1)</f>
        <v>3.1039999999999996</v>
      </c>
      <c r="DE5" s="522">
        <f>SUMIF($C:$C,DE$1,$F:$F)/COUNTIF($C:$C,DE$1)</f>
        <v>3.1039999999999996</v>
      </c>
      <c r="DF5" s="523">
        <f>AVERAGE(DB5:DE5)</f>
        <v>3.0499423076923073</v>
      </c>
      <c r="DG5" s="522">
        <f>SUMIF($C:$C,DG$1,$F:$F)/COUNTIF($C:$C,DG$1)</f>
        <v>3.1039999999999996</v>
      </c>
      <c r="DH5" s="522">
        <f>SUMIF($C:$C,DH$1,$F:$F)/COUNTIF($C:$C,DH$1)</f>
        <v>3.1039999999999996</v>
      </c>
      <c r="DI5" s="522">
        <f>SUMIF($C:$C,DI$1,$F:$F)/COUNTIF($C:$C,DI$1)</f>
        <v>3.1039999999999996</v>
      </c>
      <c r="DJ5" s="522">
        <f>SUMIF($C:$C,DJ$1,$F:$F)/COUNTIF($C:$C,DJ$1)</f>
        <v>3.1039999999999996</v>
      </c>
      <c r="DK5" s="523">
        <f>AVERAGE(DG5:DJ5)</f>
        <v>3.1039999999999996</v>
      </c>
      <c r="DL5" s="522">
        <f>SUMIF($C:$C,DL$1,$F:$F)/COUNTIF($C:$C,DL$1)</f>
        <v>3.1039999999999996</v>
      </c>
      <c r="DM5" s="522">
        <f>SUMIF($C:$C,DM$1,$F:$F)/COUNTIF($C:$C,DM$1)</f>
        <v>3.1039999999999996</v>
      </c>
      <c r="DN5" s="522">
        <f>SUMIF($C:$C,DN$1,$F:$F)/COUNTIF($C:$C,DN$1)</f>
        <v>3.1039999999999996</v>
      </c>
      <c r="DO5" s="522">
        <f>SUMIF($C:$C,DO$1,$F:$F)/COUNTIF($C:$C,DO$1)</f>
        <v>3.1039999999999996</v>
      </c>
      <c r="DP5" s="523">
        <f>AVERAGE(DL5:DO5)</f>
        <v>3.1039999999999996</v>
      </c>
    </row>
    <row r="6" spans="1:120" x14ac:dyDescent="0.2">
      <c r="A6" s="517">
        <f t="shared" si="3"/>
        <v>36526</v>
      </c>
      <c r="B6" s="517" t="str">
        <f t="shared" si="0"/>
        <v>1Q00</v>
      </c>
      <c r="C6" s="517" t="str">
        <f t="shared" si="4"/>
        <v>1Q00</v>
      </c>
      <c r="D6" s="518">
        <f t="shared" si="5"/>
        <v>36595</v>
      </c>
      <c r="E6" s="518">
        <f t="shared" si="5"/>
        <v>36535</v>
      </c>
      <c r="F6" s="520">
        <v>1.3069999999999999</v>
      </c>
      <c r="G6" s="521">
        <f t="shared" si="1"/>
        <v>0.04</v>
      </c>
      <c r="H6" s="521">
        <f t="shared" si="2"/>
        <v>0.04</v>
      </c>
      <c r="I6" s="521">
        <f t="shared" ref="I6:J69" si="8">I5+0.05</f>
        <v>1.2</v>
      </c>
      <c r="J6" s="521">
        <f t="shared" si="6"/>
        <v>1.25</v>
      </c>
      <c r="K6" s="521">
        <f t="shared" ref="K6:K69" si="9">K5+0.01</f>
        <v>0.02</v>
      </c>
      <c r="L6" s="505"/>
      <c r="M6" s="505" t="s">
        <v>633</v>
      </c>
      <c r="N6" s="505">
        <f t="shared" si="7"/>
        <v>3</v>
      </c>
      <c r="O6" s="505">
        <v>1</v>
      </c>
      <c r="P6" s="524"/>
      <c r="Q6" s="522">
        <f t="shared" ref="Q6:CB6" si="10">Q4-Q5</f>
        <v>-3.0307692307692369E-2</v>
      </c>
      <c r="R6" s="522">
        <f t="shared" si="10"/>
        <v>8.0538461538461448E-2</v>
      </c>
      <c r="S6" s="522">
        <f t="shared" si="10"/>
        <v>2.553846153846151E-2</v>
      </c>
      <c r="T6" s="523">
        <f t="shared" si="10"/>
        <v>6.0442307692307518E-2</v>
      </c>
      <c r="U6" s="524">
        <f t="shared" si="10"/>
        <v>-9.061538461538432E-2</v>
      </c>
      <c r="V6" s="522">
        <f t="shared" si="10"/>
        <v>2.6538461538461622E-2</v>
      </c>
      <c r="W6" s="522">
        <f t="shared" si="10"/>
        <v>-2.8692307692307795E-2</v>
      </c>
      <c r="X6" s="522">
        <f t="shared" si="10"/>
        <v>-0.1482967032967033</v>
      </c>
      <c r="Y6" s="523">
        <f t="shared" si="10"/>
        <v>-6.0266483516483449E-2</v>
      </c>
      <c r="Z6" s="524">
        <f t="shared" si="10"/>
        <v>-1.2442307692307697E-2</v>
      </c>
      <c r="AA6" s="522">
        <f t="shared" si="10"/>
        <v>6.4230769230769091E-2</v>
      </c>
      <c r="AB6" s="522">
        <f t="shared" si="10"/>
        <v>5.0219780219780352E-2</v>
      </c>
      <c r="AC6" s="522">
        <f t="shared" si="10"/>
        <v>3.5384615384615126E-2</v>
      </c>
      <c r="AD6" s="523">
        <f t="shared" si="10"/>
        <v>3.4348214285714107E-2</v>
      </c>
      <c r="AE6" s="524">
        <f t="shared" si="10"/>
        <v>0.17953846153846165</v>
      </c>
      <c r="AF6" s="522">
        <f t="shared" si="10"/>
        <v>-0.17169230769230737</v>
      </c>
      <c r="AG6" s="522">
        <f t="shared" si="10"/>
        <v>2.7230769230768725E-2</v>
      </c>
      <c r="AH6" s="522">
        <f t="shared" si="10"/>
        <v>7.6153846153843574E-3</v>
      </c>
      <c r="AI6" s="523">
        <f t="shared" si="10"/>
        <v>1.067307692307673E-2</v>
      </c>
      <c r="AJ6" s="524">
        <f t="shared" si="10"/>
        <v>8.438461538461528E-2</v>
      </c>
      <c r="AK6" s="522">
        <f t="shared" si="10"/>
        <v>8.4769230769230486E-2</v>
      </c>
      <c r="AL6" s="522">
        <f t="shared" si="10"/>
        <v>9.6461538461538376E-2</v>
      </c>
      <c r="AM6" s="522">
        <f t="shared" si="10"/>
        <v>0.13096703296703271</v>
      </c>
      <c r="AN6" s="523">
        <f t="shared" si="10"/>
        <v>9.914560439560427E-2</v>
      </c>
      <c r="AO6" s="524">
        <f t="shared" si="10"/>
        <v>2.7653846153845585E-2</v>
      </c>
      <c r="AP6" s="522">
        <f t="shared" si="10"/>
        <v>9.223076923076956E-2</v>
      </c>
      <c r="AQ6" s="522">
        <f t="shared" si="10"/>
        <v>0.27377472527472557</v>
      </c>
      <c r="AR6" s="522">
        <f t="shared" si="10"/>
        <v>-0.10492307692307623</v>
      </c>
      <c r="AS6" s="523">
        <f t="shared" si="10"/>
        <v>7.2184065934066233E-2</v>
      </c>
      <c r="AT6" s="524">
        <f t="shared" si="10"/>
        <v>5.5384615384617142E-3</v>
      </c>
      <c r="AU6" s="522">
        <f t="shared" si="10"/>
        <v>0.23399999999999954</v>
      </c>
      <c r="AV6" s="522">
        <f t="shared" si="10"/>
        <v>1.0384615384616325E-2</v>
      </c>
      <c r="AW6" s="522">
        <f t="shared" si="10"/>
        <v>-0.20715384615384602</v>
      </c>
      <c r="AX6" s="523">
        <f t="shared" si="10"/>
        <v>1.069230769230689E-2</v>
      </c>
      <c r="AY6" s="524">
        <f t="shared" si="10"/>
        <v>1.5384615384572697E-4</v>
      </c>
      <c r="AZ6" s="522">
        <f t="shared" si="10"/>
        <v>0.13807692307692321</v>
      </c>
      <c r="BA6" s="522">
        <f t="shared" si="10"/>
        <v>6.7153846153845898E-2</v>
      </c>
      <c r="BB6" s="522">
        <f t="shared" si="10"/>
        <v>0.28728571428571437</v>
      </c>
      <c r="BC6" s="523">
        <f t="shared" si="10"/>
        <v>0.12316758241758308</v>
      </c>
      <c r="BD6" s="524">
        <f t="shared" si="10"/>
        <v>0.20207692307692238</v>
      </c>
      <c r="BE6" s="522">
        <f t="shared" si="10"/>
        <v>0.62861538461538391</v>
      </c>
      <c r="BF6" s="522">
        <f t="shared" si="10"/>
        <v>-0.28900000000000059</v>
      </c>
      <c r="BG6" s="522">
        <f t="shared" si="10"/>
        <v>-1.0443846153846161</v>
      </c>
      <c r="BH6" s="523">
        <f t="shared" si="10"/>
        <v>-0.12567307692307805</v>
      </c>
      <c r="BI6" s="524">
        <f t="shared" si="10"/>
        <v>-0.3468461538461538</v>
      </c>
      <c r="BJ6" s="522">
        <f t="shared" si="10"/>
        <v>0.17776923076923135</v>
      </c>
      <c r="BK6" s="522">
        <f t="shared" si="10"/>
        <v>0.16315384615384598</v>
      </c>
      <c r="BL6" s="522">
        <f t="shared" si="10"/>
        <v>9.7384615384614737E-2</v>
      </c>
      <c r="BM6" s="523">
        <f t="shared" si="10"/>
        <v>2.2865384615385231E-2</v>
      </c>
      <c r="BN6" s="524">
        <f t="shared" si="10"/>
        <v>5.9461538461538677E-2</v>
      </c>
      <c r="BO6" s="522">
        <f t="shared" si="10"/>
        <v>0.10946153846153805</v>
      </c>
      <c r="BP6" s="522">
        <f t="shared" si="10"/>
        <v>-4.2846153846153978E-2</v>
      </c>
      <c r="BQ6" s="522">
        <f t="shared" si="10"/>
        <v>0.15495054945054809</v>
      </c>
      <c r="BR6" s="523">
        <f t="shared" si="10"/>
        <v>7.0256868131867822E-2</v>
      </c>
      <c r="BS6" s="524">
        <f t="shared" si="10"/>
        <v>0.34848717948717933</v>
      </c>
      <c r="BT6" s="522">
        <f t="shared" si="10"/>
        <v>0.19799999999999995</v>
      </c>
      <c r="BU6" s="522">
        <f t="shared" si="10"/>
        <v>-9.915384615384637E-2</v>
      </c>
      <c r="BV6" s="522">
        <f t="shared" si="10"/>
        <v>4.4692307692306699E-2</v>
      </c>
      <c r="BW6" s="523">
        <f t="shared" si="10"/>
        <v>0.1230064102564099</v>
      </c>
      <c r="BX6" s="524">
        <f t="shared" si="10"/>
        <v>7.8769230769230258E-2</v>
      </c>
      <c r="BY6" s="522">
        <f t="shared" si="10"/>
        <v>-0.10523076923077124</v>
      </c>
      <c r="BZ6" s="522">
        <f t="shared" si="10"/>
        <v>0.11246153846153906</v>
      </c>
      <c r="CA6" s="522">
        <f t="shared" si="10"/>
        <v>-4.8115384615385004E-2</v>
      </c>
      <c r="CB6" s="523">
        <f t="shared" si="10"/>
        <v>9.4711538461536016E-3</v>
      </c>
      <c r="CC6" s="524">
        <f t="shared" ref="CC6:CL6" si="11">CC4-CC5</f>
        <v>7.2147435897435663E-2</v>
      </c>
      <c r="CD6" s="522">
        <f t="shared" si="11"/>
        <v>-0.14115384615384574</v>
      </c>
      <c r="CE6" s="522">
        <f t="shared" si="11"/>
        <v>4.8703296703295873E-2</v>
      </c>
      <c r="CF6" s="522">
        <f t="shared" si="11"/>
        <v>-5.0615384615384507E-2</v>
      </c>
      <c r="CG6" s="523">
        <f t="shared" si="11"/>
        <v>-1.7729624542124789E-2</v>
      </c>
      <c r="CH6" s="524">
        <f t="shared" si="11"/>
        <v>9.0230769230769337E-2</v>
      </c>
      <c r="CI6" s="522">
        <f t="shared" si="11"/>
        <v>-4.8846153846154206E-2</v>
      </c>
      <c r="CJ6" s="522">
        <f t="shared" si="11"/>
        <v>-7.5999999999998735E-2</v>
      </c>
      <c r="CK6" s="522">
        <f t="shared" si="11"/>
        <v>-0.20553846153846145</v>
      </c>
      <c r="CL6" s="523">
        <f t="shared" si="11"/>
        <v>-6.0038461538461263E-2</v>
      </c>
      <c r="CM6" s="524">
        <f t="shared" ref="CM6:CV6" si="12">CM4-CM5</f>
        <v>-0.44046153846153935</v>
      </c>
      <c r="CN6" s="522">
        <f t="shared" si="12"/>
        <v>-7.6923076923751665E-5</v>
      </c>
      <c r="CO6" s="522">
        <f t="shared" si="12"/>
        <v>-0.22461538461538488</v>
      </c>
      <c r="CP6" s="522">
        <f t="shared" si="12"/>
        <v>-0.10938461538461519</v>
      </c>
      <c r="CQ6" s="523">
        <f t="shared" si="12"/>
        <v>-0.19363461538461646</v>
      </c>
      <c r="CR6" s="524">
        <f t="shared" si="12"/>
        <v>-0.24784615384615405</v>
      </c>
      <c r="CS6" s="522">
        <f t="shared" si="12"/>
        <v>0.22400000000000064</v>
      </c>
      <c r="CT6" s="522">
        <f t="shared" si="12"/>
        <v>7.1153846153841904E-3</v>
      </c>
      <c r="CU6" s="522">
        <f t="shared" si="12"/>
        <v>6.2461538461538346E-2</v>
      </c>
      <c r="CV6" s="523">
        <f t="shared" si="12"/>
        <v>1.1432692307692172E-2</v>
      </c>
      <c r="CW6" s="524">
        <f t="shared" ref="CW6:DF6" si="13">CW4-CW5</f>
        <v>5.3230769230769859E-2</v>
      </c>
      <c r="CX6" s="522">
        <f t="shared" si="13"/>
        <v>-1.7307692307691802E-2</v>
      </c>
      <c r="CY6" s="522">
        <f t="shared" si="13"/>
        <v>9.6769230769230496E-2</v>
      </c>
      <c r="CZ6" s="522">
        <f t="shared" si="13"/>
        <v>0.13476923076923075</v>
      </c>
      <c r="DA6" s="523">
        <f t="shared" si="13"/>
        <v>6.6865384615384826E-2</v>
      </c>
      <c r="DB6" s="524">
        <f t="shared" si="13"/>
        <v>6.6307692307692623E-2</v>
      </c>
      <c r="DC6" s="522">
        <f t="shared" si="13"/>
        <v>5.3769230769229903E-2</v>
      </c>
      <c r="DD6" s="522">
        <f t="shared" si="13"/>
        <v>0</v>
      </c>
      <c r="DE6" s="522">
        <f t="shared" si="13"/>
        <v>0</v>
      </c>
      <c r="DF6" s="523">
        <f t="shared" si="13"/>
        <v>3.0019230769230631E-2</v>
      </c>
      <c r="DG6" s="524">
        <f t="shared" ref="DG6:DK6" si="14">DG4-DG5</f>
        <v>0</v>
      </c>
      <c r="DH6" s="522">
        <f t="shared" si="14"/>
        <v>0</v>
      </c>
      <c r="DI6" s="522">
        <f t="shared" si="14"/>
        <v>0</v>
      </c>
      <c r="DJ6" s="522">
        <f t="shared" si="14"/>
        <v>0</v>
      </c>
      <c r="DK6" s="523">
        <f t="shared" si="14"/>
        <v>0</v>
      </c>
      <c r="DL6" s="524">
        <f t="shared" ref="DL6:DP6" si="15">DL4-DL5</f>
        <v>0</v>
      </c>
      <c r="DM6" s="522">
        <f t="shared" si="15"/>
        <v>0</v>
      </c>
      <c r="DN6" s="522">
        <f t="shared" si="15"/>
        <v>0</v>
      </c>
      <c r="DO6" s="522">
        <f t="shared" si="15"/>
        <v>0</v>
      </c>
      <c r="DP6" s="523">
        <f t="shared" si="15"/>
        <v>0</v>
      </c>
    </row>
    <row r="7" spans="1:120" x14ac:dyDescent="0.2">
      <c r="A7" s="517">
        <f t="shared" si="3"/>
        <v>36526</v>
      </c>
      <c r="B7" s="517" t="str">
        <f t="shared" si="0"/>
        <v>1Q00</v>
      </c>
      <c r="C7" s="517" t="str">
        <f t="shared" si="4"/>
        <v>1Q00</v>
      </c>
      <c r="D7" s="518">
        <f t="shared" si="5"/>
        <v>36602</v>
      </c>
      <c r="E7" s="518">
        <f t="shared" si="5"/>
        <v>36542</v>
      </c>
      <c r="F7" s="520">
        <v>1.3069999999999999</v>
      </c>
      <c r="G7" s="521">
        <f t="shared" si="1"/>
        <v>0.04</v>
      </c>
      <c r="H7" s="521">
        <f t="shared" si="2"/>
        <v>6.0000000000000005E-2</v>
      </c>
      <c r="I7" s="521">
        <f t="shared" si="8"/>
        <v>1.25</v>
      </c>
      <c r="J7" s="521">
        <f t="shared" si="6"/>
        <v>1.3</v>
      </c>
      <c r="K7" s="521">
        <f t="shared" si="9"/>
        <v>0.03</v>
      </c>
      <c r="L7" s="505"/>
      <c r="M7" s="505"/>
      <c r="N7" s="505">
        <f t="shared" si="7"/>
        <v>4</v>
      </c>
      <c r="O7" s="505">
        <v>2</v>
      </c>
      <c r="P7" s="505"/>
      <c r="Q7" s="507"/>
      <c r="R7" s="507"/>
      <c r="S7" s="507"/>
      <c r="T7" s="525"/>
      <c r="U7" s="505"/>
      <c r="V7" s="507"/>
      <c r="W7" s="507"/>
      <c r="X7" s="507"/>
      <c r="Y7" s="525"/>
      <c r="Z7" s="505"/>
      <c r="AA7" s="507"/>
      <c r="AB7" s="507"/>
      <c r="AC7" s="507"/>
      <c r="AD7" s="525"/>
      <c r="AE7" s="505"/>
      <c r="AF7" s="507"/>
      <c r="AG7" s="507"/>
      <c r="AH7" s="507"/>
      <c r="AI7" s="525"/>
      <c r="AJ7" s="505"/>
      <c r="AK7" s="507"/>
      <c r="AL7" s="507"/>
      <c r="AM7" s="507"/>
      <c r="AN7" s="525"/>
      <c r="AO7" s="505"/>
      <c r="AP7" s="507"/>
      <c r="AQ7" s="507"/>
      <c r="AR7" s="507"/>
      <c r="AS7" s="525"/>
      <c r="AT7" s="505"/>
      <c r="AU7" s="507"/>
      <c r="AV7" s="507"/>
      <c r="AW7" s="507"/>
      <c r="AX7" s="525"/>
      <c r="AY7" s="505"/>
      <c r="AZ7" s="507"/>
      <c r="BA7" s="507"/>
      <c r="BB7" s="507"/>
      <c r="BC7" s="525"/>
      <c r="BD7" s="505"/>
      <c r="BE7" s="507"/>
      <c r="BF7" s="507"/>
      <c r="BG7" s="507"/>
      <c r="BH7" s="525"/>
      <c r="BI7" s="505"/>
      <c r="BJ7" s="507"/>
      <c r="BK7" s="507"/>
      <c r="BL7" s="507"/>
      <c r="BM7" s="525"/>
      <c r="BN7" s="505"/>
      <c r="BO7" s="507"/>
      <c r="BP7" s="507"/>
      <c r="BQ7" s="507"/>
      <c r="BR7" s="525"/>
      <c r="BS7" s="505"/>
      <c r="BT7" s="507"/>
      <c r="BU7" s="507"/>
      <c r="BV7" s="507"/>
      <c r="BW7" s="525"/>
      <c r="BX7" s="505"/>
      <c r="BY7" s="507"/>
      <c r="BZ7" s="507"/>
      <c r="CA7" s="507"/>
      <c r="CB7" s="525"/>
      <c r="CC7" s="505"/>
      <c r="CD7" s="507"/>
      <c r="CE7" s="507"/>
      <c r="CF7" s="507"/>
      <c r="CG7" s="525"/>
      <c r="CH7" s="505"/>
      <c r="CI7" s="507"/>
      <c r="CJ7" s="507"/>
      <c r="CK7" s="507"/>
      <c r="CL7" s="525"/>
      <c r="CM7" s="505"/>
      <c r="CN7" s="507"/>
      <c r="CO7" s="507"/>
      <c r="CP7" s="507"/>
      <c r="CQ7" s="525"/>
      <c r="CR7" s="505"/>
      <c r="CS7" s="507"/>
      <c r="CT7" s="507"/>
      <c r="CU7" s="507"/>
      <c r="CV7" s="525"/>
      <c r="CW7" s="505"/>
      <c r="CX7" s="507"/>
      <c r="CY7" s="507"/>
      <c r="CZ7" s="507"/>
      <c r="DA7" s="525"/>
      <c r="DB7" s="505"/>
      <c r="DC7" s="507"/>
      <c r="DD7" s="507"/>
      <c r="DE7" s="507"/>
      <c r="DF7" s="525"/>
      <c r="DG7" s="505"/>
      <c r="DH7" s="507"/>
      <c r="DI7" s="507"/>
      <c r="DJ7" s="507"/>
      <c r="DK7" s="525"/>
      <c r="DL7" s="505"/>
      <c r="DM7" s="507"/>
      <c r="DN7" s="507"/>
      <c r="DO7" s="507"/>
      <c r="DP7" s="525"/>
    </row>
    <row r="8" spans="1:120" x14ac:dyDescent="0.2">
      <c r="A8" s="517">
        <f t="shared" si="3"/>
        <v>36526</v>
      </c>
      <c r="B8" s="517" t="str">
        <f t="shared" si="0"/>
        <v>1Q00</v>
      </c>
      <c r="C8" s="517" t="str">
        <f t="shared" si="4"/>
        <v>1Q00</v>
      </c>
      <c r="D8" s="518">
        <f t="shared" si="5"/>
        <v>36609</v>
      </c>
      <c r="E8" s="518">
        <f t="shared" si="5"/>
        <v>36549</v>
      </c>
      <c r="F8" s="520">
        <v>1.4180000000000001</v>
      </c>
      <c r="G8" s="521">
        <f t="shared" si="1"/>
        <v>6.0000000000000005E-2</v>
      </c>
      <c r="H8" s="521">
        <f t="shared" si="2"/>
        <v>6.0000000000000005E-2</v>
      </c>
      <c r="I8" s="521">
        <f t="shared" si="8"/>
        <v>1.3</v>
      </c>
      <c r="J8" s="521">
        <f t="shared" si="6"/>
        <v>1.35</v>
      </c>
      <c r="K8" s="521">
        <f t="shared" si="9"/>
        <v>0.04</v>
      </c>
      <c r="L8" s="505"/>
      <c r="M8" s="508" t="s">
        <v>11</v>
      </c>
      <c r="N8" s="505">
        <f t="shared" si="7"/>
        <v>5</v>
      </c>
      <c r="O8" s="505">
        <v>2</v>
      </c>
      <c r="P8" s="505"/>
      <c r="Q8" s="507"/>
      <c r="R8" s="507"/>
      <c r="S8" s="507"/>
      <c r="T8" s="525"/>
      <c r="U8" s="505"/>
      <c r="V8" s="507"/>
      <c r="W8" s="507"/>
      <c r="X8" s="507"/>
      <c r="Y8" s="525"/>
      <c r="Z8" s="505"/>
      <c r="AA8" s="507"/>
      <c r="AB8" s="507"/>
      <c r="AC8" s="507"/>
      <c r="AD8" s="525"/>
      <c r="AE8" s="505"/>
      <c r="AF8" s="507"/>
      <c r="AG8" s="507"/>
      <c r="AH8" s="507"/>
      <c r="AI8" s="525"/>
      <c r="AJ8" s="505"/>
      <c r="AK8" s="507"/>
      <c r="AL8" s="507"/>
      <c r="AM8" s="507"/>
      <c r="AN8" s="525"/>
      <c r="AO8" s="505"/>
      <c r="AP8" s="507"/>
      <c r="AQ8" s="507"/>
      <c r="AR8" s="507"/>
      <c r="AS8" s="525"/>
      <c r="AT8" s="505"/>
      <c r="AU8" s="507"/>
      <c r="AV8" s="507"/>
      <c r="AW8" s="507"/>
      <c r="AX8" s="525"/>
      <c r="AY8" s="505"/>
      <c r="AZ8" s="507"/>
      <c r="BA8" s="507"/>
      <c r="BB8" s="507"/>
      <c r="BC8" s="525"/>
      <c r="BD8" s="505"/>
      <c r="BE8" s="507"/>
      <c r="BF8" s="507"/>
      <c r="BG8" s="507"/>
      <c r="BH8" s="525"/>
      <c r="BI8" s="505"/>
      <c r="BJ8" s="507"/>
      <c r="BK8" s="507"/>
      <c r="BL8" s="507"/>
      <c r="BM8" s="525"/>
      <c r="BN8" s="505"/>
      <c r="BO8" s="507"/>
      <c r="BP8" s="507"/>
      <c r="BQ8" s="507"/>
      <c r="BR8" s="525"/>
      <c r="BS8" s="505"/>
      <c r="BT8" s="507"/>
      <c r="BU8" s="507"/>
      <c r="BV8" s="507"/>
      <c r="BW8" s="525"/>
      <c r="BX8" s="505"/>
      <c r="BY8" s="507"/>
      <c r="BZ8" s="507"/>
      <c r="CA8" s="507"/>
      <c r="CB8" s="525"/>
      <c r="CC8" s="505"/>
      <c r="CD8" s="507"/>
      <c r="CE8" s="507"/>
      <c r="CF8" s="507"/>
      <c r="CG8" s="525"/>
      <c r="CH8" s="505"/>
      <c r="CI8" s="507"/>
      <c r="CJ8" s="507"/>
      <c r="CK8" s="507"/>
      <c r="CL8" s="525"/>
      <c r="CM8" s="505"/>
      <c r="CN8" s="507"/>
      <c r="CO8" s="507"/>
      <c r="CP8" s="507"/>
      <c r="CQ8" s="525"/>
      <c r="CR8" s="505"/>
      <c r="CS8" s="507"/>
      <c r="CT8" s="507"/>
      <c r="CU8" s="507"/>
      <c r="CV8" s="525"/>
      <c r="CW8" s="505"/>
      <c r="CX8" s="507"/>
      <c r="CY8" s="507"/>
      <c r="CZ8" s="507"/>
      <c r="DA8" s="525"/>
      <c r="DB8" s="505"/>
      <c r="DC8" s="507"/>
      <c r="DD8" s="507"/>
      <c r="DE8" s="507"/>
      <c r="DF8" s="525"/>
      <c r="DG8" s="505"/>
      <c r="DH8" s="507"/>
      <c r="DI8" s="507"/>
      <c r="DJ8" s="507"/>
      <c r="DK8" s="525"/>
      <c r="DL8" s="505"/>
      <c r="DM8" s="507"/>
      <c r="DN8" s="507"/>
      <c r="DO8" s="507"/>
      <c r="DP8" s="525"/>
    </row>
    <row r="9" spans="1:120" x14ac:dyDescent="0.2">
      <c r="A9" s="517">
        <f t="shared" si="3"/>
        <v>36526</v>
      </c>
      <c r="B9" s="517" t="str">
        <f t="shared" si="0"/>
        <v>1Q00</v>
      </c>
      <c r="C9" s="517" t="str">
        <f t="shared" si="4"/>
        <v>1Q00</v>
      </c>
      <c r="D9" s="518">
        <f t="shared" si="5"/>
        <v>36616</v>
      </c>
      <c r="E9" s="518">
        <f t="shared" si="5"/>
        <v>36556</v>
      </c>
      <c r="F9" s="520">
        <v>1.4390000000000001</v>
      </c>
      <c r="G9" s="521">
        <f t="shared" si="1"/>
        <v>6.0000000000000005E-2</v>
      </c>
      <c r="H9" s="521">
        <f t="shared" si="2"/>
        <v>7.0000000000000007E-2</v>
      </c>
      <c r="I9" s="521">
        <f t="shared" si="8"/>
        <v>1.35</v>
      </c>
      <c r="J9" s="521">
        <f t="shared" si="6"/>
        <v>1.4000000000000001</v>
      </c>
      <c r="K9" s="521">
        <f t="shared" si="9"/>
        <v>0.05</v>
      </c>
      <c r="L9" s="505"/>
      <c r="M9" s="508" t="s">
        <v>322</v>
      </c>
      <c r="N9" s="505">
        <f t="shared" si="7"/>
        <v>6</v>
      </c>
      <c r="O9" s="505">
        <v>2</v>
      </c>
      <c r="P9" s="522"/>
      <c r="Q9" s="522">
        <f>SUMIF($B:$B,Q$1,$G:$G)/COUNTIF($B:$B,Q$1)</f>
        <v>5.9230769230769247E-2</v>
      </c>
      <c r="R9" s="522">
        <f>SUMIF($B:$B,R$1,$G:$G)/COUNTIF($B:$B,R$1)</f>
        <v>7.6923076923076913E-2</v>
      </c>
      <c r="S9" s="522">
        <f>SUMIF($B:$B,S$1,$G:$G)/COUNTIF($B:$B,S$1)</f>
        <v>9.6923076923076917E-2</v>
      </c>
      <c r="T9" s="523">
        <f>AVERAGE(P9:S9)</f>
        <v>7.7692307692307686E-2</v>
      </c>
      <c r="U9" s="522">
        <f>SUMIF($B:$B,U$1,$G:$G)/COUNTIF($B:$B,U$1)</f>
        <v>7.0769230769230793E-2</v>
      </c>
      <c r="V9" s="522">
        <f>SUMIF($B:$B,V$1,$G:$G)/COUNTIF($B:$B,V$1)</f>
        <v>6.5384615384615388E-2</v>
      </c>
      <c r="W9" s="522">
        <f>SUMIF($B:$B,W$1,$G:$G)/COUNTIF($B:$B,W$1)</f>
        <v>5.6923076923076923E-2</v>
      </c>
      <c r="X9" s="522">
        <f>SUMIF($B:$B,X$1,$G:$G)/COUNTIF($B:$B,X$1)</f>
        <v>2.7142857142857153E-2</v>
      </c>
      <c r="Y9" s="523">
        <f>AVERAGE(U9:X9)</f>
        <v>5.5054945054945063E-2</v>
      </c>
      <c r="Z9" s="522">
        <f>SUMIF($B:$B,Z$1,$G:$G)/COUNTIF($B:$B,Z$1)</f>
        <v>1.1666666666666667E-2</v>
      </c>
      <c r="AA9" s="522">
        <f>SUMIF($B:$B,AA$1,$G:$G)/COUNTIF($B:$B,AA$1)</f>
        <v>3.6153846153846154E-2</v>
      </c>
      <c r="AB9" s="522">
        <f>SUMIF($B:$B,AB$1,$G:$G)/COUNTIF($B:$B,AB$1)</f>
        <v>4.5000000000000005E-2</v>
      </c>
      <c r="AC9" s="522">
        <f>SUMIF($B:$B,AC$1,$G:$G)/COUNTIF($B:$B,AC$1)</f>
        <v>6.3846153846153872E-2</v>
      </c>
      <c r="AD9" s="523">
        <f>AVERAGE(Z9:AC9)</f>
        <v>3.9166666666666669E-2</v>
      </c>
      <c r="AE9" s="522">
        <f>SUMIF($B:$B,AE$1,$G:$G)/COUNTIF($B:$B,AE$1)</f>
        <v>0.10153846153846152</v>
      </c>
      <c r="AF9" s="522">
        <f>SUMIF($B:$B,AF$1,$G:$G)/COUNTIF($B:$B,AF$1)</f>
        <v>6.7692307692307718E-2</v>
      </c>
      <c r="AG9" s="522">
        <f>SUMIF($B:$B,AG$1,$G:$G)/COUNTIF($B:$B,AG$1)</f>
        <v>6.6923076923076932E-2</v>
      </c>
      <c r="AH9" s="522">
        <f>SUMIF($B:$B,AH$1,$G:$G)/COUNTIF($B:$B,AH$1)</f>
        <v>7.1538461538461551E-2</v>
      </c>
      <c r="AI9" s="523">
        <f>AVERAGE(AE9:AH9)</f>
        <v>7.6923076923076927E-2</v>
      </c>
      <c r="AJ9" s="522">
        <f>SUMIF($B:$B,AJ$1,$G:$G)/COUNTIF($B:$B,AJ$1)</f>
        <v>9.3076923076923071E-2</v>
      </c>
      <c r="AK9" s="522">
        <f>SUMIF($B:$B,AK$1,$G:$G)/COUNTIF($B:$B,AK$1)</f>
        <v>0.11769230769230764</v>
      </c>
      <c r="AL9" s="522">
        <f>SUMIF($B:$B,AL$1,$G:$G)/COUNTIF($B:$B,AL$1)</f>
        <v>0.1415384615384615</v>
      </c>
      <c r="AM9" s="522">
        <f>SUMIF($B:$B,AM$1,$G:$G)/COUNTIF($B:$B,AM$1)</f>
        <v>0.19538461538461538</v>
      </c>
      <c r="AN9" s="523">
        <f>AVERAGE(AJ9:AM9)</f>
        <v>0.1369230769230769</v>
      </c>
      <c r="AO9" s="522">
        <f>SUMIF($B:$B,AO$1,$G:$G)/COUNTIF($B:$B,AO$1)</f>
        <v>0.18615384615384614</v>
      </c>
      <c r="AP9" s="522">
        <f>SUMIF($B:$B,AP$1,$G:$G)/COUNTIF($B:$B,AP$1)</f>
        <v>0.22692307692307701</v>
      </c>
      <c r="AQ9" s="522">
        <f>SUMIF($B:$B,AQ$1,$G:$G)/COUNTIF($B:$B,AQ$1)</f>
        <v>0.28461538461538471</v>
      </c>
      <c r="AR9" s="522">
        <f>SUMIF($B:$B,AR$1,$G:$G)/COUNTIF($B:$B,AR$1)</f>
        <v>0.32153846153846172</v>
      </c>
      <c r="AS9" s="523">
        <f>AVERAGE(AO9:AR9)</f>
        <v>0.2548076923076924</v>
      </c>
      <c r="AT9" s="522">
        <f>SUMIF($B:$B,AT$1,$G:$G)/COUNTIF($B:$B,AT$1)</f>
        <v>0.27307692307692316</v>
      </c>
      <c r="AU9" s="522">
        <f>SUMIF($B:$B,AU$1,$G:$G)/COUNTIF($B:$B,AU$1)</f>
        <v>0.34384615384615402</v>
      </c>
      <c r="AV9" s="522">
        <f>SUMIF($B:$B,AV$1,$G:$G)/COUNTIF($B:$B,AV$1)</f>
        <v>0.35923076923076941</v>
      </c>
      <c r="AW9" s="522">
        <f>SUMIF($B:$B,AW$1,$G:$G)/COUNTIF($B:$B,AW$1)</f>
        <v>0.2876923076923078</v>
      </c>
      <c r="AX9" s="523">
        <f>AVERAGE(AT9:AW9)</f>
        <v>0.31596153846153863</v>
      </c>
      <c r="AY9" s="522">
        <f>SUMIF($B:$B,AY$1,$G:$G)/COUNTIF($B:$B,AY$1)</f>
        <v>0.28307692307692317</v>
      </c>
      <c r="AZ9" s="522">
        <f>SUMIF($B:$B,AZ$1,$G:$G)/COUNTIF($B:$B,AZ$1)</f>
        <v>0.33769230769230779</v>
      </c>
      <c r="BA9" s="522">
        <f>SUMIF($B:$B,BA$1,$G:$G)/COUNTIF($B:$B,BA$1)</f>
        <v>0.35230769230769243</v>
      </c>
      <c r="BB9" s="522">
        <f>SUMIF($B:$B,BB$1,$G:$G)/COUNTIF($B:$B,BB$1)</f>
        <v>0.42714285714285744</v>
      </c>
      <c r="BC9" s="523">
        <f>AVERAGE(AY9:BB9)</f>
        <v>0.35005494505494522</v>
      </c>
      <c r="BD9" s="522">
        <f>SUMIF($B:$B,BD$1,$G:$G)/COUNTIF($B:$B,BD$1)</f>
        <v>0.48538461538461564</v>
      </c>
      <c r="BE9" s="522">
        <f>SUMIF($B:$B,BE$1,$G:$G)/COUNTIF($B:$B,BE$1)</f>
        <v>0.65692307692307739</v>
      </c>
      <c r="BF9" s="522">
        <f>SUMIF($B:$B,BF$1,$G:$G)/COUNTIF($B:$B,BF$1)</f>
        <v>0.6407692307692312</v>
      </c>
      <c r="BG9" s="522">
        <f>SUMIF($B:$B,BG$1,$G:$G)/COUNTIF($B:$B,BG$1)</f>
        <v>0.36076923076923095</v>
      </c>
      <c r="BH9" s="523">
        <f>AVERAGE(BD9:BG9)</f>
        <v>0.53596153846153882</v>
      </c>
      <c r="BI9" s="522">
        <f>SUMIF($B:$B,BI$1,$G:$G)/COUNTIF($B:$B,BI$1)</f>
        <v>0.21076923076923082</v>
      </c>
      <c r="BJ9" s="522">
        <f>SUMIF($B:$B,BJ$1,$G:$G)/COUNTIF($B:$B,BJ$1)</f>
        <v>0.24384615384615391</v>
      </c>
      <c r="BK9" s="522">
        <f>SUMIF($B:$B,BK$1,$G:$G)/COUNTIF($B:$B,BK$1)</f>
        <v>0.29538461538461552</v>
      </c>
      <c r="BL9" s="522">
        <f>SUMIF($B:$B,BL$1,$G:$G)/COUNTIF($B:$B,BL$1)</f>
        <v>0.32384615384615401</v>
      </c>
      <c r="BM9" s="523">
        <f>AVERAGE(BI9:BL9)</f>
        <v>0.26846153846153853</v>
      </c>
      <c r="BN9" s="522">
        <f>SUMIF($B:$B,BN$1,$G:$G)/COUNTIF($B:$B,BN$1)</f>
        <v>0.34538461538461551</v>
      </c>
      <c r="BO9" s="522">
        <f>SUMIF($B:$B,BO$1,$G:$G)/COUNTIF($B:$B,BO$1)</f>
        <v>0.38076923076923092</v>
      </c>
      <c r="BP9" s="522">
        <f>SUMIF($B:$B,BP$1,$G:$G)/COUNTIF($B:$B,BP$1)</f>
        <v>0.36307692307692324</v>
      </c>
      <c r="BQ9" s="522">
        <f>SUMIF($B:$B,BQ$1,$G:$G)/COUNTIF($B:$B,BQ$1)</f>
        <v>0.40384615384615408</v>
      </c>
      <c r="BR9" s="523">
        <f>AVERAGE(BN9:BQ9)</f>
        <v>0.37326923076923091</v>
      </c>
      <c r="BS9" s="522">
        <f>SUMIF($B:$B,BS$1,$G:$G)/COUNTIF($B:$B,BS$1)</f>
        <v>0.49692307692307724</v>
      </c>
      <c r="BT9" s="522">
        <f>SUMIF($B:$B,BT$1,$G:$G)/COUNTIF($B:$B,BT$1)</f>
        <v>0.5784615384615388</v>
      </c>
      <c r="BU9" s="522">
        <f>SUMIF($B:$B,BU$1,$G:$G)/COUNTIF($B:$B,BU$1)</f>
        <v>0.54769230769230792</v>
      </c>
      <c r="BV9" s="522">
        <f>SUMIF($B:$B,BV$1,$G:$G)/COUNTIF($B:$B,BV$1)</f>
        <v>0.54769230769230792</v>
      </c>
      <c r="BW9" s="523">
        <f>AVERAGE(BS9:BV9)</f>
        <v>0.54269230769230803</v>
      </c>
      <c r="BX9" s="522">
        <f>SUMIF($B:$B,BX$1,$G:$G)/COUNTIF($B:$B,BX$1)</f>
        <v>0.5669230769230772</v>
      </c>
      <c r="BY9" s="522">
        <f>SUMIF($B:$B,BY$1,$G:$G)/COUNTIF($B:$B,BY$1)</f>
        <v>0.56692307692307731</v>
      </c>
      <c r="BZ9" s="522">
        <f>SUMIF($B:$B,BZ$1,$G:$G)/COUNTIF($B:$B,BZ$1)</f>
        <v>0.5584615384615389</v>
      </c>
      <c r="CA9" s="522">
        <f>SUMIF($B:$B,CA$1,$G:$G)/COUNTIF($B:$B,CA$1)</f>
        <v>0.57857142857142885</v>
      </c>
      <c r="CB9" s="523">
        <f>AVERAGE(BX9:CA9)</f>
        <v>0.56771978021978053</v>
      </c>
      <c r="CC9" s="522">
        <f>SUMIF($B:$B,CC$1,$G:$G)/COUNTIF($B:$B,CC$1)</f>
        <v>0.581666666666667</v>
      </c>
      <c r="CD9" s="522">
        <f>SUMIF($B:$B,CD$1,$G:$G)/COUNTIF($B:$B,CD$1)</f>
        <v>0.55076923076923101</v>
      </c>
      <c r="CE9" s="522">
        <f>SUMIF($B:$B,CE$1,$G:$G)/COUNTIF($B:$B,CE$1)</f>
        <v>0.55785714285714316</v>
      </c>
      <c r="CF9" s="522">
        <f>SUMIF($B:$B,CF$1,$G:$G)/COUNTIF($B:$B,CF$1)</f>
        <v>0.54846153846153878</v>
      </c>
      <c r="CG9" s="523">
        <f>AVERAGE(CC9:CF9)</f>
        <v>0.5596886446886451</v>
      </c>
      <c r="CH9" s="522">
        <f>SUMIF($B:$B,CH$1,$G:$G)/COUNTIF($B:$B,CH$1)</f>
        <v>0.56846153846153868</v>
      </c>
      <c r="CI9" s="522">
        <f>SUMIF($B:$B,CI$1,$G:$G)/COUNTIF($B:$B,CI$1)</f>
        <v>0.56230769230769273</v>
      </c>
      <c r="CJ9" s="522">
        <f>SUMIF($B:$B,CJ$1,$G:$G)/COUNTIF($B:$B,CJ$1)</f>
        <v>0.54307692307692323</v>
      </c>
      <c r="CK9" s="522">
        <f>SUMIF($B:$B,CK$1,$G:$G)/COUNTIF($B:$B,CK$1)</f>
        <v>0.48846153846153861</v>
      </c>
      <c r="CL9" s="523">
        <f>AVERAGE(CH9:CK9)</f>
        <v>0.54057692307692329</v>
      </c>
      <c r="CM9" s="522">
        <f>SUMIF($B:$B,CM$1,$G:$G)/COUNTIF($B:$B,CM$1)</f>
        <v>0.35846153846153866</v>
      </c>
      <c r="CN9" s="522">
        <f>SUMIF($B:$B,CN$1,$G:$G)/COUNTIF($B:$B,CN$1)</f>
        <v>0.34615384615384631</v>
      </c>
      <c r="CO9" s="522">
        <f>SUMIF($B:$B,CO$1,$G:$G)/COUNTIF($B:$B,CO$1)</f>
        <v>0.3007692307692309</v>
      </c>
      <c r="CP9" s="522">
        <f>SUMIF($B:$B,CP$1,$G:$G)/COUNTIF($B:$B,CP$1)</f>
        <v>0.26076923076923086</v>
      </c>
      <c r="CQ9" s="523">
        <f>AVERAGE(CM9:CP9)</f>
        <v>0.31653846153846171</v>
      </c>
      <c r="CR9" s="522">
        <f>SUMIF($B:$B,CR$1,$G:$G)/COUNTIF($B:$B,CR$1)</f>
        <v>0.18923076923076926</v>
      </c>
      <c r="CS9" s="522">
        <f>SUMIF($B:$B,CS$1,$G:$G)/COUNTIF($B:$B,CS$1)</f>
        <v>0.2346153846153847</v>
      </c>
      <c r="CT9" s="522">
        <f>SUMIF($B:$B,CT$1,$G:$G)/COUNTIF($B:$B,CT$1)</f>
        <v>0.2515384615384616</v>
      </c>
      <c r="CU9" s="522">
        <f>SUMIF($B:$B,CU$1,$G:$G)/COUNTIF($B:$B,CU$1)</f>
        <v>0.26692307692307699</v>
      </c>
      <c r="CV9" s="523">
        <f>AVERAGE(CR9:CU9)</f>
        <v>0.23557692307692313</v>
      </c>
      <c r="CW9" s="522">
        <f>SUMIF($B:$B,CW$1,$G:$G)/COUNTIF($B:$B,CW$1)</f>
        <v>0.28846153846153855</v>
      </c>
      <c r="CX9" s="522">
        <f>SUMIF($B:$B,CX$1,$G:$G)/COUNTIF($B:$B,CX$1)</f>
        <v>0.28461538461538471</v>
      </c>
      <c r="CY9" s="522">
        <f>SUMIF($B:$B,CY$1,$G:$G)/COUNTIF($B:$B,CY$1)</f>
        <v>0.29769230769230781</v>
      </c>
      <c r="CZ9" s="522">
        <f>SUMIF($B:$B,CZ$1,$G:$G)/COUNTIF($B:$B,CZ$1)</f>
        <v>0.34846153846153871</v>
      </c>
      <c r="DA9" s="523">
        <f>AVERAGE(CW9:CZ9)</f>
        <v>0.30480769230769245</v>
      </c>
      <c r="DB9" s="522">
        <f>SUMIF($B:$B,DB$1,$G:$G)/COUNTIF($B:$B,DB$1)</f>
        <v>0.37846153846153868</v>
      </c>
      <c r="DC9" s="522">
        <f>SUMIF($B:$B,DC$1,$G:$G)/COUNTIF($B:$B,DC$1)</f>
        <v>0.39692307692307721</v>
      </c>
      <c r="DD9" s="522">
        <f>SUMIF($B:$B,DD$1,$G:$G)/COUNTIF($B:$B,DD$1)</f>
        <v>0.4000000000000003</v>
      </c>
      <c r="DE9" s="522">
        <f>SUMIF($B:$B,DE$1,$G:$G)/COUNTIF($B:$B,DE$1)</f>
        <v>0.4000000000000003</v>
      </c>
      <c r="DF9" s="523">
        <f>AVERAGE(DB9:DE9)</f>
        <v>0.39384615384615412</v>
      </c>
      <c r="DG9" s="522">
        <f>SUMIF($B:$B,DG$1,$G:$G)/COUNTIF($B:$B,DG$1)</f>
        <v>0.4000000000000003</v>
      </c>
      <c r="DH9" s="522">
        <f>SUMIF($B:$B,DH$1,$G:$G)/COUNTIF($B:$B,DH$1)</f>
        <v>0.4000000000000003</v>
      </c>
      <c r="DI9" s="522">
        <f>SUMIF($B:$B,DI$1,$G:$G)/COUNTIF($B:$B,DI$1)</f>
        <v>0.4000000000000003</v>
      </c>
      <c r="DJ9" s="522">
        <f>SUMIF($B:$B,DJ$1,$G:$G)/COUNTIF($B:$B,DJ$1)</f>
        <v>0.4000000000000003</v>
      </c>
      <c r="DK9" s="523">
        <f>AVERAGE(DG9:DJ9)</f>
        <v>0.4000000000000003</v>
      </c>
      <c r="DL9" s="522">
        <f>SUMIF($B:$B,DL$1,$G:$G)/COUNTIF($B:$B,DL$1)</f>
        <v>0.4000000000000003</v>
      </c>
      <c r="DM9" s="522">
        <f>SUMIF($B:$B,DM$1,$G:$G)/COUNTIF($B:$B,DM$1)</f>
        <v>0.4000000000000003</v>
      </c>
      <c r="DN9" s="522">
        <f>SUMIF($B:$B,DN$1,$G:$G)/COUNTIF($B:$B,DN$1)</f>
        <v>0.4000000000000003</v>
      </c>
      <c r="DO9" s="522">
        <f>SUMIF($B:$B,DO$1,$G:$G)/COUNTIF($B:$B,DO$1)</f>
        <v>0.4000000000000003</v>
      </c>
      <c r="DP9" s="523">
        <f>AVERAGE(DL9:DO9)</f>
        <v>0.4000000000000003</v>
      </c>
    </row>
    <row r="10" spans="1:120" x14ac:dyDescent="0.2">
      <c r="A10" s="517">
        <f t="shared" si="3"/>
        <v>36557</v>
      </c>
      <c r="B10" s="517" t="str">
        <f t="shared" si="0"/>
        <v>1Q00</v>
      </c>
      <c r="C10" s="517" t="str">
        <f t="shared" si="4"/>
        <v>2Q00</v>
      </c>
      <c r="D10" s="518">
        <f t="shared" si="5"/>
        <v>36623</v>
      </c>
      <c r="E10" s="518">
        <f t="shared" si="5"/>
        <v>36563</v>
      </c>
      <c r="F10" s="520">
        <v>1.47</v>
      </c>
      <c r="G10" s="521">
        <f t="shared" si="1"/>
        <v>7.0000000000000007E-2</v>
      </c>
      <c r="H10" s="521">
        <f t="shared" si="2"/>
        <v>7.0000000000000007E-2</v>
      </c>
      <c r="I10" s="521">
        <f t="shared" si="8"/>
        <v>1.4000000000000001</v>
      </c>
      <c r="J10" s="521">
        <f t="shared" si="6"/>
        <v>1.4500000000000002</v>
      </c>
      <c r="K10" s="521">
        <f t="shared" si="9"/>
        <v>6.0000000000000005E-2</v>
      </c>
      <c r="L10" s="505"/>
      <c r="M10" s="508" t="s">
        <v>323</v>
      </c>
      <c r="N10" s="505">
        <f t="shared" si="7"/>
        <v>7</v>
      </c>
      <c r="O10" s="505">
        <v>3</v>
      </c>
      <c r="P10" s="522"/>
      <c r="Q10" s="522">
        <f>SUMIF($B:$B,Q$1,$H:$H)/COUNTIF($B:$B,Q$1)</f>
        <v>6.0000000000000019E-2</v>
      </c>
      <c r="R10" s="522">
        <f>SUMIF($B:$B,R$1,$H:$H)/COUNTIF($B:$B,R$1)</f>
        <v>7.923076923076923E-2</v>
      </c>
      <c r="S10" s="522">
        <f>SUMIF($B:$B,S$1,$H:$H)/COUNTIF($B:$B,S$1)</f>
        <v>9.5384615384615387E-2</v>
      </c>
      <c r="T10" s="523">
        <f>AVERAGE(P10:S10)</f>
        <v>7.8205128205128205E-2</v>
      </c>
      <c r="U10" s="522">
        <f>SUMIF($B:$B,U$1,$H:$H)/COUNTIF($B:$B,U$1)</f>
        <v>6.846153846153849E-2</v>
      </c>
      <c r="V10" s="522">
        <f>SUMIF($B:$B,V$1,$H:$H)/COUNTIF($B:$B,V$1)</f>
        <v>6.615384615384616E-2</v>
      </c>
      <c r="W10" s="522">
        <f>SUMIF($B:$B,W$1,$H:$H)/COUNTIF($B:$B,W$1)</f>
        <v>5.6153846153846151E-2</v>
      </c>
      <c r="X10" s="522">
        <f>SUMIF($B:$B,X$1,$H:$H)/COUNTIF($B:$B,X$1)</f>
        <v>2.4285714285714292E-2</v>
      </c>
      <c r="Y10" s="523">
        <f>AVERAGE(U10:X10)</f>
        <v>5.3763736263736275E-2</v>
      </c>
      <c r="Z10" s="522">
        <f>SUMIF($B:$B,Z$1,$H:$H)/COUNTIF($B:$B,Z$1)</f>
        <v>1.3333333333333334E-2</v>
      </c>
      <c r="AA10" s="522">
        <f>SUMIF($B:$B,AA$1,$H:$H)/COUNTIF($B:$B,AA$1)</f>
        <v>3.6153846153846161E-2</v>
      </c>
      <c r="AB10" s="522">
        <f>SUMIF($B:$B,AB$1,$H:$H)/COUNTIF($B:$B,AB$1)</f>
        <v>4.7857142857142869E-2</v>
      </c>
      <c r="AC10" s="522">
        <f>SUMIF($B:$B,AC$1,$H:$H)/COUNTIF($B:$B,AC$1)</f>
        <v>6.461538461538463E-2</v>
      </c>
      <c r="AD10" s="523">
        <f>AVERAGE(Z10:AC10)</f>
        <v>4.0489926739926747E-2</v>
      </c>
      <c r="AE10" s="522">
        <f>SUMIF($B:$B,AE$1,$H:$H)/COUNTIF($B:$B,AE$1)</f>
        <v>0.10230769230769234</v>
      </c>
      <c r="AF10" s="522">
        <f>SUMIF($B:$B,AF$1,$H:$H)/COUNTIF($B:$B,AF$1)</f>
        <v>6.5384615384615402E-2</v>
      </c>
      <c r="AG10" s="522">
        <f>SUMIF($B:$B,AG$1,$H:$H)/COUNTIF($B:$B,AG$1)</f>
        <v>6.6923076923076946E-2</v>
      </c>
      <c r="AH10" s="522">
        <f>SUMIF($B:$B,AH$1,$H:$H)/COUNTIF($B:$B,AH$1)</f>
        <v>7.3076923076923081E-2</v>
      </c>
      <c r="AI10" s="523">
        <f>AVERAGE(AE10:AH10)</f>
        <v>7.6923076923076941E-2</v>
      </c>
      <c r="AJ10" s="522">
        <f>SUMIF($B:$B,AJ$1,$H:$H)/COUNTIF($B:$B,AJ$1)</f>
        <v>9.4615384615384615E-2</v>
      </c>
      <c r="AK10" s="522">
        <f>SUMIF($B:$B,AK$1,$H:$H)/COUNTIF($B:$B,AK$1)</f>
        <v>0.1192307692307692</v>
      </c>
      <c r="AL10" s="522">
        <f>SUMIF($B:$B,AL$1,$H:$H)/COUNTIF($B:$B,AL$1)</f>
        <v>0.14692307692307688</v>
      </c>
      <c r="AM10" s="522">
        <f>SUMIF($B:$B,AM$1,$H:$H)/COUNTIF($B:$B,AM$1)</f>
        <v>0.19384615384615383</v>
      </c>
      <c r="AN10" s="523">
        <f>AVERAGE(AJ10:AM10)</f>
        <v>0.13865384615384613</v>
      </c>
      <c r="AO10" s="522">
        <f>SUMIF($B:$B,AO$1,$H:$H)/COUNTIF($B:$B,AO$1)</f>
        <v>0.19153846153846155</v>
      </c>
      <c r="AP10" s="522">
        <f>SUMIF($B:$B,AP$1,$H:$H)/COUNTIF($B:$B,AP$1)</f>
        <v>0.22692307692307701</v>
      </c>
      <c r="AQ10" s="522">
        <f>SUMIF($B:$B,AQ$1,$H:$H)/COUNTIF($B:$B,AQ$1)</f>
        <v>0.29692307692307707</v>
      </c>
      <c r="AR10" s="522">
        <f>SUMIF($B:$B,AR$1,$H:$H)/COUNTIF($B:$B,AR$1)</f>
        <v>0.31076923076923091</v>
      </c>
      <c r="AS10" s="523">
        <f>AVERAGE(AO10:AR10)</f>
        <v>0.2565384615384616</v>
      </c>
      <c r="AT10" s="522">
        <f>SUMIF($B:$B,AT$1,$H:$H)/COUNTIF($B:$B,AT$1)</f>
        <v>0.27615384615384625</v>
      </c>
      <c r="AU10" s="522">
        <f>SUMIF($B:$B,AU$1,$H:$H)/COUNTIF($B:$B,AU$1)</f>
        <v>0.34769230769230786</v>
      </c>
      <c r="AV10" s="522">
        <f>SUMIF($B:$B,AV$1,$H:$H)/COUNTIF($B:$B,AV$1)</f>
        <v>0.35384615384615403</v>
      </c>
      <c r="AW10" s="522">
        <f>SUMIF($B:$B,AW$1,$H:$H)/COUNTIF($B:$B,AW$1)</f>
        <v>0.28846153846153855</v>
      </c>
      <c r="AX10" s="523">
        <f>AVERAGE(AT10:AW10)</f>
        <v>0.31653846153846166</v>
      </c>
      <c r="AY10" s="522">
        <f>SUMIF($B:$B,AY$1,$H:$H)/COUNTIF($B:$B,AY$1)</f>
        <v>0.28615384615384626</v>
      </c>
      <c r="AZ10" s="522">
        <f>SUMIF($B:$B,AZ$1,$H:$H)/COUNTIF($B:$B,AZ$1)</f>
        <v>0.33846153846153865</v>
      </c>
      <c r="BA10" s="522">
        <f>SUMIF($B:$B,BA$1,$H:$H)/COUNTIF($B:$B,BA$1)</f>
        <v>0.35538461538461552</v>
      </c>
      <c r="BB10" s="522">
        <f>SUMIF($B:$B,BB$1,$H:$H)/COUNTIF($B:$B,BB$1)</f>
        <v>0.43214285714285744</v>
      </c>
      <c r="BC10" s="523">
        <f>AVERAGE(AY10:BB10)</f>
        <v>0.35303571428571445</v>
      </c>
      <c r="BD10" s="522">
        <f>SUMIF($B:$B,BD$1,$H:$H)/COUNTIF($B:$B,BD$1)</f>
        <v>0.49461538461538485</v>
      </c>
      <c r="BE10" s="522">
        <f>SUMIF($B:$B,BE$1,$H:$H)/COUNTIF($B:$B,BE$1)</f>
        <v>0.66846153846153888</v>
      </c>
      <c r="BF10" s="522">
        <f>SUMIF($B:$B,BF$1,$H:$H)/COUNTIF($B:$B,BF$1)</f>
        <v>0.6276923076923081</v>
      </c>
      <c r="BG10" s="522">
        <f>SUMIF($B:$B,BG$1,$H:$H)/COUNTIF($B:$B,BG$1)</f>
        <v>0.33615384615384636</v>
      </c>
      <c r="BH10" s="523">
        <f>AVERAGE(BD10:BG10)</f>
        <v>0.53173076923076956</v>
      </c>
      <c r="BI10" s="522">
        <f>SUMIF($B:$B,BI$1,$H:$H)/COUNTIF($B:$B,BI$1)</f>
        <v>0.21000000000000002</v>
      </c>
      <c r="BJ10" s="522">
        <f>SUMIF($B:$B,BJ$1,$H:$H)/COUNTIF($B:$B,BJ$1)</f>
        <v>0.24923076923076931</v>
      </c>
      <c r="BK10" s="522">
        <f>SUMIF($B:$B,BK$1,$H:$H)/COUNTIF($B:$B,BK$1)</f>
        <v>0.29538461538461552</v>
      </c>
      <c r="BL10" s="522">
        <f>SUMIF($B:$B,BL$1,$H:$H)/COUNTIF($B:$B,BL$1)</f>
        <v>0.32692307692307704</v>
      </c>
      <c r="BM10" s="523">
        <f>AVERAGE(BI10:BL10)</f>
        <v>0.2703846153846155</v>
      </c>
      <c r="BN10" s="522">
        <f>SUMIF($B:$B,BN$1,$H:$H)/COUNTIF($B:$B,BN$1)</f>
        <v>0.34923076923076934</v>
      </c>
      <c r="BO10" s="522">
        <f>SUMIF($B:$B,BO$1,$H:$H)/COUNTIF($B:$B,BO$1)</f>
        <v>0.37923076923076948</v>
      </c>
      <c r="BP10" s="522">
        <f>SUMIF($B:$B,BP$1,$H:$H)/COUNTIF($B:$B,BP$1)</f>
        <v>0.36461538461538479</v>
      </c>
      <c r="BQ10" s="522">
        <f>SUMIF($B:$B,BQ$1,$H:$H)/COUNTIF($B:$B,BQ$1)</f>
        <v>0.40846153846153865</v>
      </c>
      <c r="BR10" s="523">
        <f>AVERAGE(BN10:BQ10)</f>
        <v>0.37538461538461559</v>
      </c>
      <c r="BS10" s="522">
        <f>SUMIF($B:$B,BS$1,$H:$H)/COUNTIF($B:$B,BS$1)</f>
        <v>0.50692307692307714</v>
      </c>
      <c r="BT10" s="522">
        <f>SUMIF($B:$B,BT$1,$H:$H)/COUNTIF($B:$B,BT$1)</f>
        <v>0.57692307692307732</v>
      </c>
      <c r="BU10" s="522">
        <f>SUMIF($B:$B,BU$1,$H:$H)/COUNTIF($B:$B,BU$1)</f>
        <v>0.54538461538461569</v>
      </c>
      <c r="BV10" s="522">
        <f>SUMIF($B:$B,BV$1,$H:$H)/COUNTIF($B:$B,BV$1)</f>
        <v>0.54846153846153878</v>
      </c>
      <c r="BW10" s="523">
        <f>AVERAGE(BS10:BV10)</f>
        <v>0.54442307692307712</v>
      </c>
      <c r="BX10" s="522">
        <f>SUMIF($B:$B,BX$1,$H:$H)/COUNTIF($B:$B,BX$1)</f>
        <v>0.57230769230769263</v>
      </c>
      <c r="BY10" s="522">
        <f>SUMIF($B:$B,BY$1,$H:$H)/COUNTIF($B:$B,BY$1)</f>
        <v>0.55923076923076942</v>
      </c>
      <c r="BZ10" s="522">
        <f>SUMIF($B:$B,BZ$1,$H:$H)/COUNTIF($B:$B,BZ$1)</f>
        <v>0.56538461538461582</v>
      </c>
      <c r="CA10" s="522">
        <f>SUMIF($B:$B,CA$1,$H:$H)/COUNTIF($B:$B,CA$1)</f>
        <v>0.57642857142857173</v>
      </c>
      <c r="CB10" s="523">
        <f>AVERAGE(BX10:CA10)</f>
        <v>0.5683379120879124</v>
      </c>
      <c r="CC10" s="522">
        <f>SUMIF($B:$B,CC$1,$H:$H)/COUNTIF($B:$B,CC$1)</f>
        <v>0.58250000000000035</v>
      </c>
      <c r="CD10" s="522">
        <f>SUMIF($B:$B,CD$1,$H:$H)/COUNTIF($B:$B,CD$1)</f>
        <v>0.54846153846153867</v>
      </c>
      <c r="CE10" s="522">
        <f>SUMIF($B:$B,CE$1,$H:$H)/COUNTIF($B:$B,CE$1)</f>
        <v>0.55857142857142883</v>
      </c>
      <c r="CF10" s="522">
        <f>CE10</f>
        <v>0.55857142857142883</v>
      </c>
      <c r="CG10" s="523">
        <f>AVERAGE(CC10:CF10)</f>
        <v>0.56202609890109911</v>
      </c>
      <c r="CH10" s="522">
        <f>SUMIF($B:$B,CH$1,$H:$H)/COUNTIF($B:$B,CH$1)</f>
        <v>0.56923076923076943</v>
      </c>
      <c r="CI10" s="522">
        <f>SUMIF($B:$B,CI$1,$H:$H)/COUNTIF($B:$B,CI$1)</f>
        <v>0.56153846153846199</v>
      </c>
      <c r="CJ10" s="522">
        <f>SUMIF($B:$B,CJ$1,$H:$H)/COUNTIF($B:$B,CJ$1)</f>
        <v>0.54000000000000015</v>
      </c>
      <c r="CK10" s="522">
        <f>CJ10</f>
        <v>0.54000000000000015</v>
      </c>
      <c r="CL10" s="523">
        <f>AVERAGE(CH10:CK10)</f>
        <v>0.55269230769230793</v>
      </c>
      <c r="CM10" s="522">
        <f>SUMIF($B:$B,CM$1,$H:$H)/COUNTIF($B:$B,CM$1)</f>
        <v>0.35307692307692329</v>
      </c>
      <c r="CN10" s="522">
        <f>SUMIF($B:$B,CN$1,$H:$H)/COUNTIF($B:$B,CN$1)</f>
        <v>0.34692307692307706</v>
      </c>
      <c r="CO10" s="522">
        <f>SUMIF($B:$B,CO$1,$H:$H)/COUNTIF($B:$B,CO$1)</f>
        <v>0.29538461538461552</v>
      </c>
      <c r="CP10" s="522">
        <f>CO10</f>
        <v>0.29538461538461552</v>
      </c>
      <c r="CQ10" s="523">
        <f>AVERAGE(CM10:CP10)</f>
        <v>0.32269230769230789</v>
      </c>
      <c r="CR10" s="522">
        <f>SUMIF($B:$B,CR$1,$H:$H)/COUNTIF($B:$B,CR$1)</f>
        <v>0.18769230769230771</v>
      </c>
      <c r="CS10" s="522">
        <f>SUMIF($B:$B,CS$1,$H:$H)/COUNTIF($B:$B,CS$1)</f>
        <v>0.23923076923076933</v>
      </c>
      <c r="CT10" s="522">
        <f>SUMIF($B:$B,CT$1,$H:$H)/COUNTIF($B:$B,CT$1)</f>
        <v>0.2507692307692308</v>
      </c>
      <c r="CU10" s="522">
        <f>CT10</f>
        <v>0.2507692307692308</v>
      </c>
      <c r="CV10" s="523">
        <f>AVERAGE(CR10:CU10)</f>
        <v>0.23211538461538467</v>
      </c>
      <c r="CW10" s="522">
        <f>SUMIF($B:$B,CW$1,$H:$H)/COUNTIF($B:$B,CW$1)</f>
        <v>0.28846153846153855</v>
      </c>
      <c r="CX10" s="522">
        <f>SUMIF($B:$B,CX$1,$H:$H)/COUNTIF($B:$B,CX$1)</f>
        <v>0.28307692307692317</v>
      </c>
      <c r="CY10" s="522">
        <f>SUMIF($B:$B,CY$1,$H:$H)/COUNTIF($B:$B,CY$1)</f>
        <v>0.30230769230769239</v>
      </c>
      <c r="CZ10" s="522">
        <f>CY10</f>
        <v>0.30230769230769239</v>
      </c>
      <c r="DA10" s="523">
        <f>AVERAGE(CW10:CZ10)</f>
        <v>0.29403846153846164</v>
      </c>
      <c r="DB10" s="522">
        <f>SUMIF($B:$B,DB$1,$H:$H)/COUNTIF($B:$B,DB$1)</f>
        <v>0.37923076923076943</v>
      </c>
      <c r="DC10" s="522">
        <f>SUMIF($B:$B,DC$1,$H:$H)/COUNTIF($B:$B,DC$1)</f>
        <v>0.3984615384615387</v>
      </c>
      <c r="DD10" s="522">
        <f>SUMIF($B:$B,DD$1,$H:$H)/COUNTIF($B:$B,DD$1)</f>
        <v>0.4000000000000003</v>
      </c>
      <c r="DE10" s="522">
        <f>DD10</f>
        <v>0.4000000000000003</v>
      </c>
      <c r="DF10" s="523">
        <f>AVERAGE(DB10:DE10)</f>
        <v>0.39442307692307721</v>
      </c>
      <c r="DG10" s="522">
        <f>SUMIF($B:$B,DG$1,$H:$H)/COUNTIF($B:$B,DG$1)</f>
        <v>0.4000000000000003</v>
      </c>
      <c r="DH10" s="522">
        <f>SUMIF($B:$B,DH$1,$H:$H)/COUNTIF($B:$B,DH$1)</f>
        <v>0.4000000000000003</v>
      </c>
      <c r="DI10" s="522">
        <f>SUMIF($B:$B,DI$1,$H:$H)/COUNTIF($B:$B,DI$1)</f>
        <v>0.4000000000000003</v>
      </c>
      <c r="DJ10" s="522">
        <f>DI10</f>
        <v>0.4000000000000003</v>
      </c>
      <c r="DK10" s="523">
        <f>AVERAGE(DG10:DJ10)</f>
        <v>0.4000000000000003</v>
      </c>
      <c r="DL10" s="522">
        <f>SUMIF($B:$B,DL$1,$H:$H)/COUNTIF($B:$B,DL$1)</f>
        <v>0.4000000000000003</v>
      </c>
      <c r="DM10" s="522">
        <f>SUMIF($B:$B,DM$1,$H:$H)/COUNTIF($B:$B,DM$1)</f>
        <v>0.4000000000000003</v>
      </c>
      <c r="DN10" s="522">
        <f>SUMIF($B:$B,DN$1,$H:$H)/COUNTIF($B:$B,DN$1)</f>
        <v>0.4000000000000003</v>
      </c>
      <c r="DO10" s="522">
        <f>DN10</f>
        <v>0.4000000000000003</v>
      </c>
      <c r="DP10" s="523">
        <f>AVERAGE(DL10:DO10)</f>
        <v>0.4000000000000003</v>
      </c>
    </row>
    <row r="11" spans="1:120" x14ac:dyDescent="0.2">
      <c r="A11" s="517">
        <f t="shared" si="3"/>
        <v>36557</v>
      </c>
      <c r="B11" s="517" t="str">
        <f t="shared" si="0"/>
        <v>1Q00</v>
      </c>
      <c r="C11" s="517" t="str">
        <f t="shared" si="4"/>
        <v>2Q00</v>
      </c>
      <c r="D11" s="518">
        <f t="shared" si="5"/>
        <v>36630</v>
      </c>
      <c r="E11" s="518">
        <f t="shared" si="5"/>
        <v>36570</v>
      </c>
      <c r="F11" s="520">
        <v>1.456</v>
      </c>
      <c r="G11" s="521">
        <f t="shared" si="1"/>
        <v>7.0000000000000007E-2</v>
      </c>
      <c r="H11" s="521">
        <f t="shared" si="2"/>
        <v>7.0000000000000007E-2</v>
      </c>
      <c r="I11" s="521">
        <f t="shared" si="8"/>
        <v>1.4500000000000002</v>
      </c>
      <c r="J11" s="521">
        <f t="shared" si="6"/>
        <v>1.5000000000000002</v>
      </c>
      <c r="K11" s="521">
        <f t="shared" si="9"/>
        <v>7.0000000000000007E-2</v>
      </c>
      <c r="L11" s="505"/>
      <c r="M11" s="505" t="s">
        <v>633</v>
      </c>
      <c r="N11" s="505">
        <f t="shared" si="7"/>
        <v>8</v>
      </c>
      <c r="O11" s="505">
        <v>3</v>
      </c>
      <c r="P11" s="524"/>
      <c r="Q11" s="522">
        <f t="shared" ref="Q11:CB11" si="16">Q9-Q10</f>
        <v>-7.6923076923077205E-4</v>
      </c>
      <c r="R11" s="522">
        <f t="shared" si="16"/>
        <v>-2.3076923076923161E-3</v>
      </c>
      <c r="S11" s="522">
        <f t="shared" si="16"/>
        <v>1.5384615384615302E-3</v>
      </c>
      <c r="T11" s="523">
        <f t="shared" si="16"/>
        <v>-5.1282051282051933E-4</v>
      </c>
      <c r="U11" s="524">
        <f t="shared" si="16"/>
        <v>2.3076923076923023E-3</v>
      </c>
      <c r="V11" s="522">
        <f t="shared" si="16"/>
        <v>-7.6923076923077205E-4</v>
      </c>
      <c r="W11" s="522">
        <f t="shared" si="16"/>
        <v>7.6923076923077205E-4</v>
      </c>
      <c r="X11" s="522">
        <f t="shared" si="16"/>
        <v>2.8571428571428602E-3</v>
      </c>
      <c r="Y11" s="523">
        <f t="shared" si="16"/>
        <v>1.291208791208788E-3</v>
      </c>
      <c r="Z11" s="524">
        <f t="shared" si="16"/>
        <v>-1.666666666666667E-3</v>
      </c>
      <c r="AA11" s="522">
        <f t="shared" si="16"/>
        <v>0</v>
      </c>
      <c r="AB11" s="522">
        <f t="shared" si="16"/>
        <v>-2.8571428571428636E-3</v>
      </c>
      <c r="AC11" s="522">
        <f t="shared" si="16"/>
        <v>-7.6923076923075817E-4</v>
      </c>
      <c r="AD11" s="523">
        <f t="shared" si="16"/>
        <v>-1.3232600732600783E-3</v>
      </c>
      <c r="AE11" s="524">
        <f t="shared" si="16"/>
        <v>-7.6923076923081368E-4</v>
      </c>
      <c r="AF11" s="522">
        <f t="shared" si="16"/>
        <v>2.3076923076923161E-3</v>
      </c>
      <c r="AG11" s="522">
        <f t="shared" si="16"/>
        <v>0</v>
      </c>
      <c r="AH11" s="522">
        <f t="shared" si="16"/>
        <v>-1.5384615384615302E-3</v>
      </c>
      <c r="AI11" s="523">
        <f t="shared" si="16"/>
        <v>0</v>
      </c>
      <c r="AJ11" s="524">
        <f t="shared" si="16"/>
        <v>-1.5384615384615441E-3</v>
      </c>
      <c r="AK11" s="522">
        <f t="shared" si="16"/>
        <v>-1.538461538461558E-3</v>
      </c>
      <c r="AL11" s="522">
        <f t="shared" si="16"/>
        <v>-5.3846153846153766E-3</v>
      </c>
      <c r="AM11" s="522">
        <f t="shared" si="16"/>
        <v>1.5384615384615441E-3</v>
      </c>
      <c r="AN11" s="523">
        <f t="shared" si="16"/>
        <v>-1.7307692307692302E-3</v>
      </c>
      <c r="AO11" s="524">
        <f t="shared" si="16"/>
        <v>-5.3846153846154043E-3</v>
      </c>
      <c r="AP11" s="522">
        <f t="shared" si="16"/>
        <v>0</v>
      </c>
      <c r="AQ11" s="522">
        <f t="shared" si="16"/>
        <v>-1.2307692307692353E-2</v>
      </c>
      <c r="AR11" s="522">
        <f t="shared" si="16"/>
        <v>1.0769230769230809E-2</v>
      </c>
      <c r="AS11" s="523">
        <f t="shared" si="16"/>
        <v>-1.7307692307692024E-3</v>
      </c>
      <c r="AT11" s="524">
        <f t="shared" si="16"/>
        <v>-3.0769230769230882E-3</v>
      </c>
      <c r="AU11" s="522">
        <f t="shared" si="16"/>
        <v>-3.8461538461538325E-3</v>
      </c>
      <c r="AV11" s="522">
        <f t="shared" si="16"/>
        <v>5.3846153846153766E-3</v>
      </c>
      <c r="AW11" s="522">
        <f t="shared" si="16"/>
        <v>-7.6923076923074429E-4</v>
      </c>
      <c r="AX11" s="523">
        <f t="shared" si="16"/>
        <v>-5.7692307692303046E-4</v>
      </c>
      <c r="AY11" s="524">
        <f t="shared" si="16"/>
        <v>-3.0769230769230882E-3</v>
      </c>
      <c r="AZ11" s="522">
        <f t="shared" si="16"/>
        <v>-7.6923076923085532E-4</v>
      </c>
      <c r="BA11" s="522">
        <f t="shared" si="16"/>
        <v>-3.0769230769230882E-3</v>
      </c>
      <c r="BB11" s="522">
        <f t="shared" si="16"/>
        <v>-5.0000000000000044E-3</v>
      </c>
      <c r="BC11" s="523">
        <f t="shared" si="16"/>
        <v>-2.9807692307692313E-3</v>
      </c>
      <c r="BD11" s="524">
        <f t="shared" si="16"/>
        <v>-9.2307692307692091E-3</v>
      </c>
      <c r="BE11" s="522">
        <f t="shared" si="16"/>
        <v>-1.1538461538461497E-2</v>
      </c>
      <c r="BF11" s="522">
        <f t="shared" si="16"/>
        <v>1.3076923076923097E-2</v>
      </c>
      <c r="BG11" s="522">
        <f t="shared" si="16"/>
        <v>2.4615384615384595E-2</v>
      </c>
      <c r="BH11" s="523">
        <f t="shared" si="16"/>
        <v>4.2307692307692601E-3</v>
      </c>
      <c r="BI11" s="524">
        <f t="shared" si="16"/>
        <v>7.692307692307998E-4</v>
      </c>
      <c r="BJ11" s="522">
        <f t="shared" si="16"/>
        <v>-5.3846153846154043E-3</v>
      </c>
      <c r="BK11" s="522">
        <f t="shared" si="16"/>
        <v>0</v>
      </c>
      <c r="BL11" s="522">
        <f t="shared" si="16"/>
        <v>-3.0769230769230327E-3</v>
      </c>
      <c r="BM11" s="523">
        <f t="shared" si="16"/>
        <v>-1.9230769230769718E-3</v>
      </c>
      <c r="BN11" s="524">
        <f t="shared" si="16"/>
        <v>-3.8461538461538325E-3</v>
      </c>
      <c r="BO11" s="522">
        <f t="shared" si="16"/>
        <v>1.5384615384614331E-3</v>
      </c>
      <c r="BP11" s="522">
        <f t="shared" si="16"/>
        <v>-1.5384615384615441E-3</v>
      </c>
      <c r="BQ11" s="522">
        <f t="shared" si="16"/>
        <v>-4.6153846153845768E-3</v>
      </c>
      <c r="BR11" s="523">
        <f t="shared" si="16"/>
        <v>-2.1153846153846856E-3</v>
      </c>
      <c r="BS11" s="524">
        <f t="shared" si="16"/>
        <v>-9.9999999999998979E-3</v>
      </c>
      <c r="BT11" s="522">
        <f t="shared" si="16"/>
        <v>1.5384615384614886E-3</v>
      </c>
      <c r="BU11" s="522">
        <f t="shared" si="16"/>
        <v>2.3076923076922329E-3</v>
      </c>
      <c r="BV11" s="522">
        <f t="shared" si="16"/>
        <v>-7.6923076923085532E-4</v>
      </c>
      <c r="BW11" s="523">
        <f t="shared" si="16"/>
        <v>-1.7307692307690914E-3</v>
      </c>
      <c r="BX11" s="524">
        <f t="shared" si="16"/>
        <v>-5.3846153846154321E-3</v>
      </c>
      <c r="BY11" s="522">
        <f t="shared" si="16"/>
        <v>7.692307692307887E-3</v>
      </c>
      <c r="BZ11" s="522">
        <f t="shared" si="16"/>
        <v>-6.9230769230769207E-3</v>
      </c>
      <c r="CA11" s="522">
        <f t="shared" si="16"/>
        <v>2.142857142857113E-3</v>
      </c>
      <c r="CB11" s="523">
        <f t="shared" si="16"/>
        <v>-6.1813186813186594E-4</v>
      </c>
      <c r="CC11" s="524">
        <f t="shared" ref="CC11:CL11" si="17">CC9-CC10</f>
        <v>-8.3333333333335258E-4</v>
      </c>
      <c r="CD11" s="522">
        <f t="shared" si="17"/>
        <v>2.3076923076923439E-3</v>
      </c>
      <c r="CE11" s="522">
        <f t="shared" si="17"/>
        <v>-7.1428571428566734E-4</v>
      </c>
      <c r="CF11" s="522">
        <f t="shared" si="17"/>
        <v>-1.0109890109890052E-2</v>
      </c>
      <c r="CG11" s="523">
        <f t="shared" si="17"/>
        <v>-2.3374542124540154E-3</v>
      </c>
      <c r="CH11" s="524">
        <f t="shared" si="17"/>
        <v>-7.6923076923074429E-4</v>
      </c>
      <c r="CI11" s="522">
        <f t="shared" si="17"/>
        <v>7.6923076923074429E-4</v>
      </c>
      <c r="CJ11" s="522">
        <f t="shared" si="17"/>
        <v>3.0769230769230882E-3</v>
      </c>
      <c r="CK11" s="522">
        <f t="shared" si="17"/>
        <v>-5.1538461538461533E-2</v>
      </c>
      <c r="CL11" s="523">
        <f t="shared" si="17"/>
        <v>-1.2115384615384639E-2</v>
      </c>
      <c r="CM11" s="524">
        <f t="shared" ref="CM11:CV11" si="18">CM9-CM10</f>
        <v>5.3846153846153766E-3</v>
      </c>
      <c r="CN11" s="522">
        <f t="shared" si="18"/>
        <v>-7.6923076923074429E-4</v>
      </c>
      <c r="CO11" s="522">
        <f t="shared" si="18"/>
        <v>5.3846153846153766E-3</v>
      </c>
      <c r="CP11" s="522">
        <f t="shared" si="18"/>
        <v>-3.4615384615384659E-2</v>
      </c>
      <c r="CQ11" s="523">
        <f t="shared" si="18"/>
        <v>-6.1538461538461764E-3</v>
      </c>
      <c r="CR11" s="524">
        <f t="shared" si="18"/>
        <v>1.5384615384615441E-3</v>
      </c>
      <c r="CS11" s="522">
        <f t="shared" si="18"/>
        <v>-4.6153846153846323E-3</v>
      </c>
      <c r="CT11" s="522">
        <f t="shared" si="18"/>
        <v>7.692307692307998E-4</v>
      </c>
      <c r="CU11" s="522">
        <f t="shared" si="18"/>
        <v>1.6153846153846185E-2</v>
      </c>
      <c r="CV11" s="523">
        <f t="shared" si="18"/>
        <v>3.4615384615384603E-3</v>
      </c>
      <c r="CW11" s="524">
        <f t="shared" ref="CW11:DF11" si="19">CW9-CW10</f>
        <v>0</v>
      </c>
      <c r="CX11" s="522">
        <f t="shared" si="19"/>
        <v>1.5384615384615441E-3</v>
      </c>
      <c r="CY11" s="522">
        <f t="shared" si="19"/>
        <v>-4.6153846153845768E-3</v>
      </c>
      <c r="CZ11" s="522">
        <f t="shared" si="19"/>
        <v>4.6153846153846323E-2</v>
      </c>
      <c r="DA11" s="523">
        <f t="shared" si="19"/>
        <v>1.0769230769230809E-2</v>
      </c>
      <c r="DB11" s="524">
        <f t="shared" si="19"/>
        <v>-7.6923076923074429E-4</v>
      </c>
      <c r="DC11" s="522">
        <f t="shared" si="19"/>
        <v>-1.5384615384614886E-3</v>
      </c>
      <c r="DD11" s="522">
        <f t="shared" si="19"/>
        <v>0</v>
      </c>
      <c r="DE11" s="522">
        <f t="shared" si="19"/>
        <v>0</v>
      </c>
      <c r="DF11" s="523">
        <f t="shared" si="19"/>
        <v>-5.7692307692308598E-4</v>
      </c>
      <c r="DG11" s="524">
        <f t="shared" ref="DG11:DK11" si="20">DG9-DG10</f>
        <v>0</v>
      </c>
      <c r="DH11" s="522">
        <f t="shared" si="20"/>
        <v>0</v>
      </c>
      <c r="DI11" s="522">
        <f t="shared" si="20"/>
        <v>0</v>
      </c>
      <c r="DJ11" s="522">
        <f t="shared" si="20"/>
        <v>0</v>
      </c>
      <c r="DK11" s="523">
        <f t="shared" si="20"/>
        <v>0</v>
      </c>
      <c r="DL11" s="524">
        <f t="shared" ref="DL11:DP11" si="21">DL9-DL10</f>
        <v>0</v>
      </c>
      <c r="DM11" s="522">
        <f t="shared" si="21"/>
        <v>0</v>
      </c>
      <c r="DN11" s="522">
        <f t="shared" si="21"/>
        <v>0</v>
      </c>
      <c r="DO11" s="522">
        <f t="shared" si="21"/>
        <v>0</v>
      </c>
      <c r="DP11" s="523">
        <f t="shared" si="21"/>
        <v>0</v>
      </c>
    </row>
    <row r="12" spans="1:120" x14ac:dyDescent="0.2">
      <c r="A12" s="517">
        <f t="shared" si="3"/>
        <v>36557</v>
      </c>
      <c r="B12" s="517" t="str">
        <f t="shared" si="0"/>
        <v>1Q00</v>
      </c>
      <c r="C12" s="517" t="str">
        <f t="shared" si="4"/>
        <v>2Q00</v>
      </c>
      <c r="D12" s="518">
        <f t="shared" si="5"/>
        <v>36637</v>
      </c>
      <c r="E12" s="518">
        <f t="shared" si="5"/>
        <v>36577</v>
      </c>
      <c r="F12" s="520">
        <v>1.456</v>
      </c>
      <c r="G12" s="521">
        <f t="shared" si="1"/>
        <v>7.0000000000000007E-2</v>
      </c>
      <c r="H12" s="521">
        <f t="shared" si="2"/>
        <v>7.0000000000000007E-2</v>
      </c>
      <c r="I12" s="521">
        <f t="shared" si="8"/>
        <v>1.5000000000000002</v>
      </c>
      <c r="J12" s="521">
        <f t="shared" si="6"/>
        <v>1.5500000000000003</v>
      </c>
      <c r="K12" s="521">
        <f t="shared" si="9"/>
        <v>0.08</v>
      </c>
      <c r="L12" s="505"/>
      <c r="M12" s="505"/>
      <c r="N12" s="505">
        <f t="shared" si="7"/>
        <v>9</v>
      </c>
      <c r="O12" s="505">
        <v>3</v>
      </c>
      <c r="P12" s="526"/>
      <c r="Q12" s="526"/>
      <c r="R12" s="526"/>
      <c r="S12" s="526"/>
      <c r="T12" s="526"/>
      <c r="U12" s="526"/>
      <c r="V12" s="526"/>
      <c r="W12" s="526"/>
      <c r="X12" s="526"/>
      <c r="Y12" s="526"/>
      <c r="Z12" s="526"/>
      <c r="AA12" s="526"/>
      <c r="AB12" s="526"/>
      <c r="AC12" s="526"/>
      <c r="AD12" s="526"/>
      <c r="AE12" s="526"/>
      <c r="AF12" s="526"/>
      <c r="AG12" s="526"/>
      <c r="AH12" s="526"/>
      <c r="AI12" s="526"/>
      <c r="AJ12" s="526"/>
      <c r="AK12" s="526"/>
      <c r="AL12" s="526"/>
      <c r="AM12" s="526"/>
      <c r="AN12" s="526"/>
      <c r="AO12" s="526"/>
      <c r="AP12" s="526"/>
      <c r="AQ12" s="526"/>
      <c r="AR12" s="526"/>
      <c r="AS12" s="526"/>
      <c r="AT12" s="526"/>
      <c r="AU12" s="526"/>
      <c r="AV12" s="526"/>
      <c r="AW12" s="526"/>
      <c r="AX12" s="526"/>
      <c r="AY12" s="526"/>
      <c r="AZ12" s="526"/>
      <c r="BA12" s="526"/>
      <c r="BB12" s="526"/>
      <c r="BC12" s="526"/>
      <c r="BD12" s="526"/>
      <c r="BE12" s="526"/>
      <c r="BF12" s="526"/>
      <c r="BG12" s="526"/>
      <c r="BH12" s="526"/>
      <c r="BI12" s="526"/>
      <c r="BJ12" s="526"/>
      <c r="BK12" s="526"/>
      <c r="BL12" s="526"/>
      <c r="BM12" s="526"/>
      <c r="BN12" s="526"/>
      <c r="BO12" s="526"/>
      <c r="BP12" s="526"/>
      <c r="BQ12" s="526"/>
      <c r="BR12" s="526"/>
      <c r="BS12" s="526"/>
      <c r="BT12" s="526"/>
      <c r="BU12" s="526"/>
      <c r="BV12" s="526"/>
      <c r="BW12" s="526"/>
      <c r="BX12" s="526"/>
      <c r="BY12" s="526"/>
      <c r="BZ12" s="526"/>
      <c r="CA12" s="526"/>
      <c r="CB12" s="526"/>
      <c r="CC12" s="526"/>
      <c r="CD12" s="526"/>
      <c r="CE12" s="526"/>
      <c r="CF12" s="526"/>
      <c r="CG12" s="526"/>
      <c r="CH12" s="526"/>
      <c r="CI12" s="526"/>
      <c r="CJ12" s="526"/>
      <c r="CK12" s="526"/>
      <c r="CL12" s="526"/>
      <c r="CM12" s="526"/>
      <c r="CN12" s="526"/>
      <c r="CO12" s="526"/>
      <c r="CP12" s="526"/>
      <c r="CQ12" s="526"/>
      <c r="CR12" s="526"/>
      <c r="CS12" s="526"/>
      <c r="CT12" s="526"/>
      <c r="CU12" s="526"/>
      <c r="CV12" s="526"/>
      <c r="CW12" s="526"/>
      <c r="CX12" s="526"/>
      <c r="CY12" s="526"/>
      <c r="CZ12" s="526"/>
      <c r="DA12" s="526"/>
      <c r="DB12" s="526"/>
      <c r="DC12" s="526"/>
      <c r="DD12" s="526"/>
      <c r="DE12" s="526"/>
      <c r="DF12" s="526"/>
      <c r="DG12" s="526"/>
      <c r="DH12" s="526"/>
      <c r="DI12" s="526"/>
      <c r="DJ12" s="526"/>
      <c r="DK12" s="526"/>
      <c r="DL12" s="526"/>
      <c r="DM12" s="526"/>
      <c r="DN12" s="526"/>
      <c r="DO12" s="526"/>
      <c r="DP12" s="526"/>
    </row>
    <row r="13" spans="1:120" x14ac:dyDescent="0.2">
      <c r="A13" s="517">
        <f t="shared" si="3"/>
        <v>36557</v>
      </c>
      <c r="B13" s="517" t="str">
        <f t="shared" si="0"/>
        <v>1Q00</v>
      </c>
      <c r="C13" s="517" t="str">
        <f t="shared" si="4"/>
        <v>2Q00</v>
      </c>
      <c r="D13" s="518">
        <f t="shared" si="5"/>
        <v>36644</v>
      </c>
      <c r="E13" s="518">
        <f t="shared" si="5"/>
        <v>36584</v>
      </c>
      <c r="F13" s="520">
        <v>1.4609999999999999</v>
      </c>
      <c r="G13" s="521">
        <f t="shared" si="1"/>
        <v>7.0000000000000007E-2</v>
      </c>
      <c r="H13" s="521">
        <f t="shared" si="2"/>
        <v>7.0000000000000007E-2</v>
      </c>
      <c r="I13" s="521">
        <f t="shared" si="8"/>
        <v>1.5500000000000003</v>
      </c>
      <c r="J13" s="521">
        <f t="shared" si="6"/>
        <v>1.6000000000000003</v>
      </c>
      <c r="K13" s="521">
        <f t="shared" si="9"/>
        <v>0.09</v>
      </c>
      <c r="L13" s="505"/>
      <c r="M13" s="505"/>
      <c r="N13" s="505"/>
      <c r="O13" s="505"/>
      <c r="P13" s="527"/>
      <c r="Q13" s="527"/>
      <c r="R13" s="527"/>
      <c r="S13" s="527"/>
      <c r="T13" s="527"/>
      <c r="U13" s="527"/>
      <c r="V13" s="527"/>
      <c r="W13" s="527"/>
      <c r="X13" s="527"/>
      <c r="Y13" s="527"/>
      <c r="Z13" s="527"/>
      <c r="AA13" s="527"/>
      <c r="AB13" s="527"/>
      <c r="AC13" s="527"/>
      <c r="AD13" s="527"/>
      <c r="AE13" s="527"/>
      <c r="AF13" s="527"/>
      <c r="AG13" s="527"/>
      <c r="AH13" s="527"/>
      <c r="AI13" s="527"/>
      <c r="AJ13" s="527"/>
      <c r="AK13" s="527"/>
      <c r="AL13" s="527"/>
      <c r="AM13" s="527"/>
      <c r="AN13" s="527"/>
      <c r="AO13" s="527"/>
      <c r="AP13" s="527"/>
      <c r="AQ13" s="527"/>
      <c r="AR13" s="527"/>
      <c r="AS13" s="527"/>
      <c r="AT13" s="527"/>
      <c r="AU13" s="527"/>
      <c r="AV13" s="527"/>
      <c r="AW13" s="527"/>
      <c r="AX13" s="527"/>
      <c r="AY13" s="527"/>
      <c r="AZ13" s="527"/>
      <c r="BA13" s="527"/>
      <c r="BB13" s="527"/>
      <c r="BC13" s="527"/>
      <c r="BD13" s="527"/>
      <c r="BE13" s="527"/>
      <c r="BF13" s="527"/>
      <c r="BG13" s="527"/>
      <c r="BH13" s="527"/>
      <c r="BI13" s="527"/>
      <c r="BJ13" s="527"/>
      <c r="BK13" s="527"/>
      <c r="BL13" s="527"/>
      <c r="BM13" s="527"/>
      <c r="BN13" s="527"/>
      <c r="BO13" s="527"/>
      <c r="BP13" s="527"/>
      <c r="BQ13" s="527"/>
      <c r="BR13" s="527"/>
      <c r="BS13" s="527"/>
      <c r="BT13" s="527"/>
      <c r="BU13" s="527"/>
      <c r="BV13" s="527"/>
      <c r="BW13" s="527"/>
      <c r="BX13" s="527"/>
      <c r="BY13" s="527"/>
      <c r="BZ13" s="527"/>
      <c r="CA13" s="527"/>
      <c r="CB13" s="527"/>
      <c r="CC13" s="527"/>
      <c r="CD13" s="527"/>
      <c r="CE13" s="527"/>
      <c r="CF13" s="527"/>
      <c r="CG13" s="527"/>
      <c r="CH13" s="527"/>
      <c r="CI13" s="527"/>
      <c r="CJ13" s="527"/>
      <c r="CK13" s="527"/>
      <c r="CL13" s="527"/>
      <c r="CM13" s="527"/>
      <c r="CN13" s="527"/>
      <c r="CO13" s="527"/>
      <c r="CP13" s="527"/>
      <c r="CQ13" s="527"/>
      <c r="CR13" s="527"/>
      <c r="CS13" s="527"/>
      <c r="CT13" s="527"/>
      <c r="CU13" s="527"/>
      <c r="CV13" s="527"/>
      <c r="CW13" s="527"/>
      <c r="CX13" s="527"/>
      <c r="CY13" s="527"/>
      <c r="CZ13" s="527"/>
      <c r="DA13" s="527"/>
      <c r="DB13" s="527"/>
      <c r="DC13" s="527"/>
      <c r="DD13" s="527"/>
      <c r="DE13" s="527"/>
      <c r="DF13" s="527"/>
      <c r="DG13" s="527"/>
      <c r="DH13" s="527"/>
      <c r="DI13" s="527"/>
      <c r="DJ13" s="527"/>
      <c r="DK13" s="527"/>
      <c r="DL13" s="527"/>
      <c r="DM13" s="527"/>
      <c r="DN13" s="527"/>
      <c r="DO13" s="527"/>
      <c r="DP13" s="527"/>
    </row>
    <row r="14" spans="1:120" x14ac:dyDescent="0.2">
      <c r="A14" s="517">
        <f t="shared" si="3"/>
        <v>36586</v>
      </c>
      <c r="B14" s="517" t="str">
        <f t="shared" si="0"/>
        <v>1Q00</v>
      </c>
      <c r="C14" s="517" t="str">
        <f t="shared" si="4"/>
        <v>2Q00</v>
      </c>
      <c r="D14" s="518">
        <f t="shared" si="5"/>
        <v>36651</v>
      </c>
      <c r="E14" s="518">
        <f t="shared" si="5"/>
        <v>36591</v>
      </c>
      <c r="F14" s="520">
        <v>1.49</v>
      </c>
      <c r="G14" s="521">
        <f t="shared" si="1"/>
        <v>7.0000000000000007E-2</v>
      </c>
      <c r="H14" s="521">
        <f t="shared" si="2"/>
        <v>7.0000000000000007E-2</v>
      </c>
      <c r="I14" s="521">
        <f t="shared" si="8"/>
        <v>1.6000000000000003</v>
      </c>
      <c r="J14" s="521">
        <f t="shared" si="6"/>
        <v>1.6500000000000004</v>
      </c>
      <c r="K14" s="521">
        <f t="shared" si="9"/>
        <v>9.9999999999999992E-2</v>
      </c>
      <c r="L14" s="505"/>
      <c r="M14" s="528" t="s">
        <v>324</v>
      </c>
      <c r="N14" s="505">
        <v>10</v>
      </c>
      <c r="O14" s="505">
        <v>4</v>
      </c>
      <c r="P14" s="529">
        <v>3.4703778348620248E-2</v>
      </c>
      <c r="Q14" s="529">
        <v>3.7676961985222544E-2</v>
      </c>
      <c r="R14" s="529">
        <v>4.360774005827802E-2</v>
      </c>
      <c r="S14" s="529">
        <v>6.3166024056111686E-2</v>
      </c>
      <c r="T14" s="529"/>
      <c r="U14" s="529"/>
      <c r="V14" s="529"/>
      <c r="W14" s="529"/>
      <c r="X14" s="529"/>
      <c r="Y14" s="529"/>
      <c r="Z14" s="529"/>
      <c r="AA14" s="529"/>
      <c r="AB14" s="529"/>
      <c r="AC14" s="529"/>
      <c r="AD14" s="529"/>
      <c r="AE14" s="529"/>
      <c r="AF14" s="529"/>
      <c r="AG14" s="529"/>
      <c r="AH14" s="529"/>
      <c r="AI14" s="529"/>
      <c r="AJ14" s="529"/>
      <c r="AK14" s="529"/>
      <c r="AL14" s="529"/>
      <c r="AM14" s="529"/>
      <c r="AN14" s="529"/>
      <c r="AO14" s="529">
        <f>Model!CD142</f>
        <v>1.5260561474025177E-2</v>
      </c>
      <c r="AP14" s="529">
        <f>Model!CE142</f>
        <v>2.7024703991446377E-2</v>
      </c>
      <c r="AQ14" s="529">
        <f>Model!CF142</f>
        <v>3.8927299674527502E-2</v>
      </c>
      <c r="AR14" s="529">
        <f>Model!CG142</f>
        <v>9.0288791023429474E-2</v>
      </c>
      <c r="AS14" s="529">
        <f>Model!CH142</f>
        <v>4.2622163533821013E-2</v>
      </c>
      <c r="AT14" s="529">
        <f>Model!CI142</f>
        <v>5.3835448544629662E-2</v>
      </c>
      <c r="AU14" s="529">
        <f>Model!CJ142</f>
        <v>6.215105157099006E-2</v>
      </c>
      <c r="AV14" s="529">
        <f>Model!CK142</f>
        <v>8.9701292403093186E-2</v>
      </c>
      <c r="AW14" s="529">
        <f>Model!CL142</f>
        <v>7.6863363294149403E-2</v>
      </c>
      <c r="AX14" s="529">
        <f>Model!CM142</f>
        <v>7.0572415768683713E-2</v>
      </c>
      <c r="AY14" s="529">
        <f>Model!CN142</f>
        <v>5.6476561245340999E-2</v>
      </c>
      <c r="AZ14" s="529">
        <f>Model!CO142</f>
        <v>6.520451432189843E-2</v>
      </c>
      <c r="BA14" s="529">
        <f>Model!CP142</f>
        <v>7.9319884883457814E-2</v>
      </c>
      <c r="BB14" s="529">
        <f>Model!CQ142</f>
        <v>8.9699024348328729E-2</v>
      </c>
      <c r="BC14" s="529">
        <f>Model!CR142</f>
        <v>7.275122726320396E-2</v>
      </c>
      <c r="BD14" s="529">
        <f>Model!CS142</f>
        <v>0.12219873150105708</v>
      </c>
      <c r="BE14" s="529">
        <f>Model!CT142</f>
        <v>0.147118097541314</v>
      </c>
      <c r="BF14" s="529">
        <f>Model!CU142</f>
        <v>0.19431864965006176</v>
      </c>
      <c r="BG14" s="529">
        <f>Model!CV142</f>
        <v>0.14644905161005733</v>
      </c>
      <c r="BH14" s="529">
        <f>Model!CW142</f>
        <v>0.15279815552295117</v>
      </c>
      <c r="BI14" s="529">
        <f>Model!CX142</f>
        <v>5.0505050505050504E-2</v>
      </c>
      <c r="BJ14" s="529">
        <f>Model!CY142</f>
        <v>3.2524271844660196E-2</v>
      </c>
      <c r="BK14" s="529">
        <f>Model!CZ142</f>
        <v>5.0495516753185463E-2</v>
      </c>
      <c r="BL14" s="529">
        <f>Model!DA142</f>
        <v>6.077606358111267E-2</v>
      </c>
      <c r="BM14" s="529">
        <f>Model!DB142</f>
        <v>4.8707871858997262E-2</v>
      </c>
      <c r="BN14" s="529">
        <f>Model!DC142</f>
        <v>6.2144420131291025E-2</v>
      </c>
      <c r="BO14" s="529">
        <f>Model!DD142</f>
        <v>6.0049019607843139E-2</v>
      </c>
      <c r="BP14" s="529">
        <f>Model!DE142</f>
        <v>5.9523809523809521E-2</v>
      </c>
      <c r="BQ14" s="529">
        <f>Model!DF142</f>
        <v>5.536332179930796E-2</v>
      </c>
      <c r="BR14" s="529">
        <f>Model!DG142</f>
        <v>5.9160696008188331E-2</v>
      </c>
      <c r="BS14" s="529">
        <f>Model!DH142</f>
        <v>7.8744825020258494E-2</v>
      </c>
      <c r="BT14" s="529">
        <f>Model!DI142</f>
        <v>0.10987164142330302</v>
      </c>
      <c r="BU14" s="529">
        <f>Model!DJ142</f>
        <v>0.11209887409125058</v>
      </c>
      <c r="BV14" s="529">
        <f>Model!DK142</f>
        <v>0.10332448585995532</v>
      </c>
      <c r="BW14" s="529">
        <f>Model!DL142</f>
        <v>0.10119420443113708</v>
      </c>
      <c r="BX14" s="529">
        <f>Model!DM142</f>
        <v>0.10757006547131198</v>
      </c>
      <c r="BY14" s="529">
        <f>Model!DN142</f>
        <v>0.1143427936827873</v>
      </c>
      <c r="BZ14" s="529">
        <f>Model!DO142</f>
        <v>0.10290945070065681</v>
      </c>
      <c r="CA14" s="529">
        <f>Model!DP142</f>
        <v>0.11422249824091031</v>
      </c>
      <c r="CB14" s="529">
        <f>Model!DQ142</f>
        <v>0.10978068929215877</v>
      </c>
      <c r="CC14" s="529">
        <f>Model!DR142</f>
        <v>0.10907674328009349</v>
      </c>
      <c r="CD14" s="529">
        <f>Model!DS142</f>
        <v>0.1124813153961136</v>
      </c>
      <c r="CE14" s="529">
        <f>Model!DT142</f>
        <v>0.10503236358721998</v>
      </c>
      <c r="CF14" s="529">
        <f>Model!DU142</f>
        <v>0.11035616139849644</v>
      </c>
      <c r="CG14" s="529">
        <f>Model!DV142</f>
        <v>0.10926641423836778</v>
      </c>
      <c r="CH14" s="529">
        <f>Model!DW142</f>
        <v>0.10800201370679564</v>
      </c>
      <c r="CI14" s="529">
        <f>Model!DX142</f>
        <v>0.11159125482632265</v>
      </c>
      <c r="CJ14" s="529">
        <f>Model!DY142</f>
        <v>0.1081430479469177</v>
      </c>
      <c r="CK14" s="529">
        <f>Model!DZ142</f>
        <v>0.10049276200213583</v>
      </c>
      <c r="CL14" s="529">
        <f>Model!EA142</f>
        <v>0.10704290718554056</v>
      </c>
      <c r="CM14" s="529">
        <f>Model!EB142</f>
        <v>7.1508798202920248E-2</v>
      </c>
      <c r="CN14" s="529">
        <f>Model!EC142</f>
        <v>4.7788873038516408E-2</v>
      </c>
      <c r="CO14" s="529">
        <f>Model!ED142</f>
        <v>4.6972477064220183E-2</v>
      </c>
      <c r="CP14" s="529">
        <f>Model!EE142</f>
        <v>3.3153430994602932E-2</v>
      </c>
      <c r="CQ14" s="529">
        <f>Model!EF142</f>
        <v>4.9935149156939043E-2</v>
      </c>
      <c r="CR14" s="529">
        <f>Model!EG142</f>
        <v>2.091713596138375E-2</v>
      </c>
      <c r="CS14" s="529">
        <f>Model!EH142</f>
        <v>1.4002333722287048E-2</v>
      </c>
      <c r="CT14" s="529">
        <f>Model!EI142</f>
        <v>2.5311526479750778E-2</v>
      </c>
      <c r="CU14" s="529">
        <f>Model!EJ142</f>
        <v>2.6694766420793818E-2</v>
      </c>
      <c r="CV14" s="529">
        <f>Model!EK142</f>
        <v>2.1867838044308634E-2</v>
      </c>
      <c r="CW14" s="529">
        <f>Model!EL142</f>
        <v>3.136531365313653E-2</v>
      </c>
      <c r="CX14" s="529">
        <f>Model!EM142</f>
        <v>3.273809523809524E-2</v>
      </c>
      <c r="CY14" s="529">
        <f>Model!EN142</f>
        <v>3.2358674463937621E-2</v>
      </c>
      <c r="CZ14" s="529">
        <f>Model!EO142</f>
        <v>4.1981845688350984E-2</v>
      </c>
      <c r="DA14" s="529">
        <f>Model!EP142</f>
        <v>3.4599792589799186E-2</v>
      </c>
      <c r="DB14" s="530">
        <f>+DB5* 0.0533 - 0.0919</f>
        <v>6.5388299999999996E-2</v>
      </c>
      <c r="DC14" s="530">
        <f t="shared" ref="DC14:DP14" si="22">+DC5* 0.0533 - 0.0919</f>
        <v>7.0172999999999999E-2</v>
      </c>
      <c r="DD14" s="530">
        <f t="shared" si="22"/>
        <v>7.3543199999999989E-2</v>
      </c>
      <c r="DE14" s="530">
        <f t="shared" si="22"/>
        <v>7.3543199999999989E-2</v>
      </c>
      <c r="DF14" s="530">
        <f t="shared" si="22"/>
        <v>7.0661924999999973E-2</v>
      </c>
      <c r="DG14" s="530">
        <f t="shared" si="22"/>
        <v>7.3543199999999989E-2</v>
      </c>
      <c r="DH14" s="530">
        <f t="shared" si="22"/>
        <v>7.3543199999999989E-2</v>
      </c>
      <c r="DI14" s="530">
        <f t="shared" si="22"/>
        <v>7.3543199999999989E-2</v>
      </c>
      <c r="DJ14" s="530">
        <f t="shared" si="22"/>
        <v>7.3543199999999989E-2</v>
      </c>
      <c r="DK14" s="530">
        <f t="shared" si="22"/>
        <v>7.3543199999999989E-2</v>
      </c>
      <c r="DL14" s="530">
        <f t="shared" si="22"/>
        <v>7.3543199999999989E-2</v>
      </c>
      <c r="DM14" s="530">
        <f t="shared" si="22"/>
        <v>7.3543199999999989E-2</v>
      </c>
      <c r="DN14" s="530">
        <f t="shared" si="22"/>
        <v>7.3543199999999989E-2</v>
      </c>
      <c r="DO14" s="530">
        <f t="shared" si="22"/>
        <v>7.3543199999999989E-2</v>
      </c>
      <c r="DP14" s="530">
        <f t="shared" si="22"/>
        <v>7.3543199999999989E-2</v>
      </c>
    </row>
    <row r="15" spans="1:120" hidden="1" outlineLevel="1" x14ac:dyDescent="0.2">
      <c r="A15" s="517">
        <f t="shared" si="3"/>
        <v>36586</v>
      </c>
      <c r="B15" s="517" t="str">
        <f t="shared" si="0"/>
        <v>1Q00</v>
      </c>
      <c r="C15" s="517" t="str">
        <f t="shared" si="4"/>
        <v>2Q00</v>
      </c>
      <c r="D15" s="518">
        <f t="shared" si="5"/>
        <v>36658</v>
      </c>
      <c r="E15" s="518">
        <f t="shared" si="5"/>
        <v>36598</v>
      </c>
      <c r="F15" s="520">
        <v>1.496</v>
      </c>
      <c r="G15" s="521">
        <f t="shared" si="1"/>
        <v>7.0000000000000007E-2</v>
      </c>
      <c r="H15" s="521">
        <f t="shared" si="2"/>
        <v>7.0000000000000007E-2</v>
      </c>
      <c r="I15" s="521">
        <f t="shared" si="8"/>
        <v>1.6500000000000004</v>
      </c>
      <c r="J15" s="521">
        <f t="shared" si="6"/>
        <v>1.7000000000000004</v>
      </c>
      <c r="K15" s="521">
        <f t="shared" si="9"/>
        <v>0.10999999999999999</v>
      </c>
      <c r="L15" s="505"/>
      <c r="M15" s="528"/>
      <c r="N15" s="508">
        <f>N14+1</f>
        <v>11</v>
      </c>
      <c r="O15" s="508">
        <v>4</v>
      </c>
      <c r="P15" s="531"/>
      <c r="Q15" s="531"/>
      <c r="R15" s="531"/>
      <c r="S15" s="531"/>
      <c r="T15" s="531"/>
      <c r="U15" s="531"/>
      <c r="V15" s="531"/>
      <c r="W15" s="531"/>
      <c r="X15" s="531"/>
      <c r="Y15" s="531"/>
      <c r="Z15" s="531"/>
      <c r="AA15" s="531"/>
      <c r="AB15" s="531"/>
      <c r="AC15" s="531"/>
      <c r="AD15" s="531"/>
      <c r="AE15" s="531"/>
      <c r="AF15" s="531"/>
      <c r="AG15" s="531"/>
      <c r="AH15" s="531"/>
      <c r="AI15" s="531"/>
      <c r="AJ15" s="531"/>
      <c r="AK15" s="531"/>
      <c r="AL15" s="531"/>
      <c r="AM15" s="531"/>
      <c r="AN15" s="531"/>
      <c r="AO15" s="531"/>
      <c r="AP15" s="531"/>
      <c r="AQ15" s="531"/>
      <c r="AR15" s="531"/>
      <c r="AS15" s="531"/>
      <c r="AT15" s="531"/>
      <c r="AU15" s="531"/>
      <c r="AV15" s="531"/>
      <c r="AW15" s="531"/>
      <c r="AX15" s="531"/>
      <c r="AY15" s="531"/>
      <c r="AZ15" s="531"/>
      <c r="BA15" s="531"/>
      <c r="BB15" s="531"/>
      <c r="BC15" s="531"/>
      <c r="BD15" s="531"/>
      <c r="BE15" s="531"/>
      <c r="BF15" s="531"/>
      <c r="BG15" s="531"/>
      <c r="BH15" s="531"/>
      <c r="BI15" s="531"/>
      <c r="BJ15" s="531"/>
      <c r="BK15" s="531"/>
      <c r="BL15" s="531"/>
      <c r="BM15" s="531"/>
      <c r="BN15" s="531"/>
      <c r="BO15" s="531"/>
      <c r="BP15" s="531"/>
      <c r="BQ15" s="531"/>
      <c r="BR15" s="531"/>
      <c r="BS15" s="531"/>
      <c r="BT15" s="531"/>
      <c r="BU15" s="531"/>
      <c r="BV15" s="531"/>
      <c r="BW15" s="531"/>
      <c r="BX15" s="531"/>
      <c r="BY15" s="531"/>
      <c r="BZ15" s="531"/>
      <c r="CA15" s="531"/>
      <c r="CB15" s="531"/>
      <c r="CC15" s="531"/>
      <c r="CD15" s="531"/>
      <c r="CE15" s="531"/>
      <c r="CF15" s="531"/>
      <c r="CG15" s="531"/>
      <c r="CH15" s="531"/>
      <c r="CI15" s="531"/>
      <c r="CJ15" s="531"/>
      <c r="CK15" s="531"/>
      <c r="CL15" s="531"/>
      <c r="CM15" s="531"/>
      <c r="CN15" s="531"/>
      <c r="CO15" s="531"/>
      <c r="CP15" s="531"/>
      <c r="CQ15" s="531"/>
      <c r="CR15" s="531"/>
      <c r="CS15" s="531"/>
      <c r="CT15" s="531"/>
      <c r="CU15" s="531"/>
      <c r="CV15" s="531"/>
      <c r="CW15" s="531"/>
      <c r="CX15" s="531"/>
      <c r="CY15" s="531"/>
      <c r="CZ15" s="531"/>
      <c r="DA15" s="531"/>
      <c r="DB15" s="531"/>
      <c r="DC15" s="531"/>
      <c r="DD15" s="531"/>
      <c r="DE15" s="531"/>
      <c r="DF15" s="531"/>
      <c r="DG15" s="531"/>
      <c r="DH15" s="531"/>
      <c r="DI15" s="531"/>
      <c r="DJ15" s="531"/>
      <c r="DK15" s="531"/>
      <c r="DL15" s="531"/>
      <c r="DM15" s="531"/>
      <c r="DN15" s="531"/>
      <c r="DO15" s="531"/>
      <c r="DP15" s="531"/>
    </row>
    <row r="16" spans="1:120" hidden="1" outlineLevel="1" x14ac:dyDescent="0.2">
      <c r="A16" s="517">
        <f t="shared" si="3"/>
        <v>36586</v>
      </c>
      <c r="B16" s="517" t="str">
        <f t="shared" si="0"/>
        <v>1Q00</v>
      </c>
      <c r="C16" s="517" t="str">
        <f t="shared" si="4"/>
        <v>2Q00</v>
      </c>
      <c r="D16" s="518">
        <f t="shared" si="5"/>
        <v>36665</v>
      </c>
      <c r="E16" s="518">
        <f t="shared" si="5"/>
        <v>36605</v>
      </c>
      <c r="F16" s="520">
        <v>1.4790000000000001</v>
      </c>
      <c r="G16" s="521">
        <f t="shared" si="1"/>
        <v>7.0000000000000007E-2</v>
      </c>
      <c r="H16" s="521">
        <f t="shared" si="2"/>
        <v>7.0000000000000007E-2</v>
      </c>
      <c r="I16" s="521">
        <f t="shared" si="8"/>
        <v>1.7000000000000004</v>
      </c>
      <c r="J16" s="521">
        <f t="shared" si="6"/>
        <v>1.7500000000000004</v>
      </c>
      <c r="K16" s="521">
        <f t="shared" si="9"/>
        <v>0.11999999999999998</v>
      </c>
      <c r="L16" s="505"/>
      <c r="M16" s="528"/>
      <c r="N16" s="505">
        <f>N15+1</f>
        <v>12</v>
      </c>
      <c r="O16" s="505">
        <v>4</v>
      </c>
      <c r="P16" s="527"/>
      <c r="Q16" s="532"/>
      <c r="R16" s="532"/>
      <c r="S16" s="532"/>
      <c r="T16" s="532"/>
      <c r="U16" s="532"/>
      <c r="V16" s="532"/>
      <c r="W16" s="532"/>
      <c r="X16" s="532"/>
      <c r="Y16" s="532"/>
      <c r="Z16" s="532"/>
      <c r="AA16" s="532"/>
      <c r="AB16" s="532"/>
      <c r="AC16" s="532"/>
      <c r="AD16" s="532"/>
      <c r="AE16" s="532"/>
      <c r="AF16" s="532"/>
      <c r="AG16" s="532"/>
      <c r="AH16" s="532"/>
      <c r="AI16" s="532"/>
      <c r="AJ16" s="532"/>
      <c r="AK16" s="532"/>
      <c r="AL16" s="532"/>
      <c r="AM16" s="532"/>
      <c r="AN16" s="532"/>
      <c r="AO16" s="532"/>
      <c r="AP16" s="532"/>
      <c r="AQ16" s="532"/>
      <c r="AR16" s="532"/>
      <c r="AS16" s="532"/>
      <c r="AT16" s="532"/>
      <c r="AU16" s="532"/>
      <c r="AV16" s="532"/>
      <c r="AW16" s="532"/>
      <c r="AX16" s="532"/>
      <c r="AY16" s="532"/>
      <c r="AZ16" s="532"/>
      <c r="BA16" s="532"/>
      <c r="BB16" s="532"/>
      <c r="BC16" s="532"/>
      <c r="BD16" s="532"/>
      <c r="BE16" s="532"/>
      <c r="BF16" s="532"/>
      <c r="BG16" s="532"/>
      <c r="BH16" s="532"/>
      <c r="BI16" s="532"/>
      <c r="BJ16" s="532"/>
      <c r="BK16" s="532"/>
      <c r="BL16" s="532"/>
      <c r="BM16" s="532"/>
      <c r="BN16" s="532"/>
      <c r="BO16" s="532"/>
      <c r="BP16" s="532"/>
      <c r="BQ16" s="532"/>
      <c r="BR16" s="532"/>
      <c r="BS16" s="532"/>
      <c r="BT16" s="532"/>
      <c r="BU16" s="532"/>
      <c r="BV16" s="532"/>
      <c r="BW16" s="532"/>
      <c r="BX16" s="532"/>
      <c r="BY16" s="532"/>
      <c r="BZ16" s="532"/>
      <c r="CA16" s="532"/>
      <c r="CB16" s="532"/>
      <c r="CC16" s="532"/>
      <c r="CD16" s="532"/>
      <c r="CE16" s="532"/>
      <c r="CF16" s="532"/>
      <c r="CG16" s="532"/>
      <c r="CH16" s="532"/>
      <c r="CI16" s="532"/>
      <c r="CJ16" s="532"/>
      <c r="CK16" s="532"/>
      <c r="CL16" s="532"/>
      <c r="CM16" s="532"/>
      <c r="CN16" s="532"/>
      <c r="CO16" s="532"/>
      <c r="CP16" s="532"/>
      <c r="CQ16" s="532"/>
      <c r="CR16" s="532"/>
      <c r="CS16" s="532"/>
      <c r="CT16" s="532"/>
      <c r="CU16" s="532"/>
      <c r="CV16" s="532"/>
      <c r="CW16" s="532"/>
      <c r="CX16" s="532"/>
      <c r="CY16" s="532"/>
      <c r="CZ16" s="532"/>
      <c r="DA16" s="532"/>
      <c r="DB16" s="532"/>
      <c r="DC16" s="532"/>
      <c r="DD16" s="532"/>
      <c r="DE16" s="532"/>
      <c r="DF16" s="532"/>
      <c r="DG16" s="532"/>
      <c r="DH16" s="532"/>
      <c r="DI16" s="532"/>
      <c r="DJ16" s="532"/>
      <c r="DK16" s="532"/>
      <c r="DL16" s="532"/>
      <c r="DM16" s="532"/>
      <c r="DN16" s="532"/>
      <c r="DO16" s="532"/>
      <c r="DP16" s="532"/>
    </row>
    <row r="17" spans="1:120" hidden="1" outlineLevel="1" x14ac:dyDescent="0.2">
      <c r="A17" s="517">
        <f t="shared" si="3"/>
        <v>36586</v>
      </c>
      <c r="B17" s="517" t="str">
        <f t="shared" si="0"/>
        <v>1Q00</v>
      </c>
      <c r="C17" s="517" t="str">
        <f t="shared" si="4"/>
        <v>2Q00</v>
      </c>
      <c r="D17" s="518">
        <f t="shared" si="5"/>
        <v>36672</v>
      </c>
      <c r="E17" s="518">
        <f t="shared" si="5"/>
        <v>36612</v>
      </c>
      <c r="F17" s="520">
        <v>1.4509999999999998</v>
      </c>
      <c r="G17" s="521">
        <f t="shared" si="1"/>
        <v>7.0000000000000007E-2</v>
      </c>
      <c r="H17" s="521">
        <f t="shared" si="2"/>
        <v>6.0000000000000005E-2</v>
      </c>
      <c r="I17" s="521">
        <f t="shared" si="8"/>
        <v>1.7500000000000004</v>
      </c>
      <c r="J17" s="521">
        <f t="shared" si="6"/>
        <v>1.8000000000000005</v>
      </c>
      <c r="K17" s="521">
        <f t="shared" si="9"/>
        <v>0.12999999999999998</v>
      </c>
      <c r="L17" s="505"/>
      <c r="M17" s="528"/>
      <c r="N17" s="505"/>
      <c r="O17" s="505"/>
      <c r="P17" s="529"/>
      <c r="Q17" s="529"/>
      <c r="R17" s="529"/>
      <c r="S17" s="529"/>
      <c r="T17" s="529"/>
      <c r="U17" s="529"/>
      <c r="V17" s="529"/>
      <c r="W17" s="529"/>
      <c r="X17" s="529"/>
      <c r="Y17" s="529"/>
      <c r="Z17" s="529"/>
      <c r="AA17" s="529"/>
      <c r="AB17" s="529"/>
      <c r="AC17" s="529"/>
      <c r="AD17" s="529"/>
      <c r="AE17" s="529"/>
      <c r="AF17" s="529"/>
      <c r="AG17" s="529"/>
      <c r="AH17" s="529"/>
      <c r="AI17" s="529"/>
      <c r="AJ17" s="529"/>
      <c r="AK17" s="529"/>
      <c r="AL17" s="529"/>
      <c r="AM17" s="529"/>
      <c r="AN17" s="529"/>
      <c r="AO17" s="529"/>
      <c r="AP17" s="529"/>
      <c r="AQ17" s="529"/>
      <c r="AR17" s="529"/>
      <c r="AS17" s="529"/>
      <c r="AT17" s="529"/>
      <c r="AU17" s="529"/>
      <c r="AV17" s="529"/>
      <c r="AW17" s="529"/>
      <c r="AX17" s="529"/>
      <c r="AY17" s="529"/>
      <c r="AZ17" s="529"/>
      <c r="BA17" s="529"/>
      <c r="BB17" s="529"/>
      <c r="BC17" s="529"/>
      <c r="BD17" s="529"/>
      <c r="BE17" s="529"/>
      <c r="BF17" s="529"/>
      <c r="BG17" s="529"/>
      <c r="BH17" s="529"/>
      <c r="BI17" s="529"/>
      <c r="BJ17" s="529"/>
      <c r="BK17" s="529"/>
      <c r="BL17" s="529"/>
      <c r="BM17" s="529"/>
      <c r="BN17" s="529"/>
      <c r="BO17" s="529"/>
      <c r="BP17" s="529"/>
      <c r="BQ17" s="529"/>
      <c r="BR17" s="529"/>
      <c r="BS17" s="529"/>
      <c r="BT17" s="529"/>
      <c r="BU17" s="505"/>
      <c r="BV17" s="505"/>
      <c r="BW17" s="505"/>
      <c r="BX17" s="505"/>
      <c r="BY17" s="505"/>
      <c r="BZ17" s="505"/>
      <c r="CA17" s="505"/>
      <c r="CB17" s="505"/>
      <c r="CC17" s="505"/>
      <c r="CD17" s="505"/>
      <c r="CE17" s="505"/>
      <c r="CF17" s="505"/>
      <c r="CG17" s="505"/>
      <c r="CH17" s="505"/>
      <c r="CI17" s="505"/>
      <c r="CJ17" s="505"/>
      <c r="CK17" s="505"/>
      <c r="CL17" s="505"/>
      <c r="CM17" s="505"/>
      <c r="CN17" s="505"/>
      <c r="CO17" s="505"/>
      <c r="CP17" s="505"/>
      <c r="CQ17" s="505"/>
      <c r="CR17" s="505"/>
      <c r="CS17" s="505"/>
      <c r="CT17" s="505"/>
      <c r="CU17" s="505"/>
      <c r="CV17" s="505"/>
      <c r="CW17" s="505"/>
      <c r="CX17" s="505"/>
      <c r="CY17" s="505"/>
      <c r="CZ17" s="505"/>
      <c r="DA17" s="505"/>
      <c r="DB17" s="505"/>
      <c r="DC17" s="505"/>
      <c r="DD17" s="505"/>
      <c r="DE17" s="505"/>
      <c r="DF17" s="505"/>
      <c r="DG17" s="505"/>
      <c r="DH17" s="505"/>
      <c r="DI17" s="505"/>
      <c r="DJ17" s="505"/>
      <c r="DK17" s="505"/>
      <c r="DL17" s="505"/>
      <c r="DM17" s="505"/>
      <c r="DN17" s="505"/>
      <c r="DO17" s="505"/>
      <c r="DP17" s="505"/>
    </row>
    <row r="18" spans="1:120" hidden="1" outlineLevel="1" x14ac:dyDescent="0.2">
      <c r="A18" s="517">
        <f t="shared" si="3"/>
        <v>36617</v>
      </c>
      <c r="B18" s="517" t="str">
        <f t="shared" si="0"/>
        <v>2Q00</v>
      </c>
      <c r="C18" s="517" t="str">
        <f t="shared" si="4"/>
        <v>2Q00</v>
      </c>
      <c r="D18" s="518">
        <f t="shared" si="5"/>
        <v>36679</v>
      </c>
      <c r="E18" s="518">
        <f t="shared" si="5"/>
        <v>36619</v>
      </c>
      <c r="F18" s="520">
        <v>1.4419999999999999</v>
      </c>
      <c r="G18" s="521">
        <f t="shared" si="1"/>
        <v>6.0000000000000005E-2</v>
      </c>
      <c r="H18" s="521">
        <f t="shared" si="2"/>
        <v>6.0000000000000005E-2</v>
      </c>
      <c r="I18" s="521">
        <f t="shared" si="8"/>
        <v>1.8000000000000005</v>
      </c>
      <c r="J18" s="521">
        <f t="shared" si="6"/>
        <v>1.8500000000000005</v>
      </c>
      <c r="K18" s="521">
        <f t="shared" si="9"/>
        <v>0.13999999999999999</v>
      </c>
      <c r="L18" s="505"/>
      <c r="M18" s="528"/>
      <c r="N18" s="505"/>
      <c r="O18" s="505"/>
      <c r="P18" s="529"/>
      <c r="Q18" s="529"/>
      <c r="R18" s="529"/>
      <c r="S18" s="529"/>
      <c r="T18" s="529"/>
      <c r="U18" s="529"/>
      <c r="V18" s="529"/>
      <c r="W18" s="529"/>
      <c r="X18" s="529"/>
      <c r="Y18" s="529"/>
      <c r="Z18" s="529"/>
      <c r="AA18" s="529"/>
      <c r="AB18" s="529"/>
      <c r="AC18" s="529"/>
      <c r="AD18" s="529"/>
      <c r="AE18" s="529"/>
      <c r="AF18" s="529"/>
      <c r="AG18" s="529"/>
      <c r="AH18" s="529"/>
      <c r="AI18" s="529"/>
      <c r="AJ18" s="529"/>
      <c r="AK18" s="529"/>
      <c r="AL18" s="529"/>
      <c r="AM18" s="529"/>
      <c r="AN18" s="529"/>
      <c r="AO18" s="529"/>
      <c r="AP18" s="529"/>
      <c r="AQ18" s="529"/>
      <c r="AR18" s="529"/>
      <c r="AS18" s="529"/>
      <c r="AT18" s="529"/>
      <c r="AU18" s="529"/>
      <c r="AV18" s="529"/>
      <c r="AW18" s="529"/>
      <c r="AX18" s="529"/>
      <c r="AY18" s="529"/>
      <c r="AZ18" s="529"/>
      <c r="BA18" s="529"/>
      <c r="BB18" s="529"/>
      <c r="BC18" s="529"/>
      <c r="BD18" s="529"/>
      <c r="BE18" s="529"/>
      <c r="BF18" s="529"/>
      <c r="BG18" s="529"/>
      <c r="BH18" s="529"/>
      <c r="BI18" s="529"/>
      <c r="BJ18" s="529"/>
      <c r="BK18" s="529"/>
      <c r="BL18" s="529"/>
      <c r="BM18" s="529"/>
      <c r="BN18" s="529"/>
      <c r="BO18" s="529"/>
      <c r="BP18" s="529"/>
      <c r="BQ18" s="529"/>
      <c r="BR18" s="529"/>
      <c r="BS18" s="529"/>
      <c r="BT18" s="529"/>
      <c r="BU18" s="505"/>
      <c r="BV18" s="505"/>
      <c r="BW18" s="505"/>
      <c r="BX18" s="505"/>
      <c r="BY18" s="505"/>
      <c r="BZ18" s="505"/>
      <c r="CA18" s="505"/>
      <c r="CB18" s="505"/>
      <c r="CC18" s="505"/>
      <c r="CD18" s="505"/>
      <c r="CE18" s="505"/>
      <c r="CF18" s="505"/>
      <c r="CG18" s="505"/>
      <c r="CH18" s="505"/>
      <c r="CI18" s="505"/>
      <c r="CJ18" s="505"/>
      <c r="CK18" s="505"/>
      <c r="CL18" s="505"/>
      <c r="CM18" s="505"/>
      <c r="CN18" s="505"/>
      <c r="CO18" s="505"/>
      <c r="CP18" s="505"/>
      <c r="CQ18" s="505"/>
      <c r="CR18" s="505"/>
      <c r="CS18" s="505"/>
      <c r="CT18" s="505"/>
      <c r="CU18" s="505"/>
      <c r="CV18" s="505"/>
      <c r="CW18" s="505"/>
      <c r="CX18" s="505"/>
      <c r="CY18" s="505"/>
      <c r="CZ18" s="505"/>
      <c r="DA18" s="505"/>
      <c r="DB18" s="505"/>
      <c r="DC18" s="505"/>
      <c r="DD18" s="505"/>
      <c r="DE18" s="505"/>
      <c r="DF18" s="505"/>
      <c r="DG18" s="505"/>
      <c r="DH18" s="505"/>
      <c r="DI18" s="505"/>
      <c r="DJ18" s="505"/>
      <c r="DK18" s="505"/>
      <c r="DL18" s="505"/>
      <c r="DM18" s="505"/>
      <c r="DN18" s="505"/>
      <c r="DO18" s="505"/>
      <c r="DP18" s="505"/>
    </row>
    <row r="19" spans="1:120" hidden="1" outlineLevel="1" x14ac:dyDescent="0.2">
      <c r="A19" s="517">
        <f t="shared" si="3"/>
        <v>36617</v>
      </c>
      <c r="B19" s="517" t="str">
        <f t="shared" si="0"/>
        <v>2Q00</v>
      </c>
      <c r="C19" s="517" t="str">
        <f t="shared" si="4"/>
        <v>2Q00</v>
      </c>
      <c r="D19" s="518">
        <f t="shared" si="5"/>
        <v>36686</v>
      </c>
      <c r="E19" s="518">
        <f t="shared" si="5"/>
        <v>36626</v>
      </c>
      <c r="F19" s="520">
        <v>1.419</v>
      </c>
      <c r="G19" s="521">
        <f t="shared" si="1"/>
        <v>6.0000000000000005E-2</v>
      </c>
      <c r="H19" s="521">
        <f t="shared" si="2"/>
        <v>0.05</v>
      </c>
      <c r="I19" s="521">
        <f t="shared" si="8"/>
        <v>1.8500000000000005</v>
      </c>
      <c r="J19" s="521">
        <f t="shared" si="6"/>
        <v>1.9000000000000006</v>
      </c>
      <c r="K19" s="521">
        <f t="shared" si="9"/>
        <v>0.15</v>
      </c>
      <c r="L19" s="505"/>
      <c r="M19" s="528"/>
      <c r="N19" s="511"/>
      <c r="O19" s="511"/>
      <c r="P19" s="511"/>
      <c r="Q19" s="511"/>
      <c r="R19" s="511"/>
      <c r="S19" s="511"/>
      <c r="T19" s="511"/>
      <c r="U19" s="511"/>
      <c r="V19" s="511"/>
      <c r="W19" s="511"/>
      <c r="X19" s="511"/>
      <c r="Y19" s="511"/>
      <c r="Z19" s="511"/>
      <c r="AA19" s="511"/>
      <c r="AB19" s="511"/>
      <c r="AC19" s="511"/>
      <c r="AD19" s="511"/>
      <c r="AE19" s="511"/>
      <c r="AF19" s="511"/>
      <c r="AG19" s="511"/>
      <c r="AH19" s="511"/>
      <c r="AI19" s="511"/>
      <c r="AJ19" s="511"/>
      <c r="AK19" s="511"/>
      <c r="AL19" s="511"/>
      <c r="AM19" s="511"/>
      <c r="AN19" s="511"/>
      <c r="AO19" s="511"/>
      <c r="AP19" s="511"/>
      <c r="AQ19" s="511"/>
      <c r="AR19" s="511"/>
      <c r="AS19" s="511"/>
      <c r="AT19" s="511"/>
      <c r="AU19" s="511"/>
      <c r="AV19" s="511"/>
      <c r="AW19" s="511"/>
      <c r="AX19" s="511"/>
      <c r="AY19" s="511"/>
      <c r="AZ19" s="511"/>
      <c r="BA19" s="511"/>
      <c r="BB19" s="511"/>
      <c r="BC19" s="511"/>
      <c r="BD19" s="511"/>
      <c r="BE19" s="511"/>
      <c r="BF19" s="511"/>
      <c r="BG19" s="511"/>
      <c r="BH19" s="511"/>
      <c r="BI19" s="511"/>
      <c r="BJ19" s="511"/>
      <c r="BK19" s="511"/>
      <c r="BL19" s="511"/>
      <c r="BM19" s="511"/>
      <c r="BN19" s="511"/>
      <c r="BO19" s="511"/>
      <c r="BP19" s="511"/>
      <c r="BQ19" s="511"/>
      <c r="BR19" s="511"/>
      <c r="BS19" s="511"/>
      <c r="BT19" s="511"/>
      <c r="BU19" s="505"/>
      <c r="BV19" s="505"/>
      <c r="BW19" s="505"/>
      <c r="BX19" s="505"/>
      <c r="BY19" s="505"/>
      <c r="BZ19" s="505"/>
      <c r="CA19" s="505"/>
      <c r="CB19" s="505"/>
      <c r="CC19" s="505"/>
      <c r="CD19" s="505"/>
      <c r="CE19" s="505"/>
      <c r="CF19" s="505"/>
      <c r="CG19" s="505"/>
      <c r="CH19" s="505"/>
      <c r="CI19" s="505"/>
      <c r="CJ19" s="505"/>
      <c r="CK19" s="505"/>
      <c r="CL19" s="505"/>
      <c r="CM19" s="505"/>
      <c r="CN19" s="505"/>
      <c r="CO19" s="505"/>
      <c r="CP19" s="505"/>
      <c r="CQ19" s="505"/>
      <c r="CR19" s="505"/>
      <c r="CS19" s="505"/>
      <c r="CT19" s="505"/>
      <c r="CU19" s="505"/>
      <c r="CV19" s="505"/>
      <c r="CW19" s="505"/>
      <c r="CX19" s="505"/>
      <c r="CY19" s="505"/>
      <c r="CZ19" s="505"/>
      <c r="DA19" s="505"/>
      <c r="DB19" s="505"/>
      <c r="DC19" s="505"/>
      <c r="DD19" s="505"/>
      <c r="DE19" s="505"/>
      <c r="DF19" s="505"/>
      <c r="DG19" s="505"/>
      <c r="DH19" s="505"/>
      <c r="DI19" s="505"/>
      <c r="DJ19" s="505"/>
      <c r="DK19" s="505"/>
      <c r="DL19" s="505"/>
      <c r="DM19" s="505"/>
      <c r="DN19" s="505"/>
      <c r="DO19" s="505"/>
      <c r="DP19" s="505"/>
    </row>
    <row r="20" spans="1:120" hidden="1" outlineLevel="1" x14ac:dyDescent="0.2">
      <c r="A20" s="517">
        <f t="shared" si="3"/>
        <v>36617</v>
      </c>
      <c r="B20" s="517" t="str">
        <f t="shared" si="0"/>
        <v>2Q00</v>
      </c>
      <c r="C20" s="517" t="str">
        <f t="shared" si="4"/>
        <v>2Q00</v>
      </c>
      <c r="D20" s="518">
        <f t="shared" si="5"/>
        <v>36693</v>
      </c>
      <c r="E20" s="518">
        <f t="shared" si="5"/>
        <v>36633</v>
      </c>
      <c r="F20" s="520">
        <v>1.3980000000000001</v>
      </c>
      <c r="G20" s="521">
        <f t="shared" si="1"/>
        <v>0.05</v>
      </c>
      <c r="H20" s="521">
        <f t="shared" si="2"/>
        <v>6.0000000000000005E-2</v>
      </c>
      <c r="I20" s="521">
        <f t="shared" si="8"/>
        <v>1.9000000000000006</v>
      </c>
      <c r="J20" s="521">
        <f t="shared" si="6"/>
        <v>1.9500000000000006</v>
      </c>
      <c r="K20" s="521">
        <f t="shared" si="9"/>
        <v>0.16</v>
      </c>
      <c r="L20" s="505"/>
      <c r="M20" s="528"/>
      <c r="N20" s="505"/>
      <c r="O20" s="505"/>
      <c r="P20" s="505"/>
      <c r="Q20" s="505"/>
      <c r="R20" s="505"/>
      <c r="S20" s="505"/>
      <c r="T20" s="505"/>
      <c r="U20" s="505"/>
      <c r="V20" s="505"/>
      <c r="W20" s="505"/>
      <c r="X20" s="505"/>
      <c r="Y20" s="505"/>
      <c r="Z20" s="505"/>
      <c r="AA20" s="505"/>
      <c r="AB20" s="505"/>
      <c r="AC20" s="505"/>
      <c r="AD20" s="505"/>
      <c r="AE20" s="505"/>
      <c r="AF20" s="505"/>
      <c r="AG20" s="505"/>
      <c r="AH20" s="505"/>
      <c r="AI20" s="505"/>
      <c r="AJ20" s="505"/>
      <c r="AK20" s="505"/>
      <c r="AL20" s="505"/>
      <c r="AM20" s="505"/>
      <c r="AN20" s="505"/>
      <c r="AO20" s="505"/>
      <c r="AP20" s="505"/>
      <c r="AQ20" s="505"/>
      <c r="AR20" s="505"/>
      <c r="AS20" s="505"/>
      <c r="AT20" s="505"/>
      <c r="AU20" s="505"/>
      <c r="AV20" s="505"/>
      <c r="AW20" s="505"/>
      <c r="AX20" s="505"/>
      <c r="AY20" s="505"/>
      <c r="AZ20" s="505"/>
      <c r="BA20" s="505"/>
      <c r="BB20" s="505"/>
      <c r="BC20" s="505"/>
      <c r="BD20" s="505"/>
      <c r="BE20" s="505"/>
      <c r="BF20" s="505"/>
      <c r="BG20" s="505"/>
      <c r="BH20" s="505"/>
      <c r="BI20" s="505"/>
      <c r="BJ20" s="505"/>
      <c r="BK20" s="505"/>
      <c r="BL20" s="505"/>
      <c r="BM20" s="505"/>
      <c r="BN20" s="505"/>
      <c r="BO20" s="505"/>
      <c r="BP20" s="505"/>
      <c r="BQ20" s="505"/>
      <c r="BR20" s="505"/>
      <c r="BS20" s="505"/>
      <c r="BT20" s="505"/>
      <c r="BU20" s="505"/>
      <c r="BV20" s="505"/>
      <c r="BW20" s="505"/>
      <c r="BX20" s="505"/>
      <c r="BY20" s="505"/>
      <c r="BZ20" s="505"/>
      <c r="CA20" s="505"/>
      <c r="CB20" s="505"/>
      <c r="CC20" s="505"/>
      <c r="CD20" s="505"/>
      <c r="CE20" s="505"/>
      <c r="CF20" s="505"/>
      <c r="CG20" s="505"/>
      <c r="CH20" s="505"/>
      <c r="CI20" s="505"/>
      <c r="CJ20" s="505"/>
      <c r="CK20" s="505"/>
      <c r="CL20" s="505"/>
      <c r="CM20" s="505"/>
      <c r="CN20" s="505"/>
      <c r="CO20" s="505"/>
      <c r="CP20" s="505"/>
      <c r="CQ20" s="505"/>
      <c r="CR20" s="505"/>
      <c r="CS20" s="505"/>
      <c r="CT20" s="505"/>
      <c r="CU20" s="505"/>
      <c r="CV20" s="505"/>
      <c r="CW20" s="505"/>
      <c r="CX20" s="505"/>
      <c r="CY20" s="505"/>
      <c r="CZ20" s="505"/>
      <c r="DA20" s="505"/>
      <c r="DB20" s="505"/>
      <c r="DC20" s="505"/>
      <c r="DD20" s="505"/>
      <c r="DE20" s="505"/>
      <c r="DF20" s="505"/>
      <c r="DG20" s="505"/>
      <c r="DH20" s="505"/>
      <c r="DI20" s="505"/>
      <c r="DJ20" s="505"/>
      <c r="DK20" s="505"/>
      <c r="DL20" s="505"/>
      <c r="DM20" s="505"/>
      <c r="DN20" s="505"/>
      <c r="DO20" s="505"/>
      <c r="DP20" s="505"/>
    </row>
    <row r="21" spans="1:120" hidden="1" outlineLevel="1" x14ac:dyDescent="0.2">
      <c r="A21" s="517">
        <f t="shared" si="3"/>
        <v>36617</v>
      </c>
      <c r="B21" s="517" t="str">
        <f t="shared" si="0"/>
        <v>2Q00</v>
      </c>
      <c r="C21" s="517" t="str">
        <f t="shared" si="4"/>
        <v>2Q00</v>
      </c>
      <c r="D21" s="518">
        <f t="shared" si="5"/>
        <v>36700</v>
      </c>
      <c r="E21" s="518">
        <f t="shared" si="5"/>
        <v>36640</v>
      </c>
      <c r="F21" s="520">
        <v>1.4280000000000002</v>
      </c>
      <c r="G21" s="521">
        <f t="shared" si="1"/>
        <v>6.0000000000000005E-2</v>
      </c>
      <c r="H21" s="521">
        <f t="shared" si="2"/>
        <v>6.0000000000000005E-2</v>
      </c>
      <c r="I21" s="521">
        <f t="shared" si="8"/>
        <v>1.9500000000000006</v>
      </c>
      <c r="J21" s="521">
        <f t="shared" si="6"/>
        <v>2.0000000000000004</v>
      </c>
      <c r="K21" s="521">
        <f t="shared" si="9"/>
        <v>0.17</v>
      </c>
      <c r="L21" s="505"/>
      <c r="M21" s="528"/>
      <c r="N21" s="505"/>
      <c r="O21" s="505"/>
      <c r="P21" s="505"/>
      <c r="Q21" s="505"/>
      <c r="R21" s="505"/>
      <c r="S21" s="505"/>
      <c r="T21" s="505"/>
      <c r="U21" s="505"/>
      <c r="V21" s="505"/>
      <c r="W21" s="505"/>
      <c r="X21" s="505"/>
      <c r="Y21" s="505"/>
      <c r="Z21" s="505"/>
      <c r="AA21" s="505"/>
      <c r="AB21" s="505"/>
      <c r="AC21" s="505"/>
      <c r="AD21" s="505"/>
      <c r="AE21" s="505"/>
      <c r="AF21" s="505"/>
      <c r="AG21" s="505"/>
      <c r="AH21" s="505"/>
      <c r="AI21" s="505"/>
      <c r="AJ21" s="505"/>
      <c r="AK21" s="505"/>
      <c r="AL21" s="505"/>
      <c r="AM21" s="505"/>
      <c r="AN21" s="505"/>
      <c r="AO21" s="505"/>
      <c r="AP21" s="505"/>
      <c r="AQ21" s="505"/>
      <c r="AR21" s="505"/>
      <c r="AS21" s="505"/>
      <c r="AT21" s="505"/>
      <c r="AU21" s="505"/>
      <c r="AV21" s="505"/>
      <c r="AW21" s="505"/>
      <c r="AX21" s="505"/>
      <c r="AY21" s="505"/>
      <c r="AZ21" s="505"/>
      <c r="BA21" s="505"/>
      <c r="BB21" s="505"/>
      <c r="BC21" s="505"/>
      <c r="BD21" s="505"/>
      <c r="BE21" s="505"/>
      <c r="BF21" s="505"/>
      <c r="BG21" s="505"/>
      <c r="BH21" s="505"/>
      <c r="BI21" s="505"/>
      <c r="BJ21" s="505"/>
      <c r="BK21" s="505"/>
      <c r="BL21" s="505"/>
      <c r="BM21" s="505"/>
      <c r="BN21" s="505"/>
      <c r="BO21" s="505"/>
      <c r="BP21" s="505"/>
      <c r="BQ21" s="505"/>
      <c r="BR21" s="505"/>
      <c r="BS21" s="505"/>
      <c r="BT21" s="505"/>
      <c r="BU21" s="505"/>
      <c r="BV21" s="505"/>
      <c r="BW21" s="505"/>
      <c r="BX21" s="505"/>
      <c r="BY21" s="505"/>
      <c r="BZ21" s="505"/>
      <c r="CA21" s="505"/>
      <c r="CB21" s="505"/>
      <c r="CC21" s="505"/>
      <c r="CD21" s="505"/>
      <c r="CE21" s="505"/>
      <c r="CF21" s="505"/>
      <c r="CG21" s="505"/>
      <c r="CH21" s="505"/>
      <c r="CI21" s="505"/>
      <c r="CJ21" s="505"/>
      <c r="CK21" s="505"/>
      <c r="CL21" s="505"/>
      <c r="CM21" s="505"/>
      <c r="CN21" s="505"/>
      <c r="CO21" s="505"/>
      <c r="CP21" s="505"/>
      <c r="CQ21" s="505"/>
      <c r="CR21" s="505"/>
      <c r="CS21" s="505"/>
      <c r="CT21" s="505"/>
      <c r="CU21" s="505"/>
      <c r="CV21" s="505"/>
      <c r="CW21" s="505"/>
      <c r="CX21" s="505"/>
      <c r="CY21" s="505"/>
      <c r="CZ21" s="505"/>
      <c r="DA21" s="505"/>
      <c r="DB21" s="505"/>
      <c r="DC21" s="505"/>
      <c r="DD21" s="505"/>
      <c r="DE21" s="505"/>
      <c r="DF21" s="505"/>
      <c r="DG21" s="505"/>
      <c r="DH21" s="505"/>
      <c r="DI21" s="505"/>
      <c r="DJ21" s="505"/>
      <c r="DK21" s="505"/>
      <c r="DL21" s="505"/>
      <c r="DM21" s="505"/>
      <c r="DN21" s="505"/>
      <c r="DO21" s="505"/>
      <c r="DP21" s="505"/>
    </row>
    <row r="22" spans="1:120" hidden="1" outlineLevel="1" x14ac:dyDescent="0.2">
      <c r="A22" s="517">
        <f t="shared" si="3"/>
        <v>36647</v>
      </c>
      <c r="B22" s="517" t="str">
        <f t="shared" si="0"/>
        <v>2Q00</v>
      </c>
      <c r="C22" s="517" t="str">
        <f t="shared" si="4"/>
        <v>2Q00</v>
      </c>
      <c r="D22" s="518">
        <f t="shared" si="5"/>
        <v>36707</v>
      </c>
      <c r="E22" s="518">
        <f t="shared" si="5"/>
        <v>36647</v>
      </c>
      <c r="F22" s="520">
        <v>1.4180000000000001</v>
      </c>
      <c r="G22" s="521">
        <f t="shared" si="1"/>
        <v>6.0000000000000005E-2</v>
      </c>
      <c r="H22" s="521">
        <f t="shared" si="2"/>
        <v>6.0000000000000005E-2</v>
      </c>
      <c r="I22" s="521">
        <f t="shared" si="8"/>
        <v>2.0000000000000004</v>
      </c>
      <c r="J22" s="521">
        <f t="shared" si="6"/>
        <v>2.0500000000000003</v>
      </c>
      <c r="K22" s="521">
        <f t="shared" si="9"/>
        <v>0.18000000000000002</v>
      </c>
      <c r="L22" s="505"/>
      <c r="M22" s="528"/>
      <c r="N22" s="505"/>
      <c r="O22" s="505"/>
      <c r="P22" s="505"/>
      <c r="Q22" s="505"/>
      <c r="R22" s="505"/>
      <c r="S22" s="505"/>
      <c r="T22" s="505"/>
      <c r="U22" s="505"/>
      <c r="V22" s="505"/>
      <c r="W22" s="505"/>
      <c r="X22" s="505"/>
      <c r="Y22" s="505"/>
      <c r="Z22" s="505"/>
      <c r="AA22" s="505"/>
      <c r="AB22" s="505"/>
      <c r="AC22" s="505"/>
      <c r="AD22" s="505"/>
      <c r="AE22" s="505"/>
      <c r="AF22" s="505"/>
      <c r="AG22" s="505"/>
      <c r="AH22" s="505"/>
      <c r="AI22" s="505"/>
      <c r="AJ22" s="505"/>
      <c r="AK22" s="505"/>
      <c r="AL22" s="505"/>
      <c r="AM22" s="505"/>
      <c r="AN22" s="505"/>
      <c r="AO22" s="505"/>
      <c r="AP22" s="505"/>
      <c r="AQ22" s="505"/>
      <c r="AR22" s="505"/>
      <c r="AS22" s="505"/>
      <c r="AT22" s="505"/>
      <c r="AU22" s="505"/>
      <c r="AV22" s="505"/>
      <c r="AW22" s="505"/>
      <c r="AX22" s="505"/>
      <c r="AY22" s="505"/>
      <c r="AZ22" s="505"/>
      <c r="BA22" s="505"/>
      <c r="BB22" s="505"/>
      <c r="BC22" s="505"/>
      <c r="BD22" s="505"/>
      <c r="BE22" s="505"/>
      <c r="BF22" s="505"/>
      <c r="BG22" s="505"/>
      <c r="BH22" s="505"/>
      <c r="BI22" s="505"/>
      <c r="BJ22" s="505"/>
      <c r="BK22" s="505"/>
      <c r="BL22" s="505"/>
      <c r="BM22" s="505"/>
      <c r="BN22" s="505"/>
      <c r="BO22" s="505"/>
      <c r="BP22" s="505"/>
      <c r="BQ22" s="505"/>
      <c r="BR22" s="505"/>
      <c r="BS22" s="505"/>
      <c r="BT22" s="505"/>
      <c r="BU22" s="505"/>
      <c r="BV22" s="505"/>
      <c r="BW22" s="505"/>
      <c r="BX22" s="505"/>
      <c r="BY22" s="505"/>
      <c r="BZ22" s="505"/>
      <c r="CA22" s="505"/>
      <c r="CB22" s="505"/>
      <c r="CC22" s="505"/>
      <c r="CD22" s="505"/>
      <c r="CE22" s="505"/>
      <c r="CF22" s="505"/>
      <c r="CG22" s="505"/>
      <c r="CH22" s="505"/>
      <c r="CI22" s="505"/>
      <c r="CJ22" s="505"/>
      <c r="CK22" s="505"/>
      <c r="CL22" s="505"/>
      <c r="CM22" s="505"/>
      <c r="CN22" s="505"/>
      <c r="CO22" s="505"/>
      <c r="CP22" s="505"/>
      <c r="CQ22" s="505"/>
      <c r="CR22" s="505"/>
      <c r="CS22" s="505"/>
      <c r="CT22" s="505"/>
      <c r="CU22" s="505"/>
      <c r="CV22" s="505"/>
      <c r="CW22" s="505"/>
      <c r="CX22" s="505"/>
      <c r="CY22" s="505"/>
      <c r="CZ22" s="505"/>
      <c r="DA22" s="505"/>
      <c r="DB22" s="505"/>
      <c r="DC22" s="505"/>
      <c r="DD22" s="505"/>
      <c r="DE22" s="505"/>
      <c r="DF22" s="505"/>
      <c r="DG22" s="505"/>
      <c r="DH22" s="505"/>
      <c r="DI22" s="505"/>
      <c r="DJ22" s="505"/>
      <c r="DK22" s="505"/>
      <c r="DL22" s="505"/>
      <c r="DM22" s="505"/>
      <c r="DN22" s="505"/>
      <c r="DO22" s="505"/>
      <c r="DP22" s="505"/>
    </row>
    <row r="23" spans="1:120" hidden="1" outlineLevel="1" x14ac:dyDescent="0.2">
      <c r="A23" s="517">
        <f t="shared" si="3"/>
        <v>36647</v>
      </c>
      <c r="B23" s="517" t="str">
        <f t="shared" si="0"/>
        <v>2Q00</v>
      </c>
      <c r="C23" s="517" t="str">
        <f t="shared" si="4"/>
        <v>3Q00</v>
      </c>
      <c r="D23" s="518">
        <f t="shared" si="5"/>
        <v>36714</v>
      </c>
      <c r="E23" s="518">
        <f t="shared" si="5"/>
        <v>36654</v>
      </c>
      <c r="F23" s="520">
        <v>1.4019999999999999</v>
      </c>
      <c r="G23" s="521">
        <f t="shared" si="1"/>
        <v>6.0000000000000005E-2</v>
      </c>
      <c r="H23" s="521">
        <f t="shared" si="2"/>
        <v>6.0000000000000005E-2</v>
      </c>
      <c r="I23" s="521">
        <f t="shared" si="8"/>
        <v>2.0500000000000003</v>
      </c>
      <c r="J23" s="521">
        <f t="shared" si="6"/>
        <v>2.1</v>
      </c>
      <c r="K23" s="521">
        <f t="shared" si="9"/>
        <v>0.19000000000000003</v>
      </c>
      <c r="L23" s="505"/>
      <c r="M23" s="528"/>
      <c r="N23" s="505"/>
      <c r="O23" s="505"/>
      <c r="P23" s="505"/>
      <c r="Q23" s="505"/>
      <c r="R23" s="505"/>
      <c r="S23" s="505"/>
      <c r="T23" s="505"/>
      <c r="U23" s="505"/>
      <c r="V23" s="505"/>
      <c r="W23" s="505"/>
      <c r="X23" s="505"/>
      <c r="Y23" s="505"/>
      <c r="Z23" s="505"/>
      <c r="AA23" s="505"/>
      <c r="AB23" s="505"/>
      <c r="AC23" s="505"/>
      <c r="AD23" s="505"/>
      <c r="AE23" s="505"/>
      <c r="AF23" s="505"/>
      <c r="AG23" s="505"/>
      <c r="AH23" s="505"/>
      <c r="AI23" s="505"/>
      <c r="AJ23" s="505"/>
      <c r="AK23" s="505"/>
      <c r="AL23" s="505"/>
      <c r="AM23" s="505"/>
      <c r="AN23" s="505"/>
      <c r="AO23" s="505"/>
      <c r="AP23" s="505"/>
      <c r="AQ23" s="505"/>
      <c r="AR23" s="505"/>
      <c r="AS23" s="505"/>
      <c r="AT23" s="505"/>
      <c r="AU23" s="505"/>
      <c r="AV23" s="505"/>
      <c r="AW23" s="505"/>
      <c r="AX23" s="505"/>
      <c r="AY23" s="505"/>
      <c r="AZ23" s="505"/>
      <c r="BA23" s="505"/>
      <c r="BB23" s="505"/>
      <c r="BC23" s="505"/>
      <c r="BD23" s="505"/>
      <c r="BE23" s="505"/>
      <c r="BF23" s="505"/>
      <c r="BG23" s="505"/>
      <c r="BH23" s="505"/>
      <c r="BI23" s="505"/>
      <c r="BJ23" s="505"/>
      <c r="BK23" s="505"/>
      <c r="BL23" s="505"/>
      <c r="BM23" s="505"/>
      <c r="BN23" s="505"/>
      <c r="BO23" s="505"/>
      <c r="BP23" s="505"/>
      <c r="BQ23" s="505"/>
      <c r="BR23" s="505"/>
      <c r="BS23" s="505"/>
      <c r="BT23" s="505"/>
      <c r="BU23" s="505"/>
      <c r="BV23" s="505"/>
      <c r="BW23" s="505"/>
      <c r="BX23" s="505"/>
      <c r="BY23" s="505"/>
      <c r="BZ23" s="505"/>
      <c r="CA23" s="505"/>
      <c r="CB23" s="505"/>
      <c r="CC23" s="505"/>
      <c r="CD23" s="505"/>
      <c r="CE23" s="505"/>
      <c r="CF23" s="505"/>
      <c r="CG23" s="505"/>
      <c r="CH23" s="505"/>
      <c r="CI23" s="505"/>
      <c r="CJ23" s="505"/>
      <c r="CK23" s="505"/>
      <c r="CL23" s="505"/>
      <c r="CM23" s="505"/>
      <c r="CN23" s="505"/>
      <c r="CO23" s="505"/>
      <c r="CP23" s="505"/>
      <c r="CQ23" s="505"/>
      <c r="CR23" s="505"/>
      <c r="CS23" s="505"/>
      <c r="CT23" s="505"/>
      <c r="CU23" s="505"/>
      <c r="CV23" s="505"/>
      <c r="CW23" s="505"/>
      <c r="CX23" s="505"/>
      <c r="CY23" s="505"/>
      <c r="CZ23" s="505"/>
      <c r="DA23" s="505"/>
      <c r="DB23" s="505"/>
      <c r="DC23" s="505"/>
      <c r="DD23" s="505"/>
      <c r="DE23" s="505"/>
      <c r="DF23" s="505"/>
      <c r="DG23" s="505"/>
      <c r="DH23" s="505"/>
      <c r="DI23" s="505"/>
      <c r="DJ23" s="505"/>
      <c r="DK23" s="505"/>
      <c r="DL23" s="505"/>
      <c r="DM23" s="505"/>
      <c r="DN23" s="505"/>
      <c r="DO23" s="505"/>
      <c r="DP23" s="505"/>
    </row>
    <row r="24" spans="1:120" hidden="1" outlineLevel="1" x14ac:dyDescent="0.2">
      <c r="A24" s="517">
        <f t="shared" si="3"/>
        <v>36647</v>
      </c>
      <c r="B24" s="517" t="str">
        <f t="shared" si="0"/>
        <v>2Q00</v>
      </c>
      <c r="C24" s="517" t="str">
        <f t="shared" si="4"/>
        <v>3Q00</v>
      </c>
      <c r="D24" s="518">
        <f t="shared" si="5"/>
        <v>36721</v>
      </c>
      <c r="E24" s="518">
        <f t="shared" si="5"/>
        <v>36661</v>
      </c>
      <c r="F24" s="520">
        <v>1.415</v>
      </c>
      <c r="G24" s="521">
        <f t="shared" si="1"/>
        <v>6.0000000000000005E-2</v>
      </c>
      <c r="H24" s="521">
        <f t="shared" si="2"/>
        <v>6.0000000000000005E-2</v>
      </c>
      <c r="I24" s="521">
        <f t="shared" si="8"/>
        <v>2.1</v>
      </c>
      <c r="J24" s="521">
        <f t="shared" si="6"/>
        <v>2.15</v>
      </c>
      <c r="K24" s="521">
        <f t="shared" si="9"/>
        <v>0.20000000000000004</v>
      </c>
      <c r="L24" s="505"/>
      <c r="M24" s="528"/>
      <c r="N24" s="505"/>
      <c r="O24" s="505"/>
      <c r="P24" s="505"/>
      <c r="Q24" s="505"/>
      <c r="R24" s="505"/>
      <c r="S24" s="505"/>
      <c r="T24" s="505"/>
      <c r="U24" s="505"/>
      <c r="V24" s="505"/>
      <c r="W24" s="505"/>
      <c r="X24" s="505"/>
      <c r="Y24" s="505"/>
      <c r="Z24" s="505"/>
      <c r="AA24" s="505"/>
      <c r="AB24" s="505"/>
      <c r="AC24" s="505"/>
      <c r="AD24" s="505"/>
      <c r="AE24" s="505"/>
      <c r="AF24" s="505"/>
      <c r="AG24" s="505"/>
      <c r="AH24" s="505"/>
      <c r="AI24" s="505"/>
      <c r="AJ24" s="505"/>
      <c r="AK24" s="505"/>
      <c r="AL24" s="505"/>
      <c r="AM24" s="505"/>
      <c r="AN24" s="505"/>
      <c r="AO24" s="505"/>
      <c r="AP24" s="505"/>
      <c r="AQ24" s="505"/>
      <c r="AR24" s="505"/>
      <c r="AS24" s="505"/>
      <c r="AT24" s="505"/>
      <c r="AU24" s="505"/>
      <c r="AV24" s="505"/>
      <c r="AW24" s="505"/>
      <c r="AX24" s="505"/>
      <c r="AY24" s="505"/>
      <c r="AZ24" s="505"/>
      <c r="BA24" s="505"/>
      <c r="BB24" s="505"/>
      <c r="BC24" s="505"/>
      <c r="BD24" s="505"/>
      <c r="BE24" s="505"/>
      <c r="BF24" s="505"/>
      <c r="BG24" s="505"/>
      <c r="BH24" s="505"/>
      <c r="BI24" s="505"/>
      <c r="BJ24" s="505"/>
      <c r="BK24" s="505"/>
      <c r="BL24" s="505"/>
      <c r="BM24" s="505"/>
      <c r="BN24" s="505"/>
      <c r="BO24" s="505"/>
      <c r="BP24" s="505"/>
      <c r="BQ24" s="505"/>
      <c r="BR24" s="505"/>
      <c r="BS24" s="505"/>
      <c r="BT24" s="505"/>
      <c r="BU24" s="505"/>
      <c r="BV24" s="505"/>
      <c r="BW24" s="505"/>
      <c r="BX24" s="505"/>
      <c r="BY24" s="505"/>
      <c r="BZ24" s="505"/>
      <c r="CA24" s="505"/>
      <c r="CB24" s="505"/>
      <c r="CC24" s="505"/>
      <c r="CD24" s="505"/>
      <c r="CE24" s="505"/>
      <c r="CF24" s="505"/>
      <c r="CG24" s="505"/>
      <c r="CH24" s="505"/>
      <c r="CI24" s="505"/>
      <c r="CJ24" s="505"/>
      <c r="CK24" s="505"/>
      <c r="CL24" s="505"/>
      <c r="CM24" s="505"/>
      <c r="CN24" s="505"/>
      <c r="CO24" s="505"/>
      <c r="CP24" s="505"/>
      <c r="CQ24" s="505"/>
      <c r="CR24" s="505"/>
      <c r="CS24" s="505"/>
      <c r="CT24" s="505"/>
      <c r="CU24" s="505"/>
      <c r="CV24" s="505"/>
      <c r="CW24" s="505"/>
      <c r="CX24" s="505"/>
      <c r="CY24" s="505"/>
      <c r="CZ24" s="505"/>
      <c r="DA24" s="505"/>
      <c r="DB24" s="505"/>
      <c r="DC24" s="505"/>
      <c r="DD24" s="505"/>
      <c r="DE24" s="505"/>
      <c r="DF24" s="505"/>
      <c r="DG24" s="505"/>
      <c r="DH24" s="505"/>
      <c r="DI24" s="505"/>
      <c r="DJ24" s="505"/>
      <c r="DK24" s="505"/>
      <c r="DL24" s="505"/>
      <c r="DM24" s="505"/>
      <c r="DN24" s="505"/>
      <c r="DO24" s="505"/>
      <c r="DP24" s="505"/>
    </row>
    <row r="25" spans="1:120" hidden="1" outlineLevel="1" x14ac:dyDescent="0.2">
      <c r="A25" s="517">
        <f t="shared" si="3"/>
        <v>36647</v>
      </c>
      <c r="B25" s="517" t="str">
        <f t="shared" si="0"/>
        <v>2Q00</v>
      </c>
      <c r="C25" s="517" t="str">
        <f t="shared" si="4"/>
        <v>3Q00</v>
      </c>
      <c r="D25" s="518">
        <f t="shared" si="5"/>
        <v>36728</v>
      </c>
      <c r="E25" s="518">
        <f t="shared" si="5"/>
        <v>36668</v>
      </c>
      <c r="F25" s="520">
        <v>1.4319999999999999</v>
      </c>
      <c r="G25" s="521">
        <f t="shared" si="1"/>
        <v>6.0000000000000005E-2</v>
      </c>
      <c r="H25" s="521">
        <f t="shared" si="2"/>
        <v>6.0000000000000005E-2</v>
      </c>
      <c r="I25" s="521">
        <f t="shared" si="8"/>
        <v>2.15</v>
      </c>
      <c r="J25" s="521">
        <f t="shared" si="6"/>
        <v>2.1999999999999997</v>
      </c>
      <c r="K25" s="521">
        <f t="shared" si="9"/>
        <v>0.21000000000000005</v>
      </c>
      <c r="L25" s="505"/>
      <c r="M25" s="528"/>
      <c r="N25" s="505"/>
      <c r="O25" s="505"/>
      <c r="P25" s="505"/>
      <c r="Q25" s="505"/>
      <c r="R25" s="505"/>
      <c r="S25" s="505"/>
      <c r="T25" s="505"/>
      <c r="U25" s="505"/>
      <c r="V25" s="505"/>
      <c r="W25" s="505"/>
      <c r="X25" s="505"/>
      <c r="Y25" s="505"/>
      <c r="Z25" s="505"/>
      <c r="AA25" s="505"/>
      <c r="AB25" s="505"/>
      <c r="AC25" s="505"/>
      <c r="AD25" s="505"/>
      <c r="AE25" s="505"/>
      <c r="AF25" s="505"/>
      <c r="AG25" s="505"/>
      <c r="AH25" s="505"/>
      <c r="AI25" s="505"/>
      <c r="AJ25" s="505"/>
      <c r="AK25" s="505"/>
      <c r="AL25" s="505"/>
      <c r="AM25" s="505"/>
      <c r="AN25" s="505"/>
      <c r="AO25" s="505"/>
      <c r="AP25" s="505"/>
      <c r="AQ25" s="505"/>
      <c r="AR25" s="505"/>
      <c r="AS25" s="505"/>
      <c r="AT25" s="505"/>
      <c r="AU25" s="505"/>
      <c r="AV25" s="505"/>
      <c r="AW25" s="505"/>
      <c r="AX25" s="505"/>
      <c r="AY25" s="505"/>
      <c r="AZ25" s="505"/>
      <c r="BA25" s="505"/>
      <c r="BB25" s="505"/>
      <c r="BC25" s="505"/>
      <c r="BD25" s="505"/>
      <c r="BE25" s="505"/>
      <c r="BF25" s="505"/>
      <c r="BG25" s="505"/>
      <c r="BH25" s="505"/>
      <c r="BI25" s="505"/>
      <c r="BJ25" s="505"/>
      <c r="BK25" s="505"/>
      <c r="BL25" s="505"/>
      <c r="BM25" s="505"/>
      <c r="BN25" s="505"/>
      <c r="BO25" s="505"/>
      <c r="BP25" s="505"/>
      <c r="BQ25" s="505"/>
      <c r="BR25" s="505"/>
      <c r="BS25" s="505"/>
      <c r="BT25" s="505"/>
      <c r="BU25" s="505"/>
      <c r="BV25" s="505"/>
      <c r="BW25" s="505"/>
      <c r="BX25" s="505"/>
      <c r="BY25" s="505"/>
      <c r="BZ25" s="505"/>
      <c r="CA25" s="505"/>
      <c r="CB25" s="505"/>
      <c r="CC25" s="505"/>
      <c r="CD25" s="505"/>
      <c r="CE25" s="505"/>
      <c r="CF25" s="505"/>
      <c r="CG25" s="505"/>
      <c r="CH25" s="505"/>
      <c r="CI25" s="505"/>
      <c r="CJ25" s="505"/>
      <c r="CK25" s="505"/>
      <c r="CL25" s="505"/>
      <c r="CM25" s="505"/>
      <c r="CN25" s="505"/>
      <c r="CO25" s="505"/>
      <c r="CP25" s="505"/>
      <c r="CQ25" s="505"/>
      <c r="CR25" s="505"/>
      <c r="CS25" s="505"/>
      <c r="CT25" s="505"/>
      <c r="CU25" s="505"/>
      <c r="CV25" s="505"/>
      <c r="CW25" s="505"/>
      <c r="CX25" s="505"/>
      <c r="CY25" s="505"/>
      <c r="CZ25" s="505"/>
      <c r="DA25" s="505"/>
      <c r="DB25" s="505"/>
      <c r="DC25" s="505"/>
      <c r="DD25" s="505"/>
      <c r="DE25" s="505"/>
      <c r="DF25" s="505"/>
      <c r="DG25" s="505"/>
      <c r="DH25" s="505"/>
      <c r="DI25" s="505"/>
      <c r="DJ25" s="505"/>
      <c r="DK25" s="505"/>
      <c r="DL25" s="505"/>
      <c r="DM25" s="505"/>
      <c r="DN25" s="505"/>
      <c r="DO25" s="505"/>
      <c r="DP25" s="505"/>
    </row>
    <row r="26" spans="1:120" hidden="1" outlineLevel="1" x14ac:dyDescent="0.2">
      <c r="A26" s="517">
        <f t="shared" si="3"/>
        <v>36647</v>
      </c>
      <c r="B26" s="517" t="str">
        <f t="shared" si="0"/>
        <v>2Q00</v>
      </c>
      <c r="C26" s="517" t="str">
        <f t="shared" si="4"/>
        <v>3Q00</v>
      </c>
      <c r="D26" s="518">
        <f t="shared" si="5"/>
        <v>36735</v>
      </c>
      <c r="E26" s="518">
        <f t="shared" si="5"/>
        <v>36675</v>
      </c>
      <c r="F26" s="520">
        <v>1.431</v>
      </c>
      <c r="G26" s="521">
        <f t="shared" si="1"/>
        <v>6.0000000000000005E-2</v>
      </c>
      <c r="H26" s="521">
        <f t="shared" si="2"/>
        <v>6.0000000000000005E-2</v>
      </c>
      <c r="I26" s="521">
        <f t="shared" si="8"/>
        <v>2.1999999999999997</v>
      </c>
      <c r="J26" s="521">
        <f t="shared" si="6"/>
        <v>2.2499999999999996</v>
      </c>
      <c r="K26" s="521">
        <f t="shared" si="9"/>
        <v>0.22000000000000006</v>
      </c>
      <c r="L26" s="505"/>
      <c r="M26" s="528"/>
      <c r="N26" s="505"/>
      <c r="O26" s="505"/>
      <c r="P26" s="505"/>
      <c r="Q26" s="505"/>
      <c r="R26" s="505"/>
      <c r="S26" s="505"/>
      <c r="T26" s="505"/>
      <c r="U26" s="505"/>
      <c r="V26" s="505"/>
      <c r="W26" s="505"/>
      <c r="X26" s="505"/>
      <c r="Y26" s="505"/>
      <c r="Z26" s="505"/>
      <c r="AA26" s="505"/>
      <c r="AB26" s="505"/>
      <c r="AC26" s="505"/>
      <c r="AD26" s="505"/>
      <c r="AE26" s="505"/>
      <c r="AF26" s="505"/>
      <c r="AG26" s="505"/>
      <c r="AH26" s="505"/>
      <c r="AI26" s="505"/>
      <c r="AJ26" s="505"/>
      <c r="AK26" s="505"/>
      <c r="AL26" s="505"/>
      <c r="AM26" s="505"/>
      <c r="AN26" s="505"/>
      <c r="AO26" s="505"/>
      <c r="AP26" s="505"/>
      <c r="AQ26" s="505"/>
      <c r="AR26" s="505"/>
      <c r="AS26" s="505"/>
      <c r="AT26" s="505"/>
      <c r="AU26" s="505"/>
      <c r="AV26" s="505"/>
      <c r="AW26" s="505"/>
      <c r="AX26" s="505"/>
      <c r="AY26" s="505"/>
      <c r="AZ26" s="505"/>
      <c r="BA26" s="505"/>
      <c r="BB26" s="505"/>
      <c r="BC26" s="505"/>
      <c r="BD26" s="505"/>
      <c r="BE26" s="505"/>
      <c r="BF26" s="505"/>
      <c r="BG26" s="505"/>
      <c r="BH26" s="505"/>
      <c r="BI26" s="505"/>
      <c r="BJ26" s="505"/>
      <c r="BK26" s="505"/>
      <c r="BL26" s="505"/>
      <c r="BM26" s="505"/>
      <c r="BN26" s="505"/>
      <c r="BO26" s="505"/>
      <c r="BP26" s="505"/>
      <c r="BQ26" s="505"/>
      <c r="BR26" s="505"/>
      <c r="BS26" s="505"/>
      <c r="BT26" s="505"/>
      <c r="BU26" s="505"/>
      <c r="BV26" s="505"/>
      <c r="BW26" s="505"/>
      <c r="BX26" s="505"/>
      <c r="BY26" s="505"/>
      <c r="BZ26" s="505"/>
      <c r="CA26" s="505"/>
      <c r="CB26" s="505"/>
      <c r="CC26" s="505"/>
      <c r="CD26" s="505"/>
      <c r="CE26" s="505"/>
      <c r="CF26" s="505"/>
      <c r="CG26" s="505"/>
      <c r="CH26" s="505"/>
      <c r="CI26" s="505"/>
      <c r="CJ26" s="505"/>
      <c r="CK26" s="505"/>
      <c r="CL26" s="505"/>
      <c r="CM26" s="505"/>
      <c r="CN26" s="505"/>
      <c r="CO26" s="505"/>
      <c r="CP26" s="505"/>
      <c r="CQ26" s="505"/>
      <c r="CR26" s="505"/>
      <c r="CS26" s="505"/>
      <c r="CT26" s="505"/>
      <c r="CU26" s="505"/>
      <c r="CV26" s="505"/>
      <c r="CW26" s="505"/>
      <c r="CX26" s="505"/>
      <c r="CY26" s="505"/>
      <c r="CZ26" s="505"/>
      <c r="DA26" s="505"/>
      <c r="DB26" s="505"/>
      <c r="DC26" s="505"/>
      <c r="DD26" s="505"/>
      <c r="DE26" s="505"/>
      <c r="DF26" s="505"/>
      <c r="DG26" s="505"/>
      <c r="DH26" s="505"/>
      <c r="DI26" s="505"/>
      <c r="DJ26" s="505"/>
      <c r="DK26" s="505"/>
      <c r="DL26" s="505"/>
      <c r="DM26" s="505"/>
      <c r="DN26" s="505"/>
      <c r="DO26" s="505"/>
      <c r="DP26" s="505"/>
    </row>
    <row r="27" spans="1:120" hidden="1" outlineLevel="1" x14ac:dyDescent="0.2">
      <c r="A27" s="517">
        <f t="shared" si="3"/>
        <v>36678</v>
      </c>
      <c r="B27" s="517" t="str">
        <f t="shared" si="0"/>
        <v>2Q00</v>
      </c>
      <c r="C27" s="517" t="str">
        <f t="shared" si="4"/>
        <v>3Q00</v>
      </c>
      <c r="D27" s="518">
        <f t="shared" si="5"/>
        <v>36742</v>
      </c>
      <c r="E27" s="518">
        <f t="shared" si="5"/>
        <v>36682</v>
      </c>
      <c r="F27" s="520">
        <v>1.419</v>
      </c>
      <c r="G27" s="521">
        <f t="shared" si="1"/>
        <v>6.0000000000000005E-2</v>
      </c>
      <c r="H27" s="521">
        <f t="shared" si="2"/>
        <v>6.0000000000000005E-2</v>
      </c>
      <c r="I27" s="521">
        <f t="shared" si="8"/>
        <v>2.2499999999999996</v>
      </c>
      <c r="J27" s="521">
        <f t="shared" si="6"/>
        <v>2.2999999999999994</v>
      </c>
      <c r="K27" s="521">
        <f t="shared" si="9"/>
        <v>0.23000000000000007</v>
      </c>
      <c r="L27" s="505"/>
      <c r="M27" s="528"/>
      <c r="N27" s="505"/>
      <c r="O27" s="505"/>
      <c r="P27" s="505"/>
      <c r="Q27" s="505"/>
      <c r="R27" s="505"/>
      <c r="S27" s="505"/>
      <c r="T27" s="505"/>
      <c r="U27" s="505"/>
      <c r="V27" s="505"/>
      <c r="W27" s="505"/>
      <c r="X27" s="505"/>
      <c r="Y27" s="505"/>
      <c r="Z27" s="505"/>
      <c r="AA27" s="505"/>
      <c r="AB27" s="505"/>
      <c r="AC27" s="505"/>
      <c r="AD27" s="505"/>
      <c r="AE27" s="505"/>
      <c r="AF27" s="505"/>
      <c r="AG27" s="505"/>
      <c r="AH27" s="505"/>
      <c r="AI27" s="505"/>
      <c r="AJ27" s="505"/>
      <c r="AK27" s="505"/>
      <c r="AL27" s="505"/>
      <c r="AM27" s="505"/>
      <c r="AN27" s="505"/>
      <c r="AO27" s="505"/>
      <c r="AP27" s="505"/>
      <c r="AQ27" s="505"/>
      <c r="AR27" s="505"/>
      <c r="AS27" s="505"/>
      <c r="AT27" s="505"/>
      <c r="AU27" s="505"/>
      <c r="AV27" s="505"/>
      <c r="AW27" s="505"/>
      <c r="AX27" s="505"/>
      <c r="AY27" s="505"/>
      <c r="AZ27" s="505"/>
      <c r="BA27" s="505"/>
      <c r="BB27" s="505"/>
      <c r="BC27" s="505"/>
      <c r="BD27" s="505"/>
      <c r="BE27" s="505"/>
      <c r="BF27" s="505"/>
      <c r="BG27" s="505"/>
      <c r="BH27" s="505"/>
      <c r="BI27" s="505"/>
      <c r="BJ27" s="505"/>
      <c r="BK27" s="505"/>
      <c r="BL27" s="505"/>
      <c r="BM27" s="505"/>
      <c r="BN27" s="505"/>
      <c r="BO27" s="505"/>
      <c r="BP27" s="505"/>
      <c r="BQ27" s="505"/>
      <c r="BR27" s="505"/>
      <c r="BS27" s="505"/>
      <c r="BT27" s="505"/>
      <c r="BU27" s="505"/>
      <c r="BV27" s="505"/>
      <c r="BW27" s="505"/>
      <c r="BX27" s="505"/>
      <c r="BY27" s="505"/>
      <c r="BZ27" s="505"/>
      <c r="CA27" s="505"/>
      <c r="CB27" s="505"/>
      <c r="CC27" s="505"/>
      <c r="CD27" s="505"/>
      <c r="CE27" s="505"/>
      <c r="CF27" s="505"/>
      <c r="CG27" s="505"/>
      <c r="CH27" s="505"/>
      <c r="CI27" s="505"/>
      <c r="CJ27" s="505"/>
      <c r="CK27" s="505"/>
      <c r="CL27" s="505"/>
      <c r="CM27" s="505"/>
      <c r="CN27" s="505"/>
      <c r="CO27" s="505"/>
      <c r="CP27" s="505"/>
      <c r="CQ27" s="505"/>
      <c r="CR27" s="505"/>
      <c r="CS27" s="505"/>
      <c r="CT27" s="505"/>
      <c r="CU27" s="505"/>
      <c r="CV27" s="505"/>
      <c r="CW27" s="505"/>
      <c r="CX27" s="505"/>
      <c r="CY27" s="505"/>
      <c r="CZ27" s="505"/>
      <c r="DA27" s="505"/>
      <c r="DB27" s="505"/>
      <c r="DC27" s="505"/>
      <c r="DD27" s="505"/>
      <c r="DE27" s="505"/>
      <c r="DF27" s="505"/>
      <c r="DG27" s="505"/>
      <c r="DH27" s="505"/>
      <c r="DI27" s="505"/>
      <c r="DJ27" s="505"/>
      <c r="DK27" s="505"/>
      <c r="DL27" s="505"/>
      <c r="DM27" s="505"/>
      <c r="DN27" s="505"/>
      <c r="DO27" s="505"/>
      <c r="DP27" s="505"/>
    </row>
    <row r="28" spans="1:120" hidden="1" outlineLevel="1" x14ac:dyDescent="0.2">
      <c r="A28" s="517">
        <f t="shared" si="3"/>
        <v>36678</v>
      </c>
      <c r="B28" s="517" t="str">
        <f t="shared" si="0"/>
        <v>2Q00</v>
      </c>
      <c r="C28" s="517" t="str">
        <f t="shared" si="4"/>
        <v>3Q00</v>
      </c>
      <c r="D28" s="518">
        <f t="shared" si="5"/>
        <v>36749</v>
      </c>
      <c r="E28" s="518">
        <f t="shared" si="5"/>
        <v>36689</v>
      </c>
      <c r="F28" s="520">
        <v>1.411</v>
      </c>
      <c r="G28" s="521">
        <f t="shared" si="1"/>
        <v>6.0000000000000005E-2</v>
      </c>
      <c r="H28" s="521">
        <f t="shared" si="2"/>
        <v>6.0000000000000005E-2</v>
      </c>
      <c r="I28" s="521">
        <f t="shared" si="8"/>
        <v>2.2999999999999994</v>
      </c>
      <c r="J28" s="521">
        <f t="shared" si="6"/>
        <v>2.3499999999999992</v>
      </c>
      <c r="K28" s="521">
        <f t="shared" si="9"/>
        <v>0.24000000000000007</v>
      </c>
      <c r="L28" s="505"/>
      <c r="M28" s="528"/>
      <c r="N28" s="505"/>
      <c r="O28" s="505"/>
      <c r="P28" s="505"/>
      <c r="Q28" s="505"/>
      <c r="R28" s="505"/>
      <c r="S28" s="505"/>
      <c r="T28" s="505"/>
      <c r="U28" s="505"/>
      <c r="V28" s="505"/>
      <c r="W28" s="505"/>
      <c r="X28" s="505"/>
      <c r="Y28" s="505"/>
      <c r="Z28" s="505"/>
      <c r="AA28" s="505"/>
      <c r="AB28" s="505"/>
      <c r="AC28" s="505"/>
      <c r="AD28" s="505"/>
      <c r="AE28" s="505"/>
      <c r="AF28" s="505"/>
      <c r="AG28" s="505"/>
      <c r="AH28" s="505"/>
      <c r="AI28" s="505"/>
      <c r="AJ28" s="505"/>
      <c r="AK28" s="505"/>
      <c r="AL28" s="505"/>
      <c r="AM28" s="505"/>
      <c r="AN28" s="505"/>
      <c r="AO28" s="505"/>
      <c r="AP28" s="505"/>
      <c r="AQ28" s="505"/>
      <c r="AR28" s="505"/>
      <c r="AS28" s="505"/>
      <c r="AT28" s="505"/>
      <c r="AU28" s="505"/>
      <c r="AV28" s="505"/>
      <c r="AW28" s="505"/>
      <c r="AX28" s="505"/>
      <c r="AY28" s="505"/>
      <c r="AZ28" s="505"/>
      <c r="BA28" s="505"/>
      <c r="BB28" s="505"/>
      <c r="BC28" s="505"/>
      <c r="BD28" s="505"/>
      <c r="BE28" s="505"/>
      <c r="BF28" s="505"/>
      <c r="BG28" s="505"/>
      <c r="BH28" s="505"/>
      <c r="BI28" s="505"/>
      <c r="BJ28" s="505"/>
      <c r="BK28" s="505"/>
      <c r="BL28" s="505"/>
      <c r="BM28" s="505"/>
      <c r="BN28" s="505"/>
      <c r="BO28" s="505"/>
      <c r="BP28" s="505"/>
      <c r="BQ28" s="505"/>
      <c r="BR28" s="505"/>
      <c r="BS28" s="505"/>
      <c r="BT28" s="505"/>
      <c r="BU28" s="505"/>
      <c r="BV28" s="505"/>
      <c r="BW28" s="505"/>
      <c r="BX28" s="505"/>
      <c r="BY28" s="505"/>
      <c r="BZ28" s="505"/>
      <c r="CA28" s="505"/>
      <c r="CB28" s="505"/>
      <c r="CC28" s="505"/>
      <c r="CD28" s="505"/>
      <c r="CE28" s="505"/>
      <c r="CF28" s="505"/>
      <c r="CG28" s="505"/>
      <c r="CH28" s="505"/>
      <c r="CI28" s="505"/>
      <c r="CJ28" s="505"/>
      <c r="CK28" s="505"/>
      <c r="CL28" s="505"/>
      <c r="CM28" s="505"/>
      <c r="CN28" s="505"/>
      <c r="CO28" s="505"/>
      <c r="CP28" s="505"/>
      <c r="CQ28" s="505"/>
      <c r="CR28" s="505"/>
      <c r="CS28" s="505"/>
      <c r="CT28" s="505"/>
      <c r="CU28" s="505"/>
      <c r="CV28" s="505"/>
      <c r="CW28" s="505"/>
      <c r="CX28" s="505"/>
      <c r="CY28" s="505"/>
      <c r="CZ28" s="505"/>
      <c r="DA28" s="505"/>
      <c r="DB28" s="505"/>
      <c r="DC28" s="505"/>
      <c r="DD28" s="505"/>
      <c r="DE28" s="505"/>
      <c r="DF28" s="505"/>
      <c r="DG28" s="505"/>
      <c r="DH28" s="505"/>
      <c r="DI28" s="505"/>
      <c r="DJ28" s="505"/>
      <c r="DK28" s="505"/>
      <c r="DL28" s="505"/>
      <c r="DM28" s="505"/>
      <c r="DN28" s="505"/>
      <c r="DO28" s="505"/>
      <c r="DP28" s="505"/>
    </row>
    <row r="29" spans="1:120" hidden="1" outlineLevel="1" x14ac:dyDescent="0.2">
      <c r="A29" s="517">
        <f t="shared" si="3"/>
        <v>36678</v>
      </c>
      <c r="B29" s="517" t="str">
        <f t="shared" si="0"/>
        <v>2Q00</v>
      </c>
      <c r="C29" s="517" t="str">
        <f t="shared" si="4"/>
        <v>3Q00</v>
      </c>
      <c r="D29" s="518">
        <f t="shared" si="5"/>
        <v>36756</v>
      </c>
      <c r="E29" s="518">
        <f t="shared" si="5"/>
        <v>36696</v>
      </c>
      <c r="F29" s="520">
        <v>1.423</v>
      </c>
      <c r="G29" s="521">
        <f t="shared" si="1"/>
        <v>6.0000000000000005E-2</v>
      </c>
      <c r="H29" s="521">
        <f t="shared" si="2"/>
        <v>6.0000000000000005E-2</v>
      </c>
      <c r="I29" s="521">
        <f t="shared" si="8"/>
        <v>2.3499999999999992</v>
      </c>
      <c r="J29" s="521">
        <f t="shared" si="6"/>
        <v>2.399999999999999</v>
      </c>
      <c r="K29" s="521">
        <f t="shared" si="9"/>
        <v>0.25000000000000006</v>
      </c>
      <c r="L29" s="505"/>
      <c r="M29" s="528"/>
      <c r="N29" s="505"/>
      <c r="O29" s="505"/>
      <c r="P29" s="505"/>
      <c r="Q29" s="505"/>
      <c r="R29" s="505"/>
      <c r="S29" s="505"/>
      <c r="T29" s="505"/>
      <c r="U29" s="505"/>
      <c r="V29" s="505"/>
      <c r="W29" s="505"/>
      <c r="X29" s="505"/>
      <c r="Y29" s="505"/>
      <c r="Z29" s="505"/>
      <c r="AA29" s="505"/>
      <c r="AB29" s="505"/>
      <c r="AC29" s="505"/>
      <c r="AD29" s="505"/>
      <c r="AE29" s="505"/>
      <c r="AF29" s="505"/>
      <c r="AG29" s="505"/>
      <c r="AH29" s="505"/>
      <c r="AI29" s="505"/>
      <c r="AJ29" s="505"/>
      <c r="AK29" s="505"/>
      <c r="AL29" s="505"/>
      <c r="AM29" s="505"/>
      <c r="AN29" s="505"/>
      <c r="AO29" s="505"/>
      <c r="AP29" s="505"/>
      <c r="AQ29" s="505"/>
      <c r="AR29" s="505"/>
      <c r="AS29" s="505"/>
      <c r="AT29" s="505"/>
      <c r="AU29" s="505"/>
      <c r="AV29" s="505"/>
      <c r="AW29" s="505"/>
      <c r="AX29" s="505"/>
      <c r="AY29" s="505"/>
      <c r="AZ29" s="505"/>
      <c r="BA29" s="505"/>
      <c r="BB29" s="505"/>
      <c r="BC29" s="505"/>
      <c r="BD29" s="505"/>
      <c r="BE29" s="505"/>
      <c r="BF29" s="505"/>
      <c r="BG29" s="505"/>
      <c r="BH29" s="505"/>
      <c r="BI29" s="505"/>
      <c r="BJ29" s="505"/>
      <c r="BK29" s="505"/>
      <c r="BL29" s="505"/>
      <c r="BM29" s="505"/>
      <c r="BN29" s="505"/>
      <c r="BO29" s="505"/>
      <c r="BP29" s="505"/>
      <c r="BQ29" s="505"/>
      <c r="BR29" s="505"/>
      <c r="BS29" s="505"/>
      <c r="BT29" s="505"/>
      <c r="BU29" s="505"/>
      <c r="BV29" s="505"/>
      <c r="BW29" s="505"/>
      <c r="BX29" s="505"/>
      <c r="BY29" s="505"/>
      <c r="BZ29" s="505"/>
      <c r="CA29" s="505"/>
      <c r="CB29" s="505"/>
      <c r="CC29" s="505"/>
      <c r="CD29" s="505"/>
      <c r="CE29" s="505"/>
      <c r="CF29" s="505"/>
      <c r="CG29" s="505"/>
      <c r="CH29" s="505"/>
      <c r="CI29" s="505"/>
      <c r="CJ29" s="505"/>
      <c r="CK29" s="505"/>
      <c r="CL29" s="505"/>
      <c r="CM29" s="505"/>
      <c r="CN29" s="505"/>
      <c r="CO29" s="505"/>
      <c r="CP29" s="505"/>
      <c r="CQ29" s="505"/>
      <c r="CR29" s="505"/>
      <c r="CS29" s="505"/>
      <c r="CT29" s="505"/>
      <c r="CU29" s="505"/>
      <c r="CV29" s="505"/>
      <c r="CW29" s="505"/>
      <c r="CX29" s="505"/>
      <c r="CY29" s="505"/>
      <c r="CZ29" s="505"/>
      <c r="DA29" s="505"/>
      <c r="DB29" s="505"/>
      <c r="DC29" s="505"/>
      <c r="DD29" s="505"/>
      <c r="DE29" s="505"/>
      <c r="DF29" s="505"/>
      <c r="DG29" s="505"/>
      <c r="DH29" s="505"/>
      <c r="DI29" s="505"/>
      <c r="DJ29" s="505"/>
      <c r="DK29" s="505"/>
      <c r="DL29" s="505"/>
      <c r="DM29" s="505"/>
      <c r="DN29" s="505"/>
      <c r="DO29" s="505"/>
      <c r="DP29" s="505"/>
    </row>
    <row r="30" spans="1:120" hidden="1" outlineLevel="1" x14ac:dyDescent="0.2">
      <c r="A30" s="517">
        <f t="shared" si="3"/>
        <v>36678</v>
      </c>
      <c r="B30" s="517" t="str">
        <f t="shared" si="0"/>
        <v>2Q00</v>
      </c>
      <c r="C30" s="517" t="str">
        <f t="shared" si="4"/>
        <v>3Q00</v>
      </c>
      <c r="D30" s="518">
        <f t="shared" si="5"/>
        <v>36763</v>
      </c>
      <c r="E30" s="518">
        <f t="shared" si="5"/>
        <v>36703</v>
      </c>
      <c r="F30" s="520">
        <v>1.4319999999999999</v>
      </c>
      <c r="G30" s="521">
        <f t="shared" si="1"/>
        <v>6.0000000000000005E-2</v>
      </c>
      <c r="H30" s="521">
        <f t="shared" si="2"/>
        <v>7.0000000000000007E-2</v>
      </c>
      <c r="I30" s="521">
        <f t="shared" si="8"/>
        <v>2.399999999999999</v>
      </c>
      <c r="J30" s="521">
        <f t="shared" si="6"/>
        <v>2.4499999999999988</v>
      </c>
      <c r="K30" s="521">
        <f t="shared" si="9"/>
        <v>0.26000000000000006</v>
      </c>
      <c r="L30" s="505"/>
      <c r="M30" s="528"/>
      <c r="N30" s="505"/>
      <c r="O30" s="505"/>
      <c r="P30" s="505"/>
      <c r="Q30" s="505"/>
      <c r="R30" s="505"/>
      <c r="S30" s="505"/>
      <c r="T30" s="505"/>
      <c r="U30" s="505"/>
      <c r="V30" s="505"/>
      <c r="W30" s="505"/>
      <c r="X30" s="505"/>
      <c r="Y30" s="505"/>
      <c r="Z30" s="505"/>
      <c r="AA30" s="505"/>
      <c r="AB30" s="505"/>
      <c r="AC30" s="505"/>
      <c r="AD30" s="505"/>
      <c r="AE30" s="505"/>
      <c r="AF30" s="505"/>
      <c r="AG30" s="505"/>
      <c r="AH30" s="505"/>
      <c r="AI30" s="505"/>
      <c r="AJ30" s="505"/>
      <c r="AK30" s="505"/>
      <c r="AL30" s="505"/>
      <c r="AM30" s="505"/>
      <c r="AN30" s="505"/>
      <c r="AO30" s="505"/>
      <c r="AP30" s="505"/>
      <c r="AQ30" s="505"/>
      <c r="AR30" s="505"/>
      <c r="AS30" s="505"/>
      <c r="AT30" s="505"/>
      <c r="AU30" s="505"/>
      <c r="AV30" s="505"/>
      <c r="AW30" s="505"/>
      <c r="AX30" s="505"/>
      <c r="AY30" s="505"/>
      <c r="AZ30" s="505"/>
      <c r="BA30" s="505"/>
      <c r="BB30" s="505"/>
      <c r="BC30" s="505"/>
      <c r="BD30" s="505"/>
      <c r="BE30" s="505"/>
      <c r="BF30" s="505"/>
      <c r="BG30" s="505"/>
      <c r="BH30" s="505"/>
      <c r="BI30" s="505"/>
      <c r="BJ30" s="505"/>
      <c r="BK30" s="505"/>
      <c r="BL30" s="505"/>
      <c r="BM30" s="505"/>
      <c r="BN30" s="505"/>
      <c r="BO30" s="505"/>
      <c r="BP30" s="505"/>
      <c r="BQ30" s="505"/>
      <c r="BR30" s="505"/>
      <c r="BS30" s="505"/>
      <c r="BT30" s="505"/>
      <c r="BU30" s="505"/>
      <c r="BV30" s="505"/>
      <c r="BW30" s="505"/>
      <c r="BX30" s="505"/>
      <c r="BY30" s="505"/>
      <c r="BZ30" s="505"/>
      <c r="CA30" s="505"/>
      <c r="CB30" s="505"/>
      <c r="CC30" s="505"/>
      <c r="CD30" s="505"/>
      <c r="CE30" s="505"/>
      <c r="CF30" s="505"/>
      <c r="CG30" s="505"/>
      <c r="CH30" s="505"/>
      <c r="CI30" s="505"/>
      <c r="CJ30" s="505"/>
      <c r="CK30" s="505"/>
      <c r="CL30" s="505"/>
      <c r="CM30" s="505"/>
      <c r="CN30" s="505"/>
      <c r="CO30" s="505"/>
      <c r="CP30" s="505"/>
      <c r="CQ30" s="505"/>
      <c r="CR30" s="505"/>
      <c r="CS30" s="505"/>
      <c r="CT30" s="505"/>
      <c r="CU30" s="505"/>
      <c r="CV30" s="505"/>
      <c r="CW30" s="505"/>
      <c r="CX30" s="505"/>
      <c r="CY30" s="505"/>
      <c r="CZ30" s="505"/>
      <c r="DA30" s="505"/>
      <c r="DB30" s="505"/>
      <c r="DC30" s="505"/>
      <c r="DD30" s="505"/>
      <c r="DE30" s="505"/>
      <c r="DF30" s="505"/>
      <c r="DG30" s="505"/>
      <c r="DH30" s="505"/>
      <c r="DI30" s="505"/>
      <c r="DJ30" s="505"/>
      <c r="DK30" s="505"/>
      <c r="DL30" s="505"/>
      <c r="DM30" s="505"/>
      <c r="DN30" s="505"/>
      <c r="DO30" s="505"/>
      <c r="DP30" s="505"/>
    </row>
    <row r="31" spans="1:120" hidden="1" outlineLevel="1" x14ac:dyDescent="0.2">
      <c r="A31" s="517">
        <f t="shared" si="3"/>
        <v>36708</v>
      </c>
      <c r="B31" s="517" t="str">
        <f t="shared" si="0"/>
        <v>3Q00</v>
      </c>
      <c r="C31" s="517" t="str">
        <f t="shared" si="4"/>
        <v>3Q00</v>
      </c>
      <c r="D31" s="518">
        <f t="shared" si="5"/>
        <v>36770</v>
      </c>
      <c r="E31" s="518">
        <f t="shared" si="5"/>
        <v>36710</v>
      </c>
      <c r="F31" s="520">
        <v>1.4530000000000001</v>
      </c>
      <c r="G31" s="521">
        <f t="shared" si="1"/>
        <v>7.0000000000000007E-2</v>
      </c>
      <c r="H31" s="521">
        <f t="shared" si="2"/>
        <v>6.0000000000000005E-2</v>
      </c>
      <c r="I31" s="521">
        <f t="shared" si="8"/>
        <v>2.4499999999999988</v>
      </c>
      <c r="J31" s="521">
        <f t="shared" si="6"/>
        <v>2.4999999999999987</v>
      </c>
      <c r="K31" s="521">
        <f t="shared" si="9"/>
        <v>0.27000000000000007</v>
      </c>
      <c r="L31" s="505"/>
      <c r="M31" s="528"/>
      <c r="N31" s="505"/>
      <c r="O31" s="505"/>
      <c r="P31" s="505"/>
      <c r="Q31" s="505"/>
      <c r="R31" s="505"/>
      <c r="S31" s="505"/>
      <c r="T31" s="505"/>
      <c r="U31" s="505"/>
      <c r="V31" s="505"/>
      <c r="W31" s="505"/>
      <c r="X31" s="505"/>
      <c r="Y31" s="505"/>
      <c r="Z31" s="505"/>
      <c r="AA31" s="505"/>
      <c r="AB31" s="505"/>
      <c r="AC31" s="505"/>
      <c r="AD31" s="505"/>
      <c r="AE31" s="505"/>
      <c r="AF31" s="505"/>
      <c r="AG31" s="505"/>
      <c r="AH31" s="505"/>
      <c r="AI31" s="505"/>
      <c r="AJ31" s="505"/>
      <c r="AK31" s="505"/>
      <c r="AL31" s="505"/>
      <c r="AM31" s="505"/>
      <c r="AN31" s="505"/>
      <c r="AO31" s="505"/>
      <c r="AP31" s="505"/>
      <c r="AQ31" s="505"/>
      <c r="AR31" s="505"/>
      <c r="AS31" s="505"/>
      <c r="AT31" s="505"/>
      <c r="AU31" s="505"/>
      <c r="AV31" s="505"/>
      <c r="AW31" s="505"/>
      <c r="AX31" s="505"/>
      <c r="AY31" s="505"/>
      <c r="AZ31" s="505"/>
      <c r="BA31" s="505"/>
      <c r="BB31" s="505"/>
      <c r="BC31" s="505"/>
      <c r="BD31" s="505"/>
      <c r="BE31" s="505"/>
      <c r="BF31" s="505"/>
      <c r="BG31" s="505"/>
      <c r="BH31" s="505"/>
      <c r="BI31" s="505"/>
      <c r="BJ31" s="505"/>
      <c r="BK31" s="505"/>
      <c r="BL31" s="505"/>
      <c r="BM31" s="505"/>
      <c r="BN31" s="505"/>
      <c r="BO31" s="505"/>
      <c r="BP31" s="505"/>
      <c r="BQ31" s="505"/>
      <c r="BR31" s="505"/>
      <c r="BS31" s="505"/>
      <c r="BT31" s="505"/>
      <c r="BU31" s="505"/>
      <c r="BV31" s="505"/>
      <c r="BW31" s="505"/>
      <c r="BX31" s="505"/>
      <c r="BY31" s="505"/>
      <c r="BZ31" s="505"/>
      <c r="CA31" s="505"/>
      <c r="CB31" s="505"/>
      <c r="CC31" s="505"/>
      <c r="CD31" s="505"/>
      <c r="CE31" s="505"/>
      <c r="CF31" s="505"/>
      <c r="CG31" s="505"/>
      <c r="CH31" s="505"/>
      <c r="CI31" s="505"/>
      <c r="CJ31" s="505"/>
      <c r="CK31" s="505"/>
      <c r="CL31" s="505"/>
      <c r="CM31" s="505"/>
      <c r="CN31" s="505"/>
      <c r="CO31" s="505"/>
      <c r="CP31" s="505"/>
      <c r="CQ31" s="505"/>
      <c r="CR31" s="505"/>
      <c r="CS31" s="505"/>
      <c r="CT31" s="505"/>
      <c r="CU31" s="505"/>
      <c r="CV31" s="505"/>
      <c r="CW31" s="505"/>
      <c r="CX31" s="505"/>
      <c r="CY31" s="505"/>
      <c r="CZ31" s="505"/>
      <c r="DA31" s="505"/>
      <c r="DB31" s="505"/>
      <c r="DC31" s="505"/>
      <c r="DD31" s="505"/>
      <c r="DE31" s="505"/>
      <c r="DF31" s="505"/>
      <c r="DG31" s="505"/>
      <c r="DH31" s="505"/>
      <c r="DI31" s="505"/>
      <c r="DJ31" s="505"/>
      <c r="DK31" s="505"/>
      <c r="DL31" s="505"/>
      <c r="DM31" s="505"/>
      <c r="DN31" s="505"/>
      <c r="DO31" s="505"/>
      <c r="DP31" s="505"/>
    </row>
    <row r="32" spans="1:120" hidden="1" outlineLevel="1" x14ac:dyDescent="0.2">
      <c r="A32" s="517">
        <f t="shared" si="3"/>
        <v>36708</v>
      </c>
      <c r="B32" s="517" t="str">
        <f t="shared" si="0"/>
        <v>3Q00</v>
      </c>
      <c r="C32" s="517" t="str">
        <f t="shared" si="4"/>
        <v>3Q00</v>
      </c>
      <c r="D32" s="518">
        <f t="shared" si="5"/>
        <v>36777</v>
      </c>
      <c r="E32" s="518">
        <f t="shared" si="5"/>
        <v>36717</v>
      </c>
      <c r="F32" s="520">
        <v>1.4490000000000001</v>
      </c>
      <c r="G32" s="521">
        <f t="shared" si="1"/>
        <v>6.0000000000000005E-2</v>
      </c>
      <c r="H32" s="521">
        <f t="shared" si="2"/>
        <v>6.0000000000000005E-2</v>
      </c>
      <c r="I32" s="521">
        <f t="shared" si="8"/>
        <v>2.4999999999999987</v>
      </c>
      <c r="J32" s="521">
        <f t="shared" si="6"/>
        <v>2.5499999999999985</v>
      </c>
      <c r="K32" s="521">
        <f t="shared" si="9"/>
        <v>0.28000000000000008</v>
      </c>
      <c r="L32" s="505"/>
      <c r="M32" s="528"/>
      <c r="N32" s="505"/>
      <c r="O32" s="505"/>
      <c r="P32" s="505"/>
      <c r="Q32" s="505"/>
      <c r="R32" s="505"/>
      <c r="S32" s="505"/>
      <c r="T32" s="505"/>
      <c r="U32" s="505"/>
      <c r="V32" s="505"/>
      <c r="W32" s="505"/>
      <c r="X32" s="505"/>
      <c r="Y32" s="505"/>
      <c r="Z32" s="505"/>
      <c r="AA32" s="505"/>
      <c r="AB32" s="505"/>
      <c r="AC32" s="505"/>
      <c r="AD32" s="505"/>
      <c r="AE32" s="505"/>
      <c r="AF32" s="505"/>
      <c r="AG32" s="505"/>
      <c r="AH32" s="505"/>
      <c r="AI32" s="505"/>
      <c r="AJ32" s="505"/>
      <c r="AK32" s="505"/>
      <c r="AL32" s="505"/>
      <c r="AM32" s="505"/>
      <c r="AN32" s="505"/>
      <c r="AO32" s="505"/>
      <c r="AP32" s="505"/>
      <c r="AQ32" s="505"/>
      <c r="AR32" s="505"/>
      <c r="AS32" s="505"/>
      <c r="AT32" s="505"/>
      <c r="AU32" s="505"/>
      <c r="AV32" s="505"/>
      <c r="AW32" s="505"/>
      <c r="AX32" s="505"/>
      <c r="AY32" s="505"/>
      <c r="AZ32" s="505"/>
      <c r="BA32" s="505"/>
      <c r="BB32" s="505"/>
      <c r="BC32" s="505"/>
      <c r="BD32" s="505"/>
      <c r="BE32" s="505"/>
      <c r="BF32" s="505"/>
      <c r="BG32" s="505"/>
      <c r="BH32" s="505"/>
      <c r="BI32" s="505"/>
      <c r="BJ32" s="505"/>
      <c r="BK32" s="505"/>
      <c r="BL32" s="505"/>
      <c r="BM32" s="505"/>
      <c r="BN32" s="505"/>
      <c r="BO32" s="505"/>
      <c r="BP32" s="505"/>
      <c r="BQ32" s="505"/>
      <c r="BR32" s="505"/>
      <c r="BS32" s="505"/>
      <c r="BT32" s="505"/>
      <c r="BU32" s="505"/>
      <c r="BV32" s="505"/>
      <c r="BW32" s="505"/>
      <c r="BX32" s="505"/>
      <c r="BY32" s="505"/>
      <c r="BZ32" s="505"/>
      <c r="CA32" s="505"/>
      <c r="CB32" s="505"/>
      <c r="CC32" s="505"/>
      <c r="CD32" s="505"/>
      <c r="CE32" s="505"/>
      <c r="CF32" s="505"/>
      <c r="CG32" s="505"/>
      <c r="CH32" s="505"/>
      <c r="CI32" s="505"/>
      <c r="CJ32" s="505"/>
      <c r="CK32" s="505"/>
      <c r="CL32" s="505"/>
      <c r="CM32" s="505"/>
      <c r="CN32" s="505"/>
      <c r="CO32" s="505"/>
      <c r="CP32" s="505"/>
      <c r="CQ32" s="505"/>
      <c r="CR32" s="505"/>
      <c r="CS32" s="505"/>
      <c r="CT32" s="505"/>
      <c r="CU32" s="505"/>
      <c r="CV32" s="505"/>
      <c r="CW32" s="505"/>
      <c r="CX32" s="505"/>
      <c r="CY32" s="505"/>
      <c r="CZ32" s="505"/>
      <c r="DA32" s="505"/>
      <c r="DB32" s="505"/>
      <c r="DC32" s="505"/>
      <c r="DD32" s="505"/>
      <c r="DE32" s="505"/>
      <c r="DF32" s="505"/>
      <c r="DG32" s="505"/>
      <c r="DH32" s="505"/>
      <c r="DI32" s="505"/>
      <c r="DJ32" s="505"/>
      <c r="DK32" s="505"/>
      <c r="DL32" s="505"/>
      <c r="DM32" s="505"/>
      <c r="DN32" s="505"/>
      <c r="DO32" s="505"/>
      <c r="DP32" s="505"/>
    </row>
    <row r="33" spans="1:120" hidden="1" outlineLevel="1" x14ac:dyDescent="0.2">
      <c r="A33" s="517">
        <f t="shared" si="3"/>
        <v>36708</v>
      </c>
      <c r="B33" s="517" t="str">
        <f t="shared" si="0"/>
        <v>3Q00</v>
      </c>
      <c r="C33" s="517" t="str">
        <f t="shared" si="4"/>
        <v>3Q00</v>
      </c>
      <c r="D33" s="518">
        <f t="shared" si="5"/>
        <v>36784</v>
      </c>
      <c r="E33" s="518">
        <f t="shared" si="5"/>
        <v>36724</v>
      </c>
      <c r="F33" s="520">
        <v>1.4350000000000001</v>
      </c>
      <c r="G33" s="521">
        <f t="shared" si="1"/>
        <v>6.0000000000000005E-2</v>
      </c>
      <c r="H33" s="521">
        <f t="shared" si="2"/>
        <v>6.0000000000000005E-2</v>
      </c>
      <c r="I33" s="521">
        <f t="shared" si="8"/>
        <v>2.5499999999999985</v>
      </c>
      <c r="J33" s="521">
        <f t="shared" si="6"/>
        <v>2.5999999999999983</v>
      </c>
      <c r="K33" s="521">
        <f t="shared" si="9"/>
        <v>0.29000000000000009</v>
      </c>
      <c r="L33" s="505"/>
      <c r="M33" s="528"/>
      <c r="N33" s="505"/>
      <c r="O33" s="505"/>
      <c r="P33" s="505"/>
      <c r="Q33" s="505"/>
      <c r="R33" s="505"/>
      <c r="S33" s="505"/>
      <c r="T33" s="505"/>
      <c r="U33" s="505"/>
      <c r="V33" s="505"/>
      <c r="W33" s="505"/>
      <c r="X33" s="505"/>
      <c r="Y33" s="505"/>
      <c r="Z33" s="505"/>
      <c r="AA33" s="505"/>
      <c r="AB33" s="505"/>
      <c r="AC33" s="505"/>
      <c r="AD33" s="505"/>
      <c r="AE33" s="505"/>
      <c r="AF33" s="505"/>
      <c r="AG33" s="505"/>
      <c r="AH33" s="505"/>
      <c r="AI33" s="505"/>
      <c r="AJ33" s="505"/>
      <c r="AK33" s="505"/>
      <c r="AL33" s="505"/>
      <c r="AM33" s="505"/>
      <c r="AN33" s="505"/>
      <c r="AO33" s="505"/>
      <c r="AP33" s="505"/>
      <c r="AQ33" s="505"/>
      <c r="AR33" s="505"/>
      <c r="AS33" s="505"/>
      <c r="AT33" s="505"/>
      <c r="AU33" s="505"/>
      <c r="AV33" s="505"/>
      <c r="AW33" s="505"/>
      <c r="AX33" s="505"/>
      <c r="AY33" s="505"/>
      <c r="AZ33" s="505"/>
      <c r="BA33" s="505"/>
      <c r="BB33" s="505"/>
      <c r="BC33" s="505"/>
      <c r="BD33" s="505"/>
      <c r="BE33" s="505"/>
      <c r="BF33" s="505"/>
      <c r="BG33" s="505"/>
      <c r="BH33" s="505"/>
      <c r="BI33" s="505"/>
      <c r="BJ33" s="505"/>
      <c r="BK33" s="505"/>
      <c r="BL33" s="505"/>
      <c r="BM33" s="505"/>
      <c r="BN33" s="505"/>
      <c r="BO33" s="505"/>
      <c r="BP33" s="505"/>
      <c r="BQ33" s="505"/>
      <c r="BR33" s="505"/>
      <c r="BS33" s="505"/>
      <c r="BT33" s="505"/>
      <c r="BU33" s="505"/>
      <c r="BV33" s="505"/>
      <c r="BW33" s="505"/>
      <c r="BX33" s="505"/>
      <c r="BY33" s="505"/>
      <c r="BZ33" s="505"/>
      <c r="CA33" s="505"/>
      <c r="CB33" s="505"/>
      <c r="CC33" s="505"/>
      <c r="CD33" s="505"/>
      <c r="CE33" s="505"/>
      <c r="CF33" s="505"/>
      <c r="CG33" s="505"/>
      <c r="CH33" s="505"/>
      <c r="CI33" s="505"/>
      <c r="CJ33" s="505"/>
      <c r="CK33" s="505"/>
      <c r="CL33" s="505"/>
      <c r="CM33" s="505"/>
      <c r="CN33" s="505"/>
      <c r="CO33" s="505"/>
      <c r="CP33" s="505"/>
      <c r="CQ33" s="505"/>
      <c r="CR33" s="505"/>
      <c r="CS33" s="505"/>
      <c r="CT33" s="505"/>
      <c r="CU33" s="505"/>
      <c r="CV33" s="505"/>
      <c r="CW33" s="505"/>
      <c r="CX33" s="505"/>
      <c r="CY33" s="505"/>
      <c r="CZ33" s="505"/>
      <c r="DA33" s="505"/>
      <c r="DB33" s="505"/>
      <c r="DC33" s="505"/>
      <c r="DD33" s="505"/>
      <c r="DE33" s="505"/>
      <c r="DF33" s="505"/>
      <c r="DG33" s="505"/>
      <c r="DH33" s="505"/>
      <c r="DI33" s="505"/>
      <c r="DJ33" s="505"/>
      <c r="DK33" s="505"/>
      <c r="DL33" s="505"/>
      <c r="DM33" s="505"/>
      <c r="DN33" s="505"/>
      <c r="DO33" s="505"/>
      <c r="DP33" s="505"/>
    </row>
    <row r="34" spans="1:120" hidden="1" outlineLevel="1" x14ac:dyDescent="0.2">
      <c r="A34" s="517">
        <f t="shared" si="3"/>
        <v>36708</v>
      </c>
      <c r="B34" s="517" t="str">
        <f t="shared" si="0"/>
        <v>3Q00</v>
      </c>
      <c r="C34" s="517" t="str">
        <f t="shared" si="4"/>
        <v>3Q00</v>
      </c>
      <c r="D34" s="518">
        <f t="shared" si="5"/>
        <v>36791</v>
      </c>
      <c r="E34" s="518">
        <f t="shared" si="5"/>
        <v>36731</v>
      </c>
      <c r="F34" s="520">
        <v>1.4240000000000002</v>
      </c>
      <c r="G34" s="521">
        <f t="shared" si="1"/>
        <v>6.0000000000000005E-2</v>
      </c>
      <c r="H34" s="521">
        <f t="shared" si="2"/>
        <v>6.0000000000000005E-2</v>
      </c>
      <c r="I34" s="521">
        <f t="shared" si="8"/>
        <v>2.5999999999999983</v>
      </c>
      <c r="J34" s="521">
        <f t="shared" si="6"/>
        <v>2.6499999999999981</v>
      </c>
      <c r="K34" s="521">
        <f t="shared" si="9"/>
        <v>0.3000000000000001</v>
      </c>
      <c r="L34" s="505"/>
      <c r="M34" s="528"/>
      <c r="N34" s="505"/>
      <c r="O34" s="505"/>
      <c r="P34" s="505"/>
      <c r="Q34" s="505"/>
      <c r="R34" s="505"/>
      <c r="S34" s="505"/>
      <c r="T34" s="505"/>
      <c r="U34" s="505"/>
      <c r="V34" s="505"/>
      <c r="W34" s="505"/>
      <c r="X34" s="505"/>
      <c r="Y34" s="505"/>
      <c r="Z34" s="505"/>
      <c r="AA34" s="505"/>
      <c r="AB34" s="505"/>
      <c r="AC34" s="505"/>
      <c r="AD34" s="505"/>
      <c r="AE34" s="505"/>
      <c r="AF34" s="505"/>
      <c r="AG34" s="505"/>
      <c r="AH34" s="505"/>
      <c r="AI34" s="505"/>
      <c r="AJ34" s="505"/>
      <c r="AK34" s="505"/>
      <c r="AL34" s="505"/>
      <c r="AM34" s="505"/>
      <c r="AN34" s="505"/>
      <c r="AO34" s="505"/>
      <c r="AP34" s="505"/>
      <c r="AQ34" s="505"/>
      <c r="AR34" s="505"/>
      <c r="AS34" s="505"/>
      <c r="AT34" s="505"/>
      <c r="AU34" s="505"/>
      <c r="AV34" s="505"/>
      <c r="AW34" s="505"/>
      <c r="AX34" s="505"/>
      <c r="AY34" s="505"/>
      <c r="AZ34" s="505"/>
      <c r="BA34" s="505"/>
      <c r="BB34" s="505"/>
      <c r="BC34" s="505"/>
      <c r="BD34" s="505"/>
      <c r="BE34" s="505"/>
      <c r="BF34" s="505"/>
      <c r="BG34" s="505"/>
      <c r="BH34" s="505"/>
      <c r="BI34" s="505"/>
      <c r="BJ34" s="505"/>
      <c r="BK34" s="505"/>
      <c r="BL34" s="505"/>
      <c r="BM34" s="505"/>
      <c r="BN34" s="505"/>
      <c r="BO34" s="505"/>
      <c r="BP34" s="505"/>
      <c r="BQ34" s="505"/>
      <c r="BR34" s="505"/>
      <c r="BS34" s="505"/>
      <c r="BT34" s="505"/>
      <c r="BU34" s="505"/>
      <c r="BV34" s="505"/>
      <c r="BW34" s="505"/>
      <c r="BX34" s="505"/>
      <c r="BY34" s="505"/>
      <c r="BZ34" s="505"/>
      <c r="CA34" s="505"/>
      <c r="CB34" s="505"/>
      <c r="CC34" s="505"/>
      <c r="CD34" s="505"/>
      <c r="CE34" s="505"/>
      <c r="CF34" s="505"/>
      <c r="CG34" s="505"/>
      <c r="CH34" s="505"/>
      <c r="CI34" s="505"/>
      <c r="CJ34" s="505"/>
      <c r="CK34" s="505"/>
      <c r="CL34" s="505"/>
      <c r="CM34" s="505"/>
      <c r="CN34" s="505"/>
      <c r="CO34" s="505"/>
      <c r="CP34" s="505"/>
      <c r="CQ34" s="505"/>
      <c r="CR34" s="505"/>
      <c r="CS34" s="505"/>
      <c r="CT34" s="505"/>
      <c r="CU34" s="505"/>
      <c r="CV34" s="505"/>
      <c r="CW34" s="505"/>
      <c r="CX34" s="505"/>
      <c r="CY34" s="505"/>
      <c r="CZ34" s="505"/>
      <c r="DA34" s="505"/>
      <c r="DB34" s="505"/>
      <c r="DC34" s="505"/>
      <c r="DD34" s="505"/>
      <c r="DE34" s="505"/>
      <c r="DF34" s="505"/>
      <c r="DG34" s="505"/>
      <c r="DH34" s="505"/>
      <c r="DI34" s="505"/>
      <c r="DJ34" s="505"/>
      <c r="DK34" s="505"/>
      <c r="DL34" s="505"/>
      <c r="DM34" s="505"/>
      <c r="DN34" s="505"/>
      <c r="DO34" s="505"/>
      <c r="DP34" s="505"/>
    </row>
    <row r="35" spans="1:120" hidden="1" outlineLevel="1" x14ac:dyDescent="0.2">
      <c r="A35" s="517">
        <f t="shared" si="3"/>
        <v>36708</v>
      </c>
      <c r="B35" s="517" t="str">
        <f t="shared" si="0"/>
        <v>3Q00</v>
      </c>
      <c r="C35" s="517" t="str">
        <f t="shared" si="4"/>
        <v>3Q00</v>
      </c>
      <c r="D35" s="518">
        <f t="shared" si="5"/>
        <v>36798</v>
      </c>
      <c r="E35" s="518">
        <f t="shared" si="5"/>
        <v>36738</v>
      </c>
      <c r="F35" s="520">
        <v>1.4080000000000001</v>
      </c>
      <c r="G35" s="521">
        <f t="shared" si="1"/>
        <v>6.0000000000000005E-2</v>
      </c>
      <c r="H35" s="521">
        <f t="shared" si="2"/>
        <v>6.0000000000000005E-2</v>
      </c>
      <c r="I35" s="521">
        <f t="shared" si="8"/>
        <v>2.6499999999999981</v>
      </c>
      <c r="J35" s="521">
        <f t="shared" si="6"/>
        <v>2.699999999999998</v>
      </c>
      <c r="K35" s="521">
        <f t="shared" si="9"/>
        <v>0.31000000000000011</v>
      </c>
      <c r="L35" s="505"/>
      <c r="M35" s="528"/>
      <c r="N35" s="505"/>
      <c r="O35" s="505"/>
      <c r="P35" s="505"/>
      <c r="Q35" s="505"/>
      <c r="R35" s="505"/>
      <c r="S35" s="505"/>
      <c r="T35" s="505"/>
      <c r="U35" s="505"/>
      <c r="V35" s="505"/>
      <c r="W35" s="505"/>
      <c r="X35" s="505"/>
      <c r="Y35" s="505"/>
      <c r="Z35" s="505"/>
      <c r="AA35" s="505"/>
      <c r="AB35" s="505"/>
      <c r="AC35" s="505"/>
      <c r="AD35" s="505"/>
      <c r="AE35" s="505"/>
      <c r="AF35" s="505"/>
      <c r="AG35" s="505"/>
      <c r="AH35" s="505"/>
      <c r="AI35" s="505"/>
      <c r="AJ35" s="505"/>
      <c r="AK35" s="505"/>
      <c r="AL35" s="505"/>
      <c r="AM35" s="505"/>
      <c r="AN35" s="505"/>
      <c r="AO35" s="505"/>
      <c r="AP35" s="505"/>
      <c r="AQ35" s="505"/>
      <c r="AR35" s="505"/>
      <c r="AS35" s="505"/>
      <c r="AT35" s="505"/>
      <c r="AU35" s="505"/>
      <c r="AV35" s="505"/>
      <c r="AW35" s="505"/>
      <c r="AX35" s="505"/>
      <c r="AY35" s="505"/>
      <c r="AZ35" s="505"/>
      <c r="BA35" s="505"/>
      <c r="BB35" s="505"/>
      <c r="BC35" s="505"/>
      <c r="BD35" s="505"/>
      <c r="BE35" s="505"/>
      <c r="BF35" s="505"/>
      <c r="BG35" s="505"/>
      <c r="BH35" s="505"/>
      <c r="BI35" s="505"/>
      <c r="BJ35" s="505"/>
      <c r="BK35" s="505"/>
      <c r="BL35" s="505"/>
      <c r="BM35" s="505"/>
      <c r="BN35" s="505"/>
      <c r="BO35" s="505"/>
      <c r="BP35" s="505"/>
      <c r="BQ35" s="505"/>
      <c r="BR35" s="505"/>
      <c r="BS35" s="505"/>
      <c r="BT35" s="505"/>
      <c r="BU35" s="505"/>
      <c r="BV35" s="505"/>
      <c r="BW35" s="505"/>
      <c r="BX35" s="505"/>
      <c r="BY35" s="505"/>
      <c r="BZ35" s="505"/>
      <c r="CA35" s="505"/>
      <c r="CB35" s="505"/>
      <c r="CC35" s="505"/>
      <c r="CD35" s="505"/>
      <c r="CE35" s="505"/>
      <c r="CF35" s="505"/>
      <c r="CG35" s="505"/>
      <c r="CH35" s="505"/>
      <c r="CI35" s="505"/>
      <c r="CJ35" s="505"/>
      <c r="CK35" s="505"/>
      <c r="CL35" s="505"/>
      <c r="CM35" s="505"/>
      <c r="CN35" s="505"/>
      <c r="CO35" s="505"/>
      <c r="CP35" s="505"/>
      <c r="CQ35" s="505"/>
      <c r="CR35" s="505"/>
      <c r="CS35" s="505"/>
      <c r="CT35" s="505"/>
      <c r="CU35" s="505"/>
      <c r="CV35" s="505"/>
      <c r="CW35" s="505"/>
      <c r="CX35" s="505"/>
      <c r="CY35" s="505"/>
      <c r="CZ35" s="505"/>
      <c r="DA35" s="505"/>
      <c r="DB35" s="505"/>
      <c r="DC35" s="505"/>
      <c r="DD35" s="505"/>
      <c r="DE35" s="505"/>
      <c r="DF35" s="505"/>
      <c r="DG35" s="505"/>
      <c r="DH35" s="505"/>
      <c r="DI35" s="505"/>
      <c r="DJ35" s="505"/>
      <c r="DK35" s="505"/>
      <c r="DL35" s="505"/>
      <c r="DM35" s="505"/>
      <c r="DN35" s="505"/>
      <c r="DO35" s="505"/>
      <c r="DP35" s="505"/>
    </row>
    <row r="36" spans="1:120" hidden="1" outlineLevel="1" x14ac:dyDescent="0.2">
      <c r="A36" s="517">
        <f t="shared" si="3"/>
        <v>36739</v>
      </c>
      <c r="B36" s="517" t="str">
        <f t="shared" si="0"/>
        <v>3Q00</v>
      </c>
      <c r="C36" s="517" t="str">
        <f t="shared" si="4"/>
        <v>4Q00</v>
      </c>
      <c r="D36" s="518">
        <f t="shared" si="5"/>
        <v>36805</v>
      </c>
      <c r="E36" s="518">
        <f t="shared" si="5"/>
        <v>36745</v>
      </c>
      <c r="F36" s="520">
        <v>1.41</v>
      </c>
      <c r="G36" s="521">
        <f t="shared" si="1"/>
        <v>6.0000000000000005E-2</v>
      </c>
      <c r="H36" s="521">
        <f t="shared" si="2"/>
        <v>6.0000000000000005E-2</v>
      </c>
      <c r="I36" s="521">
        <f t="shared" si="8"/>
        <v>2.699999999999998</v>
      </c>
      <c r="J36" s="521">
        <f t="shared" si="6"/>
        <v>2.7499999999999978</v>
      </c>
      <c r="K36" s="521">
        <f t="shared" si="9"/>
        <v>0.32000000000000012</v>
      </c>
      <c r="L36" s="505"/>
      <c r="M36" s="528"/>
      <c r="N36" s="505"/>
      <c r="O36" s="505"/>
      <c r="P36" s="505"/>
      <c r="Q36" s="505"/>
      <c r="R36" s="505"/>
      <c r="S36" s="505"/>
      <c r="T36" s="505"/>
      <c r="U36" s="505"/>
      <c r="V36" s="505"/>
      <c r="W36" s="505"/>
      <c r="X36" s="505"/>
      <c r="Y36" s="505"/>
      <c r="Z36" s="505"/>
      <c r="AA36" s="505"/>
      <c r="AB36" s="505"/>
      <c r="AC36" s="505"/>
      <c r="AD36" s="505"/>
      <c r="AE36" s="505"/>
      <c r="AF36" s="505"/>
      <c r="AG36" s="505"/>
      <c r="AH36" s="505"/>
      <c r="AI36" s="505"/>
      <c r="AJ36" s="505"/>
      <c r="AK36" s="505"/>
      <c r="AL36" s="505"/>
      <c r="AM36" s="505"/>
      <c r="AN36" s="505"/>
      <c r="AO36" s="505"/>
      <c r="AP36" s="505"/>
      <c r="AQ36" s="505"/>
      <c r="AR36" s="505"/>
      <c r="AS36" s="505"/>
      <c r="AT36" s="505"/>
      <c r="AU36" s="505"/>
      <c r="AV36" s="505"/>
      <c r="AW36" s="505"/>
      <c r="AX36" s="505"/>
      <c r="AY36" s="505"/>
      <c r="AZ36" s="505"/>
      <c r="BA36" s="505"/>
      <c r="BB36" s="505"/>
      <c r="BC36" s="505"/>
      <c r="BD36" s="505"/>
      <c r="BE36" s="505"/>
      <c r="BF36" s="505"/>
      <c r="BG36" s="505"/>
      <c r="BH36" s="505"/>
      <c r="BI36" s="505"/>
      <c r="BJ36" s="505"/>
      <c r="BK36" s="505"/>
      <c r="BL36" s="505"/>
      <c r="BM36" s="505"/>
      <c r="BN36" s="505"/>
      <c r="BO36" s="505"/>
      <c r="BP36" s="505"/>
      <c r="BQ36" s="505"/>
      <c r="BR36" s="505"/>
      <c r="BS36" s="505"/>
      <c r="BT36" s="505"/>
      <c r="BU36" s="505"/>
      <c r="BV36" s="505"/>
      <c r="BW36" s="505"/>
      <c r="BX36" s="505"/>
      <c r="BY36" s="505"/>
      <c r="BZ36" s="505"/>
      <c r="CA36" s="505"/>
      <c r="CB36" s="505"/>
      <c r="CC36" s="505"/>
      <c r="CD36" s="505"/>
      <c r="CE36" s="505"/>
      <c r="CF36" s="505"/>
      <c r="CG36" s="505"/>
      <c r="CH36" s="505"/>
      <c r="CI36" s="505"/>
      <c r="CJ36" s="505"/>
      <c r="CK36" s="505"/>
      <c r="CL36" s="505"/>
      <c r="CM36" s="505"/>
      <c r="CN36" s="505"/>
      <c r="CO36" s="505"/>
      <c r="CP36" s="505"/>
      <c r="CQ36" s="505"/>
      <c r="CR36" s="505"/>
      <c r="CS36" s="505"/>
      <c r="CT36" s="505"/>
      <c r="CU36" s="505"/>
      <c r="CV36" s="505"/>
      <c r="CW36" s="505"/>
      <c r="CX36" s="505"/>
      <c r="CY36" s="505"/>
      <c r="CZ36" s="505"/>
      <c r="DA36" s="505"/>
      <c r="DB36" s="505"/>
      <c r="DC36" s="505"/>
      <c r="DD36" s="505"/>
      <c r="DE36" s="505"/>
      <c r="DF36" s="505"/>
      <c r="DG36" s="505"/>
      <c r="DH36" s="505"/>
      <c r="DI36" s="505"/>
      <c r="DJ36" s="505"/>
      <c r="DK36" s="505"/>
      <c r="DL36" s="505"/>
      <c r="DM36" s="505"/>
      <c r="DN36" s="505"/>
      <c r="DO36" s="505"/>
      <c r="DP36" s="505"/>
    </row>
    <row r="37" spans="1:120" hidden="1" outlineLevel="1" x14ac:dyDescent="0.2">
      <c r="A37" s="517">
        <f t="shared" si="3"/>
        <v>36739</v>
      </c>
      <c r="B37" s="517" t="str">
        <f t="shared" si="0"/>
        <v>3Q00</v>
      </c>
      <c r="C37" s="517" t="str">
        <f t="shared" si="4"/>
        <v>4Q00</v>
      </c>
      <c r="D37" s="518">
        <f t="shared" si="5"/>
        <v>36812</v>
      </c>
      <c r="E37" s="518">
        <f t="shared" si="5"/>
        <v>36752</v>
      </c>
      <c r="F37" s="520">
        <v>1.4469999999999998</v>
      </c>
      <c r="G37" s="521">
        <f t="shared" si="1"/>
        <v>6.0000000000000005E-2</v>
      </c>
      <c r="H37" s="521">
        <f t="shared" si="2"/>
        <v>7.0000000000000007E-2</v>
      </c>
      <c r="I37" s="521">
        <f t="shared" si="8"/>
        <v>2.7499999999999978</v>
      </c>
      <c r="J37" s="521">
        <f t="shared" si="6"/>
        <v>2.7999999999999976</v>
      </c>
      <c r="K37" s="521">
        <f t="shared" si="9"/>
        <v>0.33000000000000013</v>
      </c>
      <c r="L37" s="505"/>
      <c r="M37" s="528"/>
      <c r="N37" s="505"/>
      <c r="O37" s="505"/>
      <c r="P37" s="505"/>
      <c r="Q37" s="505"/>
      <c r="R37" s="505"/>
      <c r="S37" s="505"/>
      <c r="T37" s="505"/>
      <c r="U37" s="505"/>
      <c r="V37" s="505"/>
      <c r="W37" s="505"/>
      <c r="X37" s="505"/>
      <c r="Y37" s="505"/>
      <c r="Z37" s="505"/>
      <c r="AA37" s="505"/>
      <c r="AB37" s="505"/>
      <c r="AC37" s="505"/>
      <c r="AD37" s="505"/>
      <c r="AE37" s="505"/>
      <c r="AF37" s="505"/>
      <c r="AG37" s="505"/>
      <c r="AH37" s="505"/>
      <c r="AI37" s="505"/>
      <c r="AJ37" s="505"/>
      <c r="AK37" s="505"/>
      <c r="AL37" s="505"/>
      <c r="AM37" s="505"/>
      <c r="AN37" s="505"/>
      <c r="AO37" s="505"/>
      <c r="AP37" s="505"/>
      <c r="AQ37" s="505"/>
      <c r="AR37" s="505"/>
      <c r="AS37" s="505"/>
      <c r="AT37" s="505"/>
      <c r="AU37" s="505"/>
      <c r="AV37" s="505"/>
      <c r="AW37" s="505"/>
      <c r="AX37" s="505"/>
      <c r="AY37" s="505"/>
      <c r="AZ37" s="505"/>
      <c r="BA37" s="505"/>
      <c r="BB37" s="505"/>
      <c r="BC37" s="505"/>
      <c r="BD37" s="505"/>
      <c r="BE37" s="505"/>
      <c r="BF37" s="505"/>
      <c r="BG37" s="505"/>
      <c r="BH37" s="505"/>
      <c r="BI37" s="505"/>
      <c r="BJ37" s="505"/>
      <c r="BK37" s="505"/>
      <c r="BL37" s="505"/>
      <c r="BM37" s="505"/>
      <c r="BN37" s="505"/>
      <c r="BO37" s="505"/>
      <c r="BP37" s="505"/>
      <c r="BQ37" s="505"/>
      <c r="BR37" s="505"/>
      <c r="BS37" s="505"/>
      <c r="BT37" s="505"/>
      <c r="BU37" s="505"/>
      <c r="BV37" s="505"/>
      <c r="BW37" s="505"/>
      <c r="BX37" s="505"/>
      <c r="BY37" s="505"/>
      <c r="BZ37" s="505"/>
      <c r="CA37" s="505"/>
      <c r="CB37" s="505"/>
      <c r="CC37" s="505"/>
      <c r="CD37" s="505"/>
      <c r="CE37" s="505"/>
      <c r="CF37" s="505"/>
      <c r="CG37" s="505"/>
      <c r="CH37" s="505"/>
      <c r="CI37" s="505"/>
      <c r="CJ37" s="505"/>
      <c r="CK37" s="505"/>
      <c r="CL37" s="505"/>
      <c r="CM37" s="505"/>
      <c r="CN37" s="505"/>
      <c r="CO37" s="505"/>
      <c r="CP37" s="505"/>
      <c r="CQ37" s="505"/>
      <c r="CR37" s="505"/>
      <c r="CS37" s="505"/>
      <c r="CT37" s="505"/>
      <c r="CU37" s="505"/>
      <c r="CV37" s="505"/>
      <c r="CW37" s="505"/>
      <c r="CX37" s="505"/>
      <c r="CY37" s="505"/>
      <c r="CZ37" s="505"/>
      <c r="DA37" s="505"/>
      <c r="DB37" s="505"/>
      <c r="DC37" s="505"/>
      <c r="DD37" s="505"/>
      <c r="DE37" s="505"/>
      <c r="DF37" s="505"/>
      <c r="DG37" s="505"/>
      <c r="DH37" s="505"/>
      <c r="DI37" s="505"/>
      <c r="DJ37" s="505"/>
      <c r="DK37" s="505"/>
      <c r="DL37" s="505"/>
      <c r="DM37" s="505"/>
      <c r="DN37" s="505"/>
      <c r="DO37" s="505"/>
      <c r="DP37" s="505"/>
    </row>
    <row r="38" spans="1:120" hidden="1" outlineLevel="1" x14ac:dyDescent="0.2">
      <c r="A38" s="517">
        <f t="shared" si="3"/>
        <v>36739</v>
      </c>
      <c r="B38" s="517" t="str">
        <f t="shared" si="0"/>
        <v>3Q00</v>
      </c>
      <c r="C38" s="517" t="str">
        <f t="shared" si="4"/>
        <v>4Q00</v>
      </c>
      <c r="D38" s="518">
        <f t="shared" si="5"/>
        <v>36819</v>
      </c>
      <c r="E38" s="518">
        <f t="shared" si="5"/>
        <v>36759</v>
      </c>
      <c r="F38" s="520">
        <v>1.4709999999999999</v>
      </c>
      <c r="G38" s="521">
        <f t="shared" si="1"/>
        <v>7.0000000000000007E-2</v>
      </c>
      <c r="H38" s="521">
        <f t="shared" si="2"/>
        <v>0.08</v>
      </c>
      <c r="I38" s="521">
        <f t="shared" si="8"/>
        <v>2.7999999999999976</v>
      </c>
      <c r="J38" s="521">
        <f t="shared" si="6"/>
        <v>2.8499999999999974</v>
      </c>
      <c r="K38" s="521">
        <f t="shared" si="9"/>
        <v>0.34000000000000014</v>
      </c>
      <c r="L38" s="505"/>
      <c r="M38" s="528"/>
      <c r="N38" s="505"/>
      <c r="O38" s="505"/>
      <c r="P38" s="505"/>
      <c r="Q38" s="505"/>
      <c r="R38" s="505"/>
      <c r="S38" s="505"/>
      <c r="T38" s="505"/>
      <c r="U38" s="505"/>
      <c r="V38" s="505"/>
      <c r="W38" s="505"/>
      <c r="X38" s="505"/>
      <c r="Y38" s="505"/>
      <c r="Z38" s="505"/>
      <c r="AA38" s="505"/>
      <c r="AB38" s="505"/>
      <c r="AC38" s="505"/>
      <c r="AD38" s="505"/>
      <c r="AE38" s="505"/>
      <c r="AF38" s="505"/>
      <c r="AG38" s="505"/>
      <c r="AH38" s="505"/>
      <c r="AI38" s="505"/>
      <c r="AJ38" s="505"/>
      <c r="AK38" s="505"/>
      <c r="AL38" s="505"/>
      <c r="AM38" s="505"/>
      <c r="AN38" s="505"/>
      <c r="AO38" s="505"/>
      <c r="AP38" s="505"/>
      <c r="AQ38" s="505"/>
      <c r="AR38" s="505"/>
      <c r="AS38" s="505"/>
      <c r="AT38" s="505"/>
      <c r="AU38" s="505"/>
      <c r="AV38" s="505"/>
      <c r="AW38" s="505"/>
      <c r="AX38" s="505"/>
      <c r="AY38" s="505"/>
      <c r="AZ38" s="505"/>
      <c r="BA38" s="505"/>
      <c r="BB38" s="505"/>
      <c r="BC38" s="505"/>
      <c r="BD38" s="505"/>
      <c r="BE38" s="505"/>
      <c r="BF38" s="505"/>
      <c r="BG38" s="505"/>
      <c r="BH38" s="505"/>
      <c r="BI38" s="505"/>
      <c r="BJ38" s="505"/>
      <c r="BK38" s="505"/>
      <c r="BL38" s="505"/>
      <c r="BM38" s="505"/>
      <c r="BN38" s="505"/>
      <c r="BO38" s="505"/>
      <c r="BP38" s="505"/>
      <c r="BQ38" s="505"/>
      <c r="BR38" s="505"/>
      <c r="BS38" s="505"/>
      <c r="BT38" s="505"/>
      <c r="BU38" s="505"/>
      <c r="BV38" s="505"/>
      <c r="BW38" s="505"/>
      <c r="BX38" s="505"/>
      <c r="BY38" s="505"/>
      <c r="BZ38" s="505"/>
      <c r="CA38" s="505"/>
      <c r="CB38" s="505"/>
      <c r="CC38" s="505"/>
      <c r="CD38" s="505"/>
      <c r="CE38" s="505"/>
      <c r="CF38" s="505"/>
      <c r="CG38" s="505"/>
      <c r="CH38" s="505"/>
      <c r="CI38" s="505"/>
      <c r="CJ38" s="505"/>
      <c r="CK38" s="505"/>
      <c r="CL38" s="505"/>
      <c r="CM38" s="505"/>
      <c r="CN38" s="505"/>
      <c r="CO38" s="505"/>
      <c r="CP38" s="505"/>
      <c r="CQ38" s="505"/>
      <c r="CR38" s="505"/>
      <c r="CS38" s="505"/>
      <c r="CT38" s="505"/>
      <c r="CU38" s="505"/>
      <c r="CV38" s="505"/>
      <c r="CW38" s="505"/>
      <c r="CX38" s="505"/>
      <c r="CY38" s="505"/>
      <c r="CZ38" s="505"/>
      <c r="DA38" s="505"/>
      <c r="DB38" s="505"/>
      <c r="DC38" s="505"/>
      <c r="DD38" s="505"/>
      <c r="DE38" s="505"/>
      <c r="DF38" s="505"/>
      <c r="DG38" s="505"/>
      <c r="DH38" s="505"/>
      <c r="DI38" s="505"/>
      <c r="DJ38" s="505"/>
      <c r="DK38" s="505"/>
      <c r="DL38" s="505"/>
      <c r="DM38" s="505"/>
      <c r="DN38" s="505"/>
      <c r="DO38" s="505"/>
      <c r="DP38" s="505"/>
    </row>
    <row r="39" spans="1:120" hidden="1" outlineLevel="1" x14ac:dyDescent="0.2">
      <c r="A39" s="517">
        <f t="shared" si="3"/>
        <v>36739</v>
      </c>
      <c r="B39" s="517" t="str">
        <f t="shared" si="0"/>
        <v>3Q00</v>
      </c>
      <c r="C39" s="517" t="str">
        <f t="shared" si="4"/>
        <v>4Q00</v>
      </c>
      <c r="D39" s="518">
        <f t="shared" si="5"/>
        <v>36826</v>
      </c>
      <c r="E39" s="518">
        <f t="shared" si="5"/>
        <v>36766</v>
      </c>
      <c r="F39" s="520">
        <v>1.536</v>
      </c>
      <c r="G39" s="521">
        <f t="shared" si="1"/>
        <v>0.08</v>
      </c>
      <c r="H39" s="521">
        <f t="shared" si="2"/>
        <v>9.9999999999999992E-2</v>
      </c>
      <c r="I39" s="521">
        <f t="shared" si="8"/>
        <v>2.8499999999999974</v>
      </c>
      <c r="J39" s="521">
        <f t="shared" si="6"/>
        <v>2.8999999999999972</v>
      </c>
      <c r="K39" s="521">
        <f t="shared" si="9"/>
        <v>0.35000000000000014</v>
      </c>
      <c r="L39" s="505"/>
      <c r="M39" s="528"/>
      <c r="N39" s="505"/>
      <c r="O39" s="505"/>
      <c r="P39" s="505"/>
      <c r="Q39" s="505"/>
      <c r="R39" s="505"/>
      <c r="S39" s="505"/>
      <c r="T39" s="505"/>
      <c r="U39" s="505"/>
      <c r="V39" s="505"/>
      <c r="W39" s="505"/>
      <c r="X39" s="505"/>
      <c r="Y39" s="505"/>
      <c r="Z39" s="505"/>
      <c r="AA39" s="505"/>
      <c r="AB39" s="505"/>
      <c r="AC39" s="505"/>
      <c r="AD39" s="505"/>
      <c r="AE39" s="505"/>
      <c r="AF39" s="505"/>
      <c r="AG39" s="505"/>
      <c r="AH39" s="505"/>
      <c r="AI39" s="505"/>
      <c r="AJ39" s="505"/>
      <c r="AK39" s="505"/>
      <c r="AL39" s="505"/>
      <c r="AM39" s="505"/>
      <c r="AN39" s="505"/>
      <c r="AO39" s="505"/>
      <c r="AP39" s="505"/>
      <c r="AQ39" s="505"/>
      <c r="AR39" s="505"/>
      <c r="AS39" s="505"/>
      <c r="AT39" s="505"/>
      <c r="AU39" s="505"/>
      <c r="AV39" s="505"/>
      <c r="AW39" s="505"/>
      <c r="AX39" s="505"/>
      <c r="AY39" s="505"/>
      <c r="AZ39" s="505"/>
      <c r="BA39" s="505"/>
      <c r="BB39" s="505"/>
      <c r="BC39" s="505"/>
      <c r="BD39" s="505"/>
      <c r="BE39" s="505"/>
      <c r="BF39" s="505"/>
      <c r="BG39" s="505"/>
      <c r="BH39" s="505"/>
      <c r="BI39" s="505"/>
      <c r="BJ39" s="505"/>
      <c r="BK39" s="505"/>
      <c r="BL39" s="505"/>
      <c r="BM39" s="505"/>
      <c r="BN39" s="505"/>
      <c r="BO39" s="505"/>
      <c r="BP39" s="505"/>
      <c r="BQ39" s="505"/>
      <c r="BR39" s="505"/>
      <c r="BS39" s="505"/>
      <c r="BT39" s="505"/>
      <c r="BU39" s="505"/>
      <c r="BV39" s="505"/>
      <c r="BW39" s="505"/>
      <c r="BX39" s="505"/>
      <c r="BY39" s="505"/>
      <c r="BZ39" s="505"/>
      <c r="CA39" s="505"/>
      <c r="CB39" s="505"/>
      <c r="CC39" s="505"/>
      <c r="CD39" s="505"/>
      <c r="CE39" s="505"/>
      <c r="CF39" s="505"/>
      <c r="CG39" s="505"/>
      <c r="CH39" s="505"/>
      <c r="CI39" s="505"/>
      <c r="CJ39" s="505"/>
      <c r="CK39" s="505"/>
      <c r="CL39" s="505"/>
      <c r="CM39" s="505"/>
      <c r="CN39" s="505"/>
      <c r="CO39" s="505"/>
      <c r="CP39" s="505"/>
      <c r="CQ39" s="505"/>
      <c r="CR39" s="505"/>
      <c r="CS39" s="505"/>
      <c r="CT39" s="505"/>
      <c r="CU39" s="505"/>
      <c r="CV39" s="505"/>
      <c r="CW39" s="505"/>
      <c r="CX39" s="505"/>
      <c r="CY39" s="505"/>
      <c r="CZ39" s="505"/>
      <c r="DA39" s="505"/>
      <c r="DB39" s="505"/>
      <c r="DC39" s="505"/>
      <c r="DD39" s="505"/>
      <c r="DE39" s="505"/>
      <c r="DF39" s="505"/>
      <c r="DG39" s="505"/>
      <c r="DH39" s="505"/>
      <c r="DI39" s="505"/>
      <c r="DJ39" s="505"/>
      <c r="DK39" s="505"/>
      <c r="DL39" s="505"/>
      <c r="DM39" s="505"/>
      <c r="DN39" s="505"/>
      <c r="DO39" s="505"/>
      <c r="DP39" s="505"/>
    </row>
    <row r="40" spans="1:120" hidden="1" outlineLevel="1" x14ac:dyDescent="0.2">
      <c r="A40" s="517">
        <f t="shared" si="3"/>
        <v>36770</v>
      </c>
      <c r="B40" s="517" t="str">
        <f t="shared" si="0"/>
        <v>3Q00</v>
      </c>
      <c r="C40" s="517" t="str">
        <f t="shared" si="4"/>
        <v>4Q00</v>
      </c>
      <c r="D40" s="518">
        <f t="shared" si="5"/>
        <v>36833</v>
      </c>
      <c r="E40" s="518">
        <f t="shared" si="5"/>
        <v>36773</v>
      </c>
      <c r="F40" s="520">
        <v>1.609</v>
      </c>
      <c r="G40" s="521">
        <f t="shared" si="1"/>
        <v>9.9999999999999992E-2</v>
      </c>
      <c r="H40" s="521">
        <f t="shared" si="2"/>
        <v>9.9999999999999992E-2</v>
      </c>
      <c r="I40" s="521">
        <f t="shared" si="8"/>
        <v>2.8999999999999972</v>
      </c>
      <c r="J40" s="521">
        <f t="shared" si="6"/>
        <v>2.9499999999999971</v>
      </c>
      <c r="K40" s="521">
        <f t="shared" si="9"/>
        <v>0.36000000000000015</v>
      </c>
      <c r="L40" s="505"/>
      <c r="M40" s="528"/>
      <c r="N40" s="505"/>
      <c r="O40" s="505"/>
      <c r="P40" s="505"/>
      <c r="Q40" s="505"/>
      <c r="R40" s="505"/>
      <c r="S40" s="505"/>
      <c r="T40" s="505"/>
      <c r="U40" s="505"/>
      <c r="V40" s="505"/>
      <c r="W40" s="505"/>
      <c r="X40" s="505"/>
      <c r="Y40" s="505"/>
      <c r="Z40" s="505"/>
      <c r="AA40" s="505"/>
      <c r="AB40" s="505"/>
      <c r="AC40" s="505"/>
      <c r="AD40" s="505"/>
      <c r="AE40" s="505"/>
      <c r="AF40" s="505"/>
      <c r="AG40" s="505"/>
      <c r="AH40" s="505"/>
      <c r="AI40" s="505"/>
      <c r="AJ40" s="505"/>
      <c r="AK40" s="505"/>
      <c r="AL40" s="505"/>
      <c r="AM40" s="505"/>
      <c r="AN40" s="505"/>
      <c r="AO40" s="505"/>
      <c r="AP40" s="505"/>
      <c r="AQ40" s="505"/>
      <c r="AR40" s="505"/>
      <c r="AS40" s="505"/>
      <c r="AT40" s="505"/>
      <c r="AU40" s="505"/>
      <c r="AV40" s="505"/>
      <c r="AW40" s="505"/>
      <c r="AX40" s="505"/>
      <c r="AY40" s="505"/>
      <c r="AZ40" s="505"/>
      <c r="BA40" s="505"/>
      <c r="BB40" s="505"/>
      <c r="BC40" s="505"/>
      <c r="BD40" s="505"/>
      <c r="BE40" s="505"/>
      <c r="BF40" s="505"/>
      <c r="BG40" s="505"/>
      <c r="BH40" s="505"/>
      <c r="BI40" s="505"/>
      <c r="BJ40" s="505"/>
      <c r="BK40" s="505"/>
      <c r="BL40" s="505"/>
      <c r="BM40" s="505"/>
      <c r="BN40" s="505"/>
      <c r="BO40" s="505"/>
      <c r="BP40" s="505"/>
      <c r="BQ40" s="505"/>
      <c r="BR40" s="505"/>
      <c r="BS40" s="505"/>
      <c r="BT40" s="505"/>
      <c r="BU40" s="505"/>
      <c r="BV40" s="505"/>
      <c r="BW40" s="505"/>
      <c r="BX40" s="505"/>
      <c r="BY40" s="505"/>
      <c r="BZ40" s="505"/>
      <c r="CA40" s="505"/>
      <c r="CB40" s="505"/>
      <c r="CC40" s="505"/>
      <c r="CD40" s="505"/>
      <c r="CE40" s="505"/>
      <c r="CF40" s="505"/>
      <c r="CG40" s="505"/>
      <c r="CH40" s="505"/>
      <c r="CI40" s="505"/>
      <c r="CJ40" s="505"/>
      <c r="CK40" s="505"/>
      <c r="CL40" s="505"/>
      <c r="CM40" s="505"/>
      <c r="CN40" s="505"/>
      <c r="CO40" s="505"/>
      <c r="CP40" s="505"/>
      <c r="CQ40" s="505"/>
      <c r="CR40" s="505"/>
      <c r="CS40" s="505"/>
      <c r="CT40" s="505"/>
      <c r="CU40" s="505"/>
      <c r="CV40" s="505"/>
      <c r="CW40" s="505"/>
      <c r="CX40" s="505"/>
      <c r="CY40" s="505"/>
      <c r="CZ40" s="505"/>
      <c r="DA40" s="505"/>
      <c r="DB40" s="505"/>
      <c r="DC40" s="505"/>
      <c r="DD40" s="505"/>
      <c r="DE40" s="505"/>
      <c r="DF40" s="505"/>
      <c r="DG40" s="505"/>
      <c r="DH40" s="505"/>
      <c r="DI40" s="505"/>
      <c r="DJ40" s="505"/>
      <c r="DK40" s="505"/>
      <c r="DL40" s="505"/>
      <c r="DM40" s="505"/>
      <c r="DN40" s="505"/>
      <c r="DO40" s="505"/>
      <c r="DP40" s="505"/>
    </row>
    <row r="41" spans="1:120" hidden="1" outlineLevel="1" x14ac:dyDescent="0.2">
      <c r="A41" s="517">
        <f t="shared" si="3"/>
        <v>36770</v>
      </c>
      <c r="B41" s="517" t="str">
        <f t="shared" si="0"/>
        <v>3Q00</v>
      </c>
      <c r="C41" s="517" t="str">
        <f t="shared" si="4"/>
        <v>4Q00</v>
      </c>
      <c r="D41" s="518">
        <f t="shared" si="5"/>
        <v>36840</v>
      </c>
      <c r="E41" s="518">
        <f t="shared" si="5"/>
        <v>36780</v>
      </c>
      <c r="F41" s="520">
        <v>1.629</v>
      </c>
      <c r="G41" s="521">
        <f t="shared" si="1"/>
        <v>9.9999999999999992E-2</v>
      </c>
      <c r="H41" s="521">
        <f t="shared" si="2"/>
        <v>0.10999999999999999</v>
      </c>
      <c r="I41" s="521">
        <f t="shared" si="8"/>
        <v>2.9499999999999971</v>
      </c>
      <c r="J41" s="521">
        <f t="shared" si="6"/>
        <v>2.9999999999999969</v>
      </c>
      <c r="K41" s="521">
        <f t="shared" si="9"/>
        <v>0.37000000000000016</v>
      </c>
      <c r="L41" s="505"/>
      <c r="M41" s="528"/>
      <c r="N41" s="505"/>
      <c r="O41" s="505"/>
      <c r="P41" s="505"/>
      <c r="Q41" s="505"/>
      <c r="R41" s="505"/>
      <c r="S41" s="505"/>
      <c r="T41" s="505"/>
      <c r="U41" s="505"/>
      <c r="V41" s="505"/>
      <c r="W41" s="505"/>
      <c r="X41" s="505"/>
      <c r="Y41" s="505"/>
      <c r="Z41" s="505"/>
      <c r="AA41" s="505"/>
      <c r="AB41" s="505"/>
      <c r="AC41" s="505"/>
      <c r="AD41" s="505"/>
      <c r="AE41" s="505"/>
      <c r="AF41" s="505"/>
      <c r="AG41" s="505"/>
      <c r="AH41" s="505"/>
      <c r="AI41" s="505"/>
      <c r="AJ41" s="505"/>
      <c r="AK41" s="505"/>
      <c r="AL41" s="505"/>
      <c r="AM41" s="505"/>
      <c r="AN41" s="505"/>
      <c r="AO41" s="505"/>
      <c r="AP41" s="505"/>
      <c r="AQ41" s="505"/>
      <c r="AR41" s="505"/>
      <c r="AS41" s="505"/>
      <c r="AT41" s="505"/>
      <c r="AU41" s="505"/>
      <c r="AV41" s="505"/>
      <c r="AW41" s="505"/>
      <c r="AX41" s="505"/>
      <c r="AY41" s="505"/>
      <c r="AZ41" s="505"/>
      <c r="BA41" s="505"/>
      <c r="BB41" s="505"/>
      <c r="BC41" s="505"/>
      <c r="BD41" s="505"/>
      <c r="BE41" s="505"/>
      <c r="BF41" s="505"/>
      <c r="BG41" s="505"/>
      <c r="BH41" s="505"/>
      <c r="BI41" s="505"/>
      <c r="BJ41" s="505"/>
      <c r="BK41" s="505"/>
      <c r="BL41" s="505"/>
      <c r="BM41" s="505"/>
      <c r="BN41" s="505"/>
      <c r="BO41" s="505"/>
      <c r="BP41" s="505"/>
      <c r="BQ41" s="505"/>
      <c r="BR41" s="505"/>
      <c r="BS41" s="505"/>
      <c r="BT41" s="505"/>
      <c r="BU41" s="505"/>
      <c r="BV41" s="505"/>
      <c r="BW41" s="505"/>
      <c r="BX41" s="505"/>
      <c r="BY41" s="505"/>
      <c r="BZ41" s="505"/>
      <c r="CA41" s="505"/>
      <c r="CB41" s="505"/>
      <c r="CC41" s="505"/>
      <c r="CD41" s="505"/>
      <c r="CE41" s="505"/>
      <c r="CF41" s="505"/>
      <c r="CG41" s="505"/>
      <c r="CH41" s="505"/>
      <c r="CI41" s="505"/>
      <c r="CJ41" s="505"/>
      <c r="CK41" s="505"/>
      <c r="CL41" s="505"/>
      <c r="CM41" s="505"/>
      <c r="CN41" s="505"/>
      <c r="CO41" s="505"/>
      <c r="CP41" s="505"/>
      <c r="CQ41" s="505"/>
      <c r="CR41" s="505"/>
      <c r="CS41" s="505"/>
      <c r="CT41" s="505"/>
      <c r="CU41" s="505"/>
      <c r="CV41" s="505"/>
      <c r="CW41" s="505"/>
      <c r="CX41" s="505"/>
      <c r="CY41" s="505"/>
      <c r="CZ41" s="505"/>
      <c r="DA41" s="505"/>
      <c r="DB41" s="505"/>
      <c r="DC41" s="505"/>
      <c r="DD41" s="505"/>
      <c r="DE41" s="505"/>
      <c r="DF41" s="505"/>
      <c r="DG41" s="505"/>
      <c r="DH41" s="505"/>
      <c r="DI41" s="505"/>
      <c r="DJ41" s="505"/>
      <c r="DK41" s="505"/>
      <c r="DL41" s="505"/>
      <c r="DM41" s="505"/>
      <c r="DN41" s="505"/>
      <c r="DO41" s="505"/>
      <c r="DP41" s="505"/>
    </row>
    <row r="42" spans="1:120" hidden="1" outlineLevel="1" x14ac:dyDescent="0.2">
      <c r="A42" s="517">
        <f t="shared" si="3"/>
        <v>36770</v>
      </c>
      <c r="B42" s="517" t="str">
        <f t="shared" si="0"/>
        <v>3Q00</v>
      </c>
      <c r="C42" s="517" t="str">
        <f t="shared" si="4"/>
        <v>4Q00</v>
      </c>
      <c r="D42" s="518">
        <f t="shared" si="5"/>
        <v>36847</v>
      </c>
      <c r="E42" s="518">
        <f t="shared" si="5"/>
        <v>36787</v>
      </c>
      <c r="F42" s="520">
        <v>1.653</v>
      </c>
      <c r="G42" s="521">
        <f t="shared" si="1"/>
        <v>0.10999999999999999</v>
      </c>
      <c r="H42" s="521">
        <f t="shared" si="2"/>
        <v>0.10999999999999999</v>
      </c>
      <c r="I42" s="521">
        <f t="shared" si="8"/>
        <v>2.9999999999999969</v>
      </c>
      <c r="J42" s="521">
        <f t="shared" si="6"/>
        <v>3.0499999999999967</v>
      </c>
      <c r="K42" s="521">
        <f t="shared" si="9"/>
        <v>0.38000000000000017</v>
      </c>
      <c r="L42" s="505"/>
      <c r="M42" s="528"/>
      <c r="N42" s="505"/>
      <c r="O42" s="505"/>
      <c r="P42" s="505"/>
      <c r="Q42" s="505"/>
      <c r="R42" s="505"/>
      <c r="S42" s="505"/>
      <c r="T42" s="505"/>
      <c r="U42" s="505"/>
      <c r="V42" s="505"/>
      <c r="W42" s="505"/>
      <c r="X42" s="505"/>
      <c r="Y42" s="505"/>
      <c r="Z42" s="505"/>
      <c r="AA42" s="505"/>
      <c r="AB42" s="505"/>
      <c r="AC42" s="505"/>
      <c r="AD42" s="505"/>
      <c r="AE42" s="505"/>
      <c r="AF42" s="505"/>
      <c r="AG42" s="505"/>
      <c r="AH42" s="505"/>
      <c r="AI42" s="505"/>
      <c r="AJ42" s="505"/>
      <c r="AK42" s="505"/>
      <c r="AL42" s="505"/>
      <c r="AM42" s="505"/>
      <c r="AN42" s="505"/>
      <c r="AO42" s="505"/>
      <c r="AP42" s="505"/>
      <c r="AQ42" s="505"/>
      <c r="AR42" s="505"/>
      <c r="AS42" s="505"/>
      <c r="AT42" s="505"/>
      <c r="AU42" s="505"/>
      <c r="AV42" s="505"/>
      <c r="AW42" s="505"/>
      <c r="AX42" s="505"/>
      <c r="AY42" s="505"/>
      <c r="AZ42" s="505"/>
      <c r="BA42" s="505"/>
      <c r="BB42" s="505"/>
      <c r="BC42" s="505"/>
      <c r="BD42" s="505"/>
      <c r="BE42" s="505"/>
      <c r="BF42" s="505"/>
      <c r="BG42" s="505"/>
      <c r="BH42" s="505"/>
      <c r="BI42" s="505"/>
      <c r="BJ42" s="505"/>
      <c r="BK42" s="505"/>
      <c r="BL42" s="505"/>
      <c r="BM42" s="505"/>
      <c r="BN42" s="505"/>
      <c r="BO42" s="505"/>
      <c r="BP42" s="505"/>
      <c r="BQ42" s="505"/>
      <c r="BR42" s="505"/>
      <c r="BS42" s="505"/>
      <c r="BT42" s="505"/>
      <c r="BU42" s="505"/>
      <c r="BV42" s="505"/>
      <c r="BW42" s="505"/>
      <c r="BX42" s="505"/>
      <c r="BY42" s="505"/>
      <c r="BZ42" s="505"/>
      <c r="CA42" s="505"/>
      <c r="CB42" s="505"/>
      <c r="CC42" s="505"/>
      <c r="CD42" s="505"/>
      <c r="CE42" s="505"/>
      <c r="CF42" s="505"/>
      <c r="CG42" s="505"/>
      <c r="CH42" s="505"/>
      <c r="CI42" s="505"/>
      <c r="CJ42" s="505"/>
      <c r="CK42" s="505"/>
      <c r="CL42" s="505"/>
      <c r="CM42" s="505"/>
      <c r="CN42" s="505"/>
      <c r="CO42" s="505"/>
      <c r="CP42" s="505"/>
      <c r="CQ42" s="505"/>
      <c r="CR42" s="505"/>
      <c r="CS42" s="505"/>
      <c r="CT42" s="505"/>
      <c r="CU42" s="505"/>
      <c r="CV42" s="505"/>
      <c r="CW42" s="505"/>
      <c r="CX42" s="505"/>
      <c r="CY42" s="505"/>
      <c r="CZ42" s="505"/>
      <c r="DA42" s="505"/>
      <c r="DB42" s="505"/>
      <c r="DC42" s="505"/>
      <c r="DD42" s="505"/>
      <c r="DE42" s="505"/>
      <c r="DF42" s="505"/>
      <c r="DG42" s="505"/>
      <c r="DH42" s="505"/>
      <c r="DI42" s="505"/>
      <c r="DJ42" s="505"/>
      <c r="DK42" s="505"/>
      <c r="DL42" s="505"/>
      <c r="DM42" s="505"/>
      <c r="DN42" s="505"/>
      <c r="DO42" s="505"/>
      <c r="DP42" s="505"/>
    </row>
    <row r="43" spans="1:120" hidden="1" outlineLevel="1" x14ac:dyDescent="0.2">
      <c r="A43" s="517">
        <f t="shared" si="3"/>
        <v>36770</v>
      </c>
      <c r="B43" s="517" t="str">
        <f t="shared" si="0"/>
        <v>3Q00</v>
      </c>
      <c r="C43" s="517" t="str">
        <f t="shared" si="4"/>
        <v>4Q00</v>
      </c>
      <c r="D43" s="518">
        <f t="shared" si="5"/>
        <v>36854</v>
      </c>
      <c r="E43" s="518">
        <f t="shared" si="5"/>
        <v>36794</v>
      </c>
      <c r="F43" s="520">
        <v>1.6569999999999998</v>
      </c>
      <c r="G43" s="521">
        <f t="shared" si="1"/>
        <v>0.10999999999999999</v>
      </c>
      <c r="H43" s="521">
        <f t="shared" si="2"/>
        <v>9.9999999999999992E-2</v>
      </c>
      <c r="I43" s="521">
        <f t="shared" si="8"/>
        <v>3.0499999999999967</v>
      </c>
      <c r="J43" s="521">
        <f t="shared" si="6"/>
        <v>3.0999999999999965</v>
      </c>
      <c r="K43" s="521">
        <f t="shared" si="9"/>
        <v>0.39000000000000018</v>
      </c>
      <c r="L43" s="505"/>
      <c r="M43" s="528"/>
      <c r="N43" s="505"/>
      <c r="O43" s="505"/>
      <c r="P43" s="505"/>
      <c r="Q43" s="505"/>
      <c r="R43" s="505"/>
      <c r="S43" s="505"/>
      <c r="T43" s="505"/>
      <c r="U43" s="505"/>
      <c r="V43" s="505"/>
      <c r="W43" s="505"/>
      <c r="X43" s="505"/>
      <c r="Y43" s="505"/>
      <c r="Z43" s="505"/>
      <c r="AA43" s="505"/>
      <c r="AB43" s="505"/>
      <c r="AC43" s="505"/>
      <c r="AD43" s="505"/>
      <c r="AE43" s="505"/>
      <c r="AF43" s="505"/>
      <c r="AG43" s="505"/>
      <c r="AH43" s="505"/>
      <c r="AI43" s="505"/>
      <c r="AJ43" s="505"/>
      <c r="AK43" s="505"/>
      <c r="AL43" s="505"/>
      <c r="AM43" s="505"/>
      <c r="AN43" s="505"/>
      <c r="AO43" s="505"/>
      <c r="AP43" s="505"/>
      <c r="AQ43" s="505"/>
      <c r="AR43" s="505"/>
      <c r="AS43" s="505"/>
      <c r="AT43" s="505"/>
      <c r="AU43" s="505"/>
      <c r="AV43" s="505"/>
      <c r="AW43" s="505"/>
      <c r="AX43" s="505"/>
      <c r="AY43" s="505"/>
      <c r="AZ43" s="505"/>
      <c r="BA43" s="505"/>
      <c r="BB43" s="505"/>
      <c r="BC43" s="505"/>
      <c r="BD43" s="505"/>
      <c r="BE43" s="505"/>
      <c r="BF43" s="505"/>
      <c r="BG43" s="505"/>
      <c r="BH43" s="505"/>
      <c r="BI43" s="505"/>
      <c r="BJ43" s="505"/>
      <c r="BK43" s="505"/>
      <c r="BL43" s="505"/>
      <c r="BM43" s="505"/>
      <c r="BN43" s="505"/>
      <c r="BO43" s="505"/>
      <c r="BP43" s="505"/>
      <c r="BQ43" s="505"/>
      <c r="BR43" s="505"/>
      <c r="BS43" s="505"/>
      <c r="BT43" s="505"/>
      <c r="BU43" s="505"/>
      <c r="BV43" s="505"/>
      <c r="BW43" s="505"/>
      <c r="BX43" s="505"/>
      <c r="BY43" s="505"/>
      <c r="BZ43" s="505"/>
      <c r="CA43" s="505"/>
      <c r="CB43" s="505"/>
      <c r="CC43" s="505"/>
      <c r="CD43" s="505"/>
      <c r="CE43" s="505"/>
      <c r="CF43" s="505"/>
      <c r="CG43" s="505"/>
      <c r="CH43" s="505"/>
      <c r="CI43" s="505"/>
      <c r="CJ43" s="505"/>
      <c r="CK43" s="505"/>
      <c r="CL43" s="505"/>
      <c r="CM43" s="505"/>
      <c r="CN43" s="505"/>
      <c r="CO43" s="505"/>
      <c r="CP43" s="505"/>
      <c r="CQ43" s="505"/>
      <c r="CR43" s="505"/>
      <c r="CS43" s="505"/>
      <c r="CT43" s="505"/>
      <c r="CU43" s="505"/>
      <c r="CV43" s="505"/>
      <c r="CW43" s="505"/>
      <c r="CX43" s="505"/>
      <c r="CY43" s="505"/>
      <c r="CZ43" s="505"/>
      <c r="DA43" s="505"/>
      <c r="DB43" s="505"/>
      <c r="DC43" s="505"/>
      <c r="DD43" s="505"/>
      <c r="DE43" s="505"/>
      <c r="DF43" s="505"/>
      <c r="DG43" s="505"/>
      <c r="DH43" s="505"/>
      <c r="DI43" s="505"/>
      <c r="DJ43" s="505"/>
      <c r="DK43" s="505"/>
      <c r="DL43" s="505"/>
      <c r="DM43" s="505"/>
      <c r="DN43" s="505"/>
      <c r="DO43" s="505"/>
      <c r="DP43" s="505"/>
    </row>
    <row r="44" spans="1:120" hidden="1" outlineLevel="1" x14ac:dyDescent="0.2">
      <c r="A44" s="517">
        <f t="shared" si="3"/>
        <v>36800</v>
      </c>
      <c r="B44" s="517" t="str">
        <f t="shared" si="0"/>
        <v>4Q00</v>
      </c>
      <c r="C44" s="517" t="str">
        <f t="shared" si="4"/>
        <v>4Q00</v>
      </c>
      <c r="D44" s="518">
        <f t="shared" si="5"/>
        <v>36861</v>
      </c>
      <c r="E44" s="518">
        <f t="shared" si="5"/>
        <v>36801</v>
      </c>
      <c r="F44" s="520">
        <v>1.625</v>
      </c>
      <c r="G44" s="521">
        <f t="shared" si="1"/>
        <v>9.9999999999999992E-2</v>
      </c>
      <c r="H44" s="521">
        <f t="shared" si="2"/>
        <v>9.9999999999999992E-2</v>
      </c>
      <c r="I44" s="521">
        <f t="shared" si="8"/>
        <v>3.0999999999999965</v>
      </c>
      <c r="J44" s="521">
        <f t="shared" si="6"/>
        <v>3.1499999999999964</v>
      </c>
      <c r="K44" s="521">
        <f t="shared" si="9"/>
        <v>0.40000000000000019</v>
      </c>
      <c r="L44" s="505"/>
      <c r="M44" s="528"/>
      <c r="N44" s="505"/>
      <c r="O44" s="505"/>
      <c r="P44" s="505"/>
      <c r="Q44" s="505"/>
      <c r="R44" s="505"/>
      <c r="S44" s="505"/>
      <c r="T44" s="505"/>
      <c r="U44" s="505"/>
      <c r="V44" s="505"/>
      <c r="W44" s="505"/>
      <c r="X44" s="505"/>
      <c r="Y44" s="505"/>
      <c r="Z44" s="505"/>
      <c r="AA44" s="505"/>
      <c r="AB44" s="505"/>
      <c r="AC44" s="505"/>
      <c r="AD44" s="505"/>
      <c r="AE44" s="505"/>
      <c r="AF44" s="505"/>
      <c r="AG44" s="505"/>
      <c r="AH44" s="505"/>
      <c r="AI44" s="505"/>
      <c r="AJ44" s="505"/>
      <c r="AK44" s="505"/>
      <c r="AL44" s="505"/>
      <c r="AM44" s="505"/>
      <c r="AN44" s="505"/>
      <c r="AO44" s="505"/>
      <c r="AP44" s="505"/>
      <c r="AQ44" s="505"/>
      <c r="AR44" s="505"/>
      <c r="AS44" s="505"/>
      <c r="AT44" s="505"/>
      <c r="AU44" s="505"/>
      <c r="AV44" s="505"/>
      <c r="AW44" s="505"/>
      <c r="AX44" s="505"/>
      <c r="AY44" s="505"/>
      <c r="AZ44" s="505"/>
      <c r="BA44" s="505"/>
      <c r="BB44" s="505"/>
      <c r="BC44" s="505"/>
      <c r="BD44" s="505"/>
      <c r="BE44" s="505"/>
      <c r="BF44" s="505"/>
      <c r="BG44" s="505"/>
      <c r="BH44" s="505"/>
      <c r="BI44" s="505"/>
      <c r="BJ44" s="505"/>
      <c r="BK44" s="505"/>
      <c r="BL44" s="505"/>
      <c r="BM44" s="505"/>
      <c r="BN44" s="505"/>
      <c r="BO44" s="505"/>
      <c r="BP44" s="505"/>
      <c r="BQ44" s="505"/>
      <c r="BR44" s="505"/>
      <c r="BS44" s="505"/>
      <c r="BT44" s="505"/>
      <c r="BU44" s="505"/>
      <c r="BV44" s="505"/>
      <c r="BW44" s="505"/>
      <c r="BX44" s="505"/>
      <c r="BY44" s="505"/>
      <c r="BZ44" s="505"/>
      <c r="CA44" s="505"/>
      <c r="CB44" s="505"/>
      <c r="CC44" s="505"/>
      <c r="CD44" s="505"/>
      <c r="CE44" s="505"/>
      <c r="CF44" s="505"/>
      <c r="CG44" s="505"/>
      <c r="CH44" s="505"/>
      <c r="CI44" s="505"/>
      <c r="CJ44" s="505"/>
      <c r="CK44" s="505"/>
      <c r="CL44" s="505"/>
      <c r="CM44" s="505"/>
      <c r="CN44" s="505"/>
      <c r="CO44" s="505"/>
      <c r="CP44" s="505"/>
      <c r="CQ44" s="505"/>
      <c r="CR44" s="505"/>
      <c r="CS44" s="505"/>
      <c r="CT44" s="505"/>
      <c r="CU44" s="505"/>
      <c r="CV44" s="505"/>
      <c r="CW44" s="505"/>
      <c r="CX44" s="505"/>
      <c r="CY44" s="505"/>
      <c r="CZ44" s="505"/>
      <c r="DA44" s="505"/>
      <c r="DB44" s="505"/>
      <c r="DC44" s="505"/>
      <c r="DD44" s="505"/>
      <c r="DE44" s="505"/>
      <c r="DF44" s="505"/>
      <c r="DG44" s="505"/>
      <c r="DH44" s="505"/>
      <c r="DI44" s="505"/>
      <c r="DJ44" s="505"/>
      <c r="DK44" s="505"/>
      <c r="DL44" s="505"/>
      <c r="DM44" s="505"/>
      <c r="DN44" s="505"/>
      <c r="DO44" s="505"/>
      <c r="DP44" s="505"/>
    </row>
    <row r="45" spans="1:120" hidden="1" outlineLevel="1" x14ac:dyDescent="0.2">
      <c r="A45" s="517">
        <f t="shared" si="3"/>
        <v>36800</v>
      </c>
      <c r="B45" s="517" t="str">
        <f t="shared" si="0"/>
        <v>4Q00</v>
      </c>
      <c r="C45" s="517" t="str">
        <f t="shared" si="4"/>
        <v>4Q00</v>
      </c>
      <c r="D45" s="518">
        <f t="shared" si="5"/>
        <v>36868</v>
      </c>
      <c r="E45" s="518">
        <f t="shared" si="5"/>
        <v>36808</v>
      </c>
      <c r="F45" s="520">
        <v>1.6140000000000001</v>
      </c>
      <c r="G45" s="521">
        <f t="shared" si="1"/>
        <v>9.9999999999999992E-2</v>
      </c>
      <c r="H45" s="521">
        <f t="shared" si="2"/>
        <v>0.10999999999999999</v>
      </c>
      <c r="I45" s="521">
        <f t="shared" si="8"/>
        <v>3.1499999999999964</v>
      </c>
      <c r="J45" s="521">
        <f t="shared" si="6"/>
        <v>3.1999999999999962</v>
      </c>
      <c r="K45" s="521">
        <f t="shared" si="9"/>
        <v>0.4100000000000002</v>
      </c>
      <c r="L45" s="505"/>
      <c r="M45" s="528"/>
      <c r="N45" s="505"/>
      <c r="O45" s="505"/>
      <c r="P45" s="505"/>
      <c r="Q45" s="505"/>
      <c r="R45" s="505"/>
      <c r="S45" s="505"/>
      <c r="T45" s="505"/>
      <c r="U45" s="505"/>
      <c r="V45" s="505"/>
      <c r="W45" s="505"/>
      <c r="X45" s="505"/>
      <c r="Y45" s="505"/>
      <c r="Z45" s="505"/>
      <c r="AA45" s="505"/>
      <c r="AB45" s="505"/>
      <c r="AC45" s="505"/>
      <c r="AD45" s="505"/>
      <c r="AE45" s="505"/>
      <c r="AF45" s="505"/>
      <c r="AG45" s="505"/>
      <c r="AH45" s="505"/>
      <c r="AI45" s="505"/>
      <c r="AJ45" s="505"/>
      <c r="AK45" s="505"/>
      <c r="AL45" s="505"/>
      <c r="AM45" s="505"/>
      <c r="AN45" s="505"/>
      <c r="AO45" s="505"/>
      <c r="AP45" s="505"/>
      <c r="AQ45" s="505"/>
      <c r="AR45" s="505"/>
      <c r="AS45" s="505"/>
      <c r="AT45" s="505"/>
      <c r="AU45" s="505"/>
      <c r="AV45" s="505"/>
      <c r="AW45" s="505"/>
      <c r="AX45" s="505"/>
      <c r="AY45" s="505"/>
      <c r="AZ45" s="505"/>
      <c r="BA45" s="505"/>
      <c r="BB45" s="505"/>
      <c r="BC45" s="505"/>
      <c r="BD45" s="505"/>
      <c r="BE45" s="505"/>
      <c r="BF45" s="505"/>
      <c r="BG45" s="505"/>
      <c r="BH45" s="505"/>
      <c r="BI45" s="505"/>
      <c r="BJ45" s="505"/>
      <c r="BK45" s="505"/>
      <c r="BL45" s="505"/>
      <c r="BM45" s="505"/>
      <c r="BN45" s="505"/>
      <c r="BO45" s="505"/>
      <c r="BP45" s="505"/>
      <c r="BQ45" s="505"/>
      <c r="BR45" s="505"/>
      <c r="BS45" s="505"/>
      <c r="BT45" s="505"/>
      <c r="BU45" s="505"/>
      <c r="BV45" s="505"/>
      <c r="BW45" s="505"/>
      <c r="BX45" s="505"/>
      <c r="BY45" s="505"/>
      <c r="BZ45" s="505"/>
      <c r="CA45" s="505"/>
      <c r="CB45" s="505"/>
      <c r="CC45" s="505"/>
      <c r="CD45" s="505"/>
      <c r="CE45" s="505"/>
      <c r="CF45" s="505"/>
      <c r="CG45" s="505"/>
      <c r="CH45" s="505"/>
      <c r="CI45" s="505"/>
      <c r="CJ45" s="505"/>
      <c r="CK45" s="505"/>
      <c r="CL45" s="505"/>
      <c r="CM45" s="505"/>
      <c r="CN45" s="505"/>
      <c r="CO45" s="505"/>
      <c r="CP45" s="505"/>
      <c r="CQ45" s="505"/>
      <c r="CR45" s="505"/>
      <c r="CS45" s="505"/>
      <c r="CT45" s="505"/>
      <c r="CU45" s="505"/>
      <c r="CV45" s="505"/>
      <c r="CW45" s="505"/>
      <c r="CX45" s="505"/>
      <c r="CY45" s="505"/>
      <c r="CZ45" s="505"/>
      <c r="DA45" s="505"/>
      <c r="DB45" s="505"/>
      <c r="DC45" s="505"/>
      <c r="DD45" s="505"/>
      <c r="DE45" s="505"/>
      <c r="DF45" s="505"/>
      <c r="DG45" s="505"/>
      <c r="DH45" s="505"/>
      <c r="DI45" s="505"/>
      <c r="DJ45" s="505"/>
      <c r="DK45" s="505"/>
      <c r="DL45" s="505"/>
      <c r="DM45" s="505"/>
      <c r="DN45" s="505"/>
      <c r="DO45" s="505"/>
      <c r="DP45" s="505"/>
    </row>
    <row r="46" spans="1:120" hidden="1" outlineLevel="1" x14ac:dyDescent="0.2">
      <c r="A46" s="517">
        <f t="shared" si="3"/>
        <v>36800</v>
      </c>
      <c r="B46" s="517" t="str">
        <f t="shared" si="0"/>
        <v>4Q00</v>
      </c>
      <c r="C46" s="517" t="str">
        <f t="shared" si="4"/>
        <v>4Q00</v>
      </c>
      <c r="D46" s="518">
        <f t="shared" si="5"/>
        <v>36875</v>
      </c>
      <c r="E46" s="518">
        <f t="shared" si="5"/>
        <v>36815</v>
      </c>
      <c r="F46" s="520">
        <v>1.67</v>
      </c>
      <c r="G46" s="521">
        <f t="shared" si="1"/>
        <v>0.10999999999999999</v>
      </c>
      <c r="H46" s="521">
        <f t="shared" si="2"/>
        <v>9.9999999999999992E-2</v>
      </c>
      <c r="I46" s="521">
        <f t="shared" si="8"/>
        <v>3.1999999999999962</v>
      </c>
      <c r="J46" s="521">
        <f t="shared" si="6"/>
        <v>3.249999999999996</v>
      </c>
      <c r="K46" s="521">
        <f t="shared" si="9"/>
        <v>0.42000000000000021</v>
      </c>
      <c r="L46" s="505"/>
      <c r="M46" s="528"/>
      <c r="N46" s="505"/>
      <c r="O46" s="505"/>
      <c r="P46" s="505"/>
      <c r="Q46" s="505"/>
      <c r="R46" s="505"/>
      <c r="S46" s="505"/>
      <c r="T46" s="505"/>
      <c r="U46" s="505"/>
      <c r="V46" s="505"/>
      <c r="W46" s="505"/>
      <c r="X46" s="505"/>
      <c r="Y46" s="505"/>
      <c r="Z46" s="505"/>
      <c r="AA46" s="505"/>
      <c r="AB46" s="505"/>
      <c r="AC46" s="505"/>
      <c r="AD46" s="505"/>
      <c r="AE46" s="505"/>
      <c r="AF46" s="505"/>
      <c r="AG46" s="505"/>
      <c r="AH46" s="505"/>
      <c r="AI46" s="505"/>
      <c r="AJ46" s="505"/>
      <c r="AK46" s="505"/>
      <c r="AL46" s="505"/>
      <c r="AM46" s="505"/>
      <c r="AN46" s="505"/>
      <c r="AO46" s="505"/>
      <c r="AP46" s="505"/>
      <c r="AQ46" s="505"/>
      <c r="AR46" s="505"/>
      <c r="AS46" s="505"/>
      <c r="AT46" s="505"/>
      <c r="AU46" s="505"/>
      <c r="AV46" s="505"/>
      <c r="AW46" s="505"/>
      <c r="AX46" s="505"/>
      <c r="AY46" s="505"/>
      <c r="AZ46" s="505"/>
      <c r="BA46" s="505"/>
      <c r="BB46" s="505"/>
      <c r="BC46" s="505"/>
      <c r="BD46" s="505"/>
      <c r="BE46" s="505"/>
      <c r="BF46" s="505"/>
      <c r="BG46" s="505"/>
      <c r="BH46" s="505"/>
      <c r="BI46" s="505"/>
      <c r="BJ46" s="505"/>
      <c r="BK46" s="505"/>
      <c r="BL46" s="505"/>
      <c r="BM46" s="505"/>
      <c r="BN46" s="505"/>
      <c r="BO46" s="505"/>
      <c r="BP46" s="505"/>
      <c r="BQ46" s="505"/>
      <c r="BR46" s="505"/>
      <c r="BS46" s="505"/>
      <c r="BT46" s="505"/>
      <c r="BU46" s="505"/>
      <c r="BV46" s="505"/>
      <c r="BW46" s="505"/>
      <c r="BX46" s="505"/>
      <c r="BY46" s="505"/>
      <c r="BZ46" s="505"/>
      <c r="CA46" s="505"/>
      <c r="CB46" s="505"/>
      <c r="CC46" s="505"/>
      <c r="CD46" s="505"/>
      <c r="CE46" s="505"/>
      <c r="CF46" s="505"/>
      <c r="CG46" s="505"/>
      <c r="CH46" s="505"/>
      <c r="CI46" s="505"/>
      <c r="CJ46" s="505"/>
      <c r="CK46" s="505"/>
      <c r="CL46" s="505"/>
      <c r="CM46" s="505"/>
      <c r="CN46" s="505"/>
      <c r="CO46" s="505"/>
      <c r="CP46" s="505"/>
      <c r="CQ46" s="505"/>
      <c r="CR46" s="505"/>
      <c r="CS46" s="505"/>
      <c r="CT46" s="505"/>
      <c r="CU46" s="505"/>
      <c r="CV46" s="505"/>
      <c r="CW46" s="505"/>
      <c r="CX46" s="505"/>
      <c r="CY46" s="505"/>
      <c r="CZ46" s="505"/>
      <c r="DA46" s="505"/>
      <c r="DB46" s="505"/>
      <c r="DC46" s="505"/>
      <c r="DD46" s="505"/>
      <c r="DE46" s="505"/>
      <c r="DF46" s="505"/>
      <c r="DG46" s="505"/>
      <c r="DH46" s="505"/>
      <c r="DI46" s="505"/>
      <c r="DJ46" s="505"/>
      <c r="DK46" s="505"/>
      <c r="DL46" s="505"/>
      <c r="DM46" s="505"/>
      <c r="DN46" s="505"/>
      <c r="DO46" s="505"/>
      <c r="DP46" s="505"/>
    </row>
    <row r="47" spans="1:120" hidden="1" outlineLevel="1" x14ac:dyDescent="0.2">
      <c r="A47" s="517">
        <f t="shared" si="3"/>
        <v>36800</v>
      </c>
      <c r="B47" s="517" t="str">
        <f t="shared" si="0"/>
        <v>4Q00</v>
      </c>
      <c r="C47" s="517" t="str">
        <f t="shared" si="4"/>
        <v>4Q00</v>
      </c>
      <c r="D47" s="518">
        <f t="shared" si="5"/>
        <v>36882</v>
      </c>
      <c r="E47" s="518">
        <f t="shared" si="5"/>
        <v>36822</v>
      </c>
      <c r="F47" s="520">
        <v>1.6480000000000001</v>
      </c>
      <c r="G47" s="521">
        <f t="shared" si="1"/>
        <v>9.9999999999999992E-2</v>
      </c>
      <c r="H47" s="521">
        <f t="shared" si="2"/>
        <v>9.9999999999999992E-2</v>
      </c>
      <c r="I47" s="521">
        <f t="shared" si="8"/>
        <v>3.249999999999996</v>
      </c>
      <c r="J47" s="521">
        <f t="shared" si="6"/>
        <v>3.2999999999999958</v>
      </c>
      <c r="K47" s="521">
        <f t="shared" si="9"/>
        <v>0.43000000000000022</v>
      </c>
      <c r="L47" s="505"/>
      <c r="M47" s="528"/>
      <c r="N47" s="505"/>
      <c r="O47" s="505"/>
      <c r="P47" s="505"/>
      <c r="Q47" s="505"/>
      <c r="R47" s="505"/>
      <c r="S47" s="505"/>
      <c r="T47" s="505"/>
      <c r="U47" s="505"/>
      <c r="V47" s="505"/>
      <c r="W47" s="505"/>
      <c r="X47" s="505"/>
      <c r="Y47" s="505"/>
      <c r="Z47" s="505"/>
      <c r="AA47" s="505"/>
      <c r="AB47" s="505"/>
      <c r="AC47" s="505"/>
      <c r="AD47" s="505"/>
      <c r="AE47" s="505"/>
      <c r="AF47" s="505"/>
      <c r="AG47" s="505"/>
      <c r="AH47" s="505"/>
      <c r="AI47" s="505"/>
      <c r="AJ47" s="505"/>
      <c r="AK47" s="505"/>
      <c r="AL47" s="505"/>
      <c r="AM47" s="505"/>
      <c r="AN47" s="505"/>
      <c r="AO47" s="505"/>
      <c r="AP47" s="505"/>
      <c r="AQ47" s="505"/>
      <c r="AR47" s="505"/>
      <c r="AS47" s="505"/>
      <c r="AT47" s="505"/>
      <c r="AU47" s="505"/>
      <c r="AV47" s="505"/>
      <c r="AW47" s="505"/>
      <c r="AX47" s="505"/>
      <c r="AY47" s="505"/>
      <c r="AZ47" s="505"/>
      <c r="BA47" s="505"/>
      <c r="BB47" s="505"/>
      <c r="BC47" s="505"/>
      <c r="BD47" s="505"/>
      <c r="BE47" s="505"/>
      <c r="BF47" s="505"/>
      <c r="BG47" s="505"/>
      <c r="BH47" s="505"/>
      <c r="BI47" s="505"/>
      <c r="BJ47" s="505"/>
      <c r="BK47" s="505"/>
      <c r="BL47" s="505"/>
      <c r="BM47" s="505"/>
      <c r="BN47" s="505"/>
      <c r="BO47" s="505"/>
      <c r="BP47" s="505"/>
      <c r="BQ47" s="505"/>
      <c r="BR47" s="505"/>
      <c r="BS47" s="505"/>
      <c r="BT47" s="505"/>
      <c r="BU47" s="505"/>
      <c r="BV47" s="505"/>
      <c r="BW47" s="505"/>
      <c r="BX47" s="505"/>
      <c r="BY47" s="505"/>
      <c r="BZ47" s="505"/>
      <c r="CA47" s="505"/>
      <c r="CB47" s="505"/>
      <c r="CC47" s="505"/>
      <c r="CD47" s="505"/>
      <c r="CE47" s="505"/>
      <c r="CF47" s="505"/>
      <c r="CG47" s="505"/>
      <c r="CH47" s="505"/>
      <c r="CI47" s="505"/>
      <c r="CJ47" s="505"/>
      <c r="CK47" s="505"/>
      <c r="CL47" s="505"/>
      <c r="CM47" s="505"/>
      <c r="CN47" s="505"/>
      <c r="CO47" s="505"/>
      <c r="CP47" s="505"/>
      <c r="CQ47" s="505"/>
      <c r="CR47" s="505"/>
      <c r="CS47" s="505"/>
      <c r="CT47" s="505"/>
      <c r="CU47" s="505"/>
      <c r="CV47" s="505"/>
      <c r="CW47" s="505"/>
      <c r="CX47" s="505"/>
      <c r="CY47" s="505"/>
      <c r="CZ47" s="505"/>
      <c r="DA47" s="505"/>
      <c r="DB47" s="505"/>
      <c r="DC47" s="505"/>
      <c r="DD47" s="505"/>
      <c r="DE47" s="505"/>
      <c r="DF47" s="505"/>
      <c r="DG47" s="505"/>
      <c r="DH47" s="505"/>
      <c r="DI47" s="505"/>
      <c r="DJ47" s="505"/>
      <c r="DK47" s="505"/>
      <c r="DL47" s="505"/>
      <c r="DM47" s="505"/>
      <c r="DN47" s="505"/>
      <c r="DO47" s="505"/>
      <c r="DP47" s="505"/>
    </row>
    <row r="48" spans="1:120" hidden="1" outlineLevel="1" x14ac:dyDescent="0.2">
      <c r="A48" s="517">
        <f t="shared" si="3"/>
        <v>36800</v>
      </c>
      <c r="B48" s="517" t="str">
        <f t="shared" si="0"/>
        <v>4Q00</v>
      </c>
      <c r="C48" s="517" t="str">
        <f t="shared" si="4"/>
        <v>4Q00</v>
      </c>
      <c r="D48" s="518">
        <f t="shared" si="5"/>
        <v>36889</v>
      </c>
      <c r="E48" s="518">
        <f t="shared" si="5"/>
        <v>36829</v>
      </c>
      <c r="F48" s="520">
        <v>1.629</v>
      </c>
      <c r="G48" s="521">
        <f t="shared" si="1"/>
        <v>9.9999999999999992E-2</v>
      </c>
      <c r="H48" s="521">
        <f t="shared" si="2"/>
        <v>9.9999999999999992E-2</v>
      </c>
      <c r="I48" s="521">
        <f t="shared" si="8"/>
        <v>3.2999999999999958</v>
      </c>
      <c r="J48" s="521">
        <f t="shared" si="6"/>
        <v>3.3499999999999956</v>
      </c>
      <c r="K48" s="521">
        <f t="shared" si="9"/>
        <v>0.44000000000000022</v>
      </c>
      <c r="L48" s="505"/>
      <c r="M48" s="528"/>
      <c r="N48" s="505"/>
      <c r="O48" s="505"/>
      <c r="P48" s="505"/>
      <c r="Q48" s="505"/>
      <c r="R48" s="505"/>
      <c r="S48" s="505"/>
      <c r="T48" s="505"/>
      <c r="U48" s="505"/>
      <c r="V48" s="505"/>
      <c r="W48" s="505"/>
      <c r="X48" s="505"/>
      <c r="Y48" s="505"/>
      <c r="Z48" s="505"/>
      <c r="AA48" s="505"/>
      <c r="AB48" s="505"/>
      <c r="AC48" s="505"/>
      <c r="AD48" s="505"/>
      <c r="AE48" s="505"/>
      <c r="AF48" s="505"/>
      <c r="AG48" s="505"/>
      <c r="AH48" s="505"/>
      <c r="AI48" s="505"/>
      <c r="AJ48" s="505"/>
      <c r="AK48" s="505"/>
      <c r="AL48" s="505"/>
      <c r="AM48" s="505"/>
      <c r="AN48" s="505"/>
      <c r="AO48" s="505"/>
      <c r="AP48" s="505"/>
      <c r="AQ48" s="505"/>
      <c r="AR48" s="505"/>
      <c r="AS48" s="505"/>
      <c r="AT48" s="505"/>
      <c r="AU48" s="505"/>
      <c r="AV48" s="505"/>
      <c r="AW48" s="505"/>
      <c r="AX48" s="505"/>
      <c r="AY48" s="505"/>
      <c r="AZ48" s="505"/>
      <c r="BA48" s="505"/>
      <c r="BB48" s="505"/>
      <c r="BC48" s="505"/>
      <c r="BD48" s="505"/>
      <c r="BE48" s="505"/>
      <c r="BF48" s="505"/>
      <c r="BG48" s="505"/>
      <c r="BH48" s="505"/>
      <c r="BI48" s="505"/>
      <c r="BJ48" s="505"/>
      <c r="BK48" s="505"/>
      <c r="BL48" s="505"/>
      <c r="BM48" s="505"/>
      <c r="BN48" s="505"/>
      <c r="BO48" s="505"/>
      <c r="BP48" s="505"/>
      <c r="BQ48" s="505"/>
      <c r="BR48" s="505"/>
      <c r="BS48" s="505"/>
      <c r="BT48" s="505"/>
      <c r="BU48" s="505"/>
      <c r="BV48" s="505"/>
      <c r="BW48" s="505"/>
      <c r="BX48" s="505"/>
      <c r="BY48" s="505"/>
      <c r="BZ48" s="505"/>
      <c r="CA48" s="505"/>
      <c r="CB48" s="505"/>
      <c r="CC48" s="505"/>
      <c r="CD48" s="505"/>
      <c r="CE48" s="505"/>
      <c r="CF48" s="505"/>
      <c r="CG48" s="505"/>
      <c r="CH48" s="505"/>
      <c r="CI48" s="505"/>
      <c r="CJ48" s="505"/>
      <c r="CK48" s="505"/>
      <c r="CL48" s="505"/>
      <c r="CM48" s="505"/>
      <c r="CN48" s="505"/>
      <c r="CO48" s="505"/>
      <c r="CP48" s="505"/>
      <c r="CQ48" s="505"/>
      <c r="CR48" s="505"/>
      <c r="CS48" s="505"/>
      <c r="CT48" s="505"/>
      <c r="CU48" s="505"/>
      <c r="CV48" s="505"/>
      <c r="CW48" s="505"/>
      <c r="CX48" s="505"/>
      <c r="CY48" s="505"/>
      <c r="CZ48" s="505"/>
      <c r="DA48" s="505"/>
      <c r="DB48" s="505"/>
      <c r="DC48" s="505"/>
      <c r="DD48" s="505"/>
      <c r="DE48" s="505"/>
      <c r="DF48" s="505"/>
      <c r="DG48" s="505"/>
      <c r="DH48" s="505"/>
      <c r="DI48" s="505"/>
      <c r="DJ48" s="505"/>
      <c r="DK48" s="505"/>
      <c r="DL48" s="505"/>
      <c r="DM48" s="505"/>
      <c r="DN48" s="505"/>
      <c r="DO48" s="505"/>
      <c r="DP48" s="505"/>
    </row>
    <row r="49" spans="1:120" hidden="1" outlineLevel="1" x14ac:dyDescent="0.2">
      <c r="A49" s="517">
        <f t="shared" si="3"/>
        <v>36831</v>
      </c>
      <c r="B49" s="517" t="str">
        <f t="shared" si="0"/>
        <v>4Q00</v>
      </c>
      <c r="C49" s="517" t="str">
        <f t="shared" si="4"/>
        <v>1Q01</v>
      </c>
      <c r="D49" s="518">
        <f t="shared" si="5"/>
        <v>36896</v>
      </c>
      <c r="E49" s="518">
        <f t="shared" si="5"/>
        <v>36836</v>
      </c>
      <c r="F49" s="520">
        <v>1.61</v>
      </c>
      <c r="G49" s="521">
        <f t="shared" si="1"/>
        <v>9.9999999999999992E-2</v>
      </c>
      <c r="H49" s="521">
        <f t="shared" si="2"/>
        <v>9.9999999999999992E-2</v>
      </c>
      <c r="I49" s="521">
        <f t="shared" si="8"/>
        <v>3.3499999999999956</v>
      </c>
      <c r="J49" s="521">
        <f t="shared" si="6"/>
        <v>3.3999999999999955</v>
      </c>
      <c r="K49" s="521">
        <f t="shared" si="9"/>
        <v>0.45000000000000023</v>
      </c>
      <c r="L49" s="505"/>
      <c r="M49" s="528"/>
      <c r="N49" s="505"/>
      <c r="O49" s="505"/>
      <c r="P49" s="505"/>
      <c r="Q49" s="505"/>
      <c r="R49" s="505"/>
      <c r="S49" s="505"/>
      <c r="T49" s="505"/>
      <c r="U49" s="505"/>
      <c r="V49" s="505"/>
      <c r="W49" s="505"/>
      <c r="X49" s="505"/>
      <c r="Y49" s="505"/>
      <c r="Z49" s="505"/>
      <c r="AA49" s="505"/>
      <c r="AB49" s="505"/>
      <c r="AC49" s="505"/>
      <c r="AD49" s="505"/>
      <c r="AE49" s="505"/>
      <c r="AF49" s="505"/>
      <c r="AG49" s="505"/>
      <c r="AH49" s="505"/>
      <c r="AI49" s="505"/>
      <c r="AJ49" s="505"/>
      <c r="AK49" s="505"/>
      <c r="AL49" s="505"/>
      <c r="AM49" s="505"/>
      <c r="AN49" s="505"/>
      <c r="AO49" s="505"/>
      <c r="AP49" s="505"/>
      <c r="AQ49" s="505"/>
      <c r="AR49" s="505"/>
      <c r="AS49" s="505"/>
      <c r="AT49" s="505"/>
      <c r="AU49" s="505"/>
      <c r="AV49" s="505"/>
      <c r="AW49" s="505"/>
      <c r="AX49" s="505"/>
      <c r="AY49" s="505"/>
      <c r="AZ49" s="505"/>
      <c r="BA49" s="505"/>
      <c r="BB49" s="505"/>
      <c r="BC49" s="505"/>
      <c r="BD49" s="505"/>
      <c r="BE49" s="505"/>
      <c r="BF49" s="505"/>
      <c r="BG49" s="505"/>
      <c r="BH49" s="505"/>
      <c r="BI49" s="505"/>
      <c r="BJ49" s="505"/>
      <c r="BK49" s="505"/>
      <c r="BL49" s="505"/>
      <c r="BM49" s="505"/>
      <c r="BN49" s="505"/>
      <c r="BO49" s="505"/>
      <c r="BP49" s="505"/>
      <c r="BQ49" s="505"/>
      <c r="BR49" s="505"/>
      <c r="BS49" s="505"/>
      <c r="BT49" s="505"/>
      <c r="BU49" s="505"/>
      <c r="BV49" s="505"/>
      <c r="BW49" s="505"/>
      <c r="BX49" s="505"/>
      <c r="BY49" s="505"/>
      <c r="BZ49" s="505"/>
      <c r="CA49" s="505"/>
      <c r="CB49" s="505"/>
      <c r="CC49" s="505"/>
      <c r="CD49" s="505"/>
      <c r="CE49" s="505"/>
      <c r="CF49" s="505"/>
      <c r="CG49" s="505"/>
      <c r="CH49" s="505"/>
      <c r="CI49" s="505"/>
      <c r="CJ49" s="505"/>
      <c r="CK49" s="505"/>
      <c r="CL49" s="505"/>
      <c r="CM49" s="505"/>
      <c r="CN49" s="505"/>
      <c r="CO49" s="505"/>
      <c r="CP49" s="505"/>
      <c r="CQ49" s="505"/>
      <c r="CR49" s="505"/>
      <c r="CS49" s="505"/>
      <c r="CT49" s="505"/>
      <c r="CU49" s="505"/>
      <c r="CV49" s="505"/>
      <c r="CW49" s="505"/>
      <c r="CX49" s="505"/>
      <c r="CY49" s="505"/>
      <c r="CZ49" s="505"/>
      <c r="DA49" s="505"/>
      <c r="DB49" s="505"/>
      <c r="DC49" s="505"/>
      <c r="DD49" s="505"/>
      <c r="DE49" s="505"/>
      <c r="DF49" s="505"/>
      <c r="DG49" s="505"/>
      <c r="DH49" s="505"/>
      <c r="DI49" s="505"/>
      <c r="DJ49" s="505"/>
      <c r="DK49" s="505"/>
      <c r="DL49" s="505"/>
      <c r="DM49" s="505"/>
      <c r="DN49" s="505"/>
      <c r="DO49" s="505"/>
      <c r="DP49" s="505"/>
    </row>
    <row r="50" spans="1:120" hidden="1" outlineLevel="1" x14ac:dyDescent="0.2">
      <c r="A50" s="517">
        <f t="shared" si="3"/>
        <v>36831</v>
      </c>
      <c r="B50" s="517" t="str">
        <f t="shared" si="0"/>
        <v>4Q00</v>
      </c>
      <c r="C50" s="517" t="str">
        <f t="shared" si="4"/>
        <v>1Q01</v>
      </c>
      <c r="D50" s="518">
        <f t="shared" si="5"/>
        <v>36903</v>
      </c>
      <c r="E50" s="518">
        <f t="shared" si="5"/>
        <v>36843</v>
      </c>
      <c r="F50" s="520">
        <v>1.6030000000000002</v>
      </c>
      <c r="G50" s="521">
        <f t="shared" si="1"/>
        <v>9.9999999999999992E-2</v>
      </c>
      <c r="H50" s="521">
        <f t="shared" si="2"/>
        <v>9.9999999999999992E-2</v>
      </c>
      <c r="I50" s="521">
        <f t="shared" si="8"/>
        <v>3.3999999999999955</v>
      </c>
      <c r="J50" s="521">
        <f t="shared" si="6"/>
        <v>3.4499999999999953</v>
      </c>
      <c r="K50" s="521">
        <f t="shared" si="9"/>
        <v>0.46000000000000024</v>
      </c>
      <c r="L50" s="505"/>
      <c r="M50" s="528"/>
      <c r="N50" s="505"/>
      <c r="O50" s="505"/>
      <c r="P50" s="505"/>
      <c r="Q50" s="505"/>
      <c r="R50" s="505"/>
      <c r="S50" s="505"/>
      <c r="T50" s="505"/>
      <c r="U50" s="505"/>
      <c r="V50" s="505"/>
      <c r="W50" s="505"/>
      <c r="X50" s="505"/>
      <c r="Y50" s="505"/>
      <c r="Z50" s="505"/>
      <c r="AA50" s="505"/>
      <c r="AB50" s="505"/>
      <c r="AC50" s="505"/>
      <c r="AD50" s="505"/>
      <c r="AE50" s="505"/>
      <c r="AF50" s="505"/>
      <c r="AG50" s="505"/>
      <c r="AH50" s="505"/>
      <c r="AI50" s="505"/>
      <c r="AJ50" s="505"/>
      <c r="AK50" s="505"/>
      <c r="AL50" s="505"/>
      <c r="AM50" s="505"/>
      <c r="AN50" s="505"/>
      <c r="AO50" s="505"/>
      <c r="AP50" s="505"/>
      <c r="AQ50" s="505"/>
      <c r="AR50" s="505"/>
      <c r="AS50" s="505"/>
      <c r="AT50" s="505"/>
      <c r="AU50" s="505"/>
      <c r="AV50" s="505"/>
      <c r="AW50" s="505"/>
      <c r="AX50" s="505"/>
      <c r="AY50" s="505"/>
      <c r="AZ50" s="505"/>
      <c r="BA50" s="505"/>
      <c r="BB50" s="505"/>
      <c r="BC50" s="505"/>
      <c r="BD50" s="505"/>
      <c r="BE50" s="505"/>
      <c r="BF50" s="505"/>
      <c r="BG50" s="505"/>
      <c r="BH50" s="505"/>
      <c r="BI50" s="505"/>
      <c r="BJ50" s="505"/>
      <c r="BK50" s="505"/>
      <c r="BL50" s="505"/>
      <c r="BM50" s="505"/>
      <c r="BN50" s="505"/>
      <c r="BO50" s="505"/>
      <c r="BP50" s="505"/>
      <c r="BQ50" s="505"/>
      <c r="BR50" s="505"/>
      <c r="BS50" s="505"/>
      <c r="BT50" s="505"/>
      <c r="BU50" s="505"/>
      <c r="BV50" s="505"/>
      <c r="BW50" s="505"/>
      <c r="BX50" s="505"/>
      <c r="BY50" s="505"/>
      <c r="BZ50" s="505"/>
      <c r="CA50" s="505"/>
      <c r="CB50" s="505"/>
      <c r="CC50" s="505"/>
      <c r="CD50" s="505"/>
      <c r="CE50" s="505"/>
      <c r="CF50" s="505"/>
      <c r="CG50" s="505"/>
      <c r="CH50" s="505"/>
      <c r="CI50" s="505"/>
      <c r="CJ50" s="505"/>
      <c r="CK50" s="505"/>
      <c r="CL50" s="505"/>
      <c r="CM50" s="505"/>
      <c r="CN50" s="505"/>
      <c r="CO50" s="505"/>
      <c r="CP50" s="505"/>
      <c r="CQ50" s="505"/>
      <c r="CR50" s="505"/>
      <c r="CS50" s="505"/>
      <c r="CT50" s="505"/>
      <c r="CU50" s="505"/>
      <c r="CV50" s="505"/>
      <c r="CW50" s="505"/>
      <c r="CX50" s="505"/>
      <c r="CY50" s="505"/>
      <c r="CZ50" s="505"/>
      <c r="DA50" s="505"/>
      <c r="DB50" s="505"/>
      <c r="DC50" s="505"/>
      <c r="DD50" s="505"/>
      <c r="DE50" s="505"/>
      <c r="DF50" s="505"/>
      <c r="DG50" s="505"/>
      <c r="DH50" s="505"/>
      <c r="DI50" s="505"/>
      <c r="DJ50" s="505"/>
      <c r="DK50" s="505"/>
      <c r="DL50" s="505"/>
      <c r="DM50" s="505"/>
      <c r="DN50" s="505"/>
      <c r="DO50" s="505"/>
      <c r="DP50" s="505"/>
    </row>
    <row r="51" spans="1:120" hidden="1" outlineLevel="1" x14ac:dyDescent="0.2">
      <c r="A51" s="517">
        <f t="shared" si="3"/>
        <v>36831</v>
      </c>
      <c r="B51" s="517" t="str">
        <f t="shared" si="0"/>
        <v>4Q00</v>
      </c>
      <c r="C51" s="517" t="str">
        <f t="shared" si="4"/>
        <v>1Q01</v>
      </c>
      <c r="D51" s="518">
        <f t="shared" si="5"/>
        <v>36910</v>
      </c>
      <c r="E51" s="518">
        <f t="shared" si="5"/>
        <v>36850</v>
      </c>
      <c r="F51" s="520">
        <v>1.6269999999999998</v>
      </c>
      <c r="G51" s="521">
        <f t="shared" si="1"/>
        <v>9.9999999999999992E-2</v>
      </c>
      <c r="H51" s="521">
        <f t="shared" si="2"/>
        <v>9.9999999999999992E-2</v>
      </c>
      <c r="I51" s="521">
        <f t="shared" si="8"/>
        <v>3.4499999999999953</v>
      </c>
      <c r="J51" s="521">
        <f t="shared" si="6"/>
        <v>3.4999999999999951</v>
      </c>
      <c r="K51" s="521">
        <f t="shared" si="9"/>
        <v>0.47000000000000025</v>
      </c>
      <c r="L51" s="505"/>
      <c r="M51" s="528"/>
      <c r="N51" s="505"/>
      <c r="O51" s="505"/>
      <c r="P51" s="505"/>
      <c r="Q51" s="505"/>
      <c r="R51" s="505"/>
      <c r="S51" s="505"/>
      <c r="T51" s="505"/>
      <c r="U51" s="505"/>
      <c r="V51" s="505"/>
      <c r="W51" s="505"/>
      <c r="X51" s="505"/>
      <c r="Y51" s="505"/>
      <c r="Z51" s="505"/>
      <c r="AA51" s="505"/>
      <c r="AB51" s="505"/>
      <c r="AC51" s="505"/>
      <c r="AD51" s="505"/>
      <c r="AE51" s="505"/>
      <c r="AF51" s="505"/>
      <c r="AG51" s="505"/>
      <c r="AH51" s="505"/>
      <c r="AI51" s="505"/>
      <c r="AJ51" s="505"/>
      <c r="AK51" s="505"/>
      <c r="AL51" s="505"/>
      <c r="AM51" s="505"/>
      <c r="AN51" s="505"/>
      <c r="AO51" s="505"/>
      <c r="AP51" s="505"/>
      <c r="AQ51" s="505"/>
      <c r="AR51" s="505"/>
      <c r="AS51" s="505"/>
      <c r="AT51" s="505"/>
      <c r="AU51" s="505"/>
      <c r="AV51" s="505"/>
      <c r="AW51" s="505"/>
      <c r="AX51" s="505"/>
      <c r="AY51" s="505"/>
      <c r="AZ51" s="505"/>
      <c r="BA51" s="505"/>
      <c r="BB51" s="505"/>
      <c r="BC51" s="505"/>
      <c r="BD51" s="505"/>
      <c r="BE51" s="505"/>
      <c r="BF51" s="505"/>
      <c r="BG51" s="505"/>
      <c r="BH51" s="505"/>
      <c r="BI51" s="505"/>
      <c r="BJ51" s="505"/>
      <c r="BK51" s="505"/>
      <c r="BL51" s="505"/>
      <c r="BM51" s="505"/>
      <c r="BN51" s="505"/>
      <c r="BO51" s="505"/>
      <c r="BP51" s="505"/>
      <c r="BQ51" s="505"/>
      <c r="BR51" s="505"/>
      <c r="BS51" s="505"/>
      <c r="BT51" s="505"/>
      <c r="BU51" s="505"/>
      <c r="BV51" s="505"/>
      <c r="BW51" s="505"/>
      <c r="BX51" s="505"/>
      <c r="BY51" s="505"/>
      <c r="BZ51" s="505"/>
      <c r="CA51" s="505"/>
      <c r="CB51" s="505"/>
      <c r="CC51" s="505"/>
      <c r="CD51" s="505"/>
      <c r="CE51" s="505"/>
      <c r="CF51" s="505"/>
      <c r="CG51" s="505"/>
      <c r="CH51" s="505"/>
      <c r="CI51" s="505"/>
      <c r="CJ51" s="505"/>
      <c r="CK51" s="505"/>
      <c r="CL51" s="505"/>
      <c r="CM51" s="505"/>
      <c r="CN51" s="505"/>
      <c r="CO51" s="505"/>
      <c r="CP51" s="505"/>
      <c r="CQ51" s="505"/>
      <c r="CR51" s="505"/>
      <c r="CS51" s="505"/>
      <c r="CT51" s="505"/>
      <c r="CU51" s="505"/>
      <c r="CV51" s="505"/>
      <c r="CW51" s="505"/>
      <c r="CX51" s="505"/>
      <c r="CY51" s="505"/>
      <c r="CZ51" s="505"/>
      <c r="DA51" s="505"/>
      <c r="DB51" s="505"/>
      <c r="DC51" s="505"/>
      <c r="DD51" s="505"/>
      <c r="DE51" s="505"/>
      <c r="DF51" s="505"/>
      <c r="DG51" s="505"/>
      <c r="DH51" s="505"/>
      <c r="DI51" s="505"/>
      <c r="DJ51" s="505"/>
      <c r="DK51" s="505"/>
      <c r="DL51" s="505"/>
      <c r="DM51" s="505"/>
      <c r="DN51" s="505"/>
      <c r="DO51" s="505"/>
      <c r="DP51" s="505"/>
    </row>
    <row r="52" spans="1:120" hidden="1" outlineLevel="1" x14ac:dyDescent="0.2">
      <c r="A52" s="517">
        <f t="shared" si="3"/>
        <v>36831</v>
      </c>
      <c r="B52" s="517" t="str">
        <f t="shared" si="0"/>
        <v>4Q00</v>
      </c>
      <c r="C52" s="517" t="str">
        <f t="shared" si="4"/>
        <v>1Q01</v>
      </c>
      <c r="D52" s="518">
        <f t="shared" si="5"/>
        <v>36917</v>
      </c>
      <c r="E52" s="518">
        <f t="shared" si="5"/>
        <v>36857</v>
      </c>
      <c r="F52" s="520">
        <v>1.645</v>
      </c>
      <c r="G52" s="521">
        <f t="shared" si="1"/>
        <v>9.9999999999999992E-2</v>
      </c>
      <c r="H52" s="521">
        <f t="shared" si="2"/>
        <v>9.9999999999999992E-2</v>
      </c>
      <c r="I52" s="521">
        <f t="shared" si="8"/>
        <v>3.4999999999999951</v>
      </c>
      <c r="J52" s="521">
        <f t="shared" si="6"/>
        <v>3.5499999999999949</v>
      </c>
      <c r="K52" s="521">
        <f t="shared" si="9"/>
        <v>0.48000000000000026</v>
      </c>
      <c r="L52" s="505"/>
      <c r="M52" s="528"/>
      <c r="N52" s="505"/>
      <c r="O52" s="505"/>
      <c r="P52" s="505"/>
      <c r="Q52" s="505"/>
      <c r="R52" s="505"/>
      <c r="S52" s="505"/>
      <c r="T52" s="505"/>
      <c r="U52" s="505"/>
      <c r="V52" s="505"/>
      <c r="W52" s="505"/>
      <c r="X52" s="505"/>
      <c r="Y52" s="505"/>
      <c r="Z52" s="505"/>
      <c r="AA52" s="505"/>
      <c r="AB52" s="505"/>
      <c r="AC52" s="505"/>
      <c r="AD52" s="505"/>
      <c r="AE52" s="505"/>
      <c r="AF52" s="505"/>
      <c r="AG52" s="505"/>
      <c r="AH52" s="505"/>
      <c r="AI52" s="505"/>
      <c r="AJ52" s="505"/>
      <c r="AK52" s="505"/>
      <c r="AL52" s="505"/>
      <c r="AM52" s="505"/>
      <c r="AN52" s="505"/>
      <c r="AO52" s="505"/>
      <c r="AP52" s="505"/>
      <c r="AQ52" s="505"/>
      <c r="AR52" s="505"/>
      <c r="AS52" s="505"/>
      <c r="AT52" s="505"/>
      <c r="AU52" s="505"/>
      <c r="AV52" s="505"/>
      <c r="AW52" s="505"/>
      <c r="AX52" s="505"/>
      <c r="AY52" s="505"/>
      <c r="AZ52" s="505"/>
      <c r="BA52" s="505"/>
      <c r="BB52" s="505"/>
      <c r="BC52" s="505"/>
      <c r="BD52" s="505"/>
      <c r="BE52" s="505"/>
      <c r="BF52" s="505"/>
      <c r="BG52" s="505"/>
      <c r="BH52" s="505"/>
      <c r="BI52" s="505"/>
      <c r="BJ52" s="505"/>
      <c r="BK52" s="505"/>
      <c r="BL52" s="505"/>
      <c r="BM52" s="505"/>
      <c r="BN52" s="505"/>
      <c r="BO52" s="505"/>
      <c r="BP52" s="505"/>
      <c r="BQ52" s="505"/>
      <c r="BR52" s="505"/>
      <c r="BS52" s="505"/>
      <c r="BT52" s="505"/>
      <c r="BU52" s="505"/>
      <c r="BV52" s="505"/>
      <c r="BW52" s="505"/>
      <c r="BX52" s="505"/>
      <c r="BY52" s="505"/>
      <c r="BZ52" s="505"/>
      <c r="CA52" s="505"/>
      <c r="CB52" s="505"/>
      <c r="CC52" s="505"/>
      <c r="CD52" s="505"/>
      <c r="CE52" s="505"/>
      <c r="CF52" s="505"/>
      <c r="CG52" s="505"/>
      <c r="CH52" s="505"/>
      <c r="CI52" s="505"/>
      <c r="CJ52" s="505"/>
      <c r="CK52" s="505"/>
      <c r="CL52" s="505"/>
      <c r="CM52" s="505"/>
      <c r="CN52" s="505"/>
      <c r="CO52" s="505"/>
      <c r="CP52" s="505"/>
      <c r="CQ52" s="505"/>
      <c r="CR52" s="505"/>
      <c r="CS52" s="505"/>
      <c r="CT52" s="505"/>
      <c r="CU52" s="505"/>
      <c r="CV52" s="505"/>
      <c r="CW52" s="505"/>
      <c r="CX52" s="505"/>
      <c r="CY52" s="505"/>
      <c r="CZ52" s="505"/>
      <c r="DA52" s="505"/>
      <c r="DB52" s="505"/>
      <c r="DC52" s="505"/>
      <c r="DD52" s="505"/>
      <c r="DE52" s="505"/>
      <c r="DF52" s="505"/>
      <c r="DG52" s="505"/>
      <c r="DH52" s="505"/>
      <c r="DI52" s="505"/>
      <c r="DJ52" s="505"/>
      <c r="DK52" s="505"/>
      <c r="DL52" s="505"/>
      <c r="DM52" s="505"/>
      <c r="DN52" s="505"/>
      <c r="DO52" s="505"/>
      <c r="DP52" s="505"/>
    </row>
    <row r="53" spans="1:120" hidden="1" outlineLevel="1" x14ac:dyDescent="0.2">
      <c r="A53" s="517">
        <f t="shared" si="3"/>
        <v>36861</v>
      </c>
      <c r="B53" s="517" t="str">
        <f t="shared" si="0"/>
        <v>4Q00</v>
      </c>
      <c r="C53" s="517" t="str">
        <f t="shared" si="4"/>
        <v>1Q01</v>
      </c>
      <c r="D53" s="518">
        <f t="shared" si="5"/>
        <v>36924</v>
      </c>
      <c r="E53" s="518">
        <f t="shared" si="5"/>
        <v>36864</v>
      </c>
      <c r="F53" s="520">
        <v>1.6219999999999999</v>
      </c>
      <c r="G53" s="521">
        <f t="shared" si="1"/>
        <v>9.9999999999999992E-2</v>
      </c>
      <c r="H53" s="521">
        <f t="shared" si="2"/>
        <v>0.09</v>
      </c>
      <c r="I53" s="521">
        <f t="shared" si="8"/>
        <v>3.5499999999999949</v>
      </c>
      <c r="J53" s="521">
        <f t="shared" si="6"/>
        <v>3.5999999999999948</v>
      </c>
      <c r="K53" s="521">
        <f t="shared" si="9"/>
        <v>0.49000000000000027</v>
      </c>
      <c r="L53" s="505"/>
      <c r="M53" s="528"/>
      <c r="N53" s="505"/>
      <c r="O53" s="505"/>
      <c r="P53" s="505"/>
      <c r="Q53" s="505"/>
      <c r="R53" s="505"/>
      <c r="S53" s="505"/>
      <c r="T53" s="505"/>
      <c r="U53" s="505"/>
      <c r="V53" s="505"/>
      <c r="W53" s="505"/>
      <c r="X53" s="505"/>
      <c r="Y53" s="505"/>
      <c r="Z53" s="505"/>
      <c r="AA53" s="505"/>
      <c r="AB53" s="505"/>
      <c r="AC53" s="505"/>
      <c r="AD53" s="505"/>
      <c r="AE53" s="505"/>
      <c r="AF53" s="505"/>
      <c r="AG53" s="505"/>
      <c r="AH53" s="505"/>
      <c r="AI53" s="505"/>
      <c r="AJ53" s="505"/>
      <c r="AK53" s="505"/>
      <c r="AL53" s="505"/>
      <c r="AM53" s="505"/>
      <c r="AN53" s="505"/>
      <c r="AO53" s="505"/>
      <c r="AP53" s="505"/>
      <c r="AQ53" s="505"/>
      <c r="AR53" s="505"/>
      <c r="AS53" s="505"/>
      <c r="AT53" s="505"/>
      <c r="AU53" s="505"/>
      <c r="AV53" s="505"/>
      <c r="AW53" s="505"/>
      <c r="AX53" s="505"/>
      <c r="AY53" s="505"/>
      <c r="AZ53" s="505"/>
      <c r="BA53" s="505"/>
      <c r="BB53" s="505"/>
      <c r="BC53" s="505"/>
      <c r="BD53" s="505"/>
      <c r="BE53" s="505"/>
      <c r="BF53" s="505"/>
      <c r="BG53" s="505"/>
      <c r="BH53" s="505"/>
      <c r="BI53" s="505"/>
      <c r="BJ53" s="505"/>
      <c r="BK53" s="505"/>
      <c r="BL53" s="505"/>
      <c r="BM53" s="505"/>
      <c r="BN53" s="505"/>
      <c r="BO53" s="505"/>
      <c r="BP53" s="505"/>
      <c r="BQ53" s="505"/>
      <c r="BR53" s="505"/>
      <c r="BS53" s="505"/>
      <c r="BT53" s="505"/>
      <c r="BU53" s="505"/>
      <c r="BV53" s="505"/>
      <c r="BW53" s="505"/>
      <c r="BX53" s="505"/>
      <c r="BY53" s="505"/>
      <c r="BZ53" s="505"/>
      <c r="CA53" s="505"/>
      <c r="CB53" s="505"/>
      <c r="CC53" s="505"/>
      <c r="CD53" s="505"/>
      <c r="CE53" s="505"/>
      <c r="CF53" s="505"/>
      <c r="CG53" s="505"/>
      <c r="CH53" s="505"/>
      <c r="CI53" s="505"/>
      <c r="CJ53" s="505"/>
      <c r="CK53" s="505"/>
      <c r="CL53" s="505"/>
      <c r="CM53" s="505"/>
      <c r="CN53" s="505"/>
      <c r="CO53" s="505"/>
      <c r="CP53" s="505"/>
      <c r="CQ53" s="505"/>
      <c r="CR53" s="505"/>
      <c r="CS53" s="505"/>
      <c r="CT53" s="505"/>
      <c r="CU53" s="505"/>
      <c r="CV53" s="505"/>
      <c r="CW53" s="505"/>
      <c r="CX53" s="505"/>
      <c r="CY53" s="505"/>
      <c r="CZ53" s="505"/>
      <c r="DA53" s="505"/>
      <c r="DB53" s="505"/>
      <c r="DC53" s="505"/>
      <c r="DD53" s="505"/>
      <c r="DE53" s="505"/>
      <c r="DF53" s="505"/>
      <c r="DG53" s="505"/>
      <c r="DH53" s="505"/>
      <c r="DI53" s="505"/>
      <c r="DJ53" s="505"/>
      <c r="DK53" s="505"/>
      <c r="DL53" s="505"/>
      <c r="DM53" s="505"/>
      <c r="DN53" s="505"/>
      <c r="DO53" s="505"/>
      <c r="DP53" s="505"/>
    </row>
    <row r="54" spans="1:120" hidden="1" outlineLevel="1" x14ac:dyDescent="0.2">
      <c r="A54" s="517">
        <f t="shared" si="3"/>
        <v>36861</v>
      </c>
      <c r="B54" s="517" t="str">
        <f t="shared" si="0"/>
        <v>4Q00</v>
      </c>
      <c r="C54" s="517" t="str">
        <f t="shared" si="4"/>
        <v>1Q01</v>
      </c>
      <c r="D54" s="518">
        <f t="shared" si="5"/>
        <v>36931</v>
      </c>
      <c r="E54" s="518">
        <f t="shared" si="5"/>
        <v>36871</v>
      </c>
      <c r="F54" s="520">
        <v>1.577</v>
      </c>
      <c r="G54" s="521">
        <f t="shared" si="1"/>
        <v>0.09</v>
      </c>
      <c r="H54" s="521">
        <f t="shared" si="2"/>
        <v>0.08</v>
      </c>
      <c r="I54" s="521">
        <f t="shared" si="8"/>
        <v>3.5999999999999948</v>
      </c>
      <c r="J54" s="521">
        <f t="shared" si="6"/>
        <v>3.6499999999999946</v>
      </c>
      <c r="K54" s="521">
        <f t="shared" si="9"/>
        <v>0.50000000000000022</v>
      </c>
      <c r="L54" s="505"/>
      <c r="M54" s="528"/>
      <c r="N54" s="505"/>
      <c r="O54" s="505"/>
      <c r="P54" s="505"/>
      <c r="Q54" s="505"/>
      <c r="R54" s="505"/>
      <c r="S54" s="505"/>
      <c r="T54" s="505"/>
      <c r="U54" s="505"/>
      <c r="V54" s="505"/>
      <c r="W54" s="505"/>
      <c r="X54" s="505"/>
      <c r="Y54" s="505"/>
      <c r="Z54" s="505"/>
      <c r="AA54" s="505"/>
      <c r="AB54" s="505"/>
      <c r="AC54" s="505"/>
      <c r="AD54" s="505"/>
      <c r="AE54" s="505"/>
      <c r="AF54" s="505"/>
      <c r="AG54" s="505"/>
      <c r="AH54" s="505"/>
      <c r="AI54" s="505"/>
      <c r="AJ54" s="505"/>
      <c r="AK54" s="505"/>
      <c r="AL54" s="505"/>
      <c r="AM54" s="505"/>
      <c r="AN54" s="505"/>
      <c r="AO54" s="505"/>
      <c r="AP54" s="505"/>
      <c r="AQ54" s="505"/>
      <c r="AR54" s="505"/>
      <c r="AS54" s="505"/>
      <c r="AT54" s="505"/>
      <c r="AU54" s="505"/>
      <c r="AV54" s="505"/>
      <c r="AW54" s="505"/>
      <c r="AX54" s="505"/>
      <c r="AY54" s="505"/>
      <c r="AZ54" s="505"/>
      <c r="BA54" s="505"/>
      <c r="BB54" s="505"/>
      <c r="BC54" s="505"/>
      <c r="BD54" s="505"/>
      <c r="BE54" s="505"/>
      <c r="BF54" s="505"/>
      <c r="BG54" s="505"/>
      <c r="BH54" s="505"/>
      <c r="BI54" s="505"/>
      <c r="BJ54" s="505"/>
      <c r="BK54" s="505"/>
      <c r="BL54" s="505"/>
      <c r="BM54" s="505"/>
      <c r="BN54" s="505"/>
      <c r="BO54" s="505"/>
      <c r="BP54" s="505"/>
      <c r="BQ54" s="505"/>
      <c r="BR54" s="505"/>
      <c r="BS54" s="505"/>
      <c r="BT54" s="505"/>
      <c r="BU54" s="505"/>
      <c r="BV54" s="505"/>
      <c r="BW54" s="505"/>
      <c r="BX54" s="505"/>
      <c r="BY54" s="505"/>
      <c r="BZ54" s="505"/>
      <c r="CA54" s="505"/>
      <c r="CB54" s="505"/>
      <c r="CC54" s="505"/>
      <c r="CD54" s="505"/>
      <c r="CE54" s="505"/>
      <c r="CF54" s="505"/>
      <c r="CG54" s="505"/>
      <c r="CH54" s="505"/>
      <c r="CI54" s="505"/>
      <c r="CJ54" s="505"/>
      <c r="CK54" s="505"/>
      <c r="CL54" s="505"/>
      <c r="CM54" s="505"/>
      <c r="CN54" s="505"/>
      <c r="CO54" s="505"/>
      <c r="CP54" s="505"/>
      <c r="CQ54" s="505"/>
      <c r="CR54" s="505"/>
      <c r="CS54" s="505"/>
      <c r="CT54" s="505"/>
      <c r="CU54" s="505"/>
      <c r="CV54" s="505"/>
      <c r="CW54" s="505"/>
      <c r="CX54" s="505"/>
      <c r="CY54" s="505"/>
      <c r="CZ54" s="505"/>
      <c r="DA54" s="505"/>
      <c r="DB54" s="505"/>
      <c r="DC54" s="505"/>
      <c r="DD54" s="505"/>
      <c r="DE54" s="505"/>
      <c r="DF54" s="505"/>
      <c r="DG54" s="505"/>
      <c r="DH54" s="505"/>
      <c r="DI54" s="505"/>
      <c r="DJ54" s="505"/>
      <c r="DK54" s="505"/>
      <c r="DL54" s="505"/>
      <c r="DM54" s="505"/>
      <c r="DN54" s="505"/>
      <c r="DO54" s="505"/>
      <c r="DP54" s="505"/>
    </row>
    <row r="55" spans="1:120" hidden="1" outlineLevel="1" x14ac:dyDescent="0.2">
      <c r="A55" s="517">
        <f t="shared" si="3"/>
        <v>36861</v>
      </c>
      <c r="B55" s="517" t="str">
        <f t="shared" si="0"/>
        <v>4Q00</v>
      </c>
      <c r="C55" s="517" t="str">
        <f t="shared" si="4"/>
        <v>1Q01</v>
      </c>
      <c r="D55" s="518">
        <f t="shared" si="5"/>
        <v>36938</v>
      </c>
      <c r="E55" s="518">
        <f t="shared" si="5"/>
        <v>36878</v>
      </c>
      <c r="F55" s="520">
        <v>1.5449999999999999</v>
      </c>
      <c r="G55" s="521">
        <f t="shared" si="1"/>
        <v>0.08</v>
      </c>
      <c r="H55" s="521">
        <f t="shared" si="2"/>
        <v>0.08</v>
      </c>
      <c r="I55" s="521">
        <f t="shared" si="8"/>
        <v>3.6499999999999946</v>
      </c>
      <c r="J55" s="521">
        <f t="shared" si="6"/>
        <v>3.6999999999999944</v>
      </c>
      <c r="K55" s="521">
        <f t="shared" si="9"/>
        <v>0.51000000000000023</v>
      </c>
      <c r="L55" s="505"/>
      <c r="M55" s="528"/>
      <c r="N55" s="505"/>
      <c r="O55" s="505"/>
      <c r="P55" s="505"/>
      <c r="Q55" s="505"/>
      <c r="R55" s="505"/>
      <c r="S55" s="505"/>
      <c r="T55" s="505"/>
      <c r="U55" s="505"/>
      <c r="V55" s="505"/>
      <c r="W55" s="505"/>
      <c r="X55" s="505"/>
      <c r="Y55" s="505"/>
      <c r="Z55" s="505"/>
      <c r="AA55" s="505"/>
      <c r="AB55" s="505"/>
      <c r="AC55" s="505"/>
      <c r="AD55" s="505"/>
      <c r="AE55" s="505"/>
      <c r="AF55" s="505"/>
      <c r="AG55" s="505"/>
      <c r="AH55" s="505"/>
      <c r="AI55" s="505"/>
      <c r="AJ55" s="505"/>
      <c r="AK55" s="505"/>
      <c r="AL55" s="505"/>
      <c r="AM55" s="505"/>
      <c r="AN55" s="505"/>
      <c r="AO55" s="505"/>
      <c r="AP55" s="505"/>
      <c r="AQ55" s="505"/>
      <c r="AR55" s="505"/>
      <c r="AS55" s="505"/>
      <c r="AT55" s="505"/>
      <c r="AU55" s="505"/>
      <c r="AV55" s="505"/>
      <c r="AW55" s="505"/>
      <c r="AX55" s="505"/>
      <c r="AY55" s="505"/>
      <c r="AZ55" s="505"/>
      <c r="BA55" s="505"/>
      <c r="BB55" s="505"/>
      <c r="BC55" s="505"/>
      <c r="BD55" s="505"/>
      <c r="BE55" s="505"/>
      <c r="BF55" s="505"/>
      <c r="BG55" s="505"/>
      <c r="BH55" s="505"/>
      <c r="BI55" s="505"/>
      <c r="BJ55" s="505"/>
      <c r="BK55" s="505"/>
      <c r="BL55" s="505"/>
      <c r="BM55" s="505"/>
      <c r="BN55" s="505"/>
      <c r="BO55" s="505"/>
      <c r="BP55" s="505"/>
      <c r="BQ55" s="505"/>
      <c r="BR55" s="505"/>
      <c r="BS55" s="505"/>
      <c r="BT55" s="505"/>
      <c r="BU55" s="505"/>
      <c r="BV55" s="505"/>
      <c r="BW55" s="505"/>
      <c r="BX55" s="505"/>
      <c r="BY55" s="505"/>
      <c r="BZ55" s="505"/>
      <c r="CA55" s="505"/>
      <c r="CB55" s="505"/>
      <c r="CC55" s="505"/>
      <c r="CD55" s="505"/>
      <c r="CE55" s="505"/>
      <c r="CF55" s="505"/>
      <c r="CG55" s="505"/>
      <c r="CH55" s="505"/>
      <c r="CI55" s="505"/>
      <c r="CJ55" s="505"/>
      <c r="CK55" s="505"/>
      <c r="CL55" s="505"/>
      <c r="CM55" s="505"/>
      <c r="CN55" s="505"/>
      <c r="CO55" s="505"/>
      <c r="CP55" s="505"/>
      <c r="CQ55" s="505"/>
      <c r="CR55" s="505"/>
      <c r="CS55" s="505"/>
      <c r="CT55" s="505"/>
      <c r="CU55" s="505"/>
      <c r="CV55" s="505"/>
      <c r="CW55" s="505"/>
      <c r="CX55" s="505"/>
      <c r="CY55" s="505"/>
      <c r="CZ55" s="505"/>
      <c r="DA55" s="505"/>
      <c r="DB55" s="505"/>
      <c r="DC55" s="505"/>
      <c r="DD55" s="505"/>
      <c r="DE55" s="505"/>
      <c r="DF55" s="505"/>
      <c r="DG55" s="505"/>
      <c r="DH55" s="505"/>
      <c r="DI55" s="505"/>
      <c r="DJ55" s="505"/>
      <c r="DK55" s="505"/>
      <c r="DL55" s="505"/>
      <c r="DM55" s="505"/>
      <c r="DN55" s="505"/>
      <c r="DO55" s="505"/>
      <c r="DP55" s="505"/>
    </row>
    <row r="56" spans="1:120" hidden="1" outlineLevel="1" x14ac:dyDescent="0.2">
      <c r="A56" s="517">
        <f t="shared" si="3"/>
        <v>36861</v>
      </c>
      <c r="B56" s="517" t="str">
        <f t="shared" si="0"/>
        <v>4Q00</v>
      </c>
      <c r="C56" s="517" t="str">
        <f t="shared" si="4"/>
        <v>1Q01</v>
      </c>
      <c r="D56" s="518">
        <f t="shared" si="5"/>
        <v>36945</v>
      </c>
      <c r="E56" s="518">
        <f t="shared" si="5"/>
        <v>36885</v>
      </c>
      <c r="F56" s="520">
        <v>1.5149999999999999</v>
      </c>
      <c r="G56" s="521">
        <f t="shared" si="1"/>
        <v>0.08</v>
      </c>
      <c r="H56" s="521">
        <f t="shared" si="2"/>
        <v>0.08</v>
      </c>
      <c r="I56" s="521">
        <f t="shared" si="8"/>
        <v>3.6999999999999944</v>
      </c>
      <c r="J56" s="521">
        <f t="shared" si="6"/>
        <v>3.7499999999999942</v>
      </c>
      <c r="K56" s="521">
        <f t="shared" si="9"/>
        <v>0.52000000000000024</v>
      </c>
      <c r="L56" s="505"/>
      <c r="M56" s="528"/>
      <c r="N56" s="505"/>
      <c r="O56" s="505"/>
      <c r="P56" s="505"/>
      <c r="Q56" s="505"/>
      <c r="R56" s="505"/>
      <c r="S56" s="505"/>
      <c r="T56" s="505"/>
      <c r="U56" s="505"/>
      <c r="V56" s="505"/>
      <c r="W56" s="505"/>
      <c r="X56" s="505"/>
      <c r="Y56" s="505"/>
      <c r="Z56" s="505"/>
      <c r="AA56" s="505"/>
      <c r="AB56" s="505"/>
      <c r="AC56" s="505"/>
      <c r="AD56" s="505"/>
      <c r="AE56" s="505"/>
      <c r="AF56" s="505"/>
      <c r="AG56" s="505"/>
      <c r="AH56" s="505"/>
      <c r="AI56" s="505"/>
      <c r="AJ56" s="505"/>
      <c r="AK56" s="505"/>
      <c r="AL56" s="505"/>
      <c r="AM56" s="505"/>
      <c r="AN56" s="505"/>
      <c r="AO56" s="505"/>
      <c r="AP56" s="505"/>
      <c r="AQ56" s="505"/>
      <c r="AR56" s="505"/>
      <c r="AS56" s="505"/>
      <c r="AT56" s="505"/>
      <c r="AU56" s="505"/>
      <c r="AV56" s="505"/>
      <c r="AW56" s="505"/>
      <c r="AX56" s="505"/>
      <c r="AY56" s="505"/>
      <c r="AZ56" s="505"/>
      <c r="BA56" s="505"/>
      <c r="BB56" s="505"/>
      <c r="BC56" s="505"/>
      <c r="BD56" s="505"/>
      <c r="BE56" s="505"/>
      <c r="BF56" s="505"/>
      <c r="BG56" s="505"/>
      <c r="BH56" s="505"/>
      <c r="BI56" s="505"/>
      <c r="BJ56" s="505"/>
      <c r="BK56" s="505"/>
      <c r="BL56" s="505"/>
      <c r="BM56" s="505"/>
      <c r="BN56" s="505"/>
      <c r="BO56" s="505"/>
      <c r="BP56" s="505"/>
      <c r="BQ56" s="505"/>
      <c r="BR56" s="505"/>
      <c r="BS56" s="505"/>
      <c r="BT56" s="505"/>
      <c r="BU56" s="505"/>
      <c r="BV56" s="505"/>
      <c r="BW56" s="505"/>
      <c r="BX56" s="505"/>
      <c r="BY56" s="505"/>
      <c r="BZ56" s="505"/>
      <c r="CA56" s="505"/>
      <c r="CB56" s="505"/>
      <c r="CC56" s="505"/>
      <c r="CD56" s="505"/>
      <c r="CE56" s="505"/>
      <c r="CF56" s="505"/>
      <c r="CG56" s="505"/>
      <c r="CH56" s="505"/>
      <c r="CI56" s="505"/>
      <c r="CJ56" s="505"/>
      <c r="CK56" s="505"/>
      <c r="CL56" s="505"/>
      <c r="CM56" s="505"/>
      <c r="CN56" s="505"/>
      <c r="CO56" s="505"/>
      <c r="CP56" s="505"/>
      <c r="CQ56" s="505"/>
      <c r="CR56" s="505"/>
      <c r="CS56" s="505"/>
      <c r="CT56" s="505"/>
      <c r="CU56" s="505"/>
      <c r="CV56" s="505"/>
      <c r="CW56" s="505"/>
      <c r="CX56" s="505"/>
      <c r="CY56" s="505"/>
      <c r="CZ56" s="505"/>
      <c r="DA56" s="505"/>
      <c r="DB56" s="505"/>
      <c r="DC56" s="505"/>
      <c r="DD56" s="505"/>
      <c r="DE56" s="505"/>
      <c r="DF56" s="505"/>
      <c r="DG56" s="505"/>
      <c r="DH56" s="505"/>
      <c r="DI56" s="505"/>
      <c r="DJ56" s="505"/>
      <c r="DK56" s="505"/>
      <c r="DL56" s="505"/>
      <c r="DM56" s="505"/>
      <c r="DN56" s="505"/>
      <c r="DO56" s="505"/>
      <c r="DP56" s="505"/>
    </row>
    <row r="57" spans="1:120" hidden="1" outlineLevel="1" x14ac:dyDescent="0.2">
      <c r="A57" s="517">
        <f t="shared" si="3"/>
        <v>36892</v>
      </c>
      <c r="B57" s="517" t="str">
        <f t="shared" si="0"/>
        <v>1Q01</v>
      </c>
      <c r="C57" s="517" t="str">
        <f t="shared" si="4"/>
        <v>1Q01</v>
      </c>
      <c r="D57" s="518">
        <f t="shared" si="5"/>
        <v>36952</v>
      </c>
      <c r="E57" s="518">
        <f t="shared" si="5"/>
        <v>36892</v>
      </c>
      <c r="F57" s="520">
        <v>1.5219999999999998</v>
      </c>
      <c r="G57" s="521">
        <f t="shared" si="1"/>
        <v>0.08</v>
      </c>
      <c r="H57" s="521">
        <f t="shared" si="2"/>
        <v>0.08</v>
      </c>
      <c r="I57" s="521">
        <f t="shared" si="8"/>
        <v>3.7499999999999942</v>
      </c>
      <c r="J57" s="521">
        <f t="shared" si="6"/>
        <v>3.799999999999994</v>
      </c>
      <c r="K57" s="521">
        <f t="shared" si="9"/>
        <v>0.53000000000000025</v>
      </c>
      <c r="L57" s="505"/>
      <c r="M57" s="528"/>
      <c r="N57" s="505"/>
      <c r="O57" s="505"/>
      <c r="P57" s="505"/>
      <c r="Q57" s="505"/>
      <c r="R57" s="505"/>
      <c r="S57" s="505"/>
      <c r="T57" s="505"/>
      <c r="U57" s="505"/>
      <c r="V57" s="505"/>
      <c r="W57" s="505"/>
      <c r="X57" s="505"/>
      <c r="Y57" s="505"/>
      <c r="Z57" s="505"/>
      <c r="AA57" s="505"/>
      <c r="AB57" s="505"/>
      <c r="AC57" s="505"/>
      <c r="AD57" s="505"/>
      <c r="AE57" s="505"/>
      <c r="AF57" s="505"/>
      <c r="AG57" s="505"/>
      <c r="AH57" s="505"/>
      <c r="AI57" s="505"/>
      <c r="AJ57" s="505"/>
      <c r="AK57" s="505"/>
      <c r="AL57" s="505"/>
      <c r="AM57" s="505"/>
      <c r="AN57" s="505"/>
      <c r="AO57" s="505"/>
      <c r="AP57" s="505"/>
      <c r="AQ57" s="505"/>
      <c r="AR57" s="505"/>
      <c r="AS57" s="505"/>
      <c r="AT57" s="505"/>
      <c r="AU57" s="505"/>
      <c r="AV57" s="505"/>
      <c r="AW57" s="505"/>
      <c r="AX57" s="505"/>
      <c r="AY57" s="505"/>
      <c r="AZ57" s="505"/>
      <c r="BA57" s="505"/>
      <c r="BB57" s="505"/>
      <c r="BC57" s="505"/>
      <c r="BD57" s="505"/>
      <c r="BE57" s="505"/>
      <c r="BF57" s="505"/>
      <c r="BG57" s="505"/>
      <c r="BH57" s="505"/>
      <c r="BI57" s="505"/>
      <c r="BJ57" s="505"/>
      <c r="BK57" s="505"/>
      <c r="BL57" s="505"/>
      <c r="BM57" s="505"/>
      <c r="BN57" s="505"/>
      <c r="BO57" s="505"/>
      <c r="BP57" s="505"/>
      <c r="BQ57" s="505"/>
      <c r="BR57" s="505"/>
      <c r="BS57" s="505"/>
      <c r="BT57" s="505"/>
      <c r="BU57" s="505"/>
      <c r="BV57" s="505"/>
      <c r="BW57" s="505"/>
      <c r="BX57" s="505"/>
      <c r="BY57" s="505"/>
      <c r="BZ57" s="505"/>
      <c r="CA57" s="505"/>
      <c r="CB57" s="505"/>
      <c r="CC57" s="505"/>
      <c r="CD57" s="505"/>
      <c r="CE57" s="505"/>
      <c r="CF57" s="505"/>
      <c r="CG57" s="505"/>
      <c r="CH57" s="505"/>
      <c r="CI57" s="505"/>
      <c r="CJ57" s="505"/>
      <c r="CK57" s="505"/>
      <c r="CL57" s="505"/>
      <c r="CM57" s="505"/>
      <c r="CN57" s="505"/>
      <c r="CO57" s="505"/>
      <c r="CP57" s="505"/>
      <c r="CQ57" s="505"/>
      <c r="CR57" s="505"/>
      <c r="CS57" s="505"/>
      <c r="CT57" s="505"/>
      <c r="CU57" s="505"/>
      <c r="CV57" s="505"/>
      <c r="CW57" s="505"/>
      <c r="CX57" s="505"/>
      <c r="CY57" s="505"/>
      <c r="CZ57" s="505"/>
      <c r="DA57" s="505"/>
      <c r="DB57" s="505"/>
      <c r="DC57" s="505"/>
      <c r="DD57" s="505"/>
      <c r="DE57" s="505"/>
      <c r="DF57" s="505"/>
      <c r="DG57" s="505"/>
      <c r="DH57" s="505"/>
      <c r="DI57" s="505"/>
      <c r="DJ57" s="505"/>
      <c r="DK57" s="505"/>
      <c r="DL57" s="505"/>
      <c r="DM57" s="505"/>
      <c r="DN57" s="505"/>
      <c r="DO57" s="505"/>
      <c r="DP57" s="505"/>
    </row>
    <row r="58" spans="1:120" hidden="1" outlineLevel="1" x14ac:dyDescent="0.2">
      <c r="A58" s="517">
        <f t="shared" si="3"/>
        <v>36892</v>
      </c>
      <c r="B58" s="517" t="str">
        <f t="shared" si="0"/>
        <v>1Q01</v>
      </c>
      <c r="C58" s="517" t="str">
        <f t="shared" si="4"/>
        <v>1Q01</v>
      </c>
      <c r="D58" s="518">
        <f t="shared" si="5"/>
        <v>36959</v>
      </c>
      <c r="E58" s="518">
        <f t="shared" si="5"/>
        <v>36899</v>
      </c>
      <c r="F58" s="520">
        <v>1.52</v>
      </c>
      <c r="G58" s="521">
        <f t="shared" si="1"/>
        <v>0.08</v>
      </c>
      <c r="H58" s="521">
        <f t="shared" si="2"/>
        <v>0.08</v>
      </c>
      <c r="I58" s="521">
        <f t="shared" si="8"/>
        <v>3.799999999999994</v>
      </c>
      <c r="J58" s="521">
        <f t="shared" si="6"/>
        <v>3.8499999999999939</v>
      </c>
      <c r="K58" s="521">
        <f t="shared" si="9"/>
        <v>0.54000000000000026</v>
      </c>
      <c r="L58" s="505"/>
      <c r="M58" s="528"/>
      <c r="N58" s="505"/>
      <c r="O58" s="505"/>
      <c r="P58" s="505"/>
      <c r="Q58" s="505"/>
      <c r="R58" s="505"/>
      <c r="S58" s="505"/>
      <c r="T58" s="505"/>
      <c r="U58" s="505"/>
      <c r="V58" s="505"/>
      <c r="W58" s="505"/>
      <c r="X58" s="505"/>
      <c r="Y58" s="505"/>
      <c r="Z58" s="505"/>
      <c r="AA58" s="505"/>
      <c r="AB58" s="505"/>
      <c r="AC58" s="505"/>
      <c r="AD58" s="505"/>
      <c r="AE58" s="505"/>
      <c r="AF58" s="505"/>
      <c r="AG58" s="505"/>
      <c r="AH58" s="505"/>
      <c r="AI58" s="505"/>
      <c r="AJ58" s="505"/>
      <c r="AK58" s="505"/>
      <c r="AL58" s="505"/>
      <c r="AM58" s="505"/>
      <c r="AN58" s="505"/>
      <c r="AO58" s="505"/>
      <c r="AP58" s="505"/>
      <c r="AQ58" s="505"/>
      <c r="AR58" s="505"/>
      <c r="AS58" s="505"/>
      <c r="AT58" s="505"/>
      <c r="AU58" s="505"/>
      <c r="AV58" s="505"/>
      <c r="AW58" s="505"/>
      <c r="AX58" s="505"/>
      <c r="AY58" s="505"/>
      <c r="AZ58" s="505"/>
      <c r="BA58" s="505"/>
      <c r="BB58" s="505"/>
      <c r="BC58" s="505"/>
      <c r="BD58" s="505"/>
      <c r="BE58" s="505"/>
      <c r="BF58" s="505"/>
      <c r="BG58" s="505"/>
      <c r="BH58" s="505"/>
      <c r="BI58" s="505"/>
      <c r="BJ58" s="505"/>
      <c r="BK58" s="505"/>
      <c r="BL58" s="505"/>
      <c r="BM58" s="505"/>
      <c r="BN58" s="505"/>
      <c r="BO58" s="505"/>
      <c r="BP58" s="505"/>
      <c r="BQ58" s="505"/>
      <c r="BR58" s="505"/>
      <c r="BS58" s="505"/>
      <c r="BT58" s="505"/>
      <c r="BU58" s="505"/>
      <c r="BV58" s="505"/>
      <c r="BW58" s="505"/>
      <c r="BX58" s="505"/>
      <c r="BY58" s="505"/>
      <c r="BZ58" s="505"/>
      <c r="CA58" s="505"/>
      <c r="CB58" s="505"/>
      <c r="CC58" s="505"/>
      <c r="CD58" s="505"/>
      <c r="CE58" s="505"/>
      <c r="CF58" s="505"/>
      <c r="CG58" s="505"/>
      <c r="CH58" s="505"/>
      <c r="CI58" s="505"/>
      <c r="CJ58" s="505"/>
      <c r="CK58" s="505"/>
      <c r="CL58" s="505"/>
      <c r="CM58" s="505"/>
      <c r="CN58" s="505"/>
      <c r="CO58" s="505"/>
      <c r="CP58" s="505"/>
      <c r="CQ58" s="505"/>
      <c r="CR58" s="505"/>
      <c r="CS58" s="505"/>
      <c r="CT58" s="505"/>
      <c r="CU58" s="505"/>
      <c r="CV58" s="505"/>
      <c r="CW58" s="505"/>
      <c r="CX58" s="505"/>
      <c r="CY58" s="505"/>
      <c r="CZ58" s="505"/>
      <c r="DA58" s="505"/>
      <c r="DB58" s="505"/>
      <c r="DC58" s="505"/>
      <c r="DD58" s="505"/>
      <c r="DE58" s="505"/>
      <c r="DF58" s="505"/>
      <c r="DG58" s="505"/>
      <c r="DH58" s="505"/>
      <c r="DI58" s="505"/>
      <c r="DJ58" s="505"/>
      <c r="DK58" s="505"/>
      <c r="DL58" s="505"/>
      <c r="DM58" s="505"/>
      <c r="DN58" s="505"/>
      <c r="DO58" s="505"/>
      <c r="DP58" s="505"/>
    </row>
    <row r="59" spans="1:120" hidden="1" outlineLevel="1" x14ac:dyDescent="0.2">
      <c r="A59" s="517">
        <f t="shared" si="3"/>
        <v>36892</v>
      </c>
      <c r="B59" s="517" t="str">
        <f t="shared" si="0"/>
        <v>1Q01</v>
      </c>
      <c r="C59" s="517" t="str">
        <f t="shared" si="4"/>
        <v>1Q01</v>
      </c>
      <c r="D59" s="518">
        <f t="shared" si="5"/>
        <v>36966</v>
      </c>
      <c r="E59" s="518">
        <f t="shared" si="5"/>
        <v>36906</v>
      </c>
      <c r="F59" s="520">
        <v>1.5090000000000001</v>
      </c>
      <c r="G59" s="521">
        <f t="shared" si="1"/>
        <v>0.08</v>
      </c>
      <c r="H59" s="521">
        <f t="shared" si="2"/>
        <v>0.08</v>
      </c>
      <c r="I59" s="521">
        <f t="shared" si="8"/>
        <v>3.8499999999999939</v>
      </c>
      <c r="J59" s="521">
        <f t="shared" si="6"/>
        <v>3.8999999999999937</v>
      </c>
      <c r="K59" s="521">
        <f t="shared" si="9"/>
        <v>0.55000000000000027</v>
      </c>
      <c r="L59" s="505"/>
      <c r="M59" s="528"/>
      <c r="N59" s="505"/>
      <c r="O59" s="505"/>
      <c r="P59" s="505"/>
      <c r="Q59" s="505"/>
      <c r="R59" s="505"/>
      <c r="S59" s="505"/>
      <c r="T59" s="505"/>
      <c r="U59" s="505"/>
      <c r="V59" s="505"/>
      <c r="W59" s="505"/>
      <c r="X59" s="505"/>
      <c r="Y59" s="505"/>
      <c r="Z59" s="505"/>
      <c r="AA59" s="505"/>
      <c r="AB59" s="505"/>
      <c r="AC59" s="505"/>
      <c r="AD59" s="505"/>
      <c r="AE59" s="505"/>
      <c r="AF59" s="505"/>
      <c r="AG59" s="505"/>
      <c r="AH59" s="505"/>
      <c r="AI59" s="505"/>
      <c r="AJ59" s="505"/>
      <c r="AK59" s="505"/>
      <c r="AL59" s="505"/>
      <c r="AM59" s="505"/>
      <c r="AN59" s="505"/>
      <c r="AO59" s="505"/>
      <c r="AP59" s="505"/>
      <c r="AQ59" s="505"/>
      <c r="AR59" s="505"/>
      <c r="AS59" s="505"/>
      <c r="AT59" s="505"/>
      <c r="AU59" s="505"/>
      <c r="AV59" s="505"/>
      <c r="AW59" s="505"/>
      <c r="AX59" s="505"/>
      <c r="AY59" s="505"/>
      <c r="AZ59" s="505"/>
      <c r="BA59" s="505"/>
      <c r="BB59" s="505"/>
      <c r="BC59" s="505"/>
      <c r="BD59" s="505"/>
      <c r="BE59" s="505"/>
      <c r="BF59" s="505"/>
      <c r="BG59" s="505"/>
      <c r="BH59" s="505"/>
      <c r="BI59" s="505"/>
      <c r="BJ59" s="505"/>
      <c r="BK59" s="505"/>
      <c r="BL59" s="505"/>
      <c r="BM59" s="505"/>
      <c r="BN59" s="505"/>
      <c r="BO59" s="505"/>
      <c r="BP59" s="505"/>
      <c r="BQ59" s="505"/>
      <c r="BR59" s="505"/>
      <c r="BS59" s="505"/>
      <c r="BT59" s="505"/>
      <c r="BU59" s="505"/>
      <c r="BV59" s="505"/>
      <c r="BW59" s="505"/>
      <c r="BX59" s="505"/>
      <c r="BY59" s="505"/>
      <c r="BZ59" s="505"/>
      <c r="CA59" s="505"/>
      <c r="CB59" s="505"/>
      <c r="CC59" s="505"/>
      <c r="CD59" s="505"/>
      <c r="CE59" s="505"/>
      <c r="CF59" s="505"/>
      <c r="CG59" s="505"/>
      <c r="CH59" s="505"/>
      <c r="CI59" s="505"/>
      <c r="CJ59" s="505"/>
      <c r="CK59" s="505"/>
      <c r="CL59" s="505"/>
      <c r="CM59" s="505"/>
      <c r="CN59" s="505"/>
      <c r="CO59" s="505"/>
      <c r="CP59" s="505"/>
      <c r="CQ59" s="505"/>
      <c r="CR59" s="505"/>
      <c r="CS59" s="505"/>
      <c r="CT59" s="505"/>
      <c r="CU59" s="505"/>
      <c r="CV59" s="505"/>
      <c r="CW59" s="505"/>
      <c r="CX59" s="505"/>
      <c r="CY59" s="505"/>
      <c r="CZ59" s="505"/>
      <c r="DA59" s="505"/>
      <c r="DB59" s="505"/>
      <c r="DC59" s="505"/>
      <c r="DD59" s="505"/>
      <c r="DE59" s="505"/>
      <c r="DF59" s="505"/>
      <c r="DG59" s="505"/>
      <c r="DH59" s="505"/>
      <c r="DI59" s="505"/>
      <c r="DJ59" s="505"/>
      <c r="DK59" s="505"/>
      <c r="DL59" s="505"/>
      <c r="DM59" s="505"/>
      <c r="DN59" s="505"/>
      <c r="DO59" s="505"/>
      <c r="DP59" s="505"/>
    </row>
    <row r="60" spans="1:120" hidden="1" outlineLevel="1" x14ac:dyDescent="0.2">
      <c r="A60" s="517">
        <f t="shared" si="3"/>
        <v>36892</v>
      </c>
      <c r="B60" s="517" t="str">
        <f t="shared" si="0"/>
        <v>1Q01</v>
      </c>
      <c r="C60" s="517" t="str">
        <f t="shared" si="4"/>
        <v>1Q01</v>
      </c>
      <c r="D60" s="518">
        <f t="shared" si="5"/>
        <v>36973</v>
      </c>
      <c r="E60" s="518">
        <f t="shared" si="5"/>
        <v>36913</v>
      </c>
      <c r="F60" s="520">
        <v>1.528</v>
      </c>
      <c r="G60" s="521">
        <f t="shared" si="1"/>
        <v>0.08</v>
      </c>
      <c r="H60" s="521">
        <f t="shared" si="2"/>
        <v>0.08</v>
      </c>
      <c r="I60" s="521">
        <f t="shared" si="8"/>
        <v>3.8999999999999937</v>
      </c>
      <c r="J60" s="521">
        <f t="shared" si="6"/>
        <v>3.9499999999999935</v>
      </c>
      <c r="K60" s="521">
        <f t="shared" si="9"/>
        <v>0.56000000000000028</v>
      </c>
      <c r="L60" s="505"/>
      <c r="M60" s="528"/>
      <c r="N60" s="505"/>
      <c r="O60" s="505"/>
      <c r="P60" s="505"/>
      <c r="Q60" s="505"/>
      <c r="R60" s="505"/>
      <c r="S60" s="505"/>
      <c r="T60" s="505"/>
      <c r="U60" s="505"/>
      <c r="V60" s="505"/>
      <c r="W60" s="505"/>
      <c r="X60" s="505"/>
      <c r="Y60" s="505"/>
      <c r="Z60" s="505"/>
      <c r="AA60" s="505"/>
      <c r="AB60" s="505"/>
      <c r="AC60" s="505"/>
      <c r="AD60" s="505"/>
      <c r="AE60" s="505"/>
      <c r="AF60" s="505"/>
      <c r="AG60" s="505"/>
      <c r="AH60" s="505"/>
      <c r="AI60" s="505"/>
      <c r="AJ60" s="505"/>
      <c r="AK60" s="505"/>
      <c r="AL60" s="505"/>
      <c r="AM60" s="505"/>
      <c r="AN60" s="505"/>
      <c r="AO60" s="505"/>
      <c r="AP60" s="505"/>
      <c r="AQ60" s="505"/>
      <c r="AR60" s="505"/>
      <c r="AS60" s="505"/>
      <c r="AT60" s="505"/>
      <c r="AU60" s="505"/>
      <c r="AV60" s="505"/>
      <c r="AW60" s="505"/>
      <c r="AX60" s="505"/>
      <c r="AY60" s="505"/>
      <c r="AZ60" s="505"/>
      <c r="BA60" s="505"/>
      <c r="BB60" s="505"/>
      <c r="BC60" s="505"/>
      <c r="BD60" s="505"/>
      <c r="BE60" s="505"/>
      <c r="BF60" s="505"/>
      <c r="BG60" s="505"/>
      <c r="BH60" s="505"/>
      <c r="BI60" s="505"/>
      <c r="BJ60" s="505"/>
      <c r="BK60" s="505"/>
      <c r="BL60" s="505"/>
      <c r="BM60" s="505"/>
      <c r="BN60" s="505"/>
      <c r="BO60" s="505"/>
      <c r="BP60" s="505"/>
      <c r="BQ60" s="505"/>
      <c r="BR60" s="505"/>
      <c r="BS60" s="505"/>
      <c r="BT60" s="505"/>
      <c r="BU60" s="505"/>
      <c r="BV60" s="505"/>
      <c r="BW60" s="505"/>
      <c r="BX60" s="505"/>
      <c r="BY60" s="505"/>
      <c r="BZ60" s="505"/>
      <c r="CA60" s="505"/>
      <c r="CB60" s="505"/>
      <c r="CC60" s="505"/>
      <c r="CD60" s="505"/>
      <c r="CE60" s="505"/>
      <c r="CF60" s="505"/>
      <c r="CG60" s="505"/>
      <c r="CH60" s="505"/>
      <c r="CI60" s="505"/>
      <c r="CJ60" s="505"/>
      <c r="CK60" s="505"/>
      <c r="CL60" s="505"/>
      <c r="CM60" s="505"/>
      <c r="CN60" s="505"/>
      <c r="CO60" s="505"/>
      <c r="CP60" s="505"/>
      <c r="CQ60" s="505"/>
      <c r="CR60" s="505"/>
      <c r="CS60" s="505"/>
      <c r="CT60" s="505"/>
      <c r="CU60" s="505"/>
      <c r="CV60" s="505"/>
      <c r="CW60" s="505"/>
      <c r="CX60" s="505"/>
      <c r="CY60" s="505"/>
      <c r="CZ60" s="505"/>
      <c r="DA60" s="505"/>
      <c r="DB60" s="505"/>
      <c r="DC60" s="505"/>
      <c r="DD60" s="505"/>
      <c r="DE60" s="505"/>
      <c r="DF60" s="505"/>
      <c r="DG60" s="505"/>
      <c r="DH60" s="505"/>
      <c r="DI60" s="505"/>
      <c r="DJ60" s="505"/>
      <c r="DK60" s="505"/>
      <c r="DL60" s="505"/>
      <c r="DM60" s="505"/>
      <c r="DN60" s="505"/>
      <c r="DO60" s="505"/>
      <c r="DP60" s="505"/>
    </row>
    <row r="61" spans="1:120" hidden="1" outlineLevel="1" x14ac:dyDescent="0.2">
      <c r="A61" s="517">
        <f t="shared" si="3"/>
        <v>36892</v>
      </c>
      <c r="B61" s="517" t="str">
        <f t="shared" si="0"/>
        <v>1Q01</v>
      </c>
      <c r="C61" s="517" t="str">
        <f t="shared" si="4"/>
        <v>1Q01</v>
      </c>
      <c r="D61" s="518">
        <f t="shared" si="5"/>
        <v>36980</v>
      </c>
      <c r="E61" s="518">
        <f t="shared" si="5"/>
        <v>36920</v>
      </c>
      <c r="F61" s="520">
        <v>1.5390000000000001</v>
      </c>
      <c r="G61" s="521">
        <f t="shared" si="1"/>
        <v>0.08</v>
      </c>
      <c r="H61" s="521">
        <f t="shared" si="2"/>
        <v>0.08</v>
      </c>
      <c r="I61" s="521">
        <f t="shared" si="8"/>
        <v>3.9499999999999935</v>
      </c>
      <c r="J61" s="521">
        <f t="shared" si="6"/>
        <v>3.9999999999999933</v>
      </c>
      <c r="K61" s="521">
        <f t="shared" si="9"/>
        <v>0.57000000000000028</v>
      </c>
      <c r="L61" s="505"/>
      <c r="M61" s="528"/>
      <c r="N61" s="505"/>
      <c r="O61" s="505"/>
      <c r="P61" s="505"/>
      <c r="Q61" s="505"/>
      <c r="R61" s="505"/>
      <c r="S61" s="505"/>
      <c r="T61" s="505"/>
      <c r="U61" s="505"/>
      <c r="V61" s="505"/>
      <c r="W61" s="505"/>
      <c r="X61" s="505"/>
      <c r="Y61" s="505"/>
      <c r="Z61" s="505"/>
      <c r="AA61" s="505"/>
      <c r="AB61" s="505"/>
      <c r="AC61" s="505"/>
      <c r="AD61" s="505"/>
      <c r="AE61" s="505"/>
      <c r="AF61" s="505"/>
      <c r="AG61" s="505"/>
      <c r="AH61" s="505"/>
      <c r="AI61" s="505"/>
      <c r="AJ61" s="505"/>
      <c r="AK61" s="505"/>
      <c r="AL61" s="505"/>
      <c r="AM61" s="505"/>
      <c r="AN61" s="505"/>
      <c r="AO61" s="505"/>
      <c r="AP61" s="505"/>
      <c r="AQ61" s="505"/>
      <c r="AR61" s="505"/>
      <c r="AS61" s="505"/>
      <c r="AT61" s="505"/>
      <c r="AU61" s="505"/>
      <c r="AV61" s="505"/>
      <c r="AW61" s="505"/>
      <c r="AX61" s="505"/>
      <c r="AY61" s="505"/>
      <c r="AZ61" s="505"/>
      <c r="BA61" s="505"/>
      <c r="BB61" s="505"/>
      <c r="BC61" s="505"/>
      <c r="BD61" s="505"/>
      <c r="BE61" s="505"/>
      <c r="BF61" s="505"/>
      <c r="BG61" s="505"/>
      <c r="BH61" s="505"/>
      <c r="BI61" s="505"/>
      <c r="BJ61" s="505"/>
      <c r="BK61" s="505"/>
      <c r="BL61" s="505"/>
      <c r="BM61" s="505"/>
      <c r="BN61" s="505"/>
      <c r="BO61" s="505"/>
      <c r="BP61" s="505"/>
      <c r="BQ61" s="505"/>
      <c r="BR61" s="505"/>
      <c r="BS61" s="505"/>
      <c r="BT61" s="505"/>
      <c r="BU61" s="505"/>
      <c r="BV61" s="505"/>
      <c r="BW61" s="505"/>
      <c r="BX61" s="505"/>
      <c r="BY61" s="505"/>
      <c r="BZ61" s="505"/>
      <c r="CA61" s="505"/>
      <c r="CB61" s="505"/>
      <c r="CC61" s="505"/>
      <c r="CD61" s="505"/>
      <c r="CE61" s="505"/>
      <c r="CF61" s="505"/>
      <c r="CG61" s="505"/>
      <c r="CH61" s="505"/>
      <c r="CI61" s="505"/>
      <c r="CJ61" s="505"/>
      <c r="CK61" s="505"/>
      <c r="CL61" s="505"/>
      <c r="CM61" s="505"/>
      <c r="CN61" s="505"/>
      <c r="CO61" s="505"/>
      <c r="CP61" s="505"/>
      <c r="CQ61" s="505"/>
      <c r="CR61" s="505"/>
      <c r="CS61" s="505"/>
      <c r="CT61" s="505"/>
      <c r="CU61" s="505"/>
      <c r="CV61" s="505"/>
      <c r="CW61" s="505"/>
      <c r="CX61" s="505"/>
      <c r="CY61" s="505"/>
      <c r="CZ61" s="505"/>
      <c r="DA61" s="505"/>
      <c r="DB61" s="505"/>
      <c r="DC61" s="505"/>
      <c r="DD61" s="505"/>
      <c r="DE61" s="505"/>
      <c r="DF61" s="505"/>
      <c r="DG61" s="505"/>
      <c r="DH61" s="505"/>
      <c r="DI61" s="505"/>
      <c r="DJ61" s="505"/>
      <c r="DK61" s="505"/>
      <c r="DL61" s="505"/>
      <c r="DM61" s="505"/>
      <c r="DN61" s="505"/>
      <c r="DO61" s="505"/>
      <c r="DP61" s="505"/>
    </row>
    <row r="62" spans="1:120" hidden="1" outlineLevel="1" x14ac:dyDescent="0.2">
      <c r="A62" s="517">
        <f t="shared" si="3"/>
        <v>36923</v>
      </c>
      <c r="B62" s="517" t="str">
        <f t="shared" si="0"/>
        <v>1Q01</v>
      </c>
      <c r="C62" s="517" t="str">
        <f t="shared" si="4"/>
        <v>2Q01</v>
      </c>
      <c r="D62" s="518">
        <f t="shared" si="5"/>
        <v>36987</v>
      </c>
      <c r="E62" s="518">
        <f t="shared" si="5"/>
        <v>36927</v>
      </c>
      <c r="F62" s="520">
        <v>1.52</v>
      </c>
      <c r="G62" s="521">
        <f t="shared" si="1"/>
        <v>0.08</v>
      </c>
      <c r="H62" s="521">
        <f t="shared" si="2"/>
        <v>0.08</v>
      </c>
      <c r="I62" s="521">
        <f t="shared" si="8"/>
        <v>3.9999999999999933</v>
      </c>
      <c r="J62" s="521">
        <f t="shared" si="6"/>
        <v>4.0499999999999936</v>
      </c>
      <c r="K62" s="521">
        <f t="shared" si="9"/>
        <v>0.58000000000000029</v>
      </c>
      <c r="L62" s="505"/>
      <c r="M62" s="528"/>
      <c r="N62" s="505"/>
      <c r="O62" s="505"/>
      <c r="P62" s="505"/>
      <c r="Q62" s="505"/>
      <c r="R62" s="505"/>
      <c r="S62" s="505"/>
      <c r="T62" s="505"/>
      <c r="U62" s="505"/>
      <c r="V62" s="505"/>
      <c r="W62" s="505"/>
      <c r="X62" s="505"/>
      <c r="Y62" s="505"/>
      <c r="Z62" s="505"/>
      <c r="AA62" s="505"/>
      <c r="AB62" s="505"/>
      <c r="AC62" s="505"/>
      <c r="AD62" s="505"/>
      <c r="AE62" s="505"/>
      <c r="AF62" s="505"/>
      <c r="AG62" s="505"/>
      <c r="AH62" s="505"/>
      <c r="AI62" s="505"/>
      <c r="AJ62" s="505"/>
      <c r="AK62" s="505"/>
      <c r="AL62" s="505"/>
      <c r="AM62" s="505"/>
      <c r="AN62" s="505"/>
      <c r="AO62" s="505"/>
      <c r="AP62" s="505"/>
      <c r="AQ62" s="505"/>
      <c r="AR62" s="505"/>
      <c r="AS62" s="505"/>
      <c r="AT62" s="505"/>
      <c r="AU62" s="505"/>
      <c r="AV62" s="505"/>
      <c r="AW62" s="505"/>
      <c r="AX62" s="505"/>
      <c r="AY62" s="505"/>
      <c r="AZ62" s="505"/>
      <c r="BA62" s="505"/>
      <c r="BB62" s="505"/>
      <c r="BC62" s="505"/>
      <c r="BD62" s="505"/>
      <c r="BE62" s="505"/>
      <c r="BF62" s="505"/>
      <c r="BG62" s="505"/>
      <c r="BH62" s="505"/>
      <c r="BI62" s="505"/>
      <c r="BJ62" s="505"/>
      <c r="BK62" s="505"/>
      <c r="BL62" s="505"/>
      <c r="BM62" s="505"/>
      <c r="BN62" s="505"/>
      <c r="BO62" s="505"/>
      <c r="BP62" s="505"/>
      <c r="BQ62" s="505"/>
      <c r="BR62" s="505"/>
      <c r="BS62" s="505"/>
      <c r="BT62" s="505"/>
      <c r="BU62" s="505"/>
      <c r="BV62" s="505"/>
      <c r="BW62" s="505"/>
      <c r="BX62" s="505"/>
      <c r="BY62" s="505"/>
      <c r="BZ62" s="505"/>
      <c r="CA62" s="505"/>
      <c r="CB62" s="505"/>
      <c r="CC62" s="505"/>
      <c r="CD62" s="505"/>
      <c r="CE62" s="505"/>
      <c r="CF62" s="505"/>
      <c r="CG62" s="505"/>
      <c r="CH62" s="505"/>
      <c r="CI62" s="505"/>
      <c r="CJ62" s="505"/>
      <c r="CK62" s="505"/>
      <c r="CL62" s="505"/>
      <c r="CM62" s="505"/>
      <c r="CN62" s="505"/>
      <c r="CO62" s="505"/>
      <c r="CP62" s="505"/>
      <c r="CQ62" s="505"/>
      <c r="CR62" s="505"/>
      <c r="CS62" s="505"/>
      <c r="CT62" s="505"/>
      <c r="CU62" s="505"/>
      <c r="CV62" s="505"/>
      <c r="CW62" s="505"/>
      <c r="CX62" s="505"/>
      <c r="CY62" s="505"/>
      <c r="CZ62" s="505"/>
      <c r="DA62" s="505"/>
      <c r="DB62" s="505"/>
      <c r="DC62" s="505"/>
      <c r="DD62" s="505"/>
      <c r="DE62" s="505"/>
      <c r="DF62" s="505"/>
      <c r="DG62" s="505"/>
      <c r="DH62" s="505"/>
      <c r="DI62" s="505"/>
      <c r="DJ62" s="505"/>
      <c r="DK62" s="505"/>
      <c r="DL62" s="505"/>
      <c r="DM62" s="505"/>
      <c r="DN62" s="505"/>
      <c r="DO62" s="505"/>
      <c r="DP62" s="505"/>
    </row>
    <row r="63" spans="1:120" hidden="1" outlineLevel="1" x14ac:dyDescent="0.2">
      <c r="A63" s="517">
        <f t="shared" si="3"/>
        <v>36923</v>
      </c>
      <c r="B63" s="517" t="str">
        <f t="shared" si="0"/>
        <v>1Q01</v>
      </c>
      <c r="C63" s="517" t="str">
        <f t="shared" si="4"/>
        <v>2Q01</v>
      </c>
      <c r="D63" s="518">
        <f t="shared" si="5"/>
        <v>36994</v>
      </c>
      <c r="E63" s="518">
        <f t="shared" si="5"/>
        <v>36934</v>
      </c>
      <c r="F63" s="520">
        <v>1.518</v>
      </c>
      <c r="G63" s="521">
        <f t="shared" si="1"/>
        <v>0.08</v>
      </c>
      <c r="H63" s="521">
        <f t="shared" si="2"/>
        <v>7.0000000000000007E-2</v>
      </c>
      <c r="I63" s="521">
        <f t="shared" si="8"/>
        <v>4.0499999999999936</v>
      </c>
      <c r="J63" s="521">
        <f t="shared" si="6"/>
        <v>4.0999999999999934</v>
      </c>
      <c r="K63" s="521">
        <f t="shared" si="9"/>
        <v>0.5900000000000003</v>
      </c>
      <c r="L63" s="505"/>
      <c r="M63" s="528"/>
      <c r="N63" s="505"/>
      <c r="O63" s="505"/>
      <c r="P63" s="505"/>
      <c r="Q63" s="505"/>
      <c r="R63" s="505"/>
      <c r="S63" s="505"/>
      <c r="T63" s="505"/>
      <c r="U63" s="505"/>
      <c r="V63" s="505"/>
      <c r="W63" s="505"/>
      <c r="X63" s="505"/>
      <c r="Y63" s="505"/>
      <c r="Z63" s="505"/>
      <c r="AA63" s="505"/>
      <c r="AB63" s="505"/>
      <c r="AC63" s="505"/>
      <c r="AD63" s="505"/>
      <c r="AE63" s="505"/>
      <c r="AF63" s="505"/>
      <c r="AG63" s="505"/>
      <c r="AH63" s="505"/>
      <c r="AI63" s="505"/>
      <c r="AJ63" s="505"/>
      <c r="AK63" s="505"/>
      <c r="AL63" s="505"/>
      <c r="AM63" s="505"/>
      <c r="AN63" s="505"/>
      <c r="AO63" s="505"/>
      <c r="AP63" s="505"/>
      <c r="AQ63" s="505"/>
      <c r="AR63" s="505"/>
      <c r="AS63" s="505"/>
      <c r="AT63" s="505"/>
      <c r="AU63" s="505"/>
      <c r="AV63" s="505"/>
      <c r="AW63" s="505"/>
      <c r="AX63" s="505"/>
      <c r="AY63" s="505"/>
      <c r="AZ63" s="505"/>
      <c r="BA63" s="505"/>
      <c r="BB63" s="505"/>
      <c r="BC63" s="505"/>
      <c r="BD63" s="505"/>
      <c r="BE63" s="505"/>
      <c r="BF63" s="505"/>
      <c r="BG63" s="505"/>
      <c r="BH63" s="505"/>
      <c r="BI63" s="505"/>
      <c r="BJ63" s="505"/>
      <c r="BK63" s="505"/>
      <c r="BL63" s="505"/>
      <c r="BM63" s="505"/>
      <c r="BN63" s="505"/>
      <c r="BO63" s="505"/>
      <c r="BP63" s="505"/>
      <c r="BQ63" s="505"/>
      <c r="BR63" s="505"/>
      <c r="BS63" s="505"/>
      <c r="BT63" s="505"/>
      <c r="BU63" s="505"/>
      <c r="BV63" s="505"/>
      <c r="BW63" s="505"/>
      <c r="BX63" s="505"/>
      <c r="BY63" s="505"/>
      <c r="BZ63" s="505"/>
      <c r="CA63" s="505"/>
      <c r="CB63" s="505"/>
      <c r="CC63" s="505"/>
      <c r="CD63" s="505"/>
      <c r="CE63" s="505"/>
      <c r="CF63" s="505"/>
      <c r="CG63" s="505"/>
      <c r="CH63" s="505"/>
      <c r="CI63" s="505"/>
      <c r="CJ63" s="505"/>
      <c r="CK63" s="505"/>
      <c r="CL63" s="505"/>
      <c r="CM63" s="505"/>
      <c r="CN63" s="505"/>
      <c r="CO63" s="505"/>
      <c r="CP63" s="505"/>
      <c r="CQ63" s="505"/>
      <c r="CR63" s="505"/>
      <c r="CS63" s="505"/>
      <c r="CT63" s="505"/>
      <c r="CU63" s="505"/>
      <c r="CV63" s="505"/>
      <c r="CW63" s="505"/>
      <c r="CX63" s="505"/>
      <c r="CY63" s="505"/>
      <c r="CZ63" s="505"/>
      <c r="DA63" s="505"/>
      <c r="DB63" s="505"/>
      <c r="DC63" s="505"/>
      <c r="DD63" s="505"/>
      <c r="DE63" s="505"/>
      <c r="DF63" s="505"/>
      <c r="DG63" s="505"/>
      <c r="DH63" s="505"/>
      <c r="DI63" s="505"/>
      <c r="DJ63" s="505"/>
      <c r="DK63" s="505"/>
      <c r="DL63" s="505"/>
      <c r="DM63" s="505"/>
      <c r="DN63" s="505"/>
      <c r="DO63" s="505"/>
      <c r="DP63" s="505"/>
    </row>
    <row r="64" spans="1:120" hidden="1" outlineLevel="1" x14ac:dyDescent="0.2">
      <c r="A64" s="517">
        <f t="shared" si="3"/>
        <v>36923</v>
      </c>
      <c r="B64" s="517" t="str">
        <f t="shared" si="0"/>
        <v>1Q01</v>
      </c>
      <c r="C64" s="517" t="str">
        <f t="shared" si="4"/>
        <v>2Q01</v>
      </c>
      <c r="D64" s="518">
        <f t="shared" si="5"/>
        <v>37001</v>
      </c>
      <c r="E64" s="518">
        <f t="shared" si="5"/>
        <v>36941</v>
      </c>
      <c r="F64" s="520">
        <v>1.48</v>
      </c>
      <c r="G64" s="521">
        <f t="shared" si="1"/>
        <v>7.0000000000000007E-2</v>
      </c>
      <c r="H64" s="521">
        <f t="shared" si="2"/>
        <v>7.0000000000000007E-2</v>
      </c>
      <c r="I64" s="521">
        <f t="shared" si="8"/>
        <v>4.0999999999999934</v>
      </c>
      <c r="J64" s="521">
        <f t="shared" si="6"/>
        <v>4.1499999999999932</v>
      </c>
      <c r="K64" s="521">
        <f t="shared" si="9"/>
        <v>0.60000000000000031</v>
      </c>
      <c r="L64" s="505"/>
      <c r="M64" s="528"/>
      <c r="N64" s="505"/>
      <c r="O64" s="505"/>
      <c r="P64" s="505"/>
      <c r="Q64" s="505"/>
      <c r="R64" s="505"/>
      <c r="S64" s="505"/>
      <c r="T64" s="505"/>
      <c r="U64" s="505"/>
      <c r="V64" s="505"/>
      <c r="W64" s="505"/>
      <c r="X64" s="505"/>
      <c r="Y64" s="505"/>
      <c r="Z64" s="505"/>
      <c r="AA64" s="505"/>
      <c r="AB64" s="505"/>
      <c r="AC64" s="505"/>
      <c r="AD64" s="505"/>
      <c r="AE64" s="505"/>
      <c r="AF64" s="505"/>
      <c r="AG64" s="505"/>
      <c r="AH64" s="505"/>
      <c r="AI64" s="505"/>
      <c r="AJ64" s="505"/>
      <c r="AK64" s="505"/>
      <c r="AL64" s="505"/>
      <c r="AM64" s="505"/>
      <c r="AN64" s="505"/>
      <c r="AO64" s="505"/>
      <c r="AP64" s="505"/>
      <c r="AQ64" s="505"/>
      <c r="AR64" s="505"/>
      <c r="AS64" s="505"/>
      <c r="AT64" s="505"/>
      <c r="AU64" s="505"/>
      <c r="AV64" s="505"/>
      <c r="AW64" s="505"/>
      <c r="AX64" s="505"/>
      <c r="AY64" s="505"/>
      <c r="AZ64" s="505"/>
      <c r="BA64" s="505"/>
      <c r="BB64" s="505"/>
      <c r="BC64" s="505"/>
      <c r="BD64" s="505"/>
      <c r="BE64" s="505"/>
      <c r="BF64" s="505"/>
      <c r="BG64" s="505"/>
      <c r="BH64" s="505"/>
      <c r="BI64" s="505"/>
      <c r="BJ64" s="505"/>
      <c r="BK64" s="505"/>
      <c r="BL64" s="505"/>
      <c r="BM64" s="505"/>
      <c r="BN64" s="505"/>
      <c r="BO64" s="505"/>
      <c r="BP64" s="505"/>
      <c r="BQ64" s="505"/>
      <c r="BR64" s="505"/>
      <c r="BS64" s="505"/>
      <c r="BT64" s="505"/>
      <c r="BU64" s="505"/>
      <c r="BV64" s="505"/>
      <c r="BW64" s="505"/>
      <c r="BX64" s="505"/>
      <c r="BY64" s="505"/>
      <c r="BZ64" s="505"/>
      <c r="CA64" s="505"/>
      <c r="CB64" s="505"/>
      <c r="CC64" s="505"/>
      <c r="CD64" s="505"/>
      <c r="CE64" s="505"/>
      <c r="CF64" s="505"/>
      <c r="CG64" s="505"/>
      <c r="CH64" s="505"/>
      <c r="CI64" s="505"/>
      <c r="CJ64" s="505"/>
      <c r="CK64" s="505"/>
      <c r="CL64" s="505"/>
      <c r="CM64" s="505"/>
      <c r="CN64" s="505"/>
      <c r="CO64" s="505"/>
      <c r="CP64" s="505"/>
      <c r="CQ64" s="505"/>
      <c r="CR64" s="505"/>
      <c r="CS64" s="505"/>
      <c r="CT64" s="505"/>
      <c r="CU64" s="505"/>
      <c r="CV64" s="505"/>
      <c r="CW64" s="505"/>
      <c r="CX64" s="505"/>
      <c r="CY64" s="505"/>
      <c r="CZ64" s="505"/>
      <c r="DA64" s="505"/>
      <c r="DB64" s="505"/>
      <c r="DC64" s="505"/>
      <c r="DD64" s="505"/>
      <c r="DE64" s="505"/>
      <c r="DF64" s="505"/>
      <c r="DG64" s="505"/>
      <c r="DH64" s="505"/>
      <c r="DI64" s="505"/>
      <c r="DJ64" s="505"/>
      <c r="DK64" s="505"/>
      <c r="DL64" s="505"/>
      <c r="DM64" s="505"/>
      <c r="DN64" s="505"/>
      <c r="DO64" s="505"/>
      <c r="DP64" s="505"/>
    </row>
    <row r="65" spans="1:120" hidden="1" outlineLevel="1" x14ac:dyDescent="0.2">
      <c r="A65" s="517">
        <f t="shared" si="3"/>
        <v>36923</v>
      </c>
      <c r="B65" s="517" t="str">
        <f t="shared" si="0"/>
        <v>1Q01</v>
      </c>
      <c r="C65" s="517" t="str">
        <f t="shared" si="4"/>
        <v>2Q01</v>
      </c>
      <c r="D65" s="518">
        <f t="shared" si="5"/>
        <v>37008</v>
      </c>
      <c r="E65" s="518">
        <f t="shared" si="5"/>
        <v>36948</v>
      </c>
      <c r="F65" s="520">
        <v>1.4509999999999998</v>
      </c>
      <c r="G65" s="521">
        <f t="shared" si="1"/>
        <v>7.0000000000000007E-2</v>
      </c>
      <c r="H65" s="521">
        <f t="shared" si="2"/>
        <v>6.0000000000000005E-2</v>
      </c>
      <c r="I65" s="521">
        <f t="shared" si="8"/>
        <v>4.1499999999999932</v>
      </c>
      <c r="J65" s="521">
        <f t="shared" si="6"/>
        <v>4.1999999999999931</v>
      </c>
      <c r="K65" s="521">
        <f t="shared" si="9"/>
        <v>0.61000000000000032</v>
      </c>
      <c r="L65" s="505"/>
      <c r="M65" s="528"/>
      <c r="N65" s="505"/>
      <c r="O65" s="505"/>
      <c r="P65" s="505"/>
      <c r="Q65" s="505"/>
      <c r="R65" s="505"/>
      <c r="S65" s="505"/>
      <c r="T65" s="505"/>
      <c r="U65" s="505"/>
      <c r="V65" s="505"/>
      <c r="W65" s="505"/>
      <c r="X65" s="505"/>
      <c r="Y65" s="505"/>
      <c r="Z65" s="505"/>
      <c r="AA65" s="505"/>
      <c r="AB65" s="505"/>
      <c r="AC65" s="505"/>
      <c r="AD65" s="505"/>
      <c r="AE65" s="505"/>
      <c r="AF65" s="505"/>
      <c r="AG65" s="505"/>
      <c r="AH65" s="505"/>
      <c r="AI65" s="505"/>
      <c r="AJ65" s="505"/>
      <c r="AK65" s="505"/>
      <c r="AL65" s="505"/>
      <c r="AM65" s="505"/>
      <c r="AN65" s="505"/>
      <c r="AO65" s="505"/>
      <c r="AP65" s="505"/>
      <c r="AQ65" s="505"/>
      <c r="AR65" s="505"/>
      <c r="AS65" s="505"/>
      <c r="AT65" s="505"/>
      <c r="AU65" s="505"/>
      <c r="AV65" s="505"/>
      <c r="AW65" s="505"/>
      <c r="AX65" s="505"/>
      <c r="AY65" s="505"/>
      <c r="AZ65" s="505"/>
      <c r="BA65" s="505"/>
      <c r="BB65" s="505"/>
      <c r="BC65" s="505"/>
      <c r="BD65" s="505"/>
      <c r="BE65" s="505"/>
      <c r="BF65" s="505"/>
      <c r="BG65" s="505"/>
      <c r="BH65" s="505"/>
      <c r="BI65" s="505"/>
      <c r="BJ65" s="505"/>
      <c r="BK65" s="505"/>
      <c r="BL65" s="505"/>
      <c r="BM65" s="505"/>
      <c r="BN65" s="505"/>
      <c r="BO65" s="505"/>
      <c r="BP65" s="505"/>
      <c r="BQ65" s="505"/>
      <c r="BR65" s="505"/>
      <c r="BS65" s="505"/>
      <c r="BT65" s="505"/>
      <c r="BU65" s="505"/>
      <c r="BV65" s="505"/>
      <c r="BW65" s="505"/>
      <c r="BX65" s="505"/>
      <c r="BY65" s="505"/>
      <c r="BZ65" s="505"/>
      <c r="CA65" s="505"/>
      <c r="CB65" s="505"/>
      <c r="CC65" s="505"/>
      <c r="CD65" s="505"/>
      <c r="CE65" s="505"/>
      <c r="CF65" s="505"/>
      <c r="CG65" s="505"/>
      <c r="CH65" s="505"/>
      <c r="CI65" s="505"/>
      <c r="CJ65" s="505"/>
      <c r="CK65" s="505"/>
      <c r="CL65" s="505"/>
      <c r="CM65" s="505"/>
      <c r="CN65" s="505"/>
      <c r="CO65" s="505"/>
      <c r="CP65" s="505"/>
      <c r="CQ65" s="505"/>
      <c r="CR65" s="505"/>
      <c r="CS65" s="505"/>
      <c r="CT65" s="505"/>
      <c r="CU65" s="505"/>
      <c r="CV65" s="505"/>
      <c r="CW65" s="505"/>
      <c r="CX65" s="505"/>
      <c r="CY65" s="505"/>
      <c r="CZ65" s="505"/>
      <c r="DA65" s="505"/>
      <c r="DB65" s="505"/>
      <c r="DC65" s="505"/>
      <c r="DD65" s="505"/>
      <c r="DE65" s="505"/>
      <c r="DF65" s="505"/>
      <c r="DG65" s="505"/>
      <c r="DH65" s="505"/>
      <c r="DI65" s="505"/>
      <c r="DJ65" s="505"/>
      <c r="DK65" s="505"/>
      <c r="DL65" s="505"/>
      <c r="DM65" s="505"/>
      <c r="DN65" s="505"/>
      <c r="DO65" s="505"/>
      <c r="DP65" s="505"/>
    </row>
    <row r="66" spans="1:120" hidden="1" outlineLevel="1" x14ac:dyDescent="0.2">
      <c r="A66" s="517">
        <f t="shared" si="3"/>
        <v>36951</v>
      </c>
      <c r="B66" s="517" t="str">
        <f t="shared" si="0"/>
        <v>1Q01</v>
      </c>
      <c r="C66" s="517" t="str">
        <f t="shared" si="4"/>
        <v>2Q01</v>
      </c>
      <c r="D66" s="518">
        <f t="shared" si="5"/>
        <v>37015</v>
      </c>
      <c r="E66" s="518">
        <f t="shared" si="5"/>
        <v>36955</v>
      </c>
      <c r="F66" s="520">
        <v>1.42</v>
      </c>
      <c r="G66" s="521">
        <f t="shared" si="1"/>
        <v>6.0000000000000005E-2</v>
      </c>
      <c r="H66" s="521">
        <f t="shared" si="2"/>
        <v>6.0000000000000005E-2</v>
      </c>
      <c r="I66" s="521">
        <f t="shared" si="8"/>
        <v>4.1999999999999931</v>
      </c>
      <c r="J66" s="521">
        <f t="shared" si="6"/>
        <v>4.2499999999999929</v>
      </c>
      <c r="K66" s="521">
        <f t="shared" si="9"/>
        <v>0.62000000000000033</v>
      </c>
      <c r="L66" s="505"/>
      <c r="M66" s="528"/>
      <c r="N66" s="505"/>
      <c r="O66" s="505"/>
      <c r="P66" s="505"/>
      <c r="Q66" s="505"/>
      <c r="R66" s="505"/>
      <c r="S66" s="505"/>
      <c r="T66" s="505"/>
      <c r="U66" s="505"/>
      <c r="V66" s="505"/>
      <c r="W66" s="505"/>
      <c r="X66" s="505"/>
      <c r="Y66" s="505"/>
      <c r="Z66" s="505"/>
      <c r="AA66" s="505"/>
      <c r="AB66" s="505"/>
      <c r="AC66" s="505"/>
      <c r="AD66" s="505"/>
      <c r="AE66" s="505"/>
      <c r="AF66" s="505"/>
      <c r="AG66" s="505"/>
      <c r="AH66" s="505"/>
      <c r="AI66" s="505"/>
      <c r="AJ66" s="505"/>
      <c r="AK66" s="505"/>
      <c r="AL66" s="505"/>
      <c r="AM66" s="505"/>
      <c r="AN66" s="505"/>
      <c r="AO66" s="505"/>
      <c r="AP66" s="505"/>
      <c r="AQ66" s="505"/>
      <c r="AR66" s="505"/>
      <c r="AS66" s="505"/>
      <c r="AT66" s="505"/>
      <c r="AU66" s="505"/>
      <c r="AV66" s="505"/>
      <c r="AW66" s="505"/>
      <c r="AX66" s="505"/>
      <c r="AY66" s="505"/>
      <c r="AZ66" s="505"/>
      <c r="BA66" s="505"/>
      <c r="BB66" s="505"/>
      <c r="BC66" s="505"/>
      <c r="BD66" s="505"/>
      <c r="BE66" s="505"/>
      <c r="BF66" s="505"/>
      <c r="BG66" s="505"/>
      <c r="BH66" s="505"/>
      <c r="BI66" s="505"/>
      <c r="BJ66" s="505"/>
      <c r="BK66" s="505"/>
      <c r="BL66" s="505"/>
      <c r="BM66" s="505"/>
      <c r="BN66" s="505"/>
      <c r="BO66" s="505"/>
      <c r="BP66" s="505"/>
      <c r="BQ66" s="505"/>
      <c r="BR66" s="505"/>
      <c r="BS66" s="505"/>
      <c r="BT66" s="505"/>
      <c r="BU66" s="505"/>
      <c r="BV66" s="505"/>
      <c r="BW66" s="505"/>
      <c r="BX66" s="505"/>
      <c r="BY66" s="505"/>
      <c r="BZ66" s="505"/>
      <c r="CA66" s="505"/>
      <c r="CB66" s="505"/>
      <c r="CC66" s="505"/>
      <c r="CD66" s="505"/>
      <c r="CE66" s="505"/>
      <c r="CF66" s="505"/>
      <c r="CG66" s="505"/>
      <c r="CH66" s="505"/>
      <c r="CI66" s="505"/>
      <c r="CJ66" s="505"/>
      <c r="CK66" s="505"/>
      <c r="CL66" s="505"/>
      <c r="CM66" s="505"/>
      <c r="CN66" s="505"/>
      <c r="CO66" s="505"/>
      <c r="CP66" s="505"/>
      <c r="CQ66" s="505"/>
      <c r="CR66" s="505"/>
      <c r="CS66" s="505"/>
      <c r="CT66" s="505"/>
      <c r="CU66" s="505"/>
      <c r="CV66" s="505"/>
      <c r="CW66" s="505"/>
      <c r="CX66" s="505"/>
      <c r="CY66" s="505"/>
      <c r="CZ66" s="505"/>
      <c r="DA66" s="505"/>
      <c r="DB66" s="505"/>
      <c r="DC66" s="505"/>
      <c r="DD66" s="505"/>
      <c r="DE66" s="505"/>
      <c r="DF66" s="505"/>
      <c r="DG66" s="505"/>
      <c r="DH66" s="505"/>
      <c r="DI66" s="505"/>
      <c r="DJ66" s="505"/>
      <c r="DK66" s="505"/>
      <c r="DL66" s="505"/>
      <c r="DM66" s="505"/>
      <c r="DN66" s="505"/>
      <c r="DO66" s="505"/>
      <c r="DP66" s="505"/>
    </row>
    <row r="67" spans="1:120" hidden="1" outlineLevel="1" x14ac:dyDescent="0.2">
      <c r="A67" s="517">
        <f t="shared" si="3"/>
        <v>36951</v>
      </c>
      <c r="B67" s="517" t="str">
        <f t="shared" si="0"/>
        <v>1Q01</v>
      </c>
      <c r="C67" s="517" t="str">
        <f t="shared" si="4"/>
        <v>2Q01</v>
      </c>
      <c r="D67" s="518">
        <f t="shared" si="5"/>
        <v>37022</v>
      </c>
      <c r="E67" s="518">
        <f t="shared" si="5"/>
        <v>36962</v>
      </c>
      <c r="F67" s="520">
        <v>1.4059999999999999</v>
      </c>
      <c r="G67" s="521">
        <f t="shared" si="1"/>
        <v>6.0000000000000005E-2</v>
      </c>
      <c r="H67" s="521">
        <f t="shared" si="2"/>
        <v>0.05</v>
      </c>
      <c r="I67" s="521">
        <f t="shared" si="8"/>
        <v>4.2499999999999929</v>
      </c>
      <c r="J67" s="521">
        <f t="shared" si="6"/>
        <v>4.2999999999999927</v>
      </c>
      <c r="K67" s="521">
        <f t="shared" si="9"/>
        <v>0.63000000000000034</v>
      </c>
      <c r="L67" s="505"/>
      <c r="M67" s="528"/>
      <c r="N67" s="505"/>
      <c r="O67" s="505"/>
      <c r="P67" s="505"/>
      <c r="Q67" s="505"/>
      <c r="R67" s="505"/>
      <c r="S67" s="505"/>
      <c r="T67" s="505"/>
      <c r="U67" s="505"/>
      <c r="V67" s="505"/>
      <c r="W67" s="505"/>
      <c r="X67" s="505"/>
      <c r="Y67" s="505"/>
      <c r="Z67" s="505"/>
      <c r="AA67" s="505"/>
      <c r="AB67" s="505"/>
      <c r="AC67" s="505"/>
      <c r="AD67" s="505"/>
      <c r="AE67" s="505"/>
      <c r="AF67" s="505"/>
      <c r="AG67" s="505"/>
      <c r="AH67" s="505"/>
      <c r="AI67" s="505"/>
      <c r="AJ67" s="505"/>
      <c r="AK67" s="505"/>
      <c r="AL67" s="505"/>
      <c r="AM67" s="505"/>
      <c r="AN67" s="505"/>
      <c r="AO67" s="505"/>
      <c r="AP67" s="505"/>
      <c r="AQ67" s="505"/>
      <c r="AR67" s="505"/>
      <c r="AS67" s="505"/>
      <c r="AT67" s="505"/>
      <c r="AU67" s="505"/>
      <c r="AV67" s="505"/>
      <c r="AW67" s="505"/>
      <c r="AX67" s="505"/>
      <c r="AY67" s="505"/>
      <c r="AZ67" s="505"/>
      <c r="BA67" s="505"/>
      <c r="BB67" s="505"/>
      <c r="BC67" s="505"/>
      <c r="BD67" s="505"/>
      <c r="BE67" s="505"/>
      <c r="BF67" s="505"/>
      <c r="BG67" s="505"/>
      <c r="BH67" s="505"/>
      <c r="BI67" s="505"/>
      <c r="BJ67" s="505"/>
      <c r="BK67" s="505"/>
      <c r="BL67" s="505"/>
      <c r="BM67" s="505"/>
      <c r="BN67" s="505"/>
      <c r="BO67" s="505"/>
      <c r="BP67" s="505"/>
      <c r="BQ67" s="505"/>
      <c r="BR67" s="505"/>
      <c r="BS67" s="505"/>
      <c r="BT67" s="505"/>
      <c r="BU67" s="505"/>
      <c r="BV67" s="505"/>
      <c r="BW67" s="505"/>
      <c r="BX67" s="505"/>
      <c r="BY67" s="505"/>
      <c r="BZ67" s="505"/>
      <c r="CA67" s="505"/>
      <c r="CB67" s="505"/>
      <c r="CC67" s="505"/>
      <c r="CD67" s="505"/>
      <c r="CE67" s="505"/>
      <c r="CF67" s="505"/>
      <c r="CG67" s="505"/>
      <c r="CH67" s="505"/>
      <c r="CI67" s="505"/>
      <c r="CJ67" s="505"/>
      <c r="CK67" s="505"/>
      <c r="CL67" s="505"/>
      <c r="CM67" s="505"/>
      <c r="CN67" s="505"/>
      <c r="CO67" s="505"/>
      <c r="CP67" s="505"/>
      <c r="CQ67" s="505"/>
      <c r="CR67" s="505"/>
      <c r="CS67" s="505"/>
      <c r="CT67" s="505"/>
      <c r="CU67" s="505"/>
      <c r="CV67" s="505"/>
      <c r="CW67" s="505"/>
      <c r="CX67" s="505"/>
      <c r="CY67" s="505"/>
      <c r="CZ67" s="505"/>
      <c r="DA67" s="505"/>
      <c r="DB67" s="505"/>
      <c r="DC67" s="505"/>
      <c r="DD67" s="505"/>
      <c r="DE67" s="505"/>
      <c r="DF67" s="505"/>
      <c r="DG67" s="505"/>
      <c r="DH67" s="505"/>
      <c r="DI67" s="505"/>
      <c r="DJ67" s="505"/>
      <c r="DK67" s="505"/>
      <c r="DL67" s="505"/>
      <c r="DM67" s="505"/>
      <c r="DN67" s="505"/>
      <c r="DO67" s="505"/>
      <c r="DP67" s="505"/>
    </row>
    <row r="68" spans="1:120" hidden="1" outlineLevel="1" x14ac:dyDescent="0.2">
      <c r="A68" s="517">
        <f t="shared" si="3"/>
        <v>36951</v>
      </c>
      <c r="B68" s="517" t="str">
        <f t="shared" ref="B68:B131" si="23">VLOOKUP(MONTH(A68),$N$4:$O$16,2,FALSE) &amp; "Q" &amp; RIGHT(YEAR(A68),2)</f>
        <v>1Q01</v>
      </c>
      <c r="C68" s="517" t="str">
        <f t="shared" si="4"/>
        <v>2Q01</v>
      </c>
      <c r="D68" s="518">
        <f t="shared" si="5"/>
        <v>37029</v>
      </c>
      <c r="E68" s="518">
        <f t="shared" si="5"/>
        <v>36969</v>
      </c>
      <c r="F68" s="520">
        <v>1.3919999999999999</v>
      </c>
      <c r="G68" s="521">
        <f t="shared" ref="G68:G131" si="24">INDEX($I$4:$K$153,MATCH(F68,$I$4:$I$153,1),3)</f>
        <v>0.05</v>
      </c>
      <c r="H68" s="521">
        <f t="shared" ref="H68:H131" si="25">G69</f>
        <v>0.05</v>
      </c>
      <c r="I68" s="521">
        <f t="shared" si="8"/>
        <v>4.2999999999999927</v>
      </c>
      <c r="J68" s="521">
        <f t="shared" si="6"/>
        <v>4.3499999999999925</v>
      </c>
      <c r="K68" s="521">
        <f t="shared" si="9"/>
        <v>0.64000000000000035</v>
      </c>
      <c r="L68" s="505"/>
      <c r="M68" s="528"/>
      <c r="N68" s="505"/>
      <c r="O68" s="505"/>
      <c r="P68" s="505"/>
      <c r="Q68" s="505"/>
      <c r="R68" s="505"/>
      <c r="S68" s="505"/>
      <c r="T68" s="505"/>
      <c r="U68" s="505"/>
      <c r="V68" s="505"/>
      <c r="W68" s="505"/>
      <c r="X68" s="505"/>
      <c r="Y68" s="505"/>
      <c r="Z68" s="505"/>
      <c r="AA68" s="505"/>
      <c r="AB68" s="505"/>
      <c r="AC68" s="505"/>
      <c r="AD68" s="505"/>
      <c r="AE68" s="505"/>
      <c r="AF68" s="505"/>
      <c r="AG68" s="505"/>
      <c r="AH68" s="505"/>
      <c r="AI68" s="505"/>
      <c r="AJ68" s="505"/>
      <c r="AK68" s="505"/>
      <c r="AL68" s="505"/>
      <c r="AM68" s="505"/>
      <c r="AN68" s="505"/>
      <c r="AO68" s="505"/>
      <c r="AP68" s="505"/>
      <c r="AQ68" s="505"/>
      <c r="AR68" s="505"/>
      <c r="AS68" s="505"/>
      <c r="AT68" s="505"/>
      <c r="AU68" s="505"/>
      <c r="AV68" s="505"/>
      <c r="AW68" s="505"/>
      <c r="AX68" s="505"/>
      <c r="AY68" s="505"/>
      <c r="AZ68" s="505"/>
      <c r="BA68" s="505"/>
      <c r="BB68" s="505"/>
      <c r="BC68" s="505"/>
      <c r="BD68" s="505"/>
      <c r="BE68" s="505"/>
      <c r="BF68" s="505"/>
      <c r="BG68" s="505"/>
      <c r="BH68" s="505"/>
      <c r="BI68" s="505"/>
      <c r="BJ68" s="505"/>
      <c r="BK68" s="505"/>
      <c r="BL68" s="505"/>
      <c r="BM68" s="505"/>
      <c r="BN68" s="505"/>
      <c r="BO68" s="505"/>
      <c r="BP68" s="505"/>
      <c r="BQ68" s="505"/>
      <c r="BR68" s="505"/>
      <c r="BS68" s="505"/>
      <c r="BT68" s="505"/>
      <c r="BU68" s="505"/>
      <c r="BV68" s="505"/>
      <c r="BW68" s="505"/>
      <c r="BX68" s="505"/>
      <c r="BY68" s="505"/>
      <c r="BZ68" s="505"/>
      <c r="CA68" s="505"/>
      <c r="CB68" s="505"/>
      <c r="CC68" s="505"/>
      <c r="CD68" s="505"/>
      <c r="CE68" s="505"/>
      <c r="CF68" s="505"/>
      <c r="CG68" s="505"/>
      <c r="CH68" s="505"/>
      <c r="CI68" s="505"/>
      <c r="CJ68" s="505"/>
      <c r="CK68" s="505"/>
      <c r="CL68" s="505"/>
      <c r="CM68" s="505"/>
      <c r="CN68" s="505"/>
      <c r="CO68" s="505"/>
      <c r="CP68" s="505"/>
      <c r="CQ68" s="505"/>
      <c r="CR68" s="505"/>
      <c r="CS68" s="505"/>
      <c r="CT68" s="505"/>
      <c r="CU68" s="505"/>
      <c r="CV68" s="505"/>
      <c r="CW68" s="505"/>
      <c r="CX68" s="505"/>
      <c r="CY68" s="505"/>
      <c r="CZ68" s="505"/>
      <c r="DA68" s="505"/>
      <c r="DB68" s="505"/>
      <c r="DC68" s="505"/>
      <c r="DD68" s="505"/>
      <c r="DE68" s="505"/>
      <c r="DF68" s="505"/>
      <c r="DG68" s="505"/>
      <c r="DH68" s="505"/>
      <c r="DI68" s="505"/>
      <c r="DJ68" s="505"/>
      <c r="DK68" s="505"/>
      <c r="DL68" s="505"/>
      <c r="DM68" s="505"/>
      <c r="DN68" s="505"/>
      <c r="DO68" s="505"/>
      <c r="DP68" s="505"/>
    </row>
    <row r="69" spans="1:120" hidden="1" outlineLevel="1" x14ac:dyDescent="0.2">
      <c r="A69" s="517">
        <f t="shared" ref="A69:A132" si="26">DATE(YEAR(E69),MONTH(E69),1)</f>
        <v>36951</v>
      </c>
      <c r="B69" s="517" t="str">
        <f t="shared" si="23"/>
        <v>1Q01</v>
      </c>
      <c r="C69" s="517" t="str">
        <f t="shared" ref="C69:C132" si="27">VLOOKUP(MONTH(D69),$N$4:$O$16,2,FALSE) &amp; "Q" &amp; RIGHT(YEAR(D69),2)</f>
        <v>2Q01</v>
      </c>
      <c r="D69" s="518">
        <f t="shared" ref="D69:E132" si="28">D68+7</f>
        <v>37036</v>
      </c>
      <c r="E69" s="518">
        <f t="shared" si="28"/>
        <v>36976</v>
      </c>
      <c r="F69" s="520">
        <v>1.379</v>
      </c>
      <c r="G69" s="521">
        <f t="shared" si="24"/>
        <v>0.05</v>
      </c>
      <c r="H69" s="521">
        <f t="shared" si="25"/>
        <v>0.05</v>
      </c>
      <c r="I69" s="521">
        <f t="shared" si="8"/>
        <v>4.3499999999999925</v>
      </c>
      <c r="J69" s="521">
        <f t="shared" si="8"/>
        <v>4.3999999999999924</v>
      </c>
      <c r="K69" s="521">
        <f t="shared" si="9"/>
        <v>0.65000000000000036</v>
      </c>
      <c r="L69" s="505"/>
      <c r="M69" s="528"/>
      <c r="N69" s="505"/>
      <c r="O69" s="505"/>
      <c r="P69" s="505"/>
      <c r="Q69" s="505"/>
      <c r="R69" s="505"/>
      <c r="S69" s="505"/>
      <c r="T69" s="505"/>
      <c r="U69" s="505"/>
      <c r="V69" s="505"/>
      <c r="W69" s="505"/>
      <c r="X69" s="505"/>
      <c r="Y69" s="505"/>
      <c r="Z69" s="505"/>
      <c r="AA69" s="505"/>
      <c r="AB69" s="505"/>
      <c r="AC69" s="505"/>
      <c r="AD69" s="505"/>
      <c r="AE69" s="505"/>
      <c r="AF69" s="505"/>
      <c r="AG69" s="505"/>
      <c r="AH69" s="505"/>
      <c r="AI69" s="505"/>
      <c r="AJ69" s="505"/>
      <c r="AK69" s="505"/>
      <c r="AL69" s="505"/>
      <c r="AM69" s="505"/>
      <c r="AN69" s="505"/>
      <c r="AO69" s="505"/>
      <c r="AP69" s="505"/>
      <c r="AQ69" s="505"/>
      <c r="AR69" s="505"/>
      <c r="AS69" s="505"/>
      <c r="AT69" s="505"/>
      <c r="AU69" s="505"/>
      <c r="AV69" s="505"/>
      <c r="AW69" s="505"/>
      <c r="AX69" s="505"/>
      <c r="AY69" s="505"/>
      <c r="AZ69" s="505"/>
      <c r="BA69" s="505"/>
      <c r="BB69" s="505"/>
      <c r="BC69" s="505"/>
      <c r="BD69" s="505"/>
      <c r="BE69" s="505"/>
      <c r="BF69" s="505"/>
      <c r="BG69" s="505"/>
      <c r="BH69" s="505"/>
      <c r="BI69" s="505"/>
      <c r="BJ69" s="505"/>
      <c r="BK69" s="505"/>
      <c r="BL69" s="505"/>
      <c r="BM69" s="505"/>
      <c r="BN69" s="505"/>
      <c r="BO69" s="505"/>
      <c r="BP69" s="505"/>
      <c r="BQ69" s="505"/>
      <c r="BR69" s="505"/>
      <c r="BS69" s="505"/>
      <c r="BT69" s="505"/>
      <c r="BU69" s="505"/>
      <c r="BV69" s="505"/>
      <c r="BW69" s="505"/>
      <c r="BX69" s="505"/>
      <c r="BY69" s="505"/>
      <c r="BZ69" s="505"/>
      <c r="CA69" s="505"/>
      <c r="CB69" s="505"/>
      <c r="CC69" s="505"/>
      <c r="CD69" s="505"/>
      <c r="CE69" s="505"/>
      <c r="CF69" s="505"/>
      <c r="CG69" s="505"/>
      <c r="CH69" s="505"/>
      <c r="CI69" s="505"/>
      <c r="CJ69" s="505"/>
      <c r="CK69" s="505"/>
      <c r="CL69" s="505"/>
      <c r="CM69" s="505"/>
      <c r="CN69" s="505"/>
      <c r="CO69" s="505"/>
      <c r="CP69" s="505"/>
      <c r="CQ69" s="505"/>
      <c r="CR69" s="505"/>
      <c r="CS69" s="505"/>
      <c r="CT69" s="505"/>
      <c r="CU69" s="505"/>
      <c r="CV69" s="505"/>
      <c r="CW69" s="505"/>
      <c r="CX69" s="505"/>
      <c r="CY69" s="505"/>
      <c r="CZ69" s="505"/>
      <c r="DA69" s="505"/>
      <c r="DB69" s="505"/>
      <c r="DC69" s="505"/>
      <c r="DD69" s="505"/>
      <c r="DE69" s="505"/>
      <c r="DF69" s="505"/>
      <c r="DG69" s="505"/>
      <c r="DH69" s="505"/>
      <c r="DI69" s="505"/>
      <c r="DJ69" s="505"/>
      <c r="DK69" s="505"/>
      <c r="DL69" s="505"/>
      <c r="DM69" s="505"/>
      <c r="DN69" s="505"/>
      <c r="DO69" s="505"/>
      <c r="DP69" s="505"/>
    </row>
    <row r="70" spans="1:120" hidden="1" outlineLevel="1" x14ac:dyDescent="0.2">
      <c r="A70" s="517">
        <f t="shared" si="26"/>
        <v>36982</v>
      </c>
      <c r="B70" s="517" t="str">
        <f t="shared" si="23"/>
        <v>2Q01</v>
      </c>
      <c r="C70" s="517" t="str">
        <f t="shared" si="27"/>
        <v>2Q01</v>
      </c>
      <c r="D70" s="518">
        <f t="shared" si="28"/>
        <v>37043</v>
      </c>
      <c r="E70" s="518">
        <f t="shared" si="28"/>
        <v>36983</v>
      </c>
      <c r="F70" s="520">
        <v>1.391</v>
      </c>
      <c r="G70" s="521">
        <f t="shared" si="24"/>
        <v>0.05</v>
      </c>
      <c r="H70" s="521">
        <f t="shared" si="25"/>
        <v>0.05</v>
      </c>
      <c r="I70" s="521">
        <f t="shared" ref="I70:J101" si="29">I69+0.05</f>
        <v>4.3999999999999924</v>
      </c>
      <c r="J70" s="521">
        <f t="shared" si="29"/>
        <v>4.4499999999999922</v>
      </c>
      <c r="K70" s="521">
        <f t="shared" ref="K70:K133" si="30">K69+0.01</f>
        <v>0.66000000000000036</v>
      </c>
      <c r="L70" s="505"/>
      <c r="M70" s="528"/>
      <c r="N70" s="505"/>
      <c r="O70" s="505"/>
      <c r="P70" s="505"/>
      <c r="Q70" s="505"/>
      <c r="R70" s="505"/>
      <c r="S70" s="505"/>
      <c r="T70" s="505"/>
      <c r="U70" s="505"/>
      <c r="V70" s="505"/>
      <c r="W70" s="505"/>
      <c r="X70" s="505"/>
      <c r="Y70" s="505"/>
      <c r="Z70" s="505"/>
      <c r="AA70" s="505"/>
      <c r="AB70" s="505"/>
      <c r="AC70" s="505"/>
      <c r="AD70" s="505"/>
      <c r="AE70" s="505"/>
      <c r="AF70" s="505"/>
      <c r="AG70" s="505"/>
      <c r="AH70" s="505"/>
      <c r="AI70" s="505"/>
      <c r="AJ70" s="505"/>
      <c r="AK70" s="505"/>
      <c r="AL70" s="505"/>
      <c r="AM70" s="505"/>
      <c r="AN70" s="505"/>
      <c r="AO70" s="505"/>
      <c r="AP70" s="505"/>
      <c r="AQ70" s="505"/>
      <c r="AR70" s="505"/>
      <c r="AS70" s="505"/>
      <c r="AT70" s="505"/>
      <c r="AU70" s="505"/>
      <c r="AV70" s="505"/>
      <c r="AW70" s="505"/>
      <c r="AX70" s="505"/>
      <c r="AY70" s="505"/>
      <c r="AZ70" s="505"/>
      <c r="BA70" s="505"/>
      <c r="BB70" s="505"/>
      <c r="BC70" s="505"/>
      <c r="BD70" s="505"/>
      <c r="BE70" s="505"/>
      <c r="BF70" s="505"/>
      <c r="BG70" s="505"/>
      <c r="BH70" s="505"/>
      <c r="BI70" s="505"/>
      <c r="BJ70" s="505"/>
      <c r="BK70" s="505"/>
      <c r="BL70" s="505"/>
      <c r="BM70" s="505"/>
      <c r="BN70" s="505"/>
      <c r="BO70" s="505"/>
      <c r="BP70" s="505"/>
      <c r="BQ70" s="505"/>
      <c r="BR70" s="505"/>
      <c r="BS70" s="505"/>
      <c r="BT70" s="505"/>
      <c r="BU70" s="505"/>
      <c r="BV70" s="505"/>
      <c r="BW70" s="505"/>
      <c r="BX70" s="505"/>
      <c r="BY70" s="505"/>
      <c r="BZ70" s="505"/>
      <c r="CA70" s="505"/>
      <c r="CB70" s="505"/>
      <c r="CC70" s="505"/>
      <c r="CD70" s="505"/>
      <c r="CE70" s="505"/>
      <c r="CF70" s="505"/>
      <c r="CG70" s="505"/>
      <c r="CH70" s="505"/>
      <c r="CI70" s="505"/>
      <c r="CJ70" s="505"/>
      <c r="CK70" s="505"/>
      <c r="CL70" s="505"/>
      <c r="CM70" s="505"/>
      <c r="CN70" s="505"/>
      <c r="CO70" s="505"/>
      <c r="CP70" s="505"/>
      <c r="CQ70" s="505"/>
      <c r="CR70" s="505"/>
      <c r="CS70" s="505"/>
      <c r="CT70" s="505"/>
      <c r="CU70" s="505"/>
      <c r="CV70" s="505"/>
      <c r="CW70" s="505"/>
      <c r="CX70" s="505"/>
      <c r="CY70" s="505"/>
      <c r="CZ70" s="505"/>
      <c r="DA70" s="505"/>
      <c r="DB70" s="505"/>
      <c r="DC70" s="505"/>
      <c r="DD70" s="505"/>
      <c r="DE70" s="505"/>
      <c r="DF70" s="505"/>
      <c r="DG70" s="505"/>
      <c r="DH70" s="505"/>
      <c r="DI70" s="505"/>
      <c r="DJ70" s="505"/>
      <c r="DK70" s="505"/>
      <c r="DL70" s="505"/>
      <c r="DM70" s="505"/>
      <c r="DN70" s="505"/>
      <c r="DO70" s="505"/>
      <c r="DP70" s="505"/>
    </row>
    <row r="71" spans="1:120" hidden="1" outlineLevel="1" x14ac:dyDescent="0.2">
      <c r="A71" s="517">
        <f t="shared" si="26"/>
        <v>36982</v>
      </c>
      <c r="B71" s="517" t="str">
        <f t="shared" si="23"/>
        <v>2Q01</v>
      </c>
      <c r="C71" s="517" t="str">
        <f t="shared" si="27"/>
        <v>2Q01</v>
      </c>
      <c r="D71" s="518">
        <f t="shared" si="28"/>
        <v>37050</v>
      </c>
      <c r="E71" s="518">
        <f t="shared" si="28"/>
        <v>36990</v>
      </c>
      <c r="F71" s="520">
        <v>1.3969999999999998</v>
      </c>
      <c r="G71" s="521">
        <f t="shared" si="24"/>
        <v>0.05</v>
      </c>
      <c r="H71" s="521">
        <f t="shared" si="25"/>
        <v>6.0000000000000005E-2</v>
      </c>
      <c r="I71" s="521">
        <f t="shared" si="29"/>
        <v>4.4499999999999922</v>
      </c>
      <c r="J71" s="521">
        <f t="shared" si="29"/>
        <v>4.499999999999992</v>
      </c>
      <c r="K71" s="521">
        <f t="shared" si="30"/>
        <v>0.67000000000000037</v>
      </c>
      <c r="L71" s="505"/>
      <c r="M71" s="528"/>
      <c r="N71" s="505"/>
      <c r="O71" s="505"/>
      <c r="P71" s="505"/>
      <c r="Q71" s="505"/>
      <c r="R71" s="505"/>
      <c r="S71" s="505"/>
      <c r="T71" s="505"/>
      <c r="U71" s="505"/>
      <c r="V71" s="505"/>
      <c r="W71" s="505"/>
      <c r="X71" s="505"/>
      <c r="Y71" s="505"/>
      <c r="Z71" s="505"/>
      <c r="AA71" s="505"/>
      <c r="AB71" s="505"/>
      <c r="AC71" s="505"/>
      <c r="AD71" s="505"/>
      <c r="AE71" s="505"/>
      <c r="AF71" s="505"/>
      <c r="AG71" s="505"/>
      <c r="AH71" s="505"/>
      <c r="AI71" s="505"/>
      <c r="AJ71" s="505"/>
      <c r="AK71" s="505"/>
      <c r="AL71" s="505"/>
      <c r="AM71" s="505"/>
      <c r="AN71" s="505"/>
      <c r="AO71" s="505"/>
      <c r="AP71" s="505"/>
      <c r="AQ71" s="505"/>
      <c r="AR71" s="505"/>
      <c r="AS71" s="505"/>
      <c r="AT71" s="505"/>
      <c r="AU71" s="505"/>
      <c r="AV71" s="505"/>
      <c r="AW71" s="505"/>
      <c r="AX71" s="505"/>
      <c r="AY71" s="505"/>
      <c r="AZ71" s="505"/>
      <c r="BA71" s="505"/>
      <c r="BB71" s="505"/>
      <c r="BC71" s="505"/>
      <c r="BD71" s="505"/>
      <c r="BE71" s="505"/>
      <c r="BF71" s="505"/>
      <c r="BG71" s="505"/>
      <c r="BH71" s="505"/>
      <c r="BI71" s="505"/>
      <c r="BJ71" s="505"/>
      <c r="BK71" s="505"/>
      <c r="BL71" s="505"/>
      <c r="BM71" s="505"/>
      <c r="BN71" s="505"/>
      <c r="BO71" s="505"/>
      <c r="BP71" s="505"/>
      <c r="BQ71" s="505"/>
      <c r="BR71" s="505"/>
      <c r="BS71" s="505"/>
      <c r="BT71" s="505"/>
      <c r="BU71" s="505"/>
      <c r="BV71" s="505"/>
      <c r="BW71" s="505"/>
      <c r="BX71" s="505"/>
      <c r="BY71" s="505"/>
      <c r="BZ71" s="505"/>
      <c r="CA71" s="505"/>
      <c r="CB71" s="505"/>
      <c r="CC71" s="505"/>
      <c r="CD71" s="505"/>
      <c r="CE71" s="505"/>
      <c r="CF71" s="505"/>
      <c r="CG71" s="505"/>
      <c r="CH71" s="505"/>
      <c r="CI71" s="505"/>
      <c r="CJ71" s="505"/>
      <c r="CK71" s="505"/>
      <c r="CL71" s="505"/>
      <c r="CM71" s="505"/>
      <c r="CN71" s="505"/>
      <c r="CO71" s="505"/>
      <c r="CP71" s="505"/>
      <c r="CQ71" s="505"/>
      <c r="CR71" s="505"/>
      <c r="CS71" s="505"/>
      <c r="CT71" s="505"/>
      <c r="CU71" s="505"/>
      <c r="CV71" s="505"/>
      <c r="CW71" s="505"/>
      <c r="CX71" s="505"/>
      <c r="CY71" s="505"/>
      <c r="CZ71" s="505"/>
      <c r="DA71" s="505"/>
      <c r="DB71" s="505"/>
      <c r="DC71" s="505"/>
      <c r="DD71" s="505"/>
      <c r="DE71" s="505"/>
      <c r="DF71" s="505"/>
      <c r="DG71" s="505"/>
      <c r="DH71" s="505"/>
      <c r="DI71" s="505"/>
      <c r="DJ71" s="505"/>
      <c r="DK71" s="505"/>
      <c r="DL71" s="505"/>
      <c r="DM71" s="505"/>
      <c r="DN71" s="505"/>
      <c r="DO71" s="505"/>
      <c r="DP71" s="505"/>
    </row>
    <row r="72" spans="1:120" hidden="1" outlineLevel="1" x14ac:dyDescent="0.2">
      <c r="A72" s="517">
        <f t="shared" si="26"/>
        <v>36982</v>
      </c>
      <c r="B72" s="517" t="str">
        <f t="shared" si="23"/>
        <v>2Q01</v>
      </c>
      <c r="C72" s="517" t="str">
        <f t="shared" si="27"/>
        <v>2Q01</v>
      </c>
      <c r="D72" s="518">
        <f t="shared" si="28"/>
        <v>37057</v>
      </c>
      <c r="E72" s="518">
        <f t="shared" si="28"/>
        <v>36997</v>
      </c>
      <c r="F72" s="520">
        <v>1.4369999999999998</v>
      </c>
      <c r="G72" s="521">
        <f t="shared" si="24"/>
        <v>6.0000000000000005E-2</v>
      </c>
      <c r="H72" s="521">
        <f t="shared" si="25"/>
        <v>6.0000000000000005E-2</v>
      </c>
      <c r="I72" s="521">
        <f t="shared" si="29"/>
        <v>4.499999999999992</v>
      </c>
      <c r="J72" s="521">
        <f t="shared" si="29"/>
        <v>4.5499999999999918</v>
      </c>
      <c r="K72" s="521">
        <f t="shared" si="30"/>
        <v>0.68000000000000038</v>
      </c>
      <c r="L72" s="505"/>
      <c r="M72" s="528"/>
      <c r="N72" s="505"/>
      <c r="O72" s="505"/>
      <c r="P72" s="505"/>
      <c r="Q72" s="505"/>
      <c r="R72" s="505"/>
      <c r="S72" s="505"/>
      <c r="T72" s="505"/>
      <c r="U72" s="505"/>
      <c r="V72" s="505"/>
      <c r="W72" s="505"/>
      <c r="X72" s="505"/>
      <c r="Y72" s="505"/>
      <c r="Z72" s="505"/>
      <c r="AA72" s="505"/>
      <c r="AB72" s="505"/>
      <c r="AC72" s="505"/>
      <c r="AD72" s="505"/>
      <c r="AE72" s="505"/>
      <c r="AF72" s="505"/>
      <c r="AG72" s="505"/>
      <c r="AH72" s="505"/>
      <c r="AI72" s="505"/>
      <c r="AJ72" s="505"/>
      <c r="AK72" s="505"/>
      <c r="AL72" s="505"/>
      <c r="AM72" s="505"/>
      <c r="AN72" s="505"/>
      <c r="AO72" s="505"/>
      <c r="AP72" s="505"/>
      <c r="AQ72" s="505"/>
      <c r="AR72" s="505"/>
      <c r="AS72" s="505"/>
      <c r="AT72" s="505"/>
      <c r="AU72" s="505"/>
      <c r="AV72" s="505"/>
      <c r="AW72" s="505"/>
      <c r="AX72" s="505"/>
      <c r="AY72" s="505"/>
      <c r="AZ72" s="505"/>
      <c r="BA72" s="505"/>
      <c r="BB72" s="505"/>
      <c r="BC72" s="505"/>
      <c r="BD72" s="505"/>
      <c r="BE72" s="505"/>
      <c r="BF72" s="505"/>
      <c r="BG72" s="505"/>
      <c r="BH72" s="505"/>
      <c r="BI72" s="505"/>
      <c r="BJ72" s="505"/>
      <c r="BK72" s="505"/>
      <c r="BL72" s="505"/>
      <c r="BM72" s="505"/>
      <c r="BN72" s="505"/>
      <c r="BO72" s="505"/>
      <c r="BP72" s="505"/>
      <c r="BQ72" s="505"/>
      <c r="BR72" s="505"/>
      <c r="BS72" s="505"/>
      <c r="BT72" s="505"/>
      <c r="BU72" s="505"/>
      <c r="BV72" s="505"/>
      <c r="BW72" s="505"/>
      <c r="BX72" s="505"/>
      <c r="BY72" s="505"/>
      <c r="BZ72" s="505"/>
      <c r="CA72" s="505"/>
      <c r="CB72" s="505"/>
      <c r="CC72" s="505"/>
      <c r="CD72" s="505"/>
      <c r="CE72" s="505"/>
      <c r="CF72" s="505"/>
      <c r="CG72" s="505"/>
      <c r="CH72" s="505"/>
      <c r="CI72" s="505"/>
      <c r="CJ72" s="505"/>
      <c r="CK72" s="505"/>
      <c r="CL72" s="505"/>
      <c r="CM72" s="505"/>
      <c r="CN72" s="505"/>
      <c r="CO72" s="505"/>
      <c r="CP72" s="505"/>
      <c r="CQ72" s="505"/>
      <c r="CR72" s="505"/>
      <c r="CS72" s="505"/>
      <c r="CT72" s="505"/>
      <c r="CU72" s="505"/>
      <c r="CV72" s="505"/>
      <c r="CW72" s="505"/>
      <c r="CX72" s="505"/>
      <c r="CY72" s="505"/>
      <c r="CZ72" s="505"/>
      <c r="DA72" s="505"/>
      <c r="DB72" s="505"/>
      <c r="DC72" s="505"/>
      <c r="DD72" s="505"/>
      <c r="DE72" s="505"/>
      <c r="DF72" s="505"/>
      <c r="DG72" s="505"/>
      <c r="DH72" s="505"/>
      <c r="DI72" s="505"/>
      <c r="DJ72" s="505"/>
      <c r="DK72" s="505"/>
      <c r="DL72" s="505"/>
      <c r="DM72" s="505"/>
      <c r="DN72" s="505"/>
      <c r="DO72" s="505"/>
      <c r="DP72" s="505"/>
    </row>
    <row r="73" spans="1:120" hidden="1" outlineLevel="1" x14ac:dyDescent="0.2">
      <c r="A73" s="517">
        <f t="shared" si="26"/>
        <v>36982</v>
      </c>
      <c r="B73" s="517" t="str">
        <f t="shared" si="23"/>
        <v>2Q01</v>
      </c>
      <c r="C73" s="517" t="str">
        <f t="shared" si="27"/>
        <v>2Q01</v>
      </c>
      <c r="D73" s="518">
        <f t="shared" si="28"/>
        <v>37064</v>
      </c>
      <c r="E73" s="518">
        <f t="shared" si="28"/>
        <v>37004</v>
      </c>
      <c r="F73" s="520">
        <v>1.4430000000000001</v>
      </c>
      <c r="G73" s="521">
        <f t="shared" si="24"/>
        <v>6.0000000000000005E-2</v>
      </c>
      <c r="H73" s="521">
        <f t="shared" si="25"/>
        <v>6.0000000000000005E-2</v>
      </c>
      <c r="I73" s="521">
        <f t="shared" si="29"/>
        <v>4.5499999999999918</v>
      </c>
      <c r="J73" s="521">
        <f t="shared" si="29"/>
        <v>4.5999999999999917</v>
      </c>
      <c r="K73" s="521">
        <f t="shared" si="30"/>
        <v>0.69000000000000039</v>
      </c>
      <c r="L73" s="505"/>
      <c r="M73" s="528"/>
      <c r="N73" s="505"/>
      <c r="O73" s="505"/>
      <c r="P73" s="505"/>
      <c r="Q73" s="505"/>
      <c r="R73" s="505"/>
      <c r="S73" s="505"/>
      <c r="T73" s="505"/>
      <c r="U73" s="505"/>
      <c r="V73" s="505"/>
      <c r="W73" s="505"/>
      <c r="X73" s="505"/>
      <c r="Y73" s="505"/>
      <c r="Z73" s="505"/>
      <c r="AA73" s="505"/>
      <c r="AB73" s="505"/>
      <c r="AC73" s="505"/>
      <c r="AD73" s="505"/>
      <c r="AE73" s="505"/>
      <c r="AF73" s="505"/>
      <c r="AG73" s="505"/>
      <c r="AH73" s="505"/>
      <c r="AI73" s="505"/>
      <c r="AJ73" s="505"/>
      <c r="AK73" s="505"/>
      <c r="AL73" s="505"/>
      <c r="AM73" s="505"/>
      <c r="AN73" s="505"/>
      <c r="AO73" s="505"/>
      <c r="AP73" s="505"/>
      <c r="AQ73" s="505"/>
      <c r="AR73" s="505"/>
      <c r="AS73" s="505"/>
      <c r="AT73" s="505"/>
      <c r="AU73" s="505"/>
      <c r="AV73" s="505"/>
      <c r="AW73" s="505"/>
      <c r="AX73" s="505"/>
      <c r="AY73" s="505"/>
      <c r="AZ73" s="505"/>
      <c r="BA73" s="505"/>
      <c r="BB73" s="505"/>
      <c r="BC73" s="505"/>
      <c r="BD73" s="505"/>
      <c r="BE73" s="505"/>
      <c r="BF73" s="505"/>
      <c r="BG73" s="505"/>
      <c r="BH73" s="505"/>
      <c r="BI73" s="505"/>
      <c r="BJ73" s="505"/>
      <c r="BK73" s="505"/>
      <c r="BL73" s="505"/>
      <c r="BM73" s="505"/>
      <c r="BN73" s="505"/>
      <c r="BO73" s="505"/>
      <c r="BP73" s="505"/>
      <c r="BQ73" s="505"/>
      <c r="BR73" s="505"/>
      <c r="BS73" s="505"/>
      <c r="BT73" s="505"/>
      <c r="BU73" s="505"/>
      <c r="BV73" s="505"/>
      <c r="BW73" s="505"/>
      <c r="BX73" s="505"/>
      <c r="BY73" s="505"/>
      <c r="BZ73" s="505"/>
      <c r="CA73" s="505"/>
      <c r="CB73" s="505"/>
      <c r="CC73" s="505"/>
      <c r="CD73" s="505"/>
      <c r="CE73" s="505"/>
      <c r="CF73" s="505"/>
      <c r="CG73" s="505"/>
      <c r="CH73" s="505"/>
      <c r="CI73" s="505"/>
      <c r="CJ73" s="505"/>
      <c r="CK73" s="505"/>
      <c r="CL73" s="505"/>
      <c r="CM73" s="505"/>
      <c r="CN73" s="505"/>
      <c r="CO73" s="505"/>
      <c r="CP73" s="505"/>
      <c r="CQ73" s="505"/>
      <c r="CR73" s="505"/>
      <c r="CS73" s="505"/>
      <c r="CT73" s="505"/>
      <c r="CU73" s="505"/>
      <c r="CV73" s="505"/>
      <c r="CW73" s="505"/>
      <c r="CX73" s="505"/>
      <c r="CY73" s="505"/>
      <c r="CZ73" s="505"/>
      <c r="DA73" s="505"/>
      <c r="DB73" s="505"/>
      <c r="DC73" s="505"/>
      <c r="DD73" s="505"/>
      <c r="DE73" s="505"/>
      <c r="DF73" s="505"/>
      <c r="DG73" s="505"/>
      <c r="DH73" s="505"/>
      <c r="DI73" s="505"/>
      <c r="DJ73" s="505"/>
      <c r="DK73" s="505"/>
      <c r="DL73" s="505"/>
      <c r="DM73" s="505"/>
      <c r="DN73" s="505"/>
      <c r="DO73" s="505"/>
      <c r="DP73" s="505"/>
    </row>
    <row r="74" spans="1:120" hidden="1" outlineLevel="1" x14ac:dyDescent="0.2">
      <c r="A74" s="517">
        <f t="shared" si="26"/>
        <v>36982</v>
      </c>
      <c r="B74" s="517" t="str">
        <f t="shared" si="23"/>
        <v>2Q01</v>
      </c>
      <c r="C74" s="517" t="str">
        <f t="shared" si="27"/>
        <v>2Q01</v>
      </c>
      <c r="D74" s="518">
        <f t="shared" si="28"/>
        <v>37071</v>
      </c>
      <c r="E74" s="518">
        <f t="shared" si="28"/>
        <v>37011</v>
      </c>
      <c r="F74" s="520">
        <v>1.4419999999999999</v>
      </c>
      <c r="G74" s="521">
        <f t="shared" si="24"/>
        <v>6.0000000000000005E-2</v>
      </c>
      <c r="H74" s="521">
        <f t="shared" si="25"/>
        <v>7.0000000000000007E-2</v>
      </c>
      <c r="I74" s="521">
        <f t="shared" si="29"/>
        <v>4.5999999999999917</v>
      </c>
      <c r="J74" s="521">
        <f t="shared" si="29"/>
        <v>4.6499999999999915</v>
      </c>
      <c r="K74" s="521">
        <f t="shared" si="30"/>
        <v>0.7000000000000004</v>
      </c>
      <c r="L74" s="505"/>
      <c r="M74" s="528"/>
      <c r="N74" s="505"/>
      <c r="O74" s="505"/>
      <c r="P74" s="505"/>
      <c r="Q74" s="505"/>
      <c r="R74" s="505"/>
      <c r="S74" s="505"/>
      <c r="T74" s="505"/>
      <c r="U74" s="505"/>
      <c r="V74" s="505"/>
      <c r="W74" s="505"/>
      <c r="X74" s="505"/>
      <c r="Y74" s="505"/>
      <c r="Z74" s="505"/>
      <c r="AA74" s="505"/>
      <c r="AB74" s="505"/>
      <c r="AC74" s="505"/>
      <c r="AD74" s="505"/>
      <c r="AE74" s="505"/>
      <c r="AF74" s="505"/>
      <c r="AG74" s="505"/>
      <c r="AH74" s="505"/>
      <c r="AI74" s="505"/>
      <c r="AJ74" s="505"/>
      <c r="AK74" s="505"/>
      <c r="AL74" s="505"/>
      <c r="AM74" s="505"/>
      <c r="AN74" s="505"/>
      <c r="AO74" s="505"/>
      <c r="AP74" s="505"/>
      <c r="AQ74" s="505"/>
      <c r="AR74" s="505"/>
      <c r="AS74" s="505"/>
      <c r="AT74" s="505"/>
      <c r="AU74" s="505"/>
      <c r="AV74" s="505"/>
      <c r="AW74" s="505"/>
      <c r="AX74" s="505"/>
      <c r="AY74" s="505"/>
      <c r="AZ74" s="505"/>
      <c r="BA74" s="505"/>
      <c r="BB74" s="505"/>
      <c r="BC74" s="505"/>
      <c r="BD74" s="505"/>
      <c r="BE74" s="505"/>
      <c r="BF74" s="505"/>
      <c r="BG74" s="505"/>
      <c r="BH74" s="505"/>
      <c r="BI74" s="505"/>
      <c r="BJ74" s="505"/>
      <c r="BK74" s="505"/>
      <c r="BL74" s="505"/>
      <c r="BM74" s="505"/>
      <c r="BN74" s="505"/>
      <c r="BO74" s="505"/>
      <c r="BP74" s="505"/>
      <c r="BQ74" s="505"/>
      <c r="BR74" s="505"/>
      <c r="BS74" s="505"/>
      <c r="BT74" s="505"/>
      <c r="BU74" s="505"/>
      <c r="BV74" s="505"/>
      <c r="BW74" s="505"/>
      <c r="BX74" s="505"/>
      <c r="BY74" s="505"/>
      <c r="BZ74" s="505"/>
      <c r="CA74" s="505"/>
      <c r="CB74" s="505"/>
      <c r="CC74" s="505"/>
      <c r="CD74" s="505"/>
      <c r="CE74" s="505"/>
      <c r="CF74" s="505"/>
      <c r="CG74" s="505"/>
      <c r="CH74" s="505"/>
      <c r="CI74" s="505"/>
      <c r="CJ74" s="505"/>
      <c r="CK74" s="505"/>
      <c r="CL74" s="505"/>
      <c r="CM74" s="505"/>
      <c r="CN74" s="505"/>
      <c r="CO74" s="505"/>
      <c r="CP74" s="505"/>
      <c r="CQ74" s="505"/>
      <c r="CR74" s="505"/>
      <c r="CS74" s="505"/>
      <c r="CT74" s="505"/>
      <c r="CU74" s="505"/>
      <c r="CV74" s="505"/>
      <c r="CW74" s="505"/>
      <c r="CX74" s="505"/>
      <c r="CY74" s="505"/>
      <c r="CZ74" s="505"/>
      <c r="DA74" s="505"/>
      <c r="DB74" s="505"/>
      <c r="DC74" s="505"/>
      <c r="DD74" s="505"/>
      <c r="DE74" s="505"/>
      <c r="DF74" s="505"/>
      <c r="DG74" s="505"/>
      <c r="DH74" s="505"/>
      <c r="DI74" s="505"/>
      <c r="DJ74" s="505"/>
      <c r="DK74" s="505"/>
      <c r="DL74" s="505"/>
      <c r="DM74" s="505"/>
      <c r="DN74" s="505"/>
      <c r="DO74" s="505"/>
      <c r="DP74" s="505"/>
    </row>
    <row r="75" spans="1:120" hidden="1" outlineLevel="1" x14ac:dyDescent="0.2">
      <c r="A75" s="517">
        <f t="shared" si="26"/>
        <v>37012</v>
      </c>
      <c r="B75" s="517" t="str">
        <f t="shared" si="23"/>
        <v>2Q01</v>
      </c>
      <c r="C75" s="517" t="str">
        <f t="shared" si="27"/>
        <v>3Q01</v>
      </c>
      <c r="D75" s="518">
        <f t="shared" si="28"/>
        <v>37078</v>
      </c>
      <c r="E75" s="518">
        <f t="shared" si="28"/>
        <v>37018</v>
      </c>
      <c r="F75" s="520">
        <v>1.47</v>
      </c>
      <c r="G75" s="521">
        <f t="shared" si="24"/>
        <v>7.0000000000000007E-2</v>
      </c>
      <c r="H75" s="521">
        <f t="shared" si="25"/>
        <v>7.0000000000000007E-2</v>
      </c>
      <c r="I75" s="521">
        <f t="shared" si="29"/>
        <v>4.6499999999999915</v>
      </c>
      <c r="J75" s="521">
        <f t="shared" si="29"/>
        <v>4.6999999999999913</v>
      </c>
      <c r="K75" s="521">
        <f t="shared" si="30"/>
        <v>0.71000000000000041</v>
      </c>
      <c r="L75" s="505"/>
      <c r="M75" s="528"/>
      <c r="N75" s="505"/>
      <c r="O75" s="505"/>
      <c r="P75" s="505"/>
      <c r="Q75" s="505"/>
      <c r="R75" s="505"/>
      <c r="S75" s="505"/>
      <c r="T75" s="505"/>
      <c r="U75" s="505"/>
      <c r="V75" s="505"/>
      <c r="W75" s="505"/>
      <c r="X75" s="505"/>
      <c r="Y75" s="505"/>
      <c r="Z75" s="505"/>
      <c r="AA75" s="505"/>
      <c r="AB75" s="505"/>
      <c r="AC75" s="505"/>
      <c r="AD75" s="505"/>
      <c r="AE75" s="505"/>
      <c r="AF75" s="505"/>
      <c r="AG75" s="505"/>
      <c r="AH75" s="505"/>
      <c r="AI75" s="505"/>
      <c r="AJ75" s="505"/>
      <c r="AK75" s="505"/>
      <c r="AL75" s="505"/>
      <c r="AM75" s="505"/>
      <c r="AN75" s="505"/>
      <c r="AO75" s="505"/>
      <c r="AP75" s="505"/>
      <c r="AQ75" s="505"/>
      <c r="AR75" s="505"/>
      <c r="AS75" s="505"/>
      <c r="AT75" s="505"/>
      <c r="AU75" s="505"/>
      <c r="AV75" s="505"/>
      <c r="AW75" s="505"/>
      <c r="AX75" s="505"/>
      <c r="AY75" s="505"/>
      <c r="AZ75" s="505"/>
      <c r="BA75" s="505"/>
      <c r="BB75" s="505"/>
      <c r="BC75" s="505"/>
      <c r="BD75" s="505"/>
      <c r="BE75" s="505"/>
      <c r="BF75" s="505"/>
      <c r="BG75" s="505"/>
      <c r="BH75" s="505"/>
      <c r="BI75" s="505"/>
      <c r="BJ75" s="505"/>
      <c r="BK75" s="505"/>
      <c r="BL75" s="505"/>
      <c r="BM75" s="505"/>
      <c r="BN75" s="505"/>
      <c r="BO75" s="505"/>
      <c r="BP75" s="505"/>
      <c r="BQ75" s="505"/>
      <c r="BR75" s="505"/>
      <c r="BS75" s="505"/>
      <c r="BT75" s="505"/>
      <c r="BU75" s="505"/>
      <c r="BV75" s="505"/>
      <c r="BW75" s="505"/>
      <c r="BX75" s="505"/>
      <c r="BY75" s="505"/>
      <c r="BZ75" s="505"/>
      <c r="CA75" s="505"/>
      <c r="CB75" s="505"/>
      <c r="CC75" s="505"/>
      <c r="CD75" s="505"/>
      <c r="CE75" s="505"/>
      <c r="CF75" s="505"/>
      <c r="CG75" s="505"/>
      <c r="CH75" s="505"/>
      <c r="CI75" s="505"/>
      <c r="CJ75" s="505"/>
      <c r="CK75" s="505"/>
      <c r="CL75" s="505"/>
      <c r="CM75" s="505"/>
      <c r="CN75" s="505"/>
      <c r="CO75" s="505"/>
      <c r="CP75" s="505"/>
      <c r="CQ75" s="505"/>
      <c r="CR75" s="505"/>
      <c r="CS75" s="505"/>
      <c r="CT75" s="505"/>
      <c r="CU75" s="505"/>
      <c r="CV75" s="505"/>
      <c r="CW75" s="505"/>
      <c r="CX75" s="505"/>
      <c r="CY75" s="505"/>
      <c r="CZ75" s="505"/>
      <c r="DA75" s="505"/>
      <c r="DB75" s="505"/>
      <c r="DC75" s="505"/>
      <c r="DD75" s="505"/>
      <c r="DE75" s="505"/>
      <c r="DF75" s="505"/>
      <c r="DG75" s="505"/>
      <c r="DH75" s="505"/>
      <c r="DI75" s="505"/>
      <c r="DJ75" s="505"/>
      <c r="DK75" s="505"/>
      <c r="DL75" s="505"/>
      <c r="DM75" s="505"/>
      <c r="DN75" s="505"/>
      <c r="DO75" s="505"/>
      <c r="DP75" s="505"/>
    </row>
    <row r="76" spans="1:120" hidden="1" outlineLevel="1" x14ac:dyDescent="0.2">
      <c r="A76" s="517">
        <f t="shared" si="26"/>
        <v>37012</v>
      </c>
      <c r="B76" s="517" t="str">
        <f t="shared" si="23"/>
        <v>2Q01</v>
      </c>
      <c r="C76" s="517" t="str">
        <f t="shared" si="27"/>
        <v>3Q01</v>
      </c>
      <c r="D76" s="518">
        <f t="shared" si="28"/>
        <v>37085</v>
      </c>
      <c r="E76" s="518">
        <f t="shared" si="28"/>
        <v>37025</v>
      </c>
      <c r="F76" s="520">
        <v>1.4909999999999999</v>
      </c>
      <c r="G76" s="521">
        <f t="shared" si="24"/>
        <v>7.0000000000000007E-2</v>
      </c>
      <c r="H76" s="521">
        <f t="shared" si="25"/>
        <v>7.0000000000000007E-2</v>
      </c>
      <c r="I76" s="521">
        <f t="shared" si="29"/>
        <v>4.6999999999999913</v>
      </c>
      <c r="J76" s="521">
        <f t="shared" si="29"/>
        <v>4.7499999999999911</v>
      </c>
      <c r="K76" s="521">
        <f t="shared" si="30"/>
        <v>0.72000000000000042</v>
      </c>
      <c r="L76" s="505"/>
      <c r="M76" s="528"/>
      <c r="N76" s="505"/>
      <c r="O76" s="505"/>
      <c r="P76" s="505"/>
      <c r="Q76" s="505"/>
      <c r="R76" s="505"/>
      <c r="S76" s="505"/>
      <c r="T76" s="505"/>
      <c r="U76" s="505"/>
      <c r="V76" s="505"/>
      <c r="W76" s="505"/>
      <c r="X76" s="505"/>
      <c r="Y76" s="505"/>
      <c r="Z76" s="505"/>
      <c r="AA76" s="505"/>
      <c r="AB76" s="505"/>
      <c r="AC76" s="505"/>
      <c r="AD76" s="505"/>
      <c r="AE76" s="505"/>
      <c r="AF76" s="505"/>
      <c r="AG76" s="505"/>
      <c r="AH76" s="505"/>
      <c r="AI76" s="505"/>
      <c r="AJ76" s="505"/>
      <c r="AK76" s="505"/>
      <c r="AL76" s="505"/>
      <c r="AM76" s="505"/>
      <c r="AN76" s="505"/>
      <c r="AO76" s="505"/>
      <c r="AP76" s="505"/>
      <c r="AQ76" s="505"/>
      <c r="AR76" s="505"/>
      <c r="AS76" s="505"/>
      <c r="AT76" s="505"/>
      <c r="AU76" s="505"/>
      <c r="AV76" s="505"/>
      <c r="AW76" s="505"/>
      <c r="AX76" s="505"/>
      <c r="AY76" s="505"/>
      <c r="AZ76" s="505"/>
      <c r="BA76" s="505"/>
      <c r="BB76" s="505"/>
      <c r="BC76" s="505"/>
      <c r="BD76" s="505"/>
      <c r="BE76" s="505"/>
      <c r="BF76" s="505"/>
      <c r="BG76" s="505"/>
      <c r="BH76" s="505"/>
      <c r="BI76" s="505"/>
      <c r="BJ76" s="505"/>
      <c r="BK76" s="505"/>
      <c r="BL76" s="505"/>
      <c r="BM76" s="505"/>
      <c r="BN76" s="505"/>
      <c r="BO76" s="505"/>
      <c r="BP76" s="505"/>
      <c r="BQ76" s="505"/>
      <c r="BR76" s="505"/>
      <c r="BS76" s="505"/>
      <c r="BT76" s="505"/>
      <c r="BU76" s="505"/>
      <c r="BV76" s="505"/>
      <c r="BW76" s="505"/>
      <c r="BX76" s="505"/>
      <c r="BY76" s="505"/>
      <c r="BZ76" s="505"/>
      <c r="CA76" s="505"/>
      <c r="CB76" s="505"/>
      <c r="CC76" s="505"/>
      <c r="CD76" s="505"/>
      <c r="CE76" s="505"/>
      <c r="CF76" s="505"/>
      <c r="CG76" s="505"/>
      <c r="CH76" s="505"/>
      <c r="CI76" s="505"/>
      <c r="CJ76" s="505"/>
      <c r="CK76" s="505"/>
      <c r="CL76" s="505"/>
      <c r="CM76" s="505"/>
      <c r="CN76" s="505"/>
      <c r="CO76" s="505"/>
      <c r="CP76" s="505"/>
      <c r="CQ76" s="505"/>
      <c r="CR76" s="505"/>
      <c r="CS76" s="505"/>
      <c r="CT76" s="505"/>
      <c r="CU76" s="505"/>
      <c r="CV76" s="505"/>
      <c r="CW76" s="505"/>
      <c r="CX76" s="505"/>
      <c r="CY76" s="505"/>
      <c r="CZ76" s="505"/>
      <c r="DA76" s="505"/>
      <c r="DB76" s="505"/>
      <c r="DC76" s="505"/>
      <c r="DD76" s="505"/>
      <c r="DE76" s="505"/>
      <c r="DF76" s="505"/>
      <c r="DG76" s="505"/>
      <c r="DH76" s="505"/>
      <c r="DI76" s="505"/>
      <c r="DJ76" s="505"/>
      <c r="DK76" s="505"/>
      <c r="DL76" s="505"/>
      <c r="DM76" s="505"/>
      <c r="DN76" s="505"/>
      <c r="DO76" s="505"/>
      <c r="DP76" s="505"/>
    </row>
    <row r="77" spans="1:120" hidden="1" outlineLevel="1" x14ac:dyDescent="0.2">
      <c r="A77" s="517">
        <f t="shared" si="26"/>
        <v>37012</v>
      </c>
      <c r="B77" s="517" t="str">
        <f t="shared" si="23"/>
        <v>2Q01</v>
      </c>
      <c r="C77" s="517" t="str">
        <f t="shared" si="27"/>
        <v>3Q01</v>
      </c>
      <c r="D77" s="518">
        <f t="shared" si="28"/>
        <v>37092</v>
      </c>
      <c r="E77" s="518">
        <f t="shared" si="28"/>
        <v>37032</v>
      </c>
      <c r="F77" s="520">
        <v>1.494</v>
      </c>
      <c r="G77" s="521">
        <f t="shared" si="24"/>
        <v>7.0000000000000007E-2</v>
      </c>
      <c r="H77" s="521">
        <f t="shared" si="25"/>
        <v>0.08</v>
      </c>
      <c r="I77" s="521">
        <f t="shared" si="29"/>
        <v>4.7499999999999911</v>
      </c>
      <c r="J77" s="521">
        <f t="shared" si="29"/>
        <v>4.7999999999999909</v>
      </c>
      <c r="K77" s="521">
        <f t="shared" si="30"/>
        <v>0.73000000000000043</v>
      </c>
      <c r="L77" s="505"/>
      <c r="M77" s="528"/>
      <c r="N77" s="505"/>
      <c r="O77" s="505"/>
      <c r="P77" s="505"/>
      <c r="Q77" s="505"/>
      <c r="R77" s="505"/>
      <c r="S77" s="505"/>
      <c r="T77" s="505"/>
      <c r="U77" s="505"/>
      <c r="V77" s="505"/>
      <c r="W77" s="505"/>
      <c r="X77" s="505"/>
      <c r="Y77" s="505"/>
      <c r="Z77" s="505"/>
      <c r="AA77" s="505"/>
      <c r="AB77" s="505"/>
      <c r="AC77" s="505"/>
      <c r="AD77" s="505"/>
      <c r="AE77" s="505"/>
      <c r="AF77" s="505"/>
      <c r="AG77" s="505"/>
      <c r="AH77" s="505"/>
      <c r="AI77" s="505"/>
      <c r="AJ77" s="505"/>
      <c r="AK77" s="505"/>
      <c r="AL77" s="505"/>
      <c r="AM77" s="505"/>
      <c r="AN77" s="505"/>
      <c r="AO77" s="505"/>
      <c r="AP77" s="505"/>
      <c r="AQ77" s="505"/>
      <c r="AR77" s="505"/>
      <c r="AS77" s="505"/>
      <c r="AT77" s="505"/>
      <c r="AU77" s="505"/>
      <c r="AV77" s="505"/>
      <c r="AW77" s="505"/>
      <c r="AX77" s="505"/>
      <c r="AY77" s="505"/>
      <c r="AZ77" s="505"/>
      <c r="BA77" s="505"/>
      <c r="BB77" s="505"/>
      <c r="BC77" s="505"/>
      <c r="BD77" s="505"/>
      <c r="BE77" s="505"/>
      <c r="BF77" s="505"/>
      <c r="BG77" s="505"/>
      <c r="BH77" s="505"/>
      <c r="BI77" s="505"/>
      <c r="BJ77" s="505"/>
      <c r="BK77" s="505"/>
      <c r="BL77" s="505"/>
      <c r="BM77" s="505"/>
      <c r="BN77" s="505"/>
      <c r="BO77" s="505"/>
      <c r="BP77" s="505"/>
      <c r="BQ77" s="505"/>
      <c r="BR77" s="505"/>
      <c r="BS77" s="505"/>
      <c r="BT77" s="505"/>
      <c r="BU77" s="505"/>
      <c r="BV77" s="505"/>
      <c r="BW77" s="505"/>
      <c r="BX77" s="505"/>
      <c r="BY77" s="505"/>
      <c r="BZ77" s="505"/>
      <c r="CA77" s="505"/>
      <c r="CB77" s="505"/>
      <c r="CC77" s="505"/>
      <c r="CD77" s="505"/>
      <c r="CE77" s="505"/>
      <c r="CF77" s="505"/>
      <c r="CG77" s="505"/>
      <c r="CH77" s="505"/>
      <c r="CI77" s="505"/>
      <c r="CJ77" s="505"/>
      <c r="CK77" s="505"/>
      <c r="CL77" s="505"/>
      <c r="CM77" s="505"/>
      <c r="CN77" s="505"/>
      <c r="CO77" s="505"/>
      <c r="CP77" s="505"/>
      <c r="CQ77" s="505"/>
      <c r="CR77" s="505"/>
      <c r="CS77" s="505"/>
      <c r="CT77" s="505"/>
      <c r="CU77" s="505"/>
      <c r="CV77" s="505"/>
      <c r="CW77" s="505"/>
      <c r="CX77" s="505"/>
      <c r="CY77" s="505"/>
      <c r="CZ77" s="505"/>
      <c r="DA77" s="505"/>
      <c r="DB77" s="505"/>
      <c r="DC77" s="505"/>
      <c r="DD77" s="505"/>
      <c r="DE77" s="505"/>
      <c r="DF77" s="505"/>
      <c r="DG77" s="505"/>
      <c r="DH77" s="505"/>
      <c r="DI77" s="505"/>
      <c r="DJ77" s="505"/>
      <c r="DK77" s="505"/>
      <c r="DL77" s="505"/>
      <c r="DM77" s="505"/>
      <c r="DN77" s="505"/>
      <c r="DO77" s="505"/>
      <c r="DP77" s="505"/>
    </row>
    <row r="78" spans="1:120" hidden="1" outlineLevel="1" x14ac:dyDescent="0.2">
      <c r="A78" s="517">
        <f t="shared" si="26"/>
        <v>37012</v>
      </c>
      <c r="B78" s="517" t="str">
        <f t="shared" si="23"/>
        <v>2Q01</v>
      </c>
      <c r="C78" s="517" t="str">
        <f t="shared" si="27"/>
        <v>3Q01</v>
      </c>
      <c r="D78" s="518">
        <f t="shared" si="28"/>
        <v>37099</v>
      </c>
      <c r="E78" s="518">
        <f t="shared" si="28"/>
        <v>37039</v>
      </c>
      <c r="F78" s="520">
        <v>1.5290000000000001</v>
      </c>
      <c r="G78" s="521">
        <f t="shared" si="24"/>
        <v>0.08</v>
      </c>
      <c r="H78" s="521">
        <f t="shared" si="25"/>
        <v>0.08</v>
      </c>
      <c r="I78" s="521">
        <f t="shared" si="29"/>
        <v>4.7999999999999909</v>
      </c>
      <c r="J78" s="521">
        <f t="shared" si="29"/>
        <v>4.8499999999999908</v>
      </c>
      <c r="K78" s="521">
        <f t="shared" si="30"/>
        <v>0.74000000000000044</v>
      </c>
      <c r="L78" s="505"/>
      <c r="M78" s="528"/>
      <c r="N78" s="505"/>
      <c r="O78" s="505"/>
      <c r="P78" s="505"/>
      <c r="Q78" s="505"/>
      <c r="R78" s="505"/>
      <c r="S78" s="505"/>
      <c r="T78" s="505"/>
      <c r="U78" s="505"/>
      <c r="V78" s="505"/>
      <c r="W78" s="505"/>
      <c r="X78" s="505"/>
      <c r="Y78" s="505"/>
      <c r="Z78" s="505"/>
      <c r="AA78" s="505"/>
      <c r="AB78" s="505"/>
      <c r="AC78" s="505"/>
      <c r="AD78" s="505"/>
      <c r="AE78" s="505"/>
      <c r="AF78" s="505"/>
      <c r="AG78" s="505"/>
      <c r="AH78" s="505"/>
      <c r="AI78" s="505"/>
      <c r="AJ78" s="505"/>
      <c r="AK78" s="505"/>
      <c r="AL78" s="505"/>
      <c r="AM78" s="505"/>
      <c r="AN78" s="505"/>
      <c r="AO78" s="505"/>
      <c r="AP78" s="505"/>
      <c r="AQ78" s="505"/>
      <c r="AR78" s="505"/>
      <c r="AS78" s="505"/>
      <c r="AT78" s="505"/>
      <c r="AU78" s="505"/>
      <c r="AV78" s="505"/>
      <c r="AW78" s="505"/>
      <c r="AX78" s="505"/>
      <c r="AY78" s="505"/>
      <c r="AZ78" s="505"/>
      <c r="BA78" s="505"/>
      <c r="BB78" s="505"/>
      <c r="BC78" s="505"/>
      <c r="BD78" s="505"/>
      <c r="BE78" s="505"/>
      <c r="BF78" s="505"/>
      <c r="BG78" s="505"/>
      <c r="BH78" s="505"/>
      <c r="BI78" s="505"/>
      <c r="BJ78" s="505"/>
      <c r="BK78" s="505"/>
      <c r="BL78" s="505"/>
      <c r="BM78" s="505"/>
      <c r="BN78" s="505"/>
      <c r="BO78" s="505"/>
      <c r="BP78" s="505"/>
      <c r="BQ78" s="505"/>
      <c r="BR78" s="505"/>
      <c r="BS78" s="505"/>
      <c r="BT78" s="505"/>
      <c r="BU78" s="505"/>
      <c r="BV78" s="505"/>
      <c r="BW78" s="505"/>
      <c r="BX78" s="505"/>
      <c r="BY78" s="505"/>
      <c r="BZ78" s="505"/>
      <c r="CA78" s="505"/>
      <c r="CB78" s="505"/>
      <c r="CC78" s="505"/>
      <c r="CD78" s="505"/>
      <c r="CE78" s="505"/>
      <c r="CF78" s="505"/>
      <c r="CG78" s="505"/>
      <c r="CH78" s="505"/>
      <c r="CI78" s="505"/>
      <c r="CJ78" s="505"/>
      <c r="CK78" s="505"/>
      <c r="CL78" s="505"/>
      <c r="CM78" s="505"/>
      <c r="CN78" s="505"/>
      <c r="CO78" s="505"/>
      <c r="CP78" s="505"/>
      <c r="CQ78" s="505"/>
      <c r="CR78" s="505"/>
      <c r="CS78" s="505"/>
      <c r="CT78" s="505"/>
      <c r="CU78" s="505"/>
      <c r="CV78" s="505"/>
      <c r="CW78" s="505"/>
      <c r="CX78" s="505"/>
      <c r="CY78" s="505"/>
      <c r="CZ78" s="505"/>
      <c r="DA78" s="505"/>
      <c r="DB78" s="505"/>
      <c r="DC78" s="505"/>
      <c r="DD78" s="505"/>
      <c r="DE78" s="505"/>
      <c r="DF78" s="505"/>
      <c r="DG78" s="505"/>
      <c r="DH78" s="505"/>
      <c r="DI78" s="505"/>
      <c r="DJ78" s="505"/>
      <c r="DK78" s="505"/>
      <c r="DL78" s="505"/>
      <c r="DM78" s="505"/>
      <c r="DN78" s="505"/>
      <c r="DO78" s="505"/>
      <c r="DP78" s="505"/>
    </row>
    <row r="79" spans="1:120" hidden="1" outlineLevel="1" x14ac:dyDescent="0.2">
      <c r="A79" s="517">
        <f t="shared" si="26"/>
        <v>37043</v>
      </c>
      <c r="B79" s="517" t="str">
        <f t="shared" si="23"/>
        <v>2Q01</v>
      </c>
      <c r="C79" s="517" t="str">
        <f t="shared" si="27"/>
        <v>3Q01</v>
      </c>
      <c r="D79" s="518">
        <f t="shared" si="28"/>
        <v>37106</v>
      </c>
      <c r="E79" s="518">
        <f t="shared" si="28"/>
        <v>37046</v>
      </c>
      <c r="F79" s="520">
        <v>1.514</v>
      </c>
      <c r="G79" s="521">
        <f t="shared" si="24"/>
        <v>0.08</v>
      </c>
      <c r="H79" s="521">
        <f t="shared" si="25"/>
        <v>7.0000000000000007E-2</v>
      </c>
      <c r="I79" s="521">
        <f t="shared" si="29"/>
        <v>4.8499999999999908</v>
      </c>
      <c r="J79" s="521">
        <f t="shared" si="29"/>
        <v>4.8999999999999906</v>
      </c>
      <c r="K79" s="521">
        <f t="shared" si="30"/>
        <v>0.75000000000000044</v>
      </c>
      <c r="L79" s="505"/>
      <c r="M79" s="528"/>
      <c r="N79" s="505"/>
      <c r="O79" s="505"/>
      <c r="P79" s="505"/>
      <c r="Q79" s="505"/>
      <c r="R79" s="505"/>
      <c r="S79" s="505"/>
      <c r="T79" s="505"/>
      <c r="U79" s="505"/>
      <c r="V79" s="505"/>
      <c r="W79" s="505"/>
      <c r="X79" s="505"/>
      <c r="Y79" s="505"/>
      <c r="Z79" s="505"/>
      <c r="AA79" s="505"/>
      <c r="AB79" s="505"/>
      <c r="AC79" s="505"/>
      <c r="AD79" s="505"/>
      <c r="AE79" s="505"/>
      <c r="AF79" s="505"/>
      <c r="AG79" s="505"/>
      <c r="AH79" s="505"/>
      <c r="AI79" s="505"/>
      <c r="AJ79" s="505"/>
      <c r="AK79" s="505"/>
      <c r="AL79" s="505"/>
      <c r="AM79" s="505"/>
      <c r="AN79" s="505"/>
      <c r="AO79" s="505"/>
      <c r="AP79" s="505"/>
      <c r="AQ79" s="505"/>
      <c r="AR79" s="505"/>
      <c r="AS79" s="505"/>
      <c r="AT79" s="505"/>
      <c r="AU79" s="505"/>
      <c r="AV79" s="505"/>
      <c r="AW79" s="505"/>
      <c r="AX79" s="505"/>
      <c r="AY79" s="505"/>
      <c r="AZ79" s="505"/>
      <c r="BA79" s="505"/>
      <c r="BB79" s="505"/>
      <c r="BC79" s="505"/>
      <c r="BD79" s="505"/>
      <c r="BE79" s="505"/>
      <c r="BF79" s="505"/>
      <c r="BG79" s="505"/>
      <c r="BH79" s="505"/>
      <c r="BI79" s="505"/>
      <c r="BJ79" s="505"/>
      <c r="BK79" s="505"/>
      <c r="BL79" s="505"/>
      <c r="BM79" s="505"/>
      <c r="BN79" s="505"/>
      <c r="BO79" s="505"/>
      <c r="BP79" s="505"/>
      <c r="BQ79" s="505"/>
      <c r="BR79" s="505"/>
      <c r="BS79" s="505"/>
      <c r="BT79" s="505"/>
      <c r="BU79" s="505"/>
      <c r="BV79" s="505"/>
      <c r="BW79" s="505"/>
      <c r="BX79" s="505"/>
      <c r="BY79" s="505"/>
      <c r="BZ79" s="505"/>
      <c r="CA79" s="505"/>
      <c r="CB79" s="505"/>
      <c r="CC79" s="505"/>
      <c r="CD79" s="505"/>
      <c r="CE79" s="505"/>
      <c r="CF79" s="505"/>
      <c r="CG79" s="505"/>
      <c r="CH79" s="505"/>
      <c r="CI79" s="505"/>
      <c r="CJ79" s="505"/>
      <c r="CK79" s="505"/>
      <c r="CL79" s="505"/>
      <c r="CM79" s="505"/>
      <c r="CN79" s="505"/>
      <c r="CO79" s="505"/>
      <c r="CP79" s="505"/>
      <c r="CQ79" s="505"/>
      <c r="CR79" s="505"/>
      <c r="CS79" s="505"/>
      <c r="CT79" s="505"/>
      <c r="CU79" s="505"/>
      <c r="CV79" s="505"/>
      <c r="CW79" s="505"/>
      <c r="CX79" s="505"/>
      <c r="CY79" s="505"/>
      <c r="CZ79" s="505"/>
      <c r="DA79" s="505"/>
      <c r="DB79" s="505"/>
      <c r="DC79" s="505"/>
      <c r="DD79" s="505"/>
      <c r="DE79" s="505"/>
      <c r="DF79" s="505"/>
      <c r="DG79" s="505"/>
      <c r="DH79" s="505"/>
      <c r="DI79" s="505"/>
      <c r="DJ79" s="505"/>
      <c r="DK79" s="505"/>
      <c r="DL79" s="505"/>
      <c r="DM79" s="505"/>
      <c r="DN79" s="505"/>
      <c r="DO79" s="505"/>
      <c r="DP79" s="505"/>
    </row>
    <row r="80" spans="1:120" hidden="1" outlineLevel="1" x14ac:dyDescent="0.2">
      <c r="A80" s="517">
        <f t="shared" si="26"/>
        <v>37043</v>
      </c>
      <c r="B80" s="517" t="str">
        <f t="shared" si="23"/>
        <v>2Q01</v>
      </c>
      <c r="C80" s="517" t="str">
        <f t="shared" si="27"/>
        <v>3Q01</v>
      </c>
      <c r="D80" s="518">
        <f t="shared" si="28"/>
        <v>37113</v>
      </c>
      <c r="E80" s="518">
        <f t="shared" si="28"/>
        <v>37053</v>
      </c>
      <c r="F80" s="520">
        <v>1.486</v>
      </c>
      <c r="G80" s="521">
        <f t="shared" si="24"/>
        <v>7.0000000000000007E-2</v>
      </c>
      <c r="H80" s="521">
        <f t="shared" si="25"/>
        <v>7.0000000000000007E-2</v>
      </c>
      <c r="I80" s="521">
        <f t="shared" si="29"/>
        <v>4.8999999999999906</v>
      </c>
      <c r="J80" s="521">
        <f t="shared" si="29"/>
        <v>4.9499999999999904</v>
      </c>
      <c r="K80" s="521">
        <f t="shared" si="30"/>
        <v>0.76000000000000045</v>
      </c>
      <c r="L80" s="505"/>
      <c r="M80" s="528"/>
      <c r="N80" s="505"/>
      <c r="O80" s="505"/>
      <c r="P80" s="505"/>
      <c r="Q80" s="505"/>
      <c r="R80" s="505"/>
      <c r="S80" s="505"/>
      <c r="T80" s="505"/>
      <c r="U80" s="505"/>
      <c r="V80" s="505"/>
      <c r="W80" s="505"/>
      <c r="X80" s="505"/>
      <c r="Y80" s="505"/>
      <c r="Z80" s="505"/>
      <c r="AA80" s="505"/>
      <c r="AB80" s="505"/>
      <c r="AC80" s="505"/>
      <c r="AD80" s="505"/>
      <c r="AE80" s="505"/>
      <c r="AF80" s="505"/>
      <c r="AG80" s="505"/>
      <c r="AH80" s="505"/>
      <c r="AI80" s="505"/>
      <c r="AJ80" s="505"/>
      <c r="AK80" s="505"/>
      <c r="AL80" s="505"/>
      <c r="AM80" s="505"/>
      <c r="AN80" s="505"/>
      <c r="AO80" s="505"/>
      <c r="AP80" s="505"/>
      <c r="AQ80" s="505"/>
      <c r="AR80" s="505"/>
      <c r="AS80" s="505"/>
      <c r="AT80" s="505"/>
      <c r="AU80" s="505"/>
      <c r="AV80" s="505"/>
      <c r="AW80" s="505"/>
      <c r="AX80" s="505"/>
      <c r="AY80" s="505"/>
      <c r="AZ80" s="505"/>
      <c r="BA80" s="505"/>
      <c r="BB80" s="505"/>
      <c r="BC80" s="505"/>
      <c r="BD80" s="505"/>
      <c r="BE80" s="505"/>
      <c r="BF80" s="505"/>
      <c r="BG80" s="505"/>
      <c r="BH80" s="505"/>
      <c r="BI80" s="505"/>
      <c r="BJ80" s="505"/>
      <c r="BK80" s="505"/>
      <c r="BL80" s="505"/>
      <c r="BM80" s="505"/>
      <c r="BN80" s="505"/>
      <c r="BO80" s="505"/>
      <c r="BP80" s="505"/>
      <c r="BQ80" s="505"/>
      <c r="BR80" s="505"/>
      <c r="BS80" s="505"/>
      <c r="BT80" s="505"/>
      <c r="BU80" s="505"/>
      <c r="BV80" s="505"/>
      <c r="BW80" s="505"/>
      <c r="BX80" s="505"/>
      <c r="BY80" s="505"/>
      <c r="BZ80" s="505"/>
      <c r="CA80" s="505"/>
      <c r="CB80" s="505"/>
      <c r="CC80" s="505"/>
      <c r="CD80" s="505"/>
      <c r="CE80" s="505"/>
      <c r="CF80" s="505"/>
      <c r="CG80" s="505"/>
      <c r="CH80" s="505"/>
      <c r="CI80" s="505"/>
      <c r="CJ80" s="505"/>
      <c r="CK80" s="505"/>
      <c r="CL80" s="505"/>
      <c r="CM80" s="505"/>
      <c r="CN80" s="505"/>
      <c r="CO80" s="505"/>
      <c r="CP80" s="505"/>
      <c r="CQ80" s="505"/>
      <c r="CR80" s="505"/>
      <c r="CS80" s="505"/>
      <c r="CT80" s="505"/>
      <c r="CU80" s="505"/>
      <c r="CV80" s="505"/>
      <c r="CW80" s="505"/>
      <c r="CX80" s="505"/>
      <c r="CY80" s="505"/>
      <c r="CZ80" s="505"/>
      <c r="DA80" s="505"/>
      <c r="DB80" s="505"/>
      <c r="DC80" s="505"/>
      <c r="DD80" s="505"/>
      <c r="DE80" s="505"/>
      <c r="DF80" s="505"/>
      <c r="DG80" s="505"/>
      <c r="DH80" s="505"/>
      <c r="DI80" s="505"/>
      <c r="DJ80" s="505"/>
      <c r="DK80" s="505"/>
      <c r="DL80" s="505"/>
      <c r="DM80" s="505"/>
      <c r="DN80" s="505"/>
      <c r="DO80" s="505"/>
      <c r="DP80" s="505"/>
    </row>
    <row r="81" spans="1:120" hidden="1" outlineLevel="1" x14ac:dyDescent="0.2">
      <c r="A81" s="517">
        <f t="shared" si="26"/>
        <v>37043</v>
      </c>
      <c r="B81" s="517" t="str">
        <f t="shared" si="23"/>
        <v>2Q01</v>
      </c>
      <c r="C81" s="517" t="str">
        <f t="shared" si="27"/>
        <v>3Q01</v>
      </c>
      <c r="D81" s="518">
        <f t="shared" si="28"/>
        <v>37120</v>
      </c>
      <c r="E81" s="518">
        <f t="shared" si="28"/>
        <v>37060</v>
      </c>
      <c r="F81" s="520">
        <v>1.48</v>
      </c>
      <c r="G81" s="521">
        <f t="shared" si="24"/>
        <v>7.0000000000000007E-2</v>
      </c>
      <c r="H81" s="521">
        <f t="shared" si="25"/>
        <v>6.0000000000000005E-2</v>
      </c>
      <c r="I81" s="521">
        <f t="shared" si="29"/>
        <v>4.9499999999999904</v>
      </c>
      <c r="J81" s="521">
        <f t="shared" si="29"/>
        <v>4.9999999999999902</v>
      </c>
      <c r="K81" s="521">
        <f t="shared" si="30"/>
        <v>0.77000000000000046</v>
      </c>
      <c r="L81" s="505"/>
      <c r="M81" s="528"/>
      <c r="N81" s="505"/>
      <c r="O81" s="505"/>
      <c r="P81" s="505"/>
      <c r="Q81" s="505"/>
      <c r="R81" s="505"/>
      <c r="S81" s="505"/>
      <c r="T81" s="505"/>
      <c r="U81" s="505"/>
      <c r="V81" s="505"/>
      <c r="W81" s="505"/>
      <c r="X81" s="505"/>
      <c r="Y81" s="505"/>
      <c r="Z81" s="505"/>
      <c r="AA81" s="505"/>
      <c r="AB81" s="505"/>
      <c r="AC81" s="505"/>
      <c r="AD81" s="505"/>
      <c r="AE81" s="505"/>
      <c r="AF81" s="505"/>
      <c r="AG81" s="505"/>
      <c r="AH81" s="505"/>
      <c r="AI81" s="505"/>
      <c r="AJ81" s="505"/>
      <c r="AK81" s="505"/>
      <c r="AL81" s="505"/>
      <c r="AM81" s="505"/>
      <c r="AN81" s="505"/>
      <c r="AO81" s="505"/>
      <c r="AP81" s="505"/>
      <c r="AQ81" s="505"/>
      <c r="AR81" s="505"/>
      <c r="AS81" s="505"/>
      <c r="AT81" s="505"/>
      <c r="AU81" s="505"/>
      <c r="AV81" s="505"/>
      <c r="AW81" s="505"/>
      <c r="AX81" s="505"/>
      <c r="AY81" s="505"/>
      <c r="AZ81" s="505"/>
      <c r="BA81" s="505"/>
      <c r="BB81" s="505"/>
      <c r="BC81" s="505"/>
      <c r="BD81" s="505"/>
      <c r="BE81" s="505"/>
      <c r="BF81" s="505"/>
      <c r="BG81" s="505"/>
      <c r="BH81" s="505"/>
      <c r="BI81" s="505"/>
      <c r="BJ81" s="505"/>
      <c r="BK81" s="505"/>
      <c r="BL81" s="505"/>
      <c r="BM81" s="505"/>
      <c r="BN81" s="505"/>
      <c r="BO81" s="505"/>
      <c r="BP81" s="505"/>
      <c r="BQ81" s="505"/>
      <c r="BR81" s="505"/>
      <c r="BS81" s="505"/>
      <c r="BT81" s="505"/>
      <c r="BU81" s="505"/>
      <c r="BV81" s="505"/>
      <c r="BW81" s="505"/>
      <c r="BX81" s="505"/>
      <c r="BY81" s="505"/>
      <c r="BZ81" s="505"/>
      <c r="CA81" s="505"/>
      <c r="CB81" s="505"/>
      <c r="CC81" s="505"/>
      <c r="CD81" s="505"/>
      <c r="CE81" s="505"/>
      <c r="CF81" s="505"/>
      <c r="CG81" s="505"/>
      <c r="CH81" s="505"/>
      <c r="CI81" s="505"/>
      <c r="CJ81" s="505"/>
      <c r="CK81" s="505"/>
      <c r="CL81" s="505"/>
      <c r="CM81" s="505"/>
      <c r="CN81" s="505"/>
      <c r="CO81" s="505"/>
      <c r="CP81" s="505"/>
      <c r="CQ81" s="505"/>
      <c r="CR81" s="505"/>
      <c r="CS81" s="505"/>
      <c r="CT81" s="505"/>
      <c r="CU81" s="505"/>
      <c r="CV81" s="505"/>
      <c r="CW81" s="505"/>
      <c r="CX81" s="505"/>
      <c r="CY81" s="505"/>
      <c r="CZ81" s="505"/>
      <c r="DA81" s="505"/>
      <c r="DB81" s="505"/>
      <c r="DC81" s="505"/>
      <c r="DD81" s="505"/>
      <c r="DE81" s="505"/>
      <c r="DF81" s="505"/>
      <c r="DG81" s="505"/>
      <c r="DH81" s="505"/>
      <c r="DI81" s="505"/>
      <c r="DJ81" s="505"/>
      <c r="DK81" s="505"/>
      <c r="DL81" s="505"/>
      <c r="DM81" s="505"/>
      <c r="DN81" s="505"/>
      <c r="DO81" s="505"/>
      <c r="DP81" s="505"/>
    </row>
    <row r="82" spans="1:120" hidden="1" outlineLevel="1" x14ac:dyDescent="0.2">
      <c r="A82" s="517">
        <f t="shared" si="26"/>
        <v>37043</v>
      </c>
      <c r="B82" s="517" t="str">
        <f t="shared" si="23"/>
        <v>2Q01</v>
      </c>
      <c r="C82" s="517" t="str">
        <f t="shared" si="27"/>
        <v>3Q01</v>
      </c>
      <c r="D82" s="518">
        <f t="shared" si="28"/>
        <v>37127</v>
      </c>
      <c r="E82" s="518">
        <f t="shared" si="28"/>
        <v>37067</v>
      </c>
      <c r="F82" s="520">
        <v>1.4469999999999998</v>
      </c>
      <c r="G82" s="521">
        <f t="shared" si="24"/>
        <v>6.0000000000000005E-2</v>
      </c>
      <c r="H82" s="521">
        <f t="shared" si="25"/>
        <v>6.0000000000000005E-2</v>
      </c>
      <c r="I82" s="521">
        <f t="shared" si="29"/>
        <v>4.9999999999999902</v>
      </c>
      <c r="J82" s="521">
        <f t="shared" si="29"/>
        <v>5.0499999999999901</v>
      </c>
      <c r="K82" s="521">
        <f t="shared" si="30"/>
        <v>0.78000000000000047</v>
      </c>
      <c r="L82" s="505"/>
      <c r="M82" s="528"/>
      <c r="N82" s="505"/>
      <c r="O82" s="505"/>
      <c r="P82" s="505"/>
      <c r="Q82" s="505"/>
      <c r="R82" s="505"/>
      <c r="S82" s="505"/>
      <c r="T82" s="505"/>
      <c r="U82" s="505"/>
      <c r="V82" s="505"/>
      <c r="W82" s="505"/>
      <c r="X82" s="505"/>
      <c r="Y82" s="505"/>
      <c r="Z82" s="505"/>
      <c r="AA82" s="505"/>
      <c r="AB82" s="505"/>
      <c r="AC82" s="505"/>
      <c r="AD82" s="505"/>
      <c r="AE82" s="505"/>
      <c r="AF82" s="505"/>
      <c r="AG82" s="505"/>
      <c r="AH82" s="505"/>
      <c r="AI82" s="505"/>
      <c r="AJ82" s="505"/>
      <c r="AK82" s="505"/>
      <c r="AL82" s="505"/>
      <c r="AM82" s="505"/>
      <c r="AN82" s="505"/>
      <c r="AO82" s="505"/>
      <c r="AP82" s="505"/>
      <c r="AQ82" s="505"/>
      <c r="AR82" s="505"/>
      <c r="AS82" s="505"/>
      <c r="AT82" s="505"/>
      <c r="AU82" s="505"/>
      <c r="AV82" s="505"/>
      <c r="AW82" s="505"/>
      <c r="AX82" s="505"/>
      <c r="AY82" s="505"/>
      <c r="AZ82" s="505"/>
      <c r="BA82" s="505"/>
      <c r="BB82" s="505"/>
      <c r="BC82" s="505"/>
      <c r="BD82" s="505"/>
      <c r="BE82" s="505"/>
      <c r="BF82" s="505"/>
      <c r="BG82" s="505"/>
      <c r="BH82" s="505"/>
      <c r="BI82" s="505"/>
      <c r="BJ82" s="505"/>
      <c r="BK82" s="505"/>
      <c r="BL82" s="505"/>
      <c r="BM82" s="505"/>
      <c r="BN82" s="505"/>
      <c r="BO82" s="505"/>
      <c r="BP82" s="505"/>
      <c r="BQ82" s="505"/>
      <c r="BR82" s="505"/>
      <c r="BS82" s="505"/>
      <c r="BT82" s="505"/>
      <c r="BU82" s="505"/>
      <c r="BV82" s="505"/>
      <c r="BW82" s="505"/>
      <c r="BX82" s="505"/>
      <c r="BY82" s="505"/>
      <c r="BZ82" s="505"/>
      <c r="CA82" s="505"/>
      <c r="CB82" s="505"/>
      <c r="CC82" s="505"/>
      <c r="CD82" s="505"/>
      <c r="CE82" s="505"/>
      <c r="CF82" s="505"/>
      <c r="CG82" s="505"/>
      <c r="CH82" s="505"/>
      <c r="CI82" s="505"/>
      <c r="CJ82" s="505"/>
      <c r="CK82" s="505"/>
      <c r="CL82" s="505"/>
      <c r="CM82" s="505"/>
      <c r="CN82" s="505"/>
      <c r="CO82" s="505"/>
      <c r="CP82" s="505"/>
      <c r="CQ82" s="505"/>
      <c r="CR82" s="505"/>
      <c r="CS82" s="505"/>
      <c r="CT82" s="505"/>
      <c r="CU82" s="505"/>
      <c r="CV82" s="505"/>
      <c r="CW82" s="505"/>
      <c r="CX82" s="505"/>
      <c r="CY82" s="505"/>
      <c r="CZ82" s="505"/>
      <c r="DA82" s="505"/>
      <c r="DB82" s="505"/>
      <c r="DC82" s="505"/>
      <c r="DD82" s="505"/>
      <c r="DE82" s="505"/>
      <c r="DF82" s="505"/>
      <c r="DG82" s="505"/>
      <c r="DH82" s="505"/>
      <c r="DI82" s="505"/>
      <c r="DJ82" s="505"/>
      <c r="DK82" s="505"/>
      <c r="DL82" s="505"/>
      <c r="DM82" s="505"/>
      <c r="DN82" s="505"/>
      <c r="DO82" s="505"/>
      <c r="DP82" s="505"/>
    </row>
    <row r="83" spans="1:120" hidden="1" outlineLevel="1" x14ac:dyDescent="0.2">
      <c r="A83" s="517">
        <f t="shared" si="26"/>
        <v>37073</v>
      </c>
      <c r="B83" s="517" t="str">
        <f t="shared" si="23"/>
        <v>3Q01</v>
      </c>
      <c r="C83" s="517" t="str">
        <f t="shared" si="27"/>
        <v>3Q01</v>
      </c>
      <c r="D83" s="518">
        <f t="shared" si="28"/>
        <v>37134</v>
      </c>
      <c r="E83" s="518">
        <f t="shared" si="28"/>
        <v>37074</v>
      </c>
      <c r="F83" s="520">
        <v>1.4069999999999998</v>
      </c>
      <c r="G83" s="521">
        <f t="shared" si="24"/>
        <v>6.0000000000000005E-2</v>
      </c>
      <c r="H83" s="521">
        <f t="shared" si="25"/>
        <v>0.05</v>
      </c>
      <c r="I83" s="521">
        <f t="shared" si="29"/>
        <v>5.0499999999999901</v>
      </c>
      <c r="J83" s="521">
        <f t="shared" si="29"/>
        <v>5.0999999999999899</v>
      </c>
      <c r="K83" s="521">
        <f t="shared" si="30"/>
        <v>0.79000000000000048</v>
      </c>
      <c r="L83" s="505"/>
      <c r="M83" s="528"/>
      <c r="N83" s="505"/>
      <c r="O83" s="505"/>
      <c r="P83" s="505"/>
      <c r="Q83" s="505"/>
      <c r="R83" s="505"/>
      <c r="S83" s="505"/>
      <c r="T83" s="505"/>
      <c r="U83" s="505"/>
      <c r="V83" s="505"/>
      <c r="W83" s="505"/>
      <c r="X83" s="505"/>
      <c r="Y83" s="505"/>
      <c r="Z83" s="505"/>
      <c r="AA83" s="505"/>
      <c r="AB83" s="505"/>
      <c r="AC83" s="505"/>
      <c r="AD83" s="505"/>
      <c r="AE83" s="505"/>
      <c r="AF83" s="505"/>
      <c r="AG83" s="505"/>
      <c r="AH83" s="505"/>
      <c r="AI83" s="505"/>
      <c r="AJ83" s="505"/>
      <c r="AK83" s="505"/>
      <c r="AL83" s="505"/>
      <c r="AM83" s="505"/>
      <c r="AN83" s="505"/>
      <c r="AO83" s="505"/>
      <c r="AP83" s="505"/>
      <c r="AQ83" s="505"/>
      <c r="AR83" s="505"/>
      <c r="AS83" s="505"/>
      <c r="AT83" s="505"/>
      <c r="AU83" s="505"/>
      <c r="AV83" s="505"/>
      <c r="AW83" s="505"/>
      <c r="AX83" s="505"/>
      <c r="AY83" s="505"/>
      <c r="AZ83" s="505"/>
      <c r="BA83" s="505"/>
      <c r="BB83" s="505"/>
      <c r="BC83" s="505"/>
      <c r="BD83" s="505"/>
      <c r="BE83" s="505"/>
      <c r="BF83" s="505"/>
      <c r="BG83" s="505"/>
      <c r="BH83" s="505"/>
      <c r="BI83" s="505"/>
      <c r="BJ83" s="505"/>
      <c r="BK83" s="505"/>
      <c r="BL83" s="505"/>
      <c r="BM83" s="505"/>
      <c r="BN83" s="505"/>
      <c r="BO83" s="505"/>
      <c r="BP83" s="505"/>
      <c r="BQ83" s="505"/>
      <c r="BR83" s="505"/>
      <c r="BS83" s="505"/>
      <c r="BT83" s="505"/>
      <c r="BU83" s="505"/>
      <c r="BV83" s="505"/>
      <c r="BW83" s="505"/>
      <c r="BX83" s="505"/>
      <c r="BY83" s="505"/>
      <c r="BZ83" s="505"/>
      <c r="CA83" s="505"/>
      <c r="CB83" s="505"/>
      <c r="CC83" s="505"/>
      <c r="CD83" s="505"/>
      <c r="CE83" s="505"/>
      <c r="CF83" s="505"/>
      <c r="CG83" s="505"/>
      <c r="CH83" s="505"/>
      <c r="CI83" s="505"/>
      <c r="CJ83" s="505"/>
      <c r="CK83" s="505"/>
      <c r="CL83" s="505"/>
      <c r="CM83" s="505"/>
      <c r="CN83" s="505"/>
      <c r="CO83" s="505"/>
      <c r="CP83" s="505"/>
      <c r="CQ83" s="505"/>
      <c r="CR83" s="505"/>
      <c r="CS83" s="505"/>
      <c r="CT83" s="505"/>
      <c r="CU83" s="505"/>
      <c r="CV83" s="505"/>
      <c r="CW83" s="505"/>
      <c r="CX83" s="505"/>
      <c r="CY83" s="505"/>
      <c r="CZ83" s="505"/>
      <c r="DA83" s="505"/>
      <c r="DB83" s="505"/>
      <c r="DC83" s="505"/>
      <c r="DD83" s="505"/>
      <c r="DE83" s="505"/>
      <c r="DF83" s="505"/>
      <c r="DG83" s="505"/>
      <c r="DH83" s="505"/>
      <c r="DI83" s="505"/>
      <c r="DJ83" s="505"/>
      <c r="DK83" s="505"/>
      <c r="DL83" s="505"/>
      <c r="DM83" s="505"/>
      <c r="DN83" s="505"/>
      <c r="DO83" s="505"/>
      <c r="DP83" s="505"/>
    </row>
    <row r="84" spans="1:120" hidden="1" outlineLevel="1" x14ac:dyDescent="0.2">
      <c r="A84" s="517">
        <f t="shared" si="26"/>
        <v>37073</v>
      </c>
      <c r="B84" s="517" t="str">
        <f t="shared" si="23"/>
        <v>3Q01</v>
      </c>
      <c r="C84" s="517" t="str">
        <f t="shared" si="27"/>
        <v>3Q01</v>
      </c>
      <c r="D84" s="518">
        <f t="shared" si="28"/>
        <v>37141</v>
      </c>
      <c r="E84" s="518">
        <f t="shared" si="28"/>
        <v>37081</v>
      </c>
      <c r="F84" s="520">
        <v>1.3919999999999999</v>
      </c>
      <c r="G84" s="521">
        <f t="shared" si="24"/>
        <v>0.05</v>
      </c>
      <c r="H84" s="521">
        <f t="shared" si="25"/>
        <v>0.05</v>
      </c>
      <c r="I84" s="521">
        <f t="shared" si="29"/>
        <v>5.0999999999999899</v>
      </c>
      <c r="J84" s="521">
        <f t="shared" si="29"/>
        <v>5.1499999999999897</v>
      </c>
      <c r="K84" s="521">
        <f t="shared" si="30"/>
        <v>0.80000000000000049</v>
      </c>
      <c r="L84" s="505"/>
      <c r="M84" s="528"/>
      <c r="N84" s="505"/>
      <c r="O84" s="505"/>
      <c r="P84" s="505"/>
      <c r="Q84" s="505"/>
      <c r="R84" s="505"/>
      <c r="S84" s="505"/>
      <c r="T84" s="505"/>
      <c r="U84" s="505"/>
      <c r="V84" s="505"/>
      <c r="W84" s="505"/>
      <c r="X84" s="505"/>
      <c r="Y84" s="505"/>
      <c r="Z84" s="505"/>
      <c r="AA84" s="505"/>
      <c r="AB84" s="505"/>
      <c r="AC84" s="505"/>
      <c r="AD84" s="505"/>
      <c r="AE84" s="505"/>
      <c r="AF84" s="505"/>
      <c r="AG84" s="505"/>
      <c r="AH84" s="505"/>
      <c r="AI84" s="505"/>
      <c r="AJ84" s="505"/>
      <c r="AK84" s="505"/>
      <c r="AL84" s="505"/>
      <c r="AM84" s="505"/>
      <c r="AN84" s="505"/>
      <c r="AO84" s="505"/>
      <c r="AP84" s="505"/>
      <c r="AQ84" s="505"/>
      <c r="AR84" s="505"/>
      <c r="AS84" s="505"/>
      <c r="AT84" s="505"/>
      <c r="AU84" s="505"/>
      <c r="AV84" s="505"/>
      <c r="AW84" s="505"/>
      <c r="AX84" s="505"/>
      <c r="AY84" s="505"/>
      <c r="AZ84" s="505"/>
      <c r="BA84" s="505"/>
      <c r="BB84" s="505"/>
      <c r="BC84" s="505"/>
      <c r="BD84" s="505"/>
      <c r="BE84" s="505"/>
      <c r="BF84" s="505"/>
      <c r="BG84" s="505"/>
      <c r="BH84" s="505"/>
      <c r="BI84" s="505"/>
      <c r="BJ84" s="505"/>
      <c r="BK84" s="505"/>
      <c r="BL84" s="505"/>
      <c r="BM84" s="505"/>
      <c r="BN84" s="505"/>
      <c r="BO84" s="505"/>
      <c r="BP84" s="505"/>
      <c r="BQ84" s="505"/>
      <c r="BR84" s="505"/>
      <c r="BS84" s="505"/>
      <c r="BT84" s="505"/>
      <c r="BU84" s="505"/>
      <c r="BV84" s="505"/>
      <c r="BW84" s="505"/>
      <c r="BX84" s="505"/>
      <c r="BY84" s="505"/>
      <c r="BZ84" s="505"/>
      <c r="CA84" s="505"/>
      <c r="CB84" s="505"/>
      <c r="CC84" s="505"/>
      <c r="CD84" s="505"/>
      <c r="CE84" s="505"/>
      <c r="CF84" s="505"/>
      <c r="CG84" s="505"/>
      <c r="CH84" s="505"/>
      <c r="CI84" s="505"/>
      <c r="CJ84" s="505"/>
      <c r="CK84" s="505"/>
      <c r="CL84" s="505"/>
      <c r="CM84" s="505"/>
      <c r="CN84" s="505"/>
      <c r="CO84" s="505"/>
      <c r="CP84" s="505"/>
      <c r="CQ84" s="505"/>
      <c r="CR84" s="505"/>
      <c r="CS84" s="505"/>
      <c r="CT84" s="505"/>
      <c r="CU84" s="505"/>
      <c r="CV84" s="505"/>
      <c r="CW84" s="505"/>
      <c r="CX84" s="505"/>
      <c r="CY84" s="505"/>
      <c r="CZ84" s="505"/>
      <c r="DA84" s="505"/>
      <c r="DB84" s="505"/>
      <c r="DC84" s="505"/>
      <c r="DD84" s="505"/>
      <c r="DE84" s="505"/>
      <c r="DF84" s="505"/>
      <c r="DG84" s="505"/>
      <c r="DH84" s="505"/>
      <c r="DI84" s="505"/>
      <c r="DJ84" s="505"/>
      <c r="DK84" s="505"/>
      <c r="DL84" s="505"/>
      <c r="DM84" s="505"/>
      <c r="DN84" s="505"/>
      <c r="DO84" s="505"/>
      <c r="DP84" s="505"/>
    </row>
    <row r="85" spans="1:120" hidden="1" outlineLevel="1" x14ac:dyDescent="0.2">
      <c r="A85" s="517">
        <f t="shared" si="26"/>
        <v>37073</v>
      </c>
      <c r="B85" s="517" t="str">
        <f t="shared" si="23"/>
        <v>3Q01</v>
      </c>
      <c r="C85" s="517" t="str">
        <f t="shared" si="27"/>
        <v>3Q01</v>
      </c>
      <c r="D85" s="518">
        <f t="shared" si="28"/>
        <v>37148</v>
      </c>
      <c r="E85" s="518">
        <f t="shared" si="28"/>
        <v>37088</v>
      </c>
      <c r="F85" s="520">
        <v>1.38</v>
      </c>
      <c r="G85" s="521">
        <f t="shared" si="24"/>
        <v>0.05</v>
      </c>
      <c r="H85" s="521">
        <f t="shared" si="25"/>
        <v>0.04</v>
      </c>
      <c r="I85" s="521">
        <f t="shared" si="29"/>
        <v>5.1499999999999897</v>
      </c>
      <c r="J85" s="521">
        <f t="shared" si="29"/>
        <v>5.1999999999999895</v>
      </c>
      <c r="K85" s="521">
        <f t="shared" si="30"/>
        <v>0.8100000000000005</v>
      </c>
      <c r="L85" s="505"/>
      <c r="M85" s="528"/>
      <c r="N85" s="505"/>
      <c r="O85" s="505"/>
      <c r="P85" s="505"/>
      <c r="Q85" s="505"/>
      <c r="R85" s="505"/>
      <c r="S85" s="505"/>
      <c r="T85" s="505"/>
      <c r="U85" s="505"/>
      <c r="V85" s="505"/>
      <c r="W85" s="505"/>
      <c r="X85" s="505"/>
      <c r="Y85" s="505"/>
      <c r="Z85" s="505"/>
      <c r="AA85" s="505"/>
      <c r="AB85" s="505"/>
      <c r="AC85" s="505"/>
      <c r="AD85" s="505"/>
      <c r="AE85" s="505"/>
      <c r="AF85" s="505"/>
      <c r="AG85" s="505"/>
      <c r="AH85" s="505"/>
      <c r="AI85" s="505"/>
      <c r="AJ85" s="505"/>
      <c r="AK85" s="505"/>
      <c r="AL85" s="505"/>
      <c r="AM85" s="505"/>
      <c r="AN85" s="505"/>
      <c r="AO85" s="505"/>
      <c r="AP85" s="505"/>
      <c r="AQ85" s="505"/>
      <c r="AR85" s="505"/>
      <c r="AS85" s="505"/>
      <c r="AT85" s="505"/>
      <c r="AU85" s="505"/>
      <c r="AV85" s="505"/>
      <c r="AW85" s="505"/>
      <c r="AX85" s="505"/>
      <c r="AY85" s="505"/>
      <c r="AZ85" s="505"/>
      <c r="BA85" s="505"/>
      <c r="BB85" s="505"/>
      <c r="BC85" s="505"/>
      <c r="BD85" s="505"/>
      <c r="BE85" s="505"/>
      <c r="BF85" s="505"/>
      <c r="BG85" s="505"/>
      <c r="BH85" s="505"/>
      <c r="BI85" s="505"/>
      <c r="BJ85" s="505"/>
      <c r="BK85" s="505"/>
      <c r="BL85" s="505"/>
      <c r="BM85" s="505"/>
      <c r="BN85" s="505"/>
      <c r="BO85" s="505"/>
      <c r="BP85" s="505"/>
      <c r="BQ85" s="505"/>
      <c r="BR85" s="505"/>
      <c r="BS85" s="505"/>
      <c r="BT85" s="505"/>
      <c r="BU85" s="505"/>
      <c r="BV85" s="505"/>
      <c r="BW85" s="505"/>
      <c r="BX85" s="505"/>
      <c r="BY85" s="505"/>
      <c r="BZ85" s="505"/>
      <c r="CA85" s="505"/>
      <c r="CB85" s="505"/>
      <c r="CC85" s="505"/>
      <c r="CD85" s="505"/>
      <c r="CE85" s="505"/>
      <c r="CF85" s="505"/>
      <c r="CG85" s="505"/>
      <c r="CH85" s="505"/>
      <c r="CI85" s="505"/>
      <c r="CJ85" s="505"/>
      <c r="CK85" s="505"/>
      <c r="CL85" s="505"/>
      <c r="CM85" s="505"/>
      <c r="CN85" s="505"/>
      <c r="CO85" s="505"/>
      <c r="CP85" s="505"/>
      <c r="CQ85" s="505"/>
      <c r="CR85" s="505"/>
      <c r="CS85" s="505"/>
      <c r="CT85" s="505"/>
      <c r="CU85" s="505"/>
      <c r="CV85" s="505"/>
      <c r="CW85" s="505"/>
      <c r="CX85" s="505"/>
      <c r="CY85" s="505"/>
      <c r="CZ85" s="505"/>
      <c r="DA85" s="505"/>
      <c r="DB85" s="505"/>
      <c r="DC85" s="505"/>
      <c r="DD85" s="505"/>
      <c r="DE85" s="505"/>
      <c r="DF85" s="505"/>
      <c r="DG85" s="505"/>
      <c r="DH85" s="505"/>
      <c r="DI85" s="505"/>
      <c r="DJ85" s="505"/>
      <c r="DK85" s="505"/>
      <c r="DL85" s="505"/>
      <c r="DM85" s="505"/>
      <c r="DN85" s="505"/>
      <c r="DO85" s="505"/>
      <c r="DP85" s="505"/>
    </row>
    <row r="86" spans="1:120" hidden="1" outlineLevel="1" x14ac:dyDescent="0.2">
      <c r="A86" s="517">
        <f t="shared" si="26"/>
        <v>37073</v>
      </c>
      <c r="B86" s="517" t="str">
        <f t="shared" si="23"/>
        <v>3Q01</v>
      </c>
      <c r="C86" s="517" t="str">
        <f t="shared" si="27"/>
        <v>3Q01</v>
      </c>
      <c r="D86" s="518">
        <f t="shared" si="28"/>
        <v>37155</v>
      </c>
      <c r="E86" s="518">
        <f t="shared" si="28"/>
        <v>37095</v>
      </c>
      <c r="F86" s="520">
        <v>1.3480000000000001</v>
      </c>
      <c r="G86" s="521">
        <f t="shared" si="24"/>
        <v>0.04</v>
      </c>
      <c r="H86" s="521">
        <f t="shared" si="25"/>
        <v>0.04</v>
      </c>
      <c r="I86" s="521">
        <f t="shared" si="29"/>
        <v>5.1999999999999895</v>
      </c>
      <c r="J86" s="521">
        <f t="shared" si="29"/>
        <v>5.2499999999999893</v>
      </c>
      <c r="K86" s="521">
        <f t="shared" si="30"/>
        <v>0.82000000000000051</v>
      </c>
      <c r="L86" s="505"/>
      <c r="M86" s="528"/>
      <c r="N86" s="505"/>
      <c r="O86" s="505"/>
      <c r="P86" s="505"/>
      <c r="Q86" s="505"/>
      <c r="R86" s="505"/>
      <c r="S86" s="505"/>
      <c r="T86" s="505"/>
      <c r="U86" s="505"/>
      <c r="V86" s="505"/>
      <c r="W86" s="505"/>
      <c r="X86" s="505"/>
      <c r="Y86" s="505"/>
      <c r="Z86" s="505"/>
      <c r="AA86" s="505"/>
      <c r="AB86" s="505"/>
      <c r="AC86" s="505"/>
      <c r="AD86" s="505"/>
      <c r="AE86" s="505"/>
      <c r="AF86" s="505"/>
      <c r="AG86" s="505"/>
      <c r="AH86" s="505"/>
      <c r="AI86" s="505"/>
      <c r="AJ86" s="505"/>
      <c r="AK86" s="505"/>
      <c r="AL86" s="505"/>
      <c r="AM86" s="505"/>
      <c r="AN86" s="505"/>
      <c r="AO86" s="505"/>
      <c r="AP86" s="505"/>
      <c r="AQ86" s="505"/>
      <c r="AR86" s="505"/>
      <c r="AS86" s="505"/>
      <c r="AT86" s="505"/>
      <c r="AU86" s="505"/>
      <c r="AV86" s="505"/>
      <c r="AW86" s="505"/>
      <c r="AX86" s="505"/>
      <c r="AY86" s="505"/>
      <c r="AZ86" s="505"/>
      <c r="BA86" s="505"/>
      <c r="BB86" s="505"/>
      <c r="BC86" s="505"/>
      <c r="BD86" s="505"/>
      <c r="BE86" s="505"/>
      <c r="BF86" s="505"/>
      <c r="BG86" s="505"/>
      <c r="BH86" s="505"/>
      <c r="BI86" s="505"/>
      <c r="BJ86" s="505"/>
      <c r="BK86" s="505"/>
      <c r="BL86" s="505"/>
      <c r="BM86" s="505"/>
      <c r="BN86" s="505"/>
      <c r="BO86" s="505"/>
      <c r="BP86" s="505"/>
      <c r="BQ86" s="505"/>
      <c r="BR86" s="505"/>
      <c r="BS86" s="505"/>
      <c r="BT86" s="505"/>
      <c r="BU86" s="505"/>
      <c r="BV86" s="505"/>
      <c r="BW86" s="505"/>
      <c r="BX86" s="505"/>
      <c r="BY86" s="505"/>
      <c r="BZ86" s="505"/>
      <c r="CA86" s="505"/>
      <c r="CB86" s="505"/>
      <c r="CC86" s="505"/>
      <c r="CD86" s="505"/>
      <c r="CE86" s="505"/>
      <c r="CF86" s="505"/>
      <c r="CG86" s="505"/>
      <c r="CH86" s="505"/>
      <c r="CI86" s="505"/>
      <c r="CJ86" s="505"/>
      <c r="CK86" s="505"/>
      <c r="CL86" s="505"/>
      <c r="CM86" s="505"/>
      <c r="CN86" s="505"/>
      <c r="CO86" s="505"/>
      <c r="CP86" s="505"/>
      <c r="CQ86" s="505"/>
      <c r="CR86" s="505"/>
      <c r="CS86" s="505"/>
      <c r="CT86" s="505"/>
      <c r="CU86" s="505"/>
      <c r="CV86" s="505"/>
      <c r="CW86" s="505"/>
      <c r="CX86" s="505"/>
      <c r="CY86" s="505"/>
      <c r="CZ86" s="505"/>
      <c r="DA86" s="505"/>
      <c r="DB86" s="505"/>
      <c r="DC86" s="505"/>
      <c r="DD86" s="505"/>
      <c r="DE86" s="505"/>
      <c r="DF86" s="505"/>
      <c r="DG86" s="505"/>
      <c r="DH86" s="505"/>
      <c r="DI86" s="505"/>
      <c r="DJ86" s="505"/>
      <c r="DK86" s="505"/>
      <c r="DL86" s="505"/>
      <c r="DM86" s="505"/>
      <c r="DN86" s="505"/>
      <c r="DO86" s="505"/>
      <c r="DP86" s="505"/>
    </row>
    <row r="87" spans="1:120" hidden="1" outlineLevel="1" x14ac:dyDescent="0.2">
      <c r="A87" s="517">
        <f t="shared" si="26"/>
        <v>37073</v>
      </c>
      <c r="B87" s="517" t="str">
        <f t="shared" si="23"/>
        <v>3Q01</v>
      </c>
      <c r="C87" s="517" t="str">
        <f t="shared" si="27"/>
        <v>3Q01</v>
      </c>
      <c r="D87" s="518">
        <f t="shared" si="28"/>
        <v>37162</v>
      </c>
      <c r="E87" s="518">
        <f t="shared" si="28"/>
        <v>37102</v>
      </c>
      <c r="F87" s="520">
        <v>1.347</v>
      </c>
      <c r="G87" s="521">
        <f t="shared" si="24"/>
        <v>0.04</v>
      </c>
      <c r="H87" s="521">
        <f t="shared" si="25"/>
        <v>0.04</v>
      </c>
      <c r="I87" s="521">
        <f t="shared" si="29"/>
        <v>5.2499999999999893</v>
      </c>
      <c r="J87" s="521">
        <f t="shared" si="29"/>
        <v>5.2999999999999892</v>
      </c>
      <c r="K87" s="521">
        <f t="shared" si="30"/>
        <v>0.83000000000000052</v>
      </c>
      <c r="L87" s="505"/>
      <c r="M87" s="528"/>
      <c r="N87" s="505"/>
      <c r="O87" s="505"/>
      <c r="P87" s="505"/>
      <c r="Q87" s="505"/>
      <c r="R87" s="505"/>
      <c r="S87" s="505"/>
      <c r="T87" s="505"/>
      <c r="U87" s="505"/>
      <c r="V87" s="505"/>
      <c r="W87" s="505"/>
      <c r="X87" s="505"/>
      <c r="Y87" s="505"/>
      <c r="Z87" s="505"/>
      <c r="AA87" s="505"/>
      <c r="AB87" s="505"/>
      <c r="AC87" s="505"/>
      <c r="AD87" s="505"/>
      <c r="AE87" s="505"/>
      <c r="AF87" s="505"/>
      <c r="AG87" s="505"/>
      <c r="AH87" s="505"/>
      <c r="AI87" s="505"/>
      <c r="AJ87" s="505"/>
      <c r="AK87" s="505"/>
      <c r="AL87" s="505"/>
      <c r="AM87" s="505"/>
      <c r="AN87" s="505"/>
      <c r="AO87" s="505"/>
      <c r="AP87" s="505"/>
      <c r="AQ87" s="505"/>
      <c r="AR87" s="505"/>
      <c r="AS87" s="505"/>
      <c r="AT87" s="505"/>
      <c r="AU87" s="505"/>
      <c r="AV87" s="505"/>
      <c r="AW87" s="505"/>
      <c r="AX87" s="505"/>
      <c r="AY87" s="505"/>
      <c r="AZ87" s="505"/>
      <c r="BA87" s="505"/>
      <c r="BB87" s="505"/>
      <c r="BC87" s="505"/>
      <c r="BD87" s="505"/>
      <c r="BE87" s="505"/>
      <c r="BF87" s="505"/>
      <c r="BG87" s="505"/>
      <c r="BH87" s="505"/>
      <c r="BI87" s="505"/>
      <c r="BJ87" s="505"/>
      <c r="BK87" s="505"/>
      <c r="BL87" s="505"/>
      <c r="BM87" s="505"/>
      <c r="BN87" s="505"/>
      <c r="BO87" s="505"/>
      <c r="BP87" s="505"/>
      <c r="BQ87" s="505"/>
      <c r="BR87" s="505"/>
      <c r="BS87" s="505"/>
      <c r="BT87" s="505"/>
      <c r="BU87" s="505"/>
      <c r="BV87" s="505"/>
      <c r="BW87" s="505"/>
      <c r="BX87" s="505"/>
      <c r="BY87" s="505"/>
      <c r="BZ87" s="505"/>
      <c r="CA87" s="505"/>
      <c r="CB87" s="505"/>
      <c r="CC87" s="505"/>
      <c r="CD87" s="505"/>
      <c r="CE87" s="505"/>
      <c r="CF87" s="505"/>
      <c r="CG87" s="505"/>
      <c r="CH87" s="505"/>
      <c r="CI87" s="505"/>
      <c r="CJ87" s="505"/>
      <c r="CK87" s="505"/>
      <c r="CL87" s="505"/>
      <c r="CM87" s="505"/>
      <c r="CN87" s="505"/>
      <c r="CO87" s="505"/>
      <c r="CP87" s="505"/>
      <c r="CQ87" s="505"/>
      <c r="CR87" s="505"/>
      <c r="CS87" s="505"/>
      <c r="CT87" s="505"/>
      <c r="CU87" s="505"/>
      <c r="CV87" s="505"/>
      <c r="CW87" s="505"/>
      <c r="CX87" s="505"/>
      <c r="CY87" s="505"/>
      <c r="CZ87" s="505"/>
      <c r="DA87" s="505"/>
      <c r="DB87" s="505"/>
      <c r="DC87" s="505"/>
      <c r="DD87" s="505"/>
      <c r="DE87" s="505"/>
      <c r="DF87" s="505"/>
      <c r="DG87" s="505"/>
      <c r="DH87" s="505"/>
      <c r="DI87" s="505"/>
      <c r="DJ87" s="505"/>
      <c r="DK87" s="505"/>
      <c r="DL87" s="505"/>
      <c r="DM87" s="505"/>
      <c r="DN87" s="505"/>
      <c r="DO87" s="505"/>
      <c r="DP87" s="505"/>
    </row>
    <row r="88" spans="1:120" hidden="1" outlineLevel="1" x14ac:dyDescent="0.2">
      <c r="A88" s="517">
        <f t="shared" si="26"/>
        <v>37104</v>
      </c>
      <c r="B88" s="517" t="str">
        <f t="shared" si="23"/>
        <v>3Q01</v>
      </c>
      <c r="C88" s="517" t="str">
        <f t="shared" si="27"/>
        <v>4Q01</v>
      </c>
      <c r="D88" s="518">
        <f t="shared" si="28"/>
        <v>37169</v>
      </c>
      <c r="E88" s="518">
        <f t="shared" si="28"/>
        <v>37109</v>
      </c>
      <c r="F88" s="520">
        <v>1.345</v>
      </c>
      <c r="G88" s="521">
        <f t="shared" si="24"/>
        <v>0.04</v>
      </c>
      <c r="H88" s="521">
        <f t="shared" si="25"/>
        <v>0.05</v>
      </c>
      <c r="I88" s="521">
        <f t="shared" si="29"/>
        <v>5.2999999999999892</v>
      </c>
      <c r="J88" s="521">
        <f t="shared" si="29"/>
        <v>5.349999999999989</v>
      </c>
      <c r="K88" s="521">
        <f t="shared" si="30"/>
        <v>0.84000000000000052</v>
      </c>
      <c r="L88" s="505"/>
      <c r="M88" s="528"/>
      <c r="N88" s="505"/>
      <c r="O88" s="505"/>
      <c r="P88" s="505"/>
      <c r="Q88" s="505"/>
      <c r="R88" s="505"/>
      <c r="S88" s="505"/>
      <c r="T88" s="505"/>
      <c r="U88" s="505"/>
      <c r="V88" s="505"/>
      <c r="W88" s="505"/>
      <c r="X88" s="505"/>
      <c r="Y88" s="505"/>
      <c r="Z88" s="505"/>
      <c r="AA88" s="505"/>
      <c r="AB88" s="505"/>
      <c r="AC88" s="505"/>
      <c r="AD88" s="505"/>
      <c r="AE88" s="505"/>
      <c r="AF88" s="505"/>
      <c r="AG88" s="505"/>
      <c r="AH88" s="505"/>
      <c r="AI88" s="505"/>
      <c r="AJ88" s="505"/>
      <c r="AK88" s="505"/>
      <c r="AL88" s="505"/>
      <c r="AM88" s="505"/>
      <c r="AN88" s="505"/>
      <c r="AO88" s="505"/>
      <c r="AP88" s="505"/>
      <c r="AQ88" s="505"/>
      <c r="AR88" s="505"/>
      <c r="AS88" s="505"/>
      <c r="AT88" s="505"/>
      <c r="AU88" s="505"/>
      <c r="AV88" s="505"/>
      <c r="AW88" s="505"/>
      <c r="AX88" s="505"/>
      <c r="AY88" s="505"/>
      <c r="AZ88" s="505"/>
      <c r="BA88" s="505"/>
      <c r="BB88" s="505"/>
      <c r="BC88" s="505"/>
      <c r="BD88" s="505"/>
      <c r="BE88" s="505"/>
      <c r="BF88" s="505"/>
      <c r="BG88" s="505"/>
      <c r="BH88" s="505"/>
      <c r="BI88" s="505"/>
      <c r="BJ88" s="505"/>
      <c r="BK88" s="505"/>
      <c r="BL88" s="505"/>
      <c r="BM88" s="505"/>
      <c r="BN88" s="505"/>
      <c r="BO88" s="505"/>
      <c r="BP88" s="505"/>
      <c r="BQ88" s="505"/>
      <c r="BR88" s="505"/>
      <c r="BS88" s="505"/>
      <c r="BT88" s="505"/>
      <c r="BU88" s="505"/>
      <c r="BV88" s="505"/>
      <c r="BW88" s="505"/>
      <c r="BX88" s="505"/>
      <c r="BY88" s="505"/>
      <c r="BZ88" s="505"/>
      <c r="CA88" s="505"/>
      <c r="CB88" s="505"/>
      <c r="CC88" s="505"/>
      <c r="CD88" s="505"/>
      <c r="CE88" s="505"/>
      <c r="CF88" s="505"/>
      <c r="CG88" s="505"/>
      <c r="CH88" s="505"/>
      <c r="CI88" s="505"/>
      <c r="CJ88" s="505"/>
      <c r="CK88" s="505"/>
      <c r="CL88" s="505"/>
      <c r="CM88" s="505"/>
      <c r="CN88" s="505"/>
      <c r="CO88" s="505"/>
      <c r="CP88" s="505"/>
      <c r="CQ88" s="505"/>
      <c r="CR88" s="505"/>
      <c r="CS88" s="505"/>
      <c r="CT88" s="505"/>
      <c r="CU88" s="505"/>
      <c r="CV88" s="505"/>
      <c r="CW88" s="505"/>
      <c r="CX88" s="505"/>
      <c r="CY88" s="505"/>
      <c r="CZ88" s="505"/>
      <c r="DA88" s="505"/>
      <c r="DB88" s="505"/>
      <c r="DC88" s="505"/>
      <c r="DD88" s="505"/>
      <c r="DE88" s="505"/>
      <c r="DF88" s="505"/>
      <c r="DG88" s="505"/>
      <c r="DH88" s="505"/>
      <c r="DI88" s="505"/>
      <c r="DJ88" s="505"/>
      <c r="DK88" s="505"/>
      <c r="DL88" s="505"/>
      <c r="DM88" s="505"/>
      <c r="DN88" s="505"/>
      <c r="DO88" s="505"/>
      <c r="DP88" s="505"/>
    </row>
    <row r="89" spans="1:120" hidden="1" outlineLevel="1" x14ac:dyDescent="0.2">
      <c r="A89" s="517">
        <f t="shared" si="26"/>
        <v>37104</v>
      </c>
      <c r="B89" s="517" t="str">
        <f t="shared" si="23"/>
        <v>3Q01</v>
      </c>
      <c r="C89" s="517" t="str">
        <f t="shared" si="27"/>
        <v>4Q01</v>
      </c>
      <c r="D89" s="518">
        <f t="shared" si="28"/>
        <v>37176</v>
      </c>
      <c r="E89" s="518">
        <f t="shared" si="28"/>
        <v>37116</v>
      </c>
      <c r="F89" s="520">
        <v>1.367</v>
      </c>
      <c r="G89" s="521">
        <f t="shared" si="24"/>
        <v>0.05</v>
      </c>
      <c r="H89" s="521">
        <f t="shared" si="25"/>
        <v>0.05</v>
      </c>
      <c r="I89" s="521">
        <f t="shared" si="29"/>
        <v>5.349999999999989</v>
      </c>
      <c r="J89" s="521">
        <f t="shared" si="29"/>
        <v>5.3999999999999888</v>
      </c>
      <c r="K89" s="521">
        <f t="shared" si="30"/>
        <v>0.85000000000000053</v>
      </c>
      <c r="L89" s="505"/>
      <c r="M89" s="528"/>
      <c r="N89" s="505"/>
      <c r="O89" s="505"/>
      <c r="P89" s="505"/>
      <c r="Q89" s="505"/>
      <c r="R89" s="505"/>
      <c r="S89" s="505"/>
      <c r="T89" s="505"/>
      <c r="U89" s="505"/>
      <c r="V89" s="505"/>
      <c r="W89" s="505"/>
      <c r="X89" s="505"/>
      <c r="Y89" s="505"/>
      <c r="Z89" s="505"/>
      <c r="AA89" s="505"/>
      <c r="AB89" s="505"/>
      <c r="AC89" s="505"/>
      <c r="AD89" s="505"/>
      <c r="AE89" s="505"/>
      <c r="AF89" s="505"/>
      <c r="AG89" s="505"/>
      <c r="AH89" s="505"/>
      <c r="AI89" s="505"/>
      <c r="AJ89" s="505"/>
      <c r="AK89" s="505"/>
      <c r="AL89" s="505"/>
      <c r="AM89" s="505"/>
      <c r="AN89" s="505"/>
      <c r="AO89" s="505"/>
      <c r="AP89" s="505"/>
      <c r="AQ89" s="505"/>
      <c r="AR89" s="505"/>
      <c r="AS89" s="505"/>
      <c r="AT89" s="505"/>
      <c r="AU89" s="505"/>
      <c r="AV89" s="505"/>
      <c r="AW89" s="505"/>
      <c r="AX89" s="505"/>
      <c r="AY89" s="505"/>
      <c r="AZ89" s="505"/>
      <c r="BA89" s="505"/>
      <c r="BB89" s="505"/>
      <c r="BC89" s="505"/>
      <c r="BD89" s="505"/>
      <c r="BE89" s="505"/>
      <c r="BF89" s="505"/>
      <c r="BG89" s="505"/>
      <c r="BH89" s="505"/>
      <c r="BI89" s="505"/>
      <c r="BJ89" s="505"/>
      <c r="BK89" s="505"/>
      <c r="BL89" s="505"/>
      <c r="BM89" s="505"/>
      <c r="BN89" s="505"/>
      <c r="BO89" s="505"/>
      <c r="BP89" s="505"/>
      <c r="BQ89" s="505"/>
      <c r="BR89" s="505"/>
      <c r="BS89" s="505"/>
      <c r="BT89" s="505"/>
      <c r="BU89" s="505"/>
      <c r="BV89" s="505"/>
      <c r="BW89" s="505"/>
      <c r="BX89" s="505"/>
      <c r="BY89" s="505"/>
      <c r="BZ89" s="505"/>
      <c r="CA89" s="505"/>
      <c r="CB89" s="505"/>
      <c r="CC89" s="505"/>
      <c r="CD89" s="505"/>
      <c r="CE89" s="505"/>
      <c r="CF89" s="505"/>
      <c r="CG89" s="505"/>
      <c r="CH89" s="505"/>
      <c r="CI89" s="505"/>
      <c r="CJ89" s="505"/>
      <c r="CK89" s="505"/>
      <c r="CL89" s="505"/>
      <c r="CM89" s="505"/>
      <c r="CN89" s="505"/>
      <c r="CO89" s="505"/>
      <c r="CP89" s="505"/>
      <c r="CQ89" s="505"/>
      <c r="CR89" s="505"/>
      <c r="CS89" s="505"/>
      <c r="CT89" s="505"/>
      <c r="CU89" s="505"/>
      <c r="CV89" s="505"/>
      <c r="CW89" s="505"/>
      <c r="CX89" s="505"/>
      <c r="CY89" s="505"/>
      <c r="CZ89" s="505"/>
      <c r="DA89" s="505"/>
      <c r="DB89" s="505"/>
      <c r="DC89" s="505"/>
      <c r="DD89" s="505"/>
      <c r="DE89" s="505"/>
      <c r="DF89" s="505"/>
      <c r="DG89" s="505"/>
      <c r="DH89" s="505"/>
      <c r="DI89" s="505"/>
      <c r="DJ89" s="505"/>
      <c r="DK89" s="505"/>
      <c r="DL89" s="505"/>
      <c r="DM89" s="505"/>
      <c r="DN89" s="505"/>
      <c r="DO89" s="505"/>
      <c r="DP89" s="505"/>
    </row>
    <row r="90" spans="1:120" hidden="1" outlineLevel="1" x14ac:dyDescent="0.2">
      <c r="A90" s="517">
        <f t="shared" si="26"/>
        <v>37104</v>
      </c>
      <c r="B90" s="517" t="str">
        <f t="shared" si="23"/>
        <v>3Q01</v>
      </c>
      <c r="C90" s="517" t="str">
        <f t="shared" si="27"/>
        <v>4Q01</v>
      </c>
      <c r="D90" s="518">
        <f t="shared" si="28"/>
        <v>37183</v>
      </c>
      <c r="E90" s="518">
        <f t="shared" si="28"/>
        <v>37123</v>
      </c>
      <c r="F90" s="520">
        <v>1.3940000000000001</v>
      </c>
      <c r="G90" s="521">
        <f t="shared" si="24"/>
        <v>0.05</v>
      </c>
      <c r="H90" s="521">
        <f t="shared" si="25"/>
        <v>7.0000000000000007E-2</v>
      </c>
      <c r="I90" s="521">
        <f t="shared" si="29"/>
        <v>5.3999999999999888</v>
      </c>
      <c r="J90" s="521">
        <f t="shared" si="29"/>
        <v>5.4499999999999886</v>
      </c>
      <c r="K90" s="521">
        <f t="shared" si="30"/>
        <v>0.86000000000000054</v>
      </c>
      <c r="L90" s="505"/>
      <c r="M90" s="528"/>
      <c r="N90" s="505"/>
      <c r="O90" s="505"/>
      <c r="P90" s="505"/>
      <c r="Q90" s="505"/>
      <c r="R90" s="505"/>
      <c r="S90" s="505"/>
      <c r="T90" s="505"/>
      <c r="U90" s="505"/>
      <c r="V90" s="505"/>
      <c r="W90" s="505"/>
      <c r="X90" s="505"/>
      <c r="Y90" s="505"/>
      <c r="Z90" s="505"/>
      <c r="AA90" s="505"/>
      <c r="AB90" s="505"/>
      <c r="AC90" s="505"/>
      <c r="AD90" s="505"/>
      <c r="AE90" s="505"/>
      <c r="AF90" s="505"/>
      <c r="AG90" s="505"/>
      <c r="AH90" s="505"/>
      <c r="AI90" s="505"/>
      <c r="AJ90" s="505"/>
      <c r="AK90" s="505"/>
      <c r="AL90" s="505"/>
      <c r="AM90" s="505"/>
      <c r="AN90" s="505"/>
      <c r="AO90" s="505"/>
      <c r="AP90" s="505"/>
      <c r="AQ90" s="505"/>
      <c r="AR90" s="505"/>
      <c r="AS90" s="505"/>
      <c r="AT90" s="505"/>
      <c r="AU90" s="505"/>
      <c r="AV90" s="505"/>
      <c r="AW90" s="505"/>
      <c r="AX90" s="505"/>
      <c r="AY90" s="505"/>
      <c r="AZ90" s="505"/>
      <c r="BA90" s="505"/>
      <c r="BB90" s="505"/>
      <c r="BC90" s="505"/>
      <c r="BD90" s="505"/>
      <c r="BE90" s="505"/>
      <c r="BF90" s="505"/>
      <c r="BG90" s="505"/>
      <c r="BH90" s="505"/>
      <c r="BI90" s="505"/>
      <c r="BJ90" s="505"/>
      <c r="BK90" s="505"/>
      <c r="BL90" s="505"/>
      <c r="BM90" s="505"/>
      <c r="BN90" s="505"/>
      <c r="BO90" s="505"/>
      <c r="BP90" s="505"/>
      <c r="BQ90" s="505"/>
      <c r="BR90" s="505"/>
      <c r="BS90" s="505"/>
      <c r="BT90" s="505"/>
      <c r="BU90" s="505"/>
      <c r="BV90" s="505"/>
      <c r="BW90" s="505"/>
      <c r="BX90" s="505"/>
      <c r="BY90" s="505"/>
      <c r="BZ90" s="505"/>
      <c r="CA90" s="505"/>
      <c r="CB90" s="505"/>
      <c r="CC90" s="505"/>
      <c r="CD90" s="505"/>
      <c r="CE90" s="505"/>
      <c r="CF90" s="505"/>
      <c r="CG90" s="505"/>
      <c r="CH90" s="505"/>
      <c r="CI90" s="505"/>
      <c r="CJ90" s="505"/>
      <c r="CK90" s="505"/>
      <c r="CL90" s="505"/>
      <c r="CM90" s="505"/>
      <c r="CN90" s="505"/>
      <c r="CO90" s="505"/>
      <c r="CP90" s="505"/>
      <c r="CQ90" s="505"/>
      <c r="CR90" s="505"/>
      <c r="CS90" s="505"/>
      <c r="CT90" s="505"/>
      <c r="CU90" s="505"/>
      <c r="CV90" s="505"/>
      <c r="CW90" s="505"/>
      <c r="CX90" s="505"/>
      <c r="CY90" s="505"/>
      <c r="CZ90" s="505"/>
      <c r="DA90" s="505"/>
      <c r="DB90" s="505"/>
      <c r="DC90" s="505"/>
      <c r="DD90" s="505"/>
      <c r="DE90" s="505"/>
      <c r="DF90" s="505"/>
      <c r="DG90" s="505"/>
      <c r="DH90" s="505"/>
      <c r="DI90" s="505"/>
      <c r="DJ90" s="505"/>
      <c r="DK90" s="505"/>
      <c r="DL90" s="505"/>
      <c r="DM90" s="505"/>
      <c r="DN90" s="505"/>
      <c r="DO90" s="505"/>
      <c r="DP90" s="505"/>
    </row>
    <row r="91" spans="1:120" hidden="1" outlineLevel="1" x14ac:dyDescent="0.2">
      <c r="A91" s="517">
        <f t="shared" si="26"/>
        <v>37104</v>
      </c>
      <c r="B91" s="517" t="str">
        <f t="shared" si="23"/>
        <v>3Q01</v>
      </c>
      <c r="C91" s="517" t="str">
        <f t="shared" si="27"/>
        <v>4Q01</v>
      </c>
      <c r="D91" s="518">
        <f t="shared" si="28"/>
        <v>37190</v>
      </c>
      <c r="E91" s="518">
        <f t="shared" si="28"/>
        <v>37130</v>
      </c>
      <c r="F91" s="520">
        <v>1.452</v>
      </c>
      <c r="G91" s="521">
        <f t="shared" si="24"/>
        <v>7.0000000000000007E-2</v>
      </c>
      <c r="H91" s="521">
        <f t="shared" si="25"/>
        <v>7.0000000000000007E-2</v>
      </c>
      <c r="I91" s="521">
        <f t="shared" si="29"/>
        <v>5.4499999999999886</v>
      </c>
      <c r="J91" s="521">
        <f t="shared" si="29"/>
        <v>5.4999999999999885</v>
      </c>
      <c r="K91" s="521">
        <f t="shared" si="30"/>
        <v>0.87000000000000055</v>
      </c>
      <c r="L91" s="505"/>
      <c r="M91" s="528"/>
      <c r="N91" s="505"/>
      <c r="O91" s="505"/>
      <c r="P91" s="505"/>
      <c r="Q91" s="505"/>
      <c r="R91" s="505"/>
      <c r="S91" s="505"/>
      <c r="T91" s="505"/>
      <c r="U91" s="505"/>
      <c r="V91" s="505"/>
      <c r="W91" s="505"/>
      <c r="X91" s="505"/>
      <c r="Y91" s="505"/>
      <c r="Z91" s="505"/>
      <c r="AA91" s="505"/>
      <c r="AB91" s="505"/>
      <c r="AC91" s="505"/>
      <c r="AD91" s="505"/>
      <c r="AE91" s="505"/>
      <c r="AF91" s="505"/>
      <c r="AG91" s="505"/>
      <c r="AH91" s="505"/>
      <c r="AI91" s="505"/>
      <c r="AJ91" s="505"/>
      <c r="AK91" s="505"/>
      <c r="AL91" s="505"/>
      <c r="AM91" s="505"/>
      <c r="AN91" s="505"/>
      <c r="AO91" s="505"/>
      <c r="AP91" s="505"/>
      <c r="AQ91" s="505"/>
      <c r="AR91" s="505"/>
      <c r="AS91" s="505"/>
      <c r="AT91" s="505"/>
      <c r="AU91" s="505"/>
      <c r="AV91" s="505"/>
      <c r="AW91" s="505"/>
      <c r="AX91" s="505"/>
      <c r="AY91" s="505"/>
      <c r="AZ91" s="505"/>
      <c r="BA91" s="505"/>
      <c r="BB91" s="505"/>
      <c r="BC91" s="505"/>
      <c r="BD91" s="505"/>
      <c r="BE91" s="505"/>
      <c r="BF91" s="505"/>
      <c r="BG91" s="505"/>
      <c r="BH91" s="505"/>
      <c r="BI91" s="505"/>
      <c r="BJ91" s="505"/>
      <c r="BK91" s="505"/>
      <c r="BL91" s="505"/>
      <c r="BM91" s="505"/>
      <c r="BN91" s="505"/>
      <c r="BO91" s="505"/>
      <c r="BP91" s="505"/>
      <c r="BQ91" s="505"/>
      <c r="BR91" s="505"/>
      <c r="BS91" s="505"/>
      <c r="BT91" s="505"/>
      <c r="BU91" s="505"/>
      <c r="BV91" s="505"/>
      <c r="BW91" s="505"/>
      <c r="BX91" s="505"/>
      <c r="BY91" s="505"/>
      <c r="BZ91" s="505"/>
      <c r="CA91" s="505"/>
      <c r="CB91" s="505"/>
      <c r="CC91" s="505"/>
      <c r="CD91" s="505"/>
      <c r="CE91" s="505"/>
      <c r="CF91" s="505"/>
      <c r="CG91" s="505"/>
      <c r="CH91" s="505"/>
      <c r="CI91" s="505"/>
      <c r="CJ91" s="505"/>
      <c r="CK91" s="505"/>
      <c r="CL91" s="505"/>
      <c r="CM91" s="505"/>
      <c r="CN91" s="505"/>
      <c r="CO91" s="505"/>
      <c r="CP91" s="505"/>
      <c r="CQ91" s="505"/>
      <c r="CR91" s="505"/>
      <c r="CS91" s="505"/>
      <c r="CT91" s="505"/>
      <c r="CU91" s="505"/>
      <c r="CV91" s="505"/>
      <c r="CW91" s="505"/>
      <c r="CX91" s="505"/>
      <c r="CY91" s="505"/>
      <c r="CZ91" s="505"/>
      <c r="DA91" s="505"/>
      <c r="DB91" s="505"/>
      <c r="DC91" s="505"/>
      <c r="DD91" s="505"/>
      <c r="DE91" s="505"/>
      <c r="DF91" s="505"/>
      <c r="DG91" s="505"/>
      <c r="DH91" s="505"/>
      <c r="DI91" s="505"/>
      <c r="DJ91" s="505"/>
      <c r="DK91" s="505"/>
      <c r="DL91" s="505"/>
      <c r="DM91" s="505"/>
      <c r="DN91" s="505"/>
      <c r="DO91" s="505"/>
      <c r="DP91" s="505"/>
    </row>
    <row r="92" spans="1:120" hidden="1" outlineLevel="1" x14ac:dyDescent="0.2">
      <c r="A92" s="517">
        <f t="shared" si="26"/>
        <v>37135</v>
      </c>
      <c r="B92" s="517" t="str">
        <f t="shared" si="23"/>
        <v>3Q01</v>
      </c>
      <c r="C92" s="517" t="str">
        <f t="shared" si="27"/>
        <v>4Q01</v>
      </c>
      <c r="D92" s="518">
        <f t="shared" si="28"/>
        <v>37197</v>
      </c>
      <c r="E92" s="518">
        <f t="shared" si="28"/>
        <v>37137</v>
      </c>
      <c r="F92" s="520">
        <v>1.4880000000000002</v>
      </c>
      <c r="G92" s="521">
        <f t="shared" si="24"/>
        <v>7.0000000000000007E-2</v>
      </c>
      <c r="H92" s="521">
        <f t="shared" si="25"/>
        <v>7.0000000000000007E-2</v>
      </c>
      <c r="I92" s="521">
        <f t="shared" si="29"/>
        <v>5.4999999999999885</v>
      </c>
      <c r="J92" s="521">
        <f t="shared" si="29"/>
        <v>5.5499999999999883</v>
      </c>
      <c r="K92" s="521">
        <f t="shared" si="30"/>
        <v>0.88000000000000056</v>
      </c>
      <c r="L92" s="505"/>
      <c r="M92" s="528"/>
      <c r="N92" s="505"/>
      <c r="O92" s="505"/>
      <c r="P92" s="505"/>
      <c r="Q92" s="505"/>
      <c r="R92" s="505"/>
      <c r="S92" s="505"/>
      <c r="T92" s="505"/>
      <c r="U92" s="505"/>
      <c r="V92" s="505"/>
      <c r="W92" s="505"/>
      <c r="X92" s="505"/>
      <c r="Y92" s="505"/>
      <c r="Z92" s="505"/>
      <c r="AA92" s="505"/>
      <c r="AB92" s="505"/>
      <c r="AC92" s="505"/>
      <c r="AD92" s="505"/>
      <c r="AE92" s="505"/>
      <c r="AF92" s="505"/>
      <c r="AG92" s="505"/>
      <c r="AH92" s="505"/>
      <c r="AI92" s="505"/>
      <c r="AJ92" s="505"/>
      <c r="AK92" s="505"/>
      <c r="AL92" s="505"/>
      <c r="AM92" s="505"/>
      <c r="AN92" s="505"/>
      <c r="AO92" s="505"/>
      <c r="AP92" s="505"/>
      <c r="AQ92" s="505"/>
      <c r="AR92" s="505"/>
      <c r="AS92" s="505"/>
      <c r="AT92" s="505"/>
      <c r="AU92" s="505"/>
      <c r="AV92" s="505"/>
      <c r="AW92" s="505"/>
      <c r="AX92" s="505"/>
      <c r="AY92" s="505"/>
      <c r="AZ92" s="505"/>
      <c r="BA92" s="505"/>
      <c r="BB92" s="505"/>
      <c r="BC92" s="505"/>
      <c r="BD92" s="505"/>
      <c r="BE92" s="505"/>
      <c r="BF92" s="505"/>
      <c r="BG92" s="505"/>
      <c r="BH92" s="505"/>
      <c r="BI92" s="505"/>
      <c r="BJ92" s="505"/>
      <c r="BK92" s="505"/>
      <c r="BL92" s="505"/>
      <c r="BM92" s="505"/>
      <c r="BN92" s="505"/>
      <c r="BO92" s="505"/>
      <c r="BP92" s="505"/>
      <c r="BQ92" s="505"/>
      <c r="BR92" s="505"/>
      <c r="BS92" s="505"/>
      <c r="BT92" s="505"/>
      <c r="BU92" s="505"/>
      <c r="BV92" s="505"/>
      <c r="BW92" s="505"/>
      <c r="BX92" s="505"/>
      <c r="BY92" s="505"/>
      <c r="BZ92" s="505"/>
      <c r="CA92" s="505"/>
      <c r="CB92" s="505"/>
      <c r="CC92" s="505"/>
      <c r="CD92" s="505"/>
      <c r="CE92" s="505"/>
      <c r="CF92" s="505"/>
      <c r="CG92" s="505"/>
      <c r="CH92" s="505"/>
      <c r="CI92" s="505"/>
      <c r="CJ92" s="505"/>
      <c r="CK92" s="505"/>
      <c r="CL92" s="505"/>
      <c r="CM92" s="505"/>
      <c r="CN92" s="505"/>
      <c r="CO92" s="505"/>
      <c r="CP92" s="505"/>
      <c r="CQ92" s="505"/>
      <c r="CR92" s="505"/>
      <c r="CS92" s="505"/>
      <c r="CT92" s="505"/>
      <c r="CU92" s="505"/>
      <c r="CV92" s="505"/>
      <c r="CW92" s="505"/>
      <c r="CX92" s="505"/>
      <c r="CY92" s="505"/>
      <c r="CZ92" s="505"/>
      <c r="DA92" s="505"/>
      <c r="DB92" s="505"/>
      <c r="DC92" s="505"/>
      <c r="DD92" s="505"/>
      <c r="DE92" s="505"/>
      <c r="DF92" s="505"/>
      <c r="DG92" s="505"/>
      <c r="DH92" s="505"/>
      <c r="DI92" s="505"/>
      <c r="DJ92" s="505"/>
      <c r="DK92" s="505"/>
      <c r="DL92" s="505"/>
      <c r="DM92" s="505"/>
      <c r="DN92" s="505"/>
      <c r="DO92" s="505"/>
      <c r="DP92" s="505"/>
    </row>
    <row r="93" spans="1:120" hidden="1" outlineLevel="1" x14ac:dyDescent="0.2">
      <c r="A93" s="517">
        <f t="shared" si="26"/>
        <v>37135</v>
      </c>
      <c r="B93" s="517" t="str">
        <f t="shared" si="23"/>
        <v>3Q01</v>
      </c>
      <c r="C93" s="517" t="str">
        <f t="shared" si="27"/>
        <v>4Q01</v>
      </c>
      <c r="D93" s="518">
        <f t="shared" si="28"/>
        <v>37204</v>
      </c>
      <c r="E93" s="518">
        <f t="shared" si="28"/>
        <v>37144</v>
      </c>
      <c r="F93" s="520">
        <v>1.492</v>
      </c>
      <c r="G93" s="521">
        <f t="shared" si="24"/>
        <v>7.0000000000000007E-2</v>
      </c>
      <c r="H93" s="521">
        <f t="shared" si="25"/>
        <v>0.08</v>
      </c>
      <c r="I93" s="521">
        <f t="shared" si="29"/>
        <v>5.5499999999999883</v>
      </c>
      <c r="J93" s="521">
        <f t="shared" si="29"/>
        <v>5.5999999999999881</v>
      </c>
      <c r="K93" s="521">
        <f t="shared" si="30"/>
        <v>0.89000000000000057</v>
      </c>
      <c r="L93" s="505"/>
      <c r="M93" s="528"/>
      <c r="N93" s="505"/>
      <c r="O93" s="505"/>
      <c r="P93" s="505"/>
      <c r="Q93" s="505"/>
      <c r="R93" s="505"/>
      <c r="S93" s="505"/>
      <c r="T93" s="505"/>
      <c r="U93" s="505"/>
      <c r="V93" s="505"/>
      <c r="W93" s="505"/>
      <c r="X93" s="505"/>
      <c r="Y93" s="505"/>
      <c r="Z93" s="505"/>
      <c r="AA93" s="505"/>
      <c r="AB93" s="505"/>
      <c r="AC93" s="505"/>
      <c r="AD93" s="505"/>
      <c r="AE93" s="505"/>
      <c r="AF93" s="505"/>
      <c r="AG93" s="505"/>
      <c r="AH93" s="505"/>
      <c r="AI93" s="505"/>
      <c r="AJ93" s="505"/>
      <c r="AK93" s="505"/>
      <c r="AL93" s="505"/>
      <c r="AM93" s="505"/>
      <c r="AN93" s="505"/>
      <c r="AO93" s="505"/>
      <c r="AP93" s="505"/>
      <c r="AQ93" s="505"/>
      <c r="AR93" s="505"/>
      <c r="AS93" s="505"/>
      <c r="AT93" s="505"/>
      <c r="AU93" s="505"/>
      <c r="AV93" s="505"/>
      <c r="AW93" s="505"/>
      <c r="AX93" s="505"/>
      <c r="AY93" s="505"/>
      <c r="AZ93" s="505"/>
      <c r="BA93" s="505"/>
      <c r="BB93" s="505"/>
      <c r="BC93" s="505"/>
      <c r="BD93" s="505"/>
      <c r="BE93" s="505"/>
      <c r="BF93" s="505"/>
      <c r="BG93" s="505"/>
      <c r="BH93" s="505"/>
      <c r="BI93" s="505"/>
      <c r="BJ93" s="505"/>
      <c r="BK93" s="505"/>
      <c r="BL93" s="505"/>
      <c r="BM93" s="505"/>
      <c r="BN93" s="505"/>
      <c r="BO93" s="505"/>
      <c r="BP93" s="505"/>
      <c r="BQ93" s="505"/>
      <c r="BR93" s="505"/>
      <c r="BS93" s="505"/>
      <c r="BT93" s="505"/>
      <c r="BU93" s="505"/>
      <c r="BV93" s="505"/>
      <c r="BW93" s="505"/>
      <c r="BX93" s="505"/>
      <c r="BY93" s="505"/>
      <c r="BZ93" s="505"/>
      <c r="CA93" s="505"/>
      <c r="CB93" s="505"/>
      <c r="CC93" s="505"/>
      <c r="CD93" s="505"/>
      <c r="CE93" s="505"/>
      <c r="CF93" s="505"/>
      <c r="CG93" s="505"/>
      <c r="CH93" s="505"/>
      <c r="CI93" s="505"/>
      <c r="CJ93" s="505"/>
      <c r="CK93" s="505"/>
      <c r="CL93" s="505"/>
      <c r="CM93" s="505"/>
      <c r="CN93" s="505"/>
      <c r="CO93" s="505"/>
      <c r="CP93" s="505"/>
      <c r="CQ93" s="505"/>
      <c r="CR93" s="505"/>
      <c r="CS93" s="505"/>
      <c r="CT93" s="505"/>
      <c r="CU93" s="505"/>
      <c r="CV93" s="505"/>
      <c r="CW93" s="505"/>
      <c r="CX93" s="505"/>
      <c r="CY93" s="505"/>
      <c r="CZ93" s="505"/>
      <c r="DA93" s="505"/>
      <c r="DB93" s="505"/>
      <c r="DC93" s="505"/>
      <c r="DD93" s="505"/>
      <c r="DE93" s="505"/>
      <c r="DF93" s="505"/>
      <c r="DG93" s="505"/>
      <c r="DH93" s="505"/>
      <c r="DI93" s="505"/>
      <c r="DJ93" s="505"/>
      <c r="DK93" s="505"/>
      <c r="DL93" s="505"/>
      <c r="DM93" s="505"/>
      <c r="DN93" s="505"/>
      <c r="DO93" s="505"/>
      <c r="DP93" s="505"/>
    </row>
    <row r="94" spans="1:120" hidden="1" outlineLevel="1" x14ac:dyDescent="0.2">
      <c r="A94" s="517">
        <f t="shared" si="26"/>
        <v>37135</v>
      </c>
      <c r="B94" s="517" t="str">
        <f t="shared" si="23"/>
        <v>3Q01</v>
      </c>
      <c r="C94" s="517" t="str">
        <f t="shared" si="27"/>
        <v>4Q01</v>
      </c>
      <c r="D94" s="518">
        <f t="shared" si="28"/>
        <v>37211</v>
      </c>
      <c r="E94" s="518">
        <f t="shared" si="28"/>
        <v>37151</v>
      </c>
      <c r="F94" s="520">
        <v>1.5269999999999999</v>
      </c>
      <c r="G94" s="521">
        <f t="shared" si="24"/>
        <v>0.08</v>
      </c>
      <c r="H94" s="521">
        <f t="shared" si="25"/>
        <v>7.0000000000000007E-2</v>
      </c>
      <c r="I94" s="521">
        <f t="shared" si="29"/>
        <v>5.5999999999999881</v>
      </c>
      <c r="J94" s="521">
        <f t="shared" si="29"/>
        <v>5.6499999999999879</v>
      </c>
      <c r="K94" s="521">
        <f t="shared" si="30"/>
        <v>0.90000000000000058</v>
      </c>
      <c r="L94" s="505"/>
      <c r="M94" s="528"/>
      <c r="N94" s="505"/>
      <c r="O94" s="505"/>
      <c r="P94" s="505"/>
      <c r="Q94" s="505"/>
      <c r="R94" s="505"/>
      <c r="S94" s="505"/>
      <c r="T94" s="505"/>
      <c r="U94" s="505"/>
      <c r="V94" s="505"/>
      <c r="W94" s="505"/>
      <c r="X94" s="505"/>
      <c r="Y94" s="505"/>
      <c r="Z94" s="505"/>
      <c r="AA94" s="505"/>
      <c r="AB94" s="505"/>
      <c r="AC94" s="505"/>
      <c r="AD94" s="505"/>
      <c r="AE94" s="505"/>
      <c r="AF94" s="505"/>
      <c r="AG94" s="505"/>
      <c r="AH94" s="505"/>
      <c r="AI94" s="505"/>
      <c r="AJ94" s="505"/>
      <c r="AK94" s="505"/>
      <c r="AL94" s="505"/>
      <c r="AM94" s="505"/>
      <c r="AN94" s="505"/>
      <c r="AO94" s="505"/>
      <c r="AP94" s="505"/>
      <c r="AQ94" s="505"/>
      <c r="AR94" s="505"/>
      <c r="AS94" s="505"/>
      <c r="AT94" s="505"/>
      <c r="AU94" s="505"/>
      <c r="AV94" s="505"/>
      <c r="AW94" s="505"/>
      <c r="AX94" s="505"/>
      <c r="AY94" s="505"/>
      <c r="AZ94" s="505"/>
      <c r="BA94" s="505"/>
      <c r="BB94" s="505"/>
      <c r="BC94" s="505"/>
      <c r="BD94" s="505"/>
      <c r="BE94" s="505"/>
      <c r="BF94" s="505"/>
      <c r="BG94" s="505"/>
      <c r="BH94" s="505"/>
      <c r="BI94" s="505"/>
      <c r="BJ94" s="505"/>
      <c r="BK94" s="505"/>
      <c r="BL94" s="505"/>
      <c r="BM94" s="505"/>
      <c r="BN94" s="505"/>
      <c r="BO94" s="505"/>
      <c r="BP94" s="505"/>
      <c r="BQ94" s="505"/>
      <c r="BR94" s="505"/>
      <c r="BS94" s="505"/>
      <c r="BT94" s="505"/>
      <c r="BU94" s="505"/>
      <c r="BV94" s="505"/>
      <c r="BW94" s="505"/>
      <c r="BX94" s="505"/>
      <c r="BY94" s="505"/>
      <c r="BZ94" s="505"/>
      <c r="CA94" s="505"/>
      <c r="CB94" s="505"/>
      <c r="CC94" s="505"/>
      <c r="CD94" s="505"/>
      <c r="CE94" s="505"/>
      <c r="CF94" s="505"/>
      <c r="CG94" s="505"/>
      <c r="CH94" s="505"/>
      <c r="CI94" s="505"/>
      <c r="CJ94" s="505"/>
      <c r="CK94" s="505"/>
      <c r="CL94" s="505"/>
      <c r="CM94" s="505"/>
      <c r="CN94" s="505"/>
      <c r="CO94" s="505"/>
      <c r="CP94" s="505"/>
      <c r="CQ94" s="505"/>
      <c r="CR94" s="505"/>
      <c r="CS94" s="505"/>
      <c r="CT94" s="505"/>
      <c r="CU94" s="505"/>
      <c r="CV94" s="505"/>
      <c r="CW94" s="505"/>
      <c r="CX94" s="505"/>
      <c r="CY94" s="505"/>
      <c r="CZ94" s="505"/>
      <c r="DA94" s="505"/>
      <c r="DB94" s="505"/>
      <c r="DC94" s="505"/>
      <c r="DD94" s="505"/>
      <c r="DE94" s="505"/>
      <c r="DF94" s="505"/>
      <c r="DG94" s="505"/>
      <c r="DH94" s="505"/>
      <c r="DI94" s="505"/>
      <c r="DJ94" s="505"/>
      <c r="DK94" s="505"/>
      <c r="DL94" s="505"/>
      <c r="DM94" s="505"/>
      <c r="DN94" s="505"/>
      <c r="DO94" s="505"/>
      <c r="DP94" s="505"/>
    </row>
    <row r="95" spans="1:120" hidden="1" outlineLevel="1" x14ac:dyDescent="0.2">
      <c r="A95" s="517">
        <f t="shared" si="26"/>
        <v>37135</v>
      </c>
      <c r="B95" s="517" t="str">
        <f t="shared" si="23"/>
        <v>3Q01</v>
      </c>
      <c r="C95" s="517" t="str">
        <f t="shared" si="27"/>
        <v>4Q01</v>
      </c>
      <c r="D95" s="518">
        <f t="shared" si="28"/>
        <v>37218</v>
      </c>
      <c r="E95" s="518">
        <f t="shared" si="28"/>
        <v>37158</v>
      </c>
      <c r="F95" s="520">
        <v>1.4730000000000001</v>
      </c>
      <c r="G95" s="521">
        <f t="shared" si="24"/>
        <v>7.0000000000000007E-2</v>
      </c>
      <c r="H95" s="521">
        <f t="shared" si="25"/>
        <v>0.05</v>
      </c>
      <c r="I95" s="521">
        <f t="shared" si="29"/>
        <v>5.6499999999999879</v>
      </c>
      <c r="J95" s="521">
        <f t="shared" si="29"/>
        <v>5.6999999999999877</v>
      </c>
      <c r="K95" s="521">
        <f t="shared" si="30"/>
        <v>0.91000000000000059</v>
      </c>
      <c r="L95" s="505"/>
      <c r="M95" s="528"/>
      <c r="N95" s="505"/>
      <c r="O95" s="505"/>
      <c r="P95" s="505"/>
      <c r="Q95" s="505"/>
      <c r="R95" s="505"/>
      <c r="S95" s="505"/>
      <c r="T95" s="505"/>
      <c r="U95" s="505"/>
      <c r="V95" s="505"/>
      <c r="W95" s="505"/>
      <c r="X95" s="505"/>
      <c r="Y95" s="505"/>
      <c r="Z95" s="505"/>
      <c r="AA95" s="505"/>
      <c r="AB95" s="505"/>
      <c r="AC95" s="505"/>
      <c r="AD95" s="505"/>
      <c r="AE95" s="505"/>
      <c r="AF95" s="505"/>
      <c r="AG95" s="505"/>
      <c r="AH95" s="505"/>
      <c r="AI95" s="505"/>
      <c r="AJ95" s="505"/>
      <c r="AK95" s="505"/>
      <c r="AL95" s="505"/>
      <c r="AM95" s="505"/>
      <c r="AN95" s="505"/>
      <c r="AO95" s="505"/>
      <c r="AP95" s="505"/>
      <c r="AQ95" s="505"/>
      <c r="AR95" s="505"/>
      <c r="AS95" s="505"/>
      <c r="AT95" s="505"/>
      <c r="AU95" s="505"/>
      <c r="AV95" s="505"/>
      <c r="AW95" s="505"/>
      <c r="AX95" s="505"/>
      <c r="AY95" s="505"/>
      <c r="AZ95" s="505"/>
      <c r="BA95" s="505"/>
      <c r="BB95" s="505"/>
      <c r="BC95" s="505"/>
      <c r="BD95" s="505"/>
      <c r="BE95" s="505"/>
      <c r="BF95" s="505"/>
      <c r="BG95" s="505"/>
      <c r="BH95" s="505"/>
      <c r="BI95" s="505"/>
      <c r="BJ95" s="505"/>
      <c r="BK95" s="505"/>
      <c r="BL95" s="505"/>
      <c r="BM95" s="505"/>
      <c r="BN95" s="505"/>
      <c r="BO95" s="505"/>
      <c r="BP95" s="505"/>
      <c r="BQ95" s="505"/>
      <c r="BR95" s="505"/>
      <c r="BS95" s="505"/>
      <c r="BT95" s="505"/>
      <c r="BU95" s="505"/>
      <c r="BV95" s="505"/>
      <c r="BW95" s="505"/>
      <c r="BX95" s="505"/>
      <c r="BY95" s="505"/>
      <c r="BZ95" s="505"/>
      <c r="CA95" s="505"/>
      <c r="CB95" s="505"/>
      <c r="CC95" s="505"/>
      <c r="CD95" s="505"/>
      <c r="CE95" s="505"/>
      <c r="CF95" s="505"/>
      <c r="CG95" s="505"/>
      <c r="CH95" s="505"/>
      <c r="CI95" s="505"/>
      <c r="CJ95" s="505"/>
      <c r="CK95" s="505"/>
      <c r="CL95" s="505"/>
      <c r="CM95" s="505"/>
      <c r="CN95" s="505"/>
      <c r="CO95" s="505"/>
      <c r="CP95" s="505"/>
      <c r="CQ95" s="505"/>
      <c r="CR95" s="505"/>
      <c r="CS95" s="505"/>
      <c r="CT95" s="505"/>
      <c r="CU95" s="505"/>
      <c r="CV95" s="505"/>
      <c r="CW95" s="505"/>
      <c r="CX95" s="505"/>
      <c r="CY95" s="505"/>
      <c r="CZ95" s="505"/>
      <c r="DA95" s="505"/>
      <c r="DB95" s="505"/>
      <c r="DC95" s="505"/>
      <c r="DD95" s="505"/>
      <c r="DE95" s="505"/>
      <c r="DF95" s="505"/>
      <c r="DG95" s="505"/>
      <c r="DH95" s="505"/>
      <c r="DI95" s="505"/>
      <c r="DJ95" s="505"/>
      <c r="DK95" s="505"/>
      <c r="DL95" s="505"/>
      <c r="DM95" s="505"/>
      <c r="DN95" s="505"/>
      <c r="DO95" s="505"/>
      <c r="DP95" s="505"/>
    </row>
    <row r="96" spans="1:120" hidden="1" outlineLevel="1" x14ac:dyDescent="0.2">
      <c r="A96" s="517">
        <f t="shared" si="26"/>
        <v>37165</v>
      </c>
      <c r="B96" s="517" t="str">
        <f t="shared" si="23"/>
        <v>4Q01</v>
      </c>
      <c r="C96" s="517" t="str">
        <f t="shared" si="27"/>
        <v>4Q01</v>
      </c>
      <c r="D96" s="518">
        <f t="shared" si="28"/>
        <v>37225</v>
      </c>
      <c r="E96" s="518">
        <f t="shared" si="28"/>
        <v>37165</v>
      </c>
      <c r="F96" s="520">
        <v>1.39</v>
      </c>
      <c r="G96" s="521">
        <f t="shared" si="24"/>
        <v>0.05</v>
      </c>
      <c r="H96" s="521">
        <f t="shared" si="25"/>
        <v>0.05</v>
      </c>
      <c r="I96" s="521">
        <f t="shared" si="29"/>
        <v>5.6999999999999877</v>
      </c>
      <c r="J96" s="521">
        <f t="shared" si="29"/>
        <v>5.7499999999999876</v>
      </c>
      <c r="K96" s="521">
        <f t="shared" si="30"/>
        <v>0.9200000000000006</v>
      </c>
      <c r="L96" s="505"/>
      <c r="M96" s="528"/>
      <c r="N96" s="505"/>
      <c r="O96" s="505"/>
      <c r="P96" s="505"/>
      <c r="Q96" s="505"/>
      <c r="R96" s="505"/>
      <c r="S96" s="505"/>
      <c r="T96" s="505"/>
      <c r="U96" s="505"/>
      <c r="V96" s="505"/>
      <c r="W96" s="505"/>
      <c r="X96" s="505"/>
      <c r="Y96" s="505"/>
      <c r="Z96" s="505"/>
      <c r="AA96" s="505"/>
      <c r="AB96" s="505"/>
      <c r="AC96" s="505"/>
      <c r="AD96" s="505"/>
      <c r="AE96" s="505"/>
      <c r="AF96" s="505"/>
      <c r="AG96" s="505"/>
      <c r="AH96" s="505"/>
      <c r="AI96" s="505"/>
      <c r="AJ96" s="505"/>
      <c r="AK96" s="505"/>
      <c r="AL96" s="505"/>
      <c r="AM96" s="505"/>
      <c r="AN96" s="505"/>
      <c r="AO96" s="505"/>
      <c r="AP96" s="505"/>
      <c r="AQ96" s="505"/>
      <c r="AR96" s="505"/>
      <c r="AS96" s="505"/>
      <c r="AT96" s="505"/>
      <c r="AU96" s="505"/>
      <c r="AV96" s="505"/>
      <c r="AW96" s="505"/>
      <c r="AX96" s="505"/>
      <c r="AY96" s="505"/>
      <c r="AZ96" s="505"/>
      <c r="BA96" s="505"/>
      <c r="BB96" s="505"/>
      <c r="BC96" s="505"/>
      <c r="BD96" s="505"/>
      <c r="BE96" s="505"/>
      <c r="BF96" s="505"/>
      <c r="BG96" s="505"/>
      <c r="BH96" s="505"/>
      <c r="BI96" s="505"/>
      <c r="BJ96" s="505"/>
      <c r="BK96" s="505"/>
      <c r="BL96" s="505"/>
      <c r="BM96" s="505"/>
      <c r="BN96" s="505"/>
      <c r="BO96" s="505"/>
      <c r="BP96" s="505"/>
      <c r="BQ96" s="505"/>
      <c r="BR96" s="505"/>
      <c r="BS96" s="505"/>
      <c r="BT96" s="505"/>
      <c r="BU96" s="505"/>
      <c r="BV96" s="505"/>
      <c r="BW96" s="505"/>
      <c r="BX96" s="505"/>
      <c r="BY96" s="505"/>
      <c r="BZ96" s="505"/>
      <c r="CA96" s="505"/>
      <c r="CB96" s="505"/>
      <c r="CC96" s="505"/>
      <c r="CD96" s="505"/>
      <c r="CE96" s="505"/>
      <c r="CF96" s="505"/>
      <c r="CG96" s="505"/>
      <c r="CH96" s="505"/>
      <c r="CI96" s="505"/>
      <c r="CJ96" s="505"/>
      <c r="CK96" s="505"/>
      <c r="CL96" s="505"/>
      <c r="CM96" s="505"/>
      <c r="CN96" s="505"/>
      <c r="CO96" s="505"/>
      <c r="CP96" s="505"/>
      <c r="CQ96" s="505"/>
      <c r="CR96" s="505"/>
      <c r="CS96" s="505"/>
      <c r="CT96" s="505"/>
      <c r="CU96" s="505"/>
      <c r="CV96" s="505"/>
      <c r="CW96" s="505"/>
      <c r="CX96" s="505"/>
      <c r="CY96" s="505"/>
      <c r="CZ96" s="505"/>
      <c r="DA96" s="505"/>
      <c r="DB96" s="505"/>
      <c r="DC96" s="505"/>
      <c r="DD96" s="505"/>
      <c r="DE96" s="505"/>
      <c r="DF96" s="505"/>
      <c r="DG96" s="505"/>
      <c r="DH96" s="505"/>
      <c r="DI96" s="505"/>
      <c r="DJ96" s="505"/>
      <c r="DK96" s="505"/>
      <c r="DL96" s="505"/>
      <c r="DM96" s="505"/>
      <c r="DN96" s="505"/>
      <c r="DO96" s="505"/>
      <c r="DP96" s="505"/>
    </row>
    <row r="97" spans="1:120" hidden="1" outlineLevel="1" x14ac:dyDescent="0.2">
      <c r="A97" s="517">
        <f t="shared" si="26"/>
        <v>37165</v>
      </c>
      <c r="B97" s="517" t="str">
        <f t="shared" si="23"/>
        <v>4Q01</v>
      </c>
      <c r="C97" s="517" t="str">
        <f t="shared" si="27"/>
        <v>4Q01</v>
      </c>
      <c r="D97" s="518">
        <f t="shared" si="28"/>
        <v>37232</v>
      </c>
      <c r="E97" s="518">
        <f t="shared" si="28"/>
        <v>37172</v>
      </c>
      <c r="F97" s="520">
        <v>1.371</v>
      </c>
      <c r="G97" s="521">
        <f t="shared" si="24"/>
        <v>0.05</v>
      </c>
      <c r="H97" s="521">
        <f t="shared" si="25"/>
        <v>0.05</v>
      </c>
      <c r="I97" s="521">
        <f t="shared" si="29"/>
        <v>5.7499999999999876</v>
      </c>
      <c r="J97" s="521">
        <f t="shared" si="29"/>
        <v>5.7999999999999874</v>
      </c>
      <c r="K97" s="521">
        <f t="shared" si="30"/>
        <v>0.9300000000000006</v>
      </c>
      <c r="L97" s="505"/>
      <c r="M97" s="528"/>
      <c r="N97" s="505"/>
      <c r="O97" s="505"/>
      <c r="P97" s="505"/>
      <c r="Q97" s="505"/>
      <c r="R97" s="505"/>
      <c r="S97" s="505"/>
      <c r="T97" s="505"/>
      <c r="U97" s="505"/>
      <c r="V97" s="505"/>
      <c r="W97" s="505"/>
      <c r="X97" s="505"/>
      <c r="Y97" s="505"/>
      <c r="Z97" s="505"/>
      <c r="AA97" s="505"/>
      <c r="AB97" s="505"/>
      <c r="AC97" s="505"/>
      <c r="AD97" s="505"/>
      <c r="AE97" s="505"/>
      <c r="AF97" s="505"/>
      <c r="AG97" s="505"/>
      <c r="AH97" s="505"/>
      <c r="AI97" s="505"/>
      <c r="AJ97" s="505"/>
      <c r="AK97" s="505"/>
      <c r="AL97" s="505"/>
      <c r="AM97" s="505"/>
      <c r="AN97" s="505"/>
      <c r="AO97" s="505"/>
      <c r="AP97" s="505"/>
      <c r="AQ97" s="505"/>
      <c r="AR97" s="505"/>
      <c r="AS97" s="505"/>
      <c r="AT97" s="505"/>
      <c r="AU97" s="505"/>
      <c r="AV97" s="505"/>
      <c r="AW97" s="505"/>
      <c r="AX97" s="505"/>
      <c r="AY97" s="505"/>
      <c r="AZ97" s="505"/>
      <c r="BA97" s="505"/>
      <c r="BB97" s="505"/>
      <c r="BC97" s="505"/>
      <c r="BD97" s="505"/>
      <c r="BE97" s="505"/>
      <c r="BF97" s="505"/>
      <c r="BG97" s="505"/>
      <c r="BH97" s="505"/>
      <c r="BI97" s="505"/>
      <c r="BJ97" s="505"/>
      <c r="BK97" s="505"/>
      <c r="BL97" s="505"/>
      <c r="BM97" s="505"/>
      <c r="BN97" s="505"/>
      <c r="BO97" s="505"/>
      <c r="BP97" s="505"/>
      <c r="BQ97" s="505"/>
      <c r="BR97" s="505"/>
      <c r="BS97" s="505"/>
      <c r="BT97" s="505"/>
      <c r="BU97" s="505"/>
      <c r="BV97" s="505"/>
      <c r="BW97" s="505"/>
      <c r="BX97" s="505"/>
      <c r="BY97" s="505"/>
      <c r="BZ97" s="505"/>
      <c r="CA97" s="505"/>
      <c r="CB97" s="505"/>
      <c r="CC97" s="505"/>
      <c r="CD97" s="505"/>
      <c r="CE97" s="505"/>
      <c r="CF97" s="505"/>
      <c r="CG97" s="505"/>
      <c r="CH97" s="505"/>
      <c r="CI97" s="505"/>
      <c r="CJ97" s="505"/>
      <c r="CK97" s="505"/>
      <c r="CL97" s="505"/>
      <c r="CM97" s="505"/>
      <c r="CN97" s="505"/>
      <c r="CO97" s="505"/>
      <c r="CP97" s="505"/>
      <c r="CQ97" s="505"/>
      <c r="CR97" s="505"/>
      <c r="CS97" s="505"/>
      <c r="CT97" s="505"/>
      <c r="CU97" s="505"/>
      <c r="CV97" s="505"/>
      <c r="CW97" s="505"/>
      <c r="CX97" s="505"/>
      <c r="CY97" s="505"/>
      <c r="CZ97" s="505"/>
      <c r="DA97" s="505"/>
      <c r="DB97" s="505"/>
      <c r="DC97" s="505"/>
      <c r="DD97" s="505"/>
      <c r="DE97" s="505"/>
      <c r="DF97" s="505"/>
      <c r="DG97" s="505"/>
      <c r="DH97" s="505"/>
      <c r="DI97" s="505"/>
      <c r="DJ97" s="505"/>
      <c r="DK97" s="505"/>
      <c r="DL97" s="505"/>
      <c r="DM97" s="505"/>
      <c r="DN97" s="505"/>
      <c r="DO97" s="505"/>
      <c r="DP97" s="505"/>
    </row>
    <row r="98" spans="1:120" hidden="1" outlineLevel="1" x14ac:dyDescent="0.2">
      <c r="A98" s="517">
        <f t="shared" si="26"/>
        <v>37165</v>
      </c>
      <c r="B98" s="517" t="str">
        <f t="shared" si="23"/>
        <v>4Q01</v>
      </c>
      <c r="C98" s="517" t="str">
        <f t="shared" si="27"/>
        <v>4Q01</v>
      </c>
      <c r="D98" s="518">
        <f t="shared" si="28"/>
        <v>37239</v>
      </c>
      <c r="E98" s="518">
        <f t="shared" si="28"/>
        <v>37179</v>
      </c>
      <c r="F98" s="520">
        <v>1.3530000000000002</v>
      </c>
      <c r="G98" s="521">
        <f t="shared" si="24"/>
        <v>0.05</v>
      </c>
      <c r="H98" s="521">
        <f t="shared" si="25"/>
        <v>0.04</v>
      </c>
      <c r="I98" s="521">
        <f t="shared" si="29"/>
        <v>5.7999999999999874</v>
      </c>
      <c r="J98" s="521">
        <f t="shared" si="29"/>
        <v>5.8499999999999872</v>
      </c>
      <c r="K98" s="521">
        <f t="shared" si="30"/>
        <v>0.94000000000000061</v>
      </c>
      <c r="L98" s="505"/>
      <c r="M98" s="528"/>
      <c r="N98" s="505"/>
      <c r="O98" s="505"/>
      <c r="P98" s="505"/>
      <c r="Q98" s="505"/>
      <c r="R98" s="505"/>
      <c r="S98" s="505"/>
      <c r="T98" s="505"/>
      <c r="U98" s="505"/>
      <c r="V98" s="505"/>
      <c r="W98" s="505"/>
      <c r="X98" s="505"/>
      <c r="Y98" s="505"/>
      <c r="Z98" s="505"/>
      <c r="AA98" s="505"/>
      <c r="AB98" s="505"/>
      <c r="AC98" s="505"/>
      <c r="AD98" s="505"/>
      <c r="AE98" s="505"/>
      <c r="AF98" s="505"/>
      <c r="AG98" s="505"/>
      <c r="AH98" s="505"/>
      <c r="AI98" s="505"/>
      <c r="AJ98" s="505"/>
      <c r="AK98" s="505"/>
      <c r="AL98" s="505"/>
      <c r="AM98" s="505"/>
      <c r="AN98" s="505"/>
      <c r="AO98" s="505"/>
      <c r="AP98" s="505"/>
      <c r="AQ98" s="505"/>
      <c r="AR98" s="505"/>
      <c r="AS98" s="505"/>
      <c r="AT98" s="505"/>
      <c r="AU98" s="505"/>
      <c r="AV98" s="505"/>
      <c r="AW98" s="505"/>
      <c r="AX98" s="505"/>
      <c r="AY98" s="505"/>
      <c r="AZ98" s="505"/>
      <c r="BA98" s="505"/>
      <c r="BB98" s="505"/>
      <c r="BC98" s="505"/>
      <c r="BD98" s="505"/>
      <c r="BE98" s="505"/>
      <c r="BF98" s="505"/>
      <c r="BG98" s="505"/>
      <c r="BH98" s="505"/>
      <c r="BI98" s="505"/>
      <c r="BJ98" s="505"/>
      <c r="BK98" s="505"/>
      <c r="BL98" s="505"/>
      <c r="BM98" s="505"/>
      <c r="BN98" s="505"/>
      <c r="BO98" s="505"/>
      <c r="BP98" s="505"/>
      <c r="BQ98" s="505"/>
      <c r="BR98" s="505"/>
      <c r="BS98" s="505"/>
      <c r="BT98" s="505"/>
      <c r="BU98" s="505"/>
      <c r="BV98" s="505"/>
      <c r="BW98" s="505"/>
      <c r="BX98" s="505"/>
      <c r="BY98" s="505"/>
      <c r="BZ98" s="505"/>
      <c r="CA98" s="505"/>
      <c r="CB98" s="505"/>
      <c r="CC98" s="505"/>
      <c r="CD98" s="505"/>
      <c r="CE98" s="505"/>
      <c r="CF98" s="505"/>
      <c r="CG98" s="505"/>
      <c r="CH98" s="505"/>
      <c r="CI98" s="505"/>
      <c r="CJ98" s="505"/>
      <c r="CK98" s="505"/>
      <c r="CL98" s="505"/>
      <c r="CM98" s="505"/>
      <c r="CN98" s="505"/>
      <c r="CO98" s="505"/>
      <c r="CP98" s="505"/>
      <c r="CQ98" s="505"/>
      <c r="CR98" s="505"/>
      <c r="CS98" s="505"/>
      <c r="CT98" s="505"/>
      <c r="CU98" s="505"/>
      <c r="CV98" s="505"/>
      <c r="CW98" s="505"/>
      <c r="CX98" s="505"/>
      <c r="CY98" s="505"/>
      <c r="CZ98" s="505"/>
      <c r="DA98" s="505"/>
      <c r="DB98" s="505"/>
      <c r="DC98" s="505"/>
      <c r="DD98" s="505"/>
      <c r="DE98" s="505"/>
      <c r="DF98" s="505"/>
      <c r="DG98" s="505"/>
      <c r="DH98" s="505"/>
      <c r="DI98" s="505"/>
      <c r="DJ98" s="505"/>
      <c r="DK98" s="505"/>
      <c r="DL98" s="505"/>
      <c r="DM98" s="505"/>
      <c r="DN98" s="505"/>
      <c r="DO98" s="505"/>
      <c r="DP98" s="505"/>
    </row>
    <row r="99" spans="1:120" hidden="1" outlineLevel="1" x14ac:dyDescent="0.2">
      <c r="A99" s="517">
        <f t="shared" si="26"/>
        <v>37165</v>
      </c>
      <c r="B99" s="517" t="str">
        <f t="shared" si="23"/>
        <v>4Q01</v>
      </c>
      <c r="C99" s="517" t="str">
        <f t="shared" si="27"/>
        <v>4Q01</v>
      </c>
      <c r="D99" s="518">
        <f t="shared" si="28"/>
        <v>37246</v>
      </c>
      <c r="E99" s="518">
        <f t="shared" si="28"/>
        <v>37186</v>
      </c>
      <c r="F99" s="520">
        <v>1.3180000000000001</v>
      </c>
      <c r="G99" s="521">
        <f t="shared" si="24"/>
        <v>0.04</v>
      </c>
      <c r="H99" s="521">
        <f t="shared" si="25"/>
        <v>0.04</v>
      </c>
      <c r="I99" s="521">
        <f t="shared" si="29"/>
        <v>5.8499999999999872</v>
      </c>
      <c r="J99" s="521">
        <f t="shared" si="29"/>
        <v>5.899999999999987</v>
      </c>
      <c r="K99" s="521">
        <f t="shared" si="30"/>
        <v>0.95000000000000062</v>
      </c>
      <c r="L99" s="505"/>
      <c r="M99" s="528"/>
      <c r="N99" s="505"/>
      <c r="O99" s="505"/>
      <c r="P99" s="505"/>
      <c r="Q99" s="505"/>
      <c r="R99" s="505"/>
      <c r="S99" s="505"/>
      <c r="T99" s="505"/>
      <c r="U99" s="505"/>
      <c r="V99" s="505"/>
      <c r="W99" s="505"/>
      <c r="X99" s="505"/>
      <c r="Y99" s="505"/>
      <c r="Z99" s="505"/>
      <c r="AA99" s="505"/>
      <c r="AB99" s="505"/>
      <c r="AC99" s="505"/>
      <c r="AD99" s="505"/>
      <c r="AE99" s="505"/>
      <c r="AF99" s="505"/>
      <c r="AG99" s="505"/>
      <c r="AH99" s="505"/>
      <c r="AI99" s="505"/>
      <c r="AJ99" s="505"/>
      <c r="AK99" s="505"/>
      <c r="AL99" s="505"/>
      <c r="AM99" s="505"/>
      <c r="AN99" s="505"/>
      <c r="AO99" s="505"/>
      <c r="AP99" s="505"/>
      <c r="AQ99" s="505"/>
      <c r="AR99" s="505"/>
      <c r="AS99" s="505"/>
      <c r="AT99" s="505"/>
      <c r="AU99" s="505"/>
      <c r="AV99" s="505"/>
      <c r="AW99" s="505"/>
      <c r="AX99" s="505"/>
      <c r="AY99" s="505"/>
      <c r="AZ99" s="505"/>
      <c r="BA99" s="505"/>
      <c r="BB99" s="505"/>
      <c r="BC99" s="505"/>
      <c r="BD99" s="505"/>
      <c r="BE99" s="505"/>
      <c r="BF99" s="505"/>
      <c r="BG99" s="505"/>
      <c r="BH99" s="505"/>
      <c r="BI99" s="505"/>
      <c r="BJ99" s="505"/>
      <c r="BK99" s="505"/>
      <c r="BL99" s="505"/>
      <c r="BM99" s="505"/>
      <c r="BN99" s="505"/>
      <c r="BO99" s="505"/>
      <c r="BP99" s="505"/>
      <c r="BQ99" s="505"/>
      <c r="BR99" s="505"/>
      <c r="BS99" s="505"/>
      <c r="BT99" s="505"/>
      <c r="BU99" s="505"/>
      <c r="BV99" s="505"/>
      <c r="BW99" s="505"/>
      <c r="BX99" s="505"/>
      <c r="BY99" s="505"/>
      <c r="BZ99" s="505"/>
      <c r="CA99" s="505"/>
      <c r="CB99" s="505"/>
      <c r="CC99" s="505"/>
      <c r="CD99" s="505"/>
      <c r="CE99" s="505"/>
      <c r="CF99" s="505"/>
      <c r="CG99" s="505"/>
      <c r="CH99" s="505"/>
      <c r="CI99" s="505"/>
      <c r="CJ99" s="505"/>
      <c r="CK99" s="505"/>
      <c r="CL99" s="505"/>
      <c r="CM99" s="505"/>
      <c r="CN99" s="505"/>
      <c r="CO99" s="505"/>
      <c r="CP99" s="505"/>
      <c r="CQ99" s="505"/>
      <c r="CR99" s="505"/>
      <c r="CS99" s="505"/>
      <c r="CT99" s="505"/>
      <c r="CU99" s="505"/>
      <c r="CV99" s="505"/>
      <c r="CW99" s="505"/>
      <c r="CX99" s="505"/>
      <c r="CY99" s="505"/>
      <c r="CZ99" s="505"/>
      <c r="DA99" s="505"/>
      <c r="DB99" s="505"/>
      <c r="DC99" s="505"/>
      <c r="DD99" s="505"/>
      <c r="DE99" s="505"/>
      <c r="DF99" s="505"/>
      <c r="DG99" s="505"/>
      <c r="DH99" s="505"/>
      <c r="DI99" s="505"/>
      <c r="DJ99" s="505"/>
      <c r="DK99" s="505"/>
      <c r="DL99" s="505"/>
      <c r="DM99" s="505"/>
      <c r="DN99" s="505"/>
      <c r="DO99" s="505"/>
      <c r="DP99" s="505"/>
    </row>
    <row r="100" spans="1:120" hidden="1" outlineLevel="1" x14ac:dyDescent="0.2">
      <c r="A100" s="517">
        <f t="shared" si="26"/>
        <v>37165</v>
      </c>
      <c r="B100" s="517" t="str">
        <f t="shared" si="23"/>
        <v>4Q01</v>
      </c>
      <c r="C100" s="517" t="str">
        <f t="shared" si="27"/>
        <v>4Q01</v>
      </c>
      <c r="D100" s="518">
        <f t="shared" si="28"/>
        <v>37253</v>
      </c>
      <c r="E100" s="518">
        <f t="shared" si="28"/>
        <v>37193</v>
      </c>
      <c r="F100" s="520">
        <v>1.31</v>
      </c>
      <c r="G100" s="521">
        <f t="shared" si="24"/>
        <v>0.04</v>
      </c>
      <c r="H100" s="521">
        <f t="shared" si="25"/>
        <v>0.03</v>
      </c>
      <c r="I100" s="521">
        <f t="shared" si="29"/>
        <v>5.899999999999987</v>
      </c>
      <c r="J100" s="521">
        <f t="shared" si="29"/>
        <v>5.9499999999999869</v>
      </c>
      <c r="K100" s="521">
        <f t="shared" si="30"/>
        <v>0.96000000000000063</v>
      </c>
      <c r="L100" s="505"/>
      <c r="M100" s="528"/>
      <c r="N100" s="505"/>
      <c r="O100" s="505"/>
      <c r="P100" s="505"/>
      <c r="Q100" s="505"/>
      <c r="R100" s="505"/>
      <c r="S100" s="505"/>
      <c r="T100" s="505"/>
      <c r="U100" s="505"/>
      <c r="V100" s="505"/>
      <c r="W100" s="505"/>
      <c r="X100" s="505"/>
      <c r="Y100" s="505"/>
      <c r="Z100" s="505"/>
      <c r="AA100" s="505"/>
      <c r="AB100" s="505"/>
      <c r="AC100" s="505"/>
      <c r="AD100" s="505"/>
      <c r="AE100" s="505"/>
      <c r="AF100" s="505"/>
      <c r="AG100" s="505"/>
      <c r="AH100" s="505"/>
      <c r="AI100" s="505"/>
      <c r="AJ100" s="505"/>
      <c r="AK100" s="505"/>
      <c r="AL100" s="505"/>
      <c r="AM100" s="505"/>
      <c r="AN100" s="505"/>
      <c r="AO100" s="505"/>
      <c r="AP100" s="505"/>
      <c r="AQ100" s="505"/>
      <c r="AR100" s="505"/>
      <c r="AS100" s="505"/>
      <c r="AT100" s="505"/>
      <c r="AU100" s="505"/>
      <c r="AV100" s="505"/>
      <c r="AW100" s="505"/>
      <c r="AX100" s="505"/>
      <c r="AY100" s="505"/>
      <c r="AZ100" s="505"/>
      <c r="BA100" s="505"/>
      <c r="BB100" s="505"/>
      <c r="BC100" s="505"/>
      <c r="BD100" s="505"/>
      <c r="BE100" s="505"/>
      <c r="BF100" s="505"/>
      <c r="BG100" s="505"/>
      <c r="BH100" s="505"/>
      <c r="BI100" s="505"/>
      <c r="BJ100" s="505"/>
      <c r="BK100" s="505"/>
      <c r="BL100" s="505"/>
      <c r="BM100" s="505"/>
      <c r="BN100" s="505"/>
      <c r="BO100" s="505"/>
      <c r="BP100" s="505"/>
      <c r="BQ100" s="505"/>
      <c r="BR100" s="505"/>
      <c r="BS100" s="505"/>
      <c r="BT100" s="505"/>
      <c r="BU100" s="505"/>
      <c r="BV100" s="505"/>
      <c r="BW100" s="505"/>
      <c r="BX100" s="505"/>
      <c r="BY100" s="505"/>
      <c r="BZ100" s="505"/>
      <c r="CA100" s="505"/>
      <c r="CB100" s="505"/>
      <c r="CC100" s="505"/>
      <c r="CD100" s="505"/>
      <c r="CE100" s="505"/>
      <c r="CF100" s="505"/>
      <c r="CG100" s="505"/>
      <c r="CH100" s="505"/>
      <c r="CI100" s="505"/>
      <c r="CJ100" s="505"/>
      <c r="CK100" s="505"/>
      <c r="CL100" s="505"/>
      <c r="CM100" s="505"/>
      <c r="CN100" s="505"/>
      <c r="CO100" s="505"/>
      <c r="CP100" s="505"/>
      <c r="CQ100" s="505"/>
      <c r="CR100" s="505"/>
      <c r="CS100" s="505"/>
      <c r="CT100" s="505"/>
      <c r="CU100" s="505"/>
      <c r="CV100" s="505"/>
      <c r="CW100" s="505"/>
      <c r="CX100" s="505"/>
      <c r="CY100" s="505"/>
      <c r="CZ100" s="505"/>
      <c r="DA100" s="505"/>
      <c r="DB100" s="505"/>
      <c r="DC100" s="505"/>
      <c r="DD100" s="505"/>
      <c r="DE100" s="505"/>
      <c r="DF100" s="505"/>
      <c r="DG100" s="505"/>
      <c r="DH100" s="505"/>
      <c r="DI100" s="505"/>
      <c r="DJ100" s="505"/>
      <c r="DK100" s="505"/>
      <c r="DL100" s="505"/>
      <c r="DM100" s="505"/>
      <c r="DN100" s="505"/>
      <c r="DO100" s="505"/>
      <c r="DP100" s="505"/>
    </row>
    <row r="101" spans="1:120" hidden="1" outlineLevel="1" x14ac:dyDescent="0.2">
      <c r="A101" s="517">
        <f t="shared" si="26"/>
        <v>37196</v>
      </c>
      <c r="B101" s="517" t="str">
        <f t="shared" si="23"/>
        <v>4Q01</v>
      </c>
      <c r="C101" s="517" t="str">
        <f t="shared" si="27"/>
        <v>1Q02</v>
      </c>
      <c r="D101" s="518">
        <f t="shared" si="28"/>
        <v>37260</v>
      </c>
      <c r="E101" s="518">
        <f t="shared" si="28"/>
        <v>37200</v>
      </c>
      <c r="F101" s="520">
        <v>1.2909999999999999</v>
      </c>
      <c r="G101" s="521">
        <f t="shared" si="24"/>
        <v>0.03</v>
      </c>
      <c r="H101" s="521">
        <f t="shared" si="25"/>
        <v>0.03</v>
      </c>
      <c r="I101" s="521">
        <f t="shared" si="29"/>
        <v>5.9499999999999869</v>
      </c>
      <c r="J101" s="521">
        <f t="shared" si="29"/>
        <v>5.9999999999999867</v>
      </c>
      <c r="K101" s="521">
        <f t="shared" si="30"/>
        <v>0.97000000000000064</v>
      </c>
      <c r="L101" s="505"/>
      <c r="M101" s="528"/>
      <c r="N101" s="505"/>
      <c r="O101" s="505"/>
      <c r="P101" s="505"/>
      <c r="Q101" s="505"/>
      <c r="R101" s="505"/>
      <c r="S101" s="505"/>
      <c r="T101" s="505"/>
      <c r="U101" s="505"/>
      <c r="V101" s="505"/>
      <c r="W101" s="505"/>
      <c r="X101" s="505"/>
      <c r="Y101" s="505"/>
      <c r="Z101" s="505"/>
      <c r="AA101" s="505"/>
      <c r="AB101" s="505"/>
      <c r="AC101" s="505"/>
      <c r="AD101" s="505"/>
      <c r="AE101" s="505"/>
      <c r="AF101" s="505"/>
      <c r="AG101" s="505"/>
      <c r="AH101" s="505"/>
      <c r="AI101" s="505"/>
      <c r="AJ101" s="505"/>
      <c r="AK101" s="505"/>
      <c r="AL101" s="505"/>
      <c r="AM101" s="505"/>
      <c r="AN101" s="505"/>
      <c r="AO101" s="505"/>
      <c r="AP101" s="505"/>
      <c r="AQ101" s="505"/>
      <c r="AR101" s="505"/>
      <c r="AS101" s="505"/>
      <c r="AT101" s="505"/>
      <c r="AU101" s="505"/>
      <c r="AV101" s="505"/>
      <c r="AW101" s="505"/>
      <c r="AX101" s="505"/>
      <c r="AY101" s="505"/>
      <c r="AZ101" s="505"/>
      <c r="BA101" s="505"/>
      <c r="BB101" s="505"/>
      <c r="BC101" s="505"/>
      <c r="BD101" s="505"/>
      <c r="BE101" s="505"/>
      <c r="BF101" s="505"/>
      <c r="BG101" s="505"/>
      <c r="BH101" s="505"/>
      <c r="BI101" s="505"/>
      <c r="BJ101" s="505"/>
      <c r="BK101" s="505"/>
      <c r="BL101" s="505"/>
      <c r="BM101" s="505"/>
      <c r="BN101" s="505"/>
      <c r="BO101" s="505"/>
      <c r="BP101" s="505"/>
      <c r="BQ101" s="505"/>
      <c r="BR101" s="505"/>
      <c r="BS101" s="505"/>
      <c r="BT101" s="505"/>
      <c r="BU101" s="505"/>
      <c r="BV101" s="505"/>
      <c r="BW101" s="505"/>
      <c r="BX101" s="505"/>
      <c r="BY101" s="505"/>
      <c r="BZ101" s="505"/>
      <c r="CA101" s="505"/>
      <c r="CB101" s="505"/>
      <c r="CC101" s="505"/>
      <c r="CD101" s="505"/>
      <c r="CE101" s="505"/>
      <c r="CF101" s="505"/>
      <c r="CG101" s="505"/>
      <c r="CH101" s="505"/>
      <c r="CI101" s="505"/>
      <c r="CJ101" s="505"/>
      <c r="CK101" s="505"/>
      <c r="CL101" s="505"/>
      <c r="CM101" s="505"/>
      <c r="CN101" s="505"/>
      <c r="CO101" s="505"/>
      <c r="CP101" s="505"/>
      <c r="CQ101" s="505"/>
      <c r="CR101" s="505"/>
      <c r="CS101" s="505"/>
      <c r="CT101" s="505"/>
      <c r="CU101" s="505"/>
      <c r="CV101" s="505"/>
      <c r="CW101" s="505"/>
      <c r="CX101" s="505"/>
      <c r="CY101" s="505"/>
      <c r="CZ101" s="505"/>
      <c r="DA101" s="505"/>
      <c r="DB101" s="505"/>
      <c r="DC101" s="505"/>
      <c r="DD101" s="505"/>
      <c r="DE101" s="505"/>
      <c r="DF101" s="505"/>
      <c r="DG101" s="505"/>
      <c r="DH101" s="505"/>
      <c r="DI101" s="505"/>
      <c r="DJ101" s="505"/>
      <c r="DK101" s="505"/>
      <c r="DL101" s="505"/>
      <c r="DM101" s="505"/>
      <c r="DN101" s="505"/>
      <c r="DO101" s="505"/>
      <c r="DP101" s="505"/>
    </row>
    <row r="102" spans="1:120" hidden="1" outlineLevel="1" x14ac:dyDescent="0.2">
      <c r="A102" s="517">
        <f t="shared" si="26"/>
        <v>37196</v>
      </c>
      <c r="B102" s="517" t="str">
        <f t="shared" si="23"/>
        <v>4Q01</v>
      </c>
      <c r="C102" s="517" t="str">
        <f t="shared" si="27"/>
        <v>1Q02</v>
      </c>
      <c r="D102" s="518">
        <f t="shared" si="28"/>
        <v>37267</v>
      </c>
      <c r="E102" s="518">
        <f t="shared" si="28"/>
        <v>37207</v>
      </c>
      <c r="F102" s="520">
        <v>1.2690000000000001</v>
      </c>
      <c r="G102" s="521">
        <f t="shared" si="24"/>
        <v>0.03</v>
      </c>
      <c r="H102" s="521">
        <f t="shared" si="25"/>
        <v>0.03</v>
      </c>
      <c r="I102" s="521">
        <f t="shared" ref="I102:J133" si="31">I101+0.05</f>
        <v>5.9999999999999867</v>
      </c>
      <c r="J102" s="521">
        <f t="shared" si="31"/>
        <v>6.0499999999999865</v>
      </c>
      <c r="K102" s="521">
        <f t="shared" si="30"/>
        <v>0.98000000000000065</v>
      </c>
      <c r="L102" s="505"/>
      <c r="M102" s="528"/>
      <c r="N102" s="505"/>
      <c r="O102" s="505"/>
      <c r="P102" s="505"/>
      <c r="Q102" s="505"/>
      <c r="R102" s="505"/>
      <c r="S102" s="505"/>
      <c r="T102" s="505"/>
      <c r="U102" s="505"/>
      <c r="V102" s="505"/>
      <c r="W102" s="505"/>
      <c r="X102" s="505"/>
      <c r="Y102" s="505"/>
      <c r="Z102" s="505"/>
      <c r="AA102" s="505"/>
      <c r="AB102" s="505"/>
      <c r="AC102" s="505"/>
      <c r="AD102" s="505"/>
      <c r="AE102" s="505"/>
      <c r="AF102" s="505"/>
      <c r="AG102" s="505"/>
      <c r="AH102" s="505"/>
      <c r="AI102" s="505"/>
      <c r="AJ102" s="505"/>
      <c r="AK102" s="505"/>
      <c r="AL102" s="505"/>
      <c r="AM102" s="505"/>
      <c r="AN102" s="505"/>
      <c r="AO102" s="505"/>
      <c r="AP102" s="505"/>
      <c r="AQ102" s="505"/>
      <c r="AR102" s="505"/>
      <c r="AS102" s="505"/>
      <c r="AT102" s="505"/>
      <c r="AU102" s="505"/>
      <c r="AV102" s="505"/>
      <c r="AW102" s="505"/>
      <c r="AX102" s="505"/>
      <c r="AY102" s="505"/>
      <c r="AZ102" s="505"/>
      <c r="BA102" s="505"/>
      <c r="BB102" s="505"/>
      <c r="BC102" s="505"/>
      <c r="BD102" s="505"/>
      <c r="BE102" s="505"/>
      <c r="BF102" s="505"/>
      <c r="BG102" s="505"/>
      <c r="BH102" s="505"/>
      <c r="BI102" s="505"/>
      <c r="BJ102" s="505"/>
      <c r="BK102" s="505"/>
      <c r="BL102" s="505"/>
      <c r="BM102" s="505"/>
      <c r="BN102" s="505"/>
      <c r="BO102" s="505"/>
      <c r="BP102" s="505"/>
      <c r="BQ102" s="505"/>
      <c r="BR102" s="505"/>
      <c r="BS102" s="505"/>
      <c r="BT102" s="505"/>
      <c r="BU102" s="505"/>
      <c r="BV102" s="505"/>
      <c r="BW102" s="505"/>
      <c r="BX102" s="505"/>
      <c r="BY102" s="505"/>
      <c r="BZ102" s="505"/>
      <c r="CA102" s="505"/>
      <c r="CB102" s="505"/>
      <c r="CC102" s="505"/>
      <c r="CD102" s="505"/>
      <c r="CE102" s="505"/>
      <c r="CF102" s="505"/>
      <c r="CG102" s="505"/>
      <c r="CH102" s="505"/>
      <c r="CI102" s="505"/>
      <c r="CJ102" s="505"/>
      <c r="CK102" s="505"/>
      <c r="CL102" s="505"/>
      <c r="CM102" s="505"/>
      <c r="CN102" s="505"/>
      <c r="CO102" s="505"/>
      <c r="CP102" s="505"/>
      <c r="CQ102" s="505"/>
      <c r="CR102" s="505"/>
      <c r="CS102" s="505"/>
      <c r="CT102" s="505"/>
      <c r="CU102" s="505"/>
      <c r="CV102" s="505"/>
      <c r="CW102" s="505"/>
      <c r="CX102" s="505"/>
      <c r="CY102" s="505"/>
      <c r="CZ102" s="505"/>
      <c r="DA102" s="505"/>
      <c r="DB102" s="505"/>
      <c r="DC102" s="505"/>
      <c r="DD102" s="505"/>
      <c r="DE102" s="505"/>
      <c r="DF102" s="505"/>
      <c r="DG102" s="505"/>
      <c r="DH102" s="505"/>
      <c r="DI102" s="505"/>
      <c r="DJ102" s="505"/>
      <c r="DK102" s="505"/>
      <c r="DL102" s="505"/>
      <c r="DM102" s="505"/>
      <c r="DN102" s="505"/>
      <c r="DO102" s="505"/>
      <c r="DP102" s="505"/>
    </row>
    <row r="103" spans="1:120" hidden="1" outlineLevel="1" x14ac:dyDescent="0.2">
      <c r="A103" s="517">
        <f t="shared" si="26"/>
        <v>37196</v>
      </c>
      <c r="B103" s="517" t="str">
        <f t="shared" si="23"/>
        <v>4Q01</v>
      </c>
      <c r="C103" s="517" t="str">
        <f t="shared" si="27"/>
        <v>1Q02</v>
      </c>
      <c r="D103" s="518">
        <f t="shared" si="28"/>
        <v>37274</v>
      </c>
      <c r="E103" s="518">
        <f t="shared" si="28"/>
        <v>37214</v>
      </c>
      <c r="F103" s="520">
        <v>1.252</v>
      </c>
      <c r="G103" s="521">
        <f t="shared" si="24"/>
        <v>0.03</v>
      </c>
      <c r="H103" s="521">
        <f t="shared" si="25"/>
        <v>0.02</v>
      </c>
      <c r="I103" s="521">
        <f t="shared" si="31"/>
        <v>6.0499999999999865</v>
      </c>
      <c r="J103" s="521">
        <f t="shared" si="31"/>
        <v>6.0999999999999863</v>
      </c>
      <c r="K103" s="521">
        <f t="shared" si="30"/>
        <v>0.99000000000000066</v>
      </c>
      <c r="L103" s="505"/>
      <c r="M103" s="528"/>
      <c r="N103" s="505"/>
      <c r="O103" s="505"/>
      <c r="P103" s="505"/>
      <c r="Q103" s="505"/>
      <c r="R103" s="505"/>
      <c r="S103" s="505"/>
      <c r="T103" s="505"/>
      <c r="U103" s="505"/>
      <c r="V103" s="505"/>
      <c r="W103" s="505"/>
      <c r="X103" s="505"/>
      <c r="Y103" s="505"/>
      <c r="Z103" s="505"/>
      <c r="AA103" s="505"/>
      <c r="AB103" s="505"/>
      <c r="AC103" s="505"/>
      <c r="AD103" s="505"/>
      <c r="AE103" s="505"/>
      <c r="AF103" s="505"/>
      <c r="AG103" s="505"/>
      <c r="AH103" s="505"/>
      <c r="AI103" s="505"/>
      <c r="AJ103" s="505"/>
      <c r="AK103" s="505"/>
      <c r="AL103" s="505"/>
      <c r="AM103" s="505"/>
      <c r="AN103" s="505"/>
      <c r="AO103" s="505"/>
      <c r="AP103" s="505"/>
      <c r="AQ103" s="505"/>
      <c r="AR103" s="505"/>
      <c r="AS103" s="505"/>
      <c r="AT103" s="505"/>
      <c r="AU103" s="505"/>
      <c r="AV103" s="505"/>
      <c r="AW103" s="505"/>
      <c r="AX103" s="505"/>
      <c r="AY103" s="505"/>
      <c r="AZ103" s="505"/>
      <c r="BA103" s="505"/>
      <c r="BB103" s="505"/>
      <c r="BC103" s="505"/>
      <c r="BD103" s="505"/>
      <c r="BE103" s="505"/>
      <c r="BF103" s="505"/>
      <c r="BG103" s="505"/>
      <c r="BH103" s="505"/>
      <c r="BI103" s="505"/>
      <c r="BJ103" s="505"/>
      <c r="BK103" s="505"/>
      <c r="BL103" s="505"/>
      <c r="BM103" s="505"/>
      <c r="BN103" s="505"/>
      <c r="BO103" s="505"/>
      <c r="BP103" s="505"/>
      <c r="BQ103" s="505"/>
      <c r="BR103" s="505"/>
      <c r="BS103" s="505"/>
      <c r="BT103" s="505"/>
      <c r="BU103" s="505"/>
      <c r="BV103" s="505"/>
      <c r="BW103" s="505"/>
      <c r="BX103" s="505"/>
      <c r="BY103" s="505"/>
      <c r="BZ103" s="505"/>
      <c r="CA103" s="505"/>
      <c r="CB103" s="505"/>
      <c r="CC103" s="505"/>
      <c r="CD103" s="505"/>
      <c r="CE103" s="505"/>
      <c r="CF103" s="505"/>
      <c r="CG103" s="505"/>
      <c r="CH103" s="505"/>
      <c r="CI103" s="505"/>
      <c r="CJ103" s="505"/>
      <c r="CK103" s="505"/>
      <c r="CL103" s="505"/>
      <c r="CM103" s="505"/>
      <c r="CN103" s="505"/>
      <c r="CO103" s="505"/>
      <c r="CP103" s="505"/>
      <c r="CQ103" s="505"/>
      <c r="CR103" s="505"/>
      <c r="CS103" s="505"/>
      <c r="CT103" s="505"/>
      <c r="CU103" s="505"/>
      <c r="CV103" s="505"/>
      <c r="CW103" s="505"/>
      <c r="CX103" s="505"/>
      <c r="CY103" s="505"/>
      <c r="CZ103" s="505"/>
      <c r="DA103" s="505"/>
      <c r="DB103" s="505"/>
      <c r="DC103" s="505"/>
      <c r="DD103" s="505"/>
      <c r="DE103" s="505"/>
      <c r="DF103" s="505"/>
      <c r="DG103" s="505"/>
      <c r="DH103" s="505"/>
      <c r="DI103" s="505"/>
      <c r="DJ103" s="505"/>
      <c r="DK103" s="505"/>
      <c r="DL103" s="505"/>
      <c r="DM103" s="505"/>
      <c r="DN103" s="505"/>
      <c r="DO103" s="505"/>
      <c r="DP103" s="505"/>
    </row>
    <row r="104" spans="1:120" hidden="1" outlineLevel="1" x14ac:dyDescent="0.2">
      <c r="A104" s="517">
        <f t="shared" si="26"/>
        <v>37196</v>
      </c>
      <c r="B104" s="517" t="str">
        <f t="shared" si="23"/>
        <v>4Q01</v>
      </c>
      <c r="C104" s="517" t="str">
        <f t="shared" si="27"/>
        <v>1Q02</v>
      </c>
      <c r="D104" s="518">
        <f t="shared" si="28"/>
        <v>37281</v>
      </c>
      <c r="E104" s="518">
        <f t="shared" si="28"/>
        <v>37221</v>
      </c>
      <c r="F104" s="520">
        <v>1.2229999999999999</v>
      </c>
      <c r="G104" s="521">
        <f t="shared" si="24"/>
        <v>0.02</v>
      </c>
      <c r="H104" s="521">
        <f t="shared" si="25"/>
        <v>0.01</v>
      </c>
      <c r="I104" s="521">
        <f t="shared" si="31"/>
        <v>6.0999999999999863</v>
      </c>
      <c r="J104" s="521">
        <f t="shared" si="31"/>
        <v>6.1499999999999861</v>
      </c>
      <c r="K104" s="521">
        <f t="shared" si="30"/>
        <v>1.0000000000000007</v>
      </c>
      <c r="L104" s="505"/>
      <c r="M104" s="528"/>
      <c r="N104" s="505"/>
      <c r="O104" s="505"/>
      <c r="P104" s="505"/>
      <c r="Q104" s="505"/>
      <c r="R104" s="505"/>
      <c r="S104" s="505"/>
      <c r="T104" s="505"/>
      <c r="U104" s="505"/>
      <c r="V104" s="505"/>
      <c r="W104" s="505"/>
      <c r="X104" s="505"/>
      <c r="Y104" s="505"/>
      <c r="Z104" s="505"/>
      <c r="AA104" s="505"/>
      <c r="AB104" s="505"/>
      <c r="AC104" s="505"/>
      <c r="AD104" s="505"/>
      <c r="AE104" s="505"/>
      <c r="AF104" s="505"/>
      <c r="AG104" s="505"/>
      <c r="AH104" s="505"/>
      <c r="AI104" s="505"/>
      <c r="AJ104" s="505"/>
      <c r="AK104" s="505"/>
      <c r="AL104" s="505"/>
      <c r="AM104" s="505"/>
      <c r="AN104" s="505"/>
      <c r="AO104" s="505"/>
      <c r="AP104" s="505"/>
      <c r="AQ104" s="505"/>
      <c r="AR104" s="505"/>
      <c r="AS104" s="505"/>
      <c r="AT104" s="505"/>
      <c r="AU104" s="505"/>
      <c r="AV104" s="505"/>
      <c r="AW104" s="505"/>
      <c r="AX104" s="505"/>
      <c r="AY104" s="505"/>
      <c r="AZ104" s="505"/>
      <c r="BA104" s="505"/>
      <c r="BB104" s="505"/>
      <c r="BC104" s="505"/>
      <c r="BD104" s="505"/>
      <c r="BE104" s="505"/>
      <c r="BF104" s="505"/>
      <c r="BG104" s="505"/>
      <c r="BH104" s="505"/>
      <c r="BI104" s="505"/>
      <c r="BJ104" s="505"/>
      <c r="BK104" s="505"/>
      <c r="BL104" s="505"/>
      <c r="BM104" s="505"/>
      <c r="BN104" s="505"/>
      <c r="BO104" s="505"/>
      <c r="BP104" s="505"/>
      <c r="BQ104" s="505"/>
      <c r="BR104" s="505"/>
      <c r="BS104" s="505"/>
      <c r="BT104" s="505"/>
      <c r="BU104" s="505"/>
      <c r="BV104" s="505"/>
      <c r="BW104" s="505"/>
      <c r="BX104" s="505"/>
      <c r="BY104" s="505"/>
      <c r="BZ104" s="505"/>
      <c r="CA104" s="505"/>
      <c r="CB104" s="505"/>
      <c r="CC104" s="505"/>
      <c r="CD104" s="505"/>
      <c r="CE104" s="505"/>
      <c r="CF104" s="505"/>
      <c r="CG104" s="505"/>
      <c r="CH104" s="505"/>
      <c r="CI104" s="505"/>
      <c r="CJ104" s="505"/>
      <c r="CK104" s="505"/>
      <c r="CL104" s="505"/>
      <c r="CM104" s="505"/>
      <c r="CN104" s="505"/>
      <c r="CO104" s="505"/>
      <c r="CP104" s="505"/>
      <c r="CQ104" s="505"/>
      <c r="CR104" s="505"/>
      <c r="CS104" s="505"/>
      <c r="CT104" s="505"/>
      <c r="CU104" s="505"/>
      <c r="CV104" s="505"/>
      <c r="CW104" s="505"/>
      <c r="CX104" s="505"/>
      <c r="CY104" s="505"/>
      <c r="CZ104" s="505"/>
      <c r="DA104" s="505"/>
      <c r="DB104" s="505"/>
      <c r="DC104" s="505"/>
      <c r="DD104" s="505"/>
      <c r="DE104" s="505"/>
      <c r="DF104" s="505"/>
      <c r="DG104" s="505"/>
      <c r="DH104" s="505"/>
      <c r="DI104" s="505"/>
      <c r="DJ104" s="505"/>
      <c r="DK104" s="505"/>
      <c r="DL104" s="505"/>
      <c r="DM104" s="505"/>
      <c r="DN104" s="505"/>
      <c r="DO104" s="505"/>
      <c r="DP104" s="505"/>
    </row>
    <row r="105" spans="1:120" hidden="1" outlineLevel="1" x14ac:dyDescent="0.2">
      <c r="A105" s="517">
        <f t="shared" si="26"/>
        <v>37226</v>
      </c>
      <c r="B105" s="517" t="str">
        <f t="shared" si="23"/>
        <v>4Q01</v>
      </c>
      <c r="C105" s="517" t="str">
        <f t="shared" si="27"/>
        <v>1Q02</v>
      </c>
      <c r="D105" s="518">
        <f t="shared" si="28"/>
        <v>37288</v>
      </c>
      <c r="E105" s="518">
        <f t="shared" si="28"/>
        <v>37228</v>
      </c>
      <c r="F105" s="520">
        <v>1.194</v>
      </c>
      <c r="G105" s="521">
        <f t="shared" si="24"/>
        <v>0.01</v>
      </c>
      <c r="H105" s="521">
        <f t="shared" si="25"/>
        <v>0.01</v>
      </c>
      <c r="I105" s="521">
        <f t="shared" si="31"/>
        <v>6.1499999999999861</v>
      </c>
      <c r="J105" s="521">
        <f t="shared" si="31"/>
        <v>6.199999999999986</v>
      </c>
      <c r="K105" s="521">
        <f t="shared" si="30"/>
        <v>1.0100000000000007</v>
      </c>
      <c r="L105" s="505"/>
      <c r="M105" s="528"/>
      <c r="N105" s="505"/>
      <c r="O105" s="505"/>
      <c r="P105" s="505"/>
      <c r="Q105" s="505"/>
      <c r="R105" s="505"/>
      <c r="S105" s="505"/>
      <c r="T105" s="505"/>
      <c r="U105" s="505"/>
      <c r="V105" s="505"/>
      <c r="W105" s="505"/>
      <c r="X105" s="505"/>
      <c r="Y105" s="505"/>
      <c r="Z105" s="505"/>
      <c r="AA105" s="505"/>
      <c r="AB105" s="505"/>
      <c r="AC105" s="505"/>
      <c r="AD105" s="505"/>
      <c r="AE105" s="505"/>
      <c r="AF105" s="505"/>
      <c r="AG105" s="505"/>
      <c r="AH105" s="505"/>
      <c r="AI105" s="505"/>
      <c r="AJ105" s="505"/>
      <c r="AK105" s="505"/>
      <c r="AL105" s="505"/>
      <c r="AM105" s="505"/>
      <c r="AN105" s="505"/>
      <c r="AO105" s="505"/>
      <c r="AP105" s="505"/>
      <c r="AQ105" s="505"/>
      <c r="AR105" s="505"/>
      <c r="AS105" s="505"/>
      <c r="AT105" s="505"/>
      <c r="AU105" s="505"/>
      <c r="AV105" s="505"/>
      <c r="AW105" s="505"/>
      <c r="AX105" s="505"/>
      <c r="AY105" s="505"/>
      <c r="AZ105" s="505"/>
      <c r="BA105" s="505"/>
      <c r="BB105" s="505"/>
      <c r="BC105" s="505"/>
      <c r="BD105" s="505"/>
      <c r="BE105" s="505"/>
      <c r="BF105" s="505"/>
      <c r="BG105" s="505"/>
      <c r="BH105" s="505"/>
      <c r="BI105" s="505"/>
      <c r="BJ105" s="505"/>
      <c r="BK105" s="505"/>
      <c r="BL105" s="505"/>
      <c r="BM105" s="505"/>
      <c r="BN105" s="505"/>
      <c r="BO105" s="505"/>
      <c r="BP105" s="505"/>
      <c r="BQ105" s="505"/>
      <c r="BR105" s="505"/>
      <c r="BS105" s="505"/>
      <c r="BT105" s="505"/>
      <c r="BU105" s="505"/>
      <c r="BV105" s="505"/>
      <c r="BW105" s="505"/>
      <c r="BX105" s="505"/>
      <c r="BY105" s="505"/>
      <c r="BZ105" s="505"/>
      <c r="CA105" s="505"/>
      <c r="CB105" s="505"/>
      <c r="CC105" s="505"/>
      <c r="CD105" s="505"/>
      <c r="CE105" s="505"/>
      <c r="CF105" s="505"/>
      <c r="CG105" s="505"/>
      <c r="CH105" s="505"/>
      <c r="CI105" s="505"/>
      <c r="CJ105" s="505"/>
      <c r="CK105" s="505"/>
      <c r="CL105" s="505"/>
      <c r="CM105" s="505"/>
      <c r="CN105" s="505"/>
      <c r="CO105" s="505"/>
      <c r="CP105" s="505"/>
      <c r="CQ105" s="505"/>
      <c r="CR105" s="505"/>
      <c r="CS105" s="505"/>
      <c r="CT105" s="505"/>
      <c r="CU105" s="505"/>
      <c r="CV105" s="505"/>
      <c r="CW105" s="505"/>
      <c r="CX105" s="505"/>
      <c r="CY105" s="505"/>
      <c r="CZ105" s="505"/>
      <c r="DA105" s="505"/>
      <c r="DB105" s="505"/>
      <c r="DC105" s="505"/>
      <c r="DD105" s="505"/>
      <c r="DE105" s="505"/>
      <c r="DF105" s="505"/>
      <c r="DG105" s="505"/>
      <c r="DH105" s="505"/>
      <c r="DI105" s="505"/>
      <c r="DJ105" s="505"/>
      <c r="DK105" s="505"/>
      <c r="DL105" s="505"/>
      <c r="DM105" s="505"/>
      <c r="DN105" s="505"/>
      <c r="DO105" s="505"/>
      <c r="DP105" s="505"/>
    </row>
    <row r="106" spans="1:120" hidden="1" outlineLevel="1" x14ac:dyDescent="0.2">
      <c r="A106" s="517">
        <f t="shared" si="26"/>
        <v>37226</v>
      </c>
      <c r="B106" s="517" t="str">
        <f t="shared" si="23"/>
        <v>4Q01</v>
      </c>
      <c r="C106" s="517" t="str">
        <f t="shared" si="27"/>
        <v>1Q02</v>
      </c>
      <c r="D106" s="518">
        <f t="shared" si="28"/>
        <v>37295</v>
      </c>
      <c r="E106" s="518">
        <f t="shared" si="28"/>
        <v>37235</v>
      </c>
      <c r="F106" s="520">
        <v>1.173</v>
      </c>
      <c r="G106" s="521">
        <f t="shared" si="24"/>
        <v>0.01</v>
      </c>
      <c r="H106" s="521">
        <f t="shared" si="25"/>
        <v>0</v>
      </c>
      <c r="I106" s="521">
        <f t="shared" si="31"/>
        <v>6.199999999999986</v>
      </c>
      <c r="J106" s="521">
        <f t="shared" si="31"/>
        <v>6.2499999999999858</v>
      </c>
      <c r="K106" s="521">
        <f t="shared" si="30"/>
        <v>1.0200000000000007</v>
      </c>
      <c r="L106" s="505"/>
      <c r="M106" s="528"/>
      <c r="N106" s="505"/>
      <c r="O106" s="505"/>
      <c r="P106" s="505"/>
      <c r="Q106" s="505"/>
      <c r="R106" s="505"/>
      <c r="S106" s="505"/>
      <c r="T106" s="505"/>
      <c r="U106" s="505"/>
      <c r="V106" s="505"/>
      <c r="W106" s="505"/>
      <c r="X106" s="505"/>
      <c r="Y106" s="505"/>
      <c r="Z106" s="505"/>
      <c r="AA106" s="505"/>
      <c r="AB106" s="505"/>
      <c r="AC106" s="505"/>
      <c r="AD106" s="505"/>
      <c r="AE106" s="505"/>
      <c r="AF106" s="505"/>
      <c r="AG106" s="505"/>
      <c r="AH106" s="505"/>
      <c r="AI106" s="505"/>
      <c r="AJ106" s="505"/>
      <c r="AK106" s="505"/>
      <c r="AL106" s="505"/>
      <c r="AM106" s="505"/>
      <c r="AN106" s="505"/>
      <c r="AO106" s="505"/>
      <c r="AP106" s="505"/>
      <c r="AQ106" s="505"/>
      <c r="AR106" s="505"/>
      <c r="AS106" s="505"/>
      <c r="AT106" s="505"/>
      <c r="AU106" s="505"/>
      <c r="AV106" s="505"/>
      <c r="AW106" s="505"/>
      <c r="AX106" s="505"/>
      <c r="AY106" s="505"/>
      <c r="AZ106" s="505"/>
      <c r="BA106" s="505"/>
      <c r="BB106" s="505"/>
      <c r="BC106" s="505"/>
      <c r="BD106" s="505"/>
      <c r="BE106" s="505"/>
      <c r="BF106" s="505"/>
      <c r="BG106" s="505"/>
      <c r="BH106" s="505"/>
      <c r="BI106" s="505"/>
      <c r="BJ106" s="505"/>
      <c r="BK106" s="505"/>
      <c r="BL106" s="505"/>
      <c r="BM106" s="505"/>
      <c r="BN106" s="505"/>
      <c r="BO106" s="505"/>
      <c r="BP106" s="505"/>
      <c r="BQ106" s="505"/>
      <c r="BR106" s="505"/>
      <c r="BS106" s="505"/>
      <c r="BT106" s="505"/>
      <c r="BU106" s="505"/>
      <c r="BV106" s="505"/>
      <c r="BW106" s="505"/>
      <c r="BX106" s="505"/>
      <c r="BY106" s="505"/>
      <c r="BZ106" s="505"/>
      <c r="CA106" s="505"/>
      <c r="CB106" s="505"/>
      <c r="CC106" s="505"/>
      <c r="CD106" s="505"/>
      <c r="CE106" s="505"/>
      <c r="CF106" s="505"/>
      <c r="CG106" s="505"/>
      <c r="CH106" s="505"/>
      <c r="CI106" s="505"/>
      <c r="CJ106" s="505"/>
      <c r="CK106" s="505"/>
      <c r="CL106" s="505"/>
      <c r="CM106" s="505"/>
      <c r="CN106" s="505"/>
      <c r="CO106" s="505"/>
      <c r="CP106" s="505"/>
      <c r="CQ106" s="505"/>
      <c r="CR106" s="505"/>
      <c r="CS106" s="505"/>
      <c r="CT106" s="505"/>
      <c r="CU106" s="505"/>
      <c r="CV106" s="505"/>
      <c r="CW106" s="505"/>
      <c r="CX106" s="505"/>
      <c r="CY106" s="505"/>
      <c r="CZ106" s="505"/>
      <c r="DA106" s="505"/>
      <c r="DB106" s="505"/>
      <c r="DC106" s="505"/>
      <c r="DD106" s="505"/>
      <c r="DE106" s="505"/>
      <c r="DF106" s="505"/>
      <c r="DG106" s="505"/>
      <c r="DH106" s="505"/>
      <c r="DI106" s="505"/>
      <c r="DJ106" s="505"/>
      <c r="DK106" s="505"/>
      <c r="DL106" s="505"/>
      <c r="DM106" s="505"/>
      <c r="DN106" s="505"/>
      <c r="DO106" s="505"/>
      <c r="DP106" s="505"/>
    </row>
    <row r="107" spans="1:120" hidden="1" outlineLevel="1" x14ac:dyDescent="0.2">
      <c r="A107" s="517">
        <f t="shared" si="26"/>
        <v>37226</v>
      </c>
      <c r="B107" s="517" t="str">
        <f t="shared" si="23"/>
        <v>4Q01</v>
      </c>
      <c r="C107" s="517" t="str">
        <f t="shared" si="27"/>
        <v>1Q02</v>
      </c>
      <c r="D107" s="518">
        <f t="shared" si="28"/>
        <v>37302</v>
      </c>
      <c r="E107" s="518">
        <f t="shared" si="28"/>
        <v>37242</v>
      </c>
      <c r="F107" s="520">
        <v>1.143</v>
      </c>
      <c r="G107" s="521">
        <f t="shared" si="24"/>
        <v>0</v>
      </c>
      <c r="H107" s="521">
        <f t="shared" si="25"/>
        <v>0.01</v>
      </c>
      <c r="I107" s="521">
        <f t="shared" si="31"/>
        <v>6.2499999999999858</v>
      </c>
      <c r="J107" s="521">
        <f t="shared" si="31"/>
        <v>6.2999999999999856</v>
      </c>
      <c r="K107" s="521">
        <f t="shared" si="30"/>
        <v>1.0300000000000007</v>
      </c>
      <c r="L107" s="505"/>
      <c r="M107" s="528"/>
      <c r="N107" s="505"/>
      <c r="O107" s="505"/>
      <c r="P107" s="505"/>
      <c r="Q107" s="505"/>
      <c r="R107" s="505"/>
      <c r="S107" s="505"/>
      <c r="T107" s="505"/>
      <c r="U107" s="505"/>
      <c r="V107" s="505"/>
      <c r="W107" s="505"/>
      <c r="X107" s="505"/>
      <c r="Y107" s="505"/>
      <c r="Z107" s="505"/>
      <c r="AA107" s="505"/>
      <c r="AB107" s="505"/>
      <c r="AC107" s="505"/>
      <c r="AD107" s="505"/>
      <c r="AE107" s="505"/>
      <c r="AF107" s="505"/>
      <c r="AG107" s="505"/>
      <c r="AH107" s="505"/>
      <c r="AI107" s="505"/>
      <c r="AJ107" s="505"/>
      <c r="AK107" s="505"/>
      <c r="AL107" s="505"/>
      <c r="AM107" s="505"/>
      <c r="AN107" s="505"/>
      <c r="AO107" s="505"/>
      <c r="AP107" s="505"/>
      <c r="AQ107" s="505"/>
      <c r="AR107" s="505"/>
      <c r="AS107" s="505"/>
      <c r="AT107" s="505"/>
      <c r="AU107" s="505"/>
      <c r="AV107" s="505"/>
      <c r="AW107" s="505"/>
      <c r="AX107" s="505"/>
      <c r="AY107" s="505"/>
      <c r="AZ107" s="505"/>
      <c r="BA107" s="505"/>
      <c r="BB107" s="505"/>
      <c r="BC107" s="505"/>
      <c r="BD107" s="505"/>
      <c r="BE107" s="505"/>
      <c r="BF107" s="505"/>
      <c r="BG107" s="505"/>
      <c r="BH107" s="505"/>
      <c r="BI107" s="505"/>
      <c r="BJ107" s="505"/>
      <c r="BK107" s="505"/>
      <c r="BL107" s="505"/>
      <c r="BM107" s="505"/>
      <c r="BN107" s="505"/>
      <c r="BO107" s="505"/>
      <c r="BP107" s="505"/>
      <c r="BQ107" s="505"/>
      <c r="BR107" s="505"/>
      <c r="BS107" s="505"/>
      <c r="BT107" s="505"/>
      <c r="BU107" s="505"/>
      <c r="BV107" s="505"/>
      <c r="BW107" s="505"/>
      <c r="BX107" s="505"/>
      <c r="BY107" s="505"/>
      <c r="BZ107" s="505"/>
      <c r="CA107" s="505"/>
      <c r="CB107" s="505"/>
      <c r="CC107" s="505"/>
      <c r="CD107" s="505"/>
      <c r="CE107" s="505"/>
      <c r="CF107" s="505"/>
      <c r="CG107" s="505"/>
      <c r="CH107" s="505"/>
      <c r="CI107" s="505"/>
      <c r="CJ107" s="505"/>
      <c r="CK107" s="505"/>
      <c r="CL107" s="505"/>
      <c r="CM107" s="505"/>
      <c r="CN107" s="505"/>
      <c r="CO107" s="505"/>
      <c r="CP107" s="505"/>
      <c r="CQ107" s="505"/>
      <c r="CR107" s="505"/>
      <c r="CS107" s="505"/>
      <c r="CT107" s="505"/>
      <c r="CU107" s="505"/>
      <c r="CV107" s="505"/>
      <c r="CW107" s="505"/>
      <c r="CX107" s="505"/>
      <c r="CY107" s="505"/>
      <c r="CZ107" s="505"/>
      <c r="DA107" s="505"/>
      <c r="DB107" s="505"/>
      <c r="DC107" s="505"/>
      <c r="DD107" s="505"/>
      <c r="DE107" s="505"/>
      <c r="DF107" s="505"/>
      <c r="DG107" s="505"/>
      <c r="DH107" s="505"/>
      <c r="DI107" s="505"/>
      <c r="DJ107" s="505"/>
      <c r="DK107" s="505"/>
      <c r="DL107" s="505"/>
      <c r="DM107" s="505"/>
      <c r="DN107" s="505"/>
      <c r="DO107" s="505"/>
      <c r="DP107" s="505"/>
    </row>
    <row r="108" spans="1:120" hidden="1" outlineLevel="1" x14ac:dyDescent="0.2">
      <c r="A108" s="517">
        <f t="shared" si="26"/>
        <v>37226</v>
      </c>
      <c r="B108" s="517" t="str">
        <f t="shared" si="23"/>
        <v>4Q01</v>
      </c>
      <c r="C108" s="517" t="str">
        <f t="shared" si="27"/>
        <v>1Q02</v>
      </c>
      <c r="D108" s="518">
        <f t="shared" si="28"/>
        <v>37309</v>
      </c>
      <c r="E108" s="518">
        <f t="shared" si="28"/>
        <v>37249</v>
      </c>
      <c r="F108" s="520">
        <v>1.1540000000000001</v>
      </c>
      <c r="G108" s="521">
        <f t="shared" si="24"/>
        <v>0.01</v>
      </c>
      <c r="H108" s="521">
        <f t="shared" si="25"/>
        <v>0.01</v>
      </c>
      <c r="I108" s="521">
        <f t="shared" si="31"/>
        <v>6.2999999999999856</v>
      </c>
      <c r="J108" s="521">
        <f t="shared" si="31"/>
        <v>6.3499999999999854</v>
      </c>
      <c r="K108" s="521">
        <f t="shared" si="30"/>
        <v>1.0400000000000007</v>
      </c>
      <c r="L108" s="505"/>
      <c r="M108" s="528"/>
      <c r="N108" s="505"/>
      <c r="O108" s="505"/>
      <c r="P108" s="505"/>
      <c r="Q108" s="505"/>
      <c r="R108" s="505"/>
      <c r="S108" s="505"/>
      <c r="T108" s="505"/>
      <c r="U108" s="505"/>
      <c r="V108" s="505"/>
      <c r="W108" s="505"/>
      <c r="X108" s="505"/>
      <c r="Y108" s="505"/>
      <c r="Z108" s="505"/>
      <c r="AA108" s="505"/>
      <c r="AB108" s="505"/>
      <c r="AC108" s="505"/>
      <c r="AD108" s="505"/>
      <c r="AE108" s="505"/>
      <c r="AF108" s="505"/>
      <c r="AG108" s="505"/>
      <c r="AH108" s="505"/>
      <c r="AI108" s="505"/>
      <c r="AJ108" s="505"/>
      <c r="AK108" s="505"/>
      <c r="AL108" s="505"/>
      <c r="AM108" s="505"/>
      <c r="AN108" s="505"/>
      <c r="AO108" s="505"/>
      <c r="AP108" s="505"/>
      <c r="AQ108" s="505"/>
      <c r="AR108" s="505"/>
      <c r="AS108" s="505"/>
      <c r="AT108" s="505"/>
      <c r="AU108" s="505"/>
      <c r="AV108" s="505"/>
      <c r="AW108" s="505"/>
      <c r="AX108" s="505"/>
      <c r="AY108" s="505"/>
      <c r="AZ108" s="505"/>
      <c r="BA108" s="505"/>
      <c r="BB108" s="505"/>
      <c r="BC108" s="505"/>
      <c r="BD108" s="505"/>
      <c r="BE108" s="505"/>
      <c r="BF108" s="505"/>
      <c r="BG108" s="505"/>
      <c r="BH108" s="505"/>
      <c r="BI108" s="505"/>
      <c r="BJ108" s="505"/>
      <c r="BK108" s="505"/>
      <c r="BL108" s="505"/>
      <c r="BM108" s="505"/>
      <c r="BN108" s="505"/>
      <c r="BO108" s="505"/>
      <c r="BP108" s="505"/>
      <c r="BQ108" s="505"/>
      <c r="BR108" s="505"/>
      <c r="BS108" s="505"/>
      <c r="BT108" s="505"/>
      <c r="BU108" s="505"/>
      <c r="BV108" s="505"/>
      <c r="BW108" s="505"/>
      <c r="BX108" s="505"/>
      <c r="BY108" s="505"/>
      <c r="BZ108" s="505"/>
      <c r="CA108" s="505"/>
      <c r="CB108" s="505"/>
      <c r="CC108" s="505"/>
      <c r="CD108" s="505"/>
      <c r="CE108" s="505"/>
      <c r="CF108" s="505"/>
      <c r="CG108" s="505"/>
      <c r="CH108" s="505"/>
      <c r="CI108" s="505"/>
      <c r="CJ108" s="505"/>
      <c r="CK108" s="505"/>
      <c r="CL108" s="505"/>
      <c r="CM108" s="505"/>
      <c r="CN108" s="505"/>
      <c r="CO108" s="505"/>
      <c r="CP108" s="505"/>
      <c r="CQ108" s="505"/>
      <c r="CR108" s="505"/>
      <c r="CS108" s="505"/>
      <c r="CT108" s="505"/>
      <c r="CU108" s="505"/>
      <c r="CV108" s="505"/>
      <c r="CW108" s="505"/>
      <c r="CX108" s="505"/>
      <c r="CY108" s="505"/>
      <c r="CZ108" s="505"/>
      <c r="DA108" s="505"/>
      <c r="DB108" s="505"/>
      <c r="DC108" s="505"/>
      <c r="DD108" s="505"/>
      <c r="DE108" s="505"/>
      <c r="DF108" s="505"/>
      <c r="DG108" s="505"/>
      <c r="DH108" s="505"/>
      <c r="DI108" s="505"/>
      <c r="DJ108" s="505"/>
      <c r="DK108" s="505"/>
      <c r="DL108" s="505"/>
      <c r="DM108" s="505"/>
      <c r="DN108" s="505"/>
      <c r="DO108" s="505"/>
      <c r="DP108" s="505"/>
    </row>
    <row r="109" spans="1:120" hidden="1" outlineLevel="1" x14ac:dyDescent="0.2">
      <c r="A109" s="517">
        <f t="shared" si="26"/>
        <v>37226</v>
      </c>
      <c r="B109" s="517" t="str">
        <f t="shared" si="23"/>
        <v>4Q01</v>
      </c>
      <c r="C109" s="517" t="str">
        <f t="shared" si="27"/>
        <v>1Q02</v>
      </c>
      <c r="D109" s="518">
        <f t="shared" si="28"/>
        <v>37316</v>
      </c>
      <c r="E109" s="518">
        <f t="shared" si="28"/>
        <v>37256</v>
      </c>
      <c r="F109" s="520">
        <v>1.169</v>
      </c>
      <c r="G109" s="521">
        <f t="shared" si="24"/>
        <v>0.01</v>
      </c>
      <c r="H109" s="521">
        <f t="shared" si="25"/>
        <v>0.01</v>
      </c>
      <c r="I109" s="521">
        <f t="shared" si="31"/>
        <v>6.3499999999999854</v>
      </c>
      <c r="J109" s="521">
        <f t="shared" si="31"/>
        <v>6.3999999999999853</v>
      </c>
      <c r="K109" s="521">
        <f t="shared" si="30"/>
        <v>1.0500000000000007</v>
      </c>
      <c r="L109" s="505"/>
      <c r="M109" s="528"/>
      <c r="N109" s="505"/>
      <c r="O109" s="505"/>
      <c r="P109" s="505"/>
      <c r="Q109" s="505"/>
      <c r="R109" s="505"/>
      <c r="S109" s="505"/>
      <c r="T109" s="505"/>
      <c r="U109" s="505"/>
      <c r="V109" s="505"/>
      <c r="W109" s="505"/>
      <c r="X109" s="505"/>
      <c r="Y109" s="505"/>
      <c r="Z109" s="505"/>
      <c r="AA109" s="505"/>
      <c r="AB109" s="505"/>
      <c r="AC109" s="505"/>
      <c r="AD109" s="505"/>
      <c r="AE109" s="505"/>
      <c r="AF109" s="505"/>
      <c r="AG109" s="505"/>
      <c r="AH109" s="505"/>
      <c r="AI109" s="505"/>
      <c r="AJ109" s="505"/>
      <c r="AK109" s="505"/>
      <c r="AL109" s="505"/>
      <c r="AM109" s="505"/>
      <c r="AN109" s="505"/>
      <c r="AO109" s="505"/>
      <c r="AP109" s="505"/>
      <c r="AQ109" s="505"/>
      <c r="AR109" s="505"/>
      <c r="AS109" s="505"/>
      <c r="AT109" s="505"/>
      <c r="AU109" s="505"/>
      <c r="AV109" s="505"/>
      <c r="AW109" s="505"/>
      <c r="AX109" s="505"/>
      <c r="AY109" s="505"/>
      <c r="AZ109" s="505"/>
      <c r="BA109" s="505"/>
      <c r="BB109" s="505"/>
      <c r="BC109" s="505"/>
      <c r="BD109" s="505"/>
      <c r="BE109" s="505"/>
      <c r="BF109" s="505"/>
      <c r="BG109" s="505"/>
      <c r="BH109" s="505"/>
      <c r="BI109" s="505"/>
      <c r="BJ109" s="505"/>
      <c r="BK109" s="505"/>
      <c r="BL109" s="505"/>
      <c r="BM109" s="505"/>
      <c r="BN109" s="505"/>
      <c r="BO109" s="505"/>
      <c r="BP109" s="505"/>
      <c r="BQ109" s="505"/>
      <c r="BR109" s="505"/>
      <c r="BS109" s="505"/>
      <c r="BT109" s="505"/>
      <c r="BU109" s="505"/>
      <c r="BV109" s="505"/>
      <c r="BW109" s="505"/>
      <c r="BX109" s="505"/>
      <c r="BY109" s="505"/>
      <c r="BZ109" s="505"/>
      <c r="CA109" s="505"/>
      <c r="CB109" s="505"/>
      <c r="CC109" s="505"/>
      <c r="CD109" s="505"/>
      <c r="CE109" s="505"/>
      <c r="CF109" s="505"/>
      <c r="CG109" s="505"/>
      <c r="CH109" s="505"/>
      <c r="CI109" s="505"/>
      <c r="CJ109" s="505"/>
      <c r="CK109" s="505"/>
      <c r="CL109" s="505"/>
      <c r="CM109" s="505"/>
      <c r="CN109" s="505"/>
      <c r="CO109" s="505"/>
      <c r="CP109" s="505"/>
      <c r="CQ109" s="505"/>
      <c r="CR109" s="505"/>
      <c r="CS109" s="505"/>
      <c r="CT109" s="505"/>
      <c r="CU109" s="505"/>
      <c r="CV109" s="505"/>
      <c r="CW109" s="505"/>
      <c r="CX109" s="505"/>
      <c r="CY109" s="505"/>
      <c r="CZ109" s="505"/>
      <c r="DA109" s="505"/>
      <c r="DB109" s="505"/>
      <c r="DC109" s="505"/>
      <c r="DD109" s="505"/>
      <c r="DE109" s="505"/>
      <c r="DF109" s="505"/>
      <c r="DG109" s="505"/>
      <c r="DH109" s="505"/>
      <c r="DI109" s="505"/>
      <c r="DJ109" s="505"/>
      <c r="DK109" s="505"/>
      <c r="DL109" s="505"/>
      <c r="DM109" s="505"/>
      <c r="DN109" s="505"/>
      <c r="DO109" s="505"/>
      <c r="DP109" s="505"/>
    </row>
    <row r="110" spans="1:120" hidden="1" outlineLevel="1" x14ac:dyDescent="0.2">
      <c r="A110" s="517">
        <f t="shared" si="26"/>
        <v>37257</v>
      </c>
      <c r="B110" s="517" t="str">
        <f t="shared" si="23"/>
        <v>1Q02</v>
      </c>
      <c r="C110" s="517" t="str">
        <f t="shared" si="27"/>
        <v>1Q02</v>
      </c>
      <c r="D110" s="518">
        <f t="shared" si="28"/>
        <v>37323</v>
      </c>
      <c r="E110" s="518">
        <f t="shared" si="28"/>
        <v>37263</v>
      </c>
      <c r="F110" s="520">
        <v>1.1679999999999999</v>
      </c>
      <c r="G110" s="521">
        <f t="shared" si="24"/>
        <v>0.01</v>
      </c>
      <c r="H110" s="521">
        <f t="shared" si="25"/>
        <v>0.01</v>
      </c>
      <c r="I110" s="521">
        <f t="shared" si="31"/>
        <v>6.3999999999999853</v>
      </c>
      <c r="J110" s="521">
        <f t="shared" si="31"/>
        <v>6.4499999999999851</v>
      </c>
      <c r="K110" s="521">
        <f t="shared" si="30"/>
        <v>1.0600000000000007</v>
      </c>
      <c r="L110" s="505"/>
      <c r="M110" s="528"/>
      <c r="N110" s="505"/>
      <c r="O110" s="505"/>
      <c r="P110" s="505"/>
      <c r="Q110" s="505"/>
      <c r="R110" s="505"/>
      <c r="S110" s="505"/>
      <c r="T110" s="505"/>
      <c r="U110" s="505"/>
      <c r="V110" s="505"/>
      <c r="W110" s="505"/>
      <c r="X110" s="505"/>
      <c r="Y110" s="505"/>
      <c r="Z110" s="505"/>
      <c r="AA110" s="505"/>
      <c r="AB110" s="505"/>
      <c r="AC110" s="505"/>
      <c r="AD110" s="505"/>
      <c r="AE110" s="505"/>
      <c r="AF110" s="505"/>
      <c r="AG110" s="505"/>
      <c r="AH110" s="505"/>
      <c r="AI110" s="505"/>
      <c r="AJ110" s="505"/>
      <c r="AK110" s="505"/>
      <c r="AL110" s="505"/>
      <c r="AM110" s="505"/>
      <c r="AN110" s="505"/>
      <c r="AO110" s="505"/>
      <c r="AP110" s="505"/>
      <c r="AQ110" s="505"/>
      <c r="AR110" s="505"/>
      <c r="AS110" s="505"/>
      <c r="AT110" s="505"/>
      <c r="AU110" s="505"/>
      <c r="AV110" s="505"/>
      <c r="AW110" s="505"/>
      <c r="AX110" s="505"/>
      <c r="AY110" s="505"/>
      <c r="AZ110" s="505"/>
      <c r="BA110" s="505"/>
      <c r="BB110" s="505"/>
      <c r="BC110" s="505"/>
      <c r="BD110" s="505"/>
      <c r="BE110" s="505"/>
      <c r="BF110" s="505"/>
      <c r="BG110" s="505"/>
      <c r="BH110" s="505"/>
      <c r="BI110" s="505"/>
      <c r="BJ110" s="505"/>
      <c r="BK110" s="505"/>
      <c r="BL110" s="505"/>
      <c r="BM110" s="505"/>
      <c r="BN110" s="505"/>
      <c r="BO110" s="505"/>
      <c r="BP110" s="505"/>
      <c r="BQ110" s="505"/>
      <c r="BR110" s="505"/>
      <c r="BS110" s="505"/>
      <c r="BT110" s="505"/>
      <c r="BU110" s="505"/>
      <c r="BV110" s="505"/>
      <c r="BW110" s="505"/>
      <c r="BX110" s="505"/>
      <c r="BY110" s="505"/>
      <c r="BZ110" s="505"/>
      <c r="CA110" s="505"/>
      <c r="CB110" s="505"/>
      <c r="CC110" s="505"/>
      <c r="CD110" s="505"/>
      <c r="CE110" s="505"/>
      <c r="CF110" s="505"/>
      <c r="CG110" s="505"/>
      <c r="CH110" s="505"/>
      <c r="CI110" s="505"/>
      <c r="CJ110" s="505"/>
      <c r="CK110" s="505"/>
      <c r="CL110" s="505"/>
      <c r="CM110" s="505"/>
      <c r="CN110" s="505"/>
      <c r="CO110" s="505"/>
      <c r="CP110" s="505"/>
      <c r="CQ110" s="505"/>
      <c r="CR110" s="505"/>
      <c r="CS110" s="505"/>
      <c r="CT110" s="505"/>
      <c r="CU110" s="505"/>
      <c r="CV110" s="505"/>
      <c r="CW110" s="505"/>
      <c r="CX110" s="505"/>
      <c r="CY110" s="505"/>
      <c r="CZ110" s="505"/>
      <c r="DA110" s="505"/>
      <c r="DB110" s="505"/>
      <c r="DC110" s="505"/>
      <c r="DD110" s="505"/>
      <c r="DE110" s="505"/>
      <c r="DF110" s="505"/>
      <c r="DG110" s="505"/>
      <c r="DH110" s="505"/>
      <c r="DI110" s="505"/>
      <c r="DJ110" s="505"/>
      <c r="DK110" s="505"/>
      <c r="DL110" s="505"/>
      <c r="DM110" s="505"/>
      <c r="DN110" s="505"/>
      <c r="DO110" s="505"/>
      <c r="DP110" s="505"/>
    </row>
    <row r="111" spans="1:120" hidden="1" outlineLevel="1" x14ac:dyDescent="0.2">
      <c r="A111" s="517">
        <f t="shared" si="26"/>
        <v>37257</v>
      </c>
      <c r="B111" s="517" t="str">
        <f t="shared" si="23"/>
        <v>1Q02</v>
      </c>
      <c r="C111" s="517" t="str">
        <f t="shared" si="27"/>
        <v>1Q02</v>
      </c>
      <c r="D111" s="518">
        <f t="shared" si="28"/>
        <v>37330</v>
      </c>
      <c r="E111" s="518">
        <f t="shared" si="28"/>
        <v>37270</v>
      </c>
      <c r="F111" s="520">
        <v>1.159</v>
      </c>
      <c r="G111" s="521">
        <f t="shared" si="24"/>
        <v>0.01</v>
      </c>
      <c r="H111" s="521">
        <f t="shared" si="25"/>
        <v>0</v>
      </c>
      <c r="I111" s="521">
        <f t="shared" si="31"/>
        <v>6.4499999999999851</v>
      </c>
      <c r="J111" s="521">
        <f t="shared" si="31"/>
        <v>6.4999999999999849</v>
      </c>
      <c r="K111" s="521">
        <f t="shared" si="30"/>
        <v>1.0700000000000007</v>
      </c>
      <c r="L111" s="505"/>
      <c r="M111" s="528"/>
      <c r="N111" s="505"/>
      <c r="O111" s="505"/>
      <c r="P111" s="505"/>
      <c r="Q111" s="505"/>
      <c r="R111" s="505"/>
      <c r="S111" s="505"/>
      <c r="T111" s="505"/>
      <c r="U111" s="505"/>
      <c r="V111" s="505"/>
      <c r="W111" s="505"/>
      <c r="X111" s="505"/>
      <c r="Y111" s="505"/>
      <c r="Z111" s="505"/>
      <c r="AA111" s="505"/>
      <c r="AB111" s="505"/>
      <c r="AC111" s="505"/>
      <c r="AD111" s="505"/>
      <c r="AE111" s="505"/>
      <c r="AF111" s="505"/>
      <c r="AG111" s="505"/>
      <c r="AH111" s="505"/>
      <c r="AI111" s="505"/>
      <c r="AJ111" s="505"/>
      <c r="AK111" s="505"/>
      <c r="AL111" s="505"/>
      <c r="AM111" s="505"/>
      <c r="AN111" s="505"/>
      <c r="AO111" s="505"/>
      <c r="AP111" s="505"/>
      <c r="AQ111" s="505"/>
      <c r="AR111" s="505"/>
      <c r="AS111" s="505"/>
      <c r="AT111" s="505"/>
      <c r="AU111" s="505"/>
      <c r="AV111" s="505"/>
      <c r="AW111" s="505"/>
      <c r="AX111" s="505"/>
      <c r="AY111" s="505"/>
      <c r="AZ111" s="505"/>
      <c r="BA111" s="505"/>
      <c r="BB111" s="505"/>
      <c r="BC111" s="505"/>
      <c r="BD111" s="505"/>
      <c r="BE111" s="505"/>
      <c r="BF111" s="505"/>
      <c r="BG111" s="505"/>
      <c r="BH111" s="505"/>
      <c r="BI111" s="505"/>
      <c r="BJ111" s="505"/>
      <c r="BK111" s="505"/>
      <c r="BL111" s="505"/>
      <c r="BM111" s="505"/>
      <c r="BN111" s="505"/>
      <c r="BO111" s="505"/>
      <c r="BP111" s="505"/>
      <c r="BQ111" s="505"/>
      <c r="BR111" s="505"/>
      <c r="BS111" s="505"/>
      <c r="BT111" s="505"/>
      <c r="BU111" s="505"/>
      <c r="BV111" s="505"/>
      <c r="BW111" s="505"/>
      <c r="BX111" s="505"/>
      <c r="BY111" s="505"/>
      <c r="BZ111" s="505"/>
      <c r="CA111" s="505"/>
      <c r="CB111" s="505"/>
      <c r="CC111" s="505"/>
      <c r="CD111" s="505"/>
      <c r="CE111" s="505"/>
      <c r="CF111" s="505"/>
      <c r="CG111" s="505"/>
      <c r="CH111" s="505"/>
      <c r="CI111" s="505"/>
      <c r="CJ111" s="505"/>
      <c r="CK111" s="505"/>
      <c r="CL111" s="505"/>
      <c r="CM111" s="505"/>
      <c r="CN111" s="505"/>
      <c r="CO111" s="505"/>
      <c r="CP111" s="505"/>
      <c r="CQ111" s="505"/>
      <c r="CR111" s="505"/>
      <c r="CS111" s="505"/>
      <c r="CT111" s="505"/>
      <c r="CU111" s="505"/>
      <c r="CV111" s="505"/>
      <c r="CW111" s="505"/>
      <c r="CX111" s="505"/>
      <c r="CY111" s="505"/>
      <c r="CZ111" s="505"/>
      <c r="DA111" s="505"/>
      <c r="DB111" s="505"/>
      <c r="DC111" s="505"/>
      <c r="DD111" s="505"/>
      <c r="DE111" s="505"/>
      <c r="DF111" s="505"/>
      <c r="DG111" s="505"/>
      <c r="DH111" s="505"/>
      <c r="DI111" s="505"/>
      <c r="DJ111" s="505"/>
      <c r="DK111" s="505"/>
      <c r="DL111" s="505"/>
      <c r="DM111" s="505"/>
      <c r="DN111" s="505"/>
      <c r="DO111" s="505"/>
      <c r="DP111" s="505"/>
    </row>
    <row r="112" spans="1:120" hidden="1" outlineLevel="1" x14ac:dyDescent="0.2">
      <c r="A112" s="517">
        <f t="shared" si="26"/>
        <v>37257</v>
      </c>
      <c r="B112" s="517" t="str">
        <f t="shared" si="23"/>
        <v>1Q02</v>
      </c>
      <c r="C112" s="517" t="str">
        <f t="shared" si="27"/>
        <v>1Q02</v>
      </c>
      <c r="D112" s="518">
        <f t="shared" si="28"/>
        <v>37337</v>
      </c>
      <c r="E112" s="518">
        <f t="shared" si="28"/>
        <v>37277</v>
      </c>
      <c r="F112" s="520">
        <v>1.1399999999999999</v>
      </c>
      <c r="G112" s="521">
        <f t="shared" si="24"/>
        <v>0</v>
      </c>
      <c r="H112" s="521">
        <f t="shared" si="25"/>
        <v>0</v>
      </c>
      <c r="I112" s="521">
        <f t="shared" si="31"/>
        <v>6.4999999999999849</v>
      </c>
      <c r="J112" s="521">
        <f t="shared" si="31"/>
        <v>6.5499999999999847</v>
      </c>
      <c r="K112" s="521">
        <f t="shared" si="30"/>
        <v>1.0800000000000007</v>
      </c>
      <c r="L112" s="505"/>
      <c r="M112" s="528"/>
      <c r="N112" s="505"/>
      <c r="O112" s="505"/>
      <c r="P112" s="505"/>
      <c r="Q112" s="505"/>
      <c r="R112" s="505"/>
      <c r="S112" s="505"/>
      <c r="T112" s="505"/>
      <c r="U112" s="505"/>
      <c r="V112" s="505"/>
      <c r="W112" s="505"/>
      <c r="X112" s="505"/>
      <c r="Y112" s="505"/>
      <c r="Z112" s="505"/>
      <c r="AA112" s="505"/>
      <c r="AB112" s="505"/>
      <c r="AC112" s="505"/>
      <c r="AD112" s="505"/>
      <c r="AE112" s="505"/>
      <c r="AF112" s="505"/>
      <c r="AG112" s="505"/>
      <c r="AH112" s="505"/>
      <c r="AI112" s="505"/>
      <c r="AJ112" s="505"/>
      <c r="AK112" s="505"/>
      <c r="AL112" s="505"/>
      <c r="AM112" s="505"/>
      <c r="AN112" s="505"/>
      <c r="AO112" s="505"/>
      <c r="AP112" s="505"/>
      <c r="AQ112" s="505"/>
      <c r="AR112" s="505"/>
      <c r="AS112" s="505"/>
      <c r="AT112" s="505"/>
      <c r="AU112" s="505"/>
      <c r="AV112" s="505"/>
      <c r="AW112" s="505"/>
      <c r="AX112" s="505"/>
      <c r="AY112" s="505"/>
      <c r="AZ112" s="505"/>
      <c r="BA112" s="505"/>
      <c r="BB112" s="505"/>
      <c r="BC112" s="505"/>
      <c r="BD112" s="505"/>
      <c r="BE112" s="505"/>
      <c r="BF112" s="505"/>
      <c r="BG112" s="505"/>
      <c r="BH112" s="505"/>
      <c r="BI112" s="505"/>
      <c r="BJ112" s="505"/>
      <c r="BK112" s="505"/>
      <c r="BL112" s="505"/>
      <c r="BM112" s="505"/>
      <c r="BN112" s="505"/>
      <c r="BO112" s="505"/>
      <c r="BP112" s="505"/>
      <c r="BQ112" s="505"/>
      <c r="BR112" s="505"/>
      <c r="BS112" s="505"/>
      <c r="BT112" s="505"/>
      <c r="BU112" s="505"/>
      <c r="BV112" s="505"/>
      <c r="BW112" s="505"/>
      <c r="BX112" s="505"/>
      <c r="BY112" s="505"/>
      <c r="BZ112" s="505"/>
      <c r="CA112" s="505"/>
      <c r="CB112" s="505"/>
      <c r="CC112" s="505"/>
      <c r="CD112" s="505"/>
      <c r="CE112" s="505"/>
      <c r="CF112" s="505"/>
      <c r="CG112" s="505"/>
      <c r="CH112" s="505"/>
      <c r="CI112" s="505"/>
      <c r="CJ112" s="505"/>
      <c r="CK112" s="505"/>
      <c r="CL112" s="505"/>
      <c r="CM112" s="505"/>
      <c r="CN112" s="505"/>
      <c r="CO112" s="505"/>
      <c r="CP112" s="505"/>
      <c r="CQ112" s="505"/>
      <c r="CR112" s="505"/>
      <c r="CS112" s="505"/>
      <c r="CT112" s="505"/>
      <c r="CU112" s="505"/>
      <c r="CV112" s="505"/>
      <c r="CW112" s="505"/>
      <c r="CX112" s="505"/>
      <c r="CY112" s="505"/>
      <c r="CZ112" s="505"/>
      <c r="DA112" s="505"/>
      <c r="DB112" s="505"/>
      <c r="DC112" s="505"/>
      <c r="DD112" s="505"/>
      <c r="DE112" s="505"/>
      <c r="DF112" s="505"/>
      <c r="DG112" s="505"/>
      <c r="DH112" s="505"/>
      <c r="DI112" s="505"/>
      <c r="DJ112" s="505"/>
      <c r="DK112" s="505"/>
      <c r="DL112" s="505"/>
      <c r="DM112" s="505"/>
      <c r="DN112" s="505"/>
      <c r="DO112" s="505"/>
      <c r="DP112" s="505"/>
    </row>
    <row r="113" spans="1:120" hidden="1" outlineLevel="1" x14ac:dyDescent="0.2">
      <c r="A113" s="517">
        <f t="shared" si="26"/>
        <v>37257</v>
      </c>
      <c r="B113" s="517" t="str">
        <f t="shared" si="23"/>
        <v>1Q02</v>
      </c>
      <c r="C113" s="517" t="str">
        <f t="shared" si="27"/>
        <v>1Q02</v>
      </c>
      <c r="D113" s="518">
        <f t="shared" si="28"/>
        <v>37344</v>
      </c>
      <c r="E113" s="518">
        <f t="shared" si="28"/>
        <v>37284</v>
      </c>
      <c r="F113" s="520">
        <v>1.1440000000000001</v>
      </c>
      <c r="G113" s="521">
        <f t="shared" si="24"/>
        <v>0</v>
      </c>
      <c r="H113" s="521">
        <f t="shared" si="25"/>
        <v>0</v>
      </c>
      <c r="I113" s="521">
        <f t="shared" si="31"/>
        <v>6.5499999999999847</v>
      </c>
      <c r="J113" s="521">
        <f t="shared" si="31"/>
        <v>6.5999999999999845</v>
      </c>
      <c r="K113" s="521">
        <f t="shared" si="30"/>
        <v>1.0900000000000007</v>
      </c>
      <c r="L113" s="505"/>
      <c r="M113" s="528"/>
      <c r="N113" s="505"/>
      <c r="O113" s="505"/>
      <c r="P113" s="505"/>
      <c r="Q113" s="505"/>
      <c r="R113" s="505"/>
      <c r="S113" s="505"/>
      <c r="T113" s="505"/>
      <c r="U113" s="505"/>
      <c r="V113" s="505"/>
      <c r="W113" s="505"/>
      <c r="X113" s="505"/>
      <c r="Y113" s="505"/>
      <c r="Z113" s="505"/>
      <c r="AA113" s="505"/>
      <c r="AB113" s="505"/>
      <c r="AC113" s="505"/>
      <c r="AD113" s="505"/>
      <c r="AE113" s="505"/>
      <c r="AF113" s="505"/>
      <c r="AG113" s="505"/>
      <c r="AH113" s="505"/>
      <c r="AI113" s="505"/>
      <c r="AJ113" s="505"/>
      <c r="AK113" s="505"/>
      <c r="AL113" s="505"/>
      <c r="AM113" s="505"/>
      <c r="AN113" s="505"/>
      <c r="AO113" s="505"/>
      <c r="AP113" s="505"/>
      <c r="AQ113" s="505"/>
      <c r="AR113" s="505"/>
      <c r="AS113" s="505"/>
      <c r="AT113" s="505"/>
      <c r="AU113" s="505"/>
      <c r="AV113" s="505"/>
      <c r="AW113" s="505"/>
      <c r="AX113" s="505"/>
      <c r="AY113" s="505"/>
      <c r="AZ113" s="505"/>
      <c r="BA113" s="505"/>
      <c r="BB113" s="505"/>
      <c r="BC113" s="505"/>
      <c r="BD113" s="505"/>
      <c r="BE113" s="505"/>
      <c r="BF113" s="505"/>
      <c r="BG113" s="505"/>
      <c r="BH113" s="505"/>
      <c r="BI113" s="505"/>
      <c r="BJ113" s="505"/>
      <c r="BK113" s="505"/>
      <c r="BL113" s="505"/>
      <c r="BM113" s="505"/>
      <c r="BN113" s="505"/>
      <c r="BO113" s="505"/>
      <c r="BP113" s="505"/>
      <c r="BQ113" s="505"/>
      <c r="BR113" s="505"/>
      <c r="BS113" s="505"/>
      <c r="BT113" s="505"/>
      <c r="BU113" s="505"/>
      <c r="BV113" s="505"/>
      <c r="BW113" s="505"/>
      <c r="BX113" s="505"/>
      <c r="BY113" s="505"/>
      <c r="BZ113" s="505"/>
      <c r="CA113" s="505"/>
      <c r="CB113" s="505"/>
      <c r="CC113" s="505"/>
      <c r="CD113" s="505"/>
      <c r="CE113" s="505"/>
      <c r="CF113" s="505"/>
      <c r="CG113" s="505"/>
      <c r="CH113" s="505"/>
      <c r="CI113" s="505"/>
      <c r="CJ113" s="505"/>
      <c r="CK113" s="505"/>
      <c r="CL113" s="505"/>
      <c r="CM113" s="505"/>
      <c r="CN113" s="505"/>
      <c r="CO113" s="505"/>
      <c r="CP113" s="505"/>
      <c r="CQ113" s="505"/>
      <c r="CR113" s="505"/>
      <c r="CS113" s="505"/>
      <c r="CT113" s="505"/>
      <c r="CU113" s="505"/>
      <c r="CV113" s="505"/>
      <c r="CW113" s="505"/>
      <c r="CX113" s="505"/>
      <c r="CY113" s="505"/>
      <c r="CZ113" s="505"/>
      <c r="DA113" s="505"/>
      <c r="DB113" s="505"/>
      <c r="DC113" s="505"/>
      <c r="DD113" s="505"/>
      <c r="DE113" s="505"/>
      <c r="DF113" s="505"/>
      <c r="DG113" s="505"/>
      <c r="DH113" s="505"/>
      <c r="DI113" s="505"/>
      <c r="DJ113" s="505"/>
      <c r="DK113" s="505"/>
      <c r="DL113" s="505"/>
      <c r="DM113" s="505"/>
      <c r="DN113" s="505"/>
      <c r="DO113" s="505"/>
      <c r="DP113" s="505"/>
    </row>
    <row r="114" spans="1:120" hidden="1" outlineLevel="1" x14ac:dyDescent="0.2">
      <c r="A114" s="517">
        <f t="shared" si="26"/>
        <v>37288</v>
      </c>
      <c r="B114" s="517" t="str">
        <f t="shared" si="23"/>
        <v>1Q02</v>
      </c>
      <c r="C114" s="517" t="str">
        <f t="shared" si="27"/>
        <v>2Q02</v>
      </c>
      <c r="D114" s="518">
        <f t="shared" si="28"/>
        <v>37351</v>
      </c>
      <c r="E114" s="518">
        <f t="shared" si="28"/>
        <v>37291</v>
      </c>
      <c r="F114" s="520">
        <v>1.1440000000000001</v>
      </c>
      <c r="G114" s="521">
        <f t="shared" si="24"/>
        <v>0</v>
      </c>
      <c r="H114" s="521">
        <f t="shared" si="25"/>
        <v>0.01</v>
      </c>
      <c r="I114" s="521">
        <f t="shared" si="31"/>
        <v>6.5999999999999845</v>
      </c>
      <c r="J114" s="521">
        <f t="shared" si="31"/>
        <v>6.6499999999999844</v>
      </c>
      <c r="K114" s="521">
        <f t="shared" si="30"/>
        <v>1.1000000000000008</v>
      </c>
      <c r="L114" s="505"/>
      <c r="M114" s="528"/>
      <c r="N114" s="505"/>
      <c r="O114" s="505"/>
      <c r="P114" s="505"/>
      <c r="Q114" s="505"/>
      <c r="R114" s="505"/>
      <c r="S114" s="505"/>
      <c r="T114" s="505"/>
      <c r="U114" s="505"/>
      <c r="V114" s="505"/>
      <c r="W114" s="505"/>
      <c r="X114" s="505"/>
      <c r="Y114" s="505"/>
      <c r="Z114" s="505"/>
      <c r="AA114" s="505"/>
      <c r="AB114" s="505"/>
      <c r="AC114" s="505"/>
      <c r="AD114" s="505"/>
      <c r="AE114" s="505"/>
      <c r="AF114" s="505"/>
      <c r="AG114" s="505"/>
      <c r="AH114" s="505"/>
      <c r="AI114" s="505"/>
      <c r="AJ114" s="505"/>
      <c r="AK114" s="505"/>
      <c r="AL114" s="505"/>
      <c r="AM114" s="505"/>
      <c r="AN114" s="505"/>
      <c r="AO114" s="505"/>
      <c r="AP114" s="505"/>
      <c r="AQ114" s="505"/>
      <c r="AR114" s="505"/>
      <c r="AS114" s="505"/>
      <c r="AT114" s="505"/>
      <c r="AU114" s="505"/>
      <c r="AV114" s="505"/>
      <c r="AW114" s="505"/>
      <c r="AX114" s="505"/>
      <c r="AY114" s="505"/>
      <c r="AZ114" s="505"/>
      <c r="BA114" s="505"/>
      <c r="BB114" s="505"/>
      <c r="BC114" s="505"/>
      <c r="BD114" s="505"/>
      <c r="BE114" s="505"/>
      <c r="BF114" s="505"/>
      <c r="BG114" s="505"/>
      <c r="BH114" s="505"/>
      <c r="BI114" s="505"/>
      <c r="BJ114" s="505"/>
      <c r="BK114" s="505"/>
      <c r="BL114" s="505"/>
      <c r="BM114" s="505"/>
      <c r="BN114" s="505"/>
      <c r="BO114" s="505"/>
      <c r="BP114" s="505"/>
      <c r="BQ114" s="505"/>
      <c r="BR114" s="505"/>
      <c r="BS114" s="505"/>
      <c r="BT114" s="505"/>
      <c r="BU114" s="505"/>
      <c r="BV114" s="505"/>
      <c r="BW114" s="505"/>
      <c r="BX114" s="505"/>
      <c r="BY114" s="505"/>
      <c r="BZ114" s="505"/>
      <c r="CA114" s="505"/>
      <c r="CB114" s="505"/>
      <c r="CC114" s="505"/>
      <c r="CD114" s="505"/>
      <c r="CE114" s="505"/>
      <c r="CF114" s="505"/>
      <c r="CG114" s="505"/>
      <c r="CH114" s="505"/>
      <c r="CI114" s="505"/>
      <c r="CJ114" s="505"/>
      <c r="CK114" s="505"/>
      <c r="CL114" s="505"/>
      <c r="CM114" s="505"/>
      <c r="CN114" s="505"/>
      <c r="CO114" s="505"/>
      <c r="CP114" s="505"/>
      <c r="CQ114" s="505"/>
      <c r="CR114" s="505"/>
      <c r="CS114" s="505"/>
      <c r="CT114" s="505"/>
      <c r="CU114" s="505"/>
      <c r="CV114" s="505"/>
      <c r="CW114" s="505"/>
      <c r="CX114" s="505"/>
      <c r="CY114" s="505"/>
      <c r="CZ114" s="505"/>
      <c r="DA114" s="505"/>
      <c r="DB114" s="505"/>
      <c r="DC114" s="505"/>
      <c r="DD114" s="505"/>
      <c r="DE114" s="505"/>
      <c r="DF114" s="505"/>
      <c r="DG114" s="505"/>
      <c r="DH114" s="505"/>
      <c r="DI114" s="505"/>
      <c r="DJ114" s="505"/>
      <c r="DK114" s="505"/>
      <c r="DL114" s="505"/>
      <c r="DM114" s="505"/>
      <c r="DN114" s="505"/>
      <c r="DO114" s="505"/>
      <c r="DP114" s="505"/>
    </row>
    <row r="115" spans="1:120" hidden="1" outlineLevel="1" x14ac:dyDescent="0.2">
      <c r="A115" s="517">
        <f t="shared" si="26"/>
        <v>37288</v>
      </c>
      <c r="B115" s="517" t="str">
        <f t="shared" si="23"/>
        <v>1Q02</v>
      </c>
      <c r="C115" s="517" t="str">
        <f t="shared" si="27"/>
        <v>2Q02</v>
      </c>
      <c r="D115" s="518">
        <f t="shared" si="28"/>
        <v>37358</v>
      </c>
      <c r="E115" s="518">
        <f t="shared" si="28"/>
        <v>37298</v>
      </c>
      <c r="F115" s="520">
        <v>1.153</v>
      </c>
      <c r="G115" s="521">
        <f t="shared" si="24"/>
        <v>0.01</v>
      </c>
      <c r="H115" s="521">
        <f t="shared" si="25"/>
        <v>0.01</v>
      </c>
      <c r="I115" s="521">
        <f t="shared" si="31"/>
        <v>6.6499999999999844</v>
      </c>
      <c r="J115" s="521">
        <f t="shared" si="31"/>
        <v>6.6999999999999842</v>
      </c>
      <c r="K115" s="521">
        <f t="shared" si="30"/>
        <v>1.1100000000000008</v>
      </c>
      <c r="L115" s="505"/>
      <c r="M115" s="528"/>
      <c r="N115" s="505"/>
      <c r="O115" s="505"/>
      <c r="P115" s="505"/>
      <c r="Q115" s="505"/>
      <c r="R115" s="505"/>
      <c r="S115" s="505"/>
      <c r="T115" s="505"/>
      <c r="U115" s="505"/>
      <c r="V115" s="505"/>
      <c r="W115" s="505"/>
      <c r="X115" s="505"/>
      <c r="Y115" s="505"/>
      <c r="Z115" s="505"/>
      <c r="AA115" s="505"/>
      <c r="AB115" s="505"/>
      <c r="AC115" s="505"/>
      <c r="AD115" s="505"/>
      <c r="AE115" s="505"/>
      <c r="AF115" s="505"/>
      <c r="AG115" s="505"/>
      <c r="AH115" s="505"/>
      <c r="AI115" s="505"/>
      <c r="AJ115" s="505"/>
      <c r="AK115" s="505"/>
      <c r="AL115" s="505"/>
      <c r="AM115" s="505"/>
      <c r="AN115" s="505"/>
      <c r="AO115" s="505"/>
      <c r="AP115" s="505"/>
      <c r="AQ115" s="505"/>
      <c r="AR115" s="505"/>
      <c r="AS115" s="505"/>
      <c r="AT115" s="505"/>
      <c r="AU115" s="505"/>
      <c r="AV115" s="505"/>
      <c r="AW115" s="505"/>
      <c r="AX115" s="505"/>
      <c r="AY115" s="505"/>
      <c r="AZ115" s="505"/>
      <c r="BA115" s="505"/>
      <c r="BB115" s="505"/>
      <c r="BC115" s="505"/>
      <c r="BD115" s="505"/>
      <c r="BE115" s="505"/>
      <c r="BF115" s="505"/>
      <c r="BG115" s="505"/>
      <c r="BH115" s="505"/>
      <c r="BI115" s="505"/>
      <c r="BJ115" s="505"/>
      <c r="BK115" s="505"/>
      <c r="BL115" s="505"/>
      <c r="BM115" s="505"/>
      <c r="BN115" s="505"/>
      <c r="BO115" s="505"/>
      <c r="BP115" s="505"/>
      <c r="BQ115" s="505"/>
      <c r="BR115" s="505"/>
      <c r="BS115" s="505"/>
      <c r="BT115" s="505"/>
      <c r="BU115" s="505"/>
      <c r="BV115" s="505"/>
      <c r="BW115" s="505"/>
      <c r="BX115" s="505"/>
      <c r="BY115" s="505"/>
      <c r="BZ115" s="505"/>
      <c r="CA115" s="505"/>
      <c r="CB115" s="505"/>
      <c r="CC115" s="505"/>
      <c r="CD115" s="505"/>
      <c r="CE115" s="505"/>
      <c r="CF115" s="505"/>
      <c r="CG115" s="505"/>
      <c r="CH115" s="505"/>
      <c r="CI115" s="505"/>
      <c r="CJ115" s="505"/>
      <c r="CK115" s="505"/>
      <c r="CL115" s="505"/>
      <c r="CM115" s="505"/>
      <c r="CN115" s="505"/>
      <c r="CO115" s="505"/>
      <c r="CP115" s="505"/>
      <c r="CQ115" s="505"/>
      <c r="CR115" s="505"/>
      <c r="CS115" s="505"/>
      <c r="CT115" s="505"/>
      <c r="CU115" s="505"/>
      <c r="CV115" s="505"/>
      <c r="CW115" s="505"/>
      <c r="CX115" s="505"/>
      <c r="CY115" s="505"/>
      <c r="CZ115" s="505"/>
      <c r="DA115" s="505"/>
      <c r="DB115" s="505"/>
      <c r="DC115" s="505"/>
      <c r="DD115" s="505"/>
      <c r="DE115" s="505"/>
      <c r="DF115" s="505"/>
      <c r="DG115" s="505"/>
      <c r="DH115" s="505"/>
      <c r="DI115" s="505"/>
      <c r="DJ115" s="505"/>
      <c r="DK115" s="505"/>
      <c r="DL115" s="505"/>
      <c r="DM115" s="505"/>
      <c r="DN115" s="505"/>
      <c r="DO115" s="505"/>
      <c r="DP115" s="505"/>
    </row>
    <row r="116" spans="1:120" hidden="1" outlineLevel="1" x14ac:dyDescent="0.2">
      <c r="A116" s="517">
        <f t="shared" si="26"/>
        <v>37288</v>
      </c>
      <c r="B116" s="517" t="str">
        <f t="shared" si="23"/>
        <v>1Q02</v>
      </c>
      <c r="C116" s="517" t="str">
        <f t="shared" si="27"/>
        <v>2Q02</v>
      </c>
      <c r="D116" s="518">
        <f t="shared" si="28"/>
        <v>37365</v>
      </c>
      <c r="E116" s="518">
        <f t="shared" si="28"/>
        <v>37305</v>
      </c>
      <c r="F116" s="520">
        <v>1.1559999999999999</v>
      </c>
      <c r="G116" s="521">
        <f t="shared" si="24"/>
        <v>0.01</v>
      </c>
      <c r="H116" s="521">
        <f t="shared" si="25"/>
        <v>0.01</v>
      </c>
      <c r="I116" s="521">
        <f t="shared" si="31"/>
        <v>6.6999999999999842</v>
      </c>
      <c r="J116" s="521">
        <f t="shared" si="31"/>
        <v>6.749999999999984</v>
      </c>
      <c r="K116" s="521">
        <f t="shared" si="30"/>
        <v>1.1200000000000008</v>
      </c>
      <c r="L116" s="505"/>
      <c r="M116" s="528"/>
      <c r="N116" s="505"/>
      <c r="O116" s="505"/>
      <c r="P116" s="505"/>
      <c r="Q116" s="505"/>
      <c r="R116" s="505"/>
      <c r="S116" s="505"/>
      <c r="T116" s="505"/>
      <c r="U116" s="505"/>
      <c r="V116" s="505"/>
      <c r="W116" s="505"/>
      <c r="X116" s="505"/>
      <c r="Y116" s="505"/>
      <c r="Z116" s="505"/>
      <c r="AA116" s="505"/>
      <c r="AB116" s="505"/>
      <c r="AC116" s="505"/>
      <c r="AD116" s="505"/>
      <c r="AE116" s="505"/>
      <c r="AF116" s="505"/>
      <c r="AG116" s="505"/>
      <c r="AH116" s="505"/>
      <c r="AI116" s="505"/>
      <c r="AJ116" s="505"/>
      <c r="AK116" s="505"/>
      <c r="AL116" s="505"/>
      <c r="AM116" s="505"/>
      <c r="AN116" s="505"/>
      <c r="AO116" s="505"/>
      <c r="AP116" s="505"/>
      <c r="AQ116" s="505"/>
      <c r="AR116" s="505"/>
      <c r="AS116" s="505"/>
      <c r="AT116" s="505"/>
      <c r="AU116" s="505"/>
      <c r="AV116" s="505"/>
      <c r="AW116" s="505"/>
      <c r="AX116" s="505"/>
      <c r="AY116" s="505"/>
      <c r="AZ116" s="505"/>
      <c r="BA116" s="505"/>
      <c r="BB116" s="505"/>
      <c r="BC116" s="505"/>
      <c r="BD116" s="505"/>
      <c r="BE116" s="505"/>
      <c r="BF116" s="505"/>
      <c r="BG116" s="505"/>
      <c r="BH116" s="505"/>
      <c r="BI116" s="505"/>
      <c r="BJ116" s="505"/>
      <c r="BK116" s="505"/>
      <c r="BL116" s="505"/>
      <c r="BM116" s="505"/>
      <c r="BN116" s="505"/>
      <c r="BO116" s="505"/>
      <c r="BP116" s="505"/>
      <c r="BQ116" s="505"/>
      <c r="BR116" s="505"/>
      <c r="BS116" s="505"/>
      <c r="BT116" s="505"/>
      <c r="BU116" s="505"/>
      <c r="BV116" s="505"/>
      <c r="BW116" s="505"/>
      <c r="BX116" s="505"/>
      <c r="BY116" s="505"/>
      <c r="BZ116" s="505"/>
      <c r="CA116" s="505"/>
      <c r="CB116" s="505"/>
      <c r="CC116" s="505"/>
      <c r="CD116" s="505"/>
      <c r="CE116" s="505"/>
      <c r="CF116" s="505"/>
      <c r="CG116" s="505"/>
      <c r="CH116" s="505"/>
      <c r="CI116" s="505"/>
      <c r="CJ116" s="505"/>
      <c r="CK116" s="505"/>
      <c r="CL116" s="505"/>
      <c r="CM116" s="505"/>
      <c r="CN116" s="505"/>
      <c r="CO116" s="505"/>
      <c r="CP116" s="505"/>
      <c r="CQ116" s="505"/>
      <c r="CR116" s="505"/>
      <c r="CS116" s="505"/>
      <c r="CT116" s="505"/>
      <c r="CU116" s="505"/>
      <c r="CV116" s="505"/>
      <c r="CW116" s="505"/>
      <c r="CX116" s="505"/>
      <c r="CY116" s="505"/>
      <c r="CZ116" s="505"/>
      <c r="DA116" s="505"/>
      <c r="DB116" s="505"/>
      <c r="DC116" s="505"/>
      <c r="DD116" s="505"/>
      <c r="DE116" s="505"/>
      <c r="DF116" s="505"/>
      <c r="DG116" s="505"/>
      <c r="DH116" s="505"/>
      <c r="DI116" s="505"/>
      <c r="DJ116" s="505"/>
      <c r="DK116" s="505"/>
      <c r="DL116" s="505"/>
      <c r="DM116" s="505"/>
      <c r="DN116" s="505"/>
      <c r="DO116" s="505"/>
      <c r="DP116" s="505"/>
    </row>
    <row r="117" spans="1:120" hidden="1" outlineLevel="1" x14ac:dyDescent="0.2">
      <c r="A117" s="517">
        <f t="shared" si="26"/>
        <v>37288</v>
      </c>
      <c r="B117" s="517" t="str">
        <f t="shared" si="23"/>
        <v>1Q02</v>
      </c>
      <c r="C117" s="517" t="str">
        <f t="shared" si="27"/>
        <v>2Q02</v>
      </c>
      <c r="D117" s="518">
        <f t="shared" si="28"/>
        <v>37372</v>
      </c>
      <c r="E117" s="518">
        <f t="shared" si="28"/>
        <v>37312</v>
      </c>
      <c r="F117" s="520">
        <v>1.1540000000000001</v>
      </c>
      <c r="G117" s="521">
        <f t="shared" si="24"/>
        <v>0.01</v>
      </c>
      <c r="H117" s="521">
        <f t="shared" si="25"/>
        <v>0.01</v>
      </c>
      <c r="I117" s="521">
        <f t="shared" si="31"/>
        <v>6.749999999999984</v>
      </c>
      <c r="J117" s="521">
        <f t="shared" si="31"/>
        <v>6.7999999999999838</v>
      </c>
      <c r="K117" s="521">
        <f t="shared" si="30"/>
        <v>1.1300000000000008</v>
      </c>
      <c r="L117" s="505"/>
      <c r="M117" s="528"/>
      <c r="N117" s="505"/>
      <c r="O117" s="505"/>
      <c r="P117" s="505"/>
      <c r="Q117" s="505"/>
      <c r="R117" s="505"/>
      <c r="S117" s="505"/>
      <c r="T117" s="505"/>
      <c r="U117" s="505"/>
      <c r="V117" s="505"/>
      <c r="W117" s="505"/>
      <c r="X117" s="505"/>
      <c r="Y117" s="505"/>
      <c r="Z117" s="505"/>
      <c r="AA117" s="505"/>
      <c r="AB117" s="505"/>
      <c r="AC117" s="505"/>
      <c r="AD117" s="505"/>
      <c r="AE117" s="505"/>
      <c r="AF117" s="505"/>
      <c r="AG117" s="505"/>
      <c r="AH117" s="505"/>
      <c r="AI117" s="505"/>
      <c r="AJ117" s="505"/>
      <c r="AK117" s="505"/>
      <c r="AL117" s="505"/>
      <c r="AM117" s="505"/>
      <c r="AN117" s="505"/>
      <c r="AO117" s="505"/>
      <c r="AP117" s="505"/>
      <c r="AQ117" s="505"/>
      <c r="AR117" s="505"/>
      <c r="AS117" s="505"/>
      <c r="AT117" s="505"/>
      <c r="AU117" s="505"/>
      <c r="AV117" s="505"/>
      <c r="AW117" s="505"/>
      <c r="AX117" s="505"/>
      <c r="AY117" s="505"/>
      <c r="AZ117" s="505"/>
      <c r="BA117" s="505"/>
      <c r="BB117" s="505"/>
      <c r="BC117" s="505"/>
      <c r="BD117" s="505"/>
      <c r="BE117" s="505"/>
      <c r="BF117" s="505"/>
      <c r="BG117" s="505"/>
      <c r="BH117" s="505"/>
      <c r="BI117" s="505"/>
      <c r="BJ117" s="505"/>
      <c r="BK117" s="505"/>
      <c r="BL117" s="505"/>
      <c r="BM117" s="505"/>
      <c r="BN117" s="505"/>
      <c r="BO117" s="505"/>
      <c r="BP117" s="505"/>
      <c r="BQ117" s="505"/>
      <c r="BR117" s="505"/>
      <c r="BS117" s="505"/>
      <c r="BT117" s="505"/>
      <c r="BU117" s="505"/>
      <c r="BV117" s="505"/>
      <c r="BW117" s="505"/>
      <c r="BX117" s="505"/>
      <c r="BY117" s="505"/>
      <c r="BZ117" s="505"/>
      <c r="CA117" s="505"/>
      <c r="CB117" s="505"/>
      <c r="CC117" s="505"/>
      <c r="CD117" s="505"/>
      <c r="CE117" s="505"/>
      <c r="CF117" s="505"/>
      <c r="CG117" s="505"/>
      <c r="CH117" s="505"/>
      <c r="CI117" s="505"/>
      <c r="CJ117" s="505"/>
      <c r="CK117" s="505"/>
      <c r="CL117" s="505"/>
      <c r="CM117" s="505"/>
      <c r="CN117" s="505"/>
      <c r="CO117" s="505"/>
      <c r="CP117" s="505"/>
      <c r="CQ117" s="505"/>
      <c r="CR117" s="505"/>
      <c r="CS117" s="505"/>
      <c r="CT117" s="505"/>
      <c r="CU117" s="505"/>
      <c r="CV117" s="505"/>
      <c r="CW117" s="505"/>
      <c r="CX117" s="505"/>
      <c r="CY117" s="505"/>
      <c r="CZ117" s="505"/>
      <c r="DA117" s="505"/>
      <c r="DB117" s="505"/>
      <c r="DC117" s="505"/>
      <c r="DD117" s="505"/>
      <c r="DE117" s="505"/>
      <c r="DF117" s="505"/>
      <c r="DG117" s="505"/>
      <c r="DH117" s="505"/>
      <c r="DI117" s="505"/>
      <c r="DJ117" s="505"/>
      <c r="DK117" s="505"/>
      <c r="DL117" s="505"/>
      <c r="DM117" s="505"/>
      <c r="DN117" s="505"/>
      <c r="DO117" s="505"/>
      <c r="DP117" s="505"/>
    </row>
    <row r="118" spans="1:120" hidden="1" outlineLevel="1" x14ac:dyDescent="0.2">
      <c r="A118" s="517">
        <f t="shared" si="26"/>
        <v>37316</v>
      </c>
      <c r="B118" s="517" t="str">
        <f t="shared" si="23"/>
        <v>1Q02</v>
      </c>
      <c r="C118" s="517" t="str">
        <f t="shared" si="27"/>
        <v>2Q02</v>
      </c>
      <c r="D118" s="518">
        <f t="shared" si="28"/>
        <v>37379</v>
      </c>
      <c r="E118" s="518">
        <f t="shared" si="28"/>
        <v>37319</v>
      </c>
      <c r="F118" s="520">
        <v>1.173</v>
      </c>
      <c r="G118" s="521">
        <f t="shared" si="24"/>
        <v>0.01</v>
      </c>
      <c r="H118" s="521">
        <f t="shared" si="25"/>
        <v>0.02</v>
      </c>
      <c r="I118" s="521">
        <f t="shared" si="31"/>
        <v>6.7999999999999838</v>
      </c>
      <c r="J118" s="521">
        <f t="shared" si="31"/>
        <v>6.8499999999999837</v>
      </c>
      <c r="K118" s="521">
        <f t="shared" si="30"/>
        <v>1.1400000000000008</v>
      </c>
      <c r="L118" s="505"/>
      <c r="M118" s="528"/>
      <c r="N118" s="505"/>
      <c r="O118" s="505"/>
      <c r="P118" s="505"/>
      <c r="Q118" s="505"/>
      <c r="R118" s="505"/>
      <c r="S118" s="505"/>
      <c r="T118" s="505"/>
      <c r="U118" s="505"/>
      <c r="V118" s="505"/>
      <c r="W118" s="505"/>
      <c r="X118" s="505"/>
      <c r="Y118" s="505"/>
      <c r="Z118" s="505"/>
      <c r="AA118" s="505"/>
      <c r="AB118" s="505"/>
      <c r="AC118" s="505"/>
      <c r="AD118" s="505"/>
      <c r="AE118" s="505"/>
      <c r="AF118" s="505"/>
      <c r="AG118" s="505"/>
      <c r="AH118" s="505"/>
      <c r="AI118" s="505"/>
      <c r="AJ118" s="505"/>
      <c r="AK118" s="505"/>
      <c r="AL118" s="505"/>
      <c r="AM118" s="505"/>
      <c r="AN118" s="505"/>
      <c r="AO118" s="505"/>
      <c r="AP118" s="505"/>
      <c r="AQ118" s="505"/>
      <c r="AR118" s="505"/>
      <c r="AS118" s="505"/>
      <c r="AT118" s="505"/>
      <c r="AU118" s="505"/>
      <c r="AV118" s="505"/>
      <c r="AW118" s="505"/>
      <c r="AX118" s="505"/>
      <c r="AY118" s="505"/>
      <c r="AZ118" s="505"/>
      <c r="BA118" s="505"/>
      <c r="BB118" s="505"/>
      <c r="BC118" s="505"/>
      <c r="BD118" s="505"/>
      <c r="BE118" s="505"/>
      <c r="BF118" s="505"/>
      <c r="BG118" s="505"/>
      <c r="BH118" s="505"/>
      <c r="BI118" s="505"/>
      <c r="BJ118" s="505"/>
      <c r="BK118" s="505"/>
      <c r="BL118" s="505"/>
      <c r="BM118" s="505"/>
      <c r="BN118" s="505"/>
      <c r="BO118" s="505"/>
      <c r="BP118" s="505"/>
      <c r="BQ118" s="505"/>
      <c r="BR118" s="505"/>
      <c r="BS118" s="505"/>
      <c r="BT118" s="505"/>
      <c r="BU118" s="505"/>
      <c r="BV118" s="505"/>
      <c r="BW118" s="505"/>
      <c r="BX118" s="505"/>
      <c r="BY118" s="505"/>
      <c r="BZ118" s="505"/>
      <c r="CA118" s="505"/>
      <c r="CB118" s="505"/>
      <c r="CC118" s="505"/>
      <c r="CD118" s="505"/>
      <c r="CE118" s="505"/>
      <c r="CF118" s="505"/>
      <c r="CG118" s="505"/>
      <c r="CH118" s="505"/>
      <c r="CI118" s="505"/>
      <c r="CJ118" s="505"/>
      <c r="CK118" s="505"/>
      <c r="CL118" s="505"/>
      <c r="CM118" s="505"/>
      <c r="CN118" s="505"/>
      <c r="CO118" s="505"/>
      <c r="CP118" s="505"/>
      <c r="CQ118" s="505"/>
      <c r="CR118" s="505"/>
      <c r="CS118" s="505"/>
      <c r="CT118" s="505"/>
      <c r="CU118" s="505"/>
      <c r="CV118" s="505"/>
      <c r="CW118" s="505"/>
      <c r="CX118" s="505"/>
      <c r="CY118" s="505"/>
      <c r="CZ118" s="505"/>
      <c r="DA118" s="505"/>
      <c r="DB118" s="505"/>
      <c r="DC118" s="505"/>
      <c r="DD118" s="505"/>
      <c r="DE118" s="505"/>
      <c r="DF118" s="505"/>
      <c r="DG118" s="505"/>
      <c r="DH118" s="505"/>
      <c r="DI118" s="505"/>
      <c r="DJ118" s="505"/>
      <c r="DK118" s="505"/>
      <c r="DL118" s="505"/>
      <c r="DM118" s="505"/>
      <c r="DN118" s="505"/>
      <c r="DO118" s="505"/>
      <c r="DP118" s="505"/>
    </row>
    <row r="119" spans="1:120" hidden="1" outlineLevel="1" x14ac:dyDescent="0.2">
      <c r="A119" s="517">
        <f t="shared" si="26"/>
        <v>37316</v>
      </c>
      <c r="B119" s="517" t="str">
        <f t="shared" si="23"/>
        <v>1Q02</v>
      </c>
      <c r="C119" s="517" t="str">
        <f t="shared" si="27"/>
        <v>2Q02</v>
      </c>
      <c r="D119" s="518">
        <f t="shared" si="28"/>
        <v>37386</v>
      </c>
      <c r="E119" s="518">
        <f t="shared" si="28"/>
        <v>37326</v>
      </c>
      <c r="F119" s="520">
        <v>1.216</v>
      </c>
      <c r="G119" s="521">
        <f t="shared" si="24"/>
        <v>0.02</v>
      </c>
      <c r="H119" s="521">
        <f t="shared" si="25"/>
        <v>0.03</v>
      </c>
      <c r="I119" s="521">
        <f t="shared" si="31"/>
        <v>6.8499999999999837</v>
      </c>
      <c r="J119" s="521">
        <f t="shared" si="31"/>
        <v>6.8999999999999835</v>
      </c>
      <c r="K119" s="521">
        <f t="shared" si="30"/>
        <v>1.1500000000000008</v>
      </c>
      <c r="L119" s="505"/>
      <c r="M119" s="528"/>
      <c r="N119" s="505"/>
      <c r="O119" s="505"/>
      <c r="P119" s="505"/>
      <c r="Q119" s="505"/>
      <c r="R119" s="505"/>
      <c r="S119" s="505"/>
      <c r="T119" s="505"/>
      <c r="U119" s="505"/>
      <c r="V119" s="505"/>
      <c r="W119" s="505"/>
      <c r="X119" s="505"/>
      <c r="Y119" s="505"/>
      <c r="Z119" s="505"/>
      <c r="AA119" s="505"/>
      <c r="AB119" s="505"/>
      <c r="AC119" s="505"/>
      <c r="AD119" s="505"/>
      <c r="AE119" s="505"/>
      <c r="AF119" s="505"/>
      <c r="AG119" s="505"/>
      <c r="AH119" s="505"/>
      <c r="AI119" s="505"/>
      <c r="AJ119" s="505"/>
      <c r="AK119" s="505"/>
      <c r="AL119" s="505"/>
      <c r="AM119" s="505"/>
      <c r="AN119" s="505"/>
      <c r="AO119" s="505"/>
      <c r="AP119" s="505"/>
      <c r="AQ119" s="505"/>
      <c r="AR119" s="505"/>
      <c r="AS119" s="505"/>
      <c r="AT119" s="505"/>
      <c r="AU119" s="505"/>
      <c r="AV119" s="505"/>
      <c r="AW119" s="505"/>
      <c r="AX119" s="505"/>
      <c r="AY119" s="505"/>
      <c r="AZ119" s="505"/>
      <c r="BA119" s="505"/>
      <c r="BB119" s="505"/>
      <c r="BC119" s="505"/>
      <c r="BD119" s="505"/>
      <c r="BE119" s="505"/>
      <c r="BF119" s="505"/>
      <c r="BG119" s="505"/>
      <c r="BH119" s="505"/>
      <c r="BI119" s="505"/>
      <c r="BJ119" s="505"/>
      <c r="BK119" s="505"/>
      <c r="BL119" s="505"/>
      <c r="BM119" s="505"/>
      <c r="BN119" s="505"/>
      <c r="BO119" s="505"/>
      <c r="BP119" s="505"/>
      <c r="BQ119" s="505"/>
      <c r="BR119" s="505"/>
      <c r="BS119" s="505"/>
      <c r="BT119" s="505"/>
      <c r="BU119" s="505"/>
      <c r="BV119" s="505"/>
      <c r="BW119" s="505"/>
      <c r="BX119" s="505"/>
      <c r="BY119" s="505"/>
      <c r="BZ119" s="505"/>
      <c r="CA119" s="505"/>
      <c r="CB119" s="505"/>
      <c r="CC119" s="505"/>
      <c r="CD119" s="505"/>
      <c r="CE119" s="505"/>
      <c r="CF119" s="505"/>
      <c r="CG119" s="505"/>
      <c r="CH119" s="505"/>
      <c r="CI119" s="505"/>
      <c r="CJ119" s="505"/>
      <c r="CK119" s="505"/>
      <c r="CL119" s="505"/>
      <c r="CM119" s="505"/>
      <c r="CN119" s="505"/>
      <c r="CO119" s="505"/>
      <c r="CP119" s="505"/>
      <c r="CQ119" s="505"/>
      <c r="CR119" s="505"/>
      <c r="CS119" s="505"/>
      <c r="CT119" s="505"/>
      <c r="CU119" s="505"/>
      <c r="CV119" s="505"/>
      <c r="CW119" s="505"/>
      <c r="CX119" s="505"/>
      <c r="CY119" s="505"/>
      <c r="CZ119" s="505"/>
      <c r="DA119" s="505"/>
      <c r="DB119" s="505"/>
      <c r="DC119" s="505"/>
      <c r="DD119" s="505"/>
      <c r="DE119" s="505"/>
      <c r="DF119" s="505"/>
      <c r="DG119" s="505"/>
      <c r="DH119" s="505"/>
      <c r="DI119" s="505"/>
      <c r="DJ119" s="505"/>
      <c r="DK119" s="505"/>
      <c r="DL119" s="505"/>
      <c r="DM119" s="505"/>
      <c r="DN119" s="505"/>
      <c r="DO119" s="505"/>
      <c r="DP119" s="505"/>
    </row>
    <row r="120" spans="1:120" hidden="1" outlineLevel="1" x14ac:dyDescent="0.2">
      <c r="A120" s="517">
        <f t="shared" si="26"/>
        <v>37316</v>
      </c>
      <c r="B120" s="517" t="str">
        <f t="shared" si="23"/>
        <v>1Q02</v>
      </c>
      <c r="C120" s="517" t="str">
        <f t="shared" si="27"/>
        <v>2Q02</v>
      </c>
      <c r="D120" s="518">
        <f t="shared" si="28"/>
        <v>37393</v>
      </c>
      <c r="E120" s="518">
        <f t="shared" si="28"/>
        <v>37333</v>
      </c>
      <c r="F120" s="520">
        <v>1.2509999999999999</v>
      </c>
      <c r="G120" s="521">
        <f t="shared" si="24"/>
        <v>0.03</v>
      </c>
      <c r="H120" s="521">
        <f t="shared" si="25"/>
        <v>0.03</v>
      </c>
      <c r="I120" s="521">
        <f t="shared" si="31"/>
        <v>6.8999999999999835</v>
      </c>
      <c r="J120" s="521">
        <f t="shared" si="31"/>
        <v>6.9499999999999833</v>
      </c>
      <c r="K120" s="521">
        <f t="shared" si="30"/>
        <v>1.1600000000000008</v>
      </c>
      <c r="L120" s="505"/>
      <c r="M120" s="528"/>
      <c r="N120" s="505"/>
      <c r="O120" s="505"/>
      <c r="P120" s="505"/>
      <c r="Q120" s="505"/>
      <c r="R120" s="505"/>
      <c r="S120" s="505"/>
      <c r="T120" s="505"/>
      <c r="U120" s="505"/>
      <c r="V120" s="505"/>
      <c r="W120" s="505"/>
      <c r="X120" s="505"/>
      <c r="Y120" s="505"/>
      <c r="Z120" s="505"/>
      <c r="AA120" s="505"/>
      <c r="AB120" s="505"/>
      <c r="AC120" s="505"/>
      <c r="AD120" s="505"/>
      <c r="AE120" s="505"/>
      <c r="AF120" s="505"/>
      <c r="AG120" s="505"/>
      <c r="AH120" s="505"/>
      <c r="AI120" s="505"/>
      <c r="AJ120" s="505"/>
      <c r="AK120" s="505"/>
      <c r="AL120" s="505"/>
      <c r="AM120" s="505"/>
      <c r="AN120" s="505"/>
      <c r="AO120" s="505"/>
      <c r="AP120" s="505"/>
      <c r="AQ120" s="505"/>
      <c r="AR120" s="505"/>
      <c r="AS120" s="505"/>
      <c r="AT120" s="505"/>
      <c r="AU120" s="505"/>
      <c r="AV120" s="505"/>
      <c r="AW120" s="505"/>
      <c r="AX120" s="505"/>
      <c r="AY120" s="505"/>
      <c r="AZ120" s="505"/>
      <c r="BA120" s="505"/>
      <c r="BB120" s="505"/>
      <c r="BC120" s="505"/>
      <c r="BD120" s="505"/>
      <c r="BE120" s="505"/>
      <c r="BF120" s="505"/>
      <c r="BG120" s="505"/>
      <c r="BH120" s="505"/>
      <c r="BI120" s="505"/>
      <c r="BJ120" s="505"/>
      <c r="BK120" s="505"/>
      <c r="BL120" s="505"/>
      <c r="BM120" s="505"/>
      <c r="BN120" s="505"/>
      <c r="BO120" s="505"/>
      <c r="BP120" s="505"/>
      <c r="BQ120" s="505"/>
      <c r="BR120" s="505"/>
      <c r="BS120" s="505"/>
      <c r="BT120" s="505"/>
      <c r="BU120" s="505"/>
      <c r="BV120" s="505"/>
      <c r="BW120" s="505"/>
      <c r="BX120" s="505"/>
      <c r="BY120" s="505"/>
      <c r="BZ120" s="505"/>
      <c r="CA120" s="505"/>
      <c r="CB120" s="505"/>
      <c r="CC120" s="505"/>
      <c r="CD120" s="505"/>
      <c r="CE120" s="505"/>
      <c r="CF120" s="505"/>
      <c r="CG120" s="505"/>
      <c r="CH120" s="505"/>
      <c r="CI120" s="505"/>
      <c r="CJ120" s="505"/>
      <c r="CK120" s="505"/>
      <c r="CL120" s="505"/>
      <c r="CM120" s="505"/>
      <c r="CN120" s="505"/>
      <c r="CO120" s="505"/>
      <c r="CP120" s="505"/>
      <c r="CQ120" s="505"/>
      <c r="CR120" s="505"/>
      <c r="CS120" s="505"/>
      <c r="CT120" s="505"/>
      <c r="CU120" s="505"/>
      <c r="CV120" s="505"/>
      <c r="CW120" s="505"/>
      <c r="CX120" s="505"/>
      <c r="CY120" s="505"/>
      <c r="CZ120" s="505"/>
      <c r="DA120" s="505"/>
      <c r="DB120" s="505"/>
      <c r="DC120" s="505"/>
      <c r="DD120" s="505"/>
      <c r="DE120" s="505"/>
      <c r="DF120" s="505"/>
      <c r="DG120" s="505"/>
      <c r="DH120" s="505"/>
      <c r="DI120" s="505"/>
      <c r="DJ120" s="505"/>
      <c r="DK120" s="505"/>
      <c r="DL120" s="505"/>
      <c r="DM120" s="505"/>
      <c r="DN120" s="505"/>
      <c r="DO120" s="505"/>
      <c r="DP120" s="505"/>
    </row>
    <row r="121" spans="1:120" hidden="1" outlineLevel="1" x14ac:dyDescent="0.2">
      <c r="A121" s="517">
        <f t="shared" si="26"/>
        <v>37316</v>
      </c>
      <c r="B121" s="517" t="str">
        <f t="shared" si="23"/>
        <v>1Q02</v>
      </c>
      <c r="C121" s="517" t="str">
        <f t="shared" si="27"/>
        <v>2Q02</v>
      </c>
      <c r="D121" s="518">
        <f t="shared" si="28"/>
        <v>37400</v>
      </c>
      <c r="E121" s="518">
        <f t="shared" si="28"/>
        <v>37340</v>
      </c>
      <c r="F121" s="520">
        <v>1.2809999999999999</v>
      </c>
      <c r="G121" s="521">
        <f t="shared" si="24"/>
        <v>0.03</v>
      </c>
      <c r="H121" s="521">
        <f t="shared" si="25"/>
        <v>0.03</v>
      </c>
      <c r="I121" s="521">
        <f t="shared" si="31"/>
        <v>6.9499999999999833</v>
      </c>
      <c r="J121" s="521">
        <f t="shared" si="31"/>
        <v>6.9999999999999831</v>
      </c>
      <c r="K121" s="521">
        <f t="shared" si="30"/>
        <v>1.1700000000000008</v>
      </c>
      <c r="L121" s="505"/>
      <c r="M121" s="528"/>
      <c r="N121" s="505"/>
      <c r="O121" s="505"/>
      <c r="P121" s="505"/>
      <c r="Q121" s="505"/>
      <c r="R121" s="505"/>
      <c r="S121" s="505"/>
      <c r="T121" s="505"/>
      <c r="U121" s="505"/>
      <c r="V121" s="505"/>
      <c r="W121" s="505"/>
      <c r="X121" s="505"/>
      <c r="Y121" s="505"/>
      <c r="Z121" s="505"/>
      <c r="AA121" s="505"/>
      <c r="AB121" s="505"/>
      <c r="AC121" s="505"/>
      <c r="AD121" s="505"/>
      <c r="AE121" s="505"/>
      <c r="AF121" s="505"/>
      <c r="AG121" s="505"/>
      <c r="AH121" s="505"/>
      <c r="AI121" s="505"/>
      <c r="AJ121" s="505"/>
      <c r="AK121" s="505"/>
      <c r="AL121" s="505"/>
      <c r="AM121" s="505"/>
      <c r="AN121" s="505"/>
      <c r="AO121" s="505"/>
      <c r="AP121" s="505"/>
      <c r="AQ121" s="505"/>
      <c r="AR121" s="505"/>
      <c r="AS121" s="505"/>
      <c r="AT121" s="505"/>
      <c r="AU121" s="505"/>
      <c r="AV121" s="505"/>
      <c r="AW121" s="505"/>
      <c r="AX121" s="505"/>
      <c r="AY121" s="505"/>
      <c r="AZ121" s="505"/>
      <c r="BA121" s="505"/>
      <c r="BB121" s="505"/>
      <c r="BC121" s="505"/>
      <c r="BD121" s="505"/>
      <c r="BE121" s="505"/>
      <c r="BF121" s="505"/>
      <c r="BG121" s="505"/>
      <c r="BH121" s="505"/>
      <c r="BI121" s="505"/>
      <c r="BJ121" s="505"/>
      <c r="BK121" s="505"/>
      <c r="BL121" s="505"/>
      <c r="BM121" s="505"/>
      <c r="BN121" s="505"/>
      <c r="BO121" s="505"/>
      <c r="BP121" s="505"/>
      <c r="BQ121" s="505"/>
      <c r="BR121" s="505"/>
      <c r="BS121" s="505"/>
      <c r="BT121" s="505"/>
      <c r="BU121" s="505"/>
      <c r="BV121" s="505"/>
      <c r="BW121" s="505"/>
      <c r="BX121" s="505"/>
      <c r="BY121" s="505"/>
      <c r="BZ121" s="505"/>
      <c r="CA121" s="505"/>
      <c r="CB121" s="505"/>
      <c r="CC121" s="505"/>
      <c r="CD121" s="505"/>
      <c r="CE121" s="505"/>
      <c r="CF121" s="505"/>
      <c r="CG121" s="505"/>
      <c r="CH121" s="505"/>
      <c r="CI121" s="505"/>
      <c r="CJ121" s="505"/>
      <c r="CK121" s="505"/>
      <c r="CL121" s="505"/>
      <c r="CM121" s="505"/>
      <c r="CN121" s="505"/>
      <c r="CO121" s="505"/>
      <c r="CP121" s="505"/>
      <c r="CQ121" s="505"/>
      <c r="CR121" s="505"/>
      <c r="CS121" s="505"/>
      <c r="CT121" s="505"/>
      <c r="CU121" s="505"/>
      <c r="CV121" s="505"/>
      <c r="CW121" s="505"/>
      <c r="CX121" s="505"/>
      <c r="CY121" s="505"/>
      <c r="CZ121" s="505"/>
      <c r="DA121" s="505"/>
      <c r="DB121" s="505"/>
      <c r="DC121" s="505"/>
      <c r="DD121" s="505"/>
      <c r="DE121" s="505"/>
      <c r="DF121" s="505"/>
      <c r="DG121" s="505"/>
      <c r="DH121" s="505"/>
      <c r="DI121" s="505"/>
      <c r="DJ121" s="505"/>
      <c r="DK121" s="505"/>
      <c r="DL121" s="505"/>
      <c r="DM121" s="505"/>
      <c r="DN121" s="505"/>
      <c r="DO121" s="505"/>
      <c r="DP121" s="505"/>
    </row>
    <row r="122" spans="1:120" hidden="1" outlineLevel="1" x14ac:dyDescent="0.2">
      <c r="A122" s="517">
        <f t="shared" si="26"/>
        <v>37347</v>
      </c>
      <c r="B122" s="517" t="str">
        <f t="shared" si="23"/>
        <v>2Q02</v>
      </c>
      <c r="C122" s="517" t="str">
        <f t="shared" si="27"/>
        <v>2Q02</v>
      </c>
      <c r="D122" s="518">
        <f t="shared" si="28"/>
        <v>37407</v>
      </c>
      <c r="E122" s="518">
        <f t="shared" si="28"/>
        <v>37347</v>
      </c>
      <c r="F122" s="520">
        <v>1.2949999999999999</v>
      </c>
      <c r="G122" s="521">
        <f t="shared" si="24"/>
        <v>0.03</v>
      </c>
      <c r="H122" s="521">
        <f t="shared" si="25"/>
        <v>0.04</v>
      </c>
      <c r="I122" s="521">
        <f t="shared" si="31"/>
        <v>6.9999999999999831</v>
      </c>
      <c r="J122" s="521">
        <f t="shared" si="31"/>
        <v>7.0499999999999829</v>
      </c>
      <c r="K122" s="521">
        <f t="shared" si="30"/>
        <v>1.1800000000000008</v>
      </c>
      <c r="L122" s="505"/>
      <c r="M122" s="528"/>
      <c r="N122" s="505"/>
      <c r="O122" s="505"/>
      <c r="P122" s="505"/>
      <c r="Q122" s="505"/>
      <c r="R122" s="505"/>
      <c r="S122" s="505"/>
      <c r="T122" s="505"/>
      <c r="U122" s="505"/>
      <c r="V122" s="505"/>
      <c r="W122" s="505"/>
      <c r="X122" s="505"/>
      <c r="Y122" s="505"/>
      <c r="Z122" s="505"/>
      <c r="AA122" s="505"/>
      <c r="AB122" s="505"/>
      <c r="AC122" s="505"/>
      <c r="AD122" s="505"/>
      <c r="AE122" s="505"/>
      <c r="AF122" s="505"/>
      <c r="AG122" s="505"/>
      <c r="AH122" s="505"/>
      <c r="AI122" s="505"/>
      <c r="AJ122" s="505"/>
      <c r="AK122" s="505"/>
      <c r="AL122" s="505"/>
      <c r="AM122" s="505"/>
      <c r="AN122" s="505"/>
      <c r="AO122" s="505"/>
      <c r="AP122" s="505"/>
      <c r="AQ122" s="505"/>
      <c r="AR122" s="505"/>
      <c r="AS122" s="505"/>
      <c r="AT122" s="505"/>
      <c r="AU122" s="505"/>
      <c r="AV122" s="505"/>
      <c r="AW122" s="505"/>
      <c r="AX122" s="505"/>
      <c r="AY122" s="505"/>
      <c r="AZ122" s="505"/>
      <c r="BA122" s="505"/>
      <c r="BB122" s="505"/>
      <c r="BC122" s="505"/>
      <c r="BD122" s="505"/>
      <c r="BE122" s="505"/>
      <c r="BF122" s="505"/>
      <c r="BG122" s="505"/>
      <c r="BH122" s="505"/>
      <c r="BI122" s="505"/>
      <c r="BJ122" s="505"/>
      <c r="BK122" s="505"/>
      <c r="BL122" s="505"/>
      <c r="BM122" s="505"/>
      <c r="BN122" s="505"/>
      <c r="BO122" s="505"/>
      <c r="BP122" s="505"/>
      <c r="BQ122" s="505"/>
      <c r="BR122" s="505"/>
      <c r="BS122" s="505"/>
      <c r="BT122" s="505"/>
      <c r="BU122" s="505"/>
      <c r="BV122" s="505"/>
      <c r="BW122" s="505"/>
      <c r="BX122" s="505"/>
      <c r="BY122" s="505"/>
      <c r="BZ122" s="505"/>
      <c r="CA122" s="505"/>
      <c r="CB122" s="505"/>
      <c r="CC122" s="505"/>
      <c r="CD122" s="505"/>
      <c r="CE122" s="505"/>
      <c r="CF122" s="505"/>
      <c r="CG122" s="505"/>
      <c r="CH122" s="505"/>
      <c r="CI122" s="505"/>
      <c r="CJ122" s="505"/>
      <c r="CK122" s="505"/>
      <c r="CL122" s="505"/>
      <c r="CM122" s="505"/>
      <c r="CN122" s="505"/>
      <c r="CO122" s="505"/>
      <c r="CP122" s="505"/>
      <c r="CQ122" s="505"/>
      <c r="CR122" s="505"/>
      <c r="CS122" s="505"/>
      <c r="CT122" s="505"/>
      <c r="CU122" s="505"/>
      <c r="CV122" s="505"/>
      <c r="CW122" s="505"/>
      <c r="CX122" s="505"/>
      <c r="CY122" s="505"/>
      <c r="CZ122" s="505"/>
      <c r="DA122" s="505"/>
      <c r="DB122" s="505"/>
      <c r="DC122" s="505"/>
      <c r="DD122" s="505"/>
      <c r="DE122" s="505"/>
      <c r="DF122" s="505"/>
      <c r="DG122" s="505"/>
      <c r="DH122" s="505"/>
      <c r="DI122" s="505"/>
      <c r="DJ122" s="505"/>
      <c r="DK122" s="505"/>
      <c r="DL122" s="505"/>
      <c r="DM122" s="505"/>
      <c r="DN122" s="505"/>
      <c r="DO122" s="505"/>
      <c r="DP122" s="505"/>
    </row>
    <row r="123" spans="1:120" hidden="1" outlineLevel="1" x14ac:dyDescent="0.2">
      <c r="A123" s="517">
        <f t="shared" si="26"/>
        <v>37347</v>
      </c>
      <c r="B123" s="517" t="str">
        <f t="shared" si="23"/>
        <v>2Q02</v>
      </c>
      <c r="C123" s="517" t="str">
        <f t="shared" si="27"/>
        <v>2Q02</v>
      </c>
      <c r="D123" s="518">
        <f t="shared" si="28"/>
        <v>37414</v>
      </c>
      <c r="E123" s="518">
        <f t="shared" si="28"/>
        <v>37354</v>
      </c>
      <c r="F123" s="520">
        <v>1.3230000000000002</v>
      </c>
      <c r="G123" s="521">
        <f t="shared" si="24"/>
        <v>0.04</v>
      </c>
      <c r="H123" s="521">
        <f t="shared" si="25"/>
        <v>0.04</v>
      </c>
      <c r="I123" s="521">
        <f t="shared" si="31"/>
        <v>7.0499999999999829</v>
      </c>
      <c r="J123" s="521">
        <f t="shared" si="31"/>
        <v>7.0999999999999828</v>
      </c>
      <c r="K123" s="521">
        <f t="shared" si="30"/>
        <v>1.1900000000000008</v>
      </c>
      <c r="L123" s="505"/>
      <c r="M123" s="528"/>
      <c r="N123" s="505"/>
      <c r="O123" s="505"/>
      <c r="P123" s="505"/>
      <c r="Q123" s="505"/>
      <c r="R123" s="505"/>
      <c r="S123" s="505"/>
      <c r="T123" s="505"/>
      <c r="U123" s="505"/>
      <c r="V123" s="505"/>
      <c r="W123" s="505"/>
      <c r="X123" s="505"/>
      <c r="Y123" s="505"/>
      <c r="Z123" s="505"/>
      <c r="AA123" s="505"/>
      <c r="AB123" s="505"/>
      <c r="AC123" s="505"/>
      <c r="AD123" s="505"/>
      <c r="AE123" s="505"/>
      <c r="AF123" s="505"/>
      <c r="AG123" s="505"/>
      <c r="AH123" s="505"/>
      <c r="AI123" s="505"/>
      <c r="AJ123" s="505"/>
      <c r="AK123" s="505"/>
      <c r="AL123" s="505"/>
      <c r="AM123" s="505"/>
      <c r="AN123" s="505"/>
      <c r="AO123" s="505"/>
      <c r="AP123" s="505"/>
      <c r="AQ123" s="505"/>
      <c r="AR123" s="505"/>
      <c r="AS123" s="505"/>
      <c r="AT123" s="505"/>
      <c r="AU123" s="505"/>
      <c r="AV123" s="505"/>
      <c r="AW123" s="505"/>
      <c r="AX123" s="505"/>
      <c r="AY123" s="505"/>
      <c r="AZ123" s="505"/>
      <c r="BA123" s="505"/>
      <c r="BB123" s="505"/>
      <c r="BC123" s="505"/>
      <c r="BD123" s="505"/>
      <c r="BE123" s="505"/>
      <c r="BF123" s="505"/>
      <c r="BG123" s="505"/>
      <c r="BH123" s="505"/>
      <c r="BI123" s="505"/>
      <c r="BJ123" s="505"/>
      <c r="BK123" s="505"/>
      <c r="BL123" s="505"/>
      <c r="BM123" s="505"/>
      <c r="BN123" s="505"/>
      <c r="BO123" s="505"/>
      <c r="BP123" s="505"/>
      <c r="BQ123" s="505"/>
      <c r="BR123" s="505"/>
      <c r="BS123" s="505"/>
      <c r="BT123" s="505"/>
      <c r="BU123" s="505"/>
      <c r="BV123" s="505"/>
      <c r="BW123" s="505"/>
      <c r="BX123" s="505"/>
      <c r="BY123" s="505"/>
      <c r="BZ123" s="505"/>
      <c r="CA123" s="505"/>
      <c r="CB123" s="505"/>
      <c r="CC123" s="505"/>
      <c r="CD123" s="505"/>
      <c r="CE123" s="505"/>
      <c r="CF123" s="505"/>
      <c r="CG123" s="505"/>
      <c r="CH123" s="505"/>
      <c r="CI123" s="505"/>
      <c r="CJ123" s="505"/>
      <c r="CK123" s="505"/>
      <c r="CL123" s="505"/>
      <c r="CM123" s="505"/>
      <c r="CN123" s="505"/>
      <c r="CO123" s="505"/>
      <c r="CP123" s="505"/>
      <c r="CQ123" s="505"/>
      <c r="CR123" s="505"/>
      <c r="CS123" s="505"/>
      <c r="CT123" s="505"/>
      <c r="CU123" s="505"/>
      <c r="CV123" s="505"/>
      <c r="CW123" s="505"/>
      <c r="CX123" s="505"/>
      <c r="CY123" s="505"/>
      <c r="CZ123" s="505"/>
      <c r="DA123" s="505"/>
      <c r="DB123" s="505"/>
      <c r="DC123" s="505"/>
      <c r="DD123" s="505"/>
      <c r="DE123" s="505"/>
      <c r="DF123" s="505"/>
      <c r="DG123" s="505"/>
      <c r="DH123" s="505"/>
      <c r="DI123" s="505"/>
      <c r="DJ123" s="505"/>
      <c r="DK123" s="505"/>
      <c r="DL123" s="505"/>
      <c r="DM123" s="505"/>
      <c r="DN123" s="505"/>
      <c r="DO123" s="505"/>
      <c r="DP123" s="505"/>
    </row>
    <row r="124" spans="1:120" hidden="1" outlineLevel="1" x14ac:dyDescent="0.2">
      <c r="A124" s="517">
        <f t="shared" si="26"/>
        <v>37347</v>
      </c>
      <c r="B124" s="517" t="str">
        <f t="shared" si="23"/>
        <v>2Q02</v>
      </c>
      <c r="C124" s="517" t="str">
        <f t="shared" si="27"/>
        <v>2Q02</v>
      </c>
      <c r="D124" s="518">
        <f t="shared" si="28"/>
        <v>37421</v>
      </c>
      <c r="E124" s="518">
        <f t="shared" si="28"/>
        <v>37361</v>
      </c>
      <c r="F124" s="520">
        <v>1.32</v>
      </c>
      <c r="G124" s="521">
        <f t="shared" si="24"/>
        <v>0.04</v>
      </c>
      <c r="H124" s="521">
        <f t="shared" si="25"/>
        <v>0.04</v>
      </c>
      <c r="I124" s="521">
        <f t="shared" si="31"/>
        <v>7.0999999999999828</v>
      </c>
      <c r="J124" s="521">
        <f t="shared" si="31"/>
        <v>7.1499999999999826</v>
      </c>
      <c r="K124" s="521">
        <f t="shared" si="30"/>
        <v>1.2000000000000008</v>
      </c>
      <c r="L124" s="505"/>
      <c r="M124" s="528"/>
      <c r="N124" s="505"/>
      <c r="O124" s="505"/>
      <c r="P124" s="505"/>
      <c r="Q124" s="505"/>
      <c r="R124" s="505"/>
      <c r="S124" s="505"/>
      <c r="T124" s="505"/>
      <c r="U124" s="505"/>
      <c r="V124" s="505"/>
      <c r="W124" s="505"/>
      <c r="X124" s="505"/>
      <c r="Y124" s="505"/>
      <c r="Z124" s="505"/>
      <c r="AA124" s="505"/>
      <c r="AB124" s="505"/>
      <c r="AC124" s="505"/>
      <c r="AD124" s="505"/>
      <c r="AE124" s="505"/>
      <c r="AF124" s="505"/>
      <c r="AG124" s="505"/>
      <c r="AH124" s="505"/>
      <c r="AI124" s="505"/>
      <c r="AJ124" s="505"/>
      <c r="AK124" s="505"/>
      <c r="AL124" s="505"/>
      <c r="AM124" s="505"/>
      <c r="AN124" s="505"/>
      <c r="AO124" s="505"/>
      <c r="AP124" s="505"/>
      <c r="AQ124" s="505"/>
      <c r="AR124" s="505"/>
      <c r="AS124" s="505"/>
      <c r="AT124" s="505"/>
      <c r="AU124" s="505"/>
      <c r="AV124" s="505"/>
      <c r="AW124" s="505"/>
      <c r="AX124" s="505"/>
      <c r="AY124" s="505"/>
      <c r="AZ124" s="505"/>
      <c r="BA124" s="505"/>
      <c r="BB124" s="505"/>
      <c r="BC124" s="505"/>
      <c r="BD124" s="505"/>
      <c r="BE124" s="505"/>
      <c r="BF124" s="505"/>
      <c r="BG124" s="505"/>
      <c r="BH124" s="505"/>
      <c r="BI124" s="505"/>
      <c r="BJ124" s="505"/>
      <c r="BK124" s="505"/>
      <c r="BL124" s="505"/>
      <c r="BM124" s="505"/>
      <c r="BN124" s="505"/>
      <c r="BO124" s="505"/>
      <c r="BP124" s="505"/>
      <c r="BQ124" s="505"/>
      <c r="BR124" s="505"/>
      <c r="BS124" s="505"/>
      <c r="BT124" s="505"/>
      <c r="BU124" s="505"/>
      <c r="BV124" s="505"/>
      <c r="BW124" s="505"/>
      <c r="BX124" s="505"/>
      <c r="BY124" s="505"/>
      <c r="BZ124" s="505"/>
      <c r="CA124" s="505"/>
      <c r="CB124" s="505"/>
      <c r="CC124" s="505"/>
      <c r="CD124" s="505"/>
      <c r="CE124" s="505"/>
      <c r="CF124" s="505"/>
      <c r="CG124" s="505"/>
      <c r="CH124" s="505"/>
      <c r="CI124" s="505"/>
      <c r="CJ124" s="505"/>
      <c r="CK124" s="505"/>
      <c r="CL124" s="505"/>
      <c r="CM124" s="505"/>
      <c r="CN124" s="505"/>
      <c r="CO124" s="505"/>
      <c r="CP124" s="505"/>
      <c r="CQ124" s="505"/>
      <c r="CR124" s="505"/>
      <c r="CS124" s="505"/>
      <c r="CT124" s="505"/>
      <c r="CU124" s="505"/>
      <c r="CV124" s="505"/>
      <c r="CW124" s="505"/>
      <c r="CX124" s="505"/>
      <c r="CY124" s="505"/>
      <c r="CZ124" s="505"/>
      <c r="DA124" s="505"/>
      <c r="DB124" s="505"/>
      <c r="DC124" s="505"/>
      <c r="DD124" s="505"/>
      <c r="DE124" s="505"/>
      <c r="DF124" s="505"/>
      <c r="DG124" s="505"/>
      <c r="DH124" s="505"/>
      <c r="DI124" s="505"/>
      <c r="DJ124" s="505"/>
      <c r="DK124" s="505"/>
      <c r="DL124" s="505"/>
      <c r="DM124" s="505"/>
      <c r="DN124" s="505"/>
      <c r="DO124" s="505"/>
      <c r="DP124" s="505"/>
    </row>
    <row r="125" spans="1:120" hidden="1" outlineLevel="1" x14ac:dyDescent="0.2">
      <c r="A125" s="517">
        <f t="shared" si="26"/>
        <v>37347</v>
      </c>
      <c r="B125" s="517" t="str">
        <f t="shared" si="23"/>
        <v>2Q02</v>
      </c>
      <c r="C125" s="517" t="str">
        <f t="shared" si="27"/>
        <v>2Q02</v>
      </c>
      <c r="D125" s="518">
        <f t="shared" si="28"/>
        <v>37428</v>
      </c>
      <c r="E125" s="518">
        <f t="shared" si="28"/>
        <v>37368</v>
      </c>
      <c r="F125" s="520">
        <v>1.304</v>
      </c>
      <c r="G125" s="521">
        <f t="shared" si="24"/>
        <v>0.04</v>
      </c>
      <c r="H125" s="521">
        <f t="shared" si="25"/>
        <v>0.04</v>
      </c>
      <c r="I125" s="521">
        <f t="shared" si="31"/>
        <v>7.1499999999999826</v>
      </c>
      <c r="J125" s="521">
        <f t="shared" si="31"/>
        <v>7.1999999999999824</v>
      </c>
      <c r="K125" s="521">
        <f t="shared" si="30"/>
        <v>1.2100000000000009</v>
      </c>
      <c r="L125" s="505"/>
      <c r="M125" s="528"/>
      <c r="N125" s="505"/>
      <c r="O125" s="505"/>
      <c r="P125" s="505"/>
      <c r="Q125" s="505"/>
      <c r="R125" s="505"/>
      <c r="S125" s="505"/>
      <c r="T125" s="505"/>
      <c r="U125" s="505"/>
      <c r="V125" s="505"/>
      <c r="W125" s="505"/>
      <c r="X125" s="505"/>
      <c r="Y125" s="505"/>
      <c r="Z125" s="505"/>
      <c r="AA125" s="505"/>
      <c r="AB125" s="505"/>
      <c r="AC125" s="505"/>
      <c r="AD125" s="505"/>
      <c r="AE125" s="505"/>
      <c r="AF125" s="505"/>
      <c r="AG125" s="505"/>
      <c r="AH125" s="505"/>
      <c r="AI125" s="505"/>
      <c r="AJ125" s="505"/>
      <c r="AK125" s="505"/>
      <c r="AL125" s="505"/>
      <c r="AM125" s="505"/>
      <c r="AN125" s="505"/>
      <c r="AO125" s="505"/>
      <c r="AP125" s="505"/>
      <c r="AQ125" s="505"/>
      <c r="AR125" s="505"/>
      <c r="AS125" s="505"/>
      <c r="AT125" s="505"/>
      <c r="AU125" s="505"/>
      <c r="AV125" s="505"/>
      <c r="AW125" s="505"/>
      <c r="AX125" s="505"/>
      <c r="AY125" s="505"/>
      <c r="AZ125" s="505"/>
      <c r="BA125" s="505"/>
      <c r="BB125" s="505"/>
      <c r="BC125" s="505"/>
      <c r="BD125" s="505"/>
      <c r="BE125" s="505"/>
      <c r="BF125" s="505"/>
      <c r="BG125" s="505"/>
      <c r="BH125" s="505"/>
      <c r="BI125" s="505"/>
      <c r="BJ125" s="505"/>
      <c r="BK125" s="505"/>
      <c r="BL125" s="505"/>
      <c r="BM125" s="505"/>
      <c r="BN125" s="505"/>
      <c r="BO125" s="505"/>
      <c r="BP125" s="505"/>
      <c r="BQ125" s="505"/>
      <c r="BR125" s="505"/>
      <c r="BS125" s="505"/>
      <c r="BT125" s="505"/>
      <c r="BU125" s="505"/>
      <c r="BV125" s="505"/>
      <c r="BW125" s="505"/>
      <c r="BX125" s="505"/>
      <c r="BY125" s="505"/>
      <c r="BZ125" s="505"/>
      <c r="CA125" s="505"/>
      <c r="CB125" s="505"/>
      <c r="CC125" s="505"/>
      <c r="CD125" s="505"/>
      <c r="CE125" s="505"/>
      <c r="CF125" s="505"/>
      <c r="CG125" s="505"/>
      <c r="CH125" s="505"/>
      <c r="CI125" s="505"/>
      <c r="CJ125" s="505"/>
      <c r="CK125" s="505"/>
      <c r="CL125" s="505"/>
      <c r="CM125" s="505"/>
      <c r="CN125" s="505"/>
      <c r="CO125" s="505"/>
      <c r="CP125" s="505"/>
      <c r="CQ125" s="505"/>
      <c r="CR125" s="505"/>
      <c r="CS125" s="505"/>
      <c r="CT125" s="505"/>
      <c r="CU125" s="505"/>
      <c r="CV125" s="505"/>
      <c r="CW125" s="505"/>
      <c r="CX125" s="505"/>
      <c r="CY125" s="505"/>
      <c r="CZ125" s="505"/>
      <c r="DA125" s="505"/>
      <c r="DB125" s="505"/>
      <c r="DC125" s="505"/>
      <c r="DD125" s="505"/>
      <c r="DE125" s="505"/>
      <c r="DF125" s="505"/>
      <c r="DG125" s="505"/>
      <c r="DH125" s="505"/>
      <c r="DI125" s="505"/>
      <c r="DJ125" s="505"/>
      <c r="DK125" s="505"/>
      <c r="DL125" s="505"/>
      <c r="DM125" s="505"/>
      <c r="DN125" s="505"/>
      <c r="DO125" s="505"/>
      <c r="DP125" s="505"/>
    </row>
    <row r="126" spans="1:120" hidden="1" outlineLevel="1" x14ac:dyDescent="0.2">
      <c r="A126" s="517">
        <f t="shared" si="26"/>
        <v>37347</v>
      </c>
      <c r="B126" s="517" t="str">
        <f t="shared" si="23"/>
        <v>2Q02</v>
      </c>
      <c r="C126" s="517" t="str">
        <f t="shared" si="27"/>
        <v>2Q02</v>
      </c>
      <c r="D126" s="518">
        <f t="shared" si="28"/>
        <v>37435</v>
      </c>
      <c r="E126" s="518">
        <f t="shared" si="28"/>
        <v>37375</v>
      </c>
      <c r="F126" s="520">
        <v>1.3019999999999998</v>
      </c>
      <c r="G126" s="521">
        <f t="shared" si="24"/>
        <v>0.04</v>
      </c>
      <c r="H126" s="521">
        <f t="shared" si="25"/>
        <v>0.04</v>
      </c>
      <c r="I126" s="521">
        <f t="shared" si="31"/>
        <v>7.1999999999999824</v>
      </c>
      <c r="J126" s="521">
        <f t="shared" si="31"/>
        <v>7.2499999999999822</v>
      </c>
      <c r="K126" s="521">
        <f t="shared" si="30"/>
        <v>1.2200000000000009</v>
      </c>
      <c r="L126" s="505"/>
      <c r="M126" s="528"/>
      <c r="N126" s="505"/>
      <c r="O126" s="505"/>
      <c r="P126" s="505"/>
      <c r="Q126" s="505"/>
      <c r="R126" s="505"/>
      <c r="S126" s="505"/>
      <c r="T126" s="505"/>
      <c r="U126" s="505"/>
      <c r="V126" s="505"/>
      <c r="W126" s="505"/>
      <c r="X126" s="505"/>
      <c r="Y126" s="505"/>
      <c r="Z126" s="505"/>
      <c r="AA126" s="505"/>
      <c r="AB126" s="505"/>
      <c r="AC126" s="505"/>
      <c r="AD126" s="505"/>
      <c r="AE126" s="505"/>
      <c r="AF126" s="505"/>
      <c r="AG126" s="505"/>
      <c r="AH126" s="505"/>
      <c r="AI126" s="505"/>
      <c r="AJ126" s="505"/>
      <c r="AK126" s="505"/>
      <c r="AL126" s="505"/>
      <c r="AM126" s="505"/>
      <c r="AN126" s="505"/>
      <c r="AO126" s="505"/>
      <c r="AP126" s="505"/>
      <c r="AQ126" s="505"/>
      <c r="AR126" s="505"/>
      <c r="AS126" s="505"/>
      <c r="AT126" s="505"/>
      <c r="AU126" s="505"/>
      <c r="AV126" s="505"/>
      <c r="AW126" s="505"/>
      <c r="AX126" s="505"/>
      <c r="AY126" s="505"/>
      <c r="AZ126" s="505"/>
      <c r="BA126" s="505"/>
      <c r="BB126" s="505"/>
      <c r="BC126" s="505"/>
      <c r="BD126" s="505"/>
      <c r="BE126" s="505"/>
      <c r="BF126" s="505"/>
      <c r="BG126" s="505"/>
      <c r="BH126" s="505"/>
      <c r="BI126" s="505"/>
      <c r="BJ126" s="505"/>
      <c r="BK126" s="505"/>
      <c r="BL126" s="505"/>
      <c r="BM126" s="505"/>
      <c r="BN126" s="505"/>
      <c r="BO126" s="505"/>
      <c r="BP126" s="505"/>
      <c r="BQ126" s="505"/>
      <c r="BR126" s="505"/>
      <c r="BS126" s="505"/>
      <c r="BT126" s="505"/>
      <c r="BU126" s="505"/>
      <c r="BV126" s="505"/>
      <c r="BW126" s="505"/>
      <c r="BX126" s="505"/>
      <c r="BY126" s="505"/>
      <c r="BZ126" s="505"/>
      <c r="CA126" s="505"/>
      <c r="CB126" s="505"/>
      <c r="CC126" s="505"/>
      <c r="CD126" s="505"/>
      <c r="CE126" s="505"/>
      <c r="CF126" s="505"/>
      <c r="CG126" s="505"/>
      <c r="CH126" s="505"/>
      <c r="CI126" s="505"/>
      <c r="CJ126" s="505"/>
      <c r="CK126" s="505"/>
      <c r="CL126" s="505"/>
      <c r="CM126" s="505"/>
      <c r="CN126" s="505"/>
      <c r="CO126" s="505"/>
      <c r="CP126" s="505"/>
      <c r="CQ126" s="505"/>
      <c r="CR126" s="505"/>
      <c r="CS126" s="505"/>
      <c r="CT126" s="505"/>
      <c r="CU126" s="505"/>
      <c r="CV126" s="505"/>
      <c r="CW126" s="505"/>
      <c r="CX126" s="505"/>
      <c r="CY126" s="505"/>
      <c r="CZ126" s="505"/>
      <c r="DA126" s="505"/>
      <c r="DB126" s="505"/>
      <c r="DC126" s="505"/>
      <c r="DD126" s="505"/>
      <c r="DE126" s="505"/>
      <c r="DF126" s="505"/>
      <c r="DG126" s="505"/>
      <c r="DH126" s="505"/>
      <c r="DI126" s="505"/>
      <c r="DJ126" s="505"/>
      <c r="DK126" s="505"/>
      <c r="DL126" s="505"/>
      <c r="DM126" s="505"/>
      <c r="DN126" s="505"/>
      <c r="DO126" s="505"/>
      <c r="DP126" s="505"/>
    </row>
    <row r="127" spans="1:120" hidden="1" outlineLevel="1" x14ac:dyDescent="0.2">
      <c r="A127" s="517">
        <f t="shared" si="26"/>
        <v>37377</v>
      </c>
      <c r="B127" s="517" t="str">
        <f t="shared" si="23"/>
        <v>2Q02</v>
      </c>
      <c r="C127" s="517" t="str">
        <f t="shared" si="27"/>
        <v>3Q02</v>
      </c>
      <c r="D127" s="518">
        <f t="shared" si="28"/>
        <v>37442</v>
      </c>
      <c r="E127" s="518">
        <f t="shared" si="28"/>
        <v>37382</v>
      </c>
      <c r="F127" s="520">
        <v>1.3049999999999999</v>
      </c>
      <c r="G127" s="521">
        <f t="shared" si="24"/>
        <v>0.04</v>
      </c>
      <c r="H127" s="521">
        <f t="shared" si="25"/>
        <v>0.03</v>
      </c>
      <c r="I127" s="521">
        <f t="shared" si="31"/>
        <v>7.2499999999999822</v>
      </c>
      <c r="J127" s="521">
        <f t="shared" si="31"/>
        <v>7.2999999999999821</v>
      </c>
      <c r="K127" s="521">
        <f t="shared" si="30"/>
        <v>1.2300000000000009</v>
      </c>
      <c r="L127" s="505"/>
      <c r="M127" s="528"/>
      <c r="N127" s="505"/>
      <c r="O127" s="505"/>
      <c r="P127" s="505"/>
      <c r="Q127" s="505"/>
      <c r="R127" s="505"/>
      <c r="S127" s="505"/>
      <c r="T127" s="505"/>
      <c r="U127" s="505"/>
      <c r="V127" s="505"/>
      <c r="W127" s="505"/>
      <c r="X127" s="505"/>
      <c r="Y127" s="505"/>
      <c r="Z127" s="505"/>
      <c r="AA127" s="505"/>
      <c r="AB127" s="505"/>
      <c r="AC127" s="505"/>
      <c r="AD127" s="505"/>
      <c r="AE127" s="505"/>
      <c r="AF127" s="505"/>
      <c r="AG127" s="505"/>
      <c r="AH127" s="505"/>
      <c r="AI127" s="505"/>
      <c r="AJ127" s="505"/>
      <c r="AK127" s="505"/>
      <c r="AL127" s="505"/>
      <c r="AM127" s="505"/>
      <c r="AN127" s="505"/>
      <c r="AO127" s="505"/>
      <c r="AP127" s="505"/>
      <c r="AQ127" s="505"/>
      <c r="AR127" s="505"/>
      <c r="AS127" s="505"/>
      <c r="AT127" s="505"/>
      <c r="AU127" s="505"/>
      <c r="AV127" s="505"/>
      <c r="AW127" s="505"/>
      <c r="AX127" s="505"/>
      <c r="AY127" s="505"/>
      <c r="AZ127" s="505"/>
      <c r="BA127" s="505"/>
      <c r="BB127" s="505"/>
      <c r="BC127" s="505"/>
      <c r="BD127" s="505"/>
      <c r="BE127" s="505"/>
      <c r="BF127" s="505"/>
      <c r="BG127" s="505"/>
      <c r="BH127" s="505"/>
      <c r="BI127" s="505"/>
      <c r="BJ127" s="505"/>
      <c r="BK127" s="505"/>
      <c r="BL127" s="505"/>
      <c r="BM127" s="505"/>
      <c r="BN127" s="505"/>
      <c r="BO127" s="505"/>
      <c r="BP127" s="505"/>
      <c r="BQ127" s="505"/>
      <c r="BR127" s="505"/>
      <c r="BS127" s="505"/>
      <c r="BT127" s="505"/>
      <c r="BU127" s="505"/>
      <c r="BV127" s="505"/>
      <c r="BW127" s="505"/>
      <c r="BX127" s="505"/>
      <c r="BY127" s="505"/>
      <c r="BZ127" s="505"/>
      <c r="CA127" s="505"/>
      <c r="CB127" s="505"/>
      <c r="CC127" s="505"/>
      <c r="CD127" s="505"/>
      <c r="CE127" s="505"/>
      <c r="CF127" s="505"/>
      <c r="CG127" s="505"/>
      <c r="CH127" s="505"/>
      <c r="CI127" s="505"/>
      <c r="CJ127" s="505"/>
      <c r="CK127" s="505"/>
      <c r="CL127" s="505"/>
      <c r="CM127" s="505"/>
      <c r="CN127" s="505"/>
      <c r="CO127" s="505"/>
      <c r="CP127" s="505"/>
      <c r="CQ127" s="505"/>
      <c r="CR127" s="505"/>
      <c r="CS127" s="505"/>
      <c r="CT127" s="505"/>
      <c r="CU127" s="505"/>
      <c r="CV127" s="505"/>
      <c r="CW127" s="505"/>
      <c r="CX127" s="505"/>
      <c r="CY127" s="505"/>
      <c r="CZ127" s="505"/>
      <c r="DA127" s="505"/>
      <c r="DB127" s="505"/>
      <c r="DC127" s="505"/>
      <c r="DD127" s="505"/>
      <c r="DE127" s="505"/>
      <c r="DF127" s="505"/>
      <c r="DG127" s="505"/>
      <c r="DH127" s="505"/>
      <c r="DI127" s="505"/>
      <c r="DJ127" s="505"/>
      <c r="DK127" s="505"/>
      <c r="DL127" s="505"/>
      <c r="DM127" s="505"/>
      <c r="DN127" s="505"/>
      <c r="DO127" s="505"/>
      <c r="DP127" s="505"/>
    </row>
    <row r="128" spans="1:120" hidden="1" outlineLevel="1" x14ac:dyDescent="0.2">
      <c r="A128" s="517">
        <f t="shared" si="26"/>
        <v>37377</v>
      </c>
      <c r="B128" s="517" t="str">
        <f t="shared" si="23"/>
        <v>2Q02</v>
      </c>
      <c r="C128" s="517" t="str">
        <f t="shared" si="27"/>
        <v>3Q02</v>
      </c>
      <c r="D128" s="518">
        <f t="shared" si="28"/>
        <v>37449</v>
      </c>
      <c r="E128" s="518">
        <f t="shared" si="28"/>
        <v>37389</v>
      </c>
      <c r="F128" s="520">
        <v>1.2990000000000002</v>
      </c>
      <c r="G128" s="521">
        <f t="shared" si="24"/>
        <v>0.03</v>
      </c>
      <c r="H128" s="521">
        <f t="shared" si="25"/>
        <v>0.04</v>
      </c>
      <c r="I128" s="521">
        <f t="shared" si="31"/>
        <v>7.2999999999999821</v>
      </c>
      <c r="J128" s="521">
        <f t="shared" si="31"/>
        <v>7.3499999999999819</v>
      </c>
      <c r="K128" s="521">
        <f t="shared" si="30"/>
        <v>1.2400000000000009</v>
      </c>
      <c r="L128" s="505"/>
      <c r="M128" s="528"/>
      <c r="N128" s="505"/>
      <c r="O128" s="505"/>
      <c r="P128" s="505"/>
      <c r="Q128" s="505"/>
      <c r="R128" s="505"/>
      <c r="S128" s="505"/>
      <c r="T128" s="505"/>
      <c r="U128" s="505"/>
      <c r="V128" s="505"/>
      <c r="W128" s="505"/>
      <c r="X128" s="505"/>
      <c r="Y128" s="505"/>
      <c r="Z128" s="505"/>
      <c r="AA128" s="505"/>
      <c r="AB128" s="505"/>
      <c r="AC128" s="505"/>
      <c r="AD128" s="505"/>
      <c r="AE128" s="505"/>
      <c r="AF128" s="505"/>
      <c r="AG128" s="505"/>
      <c r="AH128" s="505"/>
      <c r="AI128" s="505"/>
      <c r="AJ128" s="505"/>
      <c r="AK128" s="505"/>
      <c r="AL128" s="505"/>
      <c r="AM128" s="505"/>
      <c r="AN128" s="505"/>
      <c r="AO128" s="505"/>
      <c r="AP128" s="505"/>
      <c r="AQ128" s="505"/>
      <c r="AR128" s="505"/>
      <c r="AS128" s="505"/>
      <c r="AT128" s="505"/>
      <c r="AU128" s="505"/>
      <c r="AV128" s="505"/>
      <c r="AW128" s="505"/>
      <c r="AX128" s="505"/>
      <c r="AY128" s="505"/>
      <c r="AZ128" s="505"/>
      <c r="BA128" s="505"/>
      <c r="BB128" s="505"/>
      <c r="BC128" s="505"/>
      <c r="BD128" s="505"/>
      <c r="BE128" s="505"/>
      <c r="BF128" s="505"/>
      <c r="BG128" s="505"/>
      <c r="BH128" s="505"/>
      <c r="BI128" s="505"/>
      <c r="BJ128" s="505"/>
      <c r="BK128" s="505"/>
      <c r="BL128" s="505"/>
      <c r="BM128" s="505"/>
      <c r="BN128" s="505"/>
      <c r="BO128" s="505"/>
      <c r="BP128" s="505"/>
      <c r="BQ128" s="505"/>
      <c r="BR128" s="505"/>
      <c r="BS128" s="505"/>
      <c r="BT128" s="505"/>
      <c r="BU128" s="505"/>
      <c r="BV128" s="505"/>
      <c r="BW128" s="505"/>
      <c r="BX128" s="505"/>
      <c r="BY128" s="505"/>
      <c r="BZ128" s="505"/>
      <c r="CA128" s="505"/>
      <c r="CB128" s="505"/>
      <c r="CC128" s="505"/>
      <c r="CD128" s="505"/>
      <c r="CE128" s="505"/>
      <c r="CF128" s="505"/>
      <c r="CG128" s="505"/>
      <c r="CH128" s="505"/>
      <c r="CI128" s="505"/>
      <c r="CJ128" s="505"/>
      <c r="CK128" s="505"/>
      <c r="CL128" s="505"/>
      <c r="CM128" s="505"/>
      <c r="CN128" s="505"/>
      <c r="CO128" s="505"/>
      <c r="CP128" s="505"/>
      <c r="CQ128" s="505"/>
      <c r="CR128" s="505"/>
      <c r="CS128" s="505"/>
      <c r="CT128" s="505"/>
      <c r="CU128" s="505"/>
      <c r="CV128" s="505"/>
      <c r="CW128" s="505"/>
      <c r="CX128" s="505"/>
      <c r="CY128" s="505"/>
      <c r="CZ128" s="505"/>
      <c r="DA128" s="505"/>
      <c r="DB128" s="505"/>
      <c r="DC128" s="505"/>
      <c r="DD128" s="505"/>
      <c r="DE128" s="505"/>
      <c r="DF128" s="505"/>
      <c r="DG128" s="505"/>
      <c r="DH128" s="505"/>
      <c r="DI128" s="505"/>
      <c r="DJ128" s="505"/>
      <c r="DK128" s="505"/>
      <c r="DL128" s="505"/>
      <c r="DM128" s="505"/>
      <c r="DN128" s="505"/>
      <c r="DO128" s="505"/>
      <c r="DP128" s="505"/>
    </row>
    <row r="129" spans="1:120" hidden="1" outlineLevel="1" x14ac:dyDescent="0.2">
      <c r="A129" s="517">
        <f t="shared" si="26"/>
        <v>37377</v>
      </c>
      <c r="B129" s="517" t="str">
        <f t="shared" si="23"/>
        <v>2Q02</v>
      </c>
      <c r="C129" s="517" t="str">
        <f t="shared" si="27"/>
        <v>3Q02</v>
      </c>
      <c r="D129" s="518">
        <f t="shared" si="28"/>
        <v>37456</v>
      </c>
      <c r="E129" s="518">
        <f t="shared" si="28"/>
        <v>37396</v>
      </c>
      <c r="F129" s="520">
        <v>1.3090000000000002</v>
      </c>
      <c r="G129" s="521">
        <f t="shared" si="24"/>
        <v>0.04</v>
      </c>
      <c r="H129" s="521">
        <f t="shared" si="25"/>
        <v>0.04</v>
      </c>
      <c r="I129" s="521">
        <f t="shared" si="31"/>
        <v>7.3499999999999819</v>
      </c>
      <c r="J129" s="521">
        <f t="shared" si="31"/>
        <v>7.3999999999999817</v>
      </c>
      <c r="K129" s="521">
        <f t="shared" si="30"/>
        <v>1.2500000000000009</v>
      </c>
      <c r="L129" s="505"/>
      <c r="M129" s="528"/>
      <c r="N129" s="505"/>
      <c r="O129" s="505"/>
      <c r="P129" s="505"/>
      <c r="Q129" s="505"/>
      <c r="R129" s="505"/>
      <c r="S129" s="505"/>
      <c r="T129" s="505"/>
      <c r="U129" s="505"/>
      <c r="V129" s="505"/>
      <c r="W129" s="505"/>
      <c r="X129" s="505"/>
      <c r="Y129" s="505"/>
      <c r="Z129" s="505"/>
      <c r="AA129" s="505"/>
      <c r="AB129" s="505"/>
      <c r="AC129" s="505"/>
      <c r="AD129" s="505"/>
      <c r="AE129" s="505"/>
      <c r="AF129" s="505"/>
      <c r="AG129" s="505"/>
      <c r="AH129" s="505"/>
      <c r="AI129" s="505"/>
      <c r="AJ129" s="505"/>
      <c r="AK129" s="505"/>
      <c r="AL129" s="505"/>
      <c r="AM129" s="505"/>
      <c r="AN129" s="505"/>
      <c r="AO129" s="505"/>
      <c r="AP129" s="505"/>
      <c r="AQ129" s="505"/>
      <c r="AR129" s="505"/>
      <c r="AS129" s="505"/>
      <c r="AT129" s="505"/>
      <c r="AU129" s="505"/>
      <c r="AV129" s="505"/>
      <c r="AW129" s="505"/>
      <c r="AX129" s="505"/>
      <c r="AY129" s="505"/>
      <c r="AZ129" s="505"/>
      <c r="BA129" s="505"/>
      <c r="BB129" s="505"/>
      <c r="BC129" s="505"/>
      <c r="BD129" s="505"/>
      <c r="BE129" s="505"/>
      <c r="BF129" s="505"/>
      <c r="BG129" s="505"/>
      <c r="BH129" s="505"/>
      <c r="BI129" s="505"/>
      <c r="BJ129" s="505"/>
      <c r="BK129" s="505"/>
      <c r="BL129" s="505"/>
      <c r="BM129" s="505"/>
      <c r="BN129" s="505"/>
      <c r="BO129" s="505"/>
      <c r="BP129" s="505"/>
      <c r="BQ129" s="505"/>
      <c r="BR129" s="505"/>
      <c r="BS129" s="505"/>
      <c r="BT129" s="505"/>
      <c r="BU129" s="505"/>
      <c r="BV129" s="505"/>
      <c r="BW129" s="505"/>
      <c r="BX129" s="505"/>
      <c r="BY129" s="505"/>
      <c r="BZ129" s="505"/>
      <c r="CA129" s="505"/>
      <c r="CB129" s="505"/>
      <c r="CC129" s="505"/>
      <c r="CD129" s="505"/>
      <c r="CE129" s="505"/>
      <c r="CF129" s="505"/>
      <c r="CG129" s="505"/>
      <c r="CH129" s="505"/>
      <c r="CI129" s="505"/>
      <c r="CJ129" s="505"/>
      <c r="CK129" s="505"/>
      <c r="CL129" s="505"/>
      <c r="CM129" s="505"/>
      <c r="CN129" s="505"/>
      <c r="CO129" s="505"/>
      <c r="CP129" s="505"/>
      <c r="CQ129" s="505"/>
      <c r="CR129" s="505"/>
      <c r="CS129" s="505"/>
      <c r="CT129" s="505"/>
      <c r="CU129" s="505"/>
      <c r="CV129" s="505"/>
      <c r="CW129" s="505"/>
      <c r="CX129" s="505"/>
      <c r="CY129" s="505"/>
      <c r="CZ129" s="505"/>
      <c r="DA129" s="505"/>
      <c r="DB129" s="505"/>
      <c r="DC129" s="505"/>
      <c r="DD129" s="505"/>
      <c r="DE129" s="505"/>
      <c r="DF129" s="505"/>
      <c r="DG129" s="505"/>
      <c r="DH129" s="505"/>
      <c r="DI129" s="505"/>
      <c r="DJ129" s="505"/>
      <c r="DK129" s="505"/>
      <c r="DL129" s="505"/>
      <c r="DM129" s="505"/>
      <c r="DN129" s="505"/>
      <c r="DO129" s="505"/>
      <c r="DP129" s="505"/>
    </row>
    <row r="130" spans="1:120" hidden="1" outlineLevel="1" x14ac:dyDescent="0.2">
      <c r="A130" s="517">
        <f t="shared" si="26"/>
        <v>37377</v>
      </c>
      <c r="B130" s="517" t="str">
        <f t="shared" si="23"/>
        <v>2Q02</v>
      </c>
      <c r="C130" s="517" t="str">
        <f t="shared" si="27"/>
        <v>3Q02</v>
      </c>
      <c r="D130" s="518">
        <f t="shared" si="28"/>
        <v>37463</v>
      </c>
      <c r="E130" s="518">
        <f t="shared" si="28"/>
        <v>37403</v>
      </c>
      <c r="F130" s="520">
        <v>1.3080000000000001</v>
      </c>
      <c r="G130" s="521">
        <f t="shared" si="24"/>
        <v>0.04</v>
      </c>
      <c r="H130" s="521">
        <f t="shared" si="25"/>
        <v>0.04</v>
      </c>
      <c r="I130" s="521">
        <f t="shared" si="31"/>
        <v>7.3999999999999817</v>
      </c>
      <c r="J130" s="521">
        <f t="shared" si="31"/>
        <v>7.4499999999999815</v>
      </c>
      <c r="K130" s="521">
        <f t="shared" si="30"/>
        <v>1.2600000000000009</v>
      </c>
      <c r="L130" s="505"/>
      <c r="M130" s="528"/>
      <c r="N130" s="505"/>
      <c r="O130" s="505"/>
      <c r="P130" s="505"/>
      <c r="Q130" s="505"/>
      <c r="R130" s="505"/>
      <c r="S130" s="505"/>
      <c r="T130" s="505"/>
      <c r="U130" s="505"/>
      <c r="V130" s="505"/>
      <c r="W130" s="505"/>
      <c r="X130" s="505"/>
      <c r="Y130" s="505"/>
      <c r="Z130" s="505"/>
      <c r="AA130" s="505"/>
      <c r="AB130" s="505"/>
      <c r="AC130" s="505"/>
      <c r="AD130" s="505"/>
      <c r="AE130" s="505"/>
      <c r="AF130" s="505"/>
      <c r="AG130" s="505"/>
      <c r="AH130" s="505"/>
      <c r="AI130" s="505"/>
      <c r="AJ130" s="505"/>
      <c r="AK130" s="505"/>
      <c r="AL130" s="505"/>
      <c r="AM130" s="505"/>
      <c r="AN130" s="505"/>
      <c r="AO130" s="505"/>
      <c r="AP130" s="505"/>
      <c r="AQ130" s="505"/>
      <c r="AR130" s="505"/>
      <c r="AS130" s="505"/>
      <c r="AT130" s="505"/>
      <c r="AU130" s="505"/>
      <c r="AV130" s="505"/>
      <c r="AW130" s="505"/>
      <c r="AX130" s="505"/>
      <c r="AY130" s="505"/>
      <c r="AZ130" s="505"/>
      <c r="BA130" s="505"/>
      <c r="BB130" s="505"/>
      <c r="BC130" s="505"/>
      <c r="BD130" s="505"/>
      <c r="BE130" s="505"/>
      <c r="BF130" s="505"/>
      <c r="BG130" s="505"/>
      <c r="BH130" s="505"/>
      <c r="BI130" s="505"/>
      <c r="BJ130" s="505"/>
      <c r="BK130" s="505"/>
      <c r="BL130" s="505"/>
      <c r="BM130" s="505"/>
      <c r="BN130" s="505"/>
      <c r="BO130" s="505"/>
      <c r="BP130" s="505"/>
      <c r="BQ130" s="505"/>
      <c r="BR130" s="505"/>
      <c r="BS130" s="505"/>
      <c r="BT130" s="505"/>
      <c r="BU130" s="505"/>
      <c r="BV130" s="505"/>
      <c r="BW130" s="505"/>
      <c r="BX130" s="505"/>
      <c r="BY130" s="505"/>
      <c r="BZ130" s="505"/>
      <c r="CA130" s="505"/>
      <c r="CB130" s="505"/>
      <c r="CC130" s="505"/>
      <c r="CD130" s="505"/>
      <c r="CE130" s="505"/>
      <c r="CF130" s="505"/>
      <c r="CG130" s="505"/>
      <c r="CH130" s="505"/>
      <c r="CI130" s="505"/>
      <c r="CJ130" s="505"/>
      <c r="CK130" s="505"/>
      <c r="CL130" s="505"/>
      <c r="CM130" s="505"/>
      <c r="CN130" s="505"/>
      <c r="CO130" s="505"/>
      <c r="CP130" s="505"/>
      <c r="CQ130" s="505"/>
      <c r="CR130" s="505"/>
      <c r="CS130" s="505"/>
      <c r="CT130" s="505"/>
      <c r="CU130" s="505"/>
      <c r="CV130" s="505"/>
      <c r="CW130" s="505"/>
      <c r="CX130" s="505"/>
      <c r="CY130" s="505"/>
      <c r="CZ130" s="505"/>
      <c r="DA130" s="505"/>
      <c r="DB130" s="505"/>
      <c r="DC130" s="505"/>
      <c r="DD130" s="505"/>
      <c r="DE130" s="505"/>
      <c r="DF130" s="505"/>
      <c r="DG130" s="505"/>
      <c r="DH130" s="505"/>
      <c r="DI130" s="505"/>
      <c r="DJ130" s="505"/>
      <c r="DK130" s="505"/>
      <c r="DL130" s="505"/>
      <c r="DM130" s="505"/>
      <c r="DN130" s="505"/>
      <c r="DO130" s="505"/>
      <c r="DP130" s="505"/>
    </row>
    <row r="131" spans="1:120" hidden="1" outlineLevel="1" x14ac:dyDescent="0.2">
      <c r="A131" s="517">
        <f t="shared" si="26"/>
        <v>37408</v>
      </c>
      <c r="B131" s="517" t="str">
        <f t="shared" si="23"/>
        <v>2Q02</v>
      </c>
      <c r="C131" s="517" t="str">
        <f t="shared" si="27"/>
        <v>3Q02</v>
      </c>
      <c r="D131" s="518">
        <f t="shared" si="28"/>
        <v>37470</v>
      </c>
      <c r="E131" s="518">
        <f t="shared" si="28"/>
        <v>37410</v>
      </c>
      <c r="F131" s="520">
        <v>1.3</v>
      </c>
      <c r="G131" s="521">
        <f t="shared" si="24"/>
        <v>0.04</v>
      </c>
      <c r="H131" s="521">
        <f t="shared" si="25"/>
        <v>0.03</v>
      </c>
      <c r="I131" s="521">
        <f t="shared" si="31"/>
        <v>7.4499999999999815</v>
      </c>
      <c r="J131" s="521">
        <f t="shared" si="31"/>
        <v>7.4999999999999813</v>
      </c>
      <c r="K131" s="521">
        <f t="shared" si="30"/>
        <v>1.2700000000000009</v>
      </c>
      <c r="L131" s="505"/>
      <c r="M131" s="528"/>
      <c r="N131" s="505"/>
      <c r="O131" s="505"/>
      <c r="P131" s="505"/>
      <c r="Q131" s="505"/>
      <c r="R131" s="505"/>
      <c r="S131" s="505"/>
      <c r="T131" s="505"/>
      <c r="U131" s="505"/>
      <c r="V131" s="505"/>
      <c r="W131" s="505"/>
      <c r="X131" s="505"/>
      <c r="Y131" s="505"/>
      <c r="Z131" s="505"/>
      <c r="AA131" s="505"/>
      <c r="AB131" s="505"/>
      <c r="AC131" s="505"/>
      <c r="AD131" s="505"/>
      <c r="AE131" s="505"/>
      <c r="AF131" s="505"/>
      <c r="AG131" s="505"/>
      <c r="AH131" s="505"/>
      <c r="AI131" s="505"/>
      <c r="AJ131" s="505"/>
      <c r="AK131" s="505"/>
      <c r="AL131" s="505"/>
      <c r="AM131" s="505"/>
      <c r="AN131" s="505"/>
      <c r="AO131" s="505"/>
      <c r="AP131" s="505"/>
      <c r="AQ131" s="505"/>
      <c r="AR131" s="505"/>
      <c r="AS131" s="505"/>
      <c r="AT131" s="505"/>
      <c r="AU131" s="505"/>
      <c r="AV131" s="505"/>
      <c r="AW131" s="505"/>
      <c r="AX131" s="505"/>
      <c r="AY131" s="505"/>
      <c r="AZ131" s="505"/>
      <c r="BA131" s="505"/>
      <c r="BB131" s="505"/>
      <c r="BC131" s="505"/>
      <c r="BD131" s="505"/>
      <c r="BE131" s="505"/>
      <c r="BF131" s="505"/>
      <c r="BG131" s="505"/>
      <c r="BH131" s="505"/>
      <c r="BI131" s="505"/>
      <c r="BJ131" s="505"/>
      <c r="BK131" s="505"/>
      <c r="BL131" s="505"/>
      <c r="BM131" s="505"/>
      <c r="BN131" s="505"/>
      <c r="BO131" s="505"/>
      <c r="BP131" s="505"/>
      <c r="BQ131" s="505"/>
      <c r="BR131" s="505"/>
      <c r="BS131" s="505"/>
      <c r="BT131" s="505"/>
      <c r="BU131" s="505"/>
      <c r="BV131" s="505"/>
      <c r="BW131" s="505"/>
      <c r="BX131" s="505"/>
      <c r="BY131" s="505"/>
      <c r="BZ131" s="505"/>
      <c r="CA131" s="505"/>
      <c r="CB131" s="505"/>
      <c r="CC131" s="505"/>
      <c r="CD131" s="505"/>
      <c r="CE131" s="505"/>
      <c r="CF131" s="505"/>
      <c r="CG131" s="505"/>
      <c r="CH131" s="505"/>
      <c r="CI131" s="505"/>
      <c r="CJ131" s="505"/>
      <c r="CK131" s="505"/>
      <c r="CL131" s="505"/>
      <c r="CM131" s="505"/>
      <c r="CN131" s="505"/>
      <c r="CO131" s="505"/>
      <c r="CP131" s="505"/>
      <c r="CQ131" s="505"/>
      <c r="CR131" s="505"/>
      <c r="CS131" s="505"/>
      <c r="CT131" s="505"/>
      <c r="CU131" s="505"/>
      <c r="CV131" s="505"/>
      <c r="CW131" s="505"/>
      <c r="CX131" s="505"/>
      <c r="CY131" s="505"/>
      <c r="CZ131" s="505"/>
      <c r="DA131" s="505"/>
      <c r="DB131" s="505"/>
      <c r="DC131" s="505"/>
      <c r="DD131" s="505"/>
      <c r="DE131" s="505"/>
      <c r="DF131" s="505"/>
      <c r="DG131" s="505"/>
      <c r="DH131" s="505"/>
      <c r="DI131" s="505"/>
      <c r="DJ131" s="505"/>
      <c r="DK131" s="505"/>
      <c r="DL131" s="505"/>
      <c r="DM131" s="505"/>
      <c r="DN131" s="505"/>
      <c r="DO131" s="505"/>
      <c r="DP131" s="505"/>
    </row>
    <row r="132" spans="1:120" hidden="1" outlineLevel="1" x14ac:dyDescent="0.2">
      <c r="A132" s="517">
        <f t="shared" si="26"/>
        <v>37408</v>
      </c>
      <c r="B132" s="517" t="str">
        <f t="shared" ref="B132:B195" si="32">VLOOKUP(MONTH(A132),$N$4:$O$16,2,FALSE) &amp; "Q" &amp; RIGHT(YEAR(A132),2)</f>
        <v>2Q02</v>
      </c>
      <c r="C132" s="517" t="str">
        <f t="shared" si="27"/>
        <v>3Q02</v>
      </c>
      <c r="D132" s="518">
        <f t="shared" si="28"/>
        <v>37477</v>
      </c>
      <c r="E132" s="518">
        <f t="shared" si="28"/>
        <v>37417</v>
      </c>
      <c r="F132" s="520">
        <v>1.286</v>
      </c>
      <c r="G132" s="521">
        <f t="shared" ref="G132:G195" si="33">INDEX($I$4:$K$153,MATCH(F132,$I$4:$I$153,1),3)</f>
        <v>0.03</v>
      </c>
      <c r="H132" s="521">
        <f t="shared" ref="H132:H195" si="34">G133</f>
        <v>0.03</v>
      </c>
      <c r="I132" s="521">
        <f t="shared" si="31"/>
        <v>7.4999999999999813</v>
      </c>
      <c r="J132" s="521">
        <f t="shared" si="31"/>
        <v>7.5499999999999812</v>
      </c>
      <c r="K132" s="521">
        <f t="shared" si="30"/>
        <v>1.2800000000000009</v>
      </c>
      <c r="L132" s="505"/>
      <c r="M132" s="528"/>
      <c r="N132" s="505"/>
      <c r="O132" s="505"/>
      <c r="P132" s="505"/>
      <c r="Q132" s="505"/>
      <c r="R132" s="505"/>
      <c r="S132" s="505"/>
      <c r="T132" s="505"/>
      <c r="U132" s="505"/>
      <c r="V132" s="505"/>
      <c r="W132" s="505"/>
      <c r="X132" s="505"/>
      <c r="Y132" s="505"/>
      <c r="Z132" s="505"/>
      <c r="AA132" s="505"/>
      <c r="AB132" s="505"/>
      <c r="AC132" s="505"/>
      <c r="AD132" s="505"/>
      <c r="AE132" s="505"/>
      <c r="AF132" s="505"/>
      <c r="AG132" s="505"/>
      <c r="AH132" s="505"/>
      <c r="AI132" s="505"/>
      <c r="AJ132" s="505"/>
      <c r="AK132" s="505"/>
      <c r="AL132" s="505"/>
      <c r="AM132" s="505"/>
      <c r="AN132" s="505"/>
      <c r="AO132" s="505"/>
      <c r="AP132" s="505"/>
      <c r="AQ132" s="505"/>
      <c r="AR132" s="505"/>
      <c r="AS132" s="505"/>
      <c r="AT132" s="505"/>
      <c r="AU132" s="505"/>
      <c r="AV132" s="505"/>
      <c r="AW132" s="505"/>
      <c r="AX132" s="505"/>
      <c r="AY132" s="505"/>
      <c r="AZ132" s="505"/>
      <c r="BA132" s="505"/>
      <c r="BB132" s="505"/>
      <c r="BC132" s="505"/>
      <c r="BD132" s="505"/>
      <c r="BE132" s="505"/>
      <c r="BF132" s="505"/>
      <c r="BG132" s="505"/>
      <c r="BH132" s="505"/>
      <c r="BI132" s="505"/>
      <c r="BJ132" s="505"/>
      <c r="BK132" s="505"/>
      <c r="BL132" s="505"/>
      <c r="BM132" s="505"/>
      <c r="BN132" s="505"/>
      <c r="BO132" s="505"/>
      <c r="BP132" s="505"/>
      <c r="BQ132" s="505"/>
      <c r="BR132" s="505"/>
      <c r="BS132" s="505"/>
      <c r="BT132" s="505"/>
      <c r="BU132" s="505"/>
      <c r="BV132" s="505"/>
      <c r="BW132" s="505"/>
      <c r="BX132" s="505"/>
      <c r="BY132" s="505"/>
      <c r="BZ132" s="505"/>
      <c r="CA132" s="505"/>
      <c r="CB132" s="505"/>
      <c r="CC132" s="505"/>
      <c r="CD132" s="505"/>
      <c r="CE132" s="505"/>
      <c r="CF132" s="505"/>
      <c r="CG132" s="505"/>
      <c r="CH132" s="505"/>
      <c r="CI132" s="505"/>
      <c r="CJ132" s="505"/>
      <c r="CK132" s="505"/>
      <c r="CL132" s="505"/>
      <c r="CM132" s="505"/>
      <c r="CN132" s="505"/>
      <c r="CO132" s="505"/>
      <c r="CP132" s="505"/>
      <c r="CQ132" s="505"/>
      <c r="CR132" s="505"/>
      <c r="CS132" s="505"/>
      <c r="CT132" s="505"/>
      <c r="CU132" s="505"/>
      <c r="CV132" s="505"/>
      <c r="CW132" s="505"/>
      <c r="CX132" s="505"/>
      <c r="CY132" s="505"/>
      <c r="CZ132" s="505"/>
      <c r="DA132" s="505"/>
      <c r="DB132" s="505"/>
      <c r="DC132" s="505"/>
      <c r="DD132" s="505"/>
      <c r="DE132" s="505"/>
      <c r="DF132" s="505"/>
      <c r="DG132" s="505"/>
      <c r="DH132" s="505"/>
      <c r="DI132" s="505"/>
      <c r="DJ132" s="505"/>
      <c r="DK132" s="505"/>
      <c r="DL132" s="505"/>
      <c r="DM132" s="505"/>
      <c r="DN132" s="505"/>
      <c r="DO132" s="505"/>
      <c r="DP132" s="505"/>
    </row>
    <row r="133" spans="1:120" hidden="1" outlineLevel="1" x14ac:dyDescent="0.2">
      <c r="A133" s="517">
        <f t="shared" ref="A133:A196" si="35">DATE(YEAR(E133),MONTH(E133),1)</f>
        <v>37408</v>
      </c>
      <c r="B133" s="517" t="str">
        <f t="shared" si="32"/>
        <v>2Q02</v>
      </c>
      <c r="C133" s="517" t="str">
        <f t="shared" ref="C133:C196" si="36">VLOOKUP(MONTH(D133),$N$4:$O$16,2,FALSE) &amp; "Q" &amp; RIGHT(YEAR(D133),2)</f>
        <v>3Q02</v>
      </c>
      <c r="D133" s="518">
        <f t="shared" ref="D133:E196" si="37">D132+7</f>
        <v>37484</v>
      </c>
      <c r="E133" s="518">
        <f t="shared" si="37"/>
        <v>37424</v>
      </c>
      <c r="F133" s="520">
        <v>1.2749999999999999</v>
      </c>
      <c r="G133" s="521">
        <f t="shared" si="33"/>
        <v>0.03</v>
      </c>
      <c r="H133" s="521">
        <f t="shared" si="34"/>
        <v>0.03</v>
      </c>
      <c r="I133" s="521">
        <f t="shared" si="31"/>
        <v>7.5499999999999812</v>
      </c>
      <c r="J133" s="521">
        <f t="shared" si="31"/>
        <v>7.599999999999981</v>
      </c>
      <c r="K133" s="521">
        <f t="shared" si="30"/>
        <v>1.2900000000000009</v>
      </c>
      <c r="L133" s="505"/>
      <c r="M133" s="528"/>
      <c r="N133" s="505"/>
      <c r="O133" s="505"/>
      <c r="P133" s="505"/>
      <c r="Q133" s="505"/>
      <c r="R133" s="505"/>
      <c r="S133" s="505"/>
      <c r="T133" s="505"/>
      <c r="U133" s="505"/>
      <c r="V133" s="505"/>
      <c r="W133" s="505"/>
      <c r="X133" s="505"/>
      <c r="Y133" s="505"/>
      <c r="Z133" s="505"/>
      <c r="AA133" s="505"/>
      <c r="AB133" s="505"/>
      <c r="AC133" s="505"/>
      <c r="AD133" s="505"/>
      <c r="AE133" s="505"/>
      <c r="AF133" s="505"/>
      <c r="AG133" s="505"/>
      <c r="AH133" s="505"/>
      <c r="AI133" s="505"/>
      <c r="AJ133" s="505"/>
      <c r="AK133" s="505"/>
      <c r="AL133" s="505"/>
      <c r="AM133" s="505"/>
      <c r="AN133" s="505"/>
      <c r="AO133" s="505"/>
      <c r="AP133" s="505"/>
      <c r="AQ133" s="505"/>
      <c r="AR133" s="505"/>
      <c r="AS133" s="505"/>
      <c r="AT133" s="505"/>
      <c r="AU133" s="505"/>
      <c r="AV133" s="505"/>
      <c r="AW133" s="505"/>
      <c r="AX133" s="505"/>
      <c r="AY133" s="505"/>
      <c r="AZ133" s="505"/>
      <c r="BA133" s="505"/>
      <c r="BB133" s="505"/>
      <c r="BC133" s="505"/>
      <c r="BD133" s="505"/>
      <c r="BE133" s="505"/>
      <c r="BF133" s="505"/>
      <c r="BG133" s="505"/>
      <c r="BH133" s="505"/>
      <c r="BI133" s="505"/>
      <c r="BJ133" s="505"/>
      <c r="BK133" s="505"/>
      <c r="BL133" s="505"/>
      <c r="BM133" s="505"/>
      <c r="BN133" s="505"/>
      <c r="BO133" s="505"/>
      <c r="BP133" s="505"/>
      <c r="BQ133" s="505"/>
      <c r="BR133" s="505"/>
      <c r="BS133" s="505"/>
      <c r="BT133" s="505"/>
      <c r="BU133" s="505"/>
      <c r="BV133" s="505"/>
      <c r="BW133" s="505"/>
      <c r="BX133" s="505"/>
      <c r="BY133" s="505"/>
      <c r="BZ133" s="505"/>
      <c r="CA133" s="505"/>
      <c r="CB133" s="505"/>
      <c r="CC133" s="505"/>
      <c r="CD133" s="505"/>
      <c r="CE133" s="505"/>
      <c r="CF133" s="505"/>
      <c r="CG133" s="505"/>
      <c r="CH133" s="505"/>
      <c r="CI133" s="505"/>
      <c r="CJ133" s="505"/>
      <c r="CK133" s="505"/>
      <c r="CL133" s="505"/>
      <c r="CM133" s="505"/>
      <c r="CN133" s="505"/>
      <c r="CO133" s="505"/>
      <c r="CP133" s="505"/>
      <c r="CQ133" s="505"/>
      <c r="CR133" s="505"/>
      <c r="CS133" s="505"/>
      <c r="CT133" s="505"/>
      <c r="CU133" s="505"/>
      <c r="CV133" s="505"/>
      <c r="CW133" s="505"/>
      <c r="CX133" s="505"/>
      <c r="CY133" s="505"/>
      <c r="CZ133" s="505"/>
      <c r="DA133" s="505"/>
      <c r="DB133" s="505"/>
      <c r="DC133" s="505"/>
      <c r="DD133" s="505"/>
      <c r="DE133" s="505"/>
      <c r="DF133" s="505"/>
      <c r="DG133" s="505"/>
      <c r="DH133" s="505"/>
      <c r="DI133" s="505"/>
      <c r="DJ133" s="505"/>
      <c r="DK133" s="505"/>
      <c r="DL133" s="505"/>
      <c r="DM133" s="505"/>
      <c r="DN133" s="505"/>
      <c r="DO133" s="505"/>
      <c r="DP133" s="505"/>
    </row>
    <row r="134" spans="1:120" hidden="1" outlineLevel="1" x14ac:dyDescent="0.2">
      <c r="A134" s="517">
        <f t="shared" si="35"/>
        <v>37408</v>
      </c>
      <c r="B134" s="517" t="str">
        <f t="shared" si="32"/>
        <v>2Q02</v>
      </c>
      <c r="C134" s="517" t="str">
        <f t="shared" si="36"/>
        <v>3Q02</v>
      </c>
      <c r="D134" s="518">
        <f t="shared" si="37"/>
        <v>37491</v>
      </c>
      <c r="E134" s="518">
        <f t="shared" si="37"/>
        <v>37431</v>
      </c>
      <c r="F134" s="520">
        <v>1.2809999999999999</v>
      </c>
      <c r="G134" s="521">
        <f t="shared" si="33"/>
        <v>0.03</v>
      </c>
      <c r="H134" s="521">
        <f t="shared" si="34"/>
        <v>0.03</v>
      </c>
      <c r="I134" s="521">
        <f t="shared" ref="I134:J153" si="38">I133+0.05</f>
        <v>7.599999999999981</v>
      </c>
      <c r="J134" s="521">
        <f t="shared" si="38"/>
        <v>7.6499999999999808</v>
      </c>
      <c r="K134" s="521">
        <f t="shared" ref="K134:K153" si="39">K133+0.01</f>
        <v>1.3000000000000009</v>
      </c>
      <c r="L134" s="505"/>
      <c r="M134" s="528"/>
      <c r="N134" s="505"/>
      <c r="O134" s="505"/>
      <c r="P134" s="505"/>
      <c r="Q134" s="505"/>
      <c r="R134" s="505"/>
      <c r="S134" s="505"/>
      <c r="T134" s="505"/>
      <c r="U134" s="505"/>
      <c r="V134" s="505"/>
      <c r="W134" s="505"/>
      <c r="X134" s="505"/>
      <c r="Y134" s="505"/>
      <c r="Z134" s="505"/>
      <c r="AA134" s="505"/>
      <c r="AB134" s="505"/>
      <c r="AC134" s="505"/>
      <c r="AD134" s="505"/>
      <c r="AE134" s="505"/>
      <c r="AF134" s="505"/>
      <c r="AG134" s="505"/>
      <c r="AH134" s="505"/>
      <c r="AI134" s="505"/>
      <c r="AJ134" s="505"/>
      <c r="AK134" s="505"/>
      <c r="AL134" s="505"/>
      <c r="AM134" s="505"/>
      <c r="AN134" s="505"/>
      <c r="AO134" s="505"/>
      <c r="AP134" s="505"/>
      <c r="AQ134" s="505"/>
      <c r="AR134" s="505"/>
      <c r="AS134" s="505"/>
      <c r="AT134" s="505"/>
      <c r="AU134" s="505"/>
      <c r="AV134" s="505"/>
      <c r="AW134" s="505"/>
      <c r="AX134" s="505"/>
      <c r="AY134" s="505"/>
      <c r="AZ134" s="505"/>
      <c r="BA134" s="505"/>
      <c r="BB134" s="505"/>
      <c r="BC134" s="505"/>
      <c r="BD134" s="505"/>
      <c r="BE134" s="505"/>
      <c r="BF134" s="505"/>
      <c r="BG134" s="505"/>
      <c r="BH134" s="505"/>
      <c r="BI134" s="505"/>
      <c r="BJ134" s="505"/>
      <c r="BK134" s="505"/>
      <c r="BL134" s="505"/>
      <c r="BM134" s="505"/>
      <c r="BN134" s="505"/>
      <c r="BO134" s="505"/>
      <c r="BP134" s="505"/>
      <c r="BQ134" s="505"/>
      <c r="BR134" s="505"/>
      <c r="BS134" s="505"/>
      <c r="BT134" s="505"/>
      <c r="BU134" s="505"/>
      <c r="BV134" s="505"/>
      <c r="BW134" s="505"/>
      <c r="BX134" s="505"/>
      <c r="BY134" s="505"/>
      <c r="BZ134" s="505"/>
      <c r="CA134" s="505"/>
      <c r="CB134" s="505"/>
      <c r="CC134" s="505"/>
      <c r="CD134" s="505"/>
      <c r="CE134" s="505"/>
      <c r="CF134" s="505"/>
      <c r="CG134" s="505"/>
      <c r="CH134" s="505"/>
      <c r="CI134" s="505"/>
      <c r="CJ134" s="505"/>
      <c r="CK134" s="505"/>
      <c r="CL134" s="505"/>
      <c r="CM134" s="505"/>
      <c r="CN134" s="505"/>
      <c r="CO134" s="505"/>
      <c r="CP134" s="505"/>
      <c r="CQ134" s="505"/>
      <c r="CR134" s="505"/>
      <c r="CS134" s="505"/>
      <c r="CT134" s="505"/>
      <c r="CU134" s="505"/>
      <c r="CV134" s="505"/>
      <c r="CW134" s="505"/>
      <c r="CX134" s="505"/>
      <c r="CY134" s="505"/>
      <c r="CZ134" s="505"/>
      <c r="DA134" s="505"/>
      <c r="DB134" s="505"/>
      <c r="DC134" s="505"/>
      <c r="DD134" s="505"/>
      <c r="DE134" s="505"/>
      <c r="DF134" s="505"/>
      <c r="DG134" s="505"/>
      <c r="DH134" s="505"/>
      <c r="DI134" s="505"/>
      <c r="DJ134" s="505"/>
      <c r="DK134" s="505"/>
      <c r="DL134" s="505"/>
      <c r="DM134" s="505"/>
      <c r="DN134" s="505"/>
      <c r="DO134" s="505"/>
      <c r="DP134" s="505"/>
    </row>
    <row r="135" spans="1:120" hidden="1" outlineLevel="1" x14ac:dyDescent="0.2">
      <c r="A135" s="517">
        <f t="shared" si="35"/>
        <v>37438</v>
      </c>
      <c r="B135" s="517" t="str">
        <f t="shared" si="32"/>
        <v>3Q02</v>
      </c>
      <c r="C135" s="517" t="str">
        <f t="shared" si="36"/>
        <v>3Q02</v>
      </c>
      <c r="D135" s="518">
        <f t="shared" si="37"/>
        <v>37498</v>
      </c>
      <c r="E135" s="518">
        <f t="shared" si="37"/>
        <v>37438</v>
      </c>
      <c r="F135" s="520">
        <v>1.2890000000000001</v>
      </c>
      <c r="G135" s="521">
        <f t="shared" si="33"/>
        <v>0.03</v>
      </c>
      <c r="H135" s="521">
        <f t="shared" si="34"/>
        <v>0.03</v>
      </c>
      <c r="I135" s="521">
        <f t="shared" si="38"/>
        <v>7.6499999999999808</v>
      </c>
      <c r="J135" s="521">
        <f t="shared" si="38"/>
        <v>7.6999999999999806</v>
      </c>
      <c r="K135" s="521">
        <f t="shared" si="39"/>
        <v>1.3100000000000009</v>
      </c>
      <c r="L135" s="505"/>
      <c r="M135" s="528"/>
      <c r="N135" s="505"/>
      <c r="O135" s="505"/>
      <c r="P135" s="505"/>
      <c r="Q135" s="505"/>
      <c r="R135" s="505"/>
      <c r="S135" s="505"/>
      <c r="T135" s="505"/>
      <c r="U135" s="505"/>
      <c r="V135" s="505"/>
      <c r="W135" s="505"/>
      <c r="X135" s="505"/>
      <c r="Y135" s="505"/>
      <c r="Z135" s="505"/>
      <c r="AA135" s="505"/>
      <c r="AB135" s="505"/>
      <c r="AC135" s="505"/>
      <c r="AD135" s="505"/>
      <c r="AE135" s="505"/>
      <c r="AF135" s="505"/>
      <c r="AG135" s="505"/>
      <c r="AH135" s="505"/>
      <c r="AI135" s="505"/>
      <c r="AJ135" s="505"/>
      <c r="AK135" s="505"/>
      <c r="AL135" s="505"/>
      <c r="AM135" s="505"/>
      <c r="AN135" s="505"/>
      <c r="AO135" s="505"/>
      <c r="AP135" s="505"/>
      <c r="AQ135" s="505"/>
      <c r="AR135" s="505"/>
      <c r="AS135" s="505"/>
      <c r="AT135" s="505"/>
      <c r="AU135" s="505"/>
      <c r="AV135" s="505"/>
      <c r="AW135" s="505"/>
      <c r="AX135" s="505"/>
      <c r="AY135" s="505"/>
      <c r="AZ135" s="505"/>
      <c r="BA135" s="505"/>
      <c r="BB135" s="505"/>
      <c r="BC135" s="505"/>
      <c r="BD135" s="505"/>
      <c r="BE135" s="505"/>
      <c r="BF135" s="505"/>
      <c r="BG135" s="505"/>
      <c r="BH135" s="505"/>
      <c r="BI135" s="505"/>
      <c r="BJ135" s="505"/>
      <c r="BK135" s="505"/>
      <c r="BL135" s="505"/>
      <c r="BM135" s="505"/>
      <c r="BN135" s="505"/>
      <c r="BO135" s="505"/>
      <c r="BP135" s="505"/>
      <c r="BQ135" s="505"/>
      <c r="BR135" s="505"/>
      <c r="BS135" s="505"/>
      <c r="BT135" s="505"/>
      <c r="BU135" s="505"/>
      <c r="BV135" s="505"/>
      <c r="BW135" s="505"/>
      <c r="BX135" s="505"/>
      <c r="BY135" s="505"/>
      <c r="BZ135" s="505"/>
      <c r="CA135" s="505"/>
      <c r="CB135" s="505"/>
      <c r="CC135" s="505"/>
      <c r="CD135" s="505"/>
      <c r="CE135" s="505"/>
      <c r="CF135" s="505"/>
      <c r="CG135" s="505"/>
      <c r="CH135" s="505"/>
      <c r="CI135" s="505"/>
      <c r="CJ135" s="505"/>
      <c r="CK135" s="505"/>
      <c r="CL135" s="505"/>
      <c r="CM135" s="505"/>
      <c r="CN135" s="505"/>
      <c r="CO135" s="505"/>
      <c r="CP135" s="505"/>
      <c r="CQ135" s="505"/>
      <c r="CR135" s="505"/>
      <c r="CS135" s="505"/>
      <c r="CT135" s="505"/>
      <c r="CU135" s="505"/>
      <c r="CV135" s="505"/>
      <c r="CW135" s="505"/>
      <c r="CX135" s="505"/>
      <c r="CY135" s="505"/>
      <c r="CZ135" s="505"/>
      <c r="DA135" s="505"/>
      <c r="DB135" s="505"/>
      <c r="DC135" s="505"/>
      <c r="DD135" s="505"/>
      <c r="DE135" s="505"/>
      <c r="DF135" s="505"/>
      <c r="DG135" s="505"/>
      <c r="DH135" s="505"/>
      <c r="DI135" s="505"/>
      <c r="DJ135" s="505"/>
      <c r="DK135" s="505"/>
      <c r="DL135" s="505"/>
      <c r="DM135" s="505"/>
      <c r="DN135" s="505"/>
      <c r="DO135" s="505"/>
      <c r="DP135" s="505"/>
    </row>
    <row r="136" spans="1:120" hidden="1" outlineLevel="1" x14ac:dyDescent="0.2">
      <c r="A136" s="517">
        <f t="shared" si="35"/>
        <v>37438</v>
      </c>
      <c r="B136" s="517" t="str">
        <f t="shared" si="32"/>
        <v>3Q02</v>
      </c>
      <c r="C136" s="517" t="str">
        <f t="shared" si="36"/>
        <v>3Q02</v>
      </c>
      <c r="D136" s="518">
        <f t="shared" si="37"/>
        <v>37505</v>
      </c>
      <c r="E136" s="518">
        <f t="shared" si="37"/>
        <v>37445</v>
      </c>
      <c r="F136" s="520">
        <v>1.294</v>
      </c>
      <c r="G136" s="521">
        <f t="shared" si="33"/>
        <v>0.03</v>
      </c>
      <c r="H136" s="521">
        <f t="shared" si="34"/>
        <v>0.04</v>
      </c>
      <c r="I136" s="521">
        <f t="shared" si="38"/>
        <v>7.6999999999999806</v>
      </c>
      <c r="J136" s="521">
        <f t="shared" si="38"/>
        <v>7.7499999999999805</v>
      </c>
      <c r="K136" s="521">
        <f t="shared" si="39"/>
        <v>1.320000000000001</v>
      </c>
      <c r="L136" s="505"/>
      <c r="M136" s="528"/>
      <c r="N136" s="505"/>
      <c r="O136" s="505"/>
      <c r="P136" s="505"/>
      <c r="Q136" s="505"/>
      <c r="R136" s="505"/>
      <c r="S136" s="505"/>
      <c r="T136" s="505"/>
      <c r="U136" s="505"/>
      <c r="V136" s="505"/>
      <c r="W136" s="505"/>
      <c r="X136" s="505"/>
      <c r="Y136" s="505"/>
      <c r="Z136" s="505"/>
      <c r="AA136" s="505"/>
      <c r="AB136" s="505"/>
      <c r="AC136" s="505"/>
      <c r="AD136" s="505"/>
      <c r="AE136" s="505"/>
      <c r="AF136" s="505"/>
      <c r="AG136" s="505"/>
      <c r="AH136" s="505"/>
      <c r="AI136" s="505"/>
      <c r="AJ136" s="505"/>
      <c r="AK136" s="505"/>
      <c r="AL136" s="505"/>
      <c r="AM136" s="505"/>
      <c r="AN136" s="505"/>
      <c r="AO136" s="505"/>
      <c r="AP136" s="505"/>
      <c r="AQ136" s="505"/>
      <c r="AR136" s="505"/>
      <c r="AS136" s="505"/>
      <c r="AT136" s="505"/>
      <c r="AU136" s="505"/>
      <c r="AV136" s="505"/>
      <c r="AW136" s="505"/>
      <c r="AX136" s="505"/>
      <c r="AY136" s="505"/>
      <c r="AZ136" s="505"/>
      <c r="BA136" s="505"/>
      <c r="BB136" s="505"/>
      <c r="BC136" s="505"/>
      <c r="BD136" s="505"/>
      <c r="BE136" s="505"/>
      <c r="BF136" s="505"/>
      <c r="BG136" s="505"/>
      <c r="BH136" s="505"/>
      <c r="BI136" s="505"/>
      <c r="BJ136" s="505"/>
      <c r="BK136" s="505"/>
      <c r="BL136" s="505"/>
      <c r="BM136" s="505"/>
      <c r="BN136" s="505"/>
      <c r="BO136" s="505"/>
      <c r="BP136" s="505"/>
      <c r="BQ136" s="505"/>
      <c r="BR136" s="505"/>
      <c r="BS136" s="505"/>
      <c r="BT136" s="505"/>
      <c r="BU136" s="505"/>
      <c r="BV136" s="505"/>
      <c r="BW136" s="505"/>
      <c r="BX136" s="505"/>
      <c r="BY136" s="505"/>
      <c r="BZ136" s="505"/>
      <c r="CA136" s="505"/>
      <c r="CB136" s="505"/>
      <c r="CC136" s="505"/>
      <c r="CD136" s="505"/>
      <c r="CE136" s="505"/>
      <c r="CF136" s="505"/>
      <c r="CG136" s="505"/>
      <c r="CH136" s="505"/>
      <c r="CI136" s="505"/>
      <c r="CJ136" s="505"/>
      <c r="CK136" s="505"/>
      <c r="CL136" s="505"/>
      <c r="CM136" s="505"/>
      <c r="CN136" s="505"/>
      <c r="CO136" s="505"/>
      <c r="CP136" s="505"/>
      <c r="CQ136" s="505"/>
      <c r="CR136" s="505"/>
      <c r="CS136" s="505"/>
      <c r="CT136" s="505"/>
      <c r="CU136" s="505"/>
      <c r="CV136" s="505"/>
      <c r="CW136" s="505"/>
      <c r="CX136" s="505"/>
      <c r="CY136" s="505"/>
      <c r="CZ136" s="505"/>
      <c r="DA136" s="505"/>
      <c r="DB136" s="505"/>
      <c r="DC136" s="505"/>
      <c r="DD136" s="505"/>
      <c r="DE136" s="505"/>
      <c r="DF136" s="505"/>
      <c r="DG136" s="505"/>
      <c r="DH136" s="505"/>
      <c r="DI136" s="505"/>
      <c r="DJ136" s="505"/>
      <c r="DK136" s="505"/>
      <c r="DL136" s="505"/>
      <c r="DM136" s="505"/>
      <c r="DN136" s="505"/>
      <c r="DO136" s="505"/>
      <c r="DP136" s="505"/>
    </row>
    <row r="137" spans="1:120" hidden="1" outlineLevel="1" x14ac:dyDescent="0.2">
      <c r="A137" s="517">
        <f t="shared" si="35"/>
        <v>37438</v>
      </c>
      <c r="B137" s="517" t="str">
        <f t="shared" si="32"/>
        <v>3Q02</v>
      </c>
      <c r="C137" s="517" t="str">
        <f t="shared" si="36"/>
        <v>3Q02</v>
      </c>
      <c r="D137" s="518">
        <f t="shared" si="37"/>
        <v>37512</v>
      </c>
      <c r="E137" s="518">
        <f t="shared" si="37"/>
        <v>37452</v>
      </c>
      <c r="F137" s="520">
        <v>1.3</v>
      </c>
      <c r="G137" s="521">
        <f t="shared" si="33"/>
        <v>0.04</v>
      </c>
      <c r="H137" s="521">
        <f t="shared" si="34"/>
        <v>0.04</v>
      </c>
      <c r="I137" s="521">
        <f t="shared" si="38"/>
        <v>7.7499999999999805</v>
      </c>
      <c r="J137" s="521">
        <f t="shared" si="38"/>
        <v>7.7999999999999803</v>
      </c>
      <c r="K137" s="521">
        <f t="shared" si="39"/>
        <v>1.330000000000001</v>
      </c>
      <c r="L137" s="505"/>
      <c r="M137" s="528"/>
      <c r="N137" s="505"/>
      <c r="O137" s="505"/>
      <c r="P137" s="505"/>
      <c r="Q137" s="505"/>
      <c r="R137" s="505"/>
      <c r="S137" s="505"/>
      <c r="T137" s="505"/>
      <c r="U137" s="505"/>
      <c r="V137" s="505"/>
      <c r="W137" s="505"/>
      <c r="X137" s="505"/>
      <c r="Y137" s="505"/>
      <c r="Z137" s="505"/>
      <c r="AA137" s="505"/>
      <c r="AB137" s="505"/>
      <c r="AC137" s="505"/>
      <c r="AD137" s="505"/>
      <c r="AE137" s="505"/>
      <c r="AF137" s="505"/>
      <c r="AG137" s="505"/>
      <c r="AH137" s="505"/>
      <c r="AI137" s="505"/>
      <c r="AJ137" s="505"/>
      <c r="AK137" s="505"/>
      <c r="AL137" s="505"/>
      <c r="AM137" s="505"/>
      <c r="AN137" s="505"/>
      <c r="AO137" s="505"/>
      <c r="AP137" s="505"/>
      <c r="AQ137" s="505"/>
      <c r="AR137" s="505"/>
      <c r="AS137" s="505"/>
      <c r="AT137" s="505"/>
      <c r="AU137" s="505"/>
      <c r="AV137" s="505"/>
      <c r="AW137" s="505"/>
      <c r="AX137" s="505"/>
      <c r="AY137" s="505"/>
      <c r="AZ137" s="505"/>
      <c r="BA137" s="505"/>
      <c r="BB137" s="505"/>
      <c r="BC137" s="505"/>
      <c r="BD137" s="505"/>
      <c r="BE137" s="505"/>
      <c r="BF137" s="505"/>
      <c r="BG137" s="505"/>
      <c r="BH137" s="505"/>
      <c r="BI137" s="505"/>
      <c r="BJ137" s="505"/>
      <c r="BK137" s="505"/>
      <c r="BL137" s="505"/>
      <c r="BM137" s="505"/>
      <c r="BN137" s="505"/>
      <c r="BO137" s="505"/>
      <c r="BP137" s="505"/>
      <c r="BQ137" s="505"/>
      <c r="BR137" s="505"/>
      <c r="BS137" s="505"/>
      <c r="BT137" s="505"/>
      <c r="BU137" s="505"/>
      <c r="BV137" s="505"/>
      <c r="BW137" s="505"/>
      <c r="BX137" s="505"/>
      <c r="BY137" s="505"/>
      <c r="BZ137" s="505"/>
      <c r="CA137" s="505"/>
      <c r="CB137" s="505"/>
      <c r="CC137" s="505"/>
      <c r="CD137" s="505"/>
      <c r="CE137" s="505"/>
      <c r="CF137" s="505"/>
      <c r="CG137" s="505"/>
      <c r="CH137" s="505"/>
      <c r="CI137" s="505"/>
      <c r="CJ137" s="505"/>
      <c r="CK137" s="505"/>
      <c r="CL137" s="505"/>
      <c r="CM137" s="505"/>
      <c r="CN137" s="505"/>
      <c r="CO137" s="505"/>
      <c r="CP137" s="505"/>
      <c r="CQ137" s="505"/>
      <c r="CR137" s="505"/>
      <c r="CS137" s="505"/>
      <c r="CT137" s="505"/>
      <c r="CU137" s="505"/>
      <c r="CV137" s="505"/>
      <c r="CW137" s="505"/>
      <c r="CX137" s="505"/>
      <c r="CY137" s="505"/>
      <c r="CZ137" s="505"/>
      <c r="DA137" s="505"/>
      <c r="DB137" s="505"/>
      <c r="DC137" s="505"/>
      <c r="DD137" s="505"/>
      <c r="DE137" s="505"/>
      <c r="DF137" s="505"/>
      <c r="DG137" s="505"/>
      <c r="DH137" s="505"/>
      <c r="DI137" s="505"/>
      <c r="DJ137" s="505"/>
      <c r="DK137" s="505"/>
      <c r="DL137" s="505"/>
      <c r="DM137" s="505"/>
      <c r="DN137" s="505"/>
      <c r="DO137" s="505"/>
      <c r="DP137" s="505"/>
    </row>
    <row r="138" spans="1:120" hidden="1" outlineLevel="1" x14ac:dyDescent="0.2">
      <c r="A138" s="517">
        <f t="shared" si="35"/>
        <v>37438</v>
      </c>
      <c r="B138" s="517" t="str">
        <f t="shared" si="32"/>
        <v>3Q02</v>
      </c>
      <c r="C138" s="517" t="str">
        <f t="shared" si="36"/>
        <v>3Q02</v>
      </c>
      <c r="D138" s="518">
        <f t="shared" si="37"/>
        <v>37519</v>
      </c>
      <c r="E138" s="518">
        <f t="shared" si="37"/>
        <v>37459</v>
      </c>
      <c r="F138" s="520">
        <v>1.3109999999999999</v>
      </c>
      <c r="G138" s="521">
        <f t="shared" si="33"/>
        <v>0.04</v>
      </c>
      <c r="H138" s="521">
        <f t="shared" si="34"/>
        <v>0.04</v>
      </c>
      <c r="I138" s="521">
        <f t="shared" si="38"/>
        <v>7.7999999999999803</v>
      </c>
      <c r="J138" s="521">
        <f t="shared" si="38"/>
        <v>7.8499999999999801</v>
      </c>
      <c r="K138" s="521">
        <f t="shared" si="39"/>
        <v>1.340000000000001</v>
      </c>
      <c r="L138" s="505"/>
      <c r="M138" s="528"/>
      <c r="N138" s="505"/>
      <c r="O138" s="505"/>
      <c r="P138" s="505"/>
      <c r="Q138" s="505"/>
      <c r="R138" s="505"/>
      <c r="S138" s="505"/>
      <c r="T138" s="505"/>
      <c r="U138" s="505"/>
      <c r="V138" s="505"/>
      <c r="W138" s="505"/>
      <c r="X138" s="505"/>
      <c r="Y138" s="505"/>
      <c r="Z138" s="505"/>
      <c r="AA138" s="505"/>
      <c r="AB138" s="505"/>
      <c r="AC138" s="505"/>
      <c r="AD138" s="505"/>
      <c r="AE138" s="505"/>
      <c r="AF138" s="505"/>
      <c r="AG138" s="505"/>
      <c r="AH138" s="505"/>
      <c r="AI138" s="505"/>
      <c r="AJ138" s="505"/>
      <c r="AK138" s="505"/>
      <c r="AL138" s="505"/>
      <c r="AM138" s="505"/>
      <c r="AN138" s="505"/>
      <c r="AO138" s="505"/>
      <c r="AP138" s="505"/>
      <c r="AQ138" s="505"/>
      <c r="AR138" s="505"/>
      <c r="AS138" s="505"/>
      <c r="AT138" s="505"/>
      <c r="AU138" s="505"/>
      <c r="AV138" s="505"/>
      <c r="AW138" s="505"/>
      <c r="AX138" s="505"/>
      <c r="AY138" s="505"/>
      <c r="AZ138" s="505"/>
      <c r="BA138" s="505"/>
      <c r="BB138" s="505"/>
      <c r="BC138" s="505"/>
      <c r="BD138" s="505"/>
      <c r="BE138" s="505"/>
      <c r="BF138" s="505"/>
      <c r="BG138" s="505"/>
      <c r="BH138" s="505"/>
      <c r="BI138" s="505"/>
      <c r="BJ138" s="505"/>
      <c r="BK138" s="505"/>
      <c r="BL138" s="505"/>
      <c r="BM138" s="505"/>
      <c r="BN138" s="505"/>
      <c r="BO138" s="505"/>
      <c r="BP138" s="505"/>
      <c r="BQ138" s="505"/>
      <c r="BR138" s="505"/>
      <c r="BS138" s="505"/>
      <c r="BT138" s="505"/>
      <c r="BU138" s="505"/>
      <c r="BV138" s="505"/>
      <c r="BW138" s="505"/>
      <c r="BX138" s="505"/>
      <c r="BY138" s="505"/>
      <c r="BZ138" s="505"/>
      <c r="CA138" s="505"/>
      <c r="CB138" s="505"/>
      <c r="CC138" s="505"/>
      <c r="CD138" s="505"/>
      <c r="CE138" s="505"/>
      <c r="CF138" s="505"/>
      <c r="CG138" s="505"/>
      <c r="CH138" s="505"/>
      <c r="CI138" s="505"/>
      <c r="CJ138" s="505"/>
      <c r="CK138" s="505"/>
      <c r="CL138" s="505"/>
      <c r="CM138" s="505"/>
      <c r="CN138" s="505"/>
      <c r="CO138" s="505"/>
      <c r="CP138" s="505"/>
      <c r="CQ138" s="505"/>
      <c r="CR138" s="505"/>
      <c r="CS138" s="505"/>
      <c r="CT138" s="505"/>
      <c r="CU138" s="505"/>
      <c r="CV138" s="505"/>
      <c r="CW138" s="505"/>
      <c r="CX138" s="505"/>
      <c r="CY138" s="505"/>
      <c r="CZ138" s="505"/>
      <c r="DA138" s="505"/>
      <c r="DB138" s="505"/>
      <c r="DC138" s="505"/>
      <c r="DD138" s="505"/>
      <c r="DE138" s="505"/>
      <c r="DF138" s="505"/>
      <c r="DG138" s="505"/>
      <c r="DH138" s="505"/>
      <c r="DI138" s="505"/>
      <c r="DJ138" s="505"/>
      <c r="DK138" s="505"/>
      <c r="DL138" s="505"/>
      <c r="DM138" s="505"/>
      <c r="DN138" s="505"/>
      <c r="DO138" s="505"/>
      <c r="DP138" s="505"/>
    </row>
    <row r="139" spans="1:120" hidden="1" outlineLevel="1" x14ac:dyDescent="0.2">
      <c r="A139" s="517">
        <f t="shared" si="35"/>
        <v>37438</v>
      </c>
      <c r="B139" s="517" t="str">
        <f t="shared" si="32"/>
        <v>3Q02</v>
      </c>
      <c r="C139" s="517" t="str">
        <f t="shared" si="36"/>
        <v>3Q02</v>
      </c>
      <c r="D139" s="518">
        <f t="shared" si="37"/>
        <v>37526</v>
      </c>
      <c r="E139" s="518">
        <f t="shared" si="37"/>
        <v>37466</v>
      </c>
      <c r="F139" s="520">
        <v>1.3030000000000002</v>
      </c>
      <c r="G139" s="521">
        <f t="shared" si="33"/>
        <v>0.04</v>
      </c>
      <c r="H139" s="521">
        <f t="shared" si="34"/>
        <v>0.04</v>
      </c>
      <c r="I139" s="521">
        <f t="shared" si="38"/>
        <v>7.8499999999999801</v>
      </c>
      <c r="J139" s="521">
        <f t="shared" si="38"/>
        <v>7.8999999999999799</v>
      </c>
      <c r="K139" s="521">
        <f t="shared" si="39"/>
        <v>1.350000000000001</v>
      </c>
      <c r="L139" s="505"/>
      <c r="M139" s="528"/>
      <c r="N139" s="505"/>
      <c r="O139" s="505"/>
      <c r="P139" s="505"/>
      <c r="Q139" s="505"/>
      <c r="R139" s="505"/>
      <c r="S139" s="505"/>
      <c r="T139" s="505"/>
      <c r="U139" s="505"/>
      <c r="V139" s="505"/>
      <c r="W139" s="505"/>
      <c r="X139" s="505"/>
      <c r="Y139" s="505"/>
      <c r="Z139" s="505"/>
      <c r="AA139" s="505"/>
      <c r="AB139" s="505"/>
      <c r="AC139" s="505"/>
      <c r="AD139" s="505"/>
      <c r="AE139" s="505"/>
      <c r="AF139" s="505"/>
      <c r="AG139" s="505"/>
      <c r="AH139" s="505"/>
      <c r="AI139" s="505"/>
      <c r="AJ139" s="505"/>
      <c r="AK139" s="505"/>
      <c r="AL139" s="505"/>
      <c r="AM139" s="505"/>
      <c r="AN139" s="505"/>
      <c r="AO139" s="505"/>
      <c r="AP139" s="505"/>
      <c r="AQ139" s="505"/>
      <c r="AR139" s="505"/>
      <c r="AS139" s="505"/>
      <c r="AT139" s="505"/>
      <c r="AU139" s="505"/>
      <c r="AV139" s="505"/>
      <c r="AW139" s="505"/>
      <c r="AX139" s="505"/>
      <c r="AY139" s="505"/>
      <c r="AZ139" s="505"/>
      <c r="BA139" s="505"/>
      <c r="BB139" s="505"/>
      <c r="BC139" s="505"/>
      <c r="BD139" s="505"/>
      <c r="BE139" s="505"/>
      <c r="BF139" s="505"/>
      <c r="BG139" s="505"/>
      <c r="BH139" s="505"/>
      <c r="BI139" s="505"/>
      <c r="BJ139" s="505"/>
      <c r="BK139" s="505"/>
      <c r="BL139" s="505"/>
      <c r="BM139" s="505"/>
      <c r="BN139" s="505"/>
      <c r="BO139" s="505"/>
      <c r="BP139" s="505"/>
      <c r="BQ139" s="505"/>
      <c r="BR139" s="505"/>
      <c r="BS139" s="505"/>
      <c r="BT139" s="505"/>
      <c r="BU139" s="505"/>
      <c r="BV139" s="505"/>
      <c r="BW139" s="505"/>
      <c r="BX139" s="505"/>
      <c r="BY139" s="505"/>
      <c r="BZ139" s="505"/>
      <c r="CA139" s="505"/>
      <c r="CB139" s="505"/>
      <c r="CC139" s="505"/>
      <c r="CD139" s="505"/>
      <c r="CE139" s="505"/>
      <c r="CF139" s="505"/>
      <c r="CG139" s="505"/>
      <c r="CH139" s="505"/>
      <c r="CI139" s="505"/>
      <c r="CJ139" s="505"/>
      <c r="CK139" s="505"/>
      <c r="CL139" s="505"/>
      <c r="CM139" s="505"/>
      <c r="CN139" s="505"/>
      <c r="CO139" s="505"/>
      <c r="CP139" s="505"/>
      <c r="CQ139" s="505"/>
      <c r="CR139" s="505"/>
      <c r="CS139" s="505"/>
      <c r="CT139" s="505"/>
      <c r="CU139" s="505"/>
      <c r="CV139" s="505"/>
      <c r="CW139" s="505"/>
      <c r="CX139" s="505"/>
      <c r="CY139" s="505"/>
      <c r="CZ139" s="505"/>
      <c r="DA139" s="505"/>
      <c r="DB139" s="505"/>
      <c r="DC139" s="505"/>
      <c r="DD139" s="505"/>
      <c r="DE139" s="505"/>
      <c r="DF139" s="505"/>
      <c r="DG139" s="505"/>
      <c r="DH139" s="505"/>
      <c r="DI139" s="505"/>
      <c r="DJ139" s="505"/>
      <c r="DK139" s="505"/>
      <c r="DL139" s="505"/>
      <c r="DM139" s="505"/>
      <c r="DN139" s="505"/>
      <c r="DO139" s="505"/>
      <c r="DP139" s="505"/>
    </row>
    <row r="140" spans="1:120" hidden="1" outlineLevel="1" x14ac:dyDescent="0.2">
      <c r="A140" s="517">
        <f t="shared" si="35"/>
        <v>37469</v>
      </c>
      <c r="B140" s="517" t="str">
        <f t="shared" si="32"/>
        <v>3Q02</v>
      </c>
      <c r="C140" s="517" t="str">
        <f t="shared" si="36"/>
        <v>4Q02</v>
      </c>
      <c r="D140" s="518">
        <f t="shared" si="37"/>
        <v>37533</v>
      </c>
      <c r="E140" s="518">
        <f t="shared" si="37"/>
        <v>37473</v>
      </c>
      <c r="F140" s="520">
        <v>1.304</v>
      </c>
      <c r="G140" s="521">
        <f t="shared" si="33"/>
        <v>0.04</v>
      </c>
      <c r="H140" s="521">
        <f t="shared" si="34"/>
        <v>0.04</v>
      </c>
      <c r="I140" s="521">
        <f t="shared" si="38"/>
        <v>7.8999999999999799</v>
      </c>
      <c r="J140" s="521">
        <f t="shared" si="38"/>
        <v>7.9499999999999797</v>
      </c>
      <c r="K140" s="521">
        <f t="shared" si="39"/>
        <v>1.360000000000001</v>
      </c>
      <c r="L140" s="505"/>
      <c r="M140" s="528"/>
      <c r="N140" s="505"/>
      <c r="O140" s="505"/>
      <c r="P140" s="505"/>
      <c r="Q140" s="505"/>
      <c r="R140" s="505"/>
      <c r="S140" s="505"/>
      <c r="T140" s="505"/>
      <c r="U140" s="505"/>
      <c r="V140" s="505"/>
      <c r="W140" s="505"/>
      <c r="X140" s="505"/>
      <c r="Y140" s="505"/>
      <c r="Z140" s="505"/>
      <c r="AA140" s="505"/>
      <c r="AB140" s="505"/>
      <c r="AC140" s="505"/>
      <c r="AD140" s="505"/>
      <c r="AE140" s="505"/>
      <c r="AF140" s="505"/>
      <c r="AG140" s="505"/>
      <c r="AH140" s="505"/>
      <c r="AI140" s="505"/>
      <c r="AJ140" s="505"/>
      <c r="AK140" s="505"/>
      <c r="AL140" s="505"/>
      <c r="AM140" s="505"/>
      <c r="AN140" s="505"/>
      <c r="AO140" s="505"/>
      <c r="AP140" s="505"/>
      <c r="AQ140" s="505"/>
      <c r="AR140" s="505"/>
      <c r="AS140" s="505"/>
      <c r="AT140" s="505"/>
      <c r="AU140" s="505"/>
      <c r="AV140" s="505"/>
      <c r="AW140" s="505"/>
      <c r="AX140" s="505"/>
      <c r="AY140" s="505"/>
      <c r="AZ140" s="505"/>
      <c r="BA140" s="505"/>
      <c r="BB140" s="505"/>
      <c r="BC140" s="505"/>
      <c r="BD140" s="505"/>
      <c r="BE140" s="505"/>
      <c r="BF140" s="505"/>
      <c r="BG140" s="505"/>
      <c r="BH140" s="505"/>
      <c r="BI140" s="505"/>
      <c r="BJ140" s="505"/>
      <c r="BK140" s="505"/>
      <c r="BL140" s="505"/>
      <c r="BM140" s="505"/>
      <c r="BN140" s="505"/>
      <c r="BO140" s="505"/>
      <c r="BP140" s="505"/>
      <c r="BQ140" s="505"/>
      <c r="BR140" s="505"/>
      <c r="BS140" s="505"/>
      <c r="BT140" s="505"/>
      <c r="BU140" s="505"/>
      <c r="BV140" s="505"/>
      <c r="BW140" s="505"/>
      <c r="BX140" s="505"/>
      <c r="BY140" s="505"/>
      <c r="BZ140" s="505"/>
      <c r="CA140" s="505"/>
      <c r="CB140" s="505"/>
      <c r="CC140" s="505"/>
      <c r="CD140" s="505"/>
      <c r="CE140" s="505"/>
      <c r="CF140" s="505"/>
      <c r="CG140" s="505"/>
      <c r="CH140" s="505"/>
      <c r="CI140" s="505"/>
      <c r="CJ140" s="505"/>
      <c r="CK140" s="505"/>
      <c r="CL140" s="505"/>
      <c r="CM140" s="505"/>
      <c r="CN140" s="505"/>
      <c r="CO140" s="505"/>
      <c r="CP140" s="505"/>
      <c r="CQ140" s="505"/>
      <c r="CR140" s="505"/>
      <c r="CS140" s="505"/>
      <c r="CT140" s="505"/>
      <c r="CU140" s="505"/>
      <c r="CV140" s="505"/>
      <c r="CW140" s="505"/>
      <c r="CX140" s="505"/>
      <c r="CY140" s="505"/>
      <c r="CZ140" s="505"/>
      <c r="DA140" s="505"/>
      <c r="DB140" s="505"/>
      <c r="DC140" s="505"/>
      <c r="DD140" s="505"/>
      <c r="DE140" s="505"/>
      <c r="DF140" s="505"/>
      <c r="DG140" s="505"/>
      <c r="DH140" s="505"/>
      <c r="DI140" s="505"/>
      <c r="DJ140" s="505"/>
      <c r="DK140" s="505"/>
      <c r="DL140" s="505"/>
      <c r="DM140" s="505"/>
      <c r="DN140" s="505"/>
      <c r="DO140" s="505"/>
      <c r="DP140" s="505"/>
    </row>
    <row r="141" spans="1:120" hidden="1" outlineLevel="1" x14ac:dyDescent="0.2">
      <c r="A141" s="517">
        <f t="shared" si="35"/>
        <v>37469</v>
      </c>
      <c r="B141" s="517" t="str">
        <f t="shared" si="32"/>
        <v>3Q02</v>
      </c>
      <c r="C141" s="517" t="str">
        <f t="shared" si="36"/>
        <v>4Q02</v>
      </c>
      <c r="D141" s="518">
        <f t="shared" si="37"/>
        <v>37540</v>
      </c>
      <c r="E141" s="518">
        <f t="shared" si="37"/>
        <v>37480</v>
      </c>
      <c r="F141" s="520">
        <v>1.3030000000000002</v>
      </c>
      <c r="G141" s="521">
        <f t="shared" si="33"/>
        <v>0.04</v>
      </c>
      <c r="H141" s="521">
        <f t="shared" si="34"/>
        <v>0.04</v>
      </c>
      <c r="I141" s="521">
        <f t="shared" si="38"/>
        <v>7.9499999999999797</v>
      </c>
      <c r="J141" s="521">
        <f t="shared" si="38"/>
        <v>7.9999999999999796</v>
      </c>
      <c r="K141" s="521">
        <f t="shared" si="39"/>
        <v>1.370000000000001</v>
      </c>
      <c r="L141" s="505"/>
      <c r="M141" s="528"/>
      <c r="N141" s="505"/>
      <c r="O141" s="505"/>
      <c r="P141" s="505"/>
      <c r="Q141" s="505"/>
      <c r="R141" s="505"/>
      <c r="S141" s="505"/>
      <c r="T141" s="505"/>
      <c r="U141" s="505"/>
      <c r="V141" s="505"/>
      <c r="W141" s="505"/>
      <c r="X141" s="505"/>
      <c r="Y141" s="505"/>
      <c r="Z141" s="505"/>
      <c r="AA141" s="505"/>
      <c r="AB141" s="505"/>
      <c r="AC141" s="505"/>
      <c r="AD141" s="505"/>
      <c r="AE141" s="505"/>
      <c r="AF141" s="505"/>
      <c r="AG141" s="505"/>
      <c r="AH141" s="505"/>
      <c r="AI141" s="505"/>
      <c r="AJ141" s="505"/>
      <c r="AK141" s="505"/>
      <c r="AL141" s="505"/>
      <c r="AM141" s="505"/>
      <c r="AN141" s="505"/>
      <c r="AO141" s="505"/>
      <c r="AP141" s="505"/>
      <c r="AQ141" s="505"/>
      <c r="AR141" s="505"/>
      <c r="AS141" s="505"/>
      <c r="AT141" s="505"/>
      <c r="AU141" s="505"/>
      <c r="AV141" s="505"/>
      <c r="AW141" s="505"/>
      <c r="AX141" s="505"/>
      <c r="AY141" s="505"/>
      <c r="AZ141" s="505"/>
      <c r="BA141" s="505"/>
      <c r="BB141" s="505"/>
      <c r="BC141" s="505"/>
      <c r="BD141" s="505"/>
      <c r="BE141" s="505"/>
      <c r="BF141" s="505"/>
      <c r="BG141" s="505"/>
      <c r="BH141" s="505"/>
      <c r="BI141" s="505"/>
      <c r="BJ141" s="505"/>
      <c r="BK141" s="505"/>
      <c r="BL141" s="505"/>
      <c r="BM141" s="505"/>
      <c r="BN141" s="505"/>
      <c r="BO141" s="505"/>
      <c r="BP141" s="505"/>
      <c r="BQ141" s="505"/>
      <c r="BR141" s="505"/>
      <c r="BS141" s="505"/>
      <c r="BT141" s="505"/>
      <c r="BU141" s="505"/>
      <c r="BV141" s="505"/>
      <c r="BW141" s="505"/>
      <c r="BX141" s="505"/>
      <c r="BY141" s="505"/>
      <c r="BZ141" s="505"/>
      <c r="CA141" s="505"/>
      <c r="CB141" s="505"/>
      <c r="CC141" s="505"/>
      <c r="CD141" s="505"/>
      <c r="CE141" s="505"/>
      <c r="CF141" s="505"/>
      <c r="CG141" s="505"/>
      <c r="CH141" s="505"/>
      <c r="CI141" s="505"/>
      <c r="CJ141" s="505"/>
      <c r="CK141" s="505"/>
      <c r="CL141" s="505"/>
      <c r="CM141" s="505"/>
      <c r="CN141" s="505"/>
      <c r="CO141" s="505"/>
      <c r="CP141" s="505"/>
      <c r="CQ141" s="505"/>
      <c r="CR141" s="505"/>
      <c r="CS141" s="505"/>
      <c r="CT141" s="505"/>
      <c r="CU141" s="505"/>
      <c r="CV141" s="505"/>
      <c r="CW141" s="505"/>
      <c r="CX141" s="505"/>
      <c r="CY141" s="505"/>
      <c r="CZ141" s="505"/>
      <c r="DA141" s="505"/>
      <c r="DB141" s="505"/>
      <c r="DC141" s="505"/>
      <c r="DD141" s="505"/>
      <c r="DE141" s="505"/>
      <c r="DF141" s="505"/>
      <c r="DG141" s="505"/>
      <c r="DH141" s="505"/>
      <c r="DI141" s="505"/>
      <c r="DJ141" s="505"/>
      <c r="DK141" s="505"/>
      <c r="DL141" s="505"/>
      <c r="DM141" s="505"/>
      <c r="DN141" s="505"/>
      <c r="DO141" s="505"/>
      <c r="DP141" s="505"/>
    </row>
    <row r="142" spans="1:120" hidden="1" outlineLevel="1" x14ac:dyDescent="0.2">
      <c r="A142" s="517">
        <f t="shared" si="35"/>
        <v>37469</v>
      </c>
      <c r="B142" s="517" t="str">
        <f t="shared" si="32"/>
        <v>3Q02</v>
      </c>
      <c r="C142" s="517" t="str">
        <f t="shared" si="36"/>
        <v>4Q02</v>
      </c>
      <c r="D142" s="518">
        <f t="shared" si="37"/>
        <v>37547</v>
      </c>
      <c r="E142" s="518">
        <f t="shared" si="37"/>
        <v>37487</v>
      </c>
      <c r="F142" s="520">
        <v>1.3330000000000002</v>
      </c>
      <c r="G142" s="521">
        <f t="shared" si="33"/>
        <v>0.04</v>
      </c>
      <c r="H142" s="521">
        <f t="shared" si="34"/>
        <v>0.05</v>
      </c>
      <c r="I142" s="521">
        <f t="shared" si="38"/>
        <v>7.9999999999999796</v>
      </c>
      <c r="J142" s="521">
        <f t="shared" si="38"/>
        <v>8.0499999999999794</v>
      </c>
      <c r="K142" s="521">
        <f t="shared" si="39"/>
        <v>1.380000000000001</v>
      </c>
      <c r="L142" s="505"/>
      <c r="M142" s="528"/>
      <c r="N142" s="505"/>
      <c r="O142" s="505"/>
      <c r="P142" s="505"/>
      <c r="Q142" s="505"/>
      <c r="R142" s="505"/>
      <c r="S142" s="505"/>
      <c r="T142" s="505"/>
      <c r="U142" s="505"/>
      <c r="V142" s="505"/>
      <c r="W142" s="505"/>
      <c r="X142" s="505"/>
      <c r="Y142" s="505"/>
      <c r="Z142" s="505"/>
      <c r="AA142" s="505"/>
      <c r="AB142" s="505"/>
      <c r="AC142" s="505"/>
      <c r="AD142" s="505"/>
      <c r="AE142" s="505"/>
      <c r="AF142" s="505"/>
      <c r="AG142" s="505"/>
      <c r="AH142" s="505"/>
      <c r="AI142" s="505"/>
      <c r="AJ142" s="505"/>
      <c r="AK142" s="505"/>
      <c r="AL142" s="505"/>
      <c r="AM142" s="505"/>
      <c r="AN142" s="505"/>
      <c r="AO142" s="505"/>
      <c r="AP142" s="505"/>
      <c r="AQ142" s="505"/>
      <c r="AR142" s="505"/>
      <c r="AS142" s="505"/>
      <c r="AT142" s="505"/>
      <c r="AU142" s="505"/>
      <c r="AV142" s="505"/>
      <c r="AW142" s="505"/>
      <c r="AX142" s="505"/>
      <c r="AY142" s="505"/>
      <c r="AZ142" s="505"/>
      <c r="BA142" s="505"/>
      <c r="BB142" s="505"/>
      <c r="BC142" s="505"/>
      <c r="BD142" s="505"/>
      <c r="BE142" s="505"/>
      <c r="BF142" s="505"/>
      <c r="BG142" s="505"/>
      <c r="BH142" s="505"/>
      <c r="BI142" s="505"/>
      <c r="BJ142" s="505"/>
      <c r="BK142" s="505"/>
      <c r="BL142" s="505"/>
      <c r="BM142" s="505"/>
      <c r="BN142" s="505"/>
      <c r="BO142" s="505"/>
      <c r="BP142" s="505"/>
      <c r="BQ142" s="505"/>
      <c r="BR142" s="505"/>
      <c r="BS142" s="505"/>
      <c r="BT142" s="505"/>
      <c r="BU142" s="505"/>
      <c r="BV142" s="505"/>
      <c r="BW142" s="505"/>
      <c r="BX142" s="505"/>
      <c r="BY142" s="505"/>
      <c r="BZ142" s="505"/>
      <c r="CA142" s="505"/>
      <c r="CB142" s="505"/>
      <c r="CC142" s="505"/>
      <c r="CD142" s="505"/>
      <c r="CE142" s="505"/>
      <c r="CF142" s="505"/>
      <c r="CG142" s="505"/>
      <c r="CH142" s="505"/>
      <c r="CI142" s="505"/>
      <c r="CJ142" s="505"/>
      <c r="CK142" s="505"/>
      <c r="CL142" s="505"/>
      <c r="CM142" s="505"/>
      <c r="CN142" s="505"/>
      <c r="CO142" s="505"/>
      <c r="CP142" s="505"/>
      <c r="CQ142" s="505"/>
      <c r="CR142" s="505"/>
      <c r="CS142" s="505"/>
      <c r="CT142" s="505"/>
      <c r="CU142" s="505"/>
      <c r="CV142" s="505"/>
      <c r="CW142" s="505"/>
      <c r="CX142" s="505"/>
      <c r="CY142" s="505"/>
      <c r="CZ142" s="505"/>
      <c r="DA142" s="505"/>
      <c r="DB142" s="505"/>
      <c r="DC142" s="505"/>
      <c r="DD142" s="505"/>
      <c r="DE142" s="505"/>
      <c r="DF142" s="505"/>
      <c r="DG142" s="505"/>
      <c r="DH142" s="505"/>
      <c r="DI142" s="505"/>
      <c r="DJ142" s="505"/>
      <c r="DK142" s="505"/>
      <c r="DL142" s="505"/>
      <c r="DM142" s="505"/>
      <c r="DN142" s="505"/>
      <c r="DO142" s="505"/>
      <c r="DP142" s="505"/>
    </row>
    <row r="143" spans="1:120" hidden="1" outlineLevel="1" x14ac:dyDescent="0.2">
      <c r="A143" s="517">
        <f t="shared" si="35"/>
        <v>37469</v>
      </c>
      <c r="B143" s="517" t="str">
        <f t="shared" si="32"/>
        <v>3Q02</v>
      </c>
      <c r="C143" s="517" t="str">
        <f t="shared" si="36"/>
        <v>4Q02</v>
      </c>
      <c r="D143" s="518">
        <f t="shared" si="37"/>
        <v>37554</v>
      </c>
      <c r="E143" s="518">
        <f t="shared" si="37"/>
        <v>37494</v>
      </c>
      <c r="F143" s="520">
        <v>1.37</v>
      </c>
      <c r="G143" s="521">
        <f t="shared" si="33"/>
        <v>0.05</v>
      </c>
      <c r="H143" s="521">
        <f t="shared" si="34"/>
        <v>0.05</v>
      </c>
      <c r="I143" s="521">
        <f t="shared" si="38"/>
        <v>8.0499999999999794</v>
      </c>
      <c r="J143" s="521">
        <f t="shared" si="38"/>
        <v>8.0999999999999801</v>
      </c>
      <c r="K143" s="521">
        <f t="shared" si="39"/>
        <v>1.390000000000001</v>
      </c>
      <c r="L143" s="505"/>
      <c r="M143" s="528"/>
      <c r="N143" s="505"/>
      <c r="O143" s="505"/>
      <c r="P143" s="505"/>
      <c r="Q143" s="505"/>
      <c r="R143" s="505"/>
      <c r="S143" s="505"/>
      <c r="T143" s="505"/>
      <c r="U143" s="505"/>
      <c r="V143" s="505"/>
      <c r="W143" s="505"/>
      <c r="X143" s="505"/>
      <c r="Y143" s="505"/>
      <c r="Z143" s="505"/>
      <c r="AA143" s="505"/>
      <c r="AB143" s="505"/>
      <c r="AC143" s="505"/>
      <c r="AD143" s="505"/>
      <c r="AE143" s="505"/>
      <c r="AF143" s="505"/>
      <c r="AG143" s="505"/>
      <c r="AH143" s="505"/>
      <c r="AI143" s="505"/>
      <c r="AJ143" s="505"/>
      <c r="AK143" s="505"/>
      <c r="AL143" s="505"/>
      <c r="AM143" s="505"/>
      <c r="AN143" s="505"/>
      <c r="AO143" s="505"/>
      <c r="AP143" s="505"/>
      <c r="AQ143" s="505"/>
      <c r="AR143" s="505"/>
      <c r="AS143" s="505"/>
      <c r="AT143" s="505"/>
      <c r="AU143" s="505"/>
      <c r="AV143" s="505"/>
      <c r="AW143" s="505"/>
      <c r="AX143" s="505"/>
      <c r="AY143" s="505"/>
      <c r="AZ143" s="505"/>
      <c r="BA143" s="505"/>
      <c r="BB143" s="505"/>
      <c r="BC143" s="505"/>
      <c r="BD143" s="505"/>
      <c r="BE143" s="505"/>
      <c r="BF143" s="505"/>
      <c r="BG143" s="505"/>
      <c r="BH143" s="505"/>
      <c r="BI143" s="505"/>
      <c r="BJ143" s="505"/>
      <c r="BK143" s="505"/>
      <c r="BL143" s="505"/>
      <c r="BM143" s="505"/>
      <c r="BN143" s="505"/>
      <c r="BO143" s="505"/>
      <c r="BP143" s="505"/>
      <c r="BQ143" s="505"/>
      <c r="BR143" s="505"/>
      <c r="BS143" s="505"/>
      <c r="BT143" s="505"/>
      <c r="BU143" s="505"/>
      <c r="BV143" s="505"/>
      <c r="BW143" s="505"/>
      <c r="BX143" s="505"/>
      <c r="BY143" s="505"/>
      <c r="BZ143" s="505"/>
      <c r="CA143" s="505"/>
      <c r="CB143" s="505"/>
      <c r="CC143" s="505"/>
      <c r="CD143" s="505"/>
      <c r="CE143" s="505"/>
      <c r="CF143" s="505"/>
      <c r="CG143" s="505"/>
      <c r="CH143" s="505"/>
      <c r="CI143" s="505"/>
      <c r="CJ143" s="505"/>
      <c r="CK143" s="505"/>
      <c r="CL143" s="505"/>
      <c r="CM143" s="505"/>
      <c r="CN143" s="505"/>
      <c r="CO143" s="505"/>
      <c r="CP143" s="505"/>
      <c r="CQ143" s="505"/>
      <c r="CR143" s="505"/>
      <c r="CS143" s="505"/>
      <c r="CT143" s="505"/>
      <c r="CU143" s="505"/>
      <c r="CV143" s="505"/>
      <c r="CW143" s="505"/>
      <c r="CX143" s="505"/>
      <c r="CY143" s="505"/>
      <c r="CZ143" s="505"/>
      <c r="DA143" s="505"/>
      <c r="DB143" s="505"/>
      <c r="DC143" s="505"/>
      <c r="DD143" s="505"/>
      <c r="DE143" s="505"/>
      <c r="DF143" s="505"/>
      <c r="DG143" s="505"/>
      <c r="DH143" s="505"/>
      <c r="DI143" s="505"/>
      <c r="DJ143" s="505"/>
      <c r="DK143" s="505"/>
      <c r="DL143" s="505"/>
      <c r="DM143" s="505"/>
      <c r="DN143" s="505"/>
      <c r="DO143" s="505"/>
      <c r="DP143" s="505"/>
    </row>
    <row r="144" spans="1:120" hidden="1" outlineLevel="1" x14ac:dyDescent="0.2">
      <c r="A144" s="517">
        <f t="shared" si="35"/>
        <v>37500</v>
      </c>
      <c r="B144" s="517" t="str">
        <f t="shared" si="32"/>
        <v>3Q02</v>
      </c>
      <c r="C144" s="517" t="str">
        <f t="shared" si="36"/>
        <v>4Q02</v>
      </c>
      <c r="D144" s="518">
        <f t="shared" si="37"/>
        <v>37561</v>
      </c>
      <c r="E144" s="518">
        <f t="shared" si="37"/>
        <v>37501</v>
      </c>
      <c r="F144" s="520">
        <v>1.3880000000000001</v>
      </c>
      <c r="G144" s="521">
        <f t="shared" si="33"/>
        <v>0.05</v>
      </c>
      <c r="H144" s="521">
        <f t="shared" si="34"/>
        <v>0.05</v>
      </c>
      <c r="I144" s="521">
        <f t="shared" si="38"/>
        <v>8.0999999999999801</v>
      </c>
      <c r="J144" s="521">
        <f t="shared" si="38"/>
        <v>8.1499999999999808</v>
      </c>
      <c r="K144" s="521">
        <f t="shared" si="39"/>
        <v>1.400000000000001</v>
      </c>
      <c r="L144" s="505"/>
      <c r="M144" s="528"/>
      <c r="N144" s="505"/>
      <c r="O144" s="505"/>
      <c r="P144" s="505"/>
      <c r="Q144" s="505"/>
      <c r="R144" s="505"/>
      <c r="S144" s="505"/>
      <c r="T144" s="505"/>
      <c r="U144" s="505"/>
      <c r="V144" s="505"/>
      <c r="W144" s="505"/>
      <c r="X144" s="505"/>
      <c r="Y144" s="505"/>
      <c r="Z144" s="505"/>
      <c r="AA144" s="505"/>
      <c r="AB144" s="505"/>
      <c r="AC144" s="505"/>
      <c r="AD144" s="505"/>
      <c r="AE144" s="505"/>
      <c r="AF144" s="505"/>
      <c r="AG144" s="505"/>
      <c r="AH144" s="505"/>
      <c r="AI144" s="505"/>
      <c r="AJ144" s="505"/>
      <c r="AK144" s="505"/>
      <c r="AL144" s="505"/>
      <c r="AM144" s="505"/>
      <c r="AN144" s="505"/>
      <c r="AO144" s="505"/>
      <c r="AP144" s="505"/>
      <c r="AQ144" s="505"/>
      <c r="AR144" s="505"/>
      <c r="AS144" s="505"/>
      <c r="AT144" s="505"/>
      <c r="AU144" s="505"/>
      <c r="AV144" s="505"/>
      <c r="AW144" s="505"/>
      <c r="AX144" s="505"/>
      <c r="AY144" s="505"/>
      <c r="AZ144" s="505"/>
      <c r="BA144" s="505"/>
      <c r="BB144" s="505"/>
      <c r="BC144" s="505"/>
      <c r="BD144" s="505"/>
      <c r="BE144" s="505"/>
      <c r="BF144" s="505"/>
      <c r="BG144" s="505"/>
      <c r="BH144" s="505"/>
      <c r="BI144" s="505"/>
      <c r="BJ144" s="505"/>
      <c r="BK144" s="505"/>
      <c r="BL144" s="505"/>
      <c r="BM144" s="505"/>
      <c r="BN144" s="505"/>
      <c r="BO144" s="505"/>
      <c r="BP144" s="505"/>
      <c r="BQ144" s="505"/>
      <c r="BR144" s="505"/>
      <c r="BS144" s="505"/>
      <c r="BT144" s="505"/>
      <c r="BU144" s="505"/>
      <c r="BV144" s="505"/>
      <c r="BW144" s="505"/>
      <c r="BX144" s="505"/>
      <c r="BY144" s="505"/>
      <c r="BZ144" s="505"/>
      <c r="CA144" s="505"/>
      <c r="CB144" s="505"/>
      <c r="CC144" s="505"/>
      <c r="CD144" s="505"/>
      <c r="CE144" s="505"/>
      <c r="CF144" s="505"/>
      <c r="CG144" s="505"/>
      <c r="CH144" s="505"/>
      <c r="CI144" s="505"/>
      <c r="CJ144" s="505"/>
      <c r="CK144" s="505"/>
      <c r="CL144" s="505"/>
      <c r="CM144" s="505"/>
      <c r="CN144" s="505"/>
      <c r="CO144" s="505"/>
      <c r="CP144" s="505"/>
      <c r="CQ144" s="505"/>
      <c r="CR144" s="505"/>
      <c r="CS144" s="505"/>
      <c r="CT144" s="505"/>
      <c r="CU144" s="505"/>
      <c r="CV144" s="505"/>
      <c r="CW144" s="505"/>
      <c r="CX144" s="505"/>
      <c r="CY144" s="505"/>
      <c r="CZ144" s="505"/>
      <c r="DA144" s="505"/>
      <c r="DB144" s="505"/>
      <c r="DC144" s="505"/>
      <c r="DD144" s="505"/>
      <c r="DE144" s="505"/>
      <c r="DF144" s="505"/>
      <c r="DG144" s="505"/>
      <c r="DH144" s="505"/>
      <c r="DI144" s="505"/>
      <c r="DJ144" s="505"/>
      <c r="DK144" s="505"/>
      <c r="DL144" s="505"/>
      <c r="DM144" s="505"/>
      <c r="DN144" s="505"/>
      <c r="DO144" s="505"/>
      <c r="DP144" s="505"/>
    </row>
    <row r="145" spans="1:120" hidden="1" outlineLevel="1" x14ac:dyDescent="0.2">
      <c r="A145" s="517">
        <f t="shared" si="35"/>
        <v>37500</v>
      </c>
      <c r="B145" s="517" t="str">
        <f t="shared" si="32"/>
        <v>3Q02</v>
      </c>
      <c r="C145" s="517" t="str">
        <f t="shared" si="36"/>
        <v>4Q02</v>
      </c>
      <c r="D145" s="518">
        <f t="shared" si="37"/>
        <v>37568</v>
      </c>
      <c r="E145" s="518">
        <f t="shared" si="37"/>
        <v>37508</v>
      </c>
      <c r="F145" s="520">
        <v>1.3959999999999999</v>
      </c>
      <c r="G145" s="521">
        <f t="shared" si="33"/>
        <v>0.05</v>
      </c>
      <c r="H145" s="521">
        <f t="shared" si="34"/>
        <v>6.0000000000000005E-2</v>
      </c>
      <c r="I145" s="521">
        <f t="shared" si="38"/>
        <v>8.1499999999999808</v>
      </c>
      <c r="J145" s="521">
        <f t="shared" si="38"/>
        <v>8.1999999999999815</v>
      </c>
      <c r="K145" s="521">
        <f t="shared" si="39"/>
        <v>1.410000000000001</v>
      </c>
      <c r="L145" s="505"/>
      <c r="M145" s="528"/>
      <c r="N145" s="505"/>
      <c r="O145" s="505"/>
      <c r="P145" s="505"/>
      <c r="Q145" s="505"/>
      <c r="R145" s="505"/>
      <c r="S145" s="505"/>
      <c r="T145" s="505"/>
      <c r="U145" s="505"/>
      <c r="V145" s="505"/>
      <c r="W145" s="505"/>
      <c r="X145" s="505"/>
      <c r="Y145" s="505"/>
      <c r="Z145" s="505"/>
      <c r="AA145" s="505"/>
      <c r="AB145" s="505"/>
      <c r="AC145" s="505"/>
      <c r="AD145" s="505"/>
      <c r="AE145" s="505"/>
      <c r="AF145" s="505"/>
      <c r="AG145" s="505"/>
      <c r="AH145" s="505"/>
      <c r="AI145" s="505"/>
      <c r="AJ145" s="505"/>
      <c r="AK145" s="505"/>
      <c r="AL145" s="505"/>
      <c r="AM145" s="505"/>
      <c r="AN145" s="505"/>
      <c r="AO145" s="505"/>
      <c r="AP145" s="505"/>
      <c r="AQ145" s="505"/>
      <c r="AR145" s="505"/>
      <c r="AS145" s="505"/>
      <c r="AT145" s="505"/>
      <c r="AU145" s="505"/>
      <c r="AV145" s="505"/>
      <c r="AW145" s="505"/>
      <c r="AX145" s="505"/>
      <c r="AY145" s="505"/>
      <c r="AZ145" s="505"/>
      <c r="BA145" s="505"/>
      <c r="BB145" s="505"/>
      <c r="BC145" s="505"/>
      <c r="BD145" s="505"/>
      <c r="BE145" s="505"/>
      <c r="BF145" s="505"/>
      <c r="BG145" s="505"/>
      <c r="BH145" s="505"/>
      <c r="BI145" s="505"/>
      <c r="BJ145" s="505"/>
      <c r="BK145" s="505"/>
      <c r="BL145" s="505"/>
      <c r="BM145" s="505"/>
      <c r="BN145" s="505"/>
      <c r="BO145" s="505"/>
      <c r="BP145" s="505"/>
      <c r="BQ145" s="505"/>
      <c r="BR145" s="505"/>
      <c r="BS145" s="505"/>
      <c r="BT145" s="505"/>
      <c r="BU145" s="505"/>
      <c r="BV145" s="505"/>
      <c r="BW145" s="505"/>
      <c r="BX145" s="505"/>
      <c r="BY145" s="505"/>
      <c r="BZ145" s="505"/>
      <c r="CA145" s="505"/>
      <c r="CB145" s="505"/>
      <c r="CC145" s="505"/>
      <c r="CD145" s="505"/>
      <c r="CE145" s="505"/>
      <c r="CF145" s="505"/>
      <c r="CG145" s="505"/>
      <c r="CH145" s="505"/>
      <c r="CI145" s="505"/>
      <c r="CJ145" s="505"/>
      <c r="CK145" s="505"/>
      <c r="CL145" s="505"/>
      <c r="CM145" s="505"/>
      <c r="CN145" s="505"/>
      <c r="CO145" s="505"/>
      <c r="CP145" s="505"/>
      <c r="CQ145" s="505"/>
      <c r="CR145" s="505"/>
      <c r="CS145" s="505"/>
      <c r="CT145" s="505"/>
      <c r="CU145" s="505"/>
      <c r="CV145" s="505"/>
      <c r="CW145" s="505"/>
      <c r="CX145" s="505"/>
      <c r="CY145" s="505"/>
      <c r="CZ145" s="505"/>
      <c r="DA145" s="505"/>
      <c r="DB145" s="505"/>
      <c r="DC145" s="505"/>
      <c r="DD145" s="505"/>
      <c r="DE145" s="505"/>
      <c r="DF145" s="505"/>
      <c r="DG145" s="505"/>
      <c r="DH145" s="505"/>
      <c r="DI145" s="505"/>
      <c r="DJ145" s="505"/>
      <c r="DK145" s="505"/>
      <c r="DL145" s="505"/>
      <c r="DM145" s="505"/>
      <c r="DN145" s="505"/>
      <c r="DO145" s="505"/>
      <c r="DP145" s="505"/>
    </row>
    <row r="146" spans="1:120" hidden="1" outlineLevel="1" x14ac:dyDescent="0.2">
      <c r="A146" s="517">
        <f t="shared" si="35"/>
        <v>37500</v>
      </c>
      <c r="B146" s="517" t="str">
        <f t="shared" si="32"/>
        <v>3Q02</v>
      </c>
      <c r="C146" s="517" t="str">
        <f t="shared" si="36"/>
        <v>4Q02</v>
      </c>
      <c r="D146" s="518">
        <f t="shared" si="37"/>
        <v>37575</v>
      </c>
      <c r="E146" s="518">
        <f t="shared" si="37"/>
        <v>37515</v>
      </c>
      <c r="F146" s="520">
        <v>1.4140000000000001</v>
      </c>
      <c r="G146" s="521">
        <f t="shared" si="33"/>
        <v>6.0000000000000005E-2</v>
      </c>
      <c r="H146" s="521">
        <f t="shared" si="34"/>
        <v>6.0000000000000005E-2</v>
      </c>
      <c r="I146" s="521">
        <f t="shared" si="38"/>
        <v>8.1999999999999815</v>
      </c>
      <c r="J146" s="521">
        <f t="shared" si="38"/>
        <v>8.2499999999999822</v>
      </c>
      <c r="K146" s="521">
        <f t="shared" si="39"/>
        <v>1.420000000000001</v>
      </c>
      <c r="L146" s="505"/>
      <c r="M146" s="528"/>
      <c r="N146" s="505"/>
      <c r="O146" s="505"/>
      <c r="P146" s="505"/>
      <c r="Q146" s="505"/>
      <c r="R146" s="505"/>
      <c r="S146" s="505"/>
      <c r="T146" s="505"/>
      <c r="U146" s="505"/>
      <c r="V146" s="505"/>
      <c r="W146" s="505"/>
      <c r="X146" s="505"/>
      <c r="Y146" s="505"/>
      <c r="Z146" s="505"/>
      <c r="AA146" s="505"/>
      <c r="AB146" s="505"/>
      <c r="AC146" s="505"/>
      <c r="AD146" s="505"/>
      <c r="AE146" s="505"/>
      <c r="AF146" s="505"/>
      <c r="AG146" s="505"/>
      <c r="AH146" s="505"/>
      <c r="AI146" s="505"/>
      <c r="AJ146" s="505"/>
      <c r="AK146" s="505"/>
      <c r="AL146" s="505"/>
      <c r="AM146" s="505"/>
      <c r="AN146" s="505"/>
      <c r="AO146" s="505"/>
      <c r="AP146" s="505"/>
      <c r="AQ146" s="505"/>
      <c r="AR146" s="505"/>
      <c r="AS146" s="505"/>
      <c r="AT146" s="505"/>
      <c r="AU146" s="505"/>
      <c r="AV146" s="505"/>
      <c r="AW146" s="505"/>
      <c r="AX146" s="505"/>
      <c r="AY146" s="505"/>
      <c r="AZ146" s="505"/>
      <c r="BA146" s="505"/>
      <c r="BB146" s="505"/>
      <c r="BC146" s="505"/>
      <c r="BD146" s="505"/>
      <c r="BE146" s="505"/>
      <c r="BF146" s="505"/>
      <c r="BG146" s="505"/>
      <c r="BH146" s="505"/>
      <c r="BI146" s="505"/>
      <c r="BJ146" s="505"/>
      <c r="BK146" s="505"/>
      <c r="BL146" s="505"/>
      <c r="BM146" s="505"/>
      <c r="BN146" s="505"/>
      <c r="BO146" s="505"/>
      <c r="BP146" s="505"/>
      <c r="BQ146" s="505"/>
      <c r="BR146" s="505"/>
      <c r="BS146" s="505"/>
      <c r="BT146" s="505"/>
      <c r="BU146" s="505"/>
      <c r="BV146" s="505"/>
      <c r="BW146" s="505"/>
      <c r="BX146" s="505"/>
      <c r="BY146" s="505"/>
      <c r="BZ146" s="505"/>
      <c r="CA146" s="505"/>
      <c r="CB146" s="505"/>
      <c r="CC146" s="505"/>
      <c r="CD146" s="505"/>
      <c r="CE146" s="505"/>
      <c r="CF146" s="505"/>
      <c r="CG146" s="505"/>
      <c r="CH146" s="505"/>
      <c r="CI146" s="505"/>
      <c r="CJ146" s="505"/>
      <c r="CK146" s="505"/>
      <c r="CL146" s="505"/>
      <c r="CM146" s="505"/>
      <c r="CN146" s="505"/>
      <c r="CO146" s="505"/>
      <c r="CP146" s="505"/>
      <c r="CQ146" s="505"/>
      <c r="CR146" s="505"/>
      <c r="CS146" s="505"/>
      <c r="CT146" s="505"/>
      <c r="CU146" s="505"/>
      <c r="CV146" s="505"/>
      <c r="CW146" s="505"/>
      <c r="CX146" s="505"/>
      <c r="CY146" s="505"/>
      <c r="CZ146" s="505"/>
      <c r="DA146" s="505"/>
      <c r="DB146" s="505"/>
      <c r="DC146" s="505"/>
      <c r="DD146" s="505"/>
      <c r="DE146" s="505"/>
      <c r="DF146" s="505"/>
      <c r="DG146" s="505"/>
      <c r="DH146" s="505"/>
      <c r="DI146" s="505"/>
      <c r="DJ146" s="505"/>
      <c r="DK146" s="505"/>
      <c r="DL146" s="505"/>
      <c r="DM146" s="505"/>
      <c r="DN146" s="505"/>
      <c r="DO146" s="505"/>
      <c r="DP146" s="505"/>
    </row>
    <row r="147" spans="1:120" hidden="1" outlineLevel="1" x14ac:dyDescent="0.2">
      <c r="A147" s="517">
        <f t="shared" si="35"/>
        <v>37500</v>
      </c>
      <c r="B147" s="517" t="str">
        <f t="shared" si="32"/>
        <v>3Q02</v>
      </c>
      <c r="C147" s="517" t="str">
        <f t="shared" si="36"/>
        <v>4Q02</v>
      </c>
      <c r="D147" s="518">
        <f t="shared" si="37"/>
        <v>37582</v>
      </c>
      <c r="E147" s="518">
        <f t="shared" si="37"/>
        <v>37522</v>
      </c>
      <c r="F147" s="520">
        <v>1.4169999999999998</v>
      </c>
      <c r="G147" s="521">
        <f t="shared" si="33"/>
        <v>6.0000000000000005E-2</v>
      </c>
      <c r="H147" s="521">
        <f t="shared" si="34"/>
        <v>6.0000000000000005E-2</v>
      </c>
      <c r="I147" s="521">
        <f t="shared" si="38"/>
        <v>8.2499999999999822</v>
      </c>
      <c r="J147" s="521">
        <f t="shared" si="38"/>
        <v>8.2999999999999829</v>
      </c>
      <c r="K147" s="521">
        <f t="shared" si="39"/>
        <v>1.430000000000001</v>
      </c>
      <c r="L147" s="505"/>
      <c r="M147" s="528"/>
      <c r="N147" s="505"/>
      <c r="O147" s="505"/>
      <c r="P147" s="505"/>
      <c r="Q147" s="505"/>
      <c r="R147" s="505"/>
      <c r="S147" s="505"/>
      <c r="T147" s="505"/>
      <c r="U147" s="505"/>
      <c r="V147" s="505"/>
      <c r="W147" s="505"/>
      <c r="X147" s="505"/>
      <c r="Y147" s="505"/>
      <c r="Z147" s="505"/>
      <c r="AA147" s="505"/>
      <c r="AB147" s="505"/>
      <c r="AC147" s="505"/>
      <c r="AD147" s="505"/>
      <c r="AE147" s="505"/>
      <c r="AF147" s="505"/>
      <c r="AG147" s="505"/>
      <c r="AH147" s="505"/>
      <c r="AI147" s="505"/>
      <c r="AJ147" s="505"/>
      <c r="AK147" s="505"/>
      <c r="AL147" s="505"/>
      <c r="AM147" s="505"/>
      <c r="AN147" s="505"/>
      <c r="AO147" s="505"/>
      <c r="AP147" s="505"/>
      <c r="AQ147" s="505"/>
      <c r="AR147" s="505"/>
      <c r="AS147" s="505"/>
      <c r="AT147" s="505"/>
      <c r="AU147" s="505"/>
      <c r="AV147" s="505"/>
      <c r="AW147" s="505"/>
      <c r="AX147" s="505"/>
      <c r="AY147" s="505"/>
      <c r="AZ147" s="505"/>
      <c r="BA147" s="505"/>
      <c r="BB147" s="505"/>
      <c r="BC147" s="505"/>
      <c r="BD147" s="505"/>
      <c r="BE147" s="505"/>
      <c r="BF147" s="505"/>
      <c r="BG147" s="505"/>
      <c r="BH147" s="505"/>
      <c r="BI147" s="505"/>
      <c r="BJ147" s="505"/>
      <c r="BK147" s="505"/>
      <c r="BL147" s="505"/>
      <c r="BM147" s="505"/>
      <c r="BN147" s="505"/>
      <c r="BO147" s="505"/>
      <c r="BP147" s="505"/>
      <c r="BQ147" s="505"/>
      <c r="BR147" s="505"/>
      <c r="BS147" s="505"/>
      <c r="BT147" s="505"/>
      <c r="BU147" s="505"/>
      <c r="BV147" s="505"/>
      <c r="BW147" s="505"/>
      <c r="BX147" s="505"/>
      <c r="BY147" s="505"/>
      <c r="BZ147" s="505"/>
      <c r="CA147" s="505"/>
      <c r="CB147" s="505"/>
      <c r="CC147" s="505"/>
      <c r="CD147" s="505"/>
      <c r="CE147" s="505"/>
      <c r="CF147" s="505"/>
      <c r="CG147" s="505"/>
      <c r="CH147" s="505"/>
      <c r="CI147" s="505"/>
      <c r="CJ147" s="505"/>
      <c r="CK147" s="505"/>
      <c r="CL147" s="505"/>
      <c r="CM147" s="505"/>
      <c r="CN147" s="505"/>
      <c r="CO147" s="505"/>
      <c r="CP147" s="505"/>
      <c r="CQ147" s="505"/>
      <c r="CR147" s="505"/>
      <c r="CS147" s="505"/>
      <c r="CT147" s="505"/>
      <c r="CU147" s="505"/>
      <c r="CV147" s="505"/>
      <c r="CW147" s="505"/>
      <c r="CX147" s="505"/>
      <c r="CY147" s="505"/>
      <c r="CZ147" s="505"/>
      <c r="DA147" s="505"/>
      <c r="DB147" s="505"/>
      <c r="DC147" s="505"/>
      <c r="DD147" s="505"/>
      <c r="DE147" s="505"/>
      <c r="DF147" s="505"/>
      <c r="DG147" s="505"/>
      <c r="DH147" s="505"/>
      <c r="DI147" s="505"/>
      <c r="DJ147" s="505"/>
      <c r="DK147" s="505"/>
      <c r="DL147" s="505"/>
      <c r="DM147" s="505"/>
      <c r="DN147" s="505"/>
      <c r="DO147" s="505"/>
      <c r="DP147" s="505"/>
    </row>
    <row r="148" spans="1:120" hidden="1" outlineLevel="1" x14ac:dyDescent="0.2">
      <c r="A148" s="517">
        <f t="shared" si="35"/>
        <v>37500</v>
      </c>
      <c r="B148" s="517" t="str">
        <f t="shared" si="32"/>
        <v>3Q02</v>
      </c>
      <c r="C148" s="517" t="str">
        <f t="shared" si="36"/>
        <v>4Q02</v>
      </c>
      <c r="D148" s="518">
        <f t="shared" si="37"/>
        <v>37589</v>
      </c>
      <c r="E148" s="518">
        <f t="shared" si="37"/>
        <v>37529</v>
      </c>
      <c r="F148" s="520">
        <v>1.4380000000000002</v>
      </c>
      <c r="G148" s="521">
        <f t="shared" si="33"/>
        <v>6.0000000000000005E-2</v>
      </c>
      <c r="H148" s="521">
        <f t="shared" si="34"/>
        <v>7.0000000000000007E-2</v>
      </c>
      <c r="I148" s="521">
        <f t="shared" si="38"/>
        <v>8.2999999999999829</v>
      </c>
      <c r="J148" s="521">
        <f t="shared" si="38"/>
        <v>8.3499999999999837</v>
      </c>
      <c r="K148" s="521">
        <f t="shared" si="39"/>
        <v>1.4400000000000011</v>
      </c>
      <c r="L148" s="505"/>
      <c r="M148" s="528"/>
      <c r="N148" s="505"/>
      <c r="O148" s="505"/>
      <c r="P148" s="505"/>
      <c r="Q148" s="505"/>
      <c r="R148" s="505"/>
      <c r="S148" s="505"/>
      <c r="T148" s="505"/>
      <c r="U148" s="505"/>
      <c r="V148" s="505"/>
      <c r="W148" s="505"/>
      <c r="X148" s="505"/>
      <c r="Y148" s="505"/>
      <c r="Z148" s="505"/>
      <c r="AA148" s="505"/>
      <c r="AB148" s="505"/>
      <c r="AC148" s="505"/>
      <c r="AD148" s="505"/>
      <c r="AE148" s="505"/>
      <c r="AF148" s="505"/>
      <c r="AG148" s="505"/>
      <c r="AH148" s="505"/>
      <c r="AI148" s="505"/>
      <c r="AJ148" s="505"/>
      <c r="AK148" s="505"/>
      <c r="AL148" s="505"/>
      <c r="AM148" s="505"/>
      <c r="AN148" s="505"/>
      <c r="AO148" s="505"/>
      <c r="AP148" s="505"/>
      <c r="AQ148" s="505"/>
      <c r="AR148" s="505"/>
      <c r="AS148" s="505"/>
      <c r="AT148" s="505"/>
      <c r="AU148" s="505"/>
      <c r="AV148" s="505"/>
      <c r="AW148" s="505"/>
      <c r="AX148" s="505"/>
      <c r="AY148" s="505"/>
      <c r="AZ148" s="505"/>
      <c r="BA148" s="505"/>
      <c r="BB148" s="505"/>
      <c r="BC148" s="505"/>
      <c r="BD148" s="505"/>
      <c r="BE148" s="505"/>
      <c r="BF148" s="505"/>
      <c r="BG148" s="505"/>
      <c r="BH148" s="505"/>
      <c r="BI148" s="505"/>
      <c r="BJ148" s="505"/>
      <c r="BK148" s="505"/>
      <c r="BL148" s="505"/>
      <c r="BM148" s="505"/>
      <c r="BN148" s="505"/>
      <c r="BO148" s="505"/>
      <c r="BP148" s="505"/>
      <c r="BQ148" s="505"/>
      <c r="BR148" s="505"/>
      <c r="BS148" s="505"/>
      <c r="BT148" s="505"/>
      <c r="BU148" s="505"/>
      <c r="BV148" s="505"/>
      <c r="BW148" s="505"/>
      <c r="BX148" s="505"/>
      <c r="BY148" s="505"/>
      <c r="BZ148" s="505"/>
      <c r="CA148" s="505"/>
      <c r="CB148" s="505"/>
      <c r="CC148" s="505"/>
      <c r="CD148" s="505"/>
      <c r="CE148" s="505"/>
      <c r="CF148" s="505"/>
      <c r="CG148" s="505"/>
      <c r="CH148" s="505"/>
      <c r="CI148" s="505"/>
      <c r="CJ148" s="505"/>
      <c r="CK148" s="505"/>
      <c r="CL148" s="505"/>
      <c r="CM148" s="505"/>
      <c r="CN148" s="505"/>
      <c r="CO148" s="505"/>
      <c r="CP148" s="505"/>
      <c r="CQ148" s="505"/>
      <c r="CR148" s="505"/>
      <c r="CS148" s="505"/>
      <c r="CT148" s="505"/>
      <c r="CU148" s="505"/>
      <c r="CV148" s="505"/>
      <c r="CW148" s="505"/>
      <c r="CX148" s="505"/>
      <c r="CY148" s="505"/>
      <c r="CZ148" s="505"/>
      <c r="DA148" s="505"/>
      <c r="DB148" s="505"/>
      <c r="DC148" s="505"/>
      <c r="DD148" s="505"/>
      <c r="DE148" s="505"/>
      <c r="DF148" s="505"/>
      <c r="DG148" s="505"/>
      <c r="DH148" s="505"/>
      <c r="DI148" s="505"/>
      <c r="DJ148" s="505"/>
      <c r="DK148" s="505"/>
      <c r="DL148" s="505"/>
      <c r="DM148" s="505"/>
      <c r="DN148" s="505"/>
      <c r="DO148" s="505"/>
      <c r="DP148" s="505"/>
    </row>
    <row r="149" spans="1:120" hidden="1" outlineLevel="1" x14ac:dyDescent="0.2">
      <c r="A149" s="517">
        <f t="shared" si="35"/>
        <v>37530</v>
      </c>
      <c r="B149" s="517" t="str">
        <f t="shared" si="32"/>
        <v>4Q02</v>
      </c>
      <c r="C149" s="517" t="str">
        <f t="shared" si="36"/>
        <v>4Q02</v>
      </c>
      <c r="D149" s="518">
        <f t="shared" si="37"/>
        <v>37596</v>
      </c>
      <c r="E149" s="518">
        <f t="shared" si="37"/>
        <v>37536</v>
      </c>
      <c r="F149" s="520">
        <v>1.46</v>
      </c>
      <c r="G149" s="521">
        <f t="shared" si="33"/>
        <v>7.0000000000000007E-2</v>
      </c>
      <c r="H149" s="521">
        <f t="shared" si="34"/>
        <v>7.0000000000000007E-2</v>
      </c>
      <c r="I149" s="521">
        <f t="shared" si="38"/>
        <v>8.3499999999999837</v>
      </c>
      <c r="J149" s="521">
        <f t="shared" si="38"/>
        <v>8.3999999999999844</v>
      </c>
      <c r="K149" s="521">
        <f t="shared" si="39"/>
        <v>1.4500000000000011</v>
      </c>
      <c r="L149" s="505"/>
      <c r="M149" s="528"/>
      <c r="N149" s="505"/>
      <c r="O149" s="505"/>
      <c r="P149" s="505"/>
      <c r="Q149" s="505"/>
      <c r="R149" s="505"/>
      <c r="S149" s="505"/>
      <c r="T149" s="505"/>
      <c r="U149" s="505"/>
      <c r="V149" s="505"/>
      <c r="W149" s="505"/>
      <c r="X149" s="505"/>
      <c r="Y149" s="505"/>
      <c r="Z149" s="505"/>
      <c r="AA149" s="505"/>
      <c r="AB149" s="505"/>
      <c r="AC149" s="505"/>
      <c r="AD149" s="505"/>
      <c r="AE149" s="505"/>
      <c r="AF149" s="505"/>
      <c r="AG149" s="505"/>
      <c r="AH149" s="505"/>
      <c r="AI149" s="505"/>
      <c r="AJ149" s="505"/>
      <c r="AK149" s="505"/>
      <c r="AL149" s="505"/>
      <c r="AM149" s="505"/>
      <c r="AN149" s="505"/>
      <c r="AO149" s="505"/>
      <c r="AP149" s="505"/>
      <c r="AQ149" s="505"/>
      <c r="AR149" s="505"/>
      <c r="AS149" s="505"/>
      <c r="AT149" s="505"/>
      <c r="AU149" s="505"/>
      <c r="AV149" s="505"/>
      <c r="AW149" s="505"/>
      <c r="AX149" s="505"/>
      <c r="AY149" s="505"/>
      <c r="AZ149" s="505"/>
      <c r="BA149" s="505"/>
      <c r="BB149" s="505"/>
      <c r="BC149" s="505"/>
      <c r="BD149" s="505"/>
      <c r="BE149" s="505"/>
      <c r="BF149" s="505"/>
      <c r="BG149" s="505"/>
      <c r="BH149" s="505"/>
      <c r="BI149" s="505"/>
      <c r="BJ149" s="505"/>
      <c r="BK149" s="505"/>
      <c r="BL149" s="505"/>
      <c r="BM149" s="505"/>
      <c r="BN149" s="505"/>
      <c r="BO149" s="505"/>
      <c r="BP149" s="505"/>
      <c r="BQ149" s="505"/>
      <c r="BR149" s="505"/>
      <c r="BS149" s="505"/>
      <c r="BT149" s="505"/>
      <c r="BU149" s="505"/>
      <c r="BV149" s="505"/>
      <c r="BW149" s="505"/>
      <c r="BX149" s="505"/>
      <c r="BY149" s="505"/>
      <c r="BZ149" s="505"/>
      <c r="CA149" s="505"/>
      <c r="CB149" s="505"/>
      <c r="CC149" s="505"/>
      <c r="CD149" s="505"/>
      <c r="CE149" s="505"/>
      <c r="CF149" s="505"/>
      <c r="CG149" s="505"/>
      <c r="CH149" s="505"/>
      <c r="CI149" s="505"/>
      <c r="CJ149" s="505"/>
      <c r="CK149" s="505"/>
      <c r="CL149" s="505"/>
      <c r="CM149" s="505"/>
      <c r="CN149" s="505"/>
      <c r="CO149" s="505"/>
      <c r="CP149" s="505"/>
      <c r="CQ149" s="505"/>
      <c r="CR149" s="505"/>
      <c r="CS149" s="505"/>
      <c r="CT149" s="505"/>
      <c r="CU149" s="505"/>
      <c r="CV149" s="505"/>
      <c r="CW149" s="505"/>
      <c r="CX149" s="505"/>
      <c r="CY149" s="505"/>
      <c r="CZ149" s="505"/>
      <c r="DA149" s="505"/>
      <c r="DB149" s="505"/>
      <c r="DC149" s="505"/>
      <c r="DD149" s="505"/>
      <c r="DE149" s="505"/>
      <c r="DF149" s="505"/>
      <c r="DG149" s="505"/>
      <c r="DH149" s="505"/>
      <c r="DI149" s="505"/>
      <c r="DJ149" s="505"/>
      <c r="DK149" s="505"/>
      <c r="DL149" s="505"/>
      <c r="DM149" s="505"/>
      <c r="DN149" s="505"/>
      <c r="DO149" s="505"/>
      <c r="DP149" s="505"/>
    </row>
    <row r="150" spans="1:120" hidden="1" outlineLevel="1" x14ac:dyDescent="0.2">
      <c r="A150" s="517">
        <f t="shared" si="35"/>
        <v>37530</v>
      </c>
      <c r="B150" s="517" t="str">
        <f t="shared" si="32"/>
        <v>4Q02</v>
      </c>
      <c r="C150" s="517" t="str">
        <f t="shared" si="36"/>
        <v>4Q02</v>
      </c>
      <c r="D150" s="518">
        <f t="shared" si="37"/>
        <v>37603</v>
      </c>
      <c r="E150" s="518">
        <f t="shared" si="37"/>
        <v>37543</v>
      </c>
      <c r="F150" s="520">
        <v>1.4609999999999999</v>
      </c>
      <c r="G150" s="521">
        <f t="shared" si="33"/>
        <v>7.0000000000000007E-2</v>
      </c>
      <c r="H150" s="521">
        <f t="shared" si="34"/>
        <v>7.0000000000000007E-2</v>
      </c>
      <c r="I150" s="521">
        <f t="shared" si="38"/>
        <v>8.3999999999999844</v>
      </c>
      <c r="J150" s="521">
        <f t="shared" si="38"/>
        <v>8.4499999999999851</v>
      </c>
      <c r="K150" s="521">
        <f t="shared" si="39"/>
        <v>1.4600000000000011</v>
      </c>
      <c r="L150" s="505"/>
      <c r="M150" s="528"/>
      <c r="N150" s="505"/>
      <c r="O150" s="505"/>
      <c r="P150" s="505"/>
      <c r="Q150" s="505"/>
      <c r="R150" s="505"/>
      <c r="S150" s="505"/>
      <c r="T150" s="505"/>
      <c r="U150" s="505"/>
      <c r="V150" s="505"/>
      <c r="W150" s="505"/>
      <c r="X150" s="505"/>
      <c r="Y150" s="505"/>
      <c r="Z150" s="505"/>
      <c r="AA150" s="505"/>
      <c r="AB150" s="505"/>
      <c r="AC150" s="505"/>
      <c r="AD150" s="505"/>
      <c r="AE150" s="505"/>
      <c r="AF150" s="505"/>
      <c r="AG150" s="505"/>
      <c r="AH150" s="505"/>
      <c r="AI150" s="505"/>
      <c r="AJ150" s="505"/>
      <c r="AK150" s="505"/>
      <c r="AL150" s="505"/>
      <c r="AM150" s="505"/>
      <c r="AN150" s="505"/>
      <c r="AO150" s="505"/>
      <c r="AP150" s="505"/>
      <c r="AQ150" s="505"/>
      <c r="AR150" s="505"/>
      <c r="AS150" s="505"/>
      <c r="AT150" s="505"/>
      <c r="AU150" s="505"/>
      <c r="AV150" s="505"/>
      <c r="AW150" s="505"/>
      <c r="AX150" s="505"/>
      <c r="AY150" s="505"/>
      <c r="AZ150" s="505"/>
      <c r="BA150" s="505"/>
      <c r="BB150" s="505"/>
      <c r="BC150" s="505"/>
      <c r="BD150" s="505"/>
      <c r="BE150" s="505"/>
      <c r="BF150" s="505"/>
      <c r="BG150" s="505"/>
      <c r="BH150" s="505"/>
      <c r="BI150" s="505"/>
      <c r="BJ150" s="505"/>
      <c r="BK150" s="505"/>
      <c r="BL150" s="505"/>
      <c r="BM150" s="505"/>
      <c r="BN150" s="505"/>
      <c r="BO150" s="505"/>
      <c r="BP150" s="505"/>
      <c r="BQ150" s="505"/>
      <c r="BR150" s="505"/>
      <c r="BS150" s="505"/>
      <c r="BT150" s="505"/>
      <c r="BU150" s="505"/>
      <c r="BV150" s="505"/>
      <c r="BW150" s="505"/>
      <c r="BX150" s="505"/>
      <c r="BY150" s="505"/>
      <c r="BZ150" s="505"/>
      <c r="CA150" s="505"/>
      <c r="CB150" s="505"/>
      <c r="CC150" s="505"/>
      <c r="CD150" s="505"/>
      <c r="CE150" s="505"/>
      <c r="CF150" s="505"/>
      <c r="CG150" s="505"/>
      <c r="CH150" s="505"/>
      <c r="CI150" s="505"/>
      <c r="CJ150" s="505"/>
      <c r="CK150" s="505"/>
      <c r="CL150" s="505"/>
      <c r="CM150" s="505"/>
      <c r="CN150" s="505"/>
      <c r="CO150" s="505"/>
      <c r="CP150" s="505"/>
      <c r="CQ150" s="505"/>
      <c r="CR150" s="505"/>
      <c r="CS150" s="505"/>
      <c r="CT150" s="505"/>
      <c r="CU150" s="505"/>
      <c r="CV150" s="505"/>
      <c r="CW150" s="505"/>
      <c r="CX150" s="505"/>
      <c r="CY150" s="505"/>
      <c r="CZ150" s="505"/>
      <c r="DA150" s="505"/>
      <c r="DB150" s="505"/>
      <c r="DC150" s="505"/>
      <c r="DD150" s="505"/>
      <c r="DE150" s="505"/>
      <c r="DF150" s="505"/>
      <c r="DG150" s="505"/>
      <c r="DH150" s="505"/>
      <c r="DI150" s="505"/>
      <c r="DJ150" s="505"/>
      <c r="DK150" s="505"/>
      <c r="DL150" s="505"/>
      <c r="DM150" s="505"/>
      <c r="DN150" s="505"/>
      <c r="DO150" s="505"/>
      <c r="DP150" s="505"/>
    </row>
    <row r="151" spans="1:120" hidden="1" outlineLevel="1" x14ac:dyDescent="0.2">
      <c r="A151" s="517">
        <f t="shared" si="35"/>
        <v>37530</v>
      </c>
      <c r="B151" s="517" t="str">
        <f t="shared" si="32"/>
        <v>4Q02</v>
      </c>
      <c r="C151" s="517" t="str">
        <f t="shared" si="36"/>
        <v>4Q02</v>
      </c>
      <c r="D151" s="518">
        <f t="shared" si="37"/>
        <v>37610</v>
      </c>
      <c r="E151" s="518">
        <f t="shared" si="37"/>
        <v>37550</v>
      </c>
      <c r="F151" s="520">
        <v>1.4690000000000001</v>
      </c>
      <c r="G151" s="521">
        <f t="shared" si="33"/>
        <v>7.0000000000000007E-2</v>
      </c>
      <c r="H151" s="521">
        <f t="shared" si="34"/>
        <v>7.0000000000000007E-2</v>
      </c>
      <c r="I151" s="521">
        <f t="shared" si="38"/>
        <v>8.4499999999999851</v>
      </c>
      <c r="J151" s="521">
        <f t="shared" si="38"/>
        <v>8.4999999999999858</v>
      </c>
      <c r="K151" s="521">
        <f t="shared" si="39"/>
        <v>1.4700000000000011</v>
      </c>
      <c r="L151" s="505"/>
      <c r="M151" s="528"/>
      <c r="N151" s="505"/>
      <c r="O151" s="505"/>
      <c r="P151" s="505"/>
      <c r="Q151" s="505"/>
      <c r="R151" s="505"/>
      <c r="S151" s="505"/>
      <c r="T151" s="505"/>
      <c r="U151" s="505"/>
      <c r="V151" s="505"/>
      <c r="W151" s="505"/>
      <c r="X151" s="505"/>
      <c r="Y151" s="505"/>
      <c r="Z151" s="505"/>
      <c r="AA151" s="505"/>
      <c r="AB151" s="505"/>
      <c r="AC151" s="505"/>
      <c r="AD151" s="505"/>
      <c r="AE151" s="505"/>
      <c r="AF151" s="505"/>
      <c r="AG151" s="505"/>
      <c r="AH151" s="505"/>
      <c r="AI151" s="505"/>
      <c r="AJ151" s="505"/>
      <c r="AK151" s="505"/>
      <c r="AL151" s="505"/>
      <c r="AM151" s="505"/>
      <c r="AN151" s="505"/>
      <c r="AO151" s="505"/>
      <c r="AP151" s="505"/>
      <c r="AQ151" s="505"/>
      <c r="AR151" s="505"/>
      <c r="AS151" s="505"/>
      <c r="AT151" s="505"/>
      <c r="AU151" s="505"/>
      <c r="AV151" s="505"/>
      <c r="AW151" s="505"/>
      <c r="AX151" s="505"/>
      <c r="AY151" s="505"/>
      <c r="AZ151" s="505"/>
      <c r="BA151" s="505"/>
      <c r="BB151" s="505"/>
      <c r="BC151" s="505"/>
      <c r="BD151" s="505"/>
      <c r="BE151" s="505"/>
      <c r="BF151" s="505"/>
      <c r="BG151" s="505"/>
      <c r="BH151" s="505"/>
      <c r="BI151" s="505"/>
      <c r="BJ151" s="505"/>
      <c r="BK151" s="505"/>
      <c r="BL151" s="505"/>
      <c r="BM151" s="505"/>
      <c r="BN151" s="505"/>
      <c r="BO151" s="505"/>
      <c r="BP151" s="505"/>
      <c r="BQ151" s="505"/>
      <c r="BR151" s="505"/>
      <c r="BS151" s="505"/>
      <c r="BT151" s="505"/>
      <c r="BU151" s="505"/>
      <c r="BV151" s="505"/>
      <c r="BW151" s="505"/>
      <c r="BX151" s="505"/>
      <c r="BY151" s="505"/>
      <c r="BZ151" s="505"/>
      <c r="CA151" s="505"/>
      <c r="CB151" s="505"/>
      <c r="CC151" s="505"/>
      <c r="CD151" s="505"/>
      <c r="CE151" s="505"/>
      <c r="CF151" s="505"/>
      <c r="CG151" s="505"/>
      <c r="CH151" s="505"/>
      <c r="CI151" s="505"/>
      <c r="CJ151" s="505"/>
      <c r="CK151" s="505"/>
      <c r="CL151" s="505"/>
      <c r="CM151" s="505"/>
      <c r="CN151" s="505"/>
      <c r="CO151" s="505"/>
      <c r="CP151" s="505"/>
      <c r="CQ151" s="505"/>
      <c r="CR151" s="505"/>
      <c r="CS151" s="505"/>
      <c r="CT151" s="505"/>
      <c r="CU151" s="505"/>
      <c r="CV151" s="505"/>
      <c r="CW151" s="505"/>
      <c r="CX151" s="505"/>
      <c r="CY151" s="505"/>
      <c r="CZ151" s="505"/>
      <c r="DA151" s="505"/>
      <c r="DB151" s="505"/>
      <c r="DC151" s="505"/>
      <c r="DD151" s="505"/>
      <c r="DE151" s="505"/>
      <c r="DF151" s="505"/>
      <c r="DG151" s="505"/>
      <c r="DH151" s="505"/>
      <c r="DI151" s="505"/>
      <c r="DJ151" s="505"/>
      <c r="DK151" s="505"/>
      <c r="DL151" s="505"/>
      <c r="DM151" s="505"/>
      <c r="DN151" s="505"/>
      <c r="DO151" s="505"/>
      <c r="DP151" s="505"/>
    </row>
    <row r="152" spans="1:120" hidden="1" outlineLevel="1" x14ac:dyDescent="0.2">
      <c r="A152" s="517">
        <f t="shared" si="35"/>
        <v>37530</v>
      </c>
      <c r="B152" s="517" t="str">
        <f t="shared" si="32"/>
        <v>4Q02</v>
      </c>
      <c r="C152" s="517" t="str">
        <f t="shared" si="36"/>
        <v>4Q02</v>
      </c>
      <c r="D152" s="518">
        <f t="shared" si="37"/>
        <v>37617</v>
      </c>
      <c r="E152" s="518">
        <f t="shared" si="37"/>
        <v>37557</v>
      </c>
      <c r="F152" s="520">
        <v>1.456</v>
      </c>
      <c r="G152" s="521">
        <f t="shared" si="33"/>
        <v>7.0000000000000007E-2</v>
      </c>
      <c r="H152" s="521">
        <f t="shared" si="34"/>
        <v>6.0000000000000005E-2</v>
      </c>
      <c r="I152" s="521">
        <f t="shared" si="38"/>
        <v>8.4999999999999858</v>
      </c>
      <c r="J152" s="521">
        <f t="shared" si="38"/>
        <v>8.5499999999999865</v>
      </c>
      <c r="K152" s="521">
        <f t="shared" si="39"/>
        <v>1.4800000000000011</v>
      </c>
      <c r="L152" s="505"/>
      <c r="M152" s="528"/>
      <c r="N152" s="505"/>
      <c r="O152" s="505"/>
      <c r="P152" s="505"/>
      <c r="Q152" s="505"/>
      <c r="R152" s="505"/>
      <c r="S152" s="505"/>
      <c r="T152" s="505"/>
      <c r="U152" s="505"/>
      <c r="V152" s="505"/>
      <c r="W152" s="505"/>
      <c r="X152" s="505"/>
      <c r="Y152" s="505"/>
      <c r="Z152" s="505"/>
      <c r="AA152" s="505"/>
      <c r="AB152" s="505"/>
      <c r="AC152" s="505"/>
      <c r="AD152" s="505"/>
      <c r="AE152" s="505"/>
      <c r="AF152" s="505"/>
      <c r="AG152" s="505"/>
      <c r="AH152" s="505"/>
      <c r="AI152" s="505"/>
      <c r="AJ152" s="505"/>
      <c r="AK152" s="505"/>
      <c r="AL152" s="505"/>
      <c r="AM152" s="505"/>
      <c r="AN152" s="505"/>
      <c r="AO152" s="505"/>
      <c r="AP152" s="505"/>
      <c r="AQ152" s="505"/>
      <c r="AR152" s="505"/>
      <c r="AS152" s="505"/>
      <c r="AT152" s="505"/>
      <c r="AU152" s="505"/>
      <c r="AV152" s="505"/>
      <c r="AW152" s="505"/>
      <c r="AX152" s="505"/>
      <c r="AY152" s="505"/>
      <c r="AZ152" s="505"/>
      <c r="BA152" s="505"/>
      <c r="BB152" s="505"/>
      <c r="BC152" s="505"/>
      <c r="BD152" s="505"/>
      <c r="BE152" s="505"/>
      <c r="BF152" s="505"/>
      <c r="BG152" s="505"/>
      <c r="BH152" s="505"/>
      <c r="BI152" s="505"/>
      <c r="BJ152" s="505"/>
      <c r="BK152" s="505"/>
      <c r="BL152" s="505"/>
      <c r="BM152" s="505"/>
      <c r="BN152" s="505"/>
      <c r="BO152" s="505"/>
      <c r="BP152" s="505"/>
      <c r="BQ152" s="505"/>
      <c r="BR152" s="505"/>
      <c r="BS152" s="505"/>
      <c r="BT152" s="505"/>
      <c r="BU152" s="505"/>
      <c r="BV152" s="505"/>
      <c r="BW152" s="505"/>
      <c r="BX152" s="505"/>
      <c r="BY152" s="505"/>
      <c r="BZ152" s="505"/>
      <c r="CA152" s="505"/>
      <c r="CB152" s="505"/>
      <c r="CC152" s="505"/>
      <c r="CD152" s="505"/>
      <c r="CE152" s="505"/>
      <c r="CF152" s="505"/>
      <c r="CG152" s="505"/>
      <c r="CH152" s="505"/>
      <c r="CI152" s="505"/>
      <c r="CJ152" s="505"/>
      <c r="CK152" s="505"/>
      <c r="CL152" s="505"/>
      <c r="CM152" s="505"/>
      <c r="CN152" s="505"/>
      <c r="CO152" s="505"/>
      <c r="CP152" s="505"/>
      <c r="CQ152" s="505"/>
      <c r="CR152" s="505"/>
      <c r="CS152" s="505"/>
      <c r="CT152" s="505"/>
      <c r="CU152" s="505"/>
      <c r="CV152" s="505"/>
      <c r="CW152" s="505"/>
      <c r="CX152" s="505"/>
      <c r="CY152" s="505"/>
      <c r="CZ152" s="505"/>
      <c r="DA152" s="505"/>
      <c r="DB152" s="505"/>
      <c r="DC152" s="505"/>
      <c r="DD152" s="505"/>
      <c r="DE152" s="505"/>
      <c r="DF152" s="505"/>
      <c r="DG152" s="505"/>
      <c r="DH152" s="505"/>
      <c r="DI152" s="505"/>
      <c r="DJ152" s="505"/>
      <c r="DK152" s="505"/>
      <c r="DL152" s="505"/>
      <c r="DM152" s="505"/>
      <c r="DN152" s="505"/>
      <c r="DO152" s="505"/>
      <c r="DP152" s="505"/>
    </row>
    <row r="153" spans="1:120" hidden="1" outlineLevel="1" x14ac:dyDescent="0.2">
      <c r="A153" s="517">
        <f t="shared" si="35"/>
        <v>37561</v>
      </c>
      <c r="B153" s="517" t="str">
        <f t="shared" si="32"/>
        <v>4Q02</v>
      </c>
      <c r="C153" s="517" t="str">
        <f t="shared" si="36"/>
        <v>1Q03</v>
      </c>
      <c r="D153" s="518">
        <f t="shared" si="37"/>
        <v>37624</v>
      </c>
      <c r="E153" s="518">
        <f t="shared" si="37"/>
        <v>37564</v>
      </c>
      <c r="F153" s="520">
        <v>1.4419999999999999</v>
      </c>
      <c r="G153" s="521">
        <f t="shared" si="33"/>
        <v>6.0000000000000005E-2</v>
      </c>
      <c r="H153" s="521">
        <f t="shared" si="34"/>
        <v>6.0000000000000005E-2</v>
      </c>
      <c r="I153" s="521">
        <f t="shared" si="38"/>
        <v>8.5499999999999865</v>
      </c>
      <c r="J153" s="521">
        <f t="shared" si="38"/>
        <v>8.5999999999999872</v>
      </c>
      <c r="K153" s="521">
        <f t="shared" si="39"/>
        <v>1.4900000000000011</v>
      </c>
      <c r="L153" s="505"/>
      <c r="M153" s="528"/>
      <c r="N153" s="505"/>
      <c r="O153" s="505"/>
      <c r="P153" s="505"/>
      <c r="Q153" s="505"/>
      <c r="R153" s="505"/>
      <c r="S153" s="505"/>
      <c r="T153" s="505"/>
      <c r="U153" s="505"/>
      <c r="V153" s="505"/>
      <c r="W153" s="505"/>
      <c r="X153" s="505"/>
      <c r="Y153" s="505"/>
      <c r="Z153" s="505"/>
      <c r="AA153" s="505"/>
      <c r="AB153" s="505"/>
      <c r="AC153" s="505"/>
      <c r="AD153" s="505"/>
      <c r="AE153" s="505"/>
      <c r="AF153" s="505"/>
      <c r="AG153" s="505"/>
      <c r="AH153" s="505"/>
      <c r="AI153" s="505"/>
      <c r="AJ153" s="505"/>
      <c r="AK153" s="505"/>
      <c r="AL153" s="505"/>
      <c r="AM153" s="505"/>
      <c r="AN153" s="505"/>
      <c r="AO153" s="505"/>
      <c r="AP153" s="505"/>
      <c r="AQ153" s="505"/>
      <c r="AR153" s="505"/>
      <c r="AS153" s="505"/>
      <c r="AT153" s="505"/>
      <c r="AU153" s="505"/>
      <c r="AV153" s="505"/>
      <c r="AW153" s="505"/>
      <c r="AX153" s="505"/>
      <c r="AY153" s="505"/>
      <c r="AZ153" s="505"/>
      <c r="BA153" s="505"/>
      <c r="BB153" s="505"/>
      <c r="BC153" s="505"/>
      <c r="BD153" s="505"/>
      <c r="BE153" s="505"/>
      <c r="BF153" s="505"/>
      <c r="BG153" s="505"/>
      <c r="BH153" s="505"/>
      <c r="BI153" s="505"/>
      <c r="BJ153" s="505"/>
      <c r="BK153" s="505"/>
      <c r="BL153" s="505"/>
      <c r="BM153" s="505"/>
      <c r="BN153" s="505"/>
      <c r="BO153" s="505"/>
      <c r="BP153" s="505"/>
      <c r="BQ153" s="505"/>
      <c r="BR153" s="505"/>
      <c r="BS153" s="505"/>
      <c r="BT153" s="505"/>
      <c r="BU153" s="505"/>
      <c r="BV153" s="505"/>
      <c r="BW153" s="505"/>
      <c r="BX153" s="505"/>
      <c r="BY153" s="505"/>
      <c r="BZ153" s="505"/>
      <c r="CA153" s="505"/>
      <c r="CB153" s="505"/>
      <c r="CC153" s="505"/>
      <c r="CD153" s="505"/>
      <c r="CE153" s="505"/>
      <c r="CF153" s="505"/>
      <c r="CG153" s="505"/>
      <c r="CH153" s="505"/>
      <c r="CI153" s="505"/>
      <c r="CJ153" s="505"/>
      <c r="CK153" s="505"/>
      <c r="CL153" s="505"/>
      <c r="CM153" s="505"/>
      <c r="CN153" s="505"/>
      <c r="CO153" s="505"/>
      <c r="CP153" s="505"/>
      <c r="CQ153" s="505"/>
      <c r="CR153" s="505"/>
      <c r="CS153" s="505"/>
      <c r="CT153" s="505"/>
      <c r="CU153" s="505"/>
      <c r="CV153" s="505"/>
      <c r="CW153" s="505"/>
      <c r="CX153" s="505"/>
      <c r="CY153" s="505"/>
      <c r="CZ153" s="505"/>
      <c r="DA153" s="505"/>
      <c r="DB153" s="505"/>
      <c r="DC153" s="505"/>
      <c r="DD153" s="505"/>
      <c r="DE153" s="505"/>
      <c r="DF153" s="505"/>
      <c r="DG153" s="505"/>
      <c r="DH153" s="505"/>
      <c r="DI153" s="505"/>
      <c r="DJ153" s="505"/>
      <c r="DK153" s="505"/>
      <c r="DL153" s="505"/>
      <c r="DM153" s="505"/>
      <c r="DN153" s="505"/>
      <c r="DO153" s="505"/>
      <c r="DP153" s="505"/>
    </row>
    <row r="154" spans="1:120" hidden="1" outlineLevel="1" x14ac:dyDescent="0.2">
      <c r="A154" s="517">
        <f t="shared" si="35"/>
        <v>37561</v>
      </c>
      <c r="B154" s="517" t="str">
        <f t="shared" si="32"/>
        <v>4Q02</v>
      </c>
      <c r="C154" s="517" t="str">
        <f t="shared" si="36"/>
        <v>1Q03</v>
      </c>
      <c r="D154" s="518">
        <f t="shared" si="37"/>
        <v>37631</v>
      </c>
      <c r="E154" s="518">
        <f t="shared" si="37"/>
        <v>37571</v>
      </c>
      <c r="F154" s="520">
        <v>1.4269999999999998</v>
      </c>
      <c r="G154" s="521">
        <f t="shared" si="33"/>
        <v>6.0000000000000005E-2</v>
      </c>
      <c r="H154" s="521">
        <f t="shared" si="34"/>
        <v>6.0000000000000005E-2</v>
      </c>
      <c r="I154" s="521"/>
      <c r="J154" s="521"/>
      <c r="K154" s="521"/>
      <c r="L154" s="505"/>
      <c r="M154" s="528"/>
      <c r="N154" s="505"/>
      <c r="O154" s="505"/>
      <c r="P154" s="505"/>
      <c r="Q154" s="505"/>
      <c r="R154" s="505"/>
      <c r="S154" s="505"/>
      <c r="T154" s="505"/>
      <c r="U154" s="505"/>
      <c r="V154" s="505"/>
      <c r="W154" s="505"/>
      <c r="X154" s="505"/>
      <c r="Y154" s="505"/>
      <c r="Z154" s="505"/>
      <c r="AA154" s="505"/>
      <c r="AB154" s="505"/>
      <c r="AC154" s="505"/>
      <c r="AD154" s="505"/>
      <c r="AE154" s="505"/>
      <c r="AF154" s="505"/>
      <c r="AG154" s="505"/>
      <c r="AH154" s="505"/>
      <c r="AI154" s="505"/>
      <c r="AJ154" s="505"/>
      <c r="AK154" s="505"/>
      <c r="AL154" s="505"/>
      <c r="AM154" s="505"/>
      <c r="AN154" s="505"/>
      <c r="AO154" s="505"/>
      <c r="AP154" s="505"/>
      <c r="AQ154" s="505"/>
      <c r="AR154" s="505"/>
      <c r="AS154" s="505"/>
      <c r="AT154" s="505"/>
      <c r="AU154" s="505"/>
      <c r="AV154" s="505"/>
      <c r="AW154" s="505"/>
      <c r="AX154" s="505"/>
      <c r="AY154" s="505"/>
      <c r="AZ154" s="505"/>
      <c r="BA154" s="505"/>
      <c r="BB154" s="505"/>
      <c r="BC154" s="505"/>
      <c r="BD154" s="505"/>
      <c r="BE154" s="505"/>
      <c r="BF154" s="505"/>
      <c r="BG154" s="505"/>
      <c r="BH154" s="505"/>
      <c r="BI154" s="505"/>
      <c r="BJ154" s="505"/>
      <c r="BK154" s="505"/>
      <c r="BL154" s="505"/>
      <c r="BM154" s="505"/>
      <c r="BN154" s="505"/>
      <c r="BO154" s="505"/>
      <c r="BP154" s="505"/>
      <c r="BQ154" s="505"/>
      <c r="BR154" s="505"/>
      <c r="BS154" s="505"/>
      <c r="BT154" s="505"/>
      <c r="BU154" s="505"/>
      <c r="BV154" s="505"/>
      <c r="BW154" s="505"/>
      <c r="BX154" s="505"/>
      <c r="BY154" s="505"/>
      <c r="BZ154" s="505"/>
      <c r="CA154" s="505"/>
      <c r="CB154" s="505"/>
      <c r="CC154" s="505"/>
      <c r="CD154" s="505"/>
      <c r="CE154" s="505"/>
      <c r="CF154" s="505"/>
      <c r="CG154" s="505"/>
      <c r="CH154" s="505"/>
      <c r="CI154" s="505"/>
      <c r="CJ154" s="505"/>
      <c r="CK154" s="505"/>
      <c r="CL154" s="505"/>
      <c r="CM154" s="505"/>
      <c r="CN154" s="505"/>
      <c r="CO154" s="505"/>
      <c r="CP154" s="505"/>
      <c r="CQ154" s="505"/>
      <c r="CR154" s="505"/>
      <c r="CS154" s="505"/>
      <c r="CT154" s="505"/>
      <c r="CU154" s="505"/>
      <c r="CV154" s="505"/>
      <c r="CW154" s="505"/>
      <c r="CX154" s="505"/>
      <c r="CY154" s="505"/>
      <c r="CZ154" s="505"/>
      <c r="DA154" s="505"/>
      <c r="DB154" s="505"/>
      <c r="DC154" s="505"/>
      <c r="DD154" s="505"/>
      <c r="DE154" s="505"/>
      <c r="DF154" s="505"/>
      <c r="DG154" s="505"/>
      <c r="DH154" s="505"/>
      <c r="DI154" s="505"/>
      <c r="DJ154" s="505"/>
      <c r="DK154" s="505"/>
      <c r="DL154" s="505"/>
      <c r="DM154" s="505"/>
      <c r="DN154" s="505"/>
      <c r="DO154" s="505"/>
      <c r="DP154" s="505"/>
    </row>
    <row r="155" spans="1:120" hidden="1" outlineLevel="1" x14ac:dyDescent="0.2">
      <c r="A155" s="517">
        <f t="shared" si="35"/>
        <v>37561</v>
      </c>
      <c r="B155" s="517" t="str">
        <f t="shared" si="32"/>
        <v>4Q02</v>
      </c>
      <c r="C155" s="517" t="str">
        <f t="shared" si="36"/>
        <v>1Q03</v>
      </c>
      <c r="D155" s="518">
        <f t="shared" si="37"/>
        <v>37638</v>
      </c>
      <c r="E155" s="518">
        <f t="shared" si="37"/>
        <v>37578</v>
      </c>
      <c r="F155" s="520">
        <v>1.405</v>
      </c>
      <c r="G155" s="521">
        <f t="shared" si="33"/>
        <v>6.0000000000000005E-2</v>
      </c>
      <c r="H155" s="521">
        <f t="shared" si="34"/>
        <v>6.0000000000000005E-2</v>
      </c>
      <c r="I155" s="521"/>
      <c r="J155" s="521"/>
      <c r="K155" s="521"/>
      <c r="L155" s="505"/>
      <c r="M155" s="528"/>
      <c r="N155" s="505"/>
      <c r="O155" s="505"/>
      <c r="P155" s="505"/>
      <c r="Q155" s="505"/>
      <c r="R155" s="505"/>
      <c r="S155" s="505"/>
      <c r="T155" s="505"/>
      <c r="U155" s="505"/>
      <c r="V155" s="505"/>
      <c r="W155" s="505"/>
      <c r="X155" s="505"/>
      <c r="Y155" s="505"/>
      <c r="Z155" s="505"/>
      <c r="AA155" s="505"/>
      <c r="AB155" s="505"/>
      <c r="AC155" s="505"/>
      <c r="AD155" s="505"/>
      <c r="AE155" s="505"/>
      <c r="AF155" s="505"/>
      <c r="AG155" s="505"/>
      <c r="AH155" s="505"/>
      <c r="AI155" s="505"/>
      <c r="AJ155" s="505"/>
      <c r="AK155" s="505"/>
      <c r="AL155" s="505"/>
      <c r="AM155" s="505"/>
      <c r="AN155" s="505"/>
      <c r="AO155" s="505"/>
      <c r="AP155" s="505"/>
      <c r="AQ155" s="505"/>
      <c r="AR155" s="505"/>
      <c r="AS155" s="505"/>
      <c r="AT155" s="505"/>
      <c r="AU155" s="505"/>
      <c r="AV155" s="505"/>
      <c r="AW155" s="505"/>
      <c r="AX155" s="505"/>
      <c r="AY155" s="505"/>
      <c r="AZ155" s="505"/>
      <c r="BA155" s="505"/>
      <c r="BB155" s="505"/>
      <c r="BC155" s="505"/>
      <c r="BD155" s="505"/>
      <c r="BE155" s="505"/>
      <c r="BF155" s="505"/>
      <c r="BG155" s="505"/>
      <c r="BH155" s="505"/>
      <c r="BI155" s="505"/>
      <c r="BJ155" s="505"/>
      <c r="BK155" s="505"/>
      <c r="BL155" s="505"/>
      <c r="BM155" s="505"/>
      <c r="BN155" s="505"/>
      <c r="BO155" s="505"/>
      <c r="BP155" s="505"/>
      <c r="BQ155" s="505"/>
      <c r="BR155" s="505"/>
      <c r="BS155" s="505"/>
      <c r="BT155" s="505"/>
      <c r="BU155" s="505"/>
      <c r="BV155" s="505"/>
      <c r="BW155" s="505"/>
      <c r="BX155" s="505"/>
      <c r="BY155" s="505"/>
      <c r="BZ155" s="505"/>
      <c r="CA155" s="505"/>
      <c r="CB155" s="505"/>
      <c r="CC155" s="505"/>
      <c r="CD155" s="505"/>
      <c r="CE155" s="505"/>
      <c r="CF155" s="505"/>
      <c r="CG155" s="505"/>
      <c r="CH155" s="505"/>
      <c r="CI155" s="505"/>
      <c r="CJ155" s="505"/>
      <c r="CK155" s="505"/>
      <c r="CL155" s="505"/>
      <c r="CM155" s="505"/>
      <c r="CN155" s="505"/>
      <c r="CO155" s="505"/>
      <c r="CP155" s="505"/>
      <c r="CQ155" s="505"/>
      <c r="CR155" s="505"/>
      <c r="CS155" s="505"/>
      <c r="CT155" s="505"/>
      <c r="CU155" s="505"/>
      <c r="CV155" s="505"/>
      <c r="CW155" s="505"/>
      <c r="CX155" s="505"/>
      <c r="CY155" s="505"/>
      <c r="CZ155" s="505"/>
      <c r="DA155" s="505"/>
      <c r="DB155" s="505"/>
      <c r="DC155" s="505"/>
      <c r="DD155" s="505"/>
      <c r="DE155" s="505"/>
      <c r="DF155" s="505"/>
      <c r="DG155" s="505"/>
      <c r="DH155" s="505"/>
      <c r="DI155" s="505"/>
      <c r="DJ155" s="505"/>
      <c r="DK155" s="505"/>
      <c r="DL155" s="505"/>
      <c r="DM155" s="505"/>
      <c r="DN155" s="505"/>
      <c r="DO155" s="505"/>
      <c r="DP155" s="505"/>
    </row>
    <row r="156" spans="1:120" hidden="1" outlineLevel="1" x14ac:dyDescent="0.2">
      <c r="A156" s="517">
        <f t="shared" si="35"/>
        <v>37561</v>
      </c>
      <c r="B156" s="517" t="str">
        <f t="shared" si="32"/>
        <v>4Q02</v>
      </c>
      <c r="C156" s="517" t="str">
        <f t="shared" si="36"/>
        <v>1Q03</v>
      </c>
      <c r="D156" s="518">
        <f t="shared" si="37"/>
        <v>37645</v>
      </c>
      <c r="E156" s="518">
        <f t="shared" si="37"/>
        <v>37585</v>
      </c>
      <c r="F156" s="520">
        <v>1.405</v>
      </c>
      <c r="G156" s="521">
        <f t="shared" si="33"/>
        <v>6.0000000000000005E-2</v>
      </c>
      <c r="H156" s="521">
        <f t="shared" si="34"/>
        <v>6.0000000000000005E-2</v>
      </c>
      <c r="I156" s="521"/>
      <c r="J156" s="521"/>
      <c r="K156" s="521"/>
      <c r="L156" s="505"/>
      <c r="M156" s="528"/>
      <c r="N156" s="505"/>
      <c r="O156" s="505"/>
      <c r="P156" s="505"/>
      <c r="Q156" s="505"/>
      <c r="R156" s="505"/>
      <c r="S156" s="505"/>
      <c r="T156" s="505"/>
      <c r="U156" s="505"/>
      <c r="V156" s="505"/>
      <c r="W156" s="505"/>
      <c r="X156" s="505"/>
      <c r="Y156" s="505"/>
      <c r="Z156" s="505"/>
      <c r="AA156" s="505"/>
      <c r="AB156" s="505"/>
      <c r="AC156" s="505"/>
      <c r="AD156" s="505"/>
      <c r="AE156" s="505"/>
      <c r="AF156" s="505"/>
      <c r="AG156" s="505"/>
      <c r="AH156" s="505"/>
      <c r="AI156" s="505"/>
      <c r="AJ156" s="505"/>
      <c r="AK156" s="505"/>
      <c r="AL156" s="505"/>
      <c r="AM156" s="505"/>
      <c r="AN156" s="505"/>
      <c r="AO156" s="505"/>
      <c r="AP156" s="505"/>
      <c r="AQ156" s="505"/>
      <c r="AR156" s="505"/>
      <c r="AS156" s="505"/>
      <c r="AT156" s="505"/>
      <c r="AU156" s="505"/>
      <c r="AV156" s="505"/>
      <c r="AW156" s="505"/>
      <c r="AX156" s="505"/>
      <c r="AY156" s="505"/>
      <c r="AZ156" s="505"/>
      <c r="BA156" s="505"/>
      <c r="BB156" s="505"/>
      <c r="BC156" s="505"/>
      <c r="BD156" s="505"/>
      <c r="BE156" s="505"/>
      <c r="BF156" s="505"/>
      <c r="BG156" s="505"/>
      <c r="BH156" s="505"/>
      <c r="BI156" s="505"/>
      <c r="BJ156" s="505"/>
      <c r="BK156" s="505"/>
      <c r="BL156" s="505"/>
      <c r="BM156" s="505"/>
      <c r="BN156" s="505"/>
      <c r="BO156" s="505"/>
      <c r="BP156" s="505"/>
      <c r="BQ156" s="505"/>
      <c r="BR156" s="505"/>
      <c r="BS156" s="505"/>
      <c r="BT156" s="505"/>
      <c r="BU156" s="505"/>
      <c r="BV156" s="505"/>
      <c r="BW156" s="505"/>
      <c r="BX156" s="505"/>
      <c r="BY156" s="505"/>
      <c r="BZ156" s="505"/>
      <c r="CA156" s="505"/>
      <c r="CB156" s="505"/>
      <c r="CC156" s="505"/>
      <c r="CD156" s="505"/>
      <c r="CE156" s="505"/>
      <c r="CF156" s="505"/>
      <c r="CG156" s="505"/>
      <c r="CH156" s="505"/>
      <c r="CI156" s="505"/>
      <c r="CJ156" s="505"/>
      <c r="CK156" s="505"/>
      <c r="CL156" s="505"/>
      <c r="CM156" s="505"/>
      <c r="CN156" s="505"/>
      <c r="CO156" s="505"/>
      <c r="CP156" s="505"/>
      <c r="CQ156" s="505"/>
      <c r="CR156" s="505"/>
      <c r="CS156" s="505"/>
      <c r="CT156" s="505"/>
      <c r="CU156" s="505"/>
      <c r="CV156" s="505"/>
      <c r="CW156" s="505"/>
      <c r="CX156" s="505"/>
      <c r="CY156" s="505"/>
      <c r="CZ156" s="505"/>
      <c r="DA156" s="505"/>
      <c r="DB156" s="505"/>
      <c r="DC156" s="505"/>
      <c r="DD156" s="505"/>
      <c r="DE156" s="505"/>
      <c r="DF156" s="505"/>
      <c r="DG156" s="505"/>
      <c r="DH156" s="505"/>
      <c r="DI156" s="505"/>
      <c r="DJ156" s="505"/>
      <c r="DK156" s="505"/>
      <c r="DL156" s="505"/>
      <c r="DM156" s="505"/>
      <c r="DN156" s="505"/>
      <c r="DO156" s="505"/>
      <c r="DP156" s="505"/>
    </row>
    <row r="157" spans="1:120" hidden="1" outlineLevel="1" x14ac:dyDescent="0.2">
      <c r="A157" s="517">
        <f t="shared" si="35"/>
        <v>37591</v>
      </c>
      <c r="B157" s="517" t="str">
        <f t="shared" si="32"/>
        <v>4Q02</v>
      </c>
      <c r="C157" s="517" t="str">
        <f t="shared" si="36"/>
        <v>1Q03</v>
      </c>
      <c r="D157" s="518">
        <f t="shared" si="37"/>
        <v>37652</v>
      </c>
      <c r="E157" s="518">
        <f t="shared" si="37"/>
        <v>37592</v>
      </c>
      <c r="F157" s="520">
        <v>1.4069999999999998</v>
      </c>
      <c r="G157" s="521">
        <f t="shared" si="33"/>
        <v>6.0000000000000005E-2</v>
      </c>
      <c r="H157" s="521">
        <f t="shared" si="34"/>
        <v>6.0000000000000005E-2</v>
      </c>
      <c r="I157" s="521"/>
      <c r="J157" s="521"/>
      <c r="K157" s="521"/>
      <c r="L157" s="505"/>
      <c r="M157" s="528"/>
      <c r="N157" s="505"/>
      <c r="O157" s="505"/>
      <c r="P157" s="505"/>
      <c r="Q157" s="505"/>
      <c r="R157" s="505"/>
      <c r="S157" s="505"/>
      <c r="T157" s="505"/>
      <c r="U157" s="505"/>
      <c r="V157" s="505"/>
      <c r="W157" s="505"/>
      <c r="X157" s="505"/>
      <c r="Y157" s="505"/>
      <c r="Z157" s="505"/>
      <c r="AA157" s="505"/>
      <c r="AB157" s="505"/>
      <c r="AC157" s="505"/>
      <c r="AD157" s="505"/>
      <c r="AE157" s="505"/>
      <c r="AF157" s="505"/>
      <c r="AG157" s="505"/>
      <c r="AH157" s="505"/>
      <c r="AI157" s="505"/>
      <c r="AJ157" s="505"/>
      <c r="AK157" s="505"/>
      <c r="AL157" s="505"/>
      <c r="AM157" s="505"/>
      <c r="AN157" s="505"/>
      <c r="AO157" s="505"/>
      <c r="AP157" s="505"/>
      <c r="AQ157" s="505"/>
      <c r="AR157" s="505"/>
      <c r="AS157" s="505"/>
      <c r="AT157" s="505"/>
      <c r="AU157" s="505"/>
      <c r="AV157" s="505"/>
      <c r="AW157" s="505"/>
      <c r="AX157" s="505"/>
      <c r="AY157" s="505"/>
      <c r="AZ157" s="505"/>
      <c r="BA157" s="505"/>
      <c r="BB157" s="505"/>
      <c r="BC157" s="505"/>
      <c r="BD157" s="505"/>
      <c r="BE157" s="505"/>
      <c r="BF157" s="505"/>
      <c r="BG157" s="505"/>
      <c r="BH157" s="505"/>
      <c r="BI157" s="505"/>
      <c r="BJ157" s="505"/>
      <c r="BK157" s="505"/>
      <c r="BL157" s="505"/>
      <c r="BM157" s="505"/>
      <c r="BN157" s="505"/>
      <c r="BO157" s="505"/>
      <c r="BP157" s="505"/>
      <c r="BQ157" s="505"/>
      <c r="BR157" s="505"/>
      <c r="BS157" s="505"/>
      <c r="BT157" s="505"/>
      <c r="BU157" s="505"/>
      <c r="BV157" s="505"/>
      <c r="BW157" s="505"/>
      <c r="BX157" s="505"/>
      <c r="BY157" s="505"/>
      <c r="BZ157" s="505"/>
      <c r="CA157" s="505"/>
      <c r="CB157" s="505"/>
      <c r="CC157" s="505"/>
      <c r="CD157" s="505"/>
      <c r="CE157" s="505"/>
      <c r="CF157" s="505"/>
      <c r="CG157" s="505"/>
      <c r="CH157" s="505"/>
      <c r="CI157" s="505"/>
      <c r="CJ157" s="505"/>
      <c r="CK157" s="505"/>
      <c r="CL157" s="505"/>
      <c r="CM157" s="505"/>
      <c r="CN157" s="505"/>
      <c r="CO157" s="505"/>
      <c r="CP157" s="505"/>
      <c r="CQ157" s="505"/>
      <c r="CR157" s="505"/>
      <c r="CS157" s="505"/>
      <c r="CT157" s="505"/>
      <c r="CU157" s="505"/>
      <c r="CV157" s="505"/>
      <c r="CW157" s="505"/>
      <c r="CX157" s="505"/>
      <c r="CY157" s="505"/>
      <c r="CZ157" s="505"/>
      <c r="DA157" s="505"/>
      <c r="DB157" s="505"/>
      <c r="DC157" s="505"/>
      <c r="DD157" s="505"/>
      <c r="DE157" s="505"/>
      <c r="DF157" s="505"/>
      <c r="DG157" s="505"/>
      <c r="DH157" s="505"/>
      <c r="DI157" s="505"/>
      <c r="DJ157" s="505"/>
      <c r="DK157" s="505"/>
      <c r="DL157" s="505"/>
      <c r="DM157" s="505"/>
      <c r="DN157" s="505"/>
      <c r="DO157" s="505"/>
      <c r="DP157" s="505"/>
    </row>
    <row r="158" spans="1:120" hidden="1" outlineLevel="1" x14ac:dyDescent="0.2">
      <c r="A158" s="517">
        <f t="shared" si="35"/>
        <v>37591</v>
      </c>
      <c r="B158" s="517" t="str">
        <f t="shared" si="32"/>
        <v>4Q02</v>
      </c>
      <c r="C158" s="517" t="str">
        <f t="shared" si="36"/>
        <v>1Q03</v>
      </c>
      <c r="D158" s="518">
        <f t="shared" si="37"/>
        <v>37659</v>
      </c>
      <c r="E158" s="518">
        <f t="shared" si="37"/>
        <v>37599</v>
      </c>
      <c r="F158" s="520">
        <v>1.405</v>
      </c>
      <c r="G158" s="521">
        <f t="shared" si="33"/>
        <v>6.0000000000000005E-2</v>
      </c>
      <c r="H158" s="521">
        <f t="shared" si="34"/>
        <v>6.0000000000000005E-2</v>
      </c>
      <c r="I158" s="521"/>
      <c r="J158" s="521"/>
      <c r="K158" s="521"/>
      <c r="L158" s="505"/>
      <c r="M158" s="528"/>
      <c r="N158" s="505"/>
      <c r="O158" s="505"/>
      <c r="P158" s="505"/>
      <c r="Q158" s="505"/>
      <c r="R158" s="505"/>
      <c r="S158" s="505"/>
      <c r="T158" s="505"/>
      <c r="U158" s="505"/>
      <c r="V158" s="505"/>
      <c r="W158" s="505"/>
      <c r="X158" s="505"/>
      <c r="Y158" s="505"/>
      <c r="Z158" s="505"/>
      <c r="AA158" s="505"/>
      <c r="AB158" s="505"/>
      <c r="AC158" s="505"/>
      <c r="AD158" s="505"/>
      <c r="AE158" s="505"/>
      <c r="AF158" s="505"/>
      <c r="AG158" s="505"/>
      <c r="AH158" s="505"/>
      <c r="AI158" s="505"/>
      <c r="AJ158" s="505"/>
      <c r="AK158" s="505"/>
      <c r="AL158" s="505"/>
      <c r="AM158" s="505"/>
      <c r="AN158" s="505"/>
      <c r="AO158" s="505"/>
      <c r="AP158" s="505"/>
      <c r="AQ158" s="505"/>
      <c r="AR158" s="505"/>
      <c r="AS158" s="505"/>
      <c r="AT158" s="505"/>
      <c r="AU158" s="505"/>
      <c r="AV158" s="505"/>
      <c r="AW158" s="505"/>
      <c r="AX158" s="505"/>
      <c r="AY158" s="505"/>
      <c r="AZ158" s="505"/>
      <c r="BA158" s="505"/>
      <c r="BB158" s="505"/>
      <c r="BC158" s="505"/>
      <c r="BD158" s="505"/>
      <c r="BE158" s="505"/>
      <c r="BF158" s="505"/>
      <c r="BG158" s="505"/>
      <c r="BH158" s="505"/>
      <c r="BI158" s="505"/>
      <c r="BJ158" s="505"/>
      <c r="BK158" s="505"/>
      <c r="BL158" s="505"/>
      <c r="BM158" s="505"/>
      <c r="BN158" s="505"/>
      <c r="BO158" s="505"/>
      <c r="BP158" s="505"/>
      <c r="BQ158" s="505"/>
      <c r="BR158" s="505"/>
      <c r="BS158" s="505"/>
      <c r="BT158" s="505"/>
      <c r="BU158" s="505"/>
      <c r="BV158" s="505"/>
      <c r="BW158" s="505"/>
      <c r="BX158" s="505"/>
      <c r="BY158" s="505"/>
      <c r="BZ158" s="505"/>
      <c r="CA158" s="505"/>
      <c r="CB158" s="505"/>
      <c r="CC158" s="505"/>
      <c r="CD158" s="505"/>
      <c r="CE158" s="505"/>
      <c r="CF158" s="505"/>
      <c r="CG158" s="505"/>
      <c r="CH158" s="505"/>
      <c r="CI158" s="505"/>
      <c r="CJ158" s="505"/>
      <c r="CK158" s="505"/>
      <c r="CL158" s="505"/>
      <c r="CM158" s="505"/>
      <c r="CN158" s="505"/>
      <c r="CO158" s="505"/>
      <c r="CP158" s="505"/>
      <c r="CQ158" s="505"/>
      <c r="CR158" s="505"/>
      <c r="CS158" s="505"/>
      <c r="CT158" s="505"/>
      <c r="CU158" s="505"/>
      <c r="CV158" s="505"/>
      <c r="CW158" s="505"/>
      <c r="CX158" s="505"/>
      <c r="CY158" s="505"/>
      <c r="CZ158" s="505"/>
      <c r="DA158" s="505"/>
      <c r="DB158" s="505"/>
      <c r="DC158" s="505"/>
      <c r="DD158" s="505"/>
      <c r="DE158" s="505"/>
      <c r="DF158" s="505"/>
      <c r="DG158" s="505"/>
      <c r="DH158" s="505"/>
      <c r="DI158" s="505"/>
      <c r="DJ158" s="505"/>
      <c r="DK158" s="505"/>
      <c r="DL158" s="505"/>
      <c r="DM158" s="505"/>
      <c r="DN158" s="505"/>
      <c r="DO158" s="505"/>
      <c r="DP158" s="505"/>
    </row>
    <row r="159" spans="1:120" hidden="1" outlineLevel="1" x14ac:dyDescent="0.2">
      <c r="A159" s="517">
        <f t="shared" si="35"/>
        <v>37591</v>
      </c>
      <c r="B159" s="517" t="str">
        <f t="shared" si="32"/>
        <v>4Q02</v>
      </c>
      <c r="C159" s="517" t="str">
        <f t="shared" si="36"/>
        <v>1Q03</v>
      </c>
      <c r="D159" s="518">
        <f t="shared" si="37"/>
        <v>37666</v>
      </c>
      <c r="E159" s="518">
        <f t="shared" si="37"/>
        <v>37606</v>
      </c>
      <c r="F159" s="520">
        <v>1.401</v>
      </c>
      <c r="G159" s="521">
        <f t="shared" si="33"/>
        <v>6.0000000000000005E-2</v>
      </c>
      <c r="H159" s="521">
        <f t="shared" si="34"/>
        <v>6.0000000000000005E-2</v>
      </c>
      <c r="I159" s="521"/>
      <c r="J159" s="521"/>
      <c r="K159" s="521"/>
      <c r="L159" s="505"/>
      <c r="M159" s="528"/>
      <c r="N159" s="505"/>
      <c r="O159" s="505"/>
      <c r="P159" s="505"/>
      <c r="Q159" s="505"/>
      <c r="R159" s="505"/>
      <c r="S159" s="505"/>
      <c r="T159" s="505"/>
      <c r="U159" s="505"/>
      <c r="V159" s="505"/>
      <c r="W159" s="505"/>
      <c r="X159" s="505"/>
      <c r="Y159" s="505"/>
      <c r="Z159" s="505"/>
      <c r="AA159" s="505"/>
      <c r="AB159" s="505"/>
      <c r="AC159" s="505"/>
      <c r="AD159" s="505"/>
      <c r="AE159" s="505"/>
      <c r="AF159" s="505"/>
      <c r="AG159" s="505"/>
      <c r="AH159" s="505"/>
      <c r="AI159" s="505"/>
      <c r="AJ159" s="505"/>
      <c r="AK159" s="505"/>
      <c r="AL159" s="505"/>
      <c r="AM159" s="505"/>
      <c r="AN159" s="505"/>
      <c r="AO159" s="505"/>
      <c r="AP159" s="505"/>
      <c r="AQ159" s="505"/>
      <c r="AR159" s="505"/>
      <c r="AS159" s="505"/>
      <c r="AT159" s="505"/>
      <c r="AU159" s="505"/>
      <c r="AV159" s="505"/>
      <c r="AW159" s="505"/>
      <c r="AX159" s="505"/>
      <c r="AY159" s="505"/>
      <c r="AZ159" s="505"/>
      <c r="BA159" s="505"/>
      <c r="BB159" s="505"/>
      <c r="BC159" s="505"/>
      <c r="BD159" s="505"/>
      <c r="BE159" s="505"/>
      <c r="BF159" s="505"/>
      <c r="BG159" s="505"/>
      <c r="BH159" s="505"/>
      <c r="BI159" s="505"/>
      <c r="BJ159" s="505"/>
      <c r="BK159" s="505"/>
      <c r="BL159" s="505"/>
      <c r="BM159" s="505"/>
      <c r="BN159" s="505"/>
      <c r="BO159" s="505"/>
      <c r="BP159" s="505"/>
      <c r="BQ159" s="505"/>
      <c r="BR159" s="505"/>
      <c r="BS159" s="505"/>
      <c r="BT159" s="505"/>
      <c r="BU159" s="505"/>
      <c r="BV159" s="505"/>
      <c r="BW159" s="505"/>
      <c r="BX159" s="505"/>
      <c r="BY159" s="505"/>
      <c r="BZ159" s="505"/>
      <c r="CA159" s="505"/>
      <c r="CB159" s="505"/>
      <c r="CC159" s="505"/>
      <c r="CD159" s="505"/>
      <c r="CE159" s="505"/>
      <c r="CF159" s="505"/>
      <c r="CG159" s="505"/>
      <c r="CH159" s="505"/>
      <c r="CI159" s="505"/>
      <c r="CJ159" s="505"/>
      <c r="CK159" s="505"/>
      <c r="CL159" s="505"/>
      <c r="CM159" s="505"/>
      <c r="CN159" s="505"/>
      <c r="CO159" s="505"/>
      <c r="CP159" s="505"/>
      <c r="CQ159" s="505"/>
      <c r="CR159" s="505"/>
      <c r="CS159" s="505"/>
      <c r="CT159" s="505"/>
      <c r="CU159" s="505"/>
      <c r="CV159" s="505"/>
      <c r="CW159" s="505"/>
      <c r="CX159" s="505"/>
      <c r="CY159" s="505"/>
      <c r="CZ159" s="505"/>
      <c r="DA159" s="505"/>
      <c r="DB159" s="505"/>
      <c r="DC159" s="505"/>
      <c r="DD159" s="505"/>
      <c r="DE159" s="505"/>
      <c r="DF159" s="505"/>
      <c r="DG159" s="505"/>
      <c r="DH159" s="505"/>
      <c r="DI159" s="505"/>
      <c r="DJ159" s="505"/>
      <c r="DK159" s="505"/>
      <c r="DL159" s="505"/>
      <c r="DM159" s="505"/>
      <c r="DN159" s="505"/>
      <c r="DO159" s="505"/>
      <c r="DP159" s="505"/>
    </row>
    <row r="160" spans="1:120" hidden="1" outlineLevel="1" x14ac:dyDescent="0.2">
      <c r="A160" s="517">
        <f t="shared" si="35"/>
        <v>37591</v>
      </c>
      <c r="B160" s="517" t="str">
        <f t="shared" si="32"/>
        <v>4Q02</v>
      </c>
      <c r="C160" s="517" t="str">
        <f t="shared" si="36"/>
        <v>1Q03</v>
      </c>
      <c r="D160" s="518">
        <f t="shared" si="37"/>
        <v>37673</v>
      </c>
      <c r="E160" s="518">
        <f t="shared" si="37"/>
        <v>37613</v>
      </c>
      <c r="F160" s="520">
        <v>1.44</v>
      </c>
      <c r="G160" s="521">
        <f t="shared" si="33"/>
        <v>6.0000000000000005E-2</v>
      </c>
      <c r="H160" s="521">
        <f t="shared" si="34"/>
        <v>7.0000000000000007E-2</v>
      </c>
      <c r="I160" s="521"/>
      <c r="J160" s="521"/>
      <c r="K160" s="521"/>
      <c r="L160" s="505"/>
      <c r="M160" s="528"/>
      <c r="N160" s="505"/>
      <c r="O160" s="505"/>
      <c r="P160" s="505"/>
      <c r="Q160" s="505"/>
      <c r="R160" s="505"/>
      <c r="S160" s="505"/>
      <c r="T160" s="505"/>
      <c r="U160" s="505"/>
      <c r="V160" s="505"/>
      <c r="W160" s="505"/>
      <c r="X160" s="505"/>
      <c r="Y160" s="505"/>
      <c r="Z160" s="505"/>
      <c r="AA160" s="505"/>
      <c r="AB160" s="505"/>
      <c r="AC160" s="505"/>
      <c r="AD160" s="505"/>
      <c r="AE160" s="505"/>
      <c r="AF160" s="505"/>
      <c r="AG160" s="505"/>
      <c r="AH160" s="505"/>
      <c r="AI160" s="505"/>
      <c r="AJ160" s="505"/>
      <c r="AK160" s="505"/>
      <c r="AL160" s="505"/>
      <c r="AM160" s="505"/>
      <c r="AN160" s="505"/>
      <c r="AO160" s="505"/>
      <c r="AP160" s="505"/>
      <c r="AQ160" s="505"/>
      <c r="AR160" s="505"/>
      <c r="AS160" s="505"/>
      <c r="AT160" s="505"/>
      <c r="AU160" s="505"/>
      <c r="AV160" s="505"/>
      <c r="AW160" s="505"/>
      <c r="AX160" s="505"/>
      <c r="AY160" s="505"/>
      <c r="AZ160" s="505"/>
      <c r="BA160" s="505"/>
      <c r="BB160" s="505"/>
      <c r="BC160" s="505"/>
      <c r="BD160" s="505"/>
      <c r="BE160" s="505"/>
      <c r="BF160" s="505"/>
      <c r="BG160" s="505"/>
      <c r="BH160" s="505"/>
      <c r="BI160" s="505"/>
      <c r="BJ160" s="505"/>
      <c r="BK160" s="505"/>
      <c r="BL160" s="505"/>
      <c r="BM160" s="505"/>
      <c r="BN160" s="505"/>
      <c r="BO160" s="505"/>
      <c r="BP160" s="505"/>
      <c r="BQ160" s="505"/>
      <c r="BR160" s="505"/>
      <c r="BS160" s="505"/>
      <c r="BT160" s="505"/>
      <c r="BU160" s="505"/>
      <c r="BV160" s="505"/>
      <c r="BW160" s="505"/>
      <c r="BX160" s="505"/>
      <c r="BY160" s="505"/>
      <c r="BZ160" s="505"/>
      <c r="CA160" s="505"/>
      <c r="CB160" s="505"/>
      <c r="CC160" s="505"/>
      <c r="CD160" s="505"/>
      <c r="CE160" s="505"/>
      <c r="CF160" s="505"/>
      <c r="CG160" s="505"/>
      <c r="CH160" s="505"/>
      <c r="CI160" s="505"/>
      <c r="CJ160" s="505"/>
      <c r="CK160" s="505"/>
      <c r="CL160" s="505"/>
      <c r="CM160" s="505"/>
      <c r="CN160" s="505"/>
      <c r="CO160" s="505"/>
      <c r="CP160" s="505"/>
      <c r="CQ160" s="505"/>
      <c r="CR160" s="505"/>
      <c r="CS160" s="505"/>
      <c r="CT160" s="505"/>
      <c r="CU160" s="505"/>
      <c r="CV160" s="505"/>
      <c r="CW160" s="505"/>
      <c r="CX160" s="505"/>
      <c r="CY160" s="505"/>
      <c r="CZ160" s="505"/>
      <c r="DA160" s="505"/>
      <c r="DB160" s="505"/>
      <c r="DC160" s="505"/>
      <c r="DD160" s="505"/>
      <c r="DE160" s="505"/>
      <c r="DF160" s="505"/>
      <c r="DG160" s="505"/>
      <c r="DH160" s="505"/>
      <c r="DI160" s="505"/>
      <c r="DJ160" s="505"/>
      <c r="DK160" s="505"/>
      <c r="DL160" s="505"/>
      <c r="DM160" s="505"/>
      <c r="DN160" s="505"/>
      <c r="DO160" s="505"/>
      <c r="DP160" s="505"/>
    </row>
    <row r="161" spans="1:120" hidden="1" outlineLevel="1" x14ac:dyDescent="0.2">
      <c r="A161" s="517">
        <f t="shared" si="35"/>
        <v>37591</v>
      </c>
      <c r="B161" s="517" t="str">
        <f t="shared" si="32"/>
        <v>4Q02</v>
      </c>
      <c r="C161" s="517" t="str">
        <f t="shared" si="36"/>
        <v>1Q03</v>
      </c>
      <c r="D161" s="518">
        <f t="shared" si="37"/>
        <v>37680</v>
      </c>
      <c r="E161" s="518">
        <f t="shared" si="37"/>
        <v>37620</v>
      </c>
      <c r="F161" s="520">
        <v>1.4909999999999999</v>
      </c>
      <c r="G161" s="521">
        <f t="shared" si="33"/>
        <v>7.0000000000000007E-2</v>
      </c>
      <c r="H161" s="521">
        <f t="shared" si="34"/>
        <v>0.08</v>
      </c>
      <c r="I161" s="521"/>
      <c r="J161" s="521"/>
      <c r="K161" s="521"/>
      <c r="L161" s="505"/>
      <c r="M161" s="528"/>
      <c r="N161" s="505"/>
      <c r="O161" s="505"/>
      <c r="P161" s="505"/>
      <c r="Q161" s="505"/>
      <c r="R161" s="505"/>
      <c r="S161" s="505"/>
      <c r="T161" s="505"/>
      <c r="U161" s="505"/>
      <c r="V161" s="505"/>
      <c r="W161" s="505"/>
      <c r="X161" s="505"/>
      <c r="Y161" s="505"/>
      <c r="Z161" s="505"/>
      <c r="AA161" s="505"/>
      <c r="AB161" s="505"/>
      <c r="AC161" s="505"/>
      <c r="AD161" s="505"/>
      <c r="AE161" s="505"/>
      <c r="AF161" s="505"/>
      <c r="AG161" s="505"/>
      <c r="AH161" s="505"/>
      <c r="AI161" s="505"/>
      <c r="AJ161" s="505"/>
      <c r="AK161" s="505"/>
      <c r="AL161" s="505"/>
      <c r="AM161" s="505"/>
      <c r="AN161" s="505"/>
      <c r="AO161" s="505"/>
      <c r="AP161" s="505"/>
      <c r="AQ161" s="505"/>
      <c r="AR161" s="505"/>
      <c r="AS161" s="505"/>
      <c r="AT161" s="505"/>
      <c r="AU161" s="505"/>
      <c r="AV161" s="505"/>
      <c r="AW161" s="505"/>
      <c r="AX161" s="505"/>
      <c r="AY161" s="505"/>
      <c r="AZ161" s="505"/>
      <c r="BA161" s="505"/>
      <c r="BB161" s="505"/>
      <c r="BC161" s="505"/>
      <c r="BD161" s="505"/>
      <c r="BE161" s="505"/>
      <c r="BF161" s="505"/>
      <c r="BG161" s="505"/>
      <c r="BH161" s="505"/>
      <c r="BI161" s="505"/>
      <c r="BJ161" s="505"/>
      <c r="BK161" s="505"/>
      <c r="BL161" s="505"/>
      <c r="BM161" s="505"/>
      <c r="BN161" s="505"/>
      <c r="BO161" s="505"/>
      <c r="BP161" s="505"/>
      <c r="BQ161" s="505"/>
      <c r="BR161" s="505"/>
      <c r="BS161" s="505"/>
      <c r="BT161" s="505"/>
      <c r="BU161" s="505"/>
      <c r="BV161" s="505"/>
      <c r="BW161" s="505"/>
      <c r="BX161" s="505"/>
      <c r="BY161" s="505"/>
      <c r="BZ161" s="505"/>
      <c r="CA161" s="505"/>
      <c r="CB161" s="505"/>
      <c r="CC161" s="505"/>
      <c r="CD161" s="505"/>
      <c r="CE161" s="505"/>
      <c r="CF161" s="505"/>
      <c r="CG161" s="505"/>
      <c r="CH161" s="505"/>
      <c r="CI161" s="505"/>
      <c r="CJ161" s="505"/>
      <c r="CK161" s="505"/>
      <c r="CL161" s="505"/>
      <c r="CM161" s="505"/>
      <c r="CN161" s="505"/>
      <c r="CO161" s="505"/>
      <c r="CP161" s="505"/>
      <c r="CQ161" s="505"/>
      <c r="CR161" s="505"/>
      <c r="CS161" s="505"/>
      <c r="CT161" s="505"/>
      <c r="CU161" s="505"/>
      <c r="CV161" s="505"/>
      <c r="CW161" s="505"/>
      <c r="CX161" s="505"/>
      <c r="CY161" s="505"/>
      <c r="CZ161" s="505"/>
      <c r="DA161" s="505"/>
      <c r="DB161" s="505"/>
      <c r="DC161" s="505"/>
      <c r="DD161" s="505"/>
      <c r="DE161" s="505"/>
      <c r="DF161" s="505"/>
      <c r="DG161" s="505"/>
      <c r="DH161" s="505"/>
      <c r="DI161" s="505"/>
      <c r="DJ161" s="505"/>
      <c r="DK161" s="505"/>
      <c r="DL161" s="505"/>
      <c r="DM161" s="505"/>
      <c r="DN161" s="505"/>
      <c r="DO161" s="505"/>
      <c r="DP161" s="505"/>
    </row>
    <row r="162" spans="1:120" hidden="1" outlineLevel="1" x14ac:dyDescent="0.2">
      <c r="A162" s="517">
        <f t="shared" si="35"/>
        <v>37622</v>
      </c>
      <c r="B162" s="517" t="str">
        <f t="shared" si="32"/>
        <v>1Q03</v>
      </c>
      <c r="C162" s="517" t="str">
        <f t="shared" si="36"/>
        <v>1Q03</v>
      </c>
      <c r="D162" s="518">
        <f t="shared" si="37"/>
        <v>37687</v>
      </c>
      <c r="E162" s="518">
        <f t="shared" si="37"/>
        <v>37627</v>
      </c>
      <c r="F162" s="520">
        <v>1.5009999999999999</v>
      </c>
      <c r="G162" s="521">
        <f t="shared" si="33"/>
        <v>0.08</v>
      </c>
      <c r="H162" s="521">
        <f t="shared" si="34"/>
        <v>7.0000000000000007E-2</v>
      </c>
      <c r="I162" s="521"/>
      <c r="J162" s="521"/>
      <c r="K162" s="521"/>
      <c r="L162" s="505"/>
      <c r="M162" s="528"/>
      <c r="N162" s="505"/>
      <c r="O162" s="505"/>
      <c r="P162" s="505"/>
      <c r="Q162" s="505"/>
      <c r="R162" s="505"/>
      <c r="S162" s="505"/>
      <c r="T162" s="505"/>
      <c r="U162" s="505"/>
      <c r="V162" s="505"/>
      <c r="W162" s="505"/>
      <c r="X162" s="505"/>
      <c r="Y162" s="505"/>
      <c r="Z162" s="505"/>
      <c r="AA162" s="505"/>
      <c r="AB162" s="505"/>
      <c r="AC162" s="505"/>
      <c r="AD162" s="505"/>
      <c r="AE162" s="505"/>
      <c r="AF162" s="505"/>
      <c r="AG162" s="505"/>
      <c r="AH162" s="505"/>
      <c r="AI162" s="505"/>
      <c r="AJ162" s="505"/>
      <c r="AK162" s="505"/>
      <c r="AL162" s="505"/>
      <c r="AM162" s="505"/>
      <c r="AN162" s="505"/>
      <c r="AO162" s="505"/>
      <c r="AP162" s="505"/>
      <c r="AQ162" s="505"/>
      <c r="AR162" s="505"/>
      <c r="AS162" s="505"/>
      <c r="AT162" s="505"/>
      <c r="AU162" s="505"/>
      <c r="AV162" s="505"/>
      <c r="AW162" s="505"/>
      <c r="AX162" s="505"/>
      <c r="AY162" s="505"/>
      <c r="AZ162" s="505"/>
      <c r="BA162" s="505"/>
      <c r="BB162" s="505"/>
      <c r="BC162" s="505"/>
      <c r="BD162" s="505"/>
      <c r="BE162" s="505"/>
      <c r="BF162" s="505"/>
      <c r="BG162" s="505"/>
      <c r="BH162" s="505"/>
      <c r="BI162" s="505"/>
      <c r="BJ162" s="505"/>
      <c r="BK162" s="505"/>
      <c r="BL162" s="505"/>
      <c r="BM162" s="505"/>
      <c r="BN162" s="505"/>
      <c r="BO162" s="505"/>
      <c r="BP162" s="505"/>
      <c r="BQ162" s="505"/>
      <c r="BR162" s="505"/>
      <c r="BS162" s="505"/>
      <c r="BT162" s="505"/>
      <c r="BU162" s="505"/>
      <c r="BV162" s="505"/>
      <c r="BW162" s="505"/>
      <c r="BX162" s="505"/>
      <c r="BY162" s="505"/>
      <c r="BZ162" s="505"/>
      <c r="CA162" s="505"/>
      <c r="CB162" s="505"/>
      <c r="CC162" s="505"/>
      <c r="CD162" s="505"/>
      <c r="CE162" s="505"/>
      <c r="CF162" s="505"/>
      <c r="CG162" s="505"/>
      <c r="CH162" s="505"/>
      <c r="CI162" s="505"/>
      <c r="CJ162" s="505"/>
      <c r="CK162" s="505"/>
      <c r="CL162" s="505"/>
      <c r="CM162" s="505"/>
      <c r="CN162" s="505"/>
      <c r="CO162" s="505"/>
      <c r="CP162" s="505"/>
      <c r="CQ162" s="505"/>
      <c r="CR162" s="505"/>
      <c r="CS162" s="505"/>
      <c r="CT162" s="505"/>
      <c r="CU162" s="505"/>
      <c r="CV162" s="505"/>
      <c r="CW162" s="505"/>
      <c r="CX162" s="505"/>
      <c r="CY162" s="505"/>
      <c r="CZ162" s="505"/>
      <c r="DA162" s="505"/>
      <c r="DB162" s="505"/>
      <c r="DC162" s="505"/>
      <c r="DD162" s="505"/>
      <c r="DE162" s="505"/>
      <c r="DF162" s="505"/>
      <c r="DG162" s="505"/>
      <c r="DH162" s="505"/>
      <c r="DI162" s="505"/>
      <c r="DJ162" s="505"/>
      <c r="DK162" s="505"/>
      <c r="DL162" s="505"/>
      <c r="DM162" s="505"/>
      <c r="DN162" s="505"/>
      <c r="DO162" s="505"/>
      <c r="DP162" s="505"/>
    </row>
    <row r="163" spans="1:120" hidden="1" outlineLevel="1" x14ac:dyDescent="0.2">
      <c r="A163" s="517">
        <f t="shared" si="35"/>
        <v>37622</v>
      </c>
      <c r="B163" s="517" t="str">
        <f t="shared" si="32"/>
        <v>1Q03</v>
      </c>
      <c r="C163" s="517" t="str">
        <f t="shared" si="36"/>
        <v>1Q03</v>
      </c>
      <c r="D163" s="518">
        <f t="shared" si="37"/>
        <v>37694</v>
      </c>
      <c r="E163" s="518">
        <f t="shared" si="37"/>
        <v>37634</v>
      </c>
      <c r="F163" s="520">
        <v>1.4780000000000002</v>
      </c>
      <c r="G163" s="521">
        <f t="shared" si="33"/>
        <v>7.0000000000000007E-2</v>
      </c>
      <c r="H163" s="521">
        <f t="shared" si="34"/>
        <v>7.0000000000000007E-2</v>
      </c>
      <c r="I163" s="521"/>
      <c r="J163" s="521"/>
      <c r="K163" s="521"/>
      <c r="L163" s="505"/>
      <c r="M163" s="528"/>
      <c r="N163" s="505"/>
      <c r="O163" s="505"/>
      <c r="P163" s="505"/>
      <c r="Q163" s="505"/>
      <c r="R163" s="505"/>
      <c r="S163" s="505"/>
      <c r="T163" s="505"/>
      <c r="U163" s="505"/>
      <c r="V163" s="505"/>
      <c r="W163" s="505"/>
      <c r="X163" s="505"/>
      <c r="Y163" s="505"/>
      <c r="Z163" s="505"/>
      <c r="AA163" s="505"/>
      <c r="AB163" s="505"/>
      <c r="AC163" s="505"/>
      <c r="AD163" s="505"/>
      <c r="AE163" s="505"/>
      <c r="AF163" s="505"/>
      <c r="AG163" s="505"/>
      <c r="AH163" s="505"/>
      <c r="AI163" s="505"/>
      <c r="AJ163" s="505"/>
      <c r="AK163" s="505"/>
      <c r="AL163" s="505"/>
      <c r="AM163" s="505"/>
      <c r="AN163" s="505"/>
      <c r="AO163" s="505"/>
      <c r="AP163" s="505"/>
      <c r="AQ163" s="505"/>
      <c r="AR163" s="505"/>
      <c r="AS163" s="505"/>
      <c r="AT163" s="505"/>
      <c r="AU163" s="505"/>
      <c r="AV163" s="505"/>
      <c r="AW163" s="505"/>
      <c r="AX163" s="505"/>
      <c r="AY163" s="505"/>
      <c r="AZ163" s="505"/>
      <c r="BA163" s="505"/>
      <c r="BB163" s="505"/>
      <c r="BC163" s="505"/>
      <c r="BD163" s="505"/>
      <c r="BE163" s="505"/>
      <c r="BF163" s="505"/>
      <c r="BG163" s="505"/>
      <c r="BH163" s="505"/>
      <c r="BI163" s="505"/>
      <c r="BJ163" s="505"/>
      <c r="BK163" s="505"/>
      <c r="BL163" s="505"/>
      <c r="BM163" s="505"/>
      <c r="BN163" s="505"/>
      <c r="BO163" s="505"/>
      <c r="BP163" s="505"/>
      <c r="BQ163" s="505"/>
      <c r="BR163" s="505"/>
      <c r="BS163" s="505"/>
      <c r="BT163" s="505"/>
      <c r="BU163" s="505"/>
      <c r="BV163" s="505"/>
      <c r="BW163" s="505"/>
      <c r="BX163" s="505"/>
      <c r="BY163" s="505"/>
      <c r="BZ163" s="505"/>
      <c r="CA163" s="505"/>
      <c r="CB163" s="505"/>
      <c r="CC163" s="505"/>
      <c r="CD163" s="505"/>
      <c r="CE163" s="505"/>
      <c r="CF163" s="505"/>
      <c r="CG163" s="505"/>
      <c r="CH163" s="505"/>
      <c r="CI163" s="505"/>
      <c r="CJ163" s="505"/>
      <c r="CK163" s="505"/>
      <c r="CL163" s="505"/>
      <c r="CM163" s="505"/>
      <c r="CN163" s="505"/>
      <c r="CO163" s="505"/>
      <c r="CP163" s="505"/>
      <c r="CQ163" s="505"/>
      <c r="CR163" s="505"/>
      <c r="CS163" s="505"/>
      <c r="CT163" s="505"/>
      <c r="CU163" s="505"/>
      <c r="CV163" s="505"/>
      <c r="CW163" s="505"/>
      <c r="CX163" s="505"/>
      <c r="CY163" s="505"/>
      <c r="CZ163" s="505"/>
      <c r="DA163" s="505"/>
      <c r="DB163" s="505"/>
      <c r="DC163" s="505"/>
      <c r="DD163" s="505"/>
      <c r="DE163" s="505"/>
      <c r="DF163" s="505"/>
      <c r="DG163" s="505"/>
      <c r="DH163" s="505"/>
      <c r="DI163" s="505"/>
      <c r="DJ163" s="505"/>
      <c r="DK163" s="505"/>
      <c r="DL163" s="505"/>
      <c r="DM163" s="505"/>
      <c r="DN163" s="505"/>
      <c r="DO163" s="505"/>
      <c r="DP163" s="505"/>
    </row>
    <row r="164" spans="1:120" hidden="1" outlineLevel="1" x14ac:dyDescent="0.2">
      <c r="A164" s="517">
        <f t="shared" si="35"/>
        <v>37622</v>
      </c>
      <c r="B164" s="517" t="str">
        <f t="shared" si="32"/>
        <v>1Q03</v>
      </c>
      <c r="C164" s="517" t="str">
        <f t="shared" si="36"/>
        <v>1Q03</v>
      </c>
      <c r="D164" s="518">
        <f t="shared" si="37"/>
        <v>37701</v>
      </c>
      <c r="E164" s="518">
        <f t="shared" si="37"/>
        <v>37641</v>
      </c>
      <c r="F164" s="520">
        <v>1.48</v>
      </c>
      <c r="G164" s="521">
        <f t="shared" si="33"/>
        <v>7.0000000000000007E-2</v>
      </c>
      <c r="H164" s="521">
        <f t="shared" si="34"/>
        <v>7.0000000000000007E-2</v>
      </c>
      <c r="I164" s="521"/>
      <c r="J164" s="521"/>
      <c r="K164" s="521"/>
      <c r="L164" s="505"/>
      <c r="M164" s="528"/>
      <c r="N164" s="505"/>
      <c r="O164" s="505"/>
      <c r="P164" s="505"/>
      <c r="Q164" s="505"/>
      <c r="R164" s="505"/>
      <c r="S164" s="505"/>
      <c r="T164" s="505"/>
      <c r="U164" s="505"/>
      <c r="V164" s="505"/>
      <c r="W164" s="505"/>
      <c r="X164" s="505"/>
      <c r="Y164" s="505"/>
      <c r="Z164" s="505"/>
      <c r="AA164" s="505"/>
      <c r="AB164" s="505"/>
      <c r="AC164" s="505"/>
      <c r="AD164" s="505"/>
      <c r="AE164" s="505"/>
      <c r="AF164" s="505"/>
      <c r="AG164" s="505"/>
      <c r="AH164" s="505"/>
      <c r="AI164" s="505"/>
      <c r="AJ164" s="505"/>
      <c r="AK164" s="505"/>
      <c r="AL164" s="505"/>
      <c r="AM164" s="505"/>
      <c r="AN164" s="505"/>
      <c r="AO164" s="505"/>
      <c r="AP164" s="505"/>
      <c r="AQ164" s="505"/>
      <c r="AR164" s="505"/>
      <c r="AS164" s="505"/>
      <c r="AT164" s="505"/>
      <c r="AU164" s="505"/>
      <c r="AV164" s="505"/>
      <c r="AW164" s="505"/>
      <c r="AX164" s="505"/>
      <c r="AY164" s="505"/>
      <c r="AZ164" s="505"/>
      <c r="BA164" s="505"/>
      <c r="BB164" s="505"/>
      <c r="BC164" s="505"/>
      <c r="BD164" s="505"/>
      <c r="BE164" s="505"/>
      <c r="BF164" s="505"/>
      <c r="BG164" s="505"/>
      <c r="BH164" s="505"/>
      <c r="BI164" s="505"/>
      <c r="BJ164" s="505"/>
      <c r="BK164" s="505"/>
      <c r="BL164" s="505"/>
      <c r="BM164" s="505"/>
      <c r="BN164" s="505"/>
      <c r="BO164" s="505"/>
      <c r="BP164" s="505"/>
      <c r="BQ164" s="505"/>
      <c r="BR164" s="505"/>
      <c r="BS164" s="505"/>
      <c r="BT164" s="505"/>
      <c r="BU164" s="505"/>
      <c r="BV164" s="505"/>
      <c r="BW164" s="505"/>
      <c r="BX164" s="505"/>
      <c r="BY164" s="505"/>
      <c r="BZ164" s="505"/>
      <c r="CA164" s="505"/>
      <c r="CB164" s="505"/>
      <c r="CC164" s="505"/>
      <c r="CD164" s="505"/>
      <c r="CE164" s="505"/>
      <c r="CF164" s="505"/>
      <c r="CG164" s="505"/>
      <c r="CH164" s="505"/>
      <c r="CI164" s="505"/>
      <c r="CJ164" s="505"/>
      <c r="CK164" s="505"/>
      <c r="CL164" s="505"/>
      <c r="CM164" s="505"/>
      <c r="CN164" s="505"/>
      <c r="CO164" s="505"/>
      <c r="CP164" s="505"/>
      <c r="CQ164" s="505"/>
      <c r="CR164" s="505"/>
      <c r="CS164" s="505"/>
      <c r="CT164" s="505"/>
      <c r="CU164" s="505"/>
      <c r="CV164" s="505"/>
      <c r="CW164" s="505"/>
      <c r="CX164" s="505"/>
      <c r="CY164" s="505"/>
      <c r="CZ164" s="505"/>
      <c r="DA164" s="505"/>
      <c r="DB164" s="505"/>
      <c r="DC164" s="505"/>
      <c r="DD164" s="505"/>
      <c r="DE164" s="505"/>
      <c r="DF164" s="505"/>
      <c r="DG164" s="505"/>
      <c r="DH164" s="505"/>
      <c r="DI164" s="505"/>
      <c r="DJ164" s="505"/>
      <c r="DK164" s="505"/>
      <c r="DL164" s="505"/>
      <c r="DM164" s="505"/>
      <c r="DN164" s="505"/>
      <c r="DO164" s="505"/>
      <c r="DP164" s="505"/>
    </row>
    <row r="165" spans="1:120" hidden="1" outlineLevel="1" x14ac:dyDescent="0.2">
      <c r="A165" s="517">
        <f t="shared" si="35"/>
        <v>37622</v>
      </c>
      <c r="B165" s="517" t="str">
        <f t="shared" si="32"/>
        <v>1Q03</v>
      </c>
      <c r="C165" s="517" t="str">
        <f t="shared" si="36"/>
        <v>1Q03</v>
      </c>
      <c r="D165" s="518">
        <f t="shared" si="37"/>
        <v>37708</v>
      </c>
      <c r="E165" s="518">
        <f t="shared" si="37"/>
        <v>37648</v>
      </c>
      <c r="F165" s="520">
        <v>1.492</v>
      </c>
      <c r="G165" s="521">
        <f t="shared" si="33"/>
        <v>7.0000000000000007E-2</v>
      </c>
      <c r="H165" s="521">
        <f t="shared" si="34"/>
        <v>0.08</v>
      </c>
      <c r="I165" s="521"/>
      <c r="J165" s="521"/>
      <c r="K165" s="521"/>
      <c r="L165" s="505"/>
      <c r="M165" s="528"/>
      <c r="N165" s="505"/>
      <c r="O165" s="505"/>
      <c r="P165" s="505"/>
      <c r="Q165" s="505"/>
      <c r="R165" s="505"/>
      <c r="S165" s="505"/>
      <c r="T165" s="505"/>
      <c r="U165" s="505"/>
      <c r="V165" s="505"/>
      <c r="W165" s="505"/>
      <c r="X165" s="505"/>
      <c r="Y165" s="505"/>
      <c r="Z165" s="505"/>
      <c r="AA165" s="505"/>
      <c r="AB165" s="505"/>
      <c r="AC165" s="505"/>
      <c r="AD165" s="505"/>
      <c r="AE165" s="505"/>
      <c r="AF165" s="505"/>
      <c r="AG165" s="505"/>
      <c r="AH165" s="505"/>
      <c r="AI165" s="505"/>
      <c r="AJ165" s="505"/>
      <c r="AK165" s="505"/>
      <c r="AL165" s="505"/>
      <c r="AM165" s="505"/>
      <c r="AN165" s="505"/>
      <c r="AO165" s="505"/>
      <c r="AP165" s="505"/>
      <c r="AQ165" s="505"/>
      <c r="AR165" s="505"/>
      <c r="AS165" s="505"/>
      <c r="AT165" s="505"/>
      <c r="AU165" s="505"/>
      <c r="AV165" s="505"/>
      <c r="AW165" s="505"/>
      <c r="AX165" s="505"/>
      <c r="AY165" s="505"/>
      <c r="AZ165" s="505"/>
      <c r="BA165" s="505"/>
      <c r="BB165" s="505"/>
      <c r="BC165" s="505"/>
      <c r="BD165" s="505"/>
      <c r="BE165" s="505"/>
      <c r="BF165" s="505"/>
      <c r="BG165" s="505"/>
      <c r="BH165" s="505"/>
      <c r="BI165" s="505"/>
      <c r="BJ165" s="505"/>
      <c r="BK165" s="505"/>
      <c r="BL165" s="505"/>
      <c r="BM165" s="505"/>
      <c r="BN165" s="505"/>
      <c r="BO165" s="505"/>
      <c r="BP165" s="505"/>
      <c r="BQ165" s="505"/>
      <c r="BR165" s="505"/>
      <c r="BS165" s="505"/>
      <c r="BT165" s="505"/>
      <c r="BU165" s="505"/>
      <c r="BV165" s="505"/>
      <c r="BW165" s="505"/>
      <c r="BX165" s="505"/>
      <c r="BY165" s="505"/>
      <c r="BZ165" s="505"/>
      <c r="CA165" s="505"/>
      <c r="CB165" s="505"/>
      <c r="CC165" s="505"/>
      <c r="CD165" s="505"/>
      <c r="CE165" s="505"/>
      <c r="CF165" s="505"/>
      <c r="CG165" s="505"/>
      <c r="CH165" s="505"/>
      <c r="CI165" s="505"/>
      <c r="CJ165" s="505"/>
      <c r="CK165" s="505"/>
      <c r="CL165" s="505"/>
      <c r="CM165" s="505"/>
      <c r="CN165" s="505"/>
      <c r="CO165" s="505"/>
      <c r="CP165" s="505"/>
      <c r="CQ165" s="505"/>
      <c r="CR165" s="505"/>
      <c r="CS165" s="505"/>
      <c r="CT165" s="505"/>
      <c r="CU165" s="505"/>
      <c r="CV165" s="505"/>
      <c r="CW165" s="505"/>
      <c r="CX165" s="505"/>
      <c r="CY165" s="505"/>
      <c r="CZ165" s="505"/>
      <c r="DA165" s="505"/>
      <c r="DB165" s="505"/>
      <c r="DC165" s="505"/>
      <c r="DD165" s="505"/>
      <c r="DE165" s="505"/>
      <c r="DF165" s="505"/>
      <c r="DG165" s="505"/>
      <c r="DH165" s="505"/>
      <c r="DI165" s="505"/>
      <c r="DJ165" s="505"/>
      <c r="DK165" s="505"/>
      <c r="DL165" s="505"/>
      <c r="DM165" s="505"/>
      <c r="DN165" s="505"/>
      <c r="DO165" s="505"/>
      <c r="DP165" s="505"/>
    </row>
    <row r="166" spans="1:120" hidden="1" outlineLevel="1" x14ac:dyDescent="0.2">
      <c r="A166" s="517">
        <f t="shared" si="35"/>
        <v>37653</v>
      </c>
      <c r="B166" s="517" t="str">
        <f t="shared" si="32"/>
        <v>1Q03</v>
      </c>
      <c r="C166" s="517" t="str">
        <f t="shared" si="36"/>
        <v>2Q03</v>
      </c>
      <c r="D166" s="518">
        <f t="shared" si="37"/>
        <v>37715</v>
      </c>
      <c r="E166" s="518">
        <f t="shared" si="37"/>
        <v>37655</v>
      </c>
      <c r="F166" s="520">
        <v>1.5419999999999998</v>
      </c>
      <c r="G166" s="521">
        <f t="shared" si="33"/>
        <v>0.08</v>
      </c>
      <c r="H166" s="521">
        <f t="shared" si="34"/>
        <v>0.10999999999999999</v>
      </c>
      <c r="I166" s="521"/>
      <c r="J166" s="521"/>
      <c r="K166" s="521"/>
      <c r="L166" s="505"/>
      <c r="M166" s="528"/>
      <c r="N166" s="505"/>
      <c r="O166" s="505"/>
      <c r="P166" s="505"/>
      <c r="Q166" s="505"/>
      <c r="R166" s="505"/>
      <c r="S166" s="505"/>
      <c r="T166" s="505"/>
      <c r="U166" s="505"/>
      <c r="V166" s="505"/>
      <c r="W166" s="505"/>
      <c r="X166" s="505"/>
      <c r="Y166" s="505"/>
      <c r="Z166" s="505"/>
      <c r="AA166" s="505"/>
      <c r="AB166" s="505"/>
      <c r="AC166" s="505"/>
      <c r="AD166" s="505"/>
      <c r="AE166" s="505"/>
      <c r="AF166" s="505"/>
      <c r="AG166" s="505"/>
      <c r="AH166" s="505"/>
      <c r="AI166" s="505"/>
      <c r="AJ166" s="505"/>
      <c r="AK166" s="505"/>
      <c r="AL166" s="505"/>
      <c r="AM166" s="505"/>
      <c r="AN166" s="505"/>
      <c r="AO166" s="505"/>
      <c r="AP166" s="505"/>
      <c r="AQ166" s="505"/>
      <c r="AR166" s="505"/>
      <c r="AS166" s="505"/>
      <c r="AT166" s="505"/>
      <c r="AU166" s="505"/>
      <c r="AV166" s="505"/>
      <c r="AW166" s="505"/>
      <c r="AX166" s="505"/>
      <c r="AY166" s="505"/>
      <c r="AZ166" s="505"/>
      <c r="BA166" s="505"/>
      <c r="BB166" s="505"/>
      <c r="BC166" s="505"/>
      <c r="BD166" s="505"/>
      <c r="BE166" s="505"/>
      <c r="BF166" s="505"/>
      <c r="BG166" s="505"/>
      <c r="BH166" s="505"/>
      <c r="BI166" s="505"/>
      <c r="BJ166" s="505"/>
      <c r="BK166" s="505"/>
      <c r="BL166" s="505"/>
      <c r="BM166" s="505"/>
      <c r="BN166" s="505"/>
      <c r="BO166" s="505"/>
      <c r="BP166" s="505"/>
      <c r="BQ166" s="505"/>
      <c r="BR166" s="505"/>
      <c r="BS166" s="505"/>
      <c r="BT166" s="505"/>
      <c r="BU166" s="505"/>
      <c r="BV166" s="505"/>
      <c r="BW166" s="505"/>
      <c r="BX166" s="505"/>
      <c r="BY166" s="505"/>
      <c r="BZ166" s="505"/>
      <c r="CA166" s="505"/>
      <c r="CB166" s="505"/>
      <c r="CC166" s="505"/>
      <c r="CD166" s="505"/>
      <c r="CE166" s="505"/>
      <c r="CF166" s="505"/>
      <c r="CG166" s="505"/>
      <c r="CH166" s="505"/>
      <c r="CI166" s="505"/>
      <c r="CJ166" s="505"/>
      <c r="CK166" s="505"/>
      <c r="CL166" s="505"/>
      <c r="CM166" s="505"/>
      <c r="CN166" s="505"/>
      <c r="CO166" s="505"/>
      <c r="CP166" s="505"/>
      <c r="CQ166" s="505"/>
      <c r="CR166" s="505"/>
      <c r="CS166" s="505"/>
      <c r="CT166" s="505"/>
      <c r="CU166" s="505"/>
      <c r="CV166" s="505"/>
      <c r="CW166" s="505"/>
      <c r="CX166" s="505"/>
      <c r="CY166" s="505"/>
      <c r="CZ166" s="505"/>
      <c r="DA166" s="505"/>
      <c r="DB166" s="505"/>
      <c r="DC166" s="505"/>
      <c r="DD166" s="505"/>
      <c r="DE166" s="505"/>
      <c r="DF166" s="505"/>
      <c r="DG166" s="505"/>
      <c r="DH166" s="505"/>
      <c r="DI166" s="505"/>
      <c r="DJ166" s="505"/>
      <c r="DK166" s="505"/>
      <c r="DL166" s="505"/>
      <c r="DM166" s="505"/>
      <c r="DN166" s="505"/>
      <c r="DO166" s="505"/>
      <c r="DP166" s="505"/>
    </row>
    <row r="167" spans="1:120" hidden="1" outlineLevel="1" x14ac:dyDescent="0.2">
      <c r="A167" s="517">
        <f t="shared" si="35"/>
        <v>37653</v>
      </c>
      <c r="B167" s="517" t="str">
        <f t="shared" si="32"/>
        <v>1Q03</v>
      </c>
      <c r="C167" s="517" t="str">
        <f t="shared" si="36"/>
        <v>2Q03</v>
      </c>
      <c r="D167" s="518">
        <f t="shared" si="37"/>
        <v>37722</v>
      </c>
      <c r="E167" s="518">
        <f t="shared" si="37"/>
        <v>37662</v>
      </c>
      <c r="F167" s="520">
        <v>1.6619999999999999</v>
      </c>
      <c r="G167" s="521">
        <f t="shared" si="33"/>
        <v>0.10999999999999999</v>
      </c>
      <c r="H167" s="521">
        <f t="shared" si="34"/>
        <v>0.11999999999999998</v>
      </c>
      <c r="I167" s="521"/>
      <c r="J167" s="521"/>
      <c r="K167" s="521"/>
      <c r="L167" s="505"/>
      <c r="M167" s="528"/>
      <c r="N167" s="505"/>
      <c r="O167" s="505"/>
      <c r="P167" s="505"/>
      <c r="Q167" s="505"/>
      <c r="R167" s="505"/>
      <c r="S167" s="505"/>
      <c r="T167" s="505"/>
      <c r="U167" s="505"/>
      <c r="V167" s="505"/>
      <c r="W167" s="505"/>
      <c r="X167" s="505"/>
      <c r="Y167" s="505"/>
      <c r="Z167" s="505"/>
      <c r="AA167" s="505"/>
      <c r="AB167" s="505"/>
      <c r="AC167" s="505"/>
      <c r="AD167" s="505"/>
      <c r="AE167" s="505"/>
      <c r="AF167" s="505"/>
      <c r="AG167" s="505"/>
      <c r="AH167" s="505"/>
      <c r="AI167" s="505"/>
      <c r="AJ167" s="505"/>
      <c r="AK167" s="505"/>
      <c r="AL167" s="505"/>
      <c r="AM167" s="505"/>
      <c r="AN167" s="505"/>
      <c r="AO167" s="505"/>
      <c r="AP167" s="505"/>
      <c r="AQ167" s="505"/>
      <c r="AR167" s="505"/>
      <c r="AS167" s="505"/>
      <c r="AT167" s="505"/>
      <c r="AU167" s="505"/>
      <c r="AV167" s="505"/>
      <c r="AW167" s="505"/>
      <c r="AX167" s="505"/>
      <c r="AY167" s="505"/>
      <c r="AZ167" s="505"/>
      <c r="BA167" s="505"/>
      <c r="BB167" s="505"/>
      <c r="BC167" s="505"/>
      <c r="BD167" s="505"/>
      <c r="BE167" s="505"/>
      <c r="BF167" s="505"/>
      <c r="BG167" s="505"/>
      <c r="BH167" s="505"/>
      <c r="BI167" s="505"/>
      <c r="BJ167" s="505"/>
      <c r="BK167" s="505"/>
      <c r="BL167" s="505"/>
      <c r="BM167" s="505"/>
      <c r="BN167" s="505"/>
      <c r="BO167" s="505"/>
      <c r="BP167" s="505"/>
      <c r="BQ167" s="505"/>
      <c r="BR167" s="505"/>
      <c r="BS167" s="505"/>
      <c r="BT167" s="505"/>
      <c r="BU167" s="505"/>
      <c r="BV167" s="505"/>
      <c r="BW167" s="505"/>
      <c r="BX167" s="505"/>
      <c r="BY167" s="505"/>
      <c r="BZ167" s="505"/>
      <c r="CA167" s="505"/>
      <c r="CB167" s="505"/>
      <c r="CC167" s="505"/>
      <c r="CD167" s="505"/>
      <c r="CE167" s="505"/>
      <c r="CF167" s="505"/>
      <c r="CG167" s="505"/>
      <c r="CH167" s="505"/>
      <c r="CI167" s="505"/>
      <c r="CJ167" s="505"/>
      <c r="CK167" s="505"/>
      <c r="CL167" s="505"/>
      <c r="CM167" s="505"/>
      <c r="CN167" s="505"/>
      <c r="CO167" s="505"/>
      <c r="CP167" s="505"/>
      <c r="CQ167" s="505"/>
      <c r="CR167" s="505"/>
      <c r="CS167" s="505"/>
      <c r="CT167" s="505"/>
      <c r="CU167" s="505"/>
      <c r="CV167" s="505"/>
      <c r="CW167" s="505"/>
      <c r="CX167" s="505"/>
      <c r="CY167" s="505"/>
      <c r="CZ167" s="505"/>
      <c r="DA167" s="505"/>
      <c r="DB167" s="505"/>
      <c r="DC167" s="505"/>
      <c r="DD167" s="505"/>
      <c r="DE167" s="505"/>
      <c r="DF167" s="505"/>
      <c r="DG167" s="505"/>
      <c r="DH167" s="505"/>
      <c r="DI167" s="505"/>
      <c r="DJ167" s="505"/>
      <c r="DK167" s="505"/>
      <c r="DL167" s="505"/>
      <c r="DM167" s="505"/>
      <c r="DN167" s="505"/>
      <c r="DO167" s="505"/>
      <c r="DP167" s="505"/>
    </row>
    <row r="168" spans="1:120" hidden="1" outlineLevel="1" x14ac:dyDescent="0.2">
      <c r="A168" s="517">
        <f t="shared" si="35"/>
        <v>37653</v>
      </c>
      <c r="B168" s="517" t="str">
        <f t="shared" si="32"/>
        <v>1Q03</v>
      </c>
      <c r="C168" s="517" t="str">
        <f t="shared" si="36"/>
        <v>2Q03</v>
      </c>
      <c r="D168" s="518">
        <f t="shared" si="37"/>
        <v>37729</v>
      </c>
      <c r="E168" s="518">
        <f t="shared" si="37"/>
        <v>37669</v>
      </c>
      <c r="F168" s="520">
        <v>1.704</v>
      </c>
      <c r="G168" s="521">
        <f t="shared" si="33"/>
        <v>0.11999999999999998</v>
      </c>
      <c r="H168" s="521">
        <f t="shared" si="34"/>
        <v>0.11999999999999998</v>
      </c>
      <c r="I168" s="521"/>
      <c r="J168" s="521"/>
      <c r="K168" s="521"/>
      <c r="L168" s="505"/>
      <c r="M168" s="528"/>
      <c r="N168" s="505"/>
      <c r="O168" s="505"/>
      <c r="P168" s="505"/>
      <c r="Q168" s="505"/>
      <c r="R168" s="505"/>
      <c r="S168" s="505"/>
      <c r="T168" s="505"/>
      <c r="U168" s="505"/>
      <c r="V168" s="505"/>
      <c r="W168" s="505"/>
      <c r="X168" s="505"/>
      <c r="Y168" s="505"/>
      <c r="Z168" s="505"/>
      <c r="AA168" s="505"/>
      <c r="AB168" s="505"/>
      <c r="AC168" s="505"/>
      <c r="AD168" s="505"/>
      <c r="AE168" s="505"/>
      <c r="AF168" s="505"/>
      <c r="AG168" s="505"/>
      <c r="AH168" s="505"/>
      <c r="AI168" s="505"/>
      <c r="AJ168" s="505"/>
      <c r="AK168" s="505"/>
      <c r="AL168" s="505"/>
      <c r="AM168" s="505"/>
      <c r="AN168" s="505"/>
      <c r="AO168" s="505"/>
      <c r="AP168" s="505"/>
      <c r="AQ168" s="505"/>
      <c r="AR168" s="505"/>
      <c r="AS168" s="505"/>
      <c r="AT168" s="505"/>
      <c r="AU168" s="505"/>
      <c r="AV168" s="505"/>
      <c r="AW168" s="505"/>
      <c r="AX168" s="505"/>
      <c r="AY168" s="505"/>
      <c r="AZ168" s="505"/>
      <c r="BA168" s="505"/>
      <c r="BB168" s="505"/>
      <c r="BC168" s="505"/>
      <c r="BD168" s="505"/>
      <c r="BE168" s="505"/>
      <c r="BF168" s="505"/>
      <c r="BG168" s="505"/>
      <c r="BH168" s="505"/>
      <c r="BI168" s="505"/>
      <c r="BJ168" s="505"/>
      <c r="BK168" s="505"/>
      <c r="BL168" s="505"/>
      <c r="BM168" s="505"/>
      <c r="BN168" s="505"/>
      <c r="BO168" s="505"/>
      <c r="BP168" s="505"/>
      <c r="BQ168" s="505"/>
      <c r="BR168" s="505"/>
      <c r="BS168" s="505"/>
      <c r="BT168" s="505"/>
      <c r="BU168" s="505"/>
      <c r="BV168" s="505"/>
      <c r="BW168" s="505"/>
      <c r="BX168" s="505"/>
      <c r="BY168" s="505"/>
      <c r="BZ168" s="505"/>
      <c r="CA168" s="505"/>
      <c r="CB168" s="505"/>
      <c r="CC168" s="505"/>
      <c r="CD168" s="505"/>
      <c r="CE168" s="505"/>
      <c r="CF168" s="505"/>
      <c r="CG168" s="505"/>
      <c r="CH168" s="505"/>
      <c r="CI168" s="505"/>
      <c r="CJ168" s="505"/>
      <c r="CK168" s="505"/>
      <c r="CL168" s="505"/>
      <c r="CM168" s="505"/>
      <c r="CN168" s="505"/>
      <c r="CO168" s="505"/>
      <c r="CP168" s="505"/>
      <c r="CQ168" s="505"/>
      <c r="CR168" s="505"/>
      <c r="CS168" s="505"/>
      <c r="CT168" s="505"/>
      <c r="CU168" s="505"/>
      <c r="CV168" s="505"/>
      <c r="CW168" s="505"/>
      <c r="CX168" s="505"/>
      <c r="CY168" s="505"/>
      <c r="CZ168" s="505"/>
      <c r="DA168" s="505"/>
      <c r="DB168" s="505"/>
      <c r="DC168" s="505"/>
      <c r="DD168" s="505"/>
      <c r="DE168" s="505"/>
      <c r="DF168" s="505"/>
      <c r="DG168" s="505"/>
      <c r="DH168" s="505"/>
      <c r="DI168" s="505"/>
      <c r="DJ168" s="505"/>
      <c r="DK168" s="505"/>
      <c r="DL168" s="505"/>
      <c r="DM168" s="505"/>
      <c r="DN168" s="505"/>
      <c r="DO168" s="505"/>
      <c r="DP168" s="505"/>
    </row>
    <row r="169" spans="1:120" hidden="1" outlineLevel="1" x14ac:dyDescent="0.2">
      <c r="A169" s="517">
        <f t="shared" si="35"/>
        <v>37653</v>
      </c>
      <c r="B169" s="517" t="str">
        <f t="shared" si="32"/>
        <v>1Q03</v>
      </c>
      <c r="C169" s="517" t="str">
        <f t="shared" si="36"/>
        <v>2Q03</v>
      </c>
      <c r="D169" s="518">
        <f t="shared" si="37"/>
        <v>37736</v>
      </c>
      <c r="E169" s="518">
        <f t="shared" si="37"/>
        <v>37676</v>
      </c>
      <c r="F169" s="520">
        <v>1.7090000000000001</v>
      </c>
      <c r="G169" s="521">
        <f t="shared" si="33"/>
        <v>0.11999999999999998</v>
      </c>
      <c r="H169" s="521">
        <f t="shared" si="34"/>
        <v>0.12999999999999998</v>
      </c>
      <c r="I169" s="521"/>
      <c r="J169" s="521"/>
      <c r="K169" s="521"/>
      <c r="L169" s="505"/>
      <c r="M169" s="528"/>
      <c r="N169" s="505"/>
      <c r="O169" s="505"/>
      <c r="P169" s="505"/>
      <c r="Q169" s="505"/>
      <c r="R169" s="505"/>
      <c r="S169" s="505"/>
      <c r="T169" s="505"/>
      <c r="U169" s="505"/>
      <c r="V169" s="505"/>
      <c r="W169" s="505"/>
      <c r="X169" s="505"/>
      <c r="Y169" s="505"/>
      <c r="Z169" s="505"/>
      <c r="AA169" s="505"/>
      <c r="AB169" s="505"/>
      <c r="AC169" s="505"/>
      <c r="AD169" s="505"/>
      <c r="AE169" s="505"/>
      <c r="AF169" s="505"/>
      <c r="AG169" s="505"/>
      <c r="AH169" s="505"/>
      <c r="AI169" s="505"/>
      <c r="AJ169" s="505"/>
      <c r="AK169" s="505"/>
      <c r="AL169" s="505"/>
      <c r="AM169" s="505"/>
      <c r="AN169" s="505"/>
      <c r="AO169" s="505"/>
      <c r="AP169" s="505"/>
      <c r="AQ169" s="505"/>
      <c r="AR169" s="505"/>
      <c r="AS169" s="505"/>
      <c r="AT169" s="505"/>
      <c r="AU169" s="505"/>
      <c r="AV169" s="505"/>
      <c r="AW169" s="505"/>
      <c r="AX169" s="505"/>
      <c r="AY169" s="505"/>
      <c r="AZ169" s="505"/>
      <c r="BA169" s="505"/>
      <c r="BB169" s="505"/>
      <c r="BC169" s="505"/>
      <c r="BD169" s="505"/>
      <c r="BE169" s="505"/>
      <c r="BF169" s="505"/>
      <c r="BG169" s="505"/>
      <c r="BH169" s="505"/>
      <c r="BI169" s="505"/>
      <c r="BJ169" s="505"/>
      <c r="BK169" s="505"/>
      <c r="BL169" s="505"/>
      <c r="BM169" s="505"/>
      <c r="BN169" s="505"/>
      <c r="BO169" s="505"/>
      <c r="BP169" s="505"/>
      <c r="BQ169" s="505"/>
      <c r="BR169" s="505"/>
      <c r="BS169" s="505"/>
      <c r="BT169" s="505"/>
      <c r="BU169" s="505"/>
      <c r="BV169" s="505"/>
      <c r="BW169" s="505"/>
      <c r="BX169" s="505"/>
      <c r="BY169" s="505"/>
      <c r="BZ169" s="505"/>
      <c r="CA169" s="505"/>
      <c r="CB169" s="505"/>
      <c r="CC169" s="505"/>
      <c r="CD169" s="505"/>
      <c r="CE169" s="505"/>
      <c r="CF169" s="505"/>
      <c r="CG169" s="505"/>
      <c r="CH169" s="505"/>
      <c r="CI169" s="505"/>
      <c r="CJ169" s="505"/>
      <c r="CK169" s="505"/>
      <c r="CL169" s="505"/>
      <c r="CM169" s="505"/>
      <c r="CN169" s="505"/>
      <c r="CO169" s="505"/>
      <c r="CP169" s="505"/>
      <c r="CQ169" s="505"/>
      <c r="CR169" s="505"/>
      <c r="CS169" s="505"/>
      <c r="CT169" s="505"/>
      <c r="CU169" s="505"/>
      <c r="CV169" s="505"/>
      <c r="CW169" s="505"/>
      <c r="CX169" s="505"/>
      <c r="CY169" s="505"/>
      <c r="CZ169" s="505"/>
      <c r="DA169" s="505"/>
      <c r="DB169" s="505"/>
      <c r="DC169" s="505"/>
      <c r="DD169" s="505"/>
      <c r="DE169" s="505"/>
      <c r="DF169" s="505"/>
      <c r="DG169" s="505"/>
      <c r="DH169" s="505"/>
      <c r="DI169" s="505"/>
      <c r="DJ169" s="505"/>
      <c r="DK169" s="505"/>
      <c r="DL169" s="505"/>
      <c r="DM169" s="505"/>
      <c r="DN169" s="505"/>
      <c r="DO169" s="505"/>
      <c r="DP169" s="505"/>
    </row>
    <row r="170" spans="1:120" hidden="1" outlineLevel="1" x14ac:dyDescent="0.2">
      <c r="A170" s="517">
        <f t="shared" si="35"/>
        <v>37681</v>
      </c>
      <c r="B170" s="517" t="str">
        <f t="shared" si="32"/>
        <v>1Q03</v>
      </c>
      <c r="C170" s="517" t="str">
        <f t="shared" si="36"/>
        <v>2Q03</v>
      </c>
      <c r="D170" s="518">
        <f t="shared" si="37"/>
        <v>37743</v>
      </c>
      <c r="E170" s="518">
        <f t="shared" si="37"/>
        <v>37683</v>
      </c>
      <c r="F170" s="520">
        <v>1.7530000000000001</v>
      </c>
      <c r="G170" s="521">
        <f t="shared" si="33"/>
        <v>0.12999999999999998</v>
      </c>
      <c r="H170" s="521">
        <f t="shared" si="34"/>
        <v>0.12999999999999998</v>
      </c>
      <c r="I170" s="521"/>
      <c r="J170" s="521"/>
      <c r="K170" s="521"/>
      <c r="L170" s="505"/>
      <c r="M170" s="528"/>
      <c r="N170" s="505"/>
      <c r="O170" s="505"/>
      <c r="P170" s="505"/>
      <c r="Q170" s="505"/>
      <c r="R170" s="505"/>
      <c r="S170" s="505"/>
      <c r="T170" s="505"/>
      <c r="U170" s="505"/>
      <c r="V170" s="505"/>
      <c r="W170" s="505"/>
      <c r="X170" s="505"/>
      <c r="Y170" s="505"/>
      <c r="Z170" s="505"/>
      <c r="AA170" s="505"/>
      <c r="AB170" s="505"/>
      <c r="AC170" s="505"/>
      <c r="AD170" s="505"/>
      <c r="AE170" s="505"/>
      <c r="AF170" s="505"/>
      <c r="AG170" s="505"/>
      <c r="AH170" s="505"/>
      <c r="AI170" s="505"/>
      <c r="AJ170" s="505"/>
      <c r="AK170" s="505"/>
      <c r="AL170" s="505"/>
      <c r="AM170" s="505"/>
      <c r="AN170" s="505"/>
      <c r="AO170" s="505"/>
      <c r="AP170" s="505"/>
      <c r="AQ170" s="505"/>
      <c r="AR170" s="505"/>
      <c r="AS170" s="505"/>
      <c r="AT170" s="505"/>
      <c r="AU170" s="505"/>
      <c r="AV170" s="505"/>
      <c r="AW170" s="505"/>
      <c r="AX170" s="505"/>
      <c r="AY170" s="505"/>
      <c r="AZ170" s="505"/>
      <c r="BA170" s="505"/>
      <c r="BB170" s="505"/>
      <c r="BC170" s="505"/>
      <c r="BD170" s="505"/>
      <c r="BE170" s="505"/>
      <c r="BF170" s="505"/>
      <c r="BG170" s="505"/>
      <c r="BH170" s="505"/>
      <c r="BI170" s="505"/>
      <c r="BJ170" s="505"/>
      <c r="BK170" s="505"/>
      <c r="BL170" s="505"/>
      <c r="BM170" s="505"/>
      <c r="BN170" s="505"/>
      <c r="BO170" s="505"/>
      <c r="BP170" s="505"/>
      <c r="BQ170" s="505"/>
      <c r="BR170" s="505"/>
      <c r="BS170" s="505"/>
      <c r="BT170" s="505"/>
      <c r="BU170" s="505"/>
      <c r="BV170" s="505"/>
      <c r="BW170" s="505"/>
      <c r="BX170" s="505"/>
      <c r="BY170" s="505"/>
      <c r="BZ170" s="505"/>
      <c r="CA170" s="505"/>
      <c r="CB170" s="505"/>
      <c r="CC170" s="505"/>
      <c r="CD170" s="505"/>
      <c r="CE170" s="505"/>
      <c r="CF170" s="505"/>
      <c r="CG170" s="505"/>
      <c r="CH170" s="505"/>
      <c r="CI170" s="505"/>
      <c r="CJ170" s="505"/>
      <c r="CK170" s="505"/>
      <c r="CL170" s="505"/>
      <c r="CM170" s="505"/>
      <c r="CN170" s="505"/>
      <c r="CO170" s="505"/>
      <c r="CP170" s="505"/>
      <c r="CQ170" s="505"/>
      <c r="CR170" s="505"/>
      <c r="CS170" s="505"/>
      <c r="CT170" s="505"/>
      <c r="CU170" s="505"/>
      <c r="CV170" s="505"/>
      <c r="CW170" s="505"/>
      <c r="CX170" s="505"/>
      <c r="CY170" s="505"/>
      <c r="CZ170" s="505"/>
      <c r="DA170" s="505"/>
      <c r="DB170" s="505"/>
      <c r="DC170" s="505"/>
      <c r="DD170" s="505"/>
      <c r="DE170" s="505"/>
      <c r="DF170" s="505"/>
      <c r="DG170" s="505"/>
      <c r="DH170" s="505"/>
      <c r="DI170" s="505"/>
      <c r="DJ170" s="505"/>
      <c r="DK170" s="505"/>
      <c r="DL170" s="505"/>
      <c r="DM170" s="505"/>
      <c r="DN170" s="505"/>
      <c r="DO170" s="505"/>
      <c r="DP170" s="505"/>
    </row>
    <row r="171" spans="1:120" hidden="1" outlineLevel="1" x14ac:dyDescent="0.2">
      <c r="A171" s="517">
        <f t="shared" si="35"/>
        <v>37681</v>
      </c>
      <c r="B171" s="517" t="str">
        <f t="shared" si="32"/>
        <v>1Q03</v>
      </c>
      <c r="C171" s="517" t="str">
        <f t="shared" si="36"/>
        <v>2Q03</v>
      </c>
      <c r="D171" s="518">
        <f t="shared" si="37"/>
        <v>37750</v>
      </c>
      <c r="E171" s="518">
        <f t="shared" si="37"/>
        <v>37690</v>
      </c>
      <c r="F171" s="520">
        <v>1.7709999999999999</v>
      </c>
      <c r="G171" s="521">
        <f t="shared" si="33"/>
        <v>0.12999999999999998</v>
      </c>
      <c r="H171" s="521">
        <f t="shared" si="34"/>
        <v>0.12999999999999998</v>
      </c>
      <c r="I171" s="521"/>
      <c r="J171" s="521"/>
      <c r="K171" s="521"/>
      <c r="L171" s="505"/>
      <c r="M171" s="528"/>
      <c r="N171" s="505"/>
      <c r="O171" s="505"/>
      <c r="P171" s="505"/>
      <c r="Q171" s="505"/>
      <c r="R171" s="505"/>
      <c r="S171" s="505"/>
      <c r="T171" s="505"/>
      <c r="U171" s="505"/>
      <c r="V171" s="505"/>
      <c r="W171" s="505"/>
      <c r="X171" s="505"/>
      <c r="Y171" s="505"/>
      <c r="Z171" s="505"/>
      <c r="AA171" s="505"/>
      <c r="AB171" s="505"/>
      <c r="AC171" s="505"/>
      <c r="AD171" s="505"/>
      <c r="AE171" s="505"/>
      <c r="AF171" s="505"/>
      <c r="AG171" s="505"/>
      <c r="AH171" s="505"/>
      <c r="AI171" s="505"/>
      <c r="AJ171" s="505"/>
      <c r="AK171" s="505"/>
      <c r="AL171" s="505"/>
      <c r="AM171" s="505"/>
      <c r="AN171" s="505"/>
      <c r="AO171" s="505"/>
      <c r="AP171" s="505"/>
      <c r="AQ171" s="505"/>
      <c r="AR171" s="505"/>
      <c r="AS171" s="505"/>
      <c r="AT171" s="505"/>
      <c r="AU171" s="505"/>
      <c r="AV171" s="505"/>
      <c r="AW171" s="505"/>
      <c r="AX171" s="505"/>
      <c r="AY171" s="505"/>
      <c r="AZ171" s="505"/>
      <c r="BA171" s="505"/>
      <c r="BB171" s="505"/>
      <c r="BC171" s="505"/>
      <c r="BD171" s="505"/>
      <c r="BE171" s="505"/>
      <c r="BF171" s="505"/>
      <c r="BG171" s="505"/>
      <c r="BH171" s="505"/>
      <c r="BI171" s="505"/>
      <c r="BJ171" s="505"/>
      <c r="BK171" s="505"/>
      <c r="BL171" s="505"/>
      <c r="BM171" s="505"/>
      <c r="BN171" s="505"/>
      <c r="BO171" s="505"/>
      <c r="BP171" s="505"/>
      <c r="BQ171" s="505"/>
      <c r="BR171" s="505"/>
      <c r="BS171" s="505"/>
      <c r="BT171" s="505"/>
      <c r="BU171" s="505"/>
      <c r="BV171" s="505"/>
      <c r="BW171" s="505"/>
      <c r="BX171" s="505"/>
      <c r="BY171" s="505"/>
      <c r="BZ171" s="505"/>
      <c r="CA171" s="505"/>
      <c r="CB171" s="505"/>
      <c r="CC171" s="505"/>
      <c r="CD171" s="505"/>
      <c r="CE171" s="505"/>
      <c r="CF171" s="505"/>
      <c r="CG171" s="505"/>
      <c r="CH171" s="505"/>
      <c r="CI171" s="505"/>
      <c r="CJ171" s="505"/>
      <c r="CK171" s="505"/>
      <c r="CL171" s="505"/>
      <c r="CM171" s="505"/>
      <c r="CN171" s="505"/>
      <c r="CO171" s="505"/>
      <c r="CP171" s="505"/>
      <c r="CQ171" s="505"/>
      <c r="CR171" s="505"/>
      <c r="CS171" s="505"/>
      <c r="CT171" s="505"/>
      <c r="CU171" s="505"/>
      <c r="CV171" s="505"/>
      <c r="CW171" s="505"/>
      <c r="CX171" s="505"/>
      <c r="CY171" s="505"/>
      <c r="CZ171" s="505"/>
      <c r="DA171" s="505"/>
      <c r="DB171" s="505"/>
      <c r="DC171" s="505"/>
      <c r="DD171" s="505"/>
      <c r="DE171" s="505"/>
      <c r="DF171" s="505"/>
      <c r="DG171" s="505"/>
      <c r="DH171" s="505"/>
      <c r="DI171" s="505"/>
      <c r="DJ171" s="505"/>
      <c r="DK171" s="505"/>
      <c r="DL171" s="505"/>
      <c r="DM171" s="505"/>
      <c r="DN171" s="505"/>
      <c r="DO171" s="505"/>
      <c r="DP171" s="505"/>
    </row>
    <row r="172" spans="1:120" hidden="1" outlineLevel="1" x14ac:dyDescent="0.2">
      <c r="A172" s="517">
        <f t="shared" si="35"/>
        <v>37681</v>
      </c>
      <c r="B172" s="517" t="str">
        <f t="shared" si="32"/>
        <v>1Q03</v>
      </c>
      <c r="C172" s="517" t="str">
        <f t="shared" si="36"/>
        <v>2Q03</v>
      </c>
      <c r="D172" s="518">
        <f t="shared" si="37"/>
        <v>37757</v>
      </c>
      <c r="E172" s="518">
        <f t="shared" si="37"/>
        <v>37697</v>
      </c>
      <c r="F172" s="520">
        <v>1.7519999999999998</v>
      </c>
      <c r="G172" s="521">
        <f t="shared" si="33"/>
        <v>0.12999999999999998</v>
      </c>
      <c r="H172" s="521">
        <f t="shared" si="34"/>
        <v>0.10999999999999999</v>
      </c>
      <c r="I172" s="521"/>
      <c r="J172" s="521"/>
      <c r="K172" s="521"/>
      <c r="L172" s="505"/>
      <c r="M172" s="528"/>
      <c r="N172" s="505"/>
      <c r="O172" s="505"/>
      <c r="P172" s="505"/>
      <c r="Q172" s="505"/>
      <c r="R172" s="505"/>
      <c r="S172" s="505"/>
      <c r="T172" s="505"/>
      <c r="U172" s="505"/>
      <c r="V172" s="505"/>
      <c r="W172" s="505"/>
      <c r="X172" s="505"/>
      <c r="Y172" s="505"/>
      <c r="Z172" s="505"/>
      <c r="AA172" s="505"/>
      <c r="AB172" s="505"/>
      <c r="AC172" s="505"/>
      <c r="AD172" s="505"/>
      <c r="AE172" s="505"/>
      <c r="AF172" s="505"/>
      <c r="AG172" s="505"/>
      <c r="AH172" s="505"/>
      <c r="AI172" s="505"/>
      <c r="AJ172" s="505"/>
      <c r="AK172" s="505"/>
      <c r="AL172" s="505"/>
      <c r="AM172" s="505"/>
      <c r="AN172" s="505"/>
      <c r="AO172" s="505"/>
      <c r="AP172" s="505"/>
      <c r="AQ172" s="505"/>
      <c r="AR172" s="505"/>
      <c r="AS172" s="505"/>
      <c r="AT172" s="505"/>
      <c r="AU172" s="505"/>
      <c r="AV172" s="505"/>
      <c r="AW172" s="505"/>
      <c r="AX172" s="505"/>
      <c r="AY172" s="505"/>
      <c r="AZ172" s="505"/>
      <c r="BA172" s="505"/>
      <c r="BB172" s="505"/>
      <c r="BC172" s="505"/>
      <c r="BD172" s="505"/>
      <c r="BE172" s="505"/>
      <c r="BF172" s="505"/>
      <c r="BG172" s="505"/>
      <c r="BH172" s="505"/>
      <c r="BI172" s="505"/>
      <c r="BJ172" s="505"/>
      <c r="BK172" s="505"/>
      <c r="BL172" s="505"/>
      <c r="BM172" s="505"/>
      <c r="BN172" s="505"/>
      <c r="BO172" s="505"/>
      <c r="BP172" s="505"/>
      <c r="BQ172" s="505"/>
      <c r="BR172" s="505"/>
      <c r="BS172" s="505"/>
      <c r="BT172" s="505"/>
      <c r="BU172" s="505"/>
      <c r="BV172" s="505"/>
      <c r="BW172" s="505"/>
      <c r="BX172" s="505"/>
      <c r="BY172" s="505"/>
      <c r="BZ172" s="505"/>
      <c r="CA172" s="505"/>
      <c r="CB172" s="505"/>
      <c r="CC172" s="505"/>
      <c r="CD172" s="505"/>
      <c r="CE172" s="505"/>
      <c r="CF172" s="505"/>
      <c r="CG172" s="505"/>
      <c r="CH172" s="505"/>
      <c r="CI172" s="505"/>
      <c r="CJ172" s="505"/>
      <c r="CK172" s="505"/>
      <c r="CL172" s="505"/>
      <c r="CM172" s="505"/>
      <c r="CN172" s="505"/>
      <c r="CO172" s="505"/>
      <c r="CP172" s="505"/>
      <c r="CQ172" s="505"/>
      <c r="CR172" s="505"/>
      <c r="CS172" s="505"/>
      <c r="CT172" s="505"/>
      <c r="CU172" s="505"/>
      <c r="CV172" s="505"/>
      <c r="CW172" s="505"/>
      <c r="CX172" s="505"/>
      <c r="CY172" s="505"/>
      <c r="CZ172" s="505"/>
      <c r="DA172" s="505"/>
      <c r="DB172" s="505"/>
      <c r="DC172" s="505"/>
      <c r="DD172" s="505"/>
      <c r="DE172" s="505"/>
      <c r="DF172" s="505"/>
      <c r="DG172" s="505"/>
      <c r="DH172" s="505"/>
      <c r="DI172" s="505"/>
      <c r="DJ172" s="505"/>
      <c r="DK172" s="505"/>
      <c r="DL172" s="505"/>
      <c r="DM172" s="505"/>
      <c r="DN172" s="505"/>
      <c r="DO172" s="505"/>
      <c r="DP172" s="505"/>
    </row>
    <row r="173" spans="1:120" hidden="1" outlineLevel="1" x14ac:dyDescent="0.2">
      <c r="A173" s="517">
        <f t="shared" si="35"/>
        <v>37681</v>
      </c>
      <c r="B173" s="517" t="str">
        <f t="shared" si="32"/>
        <v>1Q03</v>
      </c>
      <c r="C173" s="517" t="str">
        <f t="shared" si="36"/>
        <v>2Q03</v>
      </c>
      <c r="D173" s="518">
        <f t="shared" si="37"/>
        <v>37764</v>
      </c>
      <c r="E173" s="518">
        <f t="shared" si="37"/>
        <v>37704</v>
      </c>
      <c r="F173" s="520">
        <v>1.6619999999999999</v>
      </c>
      <c r="G173" s="521">
        <f t="shared" si="33"/>
        <v>0.10999999999999999</v>
      </c>
      <c r="H173" s="521">
        <f t="shared" si="34"/>
        <v>9.9999999999999992E-2</v>
      </c>
      <c r="I173" s="521"/>
      <c r="J173" s="521"/>
      <c r="K173" s="521"/>
      <c r="L173" s="505"/>
      <c r="M173" s="528"/>
      <c r="N173" s="505"/>
      <c r="O173" s="505"/>
      <c r="P173" s="505"/>
      <c r="Q173" s="505"/>
      <c r="R173" s="505"/>
      <c r="S173" s="505"/>
      <c r="T173" s="505"/>
      <c r="U173" s="505"/>
      <c r="V173" s="505"/>
      <c r="W173" s="505"/>
      <c r="X173" s="505"/>
      <c r="Y173" s="505"/>
      <c r="Z173" s="505"/>
      <c r="AA173" s="505"/>
      <c r="AB173" s="505"/>
      <c r="AC173" s="505"/>
      <c r="AD173" s="505"/>
      <c r="AE173" s="505"/>
      <c r="AF173" s="505"/>
      <c r="AG173" s="505"/>
      <c r="AH173" s="505"/>
      <c r="AI173" s="505"/>
      <c r="AJ173" s="505"/>
      <c r="AK173" s="505"/>
      <c r="AL173" s="505"/>
      <c r="AM173" s="505"/>
      <c r="AN173" s="505"/>
      <c r="AO173" s="505"/>
      <c r="AP173" s="505"/>
      <c r="AQ173" s="505"/>
      <c r="AR173" s="505"/>
      <c r="AS173" s="505"/>
      <c r="AT173" s="505"/>
      <c r="AU173" s="505"/>
      <c r="AV173" s="505"/>
      <c r="AW173" s="505"/>
      <c r="AX173" s="505"/>
      <c r="AY173" s="505"/>
      <c r="AZ173" s="505"/>
      <c r="BA173" s="505"/>
      <c r="BB173" s="505"/>
      <c r="BC173" s="505"/>
      <c r="BD173" s="505"/>
      <c r="BE173" s="505"/>
      <c r="BF173" s="505"/>
      <c r="BG173" s="505"/>
      <c r="BH173" s="505"/>
      <c r="BI173" s="505"/>
      <c r="BJ173" s="505"/>
      <c r="BK173" s="505"/>
      <c r="BL173" s="505"/>
      <c r="BM173" s="505"/>
      <c r="BN173" s="505"/>
      <c r="BO173" s="505"/>
      <c r="BP173" s="505"/>
      <c r="BQ173" s="505"/>
      <c r="BR173" s="505"/>
      <c r="BS173" s="505"/>
      <c r="BT173" s="505"/>
      <c r="BU173" s="505"/>
      <c r="BV173" s="505"/>
      <c r="BW173" s="505"/>
      <c r="BX173" s="505"/>
      <c r="BY173" s="505"/>
      <c r="BZ173" s="505"/>
      <c r="CA173" s="505"/>
      <c r="CB173" s="505"/>
      <c r="CC173" s="505"/>
      <c r="CD173" s="505"/>
      <c r="CE173" s="505"/>
      <c r="CF173" s="505"/>
      <c r="CG173" s="505"/>
      <c r="CH173" s="505"/>
      <c r="CI173" s="505"/>
      <c r="CJ173" s="505"/>
      <c r="CK173" s="505"/>
      <c r="CL173" s="505"/>
      <c r="CM173" s="505"/>
      <c r="CN173" s="505"/>
      <c r="CO173" s="505"/>
      <c r="CP173" s="505"/>
      <c r="CQ173" s="505"/>
      <c r="CR173" s="505"/>
      <c r="CS173" s="505"/>
      <c r="CT173" s="505"/>
      <c r="CU173" s="505"/>
      <c r="CV173" s="505"/>
      <c r="CW173" s="505"/>
      <c r="CX173" s="505"/>
      <c r="CY173" s="505"/>
      <c r="CZ173" s="505"/>
      <c r="DA173" s="505"/>
      <c r="DB173" s="505"/>
      <c r="DC173" s="505"/>
      <c r="DD173" s="505"/>
      <c r="DE173" s="505"/>
      <c r="DF173" s="505"/>
      <c r="DG173" s="505"/>
      <c r="DH173" s="505"/>
      <c r="DI173" s="505"/>
      <c r="DJ173" s="505"/>
      <c r="DK173" s="505"/>
      <c r="DL173" s="505"/>
      <c r="DM173" s="505"/>
      <c r="DN173" s="505"/>
      <c r="DO173" s="505"/>
      <c r="DP173" s="505"/>
    </row>
    <row r="174" spans="1:120" hidden="1" outlineLevel="1" x14ac:dyDescent="0.2">
      <c r="A174" s="517">
        <f t="shared" si="35"/>
        <v>37681</v>
      </c>
      <c r="B174" s="517" t="str">
        <f t="shared" si="32"/>
        <v>1Q03</v>
      </c>
      <c r="C174" s="517" t="str">
        <f t="shared" si="36"/>
        <v>2Q03</v>
      </c>
      <c r="D174" s="518">
        <f t="shared" si="37"/>
        <v>37771</v>
      </c>
      <c r="E174" s="518">
        <f t="shared" si="37"/>
        <v>37711</v>
      </c>
      <c r="F174" s="520">
        <v>1.6019999999999999</v>
      </c>
      <c r="G174" s="521">
        <f t="shared" si="33"/>
        <v>9.9999999999999992E-2</v>
      </c>
      <c r="H174" s="521">
        <f t="shared" si="34"/>
        <v>0.09</v>
      </c>
      <c r="I174" s="521"/>
      <c r="J174" s="521"/>
      <c r="K174" s="521"/>
      <c r="L174" s="505"/>
      <c r="M174" s="528"/>
      <c r="N174" s="505"/>
      <c r="O174" s="505"/>
      <c r="P174" s="505"/>
      <c r="Q174" s="505"/>
      <c r="R174" s="505"/>
      <c r="S174" s="505"/>
      <c r="T174" s="505"/>
      <c r="U174" s="505"/>
      <c r="V174" s="505"/>
      <c r="W174" s="505"/>
      <c r="X174" s="505"/>
      <c r="Y174" s="505"/>
      <c r="Z174" s="505"/>
      <c r="AA174" s="505"/>
      <c r="AB174" s="505"/>
      <c r="AC174" s="505"/>
      <c r="AD174" s="505"/>
      <c r="AE174" s="505"/>
      <c r="AF174" s="505"/>
      <c r="AG174" s="505"/>
      <c r="AH174" s="505"/>
      <c r="AI174" s="505"/>
      <c r="AJ174" s="505"/>
      <c r="AK174" s="505"/>
      <c r="AL174" s="505"/>
      <c r="AM174" s="505"/>
      <c r="AN174" s="505"/>
      <c r="AO174" s="505"/>
      <c r="AP174" s="505"/>
      <c r="AQ174" s="505"/>
      <c r="AR174" s="505"/>
      <c r="AS174" s="505"/>
      <c r="AT174" s="505"/>
      <c r="AU174" s="505"/>
      <c r="AV174" s="505"/>
      <c r="AW174" s="505"/>
      <c r="AX174" s="505"/>
      <c r="AY174" s="505"/>
      <c r="AZ174" s="505"/>
      <c r="BA174" s="505"/>
      <c r="BB174" s="505"/>
      <c r="BC174" s="505"/>
      <c r="BD174" s="505"/>
      <c r="BE174" s="505"/>
      <c r="BF174" s="505"/>
      <c r="BG174" s="505"/>
      <c r="BH174" s="505"/>
      <c r="BI174" s="505"/>
      <c r="BJ174" s="505"/>
      <c r="BK174" s="505"/>
      <c r="BL174" s="505"/>
      <c r="BM174" s="505"/>
      <c r="BN174" s="505"/>
      <c r="BO174" s="505"/>
      <c r="BP174" s="505"/>
      <c r="BQ174" s="505"/>
      <c r="BR174" s="505"/>
      <c r="BS174" s="505"/>
      <c r="BT174" s="505"/>
      <c r="BU174" s="505"/>
      <c r="BV174" s="505"/>
      <c r="BW174" s="505"/>
      <c r="BX174" s="505"/>
      <c r="BY174" s="505"/>
      <c r="BZ174" s="505"/>
      <c r="CA174" s="505"/>
      <c r="CB174" s="505"/>
      <c r="CC174" s="505"/>
      <c r="CD174" s="505"/>
      <c r="CE174" s="505"/>
      <c r="CF174" s="505"/>
      <c r="CG174" s="505"/>
      <c r="CH174" s="505"/>
      <c r="CI174" s="505"/>
      <c r="CJ174" s="505"/>
      <c r="CK174" s="505"/>
      <c r="CL174" s="505"/>
      <c r="CM174" s="505"/>
      <c r="CN174" s="505"/>
      <c r="CO174" s="505"/>
      <c r="CP174" s="505"/>
      <c r="CQ174" s="505"/>
      <c r="CR174" s="505"/>
      <c r="CS174" s="505"/>
      <c r="CT174" s="505"/>
      <c r="CU174" s="505"/>
      <c r="CV174" s="505"/>
      <c r="CW174" s="505"/>
      <c r="CX174" s="505"/>
      <c r="CY174" s="505"/>
      <c r="CZ174" s="505"/>
      <c r="DA174" s="505"/>
      <c r="DB174" s="505"/>
      <c r="DC174" s="505"/>
      <c r="DD174" s="505"/>
      <c r="DE174" s="505"/>
      <c r="DF174" s="505"/>
      <c r="DG174" s="505"/>
      <c r="DH174" s="505"/>
      <c r="DI174" s="505"/>
      <c r="DJ174" s="505"/>
      <c r="DK174" s="505"/>
      <c r="DL174" s="505"/>
      <c r="DM174" s="505"/>
      <c r="DN174" s="505"/>
      <c r="DO174" s="505"/>
      <c r="DP174" s="505"/>
    </row>
    <row r="175" spans="1:120" hidden="1" outlineLevel="1" x14ac:dyDescent="0.2">
      <c r="A175" s="517">
        <f t="shared" si="35"/>
        <v>37712</v>
      </c>
      <c r="B175" s="517" t="str">
        <f t="shared" si="32"/>
        <v>2Q03</v>
      </c>
      <c r="C175" s="517" t="str">
        <f t="shared" si="36"/>
        <v>2Q03</v>
      </c>
      <c r="D175" s="518">
        <f t="shared" si="37"/>
        <v>37778</v>
      </c>
      <c r="E175" s="518">
        <f t="shared" si="37"/>
        <v>37718</v>
      </c>
      <c r="F175" s="520">
        <v>1.554</v>
      </c>
      <c r="G175" s="521">
        <f t="shared" si="33"/>
        <v>0.09</v>
      </c>
      <c r="H175" s="521">
        <f t="shared" si="34"/>
        <v>0.08</v>
      </c>
      <c r="I175" s="521"/>
      <c r="J175" s="521"/>
      <c r="K175" s="521"/>
      <c r="L175" s="505"/>
      <c r="M175" s="528"/>
      <c r="N175" s="505"/>
      <c r="O175" s="505"/>
      <c r="P175" s="505"/>
      <c r="Q175" s="505"/>
      <c r="R175" s="505"/>
      <c r="S175" s="505"/>
      <c r="T175" s="505"/>
      <c r="U175" s="505"/>
      <c r="V175" s="505"/>
      <c r="W175" s="505"/>
      <c r="X175" s="505"/>
      <c r="Y175" s="505"/>
      <c r="Z175" s="505"/>
      <c r="AA175" s="505"/>
      <c r="AB175" s="505"/>
      <c r="AC175" s="505"/>
      <c r="AD175" s="505"/>
      <c r="AE175" s="505"/>
      <c r="AF175" s="505"/>
      <c r="AG175" s="505"/>
      <c r="AH175" s="505"/>
      <c r="AI175" s="505"/>
      <c r="AJ175" s="505"/>
      <c r="AK175" s="505"/>
      <c r="AL175" s="505"/>
      <c r="AM175" s="505"/>
      <c r="AN175" s="505"/>
      <c r="AO175" s="505"/>
      <c r="AP175" s="505"/>
      <c r="AQ175" s="505"/>
      <c r="AR175" s="505"/>
      <c r="AS175" s="505"/>
      <c r="AT175" s="505"/>
      <c r="AU175" s="505"/>
      <c r="AV175" s="505"/>
      <c r="AW175" s="505"/>
      <c r="AX175" s="505"/>
      <c r="AY175" s="505"/>
      <c r="AZ175" s="505"/>
      <c r="BA175" s="505"/>
      <c r="BB175" s="505"/>
      <c r="BC175" s="505"/>
      <c r="BD175" s="505"/>
      <c r="BE175" s="505"/>
      <c r="BF175" s="505"/>
      <c r="BG175" s="505"/>
      <c r="BH175" s="505"/>
      <c r="BI175" s="505"/>
      <c r="BJ175" s="505"/>
      <c r="BK175" s="505"/>
      <c r="BL175" s="505"/>
      <c r="BM175" s="505"/>
      <c r="BN175" s="505"/>
      <c r="BO175" s="505"/>
      <c r="BP175" s="505"/>
      <c r="BQ175" s="505"/>
      <c r="BR175" s="505"/>
      <c r="BS175" s="505"/>
      <c r="BT175" s="505"/>
      <c r="BU175" s="505"/>
      <c r="BV175" s="505"/>
      <c r="BW175" s="505"/>
      <c r="BX175" s="505"/>
      <c r="BY175" s="505"/>
      <c r="BZ175" s="505"/>
      <c r="CA175" s="505"/>
      <c r="CB175" s="505"/>
      <c r="CC175" s="505"/>
      <c r="CD175" s="505"/>
      <c r="CE175" s="505"/>
      <c r="CF175" s="505"/>
      <c r="CG175" s="505"/>
      <c r="CH175" s="505"/>
      <c r="CI175" s="505"/>
      <c r="CJ175" s="505"/>
      <c r="CK175" s="505"/>
      <c r="CL175" s="505"/>
      <c r="CM175" s="505"/>
      <c r="CN175" s="505"/>
      <c r="CO175" s="505"/>
      <c r="CP175" s="505"/>
      <c r="CQ175" s="505"/>
      <c r="CR175" s="505"/>
      <c r="CS175" s="505"/>
      <c r="CT175" s="505"/>
      <c r="CU175" s="505"/>
      <c r="CV175" s="505"/>
      <c r="CW175" s="505"/>
      <c r="CX175" s="505"/>
      <c r="CY175" s="505"/>
      <c r="CZ175" s="505"/>
      <c r="DA175" s="505"/>
      <c r="DB175" s="505"/>
      <c r="DC175" s="505"/>
      <c r="DD175" s="505"/>
      <c r="DE175" s="505"/>
      <c r="DF175" s="505"/>
      <c r="DG175" s="505"/>
      <c r="DH175" s="505"/>
      <c r="DI175" s="505"/>
      <c r="DJ175" s="505"/>
      <c r="DK175" s="505"/>
      <c r="DL175" s="505"/>
      <c r="DM175" s="505"/>
      <c r="DN175" s="505"/>
      <c r="DO175" s="505"/>
      <c r="DP175" s="505"/>
    </row>
    <row r="176" spans="1:120" hidden="1" outlineLevel="1" x14ac:dyDescent="0.2">
      <c r="A176" s="517">
        <f t="shared" si="35"/>
        <v>37712</v>
      </c>
      <c r="B176" s="517" t="str">
        <f t="shared" si="32"/>
        <v>2Q03</v>
      </c>
      <c r="C176" s="517" t="str">
        <f t="shared" si="36"/>
        <v>2Q03</v>
      </c>
      <c r="D176" s="518">
        <f t="shared" si="37"/>
        <v>37785</v>
      </c>
      <c r="E176" s="518">
        <f t="shared" si="37"/>
        <v>37725</v>
      </c>
      <c r="F176" s="520">
        <v>1.5390000000000001</v>
      </c>
      <c r="G176" s="521">
        <f t="shared" si="33"/>
        <v>0.08</v>
      </c>
      <c r="H176" s="521">
        <f t="shared" si="34"/>
        <v>0.08</v>
      </c>
      <c r="I176" s="521"/>
      <c r="J176" s="521"/>
      <c r="K176" s="521"/>
      <c r="L176" s="505"/>
      <c r="M176" s="528"/>
      <c r="N176" s="505"/>
      <c r="O176" s="505"/>
      <c r="P176" s="505"/>
      <c r="Q176" s="505"/>
      <c r="R176" s="505"/>
      <c r="S176" s="505"/>
      <c r="T176" s="505"/>
      <c r="U176" s="505"/>
      <c r="V176" s="505"/>
      <c r="W176" s="505"/>
      <c r="X176" s="505"/>
      <c r="Y176" s="505"/>
      <c r="Z176" s="505"/>
      <c r="AA176" s="505"/>
      <c r="AB176" s="505"/>
      <c r="AC176" s="505"/>
      <c r="AD176" s="505"/>
      <c r="AE176" s="505"/>
      <c r="AF176" s="505"/>
      <c r="AG176" s="505"/>
      <c r="AH176" s="505"/>
      <c r="AI176" s="505"/>
      <c r="AJ176" s="505"/>
      <c r="AK176" s="505"/>
      <c r="AL176" s="505"/>
      <c r="AM176" s="505"/>
      <c r="AN176" s="505"/>
      <c r="AO176" s="505"/>
      <c r="AP176" s="505"/>
      <c r="AQ176" s="505"/>
      <c r="AR176" s="505"/>
      <c r="AS176" s="505"/>
      <c r="AT176" s="505"/>
      <c r="AU176" s="505"/>
      <c r="AV176" s="505"/>
      <c r="AW176" s="505"/>
      <c r="AX176" s="505"/>
      <c r="AY176" s="505"/>
      <c r="AZ176" s="505"/>
      <c r="BA176" s="505"/>
      <c r="BB176" s="505"/>
      <c r="BC176" s="505"/>
      <c r="BD176" s="505"/>
      <c r="BE176" s="505"/>
      <c r="BF176" s="505"/>
      <c r="BG176" s="505"/>
      <c r="BH176" s="505"/>
      <c r="BI176" s="505"/>
      <c r="BJ176" s="505"/>
      <c r="BK176" s="505"/>
      <c r="BL176" s="505"/>
      <c r="BM176" s="505"/>
      <c r="BN176" s="505"/>
      <c r="BO176" s="505"/>
      <c r="BP176" s="505"/>
      <c r="BQ176" s="505"/>
      <c r="BR176" s="505"/>
      <c r="BS176" s="505"/>
      <c r="BT176" s="505"/>
      <c r="BU176" s="505"/>
      <c r="BV176" s="505"/>
      <c r="BW176" s="505"/>
      <c r="BX176" s="505"/>
      <c r="BY176" s="505"/>
      <c r="BZ176" s="505"/>
      <c r="CA176" s="505"/>
      <c r="CB176" s="505"/>
      <c r="CC176" s="505"/>
      <c r="CD176" s="505"/>
      <c r="CE176" s="505"/>
      <c r="CF176" s="505"/>
      <c r="CG176" s="505"/>
      <c r="CH176" s="505"/>
      <c r="CI176" s="505"/>
      <c r="CJ176" s="505"/>
      <c r="CK176" s="505"/>
      <c r="CL176" s="505"/>
      <c r="CM176" s="505"/>
      <c r="CN176" s="505"/>
      <c r="CO176" s="505"/>
      <c r="CP176" s="505"/>
      <c r="CQ176" s="505"/>
      <c r="CR176" s="505"/>
      <c r="CS176" s="505"/>
      <c r="CT176" s="505"/>
      <c r="CU176" s="505"/>
      <c r="CV176" s="505"/>
      <c r="CW176" s="505"/>
      <c r="CX176" s="505"/>
      <c r="CY176" s="505"/>
      <c r="CZ176" s="505"/>
      <c r="DA176" s="505"/>
      <c r="DB176" s="505"/>
      <c r="DC176" s="505"/>
      <c r="DD176" s="505"/>
      <c r="DE176" s="505"/>
      <c r="DF176" s="505"/>
      <c r="DG176" s="505"/>
      <c r="DH176" s="505"/>
      <c r="DI176" s="505"/>
      <c r="DJ176" s="505"/>
      <c r="DK176" s="505"/>
      <c r="DL176" s="505"/>
      <c r="DM176" s="505"/>
      <c r="DN176" s="505"/>
      <c r="DO176" s="505"/>
      <c r="DP176" s="505"/>
    </row>
    <row r="177" spans="1:120" hidden="1" outlineLevel="1" x14ac:dyDescent="0.2">
      <c r="A177" s="517">
        <f t="shared" si="35"/>
        <v>37712</v>
      </c>
      <c r="B177" s="517" t="str">
        <f t="shared" si="32"/>
        <v>2Q03</v>
      </c>
      <c r="C177" s="517" t="str">
        <f t="shared" si="36"/>
        <v>2Q03</v>
      </c>
      <c r="D177" s="518">
        <f t="shared" si="37"/>
        <v>37792</v>
      </c>
      <c r="E177" s="518">
        <f t="shared" si="37"/>
        <v>37732</v>
      </c>
      <c r="F177" s="520">
        <v>1.5290000000000001</v>
      </c>
      <c r="G177" s="521">
        <f t="shared" si="33"/>
        <v>0.08</v>
      </c>
      <c r="H177" s="521">
        <f t="shared" si="34"/>
        <v>0.08</v>
      </c>
      <c r="I177" s="521"/>
      <c r="J177" s="521"/>
      <c r="K177" s="521"/>
      <c r="L177" s="505"/>
      <c r="M177" s="528"/>
      <c r="N177" s="505"/>
      <c r="O177" s="505"/>
      <c r="P177" s="505"/>
      <c r="Q177" s="505"/>
      <c r="R177" s="505"/>
      <c r="S177" s="505"/>
      <c r="T177" s="505"/>
      <c r="U177" s="505"/>
      <c r="V177" s="505"/>
      <c r="W177" s="505"/>
      <c r="X177" s="505"/>
      <c r="Y177" s="505"/>
      <c r="Z177" s="505"/>
      <c r="AA177" s="505"/>
      <c r="AB177" s="505"/>
      <c r="AC177" s="505"/>
      <c r="AD177" s="505"/>
      <c r="AE177" s="505"/>
      <c r="AF177" s="505"/>
      <c r="AG177" s="505"/>
      <c r="AH177" s="505"/>
      <c r="AI177" s="505"/>
      <c r="AJ177" s="505"/>
      <c r="AK177" s="505"/>
      <c r="AL177" s="505"/>
      <c r="AM177" s="505"/>
      <c r="AN177" s="505"/>
      <c r="AO177" s="505"/>
      <c r="AP177" s="505"/>
      <c r="AQ177" s="505"/>
      <c r="AR177" s="505"/>
      <c r="AS177" s="505"/>
      <c r="AT177" s="505"/>
      <c r="AU177" s="505"/>
      <c r="AV177" s="505"/>
      <c r="AW177" s="505"/>
      <c r="AX177" s="505"/>
      <c r="AY177" s="505"/>
      <c r="AZ177" s="505"/>
      <c r="BA177" s="505"/>
      <c r="BB177" s="505"/>
      <c r="BC177" s="505"/>
      <c r="BD177" s="505"/>
      <c r="BE177" s="505"/>
      <c r="BF177" s="505"/>
      <c r="BG177" s="505"/>
      <c r="BH177" s="505"/>
      <c r="BI177" s="505"/>
      <c r="BJ177" s="505"/>
      <c r="BK177" s="505"/>
      <c r="BL177" s="505"/>
      <c r="BM177" s="505"/>
      <c r="BN177" s="505"/>
      <c r="BO177" s="505"/>
      <c r="BP177" s="505"/>
      <c r="BQ177" s="505"/>
      <c r="BR177" s="505"/>
      <c r="BS177" s="505"/>
      <c r="BT177" s="505"/>
      <c r="BU177" s="505"/>
      <c r="BV177" s="505"/>
      <c r="BW177" s="505"/>
      <c r="BX177" s="505"/>
      <c r="BY177" s="505"/>
      <c r="BZ177" s="505"/>
      <c r="CA177" s="505"/>
      <c r="CB177" s="505"/>
      <c r="CC177" s="505"/>
      <c r="CD177" s="505"/>
      <c r="CE177" s="505"/>
      <c r="CF177" s="505"/>
      <c r="CG177" s="505"/>
      <c r="CH177" s="505"/>
      <c r="CI177" s="505"/>
      <c r="CJ177" s="505"/>
      <c r="CK177" s="505"/>
      <c r="CL177" s="505"/>
      <c r="CM177" s="505"/>
      <c r="CN177" s="505"/>
      <c r="CO177" s="505"/>
      <c r="CP177" s="505"/>
      <c r="CQ177" s="505"/>
      <c r="CR177" s="505"/>
      <c r="CS177" s="505"/>
      <c r="CT177" s="505"/>
      <c r="CU177" s="505"/>
      <c r="CV177" s="505"/>
      <c r="CW177" s="505"/>
      <c r="CX177" s="505"/>
      <c r="CY177" s="505"/>
      <c r="CZ177" s="505"/>
      <c r="DA177" s="505"/>
      <c r="DB177" s="505"/>
      <c r="DC177" s="505"/>
      <c r="DD177" s="505"/>
      <c r="DE177" s="505"/>
      <c r="DF177" s="505"/>
      <c r="DG177" s="505"/>
      <c r="DH177" s="505"/>
      <c r="DI177" s="505"/>
      <c r="DJ177" s="505"/>
      <c r="DK177" s="505"/>
      <c r="DL177" s="505"/>
      <c r="DM177" s="505"/>
      <c r="DN177" s="505"/>
      <c r="DO177" s="505"/>
      <c r="DP177" s="505"/>
    </row>
    <row r="178" spans="1:120" hidden="1" outlineLevel="1" x14ac:dyDescent="0.2">
      <c r="A178" s="517">
        <f t="shared" si="35"/>
        <v>37712</v>
      </c>
      <c r="B178" s="517" t="str">
        <f t="shared" si="32"/>
        <v>2Q03</v>
      </c>
      <c r="C178" s="517" t="str">
        <f t="shared" si="36"/>
        <v>2Q03</v>
      </c>
      <c r="D178" s="518">
        <f t="shared" si="37"/>
        <v>37799</v>
      </c>
      <c r="E178" s="518">
        <f t="shared" si="37"/>
        <v>37739</v>
      </c>
      <c r="F178" s="520">
        <v>1.508</v>
      </c>
      <c r="G178" s="521">
        <f t="shared" si="33"/>
        <v>0.08</v>
      </c>
      <c r="H178" s="521">
        <f t="shared" si="34"/>
        <v>7.0000000000000007E-2</v>
      </c>
      <c r="I178" s="521"/>
      <c r="J178" s="521"/>
      <c r="K178" s="521"/>
      <c r="L178" s="505"/>
      <c r="M178" s="528"/>
      <c r="N178" s="505"/>
      <c r="O178" s="505"/>
      <c r="P178" s="505"/>
      <c r="Q178" s="505"/>
      <c r="R178" s="505"/>
      <c r="S178" s="505"/>
      <c r="T178" s="505"/>
      <c r="U178" s="505"/>
      <c r="V178" s="505"/>
      <c r="W178" s="505"/>
      <c r="X178" s="505"/>
      <c r="Y178" s="505"/>
      <c r="Z178" s="505"/>
      <c r="AA178" s="505"/>
      <c r="AB178" s="505"/>
      <c r="AC178" s="505"/>
      <c r="AD178" s="505"/>
      <c r="AE178" s="505"/>
      <c r="AF178" s="505"/>
      <c r="AG178" s="505"/>
      <c r="AH178" s="505"/>
      <c r="AI178" s="505"/>
      <c r="AJ178" s="505"/>
      <c r="AK178" s="505"/>
      <c r="AL178" s="505"/>
      <c r="AM178" s="505"/>
      <c r="AN178" s="505"/>
      <c r="AO178" s="505"/>
      <c r="AP178" s="505"/>
      <c r="AQ178" s="505"/>
      <c r="AR178" s="505"/>
      <c r="AS178" s="505"/>
      <c r="AT178" s="505"/>
      <c r="AU178" s="505"/>
      <c r="AV178" s="505"/>
      <c r="AW178" s="505"/>
      <c r="AX178" s="505"/>
      <c r="AY178" s="505"/>
      <c r="AZ178" s="505"/>
      <c r="BA178" s="505"/>
      <c r="BB178" s="505"/>
      <c r="BC178" s="505"/>
      <c r="BD178" s="505"/>
      <c r="BE178" s="505"/>
      <c r="BF178" s="505"/>
      <c r="BG178" s="505"/>
      <c r="BH178" s="505"/>
      <c r="BI178" s="505"/>
      <c r="BJ178" s="505"/>
      <c r="BK178" s="505"/>
      <c r="BL178" s="505"/>
      <c r="BM178" s="505"/>
      <c r="BN178" s="505"/>
      <c r="BO178" s="505"/>
      <c r="BP178" s="505"/>
      <c r="BQ178" s="505"/>
      <c r="BR178" s="505"/>
      <c r="BS178" s="505"/>
      <c r="BT178" s="505"/>
      <c r="BU178" s="505"/>
      <c r="BV178" s="505"/>
      <c r="BW178" s="505"/>
      <c r="BX178" s="505"/>
      <c r="BY178" s="505"/>
      <c r="BZ178" s="505"/>
      <c r="CA178" s="505"/>
      <c r="CB178" s="505"/>
      <c r="CC178" s="505"/>
      <c r="CD178" s="505"/>
      <c r="CE178" s="505"/>
      <c r="CF178" s="505"/>
      <c r="CG178" s="505"/>
      <c r="CH178" s="505"/>
      <c r="CI178" s="505"/>
      <c r="CJ178" s="505"/>
      <c r="CK178" s="505"/>
      <c r="CL178" s="505"/>
      <c r="CM178" s="505"/>
      <c r="CN178" s="505"/>
      <c r="CO178" s="505"/>
      <c r="CP178" s="505"/>
      <c r="CQ178" s="505"/>
      <c r="CR178" s="505"/>
      <c r="CS178" s="505"/>
      <c r="CT178" s="505"/>
      <c r="CU178" s="505"/>
      <c r="CV178" s="505"/>
      <c r="CW178" s="505"/>
      <c r="CX178" s="505"/>
      <c r="CY178" s="505"/>
      <c r="CZ178" s="505"/>
      <c r="DA178" s="505"/>
      <c r="DB178" s="505"/>
      <c r="DC178" s="505"/>
      <c r="DD178" s="505"/>
      <c r="DE178" s="505"/>
      <c r="DF178" s="505"/>
      <c r="DG178" s="505"/>
      <c r="DH178" s="505"/>
      <c r="DI178" s="505"/>
      <c r="DJ178" s="505"/>
      <c r="DK178" s="505"/>
      <c r="DL178" s="505"/>
      <c r="DM178" s="505"/>
      <c r="DN178" s="505"/>
      <c r="DO178" s="505"/>
      <c r="DP178" s="505"/>
    </row>
    <row r="179" spans="1:120" hidden="1" outlineLevel="1" x14ac:dyDescent="0.2">
      <c r="A179" s="517">
        <f t="shared" si="35"/>
        <v>37742</v>
      </c>
      <c r="B179" s="517" t="str">
        <f t="shared" si="32"/>
        <v>2Q03</v>
      </c>
      <c r="C179" s="517" t="str">
        <f t="shared" si="36"/>
        <v>3Q03</v>
      </c>
      <c r="D179" s="518">
        <f t="shared" si="37"/>
        <v>37806</v>
      </c>
      <c r="E179" s="518">
        <f t="shared" si="37"/>
        <v>37746</v>
      </c>
      <c r="F179" s="520">
        <v>1.484</v>
      </c>
      <c r="G179" s="521">
        <f t="shared" si="33"/>
        <v>7.0000000000000007E-2</v>
      </c>
      <c r="H179" s="521">
        <f t="shared" si="34"/>
        <v>6.0000000000000005E-2</v>
      </c>
      <c r="I179" s="521"/>
      <c r="J179" s="521"/>
      <c r="K179" s="521"/>
      <c r="L179" s="505"/>
      <c r="M179" s="528"/>
      <c r="N179" s="505"/>
      <c r="O179" s="505"/>
      <c r="P179" s="505"/>
      <c r="Q179" s="505"/>
      <c r="R179" s="505"/>
      <c r="S179" s="505"/>
      <c r="T179" s="505"/>
      <c r="U179" s="505"/>
      <c r="V179" s="505"/>
      <c r="W179" s="505"/>
      <c r="X179" s="505"/>
      <c r="Y179" s="505"/>
      <c r="Z179" s="505"/>
      <c r="AA179" s="505"/>
      <c r="AB179" s="505"/>
      <c r="AC179" s="505"/>
      <c r="AD179" s="505"/>
      <c r="AE179" s="505"/>
      <c r="AF179" s="505"/>
      <c r="AG179" s="505"/>
      <c r="AH179" s="505"/>
      <c r="AI179" s="505"/>
      <c r="AJ179" s="505"/>
      <c r="AK179" s="505"/>
      <c r="AL179" s="505"/>
      <c r="AM179" s="505"/>
      <c r="AN179" s="505"/>
      <c r="AO179" s="505"/>
      <c r="AP179" s="505"/>
      <c r="AQ179" s="505"/>
      <c r="AR179" s="505"/>
      <c r="AS179" s="505"/>
      <c r="AT179" s="505"/>
      <c r="AU179" s="505"/>
      <c r="AV179" s="505"/>
      <c r="AW179" s="505"/>
      <c r="AX179" s="505"/>
      <c r="AY179" s="505"/>
      <c r="AZ179" s="505"/>
      <c r="BA179" s="505"/>
      <c r="BB179" s="505"/>
      <c r="BC179" s="505"/>
      <c r="BD179" s="505"/>
      <c r="BE179" s="505"/>
      <c r="BF179" s="505"/>
      <c r="BG179" s="505"/>
      <c r="BH179" s="505"/>
      <c r="BI179" s="505"/>
      <c r="BJ179" s="505"/>
      <c r="BK179" s="505"/>
      <c r="BL179" s="505"/>
      <c r="BM179" s="505"/>
      <c r="BN179" s="505"/>
      <c r="BO179" s="505"/>
      <c r="BP179" s="505"/>
      <c r="BQ179" s="505"/>
      <c r="BR179" s="505"/>
      <c r="BS179" s="505"/>
      <c r="BT179" s="505"/>
      <c r="BU179" s="505"/>
      <c r="BV179" s="505"/>
      <c r="BW179" s="505"/>
      <c r="BX179" s="505"/>
      <c r="BY179" s="505"/>
      <c r="BZ179" s="505"/>
      <c r="CA179" s="505"/>
      <c r="CB179" s="505"/>
      <c r="CC179" s="505"/>
      <c r="CD179" s="505"/>
      <c r="CE179" s="505"/>
      <c r="CF179" s="505"/>
      <c r="CG179" s="505"/>
      <c r="CH179" s="505"/>
      <c r="CI179" s="505"/>
      <c r="CJ179" s="505"/>
      <c r="CK179" s="505"/>
      <c r="CL179" s="505"/>
      <c r="CM179" s="505"/>
      <c r="CN179" s="505"/>
      <c r="CO179" s="505"/>
      <c r="CP179" s="505"/>
      <c r="CQ179" s="505"/>
      <c r="CR179" s="505"/>
      <c r="CS179" s="505"/>
      <c r="CT179" s="505"/>
      <c r="CU179" s="505"/>
      <c r="CV179" s="505"/>
      <c r="CW179" s="505"/>
      <c r="CX179" s="505"/>
      <c r="CY179" s="505"/>
      <c r="CZ179" s="505"/>
      <c r="DA179" s="505"/>
      <c r="DB179" s="505"/>
      <c r="DC179" s="505"/>
      <c r="DD179" s="505"/>
      <c r="DE179" s="505"/>
      <c r="DF179" s="505"/>
      <c r="DG179" s="505"/>
      <c r="DH179" s="505"/>
      <c r="DI179" s="505"/>
      <c r="DJ179" s="505"/>
      <c r="DK179" s="505"/>
      <c r="DL179" s="505"/>
      <c r="DM179" s="505"/>
      <c r="DN179" s="505"/>
      <c r="DO179" s="505"/>
      <c r="DP179" s="505"/>
    </row>
    <row r="180" spans="1:120" hidden="1" outlineLevel="1" x14ac:dyDescent="0.2">
      <c r="A180" s="517">
        <f t="shared" si="35"/>
        <v>37742</v>
      </c>
      <c r="B180" s="517" t="str">
        <f t="shared" si="32"/>
        <v>2Q03</v>
      </c>
      <c r="C180" s="517" t="str">
        <f t="shared" si="36"/>
        <v>3Q03</v>
      </c>
      <c r="D180" s="518">
        <f t="shared" si="37"/>
        <v>37813</v>
      </c>
      <c r="E180" s="518">
        <f t="shared" si="37"/>
        <v>37753</v>
      </c>
      <c r="F180" s="520">
        <v>1.444</v>
      </c>
      <c r="G180" s="521">
        <f t="shared" si="33"/>
        <v>6.0000000000000005E-2</v>
      </c>
      <c r="H180" s="521">
        <f t="shared" si="34"/>
        <v>6.0000000000000005E-2</v>
      </c>
      <c r="I180" s="521"/>
      <c r="J180" s="521"/>
      <c r="K180" s="521"/>
      <c r="L180" s="505"/>
      <c r="M180" s="528"/>
      <c r="N180" s="505"/>
      <c r="O180" s="505"/>
      <c r="P180" s="505"/>
      <c r="Q180" s="505"/>
      <c r="R180" s="505"/>
      <c r="S180" s="505"/>
      <c r="T180" s="505"/>
      <c r="U180" s="505"/>
      <c r="V180" s="505"/>
      <c r="W180" s="505"/>
      <c r="X180" s="505"/>
      <c r="Y180" s="505"/>
      <c r="Z180" s="505"/>
      <c r="AA180" s="505"/>
      <c r="AB180" s="505"/>
      <c r="AC180" s="505"/>
      <c r="AD180" s="505"/>
      <c r="AE180" s="505"/>
      <c r="AF180" s="505"/>
      <c r="AG180" s="505"/>
      <c r="AH180" s="505"/>
      <c r="AI180" s="505"/>
      <c r="AJ180" s="505"/>
      <c r="AK180" s="505"/>
      <c r="AL180" s="505"/>
      <c r="AM180" s="505"/>
      <c r="AN180" s="505"/>
      <c r="AO180" s="505"/>
      <c r="AP180" s="505"/>
      <c r="AQ180" s="505"/>
      <c r="AR180" s="505"/>
      <c r="AS180" s="505"/>
      <c r="AT180" s="505"/>
      <c r="AU180" s="505"/>
      <c r="AV180" s="505"/>
      <c r="AW180" s="505"/>
      <c r="AX180" s="505"/>
      <c r="AY180" s="505"/>
      <c r="AZ180" s="505"/>
      <c r="BA180" s="505"/>
      <c r="BB180" s="505"/>
      <c r="BC180" s="505"/>
      <c r="BD180" s="505"/>
      <c r="BE180" s="505"/>
      <c r="BF180" s="505"/>
      <c r="BG180" s="505"/>
      <c r="BH180" s="505"/>
      <c r="BI180" s="505"/>
      <c r="BJ180" s="505"/>
      <c r="BK180" s="505"/>
      <c r="BL180" s="505"/>
      <c r="BM180" s="505"/>
      <c r="BN180" s="505"/>
      <c r="BO180" s="505"/>
      <c r="BP180" s="505"/>
      <c r="BQ180" s="505"/>
      <c r="BR180" s="505"/>
      <c r="BS180" s="505"/>
      <c r="BT180" s="505"/>
      <c r="BU180" s="505"/>
      <c r="BV180" s="505"/>
      <c r="BW180" s="505"/>
      <c r="BX180" s="505"/>
      <c r="BY180" s="505"/>
      <c r="BZ180" s="505"/>
      <c r="CA180" s="505"/>
      <c r="CB180" s="505"/>
      <c r="CC180" s="505"/>
      <c r="CD180" s="505"/>
      <c r="CE180" s="505"/>
      <c r="CF180" s="505"/>
      <c r="CG180" s="505"/>
      <c r="CH180" s="505"/>
      <c r="CI180" s="505"/>
      <c r="CJ180" s="505"/>
      <c r="CK180" s="505"/>
      <c r="CL180" s="505"/>
      <c r="CM180" s="505"/>
      <c r="CN180" s="505"/>
      <c r="CO180" s="505"/>
      <c r="CP180" s="505"/>
      <c r="CQ180" s="505"/>
      <c r="CR180" s="505"/>
      <c r="CS180" s="505"/>
      <c r="CT180" s="505"/>
      <c r="CU180" s="505"/>
      <c r="CV180" s="505"/>
      <c r="CW180" s="505"/>
      <c r="CX180" s="505"/>
      <c r="CY180" s="505"/>
      <c r="CZ180" s="505"/>
      <c r="DA180" s="505"/>
      <c r="DB180" s="505"/>
      <c r="DC180" s="505"/>
      <c r="DD180" s="505"/>
      <c r="DE180" s="505"/>
      <c r="DF180" s="505"/>
      <c r="DG180" s="505"/>
      <c r="DH180" s="505"/>
      <c r="DI180" s="505"/>
      <c r="DJ180" s="505"/>
      <c r="DK180" s="505"/>
      <c r="DL180" s="505"/>
      <c r="DM180" s="505"/>
      <c r="DN180" s="505"/>
      <c r="DO180" s="505"/>
      <c r="DP180" s="505"/>
    </row>
    <row r="181" spans="1:120" hidden="1" outlineLevel="1" x14ac:dyDescent="0.2">
      <c r="A181" s="517">
        <f t="shared" si="35"/>
        <v>37742</v>
      </c>
      <c r="B181" s="517" t="str">
        <f t="shared" si="32"/>
        <v>2Q03</v>
      </c>
      <c r="C181" s="517" t="str">
        <f t="shared" si="36"/>
        <v>3Q03</v>
      </c>
      <c r="D181" s="518">
        <f t="shared" si="37"/>
        <v>37820</v>
      </c>
      <c r="E181" s="518">
        <f t="shared" si="37"/>
        <v>37760</v>
      </c>
      <c r="F181" s="520">
        <v>1.4430000000000001</v>
      </c>
      <c r="G181" s="521">
        <f t="shared" si="33"/>
        <v>6.0000000000000005E-2</v>
      </c>
      <c r="H181" s="521">
        <f t="shared" si="34"/>
        <v>6.0000000000000005E-2</v>
      </c>
      <c r="I181" s="521"/>
      <c r="J181" s="521"/>
      <c r="K181" s="521"/>
      <c r="L181" s="505"/>
      <c r="M181" s="528"/>
      <c r="N181" s="505"/>
      <c r="O181" s="505"/>
      <c r="P181" s="505"/>
      <c r="Q181" s="505"/>
      <c r="R181" s="505"/>
      <c r="S181" s="505"/>
      <c r="T181" s="505"/>
      <c r="U181" s="505"/>
      <c r="V181" s="505"/>
      <c r="W181" s="505"/>
      <c r="X181" s="505"/>
      <c r="Y181" s="505"/>
      <c r="Z181" s="505"/>
      <c r="AA181" s="505"/>
      <c r="AB181" s="505"/>
      <c r="AC181" s="505"/>
      <c r="AD181" s="505"/>
      <c r="AE181" s="505"/>
      <c r="AF181" s="505"/>
      <c r="AG181" s="505"/>
      <c r="AH181" s="505"/>
      <c r="AI181" s="505"/>
      <c r="AJ181" s="505"/>
      <c r="AK181" s="505"/>
      <c r="AL181" s="505"/>
      <c r="AM181" s="505"/>
      <c r="AN181" s="505"/>
      <c r="AO181" s="505"/>
      <c r="AP181" s="505"/>
      <c r="AQ181" s="505"/>
      <c r="AR181" s="505"/>
      <c r="AS181" s="505"/>
      <c r="AT181" s="505"/>
      <c r="AU181" s="505"/>
      <c r="AV181" s="505"/>
      <c r="AW181" s="505"/>
      <c r="AX181" s="505"/>
      <c r="AY181" s="505"/>
      <c r="AZ181" s="505"/>
      <c r="BA181" s="505"/>
      <c r="BB181" s="505"/>
      <c r="BC181" s="505"/>
      <c r="BD181" s="505"/>
      <c r="BE181" s="505"/>
      <c r="BF181" s="505"/>
      <c r="BG181" s="505"/>
      <c r="BH181" s="505"/>
      <c r="BI181" s="505"/>
      <c r="BJ181" s="505"/>
      <c r="BK181" s="505"/>
      <c r="BL181" s="505"/>
      <c r="BM181" s="505"/>
      <c r="BN181" s="505"/>
      <c r="BO181" s="505"/>
      <c r="BP181" s="505"/>
      <c r="BQ181" s="505"/>
      <c r="BR181" s="505"/>
      <c r="BS181" s="505"/>
      <c r="BT181" s="505"/>
      <c r="BU181" s="505"/>
      <c r="BV181" s="505"/>
      <c r="BW181" s="505"/>
      <c r="BX181" s="505"/>
      <c r="BY181" s="505"/>
      <c r="BZ181" s="505"/>
      <c r="CA181" s="505"/>
      <c r="CB181" s="505"/>
      <c r="CC181" s="505"/>
      <c r="CD181" s="505"/>
      <c r="CE181" s="505"/>
      <c r="CF181" s="505"/>
      <c r="CG181" s="505"/>
      <c r="CH181" s="505"/>
      <c r="CI181" s="505"/>
      <c r="CJ181" s="505"/>
      <c r="CK181" s="505"/>
      <c r="CL181" s="505"/>
      <c r="CM181" s="505"/>
      <c r="CN181" s="505"/>
      <c r="CO181" s="505"/>
      <c r="CP181" s="505"/>
      <c r="CQ181" s="505"/>
      <c r="CR181" s="505"/>
      <c r="CS181" s="505"/>
      <c r="CT181" s="505"/>
      <c r="CU181" s="505"/>
      <c r="CV181" s="505"/>
      <c r="CW181" s="505"/>
      <c r="CX181" s="505"/>
      <c r="CY181" s="505"/>
      <c r="CZ181" s="505"/>
      <c r="DA181" s="505"/>
      <c r="DB181" s="505"/>
      <c r="DC181" s="505"/>
      <c r="DD181" s="505"/>
      <c r="DE181" s="505"/>
      <c r="DF181" s="505"/>
      <c r="DG181" s="505"/>
      <c r="DH181" s="505"/>
      <c r="DI181" s="505"/>
      <c r="DJ181" s="505"/>
      <c r="DK181" s="505"/>
      <c r="DL181" s="505"/>
      <c r="DM181" s="505"/>
      <c r="DN181" s="505"/>
      <c r="DO181" s="505"/>
      <c r="DP181" s="505"/>
    </row>
    <row r="182" spans="1:120" hidden="1" outlineLevel="1" x14ac:dyDescent="0.2">
      <c r="A182" s="517">
        <f t="shared" si="35"/>
        <v>37742</v>
      </c>
      <c r="B182" s="517" t="str">
        <f t="shared" si="32"/>
        <v>2Q03</v>
      </c>
      <c r="C182" s="517" t="str">
        <f t="shared" si="36"/>
        <v>3Q03</v>
      </c>
      <c r="D182" s="518">
        <f t="shared" si="37"/>
        <v>37827</v>
      </c>
      <c r="E182" s="518">
        <f t="shared" si="37"/>
        <v>37767</v>
      </c>
      <c r="F182" s="520">
        <v>1.4340000000000002</v>
      </c>
      <c r="G182" s="521">
        <f t="shared" si="33"/>
        <v>6.0000000000000005E-2</v>
      </c>
      <c r="H182" s="521">
        <f t="shared" si="34"/>
        <v>6.0000000000000005E-2</v>
      </c>
      <c r="I182" s="521"/>
      <c r="J182" s="521"/>
      <c r="K182" s="521"/>
      <c r="L182" s="505"/>
      <c r="M182" s="528"/>
      <c r="N182" s="505"/>
      <c r="O182" s="505"/>
      <c r="P182" s="505"/>
      <c r="Q182" s="505"/>
      <c r="R182" s="505"/>
      <c r="S182" s="505"/>
      <c r="T182" s="505"/>
      <c r="U182" s="505"/>
      <c r="V182" s="505"/>
      <c r="W182" s="505"/>
      <c r="X182" s="505"/>
      <c r="Y182" s="505"/>
      <c r="Z182" s="505"/>
      <c r="AA182" s="505"/>
      <c r="AB182" s="505"/>
      <c r="AC182" s="505"/>
      <c r="AD182" s="505"/>
      <c r="AE182" s="505"/>
      <c r="AF182" s="505"/>
      <c r="AG182" s="505"/>
      <c r="AH182" s="505"/>
      <c r="AI182" s="505"/>
      <c r="AJ182" s="505"/>
      <c r="AK182" s="505"/>
      <c r="AL182" s="505"/>
      <c r="AM182" s="505"/>
      <c r="AN182" s="505"/>
      <c r="AO182" s="505"/>
      <c r="AP182" s="505"/>
      <c r="AQ182" s="505"/>
      <c r="AR182" s="505"/>
      <c r="AS182" s="505"/>
      <c r="AT182" s="505"/>
      <c r="AU182" s="505"/>
      <c r="AV182" s="505"/>
      <c r="AW182" s="505"/>
      <c r="AX182" s="505"/>
      <c r="AY182" s="505"/>
      <c r="AZ182" s="505"/>
      <c r="BA182" s="505"/>
      <c r="BB182" s="505"/>
      <c r="BC182" s="505"/>
      <c r="BD182" s="505"/>
      <c r="BE182" s="505"/>
      <c r="BF182" s="505"/>
      <c r="BG182" s="505"/>
      <c r="BH182" s="505"/>
      <c r="BI182" s="505"/>
      <c r="BJ182" s="505"/>
      <c r="BK182" s="505"/>
      <c r="BL182" s="505"/>
      <c r="BM182" s="505"/>
      <c r="BN182" s="505"/>
      <c r="BO182" s="505"/>
      <c r="BP182" s="505"/>
      <c r="BQ182" s="505"/>
      <c r="BR182" s="505"/>
      <c r="BS182" s="505"/>
      <c r="BT182" s="505"/>
      <c r="BU182" s="505"/>
      <c r="BV182" s="505"/>
      <c r="BW182" s="505"/>
      <c r="BX182" s="505"/>
      <c r="BY182" s="505"/>
      <c r="BZ182" s="505"/>
      <c r="CA182" s="505"/>
      <c r="CB182" s="505"/>
      <c r="CC182" s="505"/>
      <c r="CD182" s="505"/>
      <c r="CE182" s="505"/>
      <c r="CF182" s="505"/>
      <c r="CG182" s="505"/>
      <c r="CH182" s="505"/>
      <c r="CI182" s="505"/>
      <c r="CJ182" s="505"/>
      <c r="CK182" s="505"/>
      <c r="CL182" s="505"/>
      <c r="CM182" s="505"/>
      <c r="CN182" s="505"/>
      <c r="CO182" s="505"/>
      <c r="CP182" s="505"/>
      <c r="CQ182" s="505"/>
      <c r="CR182" s="505"/>
      <c r="CS182" s="505"/>
      <c r="CT182" s="505"/>
      <c r="CU182" s="505"/>
      <c r="CV182" s="505"/>
      <c r="CW182" s="505"/>
      <c r="CX182" s="505"/>
      <c r="CY182" s="505"/>
      <c r="CZ182" s="505"/>
      <c r="DA182" s="505"/>
      <c r="DB182" s="505"/>
      <c r="DC182" s="505"/>
      <c r="DD182" s="505"/>
      <c r="DE182" s="505"/>
      <c r="DF182" s="505"/>
      <c r="DG182" s="505"/>
      <c r="DH182" s="505"/>
      <c r="DI182" s="505"/>
      <c r="DJ182" s="505"/>
      <c r="DK182" s="505"/>
      <c r="DL182" s="505"/>
      <c r="DM182" s="505"/>
      <c r="DN182" s="505"/>
      <c r="DO182" s="505"/>
      <c r="DP182" s="505"/>
    </row>
    <row r="183" spans="1:120" hidden="1" outlineLevel="1" x14ac:dyDescent="0.2">
      <c r="A183" s="517">
        <f t="shared" si="35"/>
        <v>37773</v>
      </c>
      <c r="B183" s="517" t="str">
        <f t="shared" si="32"/>
        <v>2Q03</v>
      </c>
      <c r="C183" s="517" t="str">
        <f t="shared" si="36"/>
        <v>3Q03</v>
      </c>
      <c r="D183" s="518">
        <f t="shared" si="37"/>
        <v>37834</v>
      </c>
      <c r="E183" s="518">
        <f t="shared" si="37"/>
        <v>37774</v>
      </c>
      <c r="F183" s="520">
        <v>1.423</v>
      </c>
      <c r="G183" s="521">
        <f t="shared" si="33"/>
        <v>6.0000000000000005E-2</v>
      </c>
      <c r="H183" s="521">
        <f t="shared" si="34"/>
        <v>6.0000000000000005E-2</v>
      </c>
      <c r="I183" s="521"/>
      <c r="J183" s="521"/>
      <c r="K183" s="521"/>
      <c r="L183" s="505"/>
      <c r="M183" s="528"/>
      <c r="N183" s="505"/>
      <c r="O183" s="505"/>
      <c r="P183" s="505"/>
      <c r="Q183" s="505"/>
      <c r="R183" s="505"/>
      <c r="S183" s="505"/>
      <c r="T183" s="505"/>
      <c r="U183" s="505"/>
      <c r="V183" s="505"/>
      <c r="W183" s="505"/>
      <c r="X183" s="505"/>
      <c r="Y183" s="505"/>
      <c r="Z183" s="505"/>
      <c r="AA183" s="505"/>
      <c r="AB183" s="505"/>
      <c r="AC183" s="505"/>
      <c r="AD183" s="505"/>
      <c r="AE183" s="505"/>
      <c r="AF183" s="505"/>
      <c r="AG183" s="505"/>
      <c r="AH183" s="505"/>
      <c r="AI183" s="505"/>
      <c r="AJ183" s="505"/>
      <c r="AK183" s="505"/>
      <c r="AL183" s="505"/>
      <c r="AM183" s="505"/>
      <c r="AN183" s="505"/>
      <c r="AO183" s="505"/>
      <c r="AP183" s="505"/>
      <c r="AQ183" s="505"/>
      <c r="AR183" s="505"/>
      <c r="AS183" s="505"/>
      <c r="AT183" s="505"/>
      <c r="AU183" s="505"/>
      <c r="AV183" s="505"/>
      <c r="AW183" s="505"/>
      <c r="AX183" s="505"/>
      <c r="AY183" s="505"/>
      <c r="AZ183" s="505"/>
      <c r="BA183" s="505"/>
      <c r="BB183" s="505"/>
      <c r="BC183" s="505"/>
      <c r="BD183" s="505"/>
      <c r="BE183" s="505"/>
      <c r="BF183" s="505"/>
      <c r="BG183" s="505"/>
      <c r="BH183" s="505"/>
      <c r="BI183" s="505"/>
      <c r="BJ183" s="505"/>
      <c r="BK183" s="505"/>
      <c r="BL183" s="505"/>
      <c r="BM183" s="505"/>
      <c r="BN183" s="505"/>
      <c r="BO183" s="505"/>
      <c r="BP183" s="505"/>
      <c r="BQ183" s="505"/>
      <c r="BR183" s="505"/>
      <c r="BS183" s="505"/>
      <c r="BT183" s="505"/>
      <c r="BU183" s="505"/>
      <c r="BV183" s="505"/>
      <c r="BW183" s="505"/>
      <c r="BX183" s="505"/>
      <c r="BY183" s="505"/>
      <c r="BZ183" s="505"/>
      <c r="CA183" s="505"/>
      <c r="CB183" s="505"/>
      <c r="CC183" s="505"/>
      <c r="CD183" s="505"/>
      <c r="CE183" s="505"/>
      <c r="CF183" s="505"/>
      <c r="CG183" s="505"/>
      <c r="CH183" s="505"/>
      <c r="CI183" s="505"/>
      <c r="CJ183" s="505"/>
      <c r="CK183" s="505"/>
      <c r="CL183" s="505"/>
      <c r="CM183" s="505"/>
      <c r="CN183" s="505"/>
      <c r="CO183" s="505"/>
      <c r="CP183" s="505"/>
      <c r="CQ183" s="505"/>
      <c r="CR183" s="505"/>
      <c r="CS183" s="505"/>
      <c r="CT183" s="505"/>
      <c r="CU183" s="505"/>
      <c r="CV183" s="505"/>
      <c r="CW183" s="505"/>
      <c r="CX183" s="505"/>
      <c r="CY183" s="505"/>
      <c r="CZ183" s="505"/>
      <c r="DA183" s="505"/>
      <c r="DB183" s="505"/>
      <c r="DC183" s="505"/>
      <c r="DD183" s="505"/>
      <c r="DE183" s="505"/>
      <c r="DF183" s="505"/>
      <c r="DG183" s="505"/>
      <c r="DH183" s="505"/>
      <c r="DI183" s="505"/>
      <c r="DJ183" s="505"/>
      <c r="DK183" s="505"/>
      <c r="DL183" s="505"/>
      <c r="DM183" s="505"/>
      <c r="DN183" s="505"/>
      <c r="DO183" s="505"/>
      <c r="DP183" s="505"/>
    </row>
    <row r="184" spans="1:120" hidden="1" outlineLevel="1" x14ac:dyDescent="0.2">
      <c r="A184" s="517">
        <f t="shared" si="35"/>
        <v>37773</v>
      </c>
      <c r="B184" s="517" t="str">
        <f t="shared" si="32"/>
        <v>2Q03</v>
      </c>
      <c r="C184" s="517" t="str">
        <f t="shared" si="36"/>
        <v>3Q03</v>
      </c>
      <c r="D184" s="518">
        <f t="shared" si="37"/>
        <v>37841</v>
      </c>
      <c r="E184" s="518">
        <f t="shared" si="37"/>
        <v>37781</v>
      </c>
      <c r="F184" s="520">
        <v>1.4219999999999999</v>
      </c>
      <c r="G184" s="521">
        <f t="shared" si="33"/>
        <v>6.0000000000000005E-2</v>
      </c>
      <c r="H184" s="521">
        <f t="shared" si="34"/>
        <v>6.0000000000000005E-2</v>
      </c>
      <c r="I184" s="521"/>
      <c r="J184" s="521"/>
      <c r="K184" s="521"/>
      <c r="L184" s="505"/>
      <c r="M184" s="528"/>
      <c r="N184" s="505"/>
      <c r="O184" s="505"/>
      <c r="P184" s="505"/>
      <c r="Q184" s="505"/>
      <c r="R184" s="505"/>
      <c r="S184" s="505"/>
      <c r="T184" s="505"/>
      <c r="U184" s="505"/>
      <c r="V184" s="505"/>
      <c r="W184" s="505"/>
      <c r="X184" s="505"/>
      <c r="Y184" s="505"/>
      <c r="Z184" s="505"/>
      <c r="AA184" s="505"/>
      <c r="AB184" s="505"/>
      <c r="AC184" s="505"/>
      <c r="AD184" s="505"/>
      <c r="AE184" s="505"/>
      <c r="AF184" s="505"/>
      <c r="AG184" s="505"/>
      <c r="AH184" s="505"/>
      <c r="AI184" s="505"/>
      <c r="AJ184" s="505"/>
      <c r="AK184" s="505"/>
      <c r="AL184" s="505"/>
      <c r="AM184" s="505"/>
      <c r="AN184" s="505"/>
      <c r="AO184" s="505"/>
      <c r="AP184" s="505"/>
      <c r="AQ184" s="505"/>
      <c r="AR184" s="505"/>
      <c r="AS184" s="505"/>
      <c r="AT184" s="505"/>
      <c r="AU184" s="505"/>
      <c r="AV184" s="505"/>
      <c r="AW184" s="505"/>
      <c r="AX184" s="505"/>
      <c r="AY184" s="505"/>
      <c r="AZ184" s="505"/>
      <c r="BA184" s="505"/>
      <c r="BB184" s="505"/>
      <c r="BC184" s="505"/>
      <c r="BD184" s="505"/>
      <c r="BE184" s="505"/>
      <c r="BF184" s="505"/>
      <c r="BG184" s="505"/>
      <c r="BH184" s="505"/>
      <c r="BI184" s="505"/>
      <c r="BJ184" s="505"/>
      <c r="BK184" s="505"/>
      <c r="BL184" s="505"/>
      <c r="BM184" s="505"/>
      <c r="BN184" s="505"/>
      <c r="BO184" s="505"/>
      <c r="BP184" s="505"/>
      <c r="BQ184" s="505"/>
      <c r="BR184" s="505"/>
      <c r="BS184" s="505"/>
      <c r="BT184" s="505"/>
      <c r="BU184" s="505"/>
      <c r="BV184" s="505"/>
      <c r="BW184" s="505"/>
      <c r="BX184" s="505"/>
      <c r="BY184" s="505"/>
      <c r="BZ184" s="505"/>
      <c r="CA184" s="505"/>
      <c r="CB184" s="505"/>
      <c r="CC184" s="505"/>
      <c r="CD184" s="505"/>
      <c r="CE184" s="505"/>
      <c r="CF184" s="505"/>
      <c r="CG184" s="505"/>
      <c r="CH184" s="505"/>
      <c r="CI184" s="505"/>
      <c r="CJ184" s="505"/>
      <c r="CK184" s="505"/>
      <c r="CL184" s="505"/>
      <c r="CM184" s="505"/>
      <c r="CN184" s="505"/>
      <c r="CO184" s="505"/>
      <c r="CP184" s="505"/>
      <c r="CQ184" s="505"/>
      <c r="CR184" s="505"/>
      <c r="CS184" s="505"/>
      <c r="CT184" s="505"/>
      <c r="CU184" s="505"/>
      <c r="CV184" s="505"/>
      <c r="CW184" s="505"/>
      <c r="CX184" s="505"/>
      <c r="CY184" s="505"/>
      <c r="CZ184" s="505"/>
      <c r="DA184" s="505"/>
      <c r="DB184" s="505"/>
      <c r="DC184" s="505"/>
      <c r="DD184" s="505"/>
      <c r="DE184" s="505"/>
      <c r="DF184" s="505"/>
      <c r="DG184" s="505"/>
      <c r="DH184" s="505"/>
      <c r="DI184" s="505"/>
      <c r="DJ184" s="505"/>
      <c r="DK184" s="505"/>
      <c r="DL184" s="505"/>
      <c r="DM184" s="505"/>
      <c r="DN184" s="505"/>
      <c r="DO184" s="505"/>
      <c r="DP184" s="505"/>
    </row>
    <row r="185" spans="1:120" hidden="1" outlineLevel="1" x14ac:dyDescent="0.2">
      <c r="A185" s="517">
        <f t="shared" si="35"/>
        <v>37773</v>
      </c>
      <c r="B185" s="517" t="str">
        <f t="shared" si="32"/>
        <v>2Q03</v>
      </c>
      <c r="C185" s="517" t="str">
        <f t="shared" si="36"/>
        <v>3Q03</v>
      </c>
      <c r="D185" s="518">
        <f t="shared" si="37"/>
        <v>37848</v>
      </c>
      <c r="E185" s="518">
        <f t="shared" si="37"/>
        <v>37788</v>
      </c>
      <c r="F185" s="520">
        <v>1.4319999999999999</v>
      </c>
      <c r="G185" s="521">
        <f t="shared" si="33"/>
        <v>6.0000000000000005E-2</v>
      </c>
      <c r="H185" s="521">
        <f t="shared" si="34"/>
        <v>6.0000000000000005E-2</v>
      </c>
      <c r="I185" s="521"/>
      <c r="J185" s="521"/>
      <c r="K185" s="521"/>
      <c r="L185" s="505"/>
      <c r="M185" s="528"/>
      <c r="N185" s="505"/>
      <c r="O185" s="505"/>
      <c r="P185" s="505"/>
      <c r="Q185" s="505"/>
      <c r="R185" s="505"/>
      <c r="S185" s="505"/>
      <c r="T185" s="505"/>
      <c r="U185" s="505"/>
      <c r="V185" s="505"/>
      <c r="W185" s="505"/>
      <c r="X185" s="505"/>
      <c r="Y185" s="505"/>
      <c r="Z185" s="505"/>
      <c r="AA185" s="505"/>
      <c r="AB185" s="505"/>
      <c r="AC185" s="505"/>
      <c r="AD185" s="505"/>
      <c r="AE185" s="505"/>
      <c r="AF185" s="505"/>
      <c r="AG185" s="505"/>
      <c r="AH185" s="505"/>
      <c r="AI185" s="505"/>
      <c r="AJ185" s="505"/>
      <c r="AK185" s="505"/>
      <c r="AL185" s="505"/>
      <c r="AM185" s="505"/>
      <c r="AN185" s="505"/>
      <c r="AO185" s="505"/>
      <c r="AP185" s="505"/>
      <c r="AQ185" s="505"/>
      <c r="AR185" s="505"/>
      <c r="AS185" s="505"/>
      <c r="AT185" s="505"/>
      <c r="AU185" s="505"/>
      <c r="AV185" s="505"/>
      <c r="AW185" s="505"/>
      <c r="AX185" s="505"/>
      <c r="AY185" s="505"/>
      <c r="AZ185" s="505"/>
      <c r="BA185" s="505"/>
      <c r="BB185" s="505"/>
      <c r="BC185" s="505"/>
      <c r="BD185" s="505"/>
      <c r="BE185" s="505"/>
      <c r="BF185" s="505"/>
      <c r="BG185" s="505"/>
      <c r="BH185" s="505"/>
      <c r="BI185" s="505"/>
      <c r="BJ185" s="505"/>
      <c r="BK185" s="505"/>
      <c r="BL185" s="505"/>
      <c r="BM185" s="505"/>
      <c r="BN185" s="505"/>
      <c r="BO185" s="505"/>
      <c r="BP185" s="505"/>
      <c r="BQ185" s="505"/>
      <c r="BR185" s="505"/>
      <c r="BS185" s="505"/>
      <c r="BT185" s="505"/>
      <c r="BU185" s="505"/>
      <c r="BV185" s="505"/>
      <c r="BW185" s="505"/>
      <c r="BX185" s="505"/>
      <c r="BY185" s="505"/>
      <c r="BZ185" s="505"/>
      <c r="CA185" s="505"/>
      <c r="CB185" s="505"/>
      <c r="CC185" s="505"/>
      <c r="CD185" s="505"/>
      <c r="CE185" s="505"/>
      <c r="CF185" s="505"/>
      <c r="CG185" s="505"/>
      <c r="CH185" s="505"/>
      <c r="CI185" s="505"/>
      <c r="CJ185" s="505"/>
      <c r="CK185" s="505"/>
      <c r="CL185" s="505"/>
      <c r="CM185" s="505"/>
      <c r="CN185" s="505"/>
      <c r="CO185" s="505"/>
      <c r="CP185" s="505"/>
      <c r="CQ185" s="505"/>
      <c r="CR185" s="505"/>
      <c r="CS185" s="505"/>
      <c r="CT185" s="505"/>
      <c r="CU185" s="505"/>
      <c r="CV185" s="505"/>
      <c r="CW185" s="505"/>
      <c r="CX185" s="505"/>
      <c r="CY185" s="505"/>
      <c r="CZ185" s="505"/>
      <c r="DA185" s="505"/>
      <c r="DB185" s="505"/>
      <c r="DC185" s="505"/>
      <c r="DD185" s="505"/>
      <c r="DE185" s="505"/>
      <c r="DF185" s="505"/>
      <c r="DG185" s="505"/>
      <c r="DH185" s="505"/>
      <c r="DI185" s="505"/>
      <c r="DJ185" s="505"/>
      <c r="DK185" s="505"/>
      <c r="DL185" s="505"/>
      <c r="DM185" s="505"/>
      <c r="DN185" s="505"/>
      <c r="DO185" s="505"/>
      <c r="DP185" s="505"/>
    </row>
    <row r="186" spans="1:120" hidden="1" outlineLevel="1" x14ac:dyDescent="0.2">
      <c r="A186" s="517">
        <f t="shared" si="35"/>
        <v>37773</v>
      </c>
      <c r="B186" s="517" t="str">
        <f t="shared" si="32"/>
        <v>2Q03</v>
      </c>
      <c r="C186" s="517" t="str">
        <f t="shared" si="36"/>
        <v>3Q03</v>
      </c>
      <c r="D186" s="518">
        <f t="shared" si="37"/>
        <v>37855</v>
      </c>
      <c r="E186" s="518">
        <f t="shared" si="37"/>
        <v>37795</v>
      </c>
      <c r="F186" s="520">
        <v>1.423</v>
      </c>
      <c r="G186" s="521">
        <f t="shared" si="33"/>
        <v>6.0000000000000005E-2</v>
      </c>
      <c r="H186" s="521">
        <f t="shared" si="34"/>
        <v>6.0000000000000005E-2</v>
      </c>
      <c r="I186" s="521"/>
      <c r="J186" s="521"/>
      <c r="K186" s="521"/>
      <c r="L186" s="505"/>
      <c r="M186" s="528"/>
      <c r="N186" s="505"/>
      <c r="O186" s="505"/>
      <c r="P186" s="505"/>
      <c r="Q186" s="505"/>
      <c r="R186" s="505"/>
      <c r="S186" s="505"/>
      <c r="T186" s="505"/>
      <c r="U186" s="505"/>
      <c r="V186" s="505"/>
      <c r="W186" s="505"/>
      <c r="X186" s="505"/>
      <c r="Y186" s="505"/>
      <c r="Z186" s="505"/>
      <c r="AA186" s="505"/>
      <c r="AB186" s="505"/>
      <c r="AC186" s="505"/>
      <c r="AD186" s="505"/>
      <c r="AE186" s="505"/>
      <c r="AF186" s="505"/>
      <c r="AG186" s="505"/>
      <c r="AH186" s="505"/>
      <c r="AI186" s="505"/>
      <c r="AJ186" s="505"/>
      <c r="AK186" s="505"/>
      <c r="AL186" s="505"/>
      <c r="AM186" s="505"/>
      <c r="AN186" s="505"/>
      <c r="AO186" s="505"/>
      <c r="AP186" s="505"/>
      <c r="AQ186" s="505"/>
      <c r="AR186" s="505"/>
      <c r="AS186" s="505"/>
      <c r="AT186" s="505"/>
      <c r="AU186" s="505"/>
      <c r="AV186" s="505"/>
      <c r="AW186" s="505"/>
      <c r="AX186" s="505"/>
      <c r="AY186" s="505"/>
      <c r="AZ186" s="505"/>
      <c r="BA186" s="505"/>
      <c r="BB186" s="505"/>
      <c r="BC186" s="505"/>
      <c r="BD186" s="505"/>
      <c r="BE186" s="505"/>
      <c r="BF186" s="505"/>
      <c r="BG186" s="505"/>
      <c r="BH186" s="505"/>
      <c r="BI186" s="505"/>
      <c r="BJ186" s="505"/>
      <c r="BK186" s="505"/>
      <c r="BL186" s="505"/>
      <c r="BM186" s="505"/>
      <c r="BN186" s="505"/>
      <c r="BO186" s="505"/>
      <c r="BP186" s="505"/>
      <c r="BQ186" s="505"/>
      <c r="BR186" s="505"/>
      <c r="BS186" s="505"/>
      <c r="BT186" s="505"/>
      <c r="BU186" s="505"/>
      <c r="BV186" s="505"/>
      <c r="BW186" s="505"/>
      <c r="BX186" s="505"/>
      <c r="BY186" s="505"/>
      <c r="BZ186" s="505"/>
      <c r="CA186" s="505"/>
      <c r="CB186" s="505"/>
      <c r="CC186" s="505"/>
      <c r="CD186" s="505"/>
      <c r="CE186" s="505"/>
      <c r="CF186" s="505"/>
      <c r="CG186" s="505"/>
      <c r="CH186" s="505"/>
      <c r="CI186" s="505"/>
      <c r="CJ186" s="505"/>
      <c r="CK186" s="505"/>
      <c r="CL186" s="505"/>
      <c r="CM186" s="505"/>
      <c r="CN186" s="505"/>
      <c r="CO186" s="505"/>
      <c r="CP186" s="505"/>
      <c r="CQ186" s="505"/>
      <c r="CR186" s="505"/>
      <c r="CS186" s="505"/>
      <c r="CT186" s="505"/>
      <c r="CU186" s="505"/>
      <c r="CV186" s="505"/>
      <c r="CW186" s="505"/>
      <c r="CX186" s="505"/>
      <c r="CY186" s="505"/>
      <c r="CZ186" s="505"/>
      <c r="DA186" s="505"/>
      <c r="DB186" s="505"/>
      <c r="DC186" s="505"/>
      <c r="DD186" s="505"/>
      <c r="DE186" s="505"/>
      <c r="DF186" s="505"/>
      <c r="DG186" s="505"/>
      <c r="DH186" s="505"/>
      <c r="DI186" s="505"/>
      <c r="DJ186" s="505"/>
      <c r="DK186" s="505"/>
      <c r="DL186" s="505"/>
      <c r="DM186" s="505"/>
      <c r="DN186" s="505"/>
      <c r="DO186" s="505"/>
      <c r="DP186" s="505"/>
    </row>
    <row r="187" spans="1:120" hidden="1" outlineLevel="1" x14ac:dyDescent="0.2">
      <c r="A187" s="517">
        <f t="shared" si="35"/>
        <v>37773</v>
      </c>
      <c r="B187" s="517" t="str">
        <f t="shared" si="32"/>
        <v>2Q03</v>
      </c>
      <c r="C187" s="517" t="str">
        <f t="shared" si="36"/>
        <v>3Q03</v>
      </c>
      <c r="D187" s="518">
        <f t="shared" si="37"/>
        <v>37862</v>
      </c>
      <c r="E187" s="518">
        <f t="shared" si="37"/>
        <v>37802</v>
      </c>
      <c r="F187" s="520">
        <v>1.42</v>
      </c>
      <c r="G187" s="521">
        <f t="shared" si="33"/>
        <v>6.0000000000000005E-2</v>
      </c>
      <c r="H187" s="521">
        <f t="shared" si="34"/>
        <v>6.0000000000000005E-2</v>
      </c>
      <c r="I187" s="521"/>
      <c r="J187" s="521"/>
      <c r="K187" s="521"/>
      <c r="L187" s="505"/>
      <c r="M187" s="528"/>
      <c r="N187" s="505"/>
      <c r="O187" s="505"/>
      <c r="P187" s="505"/>
      <c r="Q187" s="505"/>
      <c r="R187" s="505"/>
      <c r="S187" s="505"/>
      <c r="T187" s="505"/>
      <c r="U187" s="505"/>
      <c r="V187" s="505"/>
      <c r="W187" s="505"/>
      <c r="X187" s="505"/>
      <c r="Y187" s="505"/>
      <c r="Z187" s="505"/>
      <c r="AA187" s="505"/>
      <c r="AB187" s="505"/>
      <c r="AC187" s="505"/>
      <c r="AD187" s="505"/>
      <c r="AE187" s="505"/>
      <c r="AF187" s="505"/>
      <c r="AG187" s="505"/>
      <c r="AH187" s="505"/>
      <c r="AI187" s="505"/>
      <c r="AJ187" s="505"/>
      <c r="AK187" s="505"/>
      <c r="AL187" s="505"/>
      <c r="AM187" s="505"/>
      <c r="AN187" s="505"/>
      <c r="AO187" s="505"/>
      <c r="AP187" s="505"/>
      <c r="AQ187" s="505"/>
      <c r="AR187" s="505"/>
      <c r="AS187" s="505"/>
      <c r="AT187" s="505"/>
      <c r="AU187" s="505"/>
      <c r="AV187" s="505"/>
      <c r="AW187" s="505"/>
      <c r="AX187" s="505"/>
      <c r="AY187" s="505"/>
      <c r="AZ187" s="505"/>
      <c r="BA187" s="505"/>
      <c r="BB187" s="505"/>
      <c r="BC187" s="505"/>
      <c r="BD187" s="505"/>
      <c r="BE187" s="505"/>
      <c r="BF187" s="505"/>
      <c r="BG187" s="505"/>
      <c r="BH187" s="505"/>
      <c r="BI187" s="505"/>
      <c r="BJ187" s="505"/>
      <c r="BK187" s="505"/>
      <c r="BL187" s="505"/>
      <c r="BM187" s="505"/>
      <c r="BN187" s="505"/>
      <c r="BO187" s="505"/>
      <c r="BP187" s="505"/>
      <c r="BQ187" s="505"/>
      <c r="BR187" s="505"/>
      <c r="BS187" s="505"/>
      <c r="BT187" s="505"/>
      <c r="BU187" s="505"/>
      <c r="BV187" s="505"/>
      <c r="BW187" s="505"/>
      <c r="BX187" s="505"/>
      <c r="BY187" s="505"/>
      <c r="BZ187" s="505"/>
      <c r="CA187" s="505"/>
      <c r="CB187" s="505"/>
      <c r="CC187" s="505"/>
      <c r="CD187" s="505"/>
      <c r="CE187" s="505"/>
      <c r="CF187" s="505"/>
      <c r="CG187" s="505"/>
      <c r="CH187" s="505"/>
      <c r="CI187" s="505"/>
      <c r="CJ187" s="505"/>
      <c r="CK187" s="505"/>
      <c r="CL187" s="505"/>
      <c r="CM187" s="505"/>
      <c r="CN187" s="505"/>
      <c r="CO187" s="505"/>
      <c r="CP187" s="505"/>
      <c r="CQ187" s="505"/>
      <c r="CR187" s="505"/>
      <c r="CS187" s="505"/>
      <c r="CT187" s="505"/>
      <c r="CU187" s="505"/>
      <c r="CV187" s="505"/>
      <c r="CW187" s="505"/>
      <c r="CX187" s="505"/>
      <c r="CY187" s="505"/>
      <c r="CZ187" s="505"/>
      <c r="DA187" s="505"/>
      <c r="DB187" s="505"/>
      <c r="DC187" s="505"/>
      <c r="DD187" s="505"/>
      <c r="DE187" s="505"/>
      <c r="DF187" s="505"/>
      <c r="DG187" s="505"/>
      <c r="DH187" s="505"/>
      <c r="DI187" s="505"/>
      <c r="DJ187" s="505"/>
      <c r="DK187" s="505"/>
      <c r="DL187" s="505"/>
      <c r="DM187" s="505"/>
      <c r="DN187" s="505"/>
      <c r="DO187" s="505"/>
      <c r="DP187" s="505"/>
    </row>
    <row r="188" spans="1:120" hidden="1" outlineLevel="1" x14ac:dyDescent="0.2">
      <c r="A188" s="517">
        <f t="shared" si="35"/>
        <v>37803</v>
      </c>
      <c r="B188" s="517" t="str">
        <f t="shared" si="32"/>
        <v>3Q03</v>
      </c>
      <c r="C188" s="517" t="str">
        <f t="shared" si="36"/>
        <v>3Q03</v>
      </c>
      <c r="D188" s="518">
        <f t="shared" si="37"/>
        <v>37869</v>
      </c>
      <c r="E188" s="518">
        <f t="shared" si="37"/>
        <v>37809</v>
      </c>
      <c r="F188" s="520">
        <v>1.4280000000000002</v>
      </c>
      <c r="G188" s="521">
        <f t="shared" si="33"/>
        <v>6.0000000000000005E-2</v>
      </c>
      <c r="H188" s="521">
        <f t="shared" si="34"/>
        <v>6.0000000000000005E-2</v>
      </c>
      <c r="I188" s="521"/>
      <c r="J188" s="521"/>
      <c r="K188" s="521"/>
      <c r="L188" s="505"/>
      <c r="M188" s="528"/>
      <c r="N188" s="505"/>
      <c r="O188" s="505"/>
      <c r="P188" s="505"/>
      <c r="Q188" s="505"/>
      <c r="R188" s="505"/>
      <c r="S188" s="505"/>
      <c r="T188" s="505"/>
      <c r="U188" s="505"/>
      <c r="V188" s="505"/>
      <c r="W188" s="505"/>
      <c r="X188" s="505"/>
      <c r="Y188" s="505"/>
      <c r="Z188" s="505"/>
      <c r="AA188" s="505"/>
      <c r="AB188" s="505"/>
      <c r="AC188" s="505"/>
      <c r="AD188" s="505"/>
      <c r="AE188" s="505"/>
      <c r="AF188" s="505"/>
      <c r="AG188" s="505"/>
      <c r="AH188" s="505"/>
      <c r="AI188" s="505"/>
      <c r="AJ188" s="505"/>
      <c r="AK188" s="505"/>
      <c r="AL188" s="505"/>
      <c r="AM188" s="505"/>
      <c r="AN188" s="505"/>
      <c r="AO188" s="505"/>
      <c r="AP188" s="505"/>
      <c r="AQ188" s="505"/>
      <c r="AR188" s="505"/>
      <c r="AS188" s="505"/>
      <c r="AT188" s="505"/>
      <c r="AU188" s="505"/>
      <c r="AV188" s="505"/>
      <c r="AW188" s="505"/>
      <c r="AX188" s="505"/>
      <c r="AY188" s="505"/>
      <c r="AZ188" s="505"/>
      <c r="BA188" s="505"/>
      <c r="BB188" s="505"/>
      <c r="BC188" s="505"/>
      <c r="BD188" s="505"/>
      <c r="BE188" s="505"/>
      <c r="BF188" s="505"/>
      <c r="BG188" s="505"/>
      <c r="BH188" s="505"/>
      <c r="BI188" s="505"/>
      <c r="BJ188" s="505"/>
      <c r="BK188" s="505"/>
      <c r="BL188" s="505"/>
      <c r="BM188" s="505"/>
      <c r="BN188" s="505"/>
      <c r="BO188" s="505"/>
      <c r="BP188" s="505"/>
      <c r="BQ188" s="505"/>
      <c r="BR188" s="505"/>
      <c r="BS188" s="505"/>
      <c r="BT188" s="505"/>
      <c r="BU188" s="505"/>
      <c r="BV188" s="505"/>
      <c r="BW188" s="505"/>
      <c r="BX188" s="505"/>
      <c r="BY188" s="505"/>
      <c r="BZ188" s="505"/>
      <c r="CA188" s="505"/>
      <c r="CB188" s="505"/>
      <c r="CC188" s="505"/>
      <c r="CD188" s="505"/>
      <c r="CE188" s="505"/>
      <c r="CF188" s="505"/>
      <c r="CG188" s="505"/>
      <c r="CH188" s="505"/>
      <c r="CI188" s="505"/>
      <c r="CJ188" s="505"/>
      <c r="CK188" s="505"/>
      <c r="CL188" s="505"/>
      <c r="CM188" s="505"/>
      <c r="CN188" s="505"/>
      <c r="CO188" s="505"/>
      <c r="CP188" s="505"/>
      <c r="CQ188" s="505"/>
      <c r="CR188" s="505"/>
      <c r="CS188" s="505"/>
      <c r="CT188" s="505"/>
      <c r="CU188" s="505"/>
      <c r="CV188" s="505"/>
      <c r="CW188" s="505"/>
      <c r="CX188" s="505"/>
      <c r="CY188" s="505"/>
      <c r="CZ188" s="505"/>
      <c r="DA188" s="505"/>
      <c r="DB188" s="505"/>
      <c r="DC188" s="505"/>
      <c r="DD188" s="505"/>
      <c r="DE188" s="505"/>
      <c r="DF188" s="505"/>
      <c r="DG188" s="505"/>
      <c r="DH188" s="505"/>
      <c r="DI188" s="505"/>
      <c r="DJ188" s="505"/>
      <c r="DK188" s="505"/>
      <c r="DL188" s="505"/>
      <c r="DM188" s="505"/>
      <c r="DN188" s="505"/>
      <c r="DO188" s="505"/>
      <c r="DP188" s="505"/>
    </row>
    <row r="189" spans="1:120" hidden="1" outlineLevel="1" x14ac:dyDescent="0.2">
      <c r="A189" s="517">
        <f t="shared" si="35"/>
        <v>37803</v>
      </c>
      <c r="B189" s="517" t="str">
        <f t="shared" si="32"/>
        <v>3Q03</v>
      </c>
      <c r="C189" s="517" t="str">
        <f t="shared" si="36"/>
        <v>3Q03</v>
      </c>
      <c r="D189" s="518">
        <f t="shared" si="37"/>
        <v>37876</v>
      </c>
      <c r="E189" s="518">
        <f t="shared" si="37"/>
        <v>37816</v>
      </c>
      <c r="F189" s="520">
        <v>1.4350000000000001</v>
      </c>
      <c r="G189" s="521">
        <f t="shared" si="33"/>
        <v>6.0000000000000005E-2</v>
      </c>
      <c r="H189" s="521">
        <f t="shared" si="34"/>
        <v>6.0000000000000005E-2</v>
      </c>
      <c r="I189" s="521"/>
      <c r="J189" s="521"/>
      <c r="K189" s="521"/>
      <c r="L189" s="505"/>
      <c r="M189" s="528"/>
      <c r="N189" s="505"/>
      <c r="O189" s="505"/>
      <c r="P189" s="505"/>
      <c r="Q189" s="505"/>
      <c r="R189" s="505"/>
      <c r="S189" s="505"/>
      <c r="T189" s="505"/>
      <c r="U189" s="505"/>
      <c r="V189" s="505"/>
      <c r="W189" s="505"/>
      <c r="X189" s="505"/>
      <c r="Y189" s="505"/>
      <c r="Z189" s="505"/>
      <c r="AA189" s="505"/>
      <c r="AB189" s="505"/>
      <c r="AC189" s="505"/>
      <c r="AD189" s="505"/>
      <c r="AE189" s="505"/>
      <c r="AF189" s="505"/>
      <c r="AG189" s="505"/>
      <c r="AH189" s="505"/>
      <c r="AI189" s="505"/>
      <c r="AJ189" s="505"/>
      <c r="AK189" s="505"/>
      <c r="AL189" s="505"/>
      <c r="AM189" s="505"/>
      <c r="AN189" s="505"/>
      <c r="AO189" s="505"/>
      <c r="AP189" s="505"/>
      <c r="AQ189" s="505"/>
      <c r="AR189" s="505"/>
      <c r="AS189" s="505"/>
      <c r="AT189" s="505"/>
      <c r="AU189" s="505"/>
      <c r="AV189" s="505"/>
      <c r="AW189" s="505"/>
      <c r="AX189" s="505"/>
      <c r="AY189" s="505"/>
      <c r="AZ189" s="505"/>
      <c r="BA189" s="505"/>
      <c r="BB189" s="505"/>
      <c r="BC189" s="505"/>
      <c r="BD189" s="505"/>
      <c r="BE189" s="505"/>
      <c r="BF189" s="505"/>
      <c r="BG189" s="505"/>
      <c r="BH189" s="505"/>
      <c r="BI189" s="505"/>
      <c r="BJ189" s="505"/>
      <c r="BK189" s="505"/>
      <c r="BL189" s="505"/>
      <c r="BM189" s="505"/>
      <c r="BN189" s="505"/>
      <c r="BO189" s="505"/>
      <c r="BP189" s="505"/>
      <c r="BQ189" s="505"/>
      <c r="BR189" s="505"/>
      <c r="BS189" s="505"/>
      <c r="BT189" s="505"/>
      <c r="BU189" s="505"/>
      <c r="BV189" s="505"/>
      <c r="BW189" s="505"/>
      <c r="BX189" s="505"/>
      <c r="BY189" s="505"/>
      <c r="BZ189" s="505"/>
      <c r="CA189" s="505"/>
      <c r="CB189" s="505"/>
      <c r="CC189" s="505"/>
      <c r="CD189" s="505"/>
      <c r="CE189" s="505"/>
      <c r="CF189" s="505"/>
      <c r="CG189" s="505"/>
      <c r="CH189" s="505"/>
      <c r="CI189" s="505"/>
      <c r="CJ189" s="505"/>
      <c r="CK189" s="505"/>
      <c r="CL189" s="505"/>
      <c r="CM189" s="505"/>
      <c r="CN189" s="505"/>
      <c r="CO189" s="505"/>
      <c r="CP189" s="505"/>
      <c r="CQ189" s="505"/>
      <c r="CR189" s="505"/>
      <c r="CS189" s="505"/>
      <c r="CT189" s="505"/>
      <c r="CU189" s="505"/>
      <c r="CV189" s="505"/>
      <c r="CW189" s="505"/>
      <c r="CX189" s="505"/>
      <c r="CY189" s="505"/>
      <c r="CZ189" s="505"/>
      <c r="DA189" s="505"/>
      <c r="DB189" s="505"/>
      <c r="DC189" s="505"/>
      <c r="DD189" s="505"/>
      <c r="DE189" s="505"/>
      <c r="DF189" s="505"/>
      <c r="DG189" s="505"/>
      <c r="DH189" s="505"/>
      <c r="DI189" s="505"/>
      <c r="DJ189" s="505"/>
      <c r="DK189" s="505"/>
      <c r="DL189" s="505"/>
      <c r="DM189" s="505"/>
      <c r="DN189" s="505"/>
      <c r="DO189" s="505"/>
      <c r="DP189" s="505"/>
    </row>
    <row r="190" spans="1:120" hidden="1" outlineLevel="1" x14ac:dyDescent="0.2">
      <c r="A190" s="517">
        <f t="shared" si="35"/>
        <v>37803</v>
      </c>
      <c r="B190" s="517" t="str">
        <f t="shared" si="32"/>
        <v>3Q03</v>
      </c>
      <c r="C190" s="517" t="str">
        <f t="shared" si="36"/>
        <v>3Q03</v>
      </c>
      <c r="D190" s="518">
        <f t="shared" si="37"/>
        <v>37883</v>
      </c>
      <c r="E190" s="518">
        <f t="shared" si="37"/>
        <v>37823</v>
      </c>
      <c r="F190" s="520">
        <v>1.4390000000000001</v>
      </c>
      <c r="G190" s="521">
        <f t="shared" si="33"/>
        <v>6.0000000000000005E-2</v>
      </c>
      <c r="H190" s="521">
        <f t="shared" si="34"/>
        <v>6.0000000000000005E-2</v>
      </c>
      <c r="I190" s="521"/>
      <c r="J190" s="521"/>
      <c r="K190" s="521"/>
      <c r="L190" s="505"/>
      <c r="M190" s="528"/>
      <c r="N190" s="505"/>
      <c r="O190" s="505"/>
      <c r="P190" s="505"/>
      <c r="Q190" s="505"/>
      <c r="R190" s="505"/>
      <c r="S190" s="505"/>
      <c r="T190" s="505"/>
      <c r="U190" s="505"/>
      <c r="V190" s="505"/>
      <c r="W190" s="505"/>
      <c r="X190" s="505"/>
      <c r="Y190" s="505"/>
      <c r="Z190" s="505"/>
      <c r="AA190" s="505"/>
      <c r="AB190" s="505"/>
      <c r="AC190" s="505"/>
      <c r="AD190" s="505"/>
      <c r="AE190" s="505"/>
      <c r="AF190" s="505"/>
      <c r="AG190" s="505"/>
      <c r="AH190" s="505"/>
      <c r="AI190" s="505"/>
      <c r="AJ190" s="505"/>
      <c r="AK190" s="505"/>
      <c r="AL190" s="505"/>
      <c r="AM190" s="505"/>
      <c r="AN190" s="505"/>
      <c r="AO190" s="505"/>
      <c r="AP190" s="505"/>
      <c r="AQ190" s="505"/>
      <c r="AR190" s="505"/>
      <c r="AS190" s="505"/>
      <c r="AT190" s="505"/>
      <c r="AU190" s="505"/>
      <c r="AV190" s="505"/>
      <c r="AW190" s="505"/>
      <c r="AX190" s="505"/>
      <c r="AY190" s="505"/>
      <c r="AZ190" s="505"/>
      <c r="BA190" s="505"/>
      <c r="BB190" s="505"/>
      <c r="BC190" s="505"/>
      <c r="BD190" s="505"/>
      <c r="BE190" s="505"/>
      <c r="BF190" s="505"/>
      <c r="BG190" s="505"/>
      <c r="BH190" s="505"/>
      <c r="BI190" s="505"/>
      <c r="BJ190" s="505"/>
      <c r="BK190" s="505"/>
      <c r="BL190" s="505"/>
      <c r="BM190" s="505"/>
      <c r="BN190" s="505"/>
      <c r="BO190" s="505"/>
      <c r="BP190" s="505"/>
      <c r="BQ190" s="505"/>
      <c r="BR190" s="505"/>
      <c r="BS190" s="505"/>
      <c r="BT190" s="505"/>
      <c r="BU190" s="505"/>
      <c r="BV190" s="505"/>
      <c r="BW190" s="505"/>
      <c r="BX190" s="505"/>
      <c r="BY190" s="505"/>
      <c r="BZ190" s="505"/>
      <c r="CA190" s="505"/>
      <c r="CB190" s="505"/>
      <c r="CC190" s="505"/>
      <c r="CD190" s="505"/>
      <c r="CE190" s="505"/>
      <c r="CF190" s="505"/>
      <c r="CG190" s="505"/>
      <c r="CH190" s="505"/>
      <c r="CI190" s="505"/>
      <c r="CJ190" s="505"/>
      <c r="CK190" s="505"/>
      <c r="CL190" s="505"/>
      <c r="CM190" s="505"/>
      <c r="CN190" s="505"/>
      <c r="CO190" s="505"/>
      <c r="CP190" s="505"/>
      <c r="CQ190" s="505"/>
      <c r="CR190" s="505"/>
      <c r="CS190" s="505"/>
      <c r="CT190" s="505"/>
      <c r="CU190" s="505"/>
      <c r="CV190" s="505"/>
      <c r="CW190" s="505"/>
      <c r="CX190" s="505"/>
      <c r="CY190" s="505"/>
      <c r="CZ190" s="505"/>
      <c r="DA190" s="505"/>
      <c r="DB190" s="505"/>
      <c r="DC190" s="505"/>
      <c r="DD190" s="505"/>
      <c r="DE190" s="505"/>
      <c r="DF190" s="505"/>
      <c r="DG190" s="505"/>
      <c r="DH190" s="505"/>
      <c r="DI190" s="505"/>
      <c r="DJ190" s="505"/>
      <c r="DK190" s="505"/>
      <c r="DL190" s="505"/>
      <c r="DM190" s="505"/>
      <c r="DN190" s="505"/>
      <c r="DO190" s="505"/>
      <c r="DP190" s="505"/>
    </row>
    <row r="191" spans="1:120" hidden="1" outlineLevel="1" x14ac:dyDescent="0.2">
      <c r="A191" s="517">
        <f t="shared" si="35"/>
        <v>37803</v>
      </c>
      <c r="B191" s="517" t="str">
        <f t="shared" si="32"/>
        <v>3Q03</v>
      </c>
      <c r="C191" s="517" t="str">
        <f t="shared" si="36"/>
        <v>3Q03</v>
      </c>
      <c r="D191" s="518">
        <f t="shared" si="37"/>
        <v>37890</v>
      </c>
      <c r="E191" s="518">
        <f t="shared" si="37"/>
        <v>37830</v>
      </c>
      <c r="F191" s="520">
        <v>1.4380000000000002</v>
      </c>
      <c r="G191" s="521">
        <f t="shared" si="33"/>
        <v>6.0000000000000005E-2</v>
      </c>
      <c r="H191" s="521">
        <f t="shared" si="34"/>
        <v>7.0000000000000007E-2</v>
      </c>
      <c r="I191" s="521"/>
      <c r="J191" s="521"/>
      <c r="K191" s="521"/>
      <c r="L191" s="505"/>
      <c r="M191" s="528"/>
      <c r="N191" s="505"/>
      <c r="O191" s="505"/>
      <c r="P191" s="505"/>
      <c r="Q191" s="505"/>
      <c r="R191" s="505"/>
      <c r="S191" s="505"/>
      <c r="T191" s="505"/>
      <c r="U191" s="505"/>
      <c r="V191" s="505"/>
      <c r="W191" s="505"/>
      <c r="X191" s="505"/>
      <c r="Y191" s="505"/>
      <c r="Z191" s="505"/>
      <c r="AA191" s="505"/>
      <c r="AB191" s="505"/>
      <c r="AC191" s="505"/>
      <c r="AD191" s="505"/>
      <c r="AE191" s="505"/>
      <c r="AF191" s="505"/>
      <c r="AG191" s="505"/>
      <c r="AH191" s="505"/>
      <c r="AI191" s="505"/>
      <c r="AJ191" s="505"/>
      <c r="AK191" s="505"/>
      <c r="AL191" s="505"/>
      <c r="AM191" s="505"/>
      <c r="AN191" s="505"/>
      <c r="AO191" s="505"/>
      <c r="AP191" s="505"/>
      <c r="AQ191" s="505"/>
      <c r="AR191" s="505"/>
      <c r="AS191" s="505"/>
      <c r="AT191" s="505"/>
      <c r="AU191" s="505"/>
      <c r="AV191" s="505"/>
      <c r="AW191" s="505"/>
      <c r="AX191" s="505"/>
      <c r="AY191" s="505"/>
      <c r="AZ191" s="505"/>
      <c r="BA191" s="505"/>
      <c r="BB191" s="505"/>
      <c r="BC191" s="505"/>
      <c r="BD191" s="505"/>
      <c r="BE191" s="505"/>
      <c r="BF191" s="505"/>
      <c r="BG191" s="505"/>
      <c r="BH191" s="505"/>
      <c r="BI191" s="505"/>
      <c r="BJ191" s="505"/>
      <c r="BK191" s="505"/>
      <c r="BL191" s="505"/>
      <c r="BM191" s="505"/>
      <c r="BN191" s="505"/>
      <c r="BO191" s="505"/>
      <c r="BP191" s="505"/>
      <c r="BQ191" s="505"/>
      <c r="BR191" s="505"/>
      <c r="BS191" s="505"/>
      <c r="BT191" s="505"/>
      <c r="BU191" s="505"/>
      <c r="BV191" s="505"/>
      <c r="BW191" s="505"/>
      <c r="BX191" s="505"/>
      <c r="BY191" s="505"/>
      <c r="BZ191" s="505"/>
      <c r="CA191" s="505"/>
      <c r="CB191" s="505"/>
      <c r="CC191" s="505"/>
      <c r="CD191" s="505"/>
      <c r="CE191" s="505"/>
      <c r="CF191" s="505"/>
      <c r="CG191" s="505"/>
      <c r="CH191" s="505"/>
      <c r="CI191" s="505"/>
      <c r="CJ191" s="505"/>
      <c r="CK191" s="505"/>
      <c r="CL191" s="505"/>
      <c r="CM191" s="505"/>
      <c r="CN191" s="505"/>
      <c r="CO191" s="505"/>
      <c r="CP191" s="505"/>
      <c r="CQ191" s="505"/>
      <c r="CR191" s="505"/>
      <c r="CS191" s="505"/>
      <c r="CT191" s="505"/>
      <c r="CU191" s="505"/>
      <c r="CV191" s="505"/>
      <c r="CW191" s="505"/>
      <c r="CX191" s="505"/>
      <c r="CY191" s="505"/>
      <c r="CZ191" s="505"/>
      <c r="DA191" s="505"/>
      <c r="DB191" s="505"/>
      <c r="DC191" s="505"/>
      <c r="DD191" s="505"/>
      <c r="DE191" s="505"/>
      <c r="DF191" s="505"/>
      <c r="DG191" s="505"/>
      <c r="DH191" s="505"/>
      <c r="DI191" s="505"/>
      <c r="DJ191" s="505"/>
      <c r="DK191" s="505"/>
      <c r="DL191" s="505"/>
      <c r="DM191" s="505"/>
      <c r="DN191" s="505"/>
      <c r="DO191" s="505"/>
      <c r="DP191" s="505"/>
    </row>
    <row r="192" spans="1:120" hidden="1" outlineLevel="1" x14ac:dyDescent="0.2">
      <c r="A192" s="517">
        <f t="shared" si="35"/>
        <v>37834</v>
      </c>
      <c r="B192" s="517" t="str">
        <f t="shared" si="32"/>
        <v>3Q03</v>
      </c>
      <c r="C192" s="517" t="str">
        <f t="shared" si="36"/>
        <v>4Q03</v>
      </c>
      <c r="D192" s="518">
        <f t="shared" si="37"/>
        <v>37897</v>
      </c>
      <c r="E192" s="518">
        <f t="shared" si="37"/>
        <v>37837</v>
      </c>
      <c r="F192" s="520">
        <v>1.4530000000000001</v>
      </c>
      <c r="G192" s="521">
        <f t="shared" si="33"/>
        <v>7.0000000000000007E-2</v>
      </c>
      <c r="H192" s="521">
        <f t="shared" si="34"/>
        <v>7.0000000000000007E-2</v>
      </c>
      <c r="I192" s="521"/>
      <c r="J192" s="521"/>
      <c r="K192" s="521"/>
      <c r="L192" s="505"/>
      <c r="M192" s="528"/>
      <c r="N192" s="505"/>
      <c r="O192" s="505"/>
      <c r="P192" s="505"/>
      <c r="Q192" s="505"/>
      <c r="R192" s="505"/>
      <c r="S192" s="505"/>
      <c r="T192" s="505"/>
      <c r="U192" s="505"/>
      <c r="V192" s="505"/>
      <c r="W192" s="505"/>
      <c r="X192" s="505"/>
      <c r="Y192" s="505"/>
      <c r="Z192" s="505"/>
      <c r="AA192" s="505"/>
      <c r="AB192" s="505"/>
      <c r="AC192" s="505"/>
      <c r="AD192" s="505"/>
      <c r="AE192" s="505"/>
      <c r="AF192" s="505"/>
      <c r="AG192" s="505"/>
      <c r="AH192" s="505"/>
      <c r="AI192" s="505"/>
      <c r="AJ192" s="505"/>
      <c r="AK192" s="505"/>
      <c r="AL192" s="505"/>
      <c r="AM192" s="505"/>
      <c r="AN192" s="505"/>
      <c r="AO192" s="505"/>
      <c r="AP192" s="505"/>
      <c r="AQ192" s="505"/>
      <c r="AR192" s="505"/>
      <c r="AS192" s="505"/>
      <c r="AT192" s="505"/>
      <c r="AU192" s="505"/>
      <c r="AV192" s="505"/>
      <c r="AW192" s="505"/>
      <c r="AX192" s="505"/>
      <c r="AY192" s="505"/>
      <c r="AZ192" s="505"/>
      <c r="BA192" s="505"/>
      <c r="BB192" s="505"/>
      <c r="BC192" s="505"/>
      <c r="BD192" s="505"/>
      <c r="BE192" s="505"/>
      <c r="BF192" s="505"/>
      <c r="BG192" s="505"/>
      <c r="BH192" s="505"/>
      <c r="BI192" s="505"/>
      <c r="BJ192" s="505"/>
      <c r="BK192" s="505"/>
      <c r="BL192" s="505"/>
      <c r="BM192" s="505"/>
      <c r="BN192" s="505"/>
      <c r="BO192" s="505"/>
      <c r="BP192" s="505"/>
      <c r="BQ192" s="505"/>
      <c r="BR192" s="505"/>
      <c r="BS192" s="505"/>
      <c r="BT192" s="505"/>
      <c r="BU192" s="505"/>
      <c r="BV192" s="505"/>
      <c r="BW192" s="505"/>
      <c r="BX192" s="505"/>
      <c r="BY192" s="505"/>
      <c r="BZ192" s="505"/>
      <c r="CA192" s="505"/>
      <c r="CB192" s="505"/>
      <c r="CC192" s="505"/>
      <c r="CD192" s="505"/>
      <c r="CE192" s="505"/>
      <c r="CF192" s="505"/>
      <c r="CG192" s="505"/>
      <c r="CH192" s="505"/>
      <c r="CI192" s="505"/>
      <c r="CJ192" s="505"/>
      <c r="CK192" s="505"/>
      <c r="CL192" s="505"/>
      <c r="CM192" s="505"/>
      <c r="CN192" s="505"/>
      <c r="CO192" s="505"/>
      <c r="CP192" s="505"/>
      <c r="CQ192" s="505"/>
      <c r="CR192" s="505"/>
      <c r="CS192" s="505"/>
      <c r="CT192" s="505"/>
      <c r="CU192" s="505"/>
      <c r="CV192" s="505"/>
      <c r="CW192" s="505"/>
      <c r="CX192" s="505"/>
      <c r="CY192" s="505"/>
      <c r="CZ192" s="505"/>
      <c r="DA192" s="505"/>
      <c r="DB192" s="505"/>
      <c r="DC192" s="505"/>
      <c r="DD192" s="505"/>
      <c r="DE192" s="505"/>
      <c r="DF192" s="505"/>
      <c r="DG192" s="505"/>
      <c r="DH192" s="505"/>
      <c r="DI192" s="505"/>
      <c r="DJ192" s="505"/>
      <c r="DK192" s="505"/>
      <c r="DL192" s="505"/>
      <c r="DM192" s="505"/>
      <c r="DN192" s="505"/>
      <c r="DO192" s="505"/>
      <c r="DP192" s="505"/>
    </row>
    <row r="193" spans="1:120" hidden="1" outlineLevel="1" x14ac:dyDescent="0.2">
      <c r="A193" s="517">
        <f t="shared" si="35"/>
        <v>37834</v>
      </c>
      <c r="B193" s="517" t="str">
        <f t="shared" si="32"/>
        <v>3Q03</v>
      </c>
      <c r="C193" s="517" t="str">
        <f t="shared" si="36"/>
        <v>4Q03</v>
      </c>
      <c r="D193" s="518">
        <f t="shared" si="37"/>
        <v>37904</v>
      </c>
      <c r="E193" s="518">
        <f t="shared" si="37"/>
        <v>37844</v>
      </c>
      <c r="F193" s="520">
        <v>1.492</v>
      </c>
      <c r="G193" s="521">
        <f t="shared" si="33"/>
        <v>7.0000000000000007E-2</v>
      </c>
      <c r="H193" s="521">
        <f t="shared" si="34"/>
        <v>7.0000000000000007E-2</v>
      </c>
      <c r="I193" s="521"/>
      <c r="J193" s="521"/>
      <c r="K193" s="521"/>
      <c r="L193" s="505"/>
      <c r="M193" s="528"/>
      <c r="N193" s="505"/>
      <c r="O193" s="505"/>
      <c r="P193" s="505"/>
      <c r="Q193" s="505"/>
      <c r="R193" s="505"/>
      <c r="S193" s="505"/>
      <c r="T193" s="505"/>
      <c r="U193" s="505"/>
      <c r="V193" s="505"/>
      <c r="W193" s="505"/>
      <c r="X193" s="505"/>
      <c r="Y193" s="505"/>
      <c r="Z193" s="505"/>
      <c r="AA193" s="505"/>
      <c r="AB193" s="505"/>
      <c r="AC193" s="505"/>
      <c r="AD193" s="505"/>
      <c r="AE193" s="505"/>
      <c r="AF193" s="505"/>
      <c r="AG193" s="505"/>
      <c r="AH193" s="505"/>
      <c r="AI193" s="505"/>
      <c r="AJ193" s="505"/>
      <c r="AK193" s="505"/>
      <c r="AL193" s="505"/>
      <c r="AM193" s="505"/>
      <c r="AN193" s="505"/>
      <c r="AO193" s="505"/>
      <c r="AP193" s="505"/>
      <c r="AQ193" s="505"/>
      <c r="AR193" s="505"/>
      <c r="AS193" s="505"/>
      <c r="AT193" s="505"/>
      <c r="AU193" s="505"/>
      <c r="AV193" s="505"/>
      <c r="AW193" s="505"/>
      <c r="AX193" s="505"/>
      <c r="AY193" s="505"/>
      <c r="AZ193" s="505"/>
      <c r="BA193" s="505"/>
      <c r="BB193" s="505"/>
      <c r="BC193" s="505"/>
      <c r="BD193" s="505"/>
      <c r="BE193" s="505"/>
      <c r="BF193" s="505"/>
      <c r="BG193" s="505"/>
      <c r="BH193" s="505"/>
      <c r="BI193" s="505"/>
      <c r="BJ193" s="505"/>
      <c r="BK193" s="505"/>
      <c r="BL193" s="505"/>
      <c r="BM193" s="505"/>
      <c r="BN193" s="505"/>
      <c r="BO193" s="505"/>
      <c r="BP193" s="505"/>
      <c r="BQ193" s="505"/>
      <c r="BR193" s="505"/>
      <c r="BS193" s="505"/>
      <c r="BT193" s="505"/>
      <c r="BU193" s="505"/>
      <c r="BV193" s="505"/>
      <c r="BW193" s="505"/>
      <c r="BX193" s="505"/>
      <c r="BY193" s="505"/>
      <c r="BZ193" s="505"/>
      <c r="CA193" s="505"/>
      <c r="CB193" s="505"/>
      <c r="CC193" s="505"/>
      <c r="CD193" s="505"/>
      <c r="CE193" s="505"/>
      <c r="CF193" s="505"/>
      <c r="CG193" s="505"/>
      <c r="CH193" s="505"/>
      <c r="CI193" s="505"/>
      <c r="CJ193" s="505"/>
      <c r="CK193" s="505"/>
      <c r="CL193" s="505"/>
      <c r="CM193" s="505"/>
      <c r="CN193" s="505"/>
      <c r="CO193" s="505"/>
      <c r="CP193" s="505"/>
      <c r="CQ193" s="505"/>
      <c r="CR193" s="505"/>
      <c r="CS193" s="505"/>
      <c r="CT193" s="505"/>
      <c r="CU193" s="505"/>
      <c r="CV193" s="505"/>
      <c r="CW193" s="505"/>
      <c r="CX193" s="505"/>
      <c r="CY193" s="505"/>
      <c r="CZ193" s="505"/>
      <c r="DA193" s="505"/>
      <c r="DB193" s="505"/>
      <c r="DC193" s="505"/>
      <c r="DD193" s="505"/>
      <c r="DE193" s="505"/>
      <c r="DF193" s="505"/>
      <c r="DG193" s="505"/>
      <c r="DH193" s="505"/>
      <c r="DI193" s="505"/>
      <c r="DJ193" s="505"/>
      <c r="DK193" s="505"/>
      <c r="DL193" s="505"/>
      <c r="DM193" s="505"/>
      <c r="DN193" s="505"/>
      <c r="DO193" s="505"/>
      <c r="DP193" s="505"/>
    </row>
    <row r="194" spans="1:120" hidden="1" outlineLevel="1" x14ac:dyDescent="0.2">
      <c r="A194" s="517">
        <f t="shared" si="35"/>
        <v>37834</v>
      </c>
      <c r="B194" s="517" t="str">
        <f t="shared" si="32"/>
        <v>3Q03</v>
      </c>
      <c r="C194" s="517" t="str">
        <f t="shared" si="36"/>
        <v>4Q03</v>
      </c>
      <c r="D194" s="518">
        <f t="shared" si="37"/>
        <v>37911</v>
      </c>
      <c r="E194" s="518">
        <f t="shared" si="37"/>
        <v>37851</v>
      </c>
      <c r="F194" s="520">
        <v>1.4980000000000002</v>
      </c>
      <c r="G194" s="521">
        <f t="shared" si="33"/>
        <v>7.0000000000000007E-2</v>
      </c>
      <c r="H194" s="521">
        <f t="shared" si="34"/>
        <v>0.08</v>
      </c>
      <c r="I194" s="521"/>
      <c r="J194" s="521"/>
      <c r="K194" s="521"/>
      <c r="L194" s="505"/>
      <c r="M194" s="528"/>
      <c r="N194" s="505"/>
      <c r="O194" s="505"/>
      <c r="P194" s="505"/>
      <c r="Q194" s="505"/>
      <c r="R194" s="505"/>
      <c r="S194" s="505"/>
      <c r="T194" s="505"/>
      <c r="U194" s="505"/>
      <c r="V194" s="505"/>
      <c r="W194" s="505"/>
      <c r="X194" s="505"/>
      <c r="Y194" s="505"/>
      <c r="Z194" s="505"/>
      <c r="AA194" s="505"/>
      <c r="AB194" s="505"/>
      <c r="AC194" s="505"/>
      <c r="AD194" s="505"/>
      <c r="AE194" s="505"/>
      <c r="AF194" s="505"/>
      <c r="AG194" s="505"/>
      <c r="AH194" s="505"/>
      <c r="AI194" s="505"/>
      <c r="AJ194" s="505"/>
      <c r="AK194" s="505"/>
      <c r="AL194" s="505"/>
      <c r="AM194" s="505"/>
      <c r="AN194" s="505"/>
      <c r="AO194" s="505"/>
      <c r="AP194" s="505"/>
      <c r="AQ194" s="505"/>
      <c r="AR194" s="505"/>
      <c r="AS194" s="505"/>
      <c r="AT194" s="505"/>
      <c r="AU194" s="505"/>
      <c r="AV194" s="505"/>
      <c r="AW194" s="505"/>
      <c r="AX194" s="505"/>
      <c r="AY194" s="505"/>
      <c r="AZ194" s="505"/>
      <c r="BA194" s="505"/>
      <c r="BB194" s="505"/>
      <c r="BC194" s="505"/>
      <c r="BD194" s="505"/>
      <c r="BE194" s="505"/>
      <c r="BF194" s="505"/>
      <c r="BG194" s="505"/>
      <c r="BH194" s="505"/>
      <c r="BI194" s="505"/>
      <c r="BJ194" s="505"/>
      <c r="BK194" s="505"/>
      <c r="BL194" s="505"/>
      <c r="BM194" s="505"/>
      <c r="BN194" s="505"/>
      <c r="BO194" s="505"/>
      <c r="BP194" s="505"/>
      <c r="BQ194" s="505"/>
      <c r="BR194" s="505"/>
      <c r="BS194" s="505"/>
      <c r="BT194" s="505"/>
      <c r="BU194" s="505"/>
      <c r="BV194" s="505"/>
      <c r="BW194" s="505"/>
      <c r="BX194" s="505"/>
      <c r="BY194" s="505"/>
      <c r="BZ194" s="505"/>
      <c r="CA194" s="505"/>
      <c r="CB194" s="505"/>
      <c r="CC194" s="505"/>
      <c r="CD194" s="505"/>
      <c r="CE194" s="505"/>
      <c r="CF194" s="505"/>
      <c r="CG194" s="505"/>
      <c r="CH194" s="505"/>
      <c r="CI194" s="505"/>
      <c r="CJ194" s="505"/>
      <c r="CK194" s="505"/>
      <c r="CL194" s="505"/>
      <c r="CM194" s="505"/>
      <c r="CN194" s="505"/>
      <c r="CO194" s="505"/>
      <c r="CP194" s="505"/>
      <c r="CQ194" s="505"/>
      <c r="CR194" s="505"/>
      <c r="CS194" s="505"/>
      <c r="CT194" s="505"/>
      <c r="CU194" s="505"/>
      <c r="CV194" s="505"/>
      <c r="CW194" s="505"/>
      <c r="CX194" s="505"/>
      <c r="CY194" s="505"/>
      <c r="CZ194" s="505"/>
      <c r="DA194" s="505"/>
      <c r="DB194" s="505"/>
      <c r="DC194" s="505"/>
      <c r="DD194" s="505"/>
      <c r="DE194" s="505"/>
      <c r="DF194" s="505"/>
      <c r="DG194" s="505"/>
      <c r="DH194" s="505"/>
      <c r="DI194" s="505"/>
      <c r="DJ194" s="505"/>
      <c r="DK194" s="505"/>
      <c r="DL194" s="505"/>
      <c r="DM194" s="505"/>
      <c r="DN194" s="505"/>
      <c r="DO194" s="505"/>
      <c r="DP194" s="505"/>
    </row>
    <row r="195" spans="1:120" hidden="1" outlineLevel="1" x14ac:dyDescent="0.2">
      <c r="A195" s="517">
        <f t="shared" si="35"/>
        <v>37834</v>
      </c>
      <c r="B195" s="517" t="str">
        <f t="shared" si="32"/>
        <v>3Q03</v>
      </c>
      <c r="C195" s="517" t="str">
        <f t="shared" si="36"/>
        <v>4Q03</v>
      </c>
      <c r="D195" s="518">
        <f t="shared" si="37"/>
        <v>37918</v>
      </c>
      <c r="E195" s="518">
        <f t="shared" si="37"/>
        <v>37858</v>
      </c>
      <c r="F195" s="520">
        <v>1.5030000000000001</v>
      </c>
      <c r="G195" s="521">
        <f t="shared" si="33"/>
        <v>0.08</v>
      </c>
      <c r="H195" s="521">
        <f t="shared" si="34"/>
        <v>0.08</v>
      </c>
      <c r="I195" s="521"/>
      <c r="J195" s="521"/>
      <c r="K195" s="521"/>
      <c r="L195" s="505"/>
      <c r="M195" s="528"/>
      <c r="N195" s="505"/>
      <c r="O195" s="505"/>
      <c r="P195" s="505"/>
      <c r="Q195" s="505"/>
      <c r="R195" s="505"/>
      <c r="S195" s="505"/>
      <c r="T195" s="505"/>
      <c r="U195" s="505"/>
      <c r="V195" s="505"/>
      <c r="W195" s="505"/>
      <c r="X195" s="505"/>
      <c r="Y195" s="505"/>
      <c r="Z195" s="505"/>
      <c r="AA195" s="505"/>
      <c r="AB195" s="505"/>
      <c r="AC195" s="505"/>
      <c r="AD195" s="505"/>
      <c r="AE195" s="505"/>
      <c r="AF195" s="505"/>
      <c r="AG195" s="505"/>
      <c r="AH195" s="505"/>
      <c r="AI195" s="505"/>
      <c r="AJ195" s="505"/>
      <c r="AK195" s="505"/>
      <c r="AL195" s="505"/>
      <c r="AM195" s="505"/>
      <c r="AN195" s="505"/>
      <c r="AO195" s="505"/>
      <c r="AP195" s="505"/>
      <c r="AQ195" s="505"/>
      <c r="AR195" s="505"/>
      <c r="AS195" s="505"/>
      <c r="AT195" s="505"/>
      <c r="AU195" s="505"/>
      <c r="AV195" s="505"/>
      <c r="AW195" s="505"/>
      <c r="AX195" s="505"/>
      <c r="AY195" s="505"/>
      <c r="AZ195" s="505"/>
      <c r="BA195" s="505"/>
      <c r="BB195" s="505"/>
      <c r="BC195" s="505"/>
      <c r="BD195" s="505"/>
      <c r="BE195" s="505"/>
      <c r="BF195" s="505"/>
      <c r="BG195" s="505"/>
      <c r="BH195" s="505"/>
      <c r="BI195" s="505"/>
      <c r="BJ195" s="505"/>
      <c r="BK195" s="505"/>
      <c r="BL195" s="505"/>
      <c r="BM195" s="505"/>
      <c r="BN195" s="505"/>
      <c r="BO195" s="505"/>
      <c r="BP195" s="505"/>
      <c r="BQ195" s="505"/>
      <c r="BR195" s="505"/>
      <c r="BS195" s="505"/>
      <c r="BT195" s="505"/>
      <c r="BU195" s="505"/>
      <c r="BV195" s="505"/>
      <c r="BW195" s="505"/>
      <c r="BX195" s="505"/>
      <c r="BY195" s="505"/>
      <c r="BZ195" s="505"/>
      <c r="CA195" s="505"/>
      <c r="CB195" s="505"/>
      <c r="CC195" s="505"/>
      <c r="CD195" s="505"/>
      <c r="CE195" s="505"/>
      <c r="CF195" s="505"/>
      <c r="CG195" s="505"/>
      <c r="CH195" s="505"/>
      <c r="CI195" s="505"/>
      <c r="CJ195" s="505"/>
      <c r="CK195" s="505"/>
      <c r="CL195" s="505"/>
      <c r="CM195" s="505"/>
      <c r="CN195" s="505"/>
      <c r="CO195" s="505"/>
      <c r="CP195" s="505"/>
      <c r="CQ195" s="505"/>
      <c r="CR195" s="505"/>
      <c r="CS195" s="505"/>
      <c r="CT195" s="505"/>
      <c r="CU195" s="505"/>
      <c r="CV195" s="505"/>
      <c r="CW195" s="505"/>
      <c r="CX195" s="505"/>
      <c r="CY195" s="505"/>
      <c r="CZ195" s="505"/>
      <c r="DA195" s="505"/>
      <c r="DB195" s="505"/>
      <c r="DC195" s="505"/>
      <c r="DD195" s="505"/>
      <c r="DE195" s="505"/>
      <c r="DF195" s="505"/>
      <c r="DG195" s="505"/>
      <c r="DH195" s="505"/>
      <c r="DI195" s="505"/>
      <c r="DJ195" s="505"/>
      <c r="DK195" s="505"/>
      <c r="DL195" s="505"/>
      <c r="DM195" s="505"/>
      <c r="DN195" s="505"/>
      <c r="DO195" s="505"/>
      <c r="DP195" s="505"/>
    </row>
    <row r="196" spans="1:120" hidden="1" outlineLevel="1" x14ac:dyDescent="0.2">
      <c r="A196" s="517">
        <f t="shared" si="35"/>
        <v>37865</v>
      </c>
      <c r="B196" s="517" t="str">
        <f t="shared" ref="B196:B259" si="40">VLOOKUP(MONTH(A196),$N$4:$O$16,2,FALSE) &amp; "Q" &amp; RIGHT(YEAR(A196),2)</f>
        <v>3Q03</v>
      </c>
      <c r="C196" s="517" t="str">
        <f t="shared" si="36"/>
        <v>4Q03</v>
      </c>
      <c r="D196" s="518">
        <f t="shared" si="37"/>
        <v>37925</v>
      </c>
      <c r="E196" s="518">
        <f t="shared" si="37"/>
        <v>37865</v>
      </c>
      <c r="F196" s="520">
        <v>1.5009999999999999</v>
      </c>
      <c r="G196" s="521">
        <f t="shared" ref="G196:G259" si="41">INDEX($I$4:$K$153,MATCH(F196,$I$4:$I$153,1),3)</f>
        <v>0.08</v>
      </c>
      <c r="H196" s="521">
        <f t="shared" ref="H196:H259" si="42">G197</f>
        <v>7.0000000000000007E-2</v>
      </c>
      <c r="I196" s="521"/>
      <c r="J196" s="521"/>
      <c r="K196" s="521"/>
      <c r="L196" s="505"/>
      <c r="M196" s="528"/>
      <c r="N196" s="505"/>
      <c r="O196" s="505"/>
      <c r="P196" s="505"/>
      <c r="Q196" s="505"/>
      <c r="R196" s="505"/>
      <c r="S196" s="505"/>
      <c r="T196" s="505"/>
      <c r="U196" s="505"/>
      <c r="V196" s="505"/>
      <c r="W196" s="505"/>
      <c r="X196" s="505"/>
      <c r="Y196" s="505"/>
      <c r="Z196" s="505"/>
      <c r="AA196" s="505"/>
      <c r="AB196" s="505"/>
      <c r="AC196" s="505"/>
      <c r="AD196" s="505"/>
      <c r="AE196" s="505"/>
      <c r="AF196" s="505"/>
      <c r="AG196" s="505"/>
      <c r="AH196" s="505"/>
      <c r="AI196" s="505"/>
      <c r="AJ196" s="505"/>
      <c r="AK196" s="505"/>
      <c r="AL196" s="505"/>
      <c r="AM196" s="505"/>
      <c r="AN196" s="505"/>
      <c r="AO196" s="505"/>
      <c r="AP196" s="505"/>
      <c r="AQ196" s="505"/>
      <c r="AR196" s="505"/>
      <c r="AS196" s="505"/>
      <c r="AT196" s="505"/>
      <c r="AU196" s="505"/>
      <c r="AV196" s="505"/>
      <c r="AW196" s="505"/>
      <c r="AX196" s="505"/>
      <c r="AY196" s="505"/>
      <c r="AZ196" s="505"/>
      <c r="BA196" s="505"/>
      <c r="BB196" s="505"/>
      <c r="BC196" s="505"/>
      <c r="BD196" s="505"/>
      <c r="BE196" s="505"/>
      <c r="BF196" s="505"/>
      <c r="BG196" s="505"/>
      <c r="BH196" s="505"/>
      <c r="BI196" s="505"/>
      <c r="BJ196" s="505"/>
      <c r="BK196" s="505"/>
      <c r="BL196" s="505"/>
      <c r="BM196" s="505"/>
      <c r="BN196" s="505"/>
      <c r="BO196" s="505"/>
      <c r="BP196" s="505"/>
      <c r="BQ196" s="505"/>
      <c r="BR196" s="505"/>
      <c r="BS196" s="505"/>
      <c r="BT196" s="505"/>
      <c r="BU196" s="505"/>
      <c r="BV196" s="505"/>
      <c r="BW196" s="505"/>
      <c r="BX196" s="505"/>
      <c r="BY196" s="505"/>
      <c r="BZ196" s="505"/>
      <c r="CA196" s="505"/>
      <c r="CB196" s="505"/>
      <c r="CC196" s="505"/>
      <c r="CD196" s="505"/>
      <c r="CE196" s="505"/>
      <c r="CF196" s="505"/>
      <c r="CG196" s="505"/>
      <c r="CH196" s="505"/>
      <c r="CI196" s="505"/>
      <c r="CJ196" s="505"/>
      <c r="CK196" s="505"/>
      <c r="CL196" s="505"/>
      <c r="CM196" s="505"/>
      <c r="CN196" s="505"/>
      <c r="CO196" s="505"/>
      <c r="CP196" s="505"/>
      <c r="CQ196" s="505"/>
      <c r="CR196" s="505"/>
      <c r="CS196" s="505"/>
      <c r="CT196" s="505"/>
      <c r="CU196" s="505"/>
      <c r="CV196" s="505"/>
      <c r="CW196" s="505"/>
      <c r="CX196" s="505"/>
      <c r="CY196" s="505"/>
      <c r="CZ196" s="505"/>
      <c r="DA196" s="505"/>
      <c r="DB196" s="505"/>
      <c r="DC196" s="505"/>
      <c r="DD196" s="505"/>
      <c r="DE196" s="505"/>
      <c r="DF196" s="505"/>
      <c r="DG196" s="505"/>
      <c r="DH196" s="505"/>
      <c r="DI196" s="505"/>
      <c r="DJ196" s="505"/>
      <c r="DK196" s="505"/>
      <c r="DL196" s="505"/>
      <c r="DM196" s="505"/>
      <c r="DN196" s="505"/>
      <c r="DO196" s="505"/>
      <c r="DP196" s="505"/>
    </row>
    <row r="197" spans="1:120" hidden="1" outlineLevel="1" x14ac:dyDescent="0.2">
      <c r="A197" s="517">
        <f t="shared" ref="A197:A260" si="43">DATE(YEAR(E197),MONTH(E197),1)</f>
        <v>37865</v>
      </c>
      <c r="B197" s="517" t="str">
        <f t="shared" si="40"/>
        <v>3Q03</v>
      </c>
      <c r="C197" s="517" t="str">
        <f t="shared" ref="C197:C260" si="44">VLOOKUP(MONTH(D197),$N$4:$O$16,2,FALSE) &amp; "Q" &amp; RIGHT(YEAR(D197),2)</f>
        <v>4Q03</v>
      </c>
      <c r="D197" s="518">
        <f t="shared" ref="D197:E260" si="45">D196+7</f>
        <v>37932</v>
      </c>
      <c r="E197" s="518">
        <f t="shared" si="45"/>
        <v>37872</v>
      </c>
      <c r="F197" s="520">
        <v>1.4880000000000002</v>
      </c>
      <c r="G197" s="521">
        <f t="shared" si="41"/>
        <v>7.0000000000000007E-2</v>
      </c>
      <c r="H197" s="521">
        <f t="shared" si="42"/>
        <v>7.0000000000000007E-2</v>
      </c>
      <c r="I197" s="505"/>
      <c r="J197" s="505"/>
      <c r="K197" s="505"/>
      <c r="L197" s="505"/>
      <c r="M197" s="528"/>
      <c r="N197" s="505"/>
      <c r="O197" s="505"/>
      <c r="P197" s="505"/>
      <c r="Q197" s="505"/>
      <c r="R197" s="505"/>
      <c r="S197" s="505"/>
      <c r="T197" s="505"/>
      <c r="U197" s="505"/>
      <c r="V197" s="505"/>
      <c r="W197" s="505"/>
      <c r="X197" s="505"/>
      <c r="Y197" s="505"/>
      <c r="Z197" s="505"/>
      <c r="AA197" s="505"/>
      <c r="AB197" s="505"/>
      <c r="AC197" s="505"/>
      <c r="AD197" s="505"/>
      <c r="AE197" s="505"/>
      <c r="AF197" s="505"/>
      <c r="AG197" s="505"/>
      <c r="AH197" s="505"/>
      <c r="AI197" s="505"/>
      <c r="AJ197" s="505"/>
      <c r="AK197" s="505"/>
      <c r="AL197" s="505"/>
      <c r="AM197" s="505"/>
      <c r="AN197" s="505"/>
      <c r="AO197" s="505"/>
      <c r="AP197" s="505"/>
      <c r="AQ197" s="505"/>
      <c r="AR197" s="505"/>
      <c r="AS197" s="505"/>
      <c r="AT197" s="505"/>
      <c r="AU197" s="505"/>
      <c r="AV197" s="505"/>
      <c r="AW197" s="505"/>
      <c r="AX197" s="505"/>
      <c r="AY197" s="505"/>
      <c r="AZ197" s="505"/>
      <c r="BA197" s="505"/>
      <c r="BB197" s="505"/>
      <c r="BC197" s="505"/>
      <c r="BD197" s="505"/>
      <c r="BE197" s="505"/>
      <c r="BF197" s="505"/>
      <c r="BG197" s="505"/>
      <c r="BH197" s="505"/>
      <c r="BI197" s="505"/>
      <c r="BJ197" s="505"/>
      <c r="BK197" s="505"/>
      <c r="BL197" s="505"/>
      <c r="BM197" s="505"/>
      <c r="BN197" s="505"/>
      <c r="BO197" s="505"/>
      <c r="BP197" s="505"/>
      <c r="BQ197" s="505"/>
      <c r="BR197" s="505"/>
      <c r="BS197" s="505"/>
      <c r="BT197" s="505"/>
      <c r="BU197" s="505"/>
      <c r="BV197" s="505"/>
      <c r="BW197" s="505"/>
      <c r="BX197" s="505"/>
      <c r="BY197" s="505"/>
      <c r="BZ197" s="505"/>
      <c r="CA197" s="505"/>
      <c r="CB197" s="505"/>
      <c r="CC197" s="505"/>
      <c r="CD197" s="505"/>
      <c r="CE197" s="505"/>
      <c r="CF197" s="505"/>
      <c r="CG197" s="505"/>
      <c r="CH197" s="505"/>
      <c r="CI197" s="505"/>
      <c r="CJ197" s="505"/>
      <c r="CK197" s="505"/>
      <c r="CL197" s="505"/>
      <c r="CM197" s="505"/>
      <c r="CN197" s="505"/>
      <c r="CO197" s="505"/>
      <c r="CP197" s="505"/>
      <c r="CQ197" s="505"/>
      <c r="CR197" s="505"/>
      <c r="CS197" s="505"/>
      <c r="CT197" s="505"/>
      <c r="CU197" s="505"/>
      <c r="CV197" s="505"/>
      <c r="CW197" s="505"/>
      <c r="CX197" s="505"/>
      <c r="CY197" s="505"/>
      <c r="CZ197" s="505"/>
      <c r="DA197" s="505"/>
      <c r="DB197" s="505"/>
      <c r="DC197" s="505"/>
      <c r="DD197" s="505"/>
      <c r="DE197" s="505"/>
      <c r="DF197" s="505"/>
      <c r="DG197" s="505"/>
      <c r="DH197" s="505"/>
      <c r="DI197" s="505"/>
      <c r="DJ197" s="505"/>
      <c r="DK197" s="505"/>
      <c r="DL197" s="505"/>
      <c r="DM197" s="505"/>
      <c r="DN197" s="505"/>
      <c r="DO197" s="505"/>
      <c r="DP197" s="505"/>
    </row>
    <row r="198" spans="1:120" hidden="1" outlineLevel="1" x14ac:dyDescent="0.2">
      <c r="A198" s="517">
        <f t="shared" si="43"/>
        <v>37865</v>
      </c>
      <c r="B198" s="517" t="str">
        <f t="shared" si="40"/>
        <v>3Q03</v>
      </c>
      <c r="C198" s="517" t="str">
        <f t="shared" si="44"/>
        <v>4Q03</v>
      </c>
      <c r="D198" s="518">
        <f t="shared" si="45"/>
        <v>37939</v>
      </c>
      <c r="E198" s="518">
        <f t="shared" si="45"/>
        <v>37879</v>
      </c>
      <c r="F198" s="520">
        <v>1.4709999999999999</v>
      </c>
      <c r="G198" s="521">
        <f t="shared" si="41"/>
        <v>7.0000000000000007E-2</v>
      </c>
      <c r="H198" s="521">
        <f t="shared" si="42"/>
        <v>6.0000000000000005E-2</v>
      </c>
      <c r="I198" s="505"/>
      <c r="J198" s="505"/>
      <c r="K198" s="505"/>
      <c r="L198" s="505"/>
      <c r="M198" s="528"/>
      <c r="N198" s="505"/>
      <c r="O198" s="505"/>
      <c r="P198" s="505"/>
      <c r="Q198" s="505"/>
      <c r="R198" s="505"/>
      <c r="S198" s="505"/>
      <c r="T198" s="505"/>
      <c r="U198" s="505"/>
      <c r="V198" s="505"/>
      <c r="W198" s="505"/>
      <c r="X198" s="505"/>
      <c r="Y198" s="505"/>
      <c r="Z198" s="505"/>
      <c r="AA198" s="505"/>
      <c r="AB198" s="505"/>
      <c r="AC198" s="505"/>
      <c r="AD198" s="505"/>
      <c r="AE198" s="505"/>
      <c r="AF198" s="505"/>
      <c r="AG198" s="505"/>
      <c r="AH198" s="505"/>
      <c r="AI198" s="505"/>
      <c r="AJ198" s="505"/>
      <c r="AK198" s="505"/>
      <c r="AL198" s="505"/>
      <c r="AM198" s="505"/>
      <c r="AN198" s="505"/>
      <c r="AO198" s="505"/>
      <c r="AP198" s="505"/>
      <c r="AQ198" s="505"/>
      <c r="AR198" s="505"/>
      <c r="AS198" s="505"/>
      <c r="AT198" s="505"/>
      <c r="AU198" s="505"/>
      <c r="AV198" s="505"/>
      <c r="AW198" s="505"/>
      <c r="AX198" s="505"/>
      <c r="AY198" s="505"/>
      <c r="AZ198" s="505"/>
      <c r="BA198" s="505"/>
      <c r="BB198" s="505"/>
      <c r="BC198" s="505"/>
      <c r="BD198" s="505"/>
      <c r="BE198" s="505"/>
      <c r="BF198" s="505"/>
      <c r="BG198" s="505"/>
      <c r="BH198" s="505"/>
      <c r="BI198" s="505"/>
      <c r="BJ198" s="505"/>
      <c r="BK198" s="505"/>
      <c r="BL198" s="505"/>
      <c r="BM198" s="505"/>
      <c r="BN198" s="505"/>
      <c r="BO198" s="505"/>
      <c r="BP198" s="505"/>
      <c r="BQ198" s="505"/>
      <c r="BR198" s="505"/>
      <c r="BS198" s="505"/>
      <c r="BT198" s="505"/>
      <c r="BU198" s="505"/>
      <c r="BV198" s="505"/>
      <c r="BW198" s="505"/>
      <c r="BX198" s="505"/>
      <c r="BY198" s="505"/>
      <c r="BZ198" s="505"/>
      <c r="CA198" s="505"/>
      <c r="CB198" s="505"/>
      <c r="CC198" s="505"/>
      <c r="CD198" s="505"/>
      <c r="CE198" s="505"/>
      <c r="CF198" s="505"/>
      <c r="CG198" s="505"/>
      <c r="CH198" s="505"/>
      <c r="CI198" s="505"/>
      <c r="CJ198" s="505"/>
      <c r="CK198" s="505"/>
      <c r="CL198" s="505"/>
      <c r="CM198" s="505"/>
      <c r="CN198" s="505"/>
      <c r="CO198" s="505"/>
      <c r="CP198" s="505"/>
      <c r="CQ198" s="505"/>
      <c r="CR198" s="505"/>
      <c r="CS198" s="505"/>
      <c r="CT198" s="505"/>
      <c r="CU198" s="505"/>
      <c r="CV198" s="505"/>
      <c r="CW198" s="505"/>
      <c r="CX198" s="505"/>
      <c r="CY198" s="505"/>
      <c r="CZ198" s="505"/>
      <c r="DA198" s="505"/>
      <c r="DB198" s="505"/>
      <c r="DC198" s="505"/>
      <c r="DD198" s="505"/>
      <c r="DE198" s="505"/>
      <c r="DF198" s="505"/>
      <c r="DG198" s="505"/>
      <c r="DH198" s="505"/>
      <c r="DI198" s="505"/>
      <c r="DJ198" s="505"/>
      <c r="DK198" s="505"/>
      <c r="DL198" s="505"/>
      <c r="DM198" s="505"/>
      <c r="DN198" s="505"/>
      <c r="DO198" s="505"/>
      <c r="DP198" s="505"/>
    </row>
    <row r="199" spans="1:120" hidden="1" outlineLevel="1" x14ac:dyDescent="0.2">
      <c r="A199" s="517">
        <f t="shared" si="43"/>
        <v>37865</v>
      </c>
      <c r="B199" s="517" t="str">
        <f t="shared" si="40"/>
        <v>3Q03</v>
      </c>
      <c r="C199" s="517" t="str">
        <f t="shared" si="44"/>
        <v>4Q03</v>
      </c>
      <c r="D199" s="518">
        <f t="shared" si="45"/>
        <v>37946</v>
      </c>
      <c r="E199" s="518">
        <f t="shared" si="45"/>
        <v>37886</v>
      </c>
      <c r="F199" s="520">
        <v>1.444</v>
      </c>
      <c r="G199" s="521">
        <f t="shared" si="41"/>
        <v>6.0000000000000005E-2</v>
      </c>
      <c r="H199" s="521">
        <f t="shared" si="42"/>
        <v>6.0000000000000005E-2</v>
      </c>
      <c r="I199" s="505"/>
      <c r="J199" s="505"/>
      <c r="K199" s="505"/>
      <c r="L199" s="505"/>
      <c r="M199" s="528"/>
      <c r="N199" s="505"/>
      <c r="O199" s="505"/>
      <c r="P199" s="505"/>
      <c r="Q199" s="505"/>
      <c r="R199" s="505"/>
      <c r="S199" s="505"/>
      <c r="T199" s="505"/>
      <c r="U199" s="505"/>
      <c r="V199" s="505"/>
      <c r="W199" s="505"/>
      <c r="X199" s="505"/>
      <c r="Y199" s="505"/>
      <c r="Z199" s="505"/>
      <c r="AA199" s="505"/>
      <c r="AB199" s="505"/>
      <c r="AC199" s="505"/>
      <c r="AD199" s="505"/>
      <c r="AE199" s="505"/>
      <c r="AF199" s="505"/>
      <c r="AG199" s="505"/>
      <c r="AH199" s="505"/>
      <c r="AI199" s="505"/>
      <c r="AJ199" s="505"/>
      <c r="AK199" s="505"/>
      <c r="AL199" s="505"/>
      <c r="AM199" s="505"/>
      <c r="AN199" s="505"/>
      <c r="AO199" s="505"/>
      <c r="AP199" s="505"/>
      <c r="AQ199" s="505"/>
      <c r="AR199" s="505"/>
      <c r="AS199" s="505"/>
      <c r="AT199" s="505"/>
      <c r="AU199" s="505"/>
      <c r="AV199" s="505"/>
      <c r="AW199" s="505"/>
      <c r="AX199" s="505"/>
      <c r="AY199" s="505"/>
      <c r="AZ199" s="505"/>
      <c r="BA199" s="505"/>
      <c r="BB199" s="505"/>
      <c r="BC199" s="505"/>
      <c r="BD199" s="505"/>
      <c r="BE199" s="505"/>
      <c r="BF199" s="505"/>
      <c r="BG199" s="505"/>
      <c r="BH199" s="505"/>
      <c r="BI199" s="505"/>
      <c r="BJ199" s="505"/>
      <c r="BK199" s="505"/>
      <c r="BL199" s="505"/>
      <c r="BM199" s="505"/>
      <c r="BN199" s="505"/>
      <c r="BO199" s="505"/>
      <c r="BP199" s="505"/>
      <c r="BQ199" s="505"/>
      <c r="BR199" s="505"/>
      <c r="BS199" s="505"/>
      <c r="BT199" s="505"/>
      <c r="BU199" s="505"/>
      <c r="BV199" s="505"/>
      <c r="BW199" s="505"/>
      <c r="BX199" s="505"/>
      <c r="BY199" s="505"/>
      <c r="BZ199" s="505"/>
      <c r="CA199" s="505"/>
      <c r="CB199" s="505"/>
      <c r="CC199" s="505"/>
      <c r="CD199" s="505"/>
      <c r="CE199" s="505"/>
      <c r="CF199" s="505"/>
      <c r="CG199" s="505"/>
      <c r="CH199" s="505"/>
      <c r="CI199" s="505"/>
      <c r="CJ199" s="505"/>
      <c r="CK199" s="505"/>
      <c r="CL199" s="505"/>
      <c r="CM199" s="505"/>
      <c r="CN199" s="505"/>
      <c r="CO199" s="505"/>
      <c r="CP199" s="505"/>
      <c r="CQ199" s="505"/>
      <c r="CR199" s="505"/>
      <c r="CS199" s="505"/>
      <c r="CT199" s="505"/>
      <c r="CU199" s="505"/>
      <c r="CV199" s="505"/>
      <c r="CW199" s="505"/>
      <c r="CX199" s="505"/>
      <c r="CY199" s="505"/>
      <c r="CZ199" s="505"/>
      <c r="DA199" s="505"/>
      <c r="DB199" s="505"/>
      <c r="DC199" s="505"/>
      <c r="DD199" s="505"/>
      <c r="DE199" s="505"/>
      <c r="DF199" s="505"/>
      <c r="DG199" s="505"/>
      <c r="DH199" s="505"/>
      <c r="DI199" s="505"/>
      <c r="DJ199" s="505"/>
      <c r="DK199" s="505"/>
      <c r="DL199" s="505"/>
      <c r="DM199" s="505"/>
      <c r="DN199" s="505"/>
      <c r="DO199" s="505"/>
      <c r="DP199" s="505"/>
    </row>
    <row r="200" spans="1:120" hidden="1" outlineLevel="1" x14ac:dyDescent="0.2">
      <c r="A200" s="517">
        <f t="shared" si="43"/>
        <v>37865</v>
      </c>
      <c r="B200" s="517" t="str">
        <f t="shared" si="40"/>
        <v>3Q03</v>
      </c>
      <c r="C200" s="517" t="str">
        <f t="shared" si="44"/>
        <v>4Q03</v>
      </c>
      <c r="D200" s="518">
        <f t="shared" si="45"/>
        <v>37953</v>
      </c>
      <c r="E200" s="518">
        <f t="shared" si="45"/>
        <v>37893</v>
      </c>
      <c r="F200" s="520">
        <v>1.429</v>
      </c>
      <c r="G200" s="521">
        <f t="shared" si="41"/>
        <v>6.0000000000000005E-2</v>
      </c>
      <c r="H200" s="521">
        <f t="shared" si="42"/>
        <v>6.0000000000000005E-2</v>
      </c>
      <c r="I200" s="505"/>
      <c r="J200" s="505"/>
      <c r="K200" s="505"/>
      <c r="L200" s="505"/>
      <c r="M200" s="528"/>
      <c r="N200" s="505"/>
      <c r="O200" s="505"/>
      <c r="P200" s="505"/>
      <c r="Q200" s="505"/>
      <c r="R200" s="505"/>
      <c r="S200" s="505"/>
      <c r="T200" s="505"/>
      <c r="U200" s="505"/>
      <c r="V200" s="505"/>
      <c r="W200" s="505"/>
      <c r="X200" s="505"/>
      <c r="Y200" s="505"/>
      <c r="Z200" s="505"/>
      <c r="AA200" s="505"/>
      <c r="AB200" s="505"/>
      <c r="AC200" s="505"/>
      <c r="AD200" s="505"/>
      <c r="AE200" s="505"/>
      <c r="AF200" s="505"/>
      <c r="AG200" s="505"/>
      <c r="AH200" s="505"/>
      <c r="AI200" s="505"/>
      <c r="AJ200" s="505"/>
      <c r="AK200" s="505"/>
      <c r="AL200" s="505"/>
      <c r="AM200" s="505"/>
      <c r="AN200" s="505"/>
      <c r="AO200" s="505"/>
      <c r="AP200" s="505"/>
      <c r="AQ200" s="505"/>
      <c r="AR200" s="505"/>
      <c r="AS200" s="505"/>
      <c r="AT200" s="505"/>
      <c r="AU200" s="505"/>
      <c r="AV200" s="505"/>
      <c r="AW200" s="505"/>
      <c r="AX200" s="505"/>
      <c r="AY200" s="505"/>
      <c r="AZ200" s="505"/>
      <c r="BA200" s="505"/>
      <c r="BB200" s="505"/>
      <c r="BC200" s="505"/>
      <c r="BD200" s="505"/>
      <c r="BE200" s="505"/>
      <c r="BF200" s="505"/>
      <c r="BG200" s="505"/>
      <c r="BH200" s="505"/>
      <c r="BI200" s="505"/>
      <c r="BJ200" s="505"/>
      <c r="BK200" s="505"/>
      <c r="BL200" s="505"/>
      <c r="BM200" s="505"/>
      <c r="BN200" s="505"/>
      <c r="BO200" s="505"/>
      <c r="BP200" s="505"/>
      <c r="BQ200" s="505"/>
      <c r="BR200" s="505"/>
      <c r="BS200" s="505"/>
      <c r="BT200" s="505"/>
      <c r="BU200" s="505"/>
      <c r="BV200" s="505"/>
      <c r="BW200" s="505"/>
      <c r="BX200" s="505"/>
      <c r="BY200" s="505"/>
      <c r="BZ200" s="505"/>
      <c r="CA200" s="505"/>
      <c r="CB200" s="505"/>
      <c r="CC200" s="505"/>
      <c r="CD200" s="505"/>
      <c r="CE200" s="505"/>
      <c r="CF200" s="505"/>
      <c r="CG200" s="505"/>
      <c r="CH200" s="505"/>
      <c r="CI200" s="505"/>
      <c r="CJ200" s="505"/>
      <c r="CK200" s="505"/>
      <c r="CL200" s="505"/>
      <c r="CM200" s="505"/>
      <c r="CN200" s="505"/>
      <c r="CO200" s="505"/>
      <c r="CP200" s="505"/>
      <c r="CQ200" s="505"/>
      <c r="CR200" s="505"/>
      <c r="CS200" s="505"/>
      <c r="CT200" s="505"/>
      <c r="CU200" s="505"/>
      <c r="CV200" s="505"/>
      <c r="CW200" s="505"/>
      <c r="CX200" s="505"/>
      <c r="CY200" s="505"/>
      <c r="CZ200" s="505"/>
      <c r="DA200" s="505"/>
      <c r="DB200" s="505"/>
      <c r="DC200" s="505"/>
      <c r="DD200" s="505"/>
      <c r="DE200" s="505"/>
      <c r="DF200" s="505"/>
      <c r="DG200" s="505"/>
      <c r="DH200" s="505"/>
      <c r="DI200" s="505"/>
      <c r="DJ200" s="505"/>
      <c r="DK200" s="505"/>
      <c r="DL200" s="505"/>
      <c r="DM200" s="505"/>
      <c r="DN200" s="505"/>
      <c r="DO200" s="505"/>
      <c r="DP200" s="505"/>
    </row>
    <row r="201" spans="1:120" hidden="1" outlineLevel="1" x14ac:dyDescent="0.2">
      <c r="A201" s="517">
        <f t="shared" si="43"/>
        <v>37895</v>
      </c>
      <c r="B201" s="517" t="str">
        <f t="shared" si="40"/>
        <v>4Q03</v>
      </c>
      <c r="C201" s="517" t="str">
        <f t="shared" si="44"/>
        <v>4Q03</v>
      </c>
      <c r="D201" s="518">
        <f t="shared" si="45"/>
        <v>37960</v>
      </c>
      <c r="E201" s="518">
        <f t="shared" si="45"/>
        <v>37900</v>
      </c>
      <c r="F201" s="520">
        <v>1.4450000000000001</v>
      </c>
      <c r="G201" s="521">
        <f t="shared" si="41"/>
        <v>6.0000000000000005E-2</v>
      </c>
      <c r="H201" s="521">
        <f t="shared" si="42"/>
        <v>7.0000000000000007E-2</v>
      </c>
      <c r="I201" s="505"/>
      <c r="J201" s="505"/>
      <c r="K201" s="505"/>
      <c r="L201" s="505"/>
      <c r="M201" s="528"/>
      <c r="N201" s="505"/>
      <c r="O201" s="505"/>
      <c r="P201" s="505"/>
      <c r="Q201" s="505"/>
      <c r="R201" s="505"/>
      <c r="S201" s="505"/>
      <c r="T201" s="505"/>
      <c r="U201" s="505"/>
      <c r="V201" s="505"/>
      <c r="W201" s="505"/>
      <c r="X201" s="505"/>
      <c r="Y201" s="505"/>
      <c r="Z201" s="505"/>
      <c r="AA201" s="505"/>
      <c r="AB201" s="505"/>
      <c r="AC201" s="505"/>
      <c r="AD201" s="505"/>
      <c r="AE201" s="505"/>
      <c r="AF201" s="505"/>
      <c r="AG201" s="505"/>
      <c r="AH201" s="505"/>
      <c r="AI201" s="505"/>
      <c r="AJ201" s="505"/>
      <c r="AK201" s="505"/>
      <c r="AL201" s="505"/>
      <c r="AM201" s="505"/>
      <c r="AN201" s="505"/>
      <c r="AO201" s="505"/>
      <c r="AP201" s="505"/>
      <c r="AQ201" s="505"/>
      <c r="AR201" s="505"/>
      <c r="AS201" s="505"/>
      <c r="AT201" s="505"/>
      <c r="AU201" s="505"/>
      <c r="AV201" s="505"/>
      <c r="AW201" s="505"/>
      <c r="AX201" s="505"/>
      <c r="AY201" s="505"/>
      <c r="AZ201" s="505"/>
      <c r="BA201" s="505"/>
      <c r="BB201" s="505"/>
      <c r="BC201" s="505"/>
      <c r="BD201" s="505"/>
      <c r="BE201" s="505"/>
      <c r="BF201" s="505"/>
      <c r="BG201" s="505"/>
      <c r="BH201" s="505"/>
      <c r="BI201" s="505"/>
      <c r="BJ201" s="505"/>
      <c r="BK201" s="505"/>
      <c r="BL201" s="505"/>
      <c r="BM201" s="505"/>
      <c r="BN201" s="505"/>
      <c r="BO201" s="505"/>
      <c r="BP201" s="505"/>
      <c r="BQ201" s="505"/>
      <c r="BR201" s="505"/>
      <c r="BS201" s="505"/>
      <c r="BT201" s="505"/>
      <c r="BU201" s="505"/>
      <c r="BV201" s="505"/>
      <c r="BW201" s="505"/>
      <c r="BX201" s="505"/>
      <c r="BY201" s="505"/>
      <c r="BZ201" s="505"/>
      <c r="CA201" s="505"/>
      <c r="CB201" s="505"/>
      <c r="CC201" s="505"/>
      <c r="CD201" s="505"/>
      <c r="CE201" s="505"/>
      <c r="CF201" s="505"/>
      <c r="CG201" s="505"/>
      <c r="CH201" s="505"/>
      <c r="CI201" s="505"/>
      <c r="CJ201" s="505"/>
      <c r="CK201" s="505"/>
      <c r="CL201" s="505"/>
      <c r="CM201" s="505"/>
      <c r="CN201" s="505"/>
      <c r="CO201" s="505"/>
      <c r="CP201" s="505"/>
      <c r="CQ201" s="505"/>
      <c r="CR201" s="505"/>
      <c r="CS201" s="505"/>
      <c r="CT201" s="505"/>
      <c r="CU201" s="505"/>
      <c r="CV201" s="505"/>
      <c r="CW201" s="505"/>
      <c r="CX201" s="505"/>
      <c r="CY201" s="505"/>
      <c r="CZ201" s="505"/>
      <c r="DA201" s="505"/>
      <c r="DB201" s="505"/>
      <c r="DC201" s="505"/>
      <c r="DD201" s="505"/>
      <c r="DE201" s="505"/>
      <c r="DF201" s="505"/>
      <c r="DG201" s="505"/>
      <c r="DH201" s="505"/>
      <c r="DI201" s="505"/>
      <c r="DJ201" s="505"/>
      <c r="DK201" s="505"/>
      <c r="DL201" s="505"/>
      <c r="DM201" s="505"/>
      <c r="DN201" s="505"/>
      <c r="DO201" s="505"/>
      <c r="DP201" s="505"/>
    </row>
    <row r="202" spans="1:120" hidden="1" outlineLevel="1" x14ac:dyDescent="0.2">
      <c r="A202" s="517">
        <f t="shared" si="43"/>
        <v>37895</v>
      </c>
      <c r="B202" s="517" t="str">
        <f t="shared" si="40"/>
        <v>4Q03</v>
      </c>
      <c r="C202" s="517" t="str">
        <f t="shared" si="44"/>
        <v>4Q03</v>
      </c>
      <c r="D202" s="518">
        <f t="shared" si="45"/>
        <v>37967</v>
      </c>
      <c r="E202" s="518">
        <f t="shared" si="45"/>
        <v>37907</v>
      </c>
      <c r="F202" s="520">
        <v>1.4830000000000001</v>
      </c>
      <c r="G202" s="521">
        <f t="shared" si="41"/>
        <v>7.0000000000000007E-2</v>
      </c>
      <c r="H202" s="521">
        <f t="shared" si="42"/>
        <v>0.08</v>
      </c>
      <c r="I202" s="505"/>
      <c r="J202" s="505"/>
      <c r="K202" s="505"/>
      <c r="L202" s="505"/>
      <c r="M202" s="528"/>
      <c r="N202" s="505"/>
      <c r="O202" s="505"/>
      <c r="P202" s="505"/>
      <c r="Q202" s="505"/>
      <c r="R202" s="505"/>
      <c r="S202" s="505"/>
      <c r="T202" s="505"/>
      <c r="U202" s="505"/>
      <c r="V202" s="505"/>
      <c r="W202" s="505"/>
      <c r="X202" s="505"/>
      <c r="Y202" s="505"/>
      <c r="Z202" s="505"/>
      <c r="AA202" s="505"/>
      <c r="AB202" s="505"/>
      <c r="AC202" s="505"/>
      <c r="AD202" s="505"/>
      <c r="AE202" s="505"/>
      <c r="AF202" s="505"/>
      <c r="AG202" s="505"/>
      <c r="AH202" s="505"/>
      <c r="AI202" s="505"/>
      <c r="AJ202" s="505"/>
      <c r="AK202" s="505"/>
      <c r="AL202" s="505"/>
      <c r="AM202" s="505"/>
      <c r="AN202" s="505"/>
      <c r="AO202" s="505"/>
      <c r="AP202" s="505"/>
      <c r="AQ202" s="505"/>
      <c r="AR202" s="505"/>
      <c r="AS202" s="505"/>
      <c r="AT202" s="505"/>
      <c r="AU202" s="505"/>
      <c r="AV202" s="505"/>
      <c r="AW202" s="505"/>
      <c r="AX202" s="505"/>
      <c r="AY202" s="505"/>
      <c r="AZ202" s="505"/>
      <c r="BA202" s="505"/>
      <c r="BB202" s="505"/>
      <c r="BC202" s="505"/>
      <c r="BD202" s="505"/>
      <c r="BE202" s="505"/>
      <c r="BF202" s="505"/>
      <c r="BG202" s="505"/>
      <c r="BH202" s="505"/>
      <c r="BI202" s="505"/>
      <c r="BJ202" s="505"/>
      <c r="BK202" s="505"/>
      <c r="BL202" s="505"/>
      <c r="BM202" s="505"/>
      <c r="BN202" s="505"/>
      <c r="BO202" s="505"/>
      <c r="BP202" s="505"/>
      <c r="BQ202" s="505"/>
      <c r="BR202" s="505"/>
      <c r="BS202" s="505"/>
      <c r="BT202" s="505"/>
      <c r="BU202" s="505"/>
      <c r="BV202" s="505"/>
      <c r="BW202" s="505"/>
      <c r="BX202" s="505"/>
      <c r="BY202" s="505"/>
      <c r="BZ202" s="505"/>
      <c r="CA202" s="505"/>
      <c r="CB202" s="505"/>
      <c r="CC202" s="505"/>
      <c r="CD202" s="505"/>
      <c r="CE202" s="505"/>
      <c r="CF202" s="505"/>
      <c r="CG202" s="505"/>
      <c r="CH202" s="505"/>
      <c r="CI202" s="505"/>
      <c r="CJ202" s="505"/>
      <c r="CK202" s="505"/>
      <c r="CL202" s="505"/>
      <c r="CM202" s="505"/>
      <c r="CN202" s="505"/>
      <c r="CO202" s="505"/>
      <c r="CP202" s="505"/>
      <c r="CQ202" s="505"/>
      <c r="CR202" s="505"/>
      <c r="CS202" s="505"/>
      <c r="CT202" s="505"/>
      <c r="CU202" s="505"/>
      <c r="CV202" s="505"/>
      <c r="CW202" s="505"/>
      <c r="CX202" s="505"/>
      <c r="CY202" s="505"/>
      <c r="CZ202" s="505"/>
      <c r="DA202" s="505"/>
      <c r="DB202" s="505"/>
      <c r="DC202" s="505"/>
      <c r="DD202" s="505"/>
      <c r="DE202" s="505"/>
      <c r="DF202" s="505"/>
      <c r="DG202" s="505"/>
      <c r="DH202" s="505"/>
      <c r="DI202" s="505"/>
      <c r="DJ202" s="505"/>
      <c r="DK202" s="505"/>
      <c r="DL202" s="505"/>
      <c r="DM202" s="505"/>
      <c r="DN202" s="505"/>
      <c r="DO202" s="505"/>
      <c r="DP202" s="505"/>
    </row>
    <row r="203" spans="1:120" hidden="1" outlineLevel="1" x14ac:dyDescent="0.2">
      <c r="A203" s="517">
        <f t="shared" si="43"/>
        <v>37895</v>
      </c>
      <c r="B203" s="517" t="str">
        <f t="shared" si="40"/>
        <v>4Q03</v>
      </c>
      <c r="C203" s="517" t="str">
        <f t="shared" si="44"/>
        <v>4Q03</v>
      </c>
      <c r="D203" s="518">
        <f t="shared" si="45"/>
        <v>37974</v>
      </c>
      <c r="E203" s="518">
        <f t="shared" si="45"/>
        <v>37914</v>
      </c>
      <c r="F203" s="520">
        <v>1.5019999999999998</v>
      </c>
      <c r="G203" s="521">
        <f t="shared" si="41"/>
        <v>0.08</v>
      </c>
      <c r="H203" s="521">
        <f t="shared" si="42"/>
        <v>7.0000000000000007E-2</v>
      </c>
      <c r="I203" s="505"/>
      <c r="J203" s="505"/>
      <c r="K203" s="505"/>
      <c r="L203" s="505"/>
      <c r="M203" s="528"/>
      <c r="N203" s="505"/>
      <c r="O203" s="505"/>
      <c r="P203" s="505"/>
      <c r="Q203" s="505"/>
      <c r="R203" s="505"/>
      <c r="S203" s="505"/>
      <c r="T203" s="505"/>
      <c r="U203" s="505"/>
      <c r="V203" s="505"/>
      <c r="W203" s="505"/>
      <c r="X203" s="505"/>
      <c r="Y203" s="505"/>
      <c r="Z203" s="505"/>
      <c r="AA203" s="505"/>
      <c r="AB203" s="505"/>
      <c r="AC203" s="505"/>
      <c r="AD203" s="505"/>
      <c r="AE203" s="505"/>
      <c r="AF203" s="505"/>
      <c r="AG203" s="505"/>
      <c r="AH203" s="505"/>
      <c r="AI203" s="505"/>
      <c r="AJ203" s="505"/>
      <c r="AK203" s="505"/>
      <c r="AL203" s="505"/>
      <c r="AM203" s="505"/>
      <c r="AN203" s="505"/>
      <c r="AO203" s="505"/>
      <c r="AP203" s="505"/>
      <c r="AQ203" s="505"/>
      <c r="AR203" s="505"/>
      <c r="AS203" s="505"/>
      <c r="AT203" s="505"/>
      <c r="AU203" s="505"/>
      <c r="AV203" s="505"/>
      <c r="AW203" s="505"/>
      <c r="AX203" s="505"/>
      <c r="AY203" s="505"/>
      <c r="AZ203" s="505"/>
      <c r="BA203" s="505"/>
      <c r="BB203" s="505"/>
      <c r="BC203" s="505"/>
      <c r="BD203" s="505"/>
      <c r="BE203" s="505"/>
      <c r="BF203" s="505"/>
      <c r="BG203" s="505"/>
      <c r="BH203" s="505"/>
      <c r="BI203" s="505"/>
      <c r="BJ203" s="505"/>
      <c r="BK203" s="505"/>
      <c r="BL203" s="505"/>
      <c r="BM203" s="505"/>
      <c r="BN203" s="505"/>
      <c r="BO203" s="505"/>
      <c r="BP203" s="505"/>
      <c r="BQ203" s="505"/>
      <c r="BR203" s="505"/>
      <c r="BS203" s="505"/>
      <c r="BT203" s="505"/>
      <c r="BU203" s="505"/>
      <c r="BV203" s="505"/>
      <c r="BW203" s="505"/>
      <c r="BX203" s="505"/>
      <c r="BY203" s="505"/>
      <c r="BZ203" s="505"/>
      <c r="CA203" s="505"/>
      <c r="CB203" s="505"/>
      <c r="CC203" s="505"/>
      <c r="CD203" s="505"/>
      <c r="CE203" s="505"/>
      <c r="CF203" s="505"/>
      <c r="CG203" s="505"/>
      <c r="CH203" s="505"/>
      <c r="CI203" s="505"/>
      <c r="CJ203" s="505"/>
      <c r="CK203" s="505"/>
      <c r="CL203" s="505"/>
      <c r="CM203" s="505"/>
      <c r="CN203" s="505"/>
      <c r="CO203" s="505"/>
      <c r="CP203" s="505"/>
      <c r="CQ203" s="505"/>
      <c r="CR203" s="505"/>
      <c r="CS203" s="505"/>
      <c r="CT203" s="505"/>
      <c r="CU203" s="505"/>
      <c r="CV203" s="505"/>
      <c r="CW203" s="505"/>
      <c r="CX203" s="505"/>
      <c r="CY203" s="505"/>
      <c r="CZ203" s="505"/>
      <c r="DA203" s="505"/>
      <c r="DB203" s="505"/>
      <c r="DC203" s="505"/>
      <c r="DD203" s="505"/>
      <c r="DE203" s="505"/>
      <c r="DF203" s="505"/>
      <c r="DG203" s="505"/>
      <c r="DH203" s="505"/>
      <c r="DI203" s="505"/>
      <c r="DJ203" s="505"/>
      <c r="DK203" s="505"/>
      <c r="DL203" s="505"/>
      <c r="DM203" s="505"/>
      <c r="DN203" s="505"/>
      <c r="DO203" s="505"/>
      <c r="DP203" s="505"/>
    </row>
    <row r="204" spans="1:120" hidden="1" outlineLevel="1" x14ac:dyDescent="0.2">
      <c r="A204" s="517">
        <f t="shared" si="43"/>
        <v>37895</v>
      </c>
      <c r="B204" s="517" t="str">
        <f t="shared" si="40"/>
        <v>4Q03</v>
      </c>
      <c r="C204" s="517" t="str">
        <f t="shared" si="44"/>
        <v>4Q03</v>
      </c>
      <c r="D204" s="518">
        <f t="shared" si="45"/>
        <v>37981</v>
      </c>
      <c r="E204" s="518">
        <f t="shared" si="45"/>
        <v>37921</v>
      </c>
      <c r="F204" s="520">
        <v>1.4950000000000001</v>
      </c>
      <c r="G204" s="521">
        <f t="shared" si="41"/>
        <v>7.0000000000000007E-2</v>
      </c>
      <c r="H204" s="521">
        <f t="shared" si="42"/>
        <v>7.0000000000000007E-2</v>
      </c>
      <c r="I204" s="505"/>
      <c r="J204" s="505"/>
      <c r="K204" s="505"/>
      <c r="L204" s="505"/>
      <c r="M204" s="528"/>
      <c r="N204" s="505"/>
      <c r="O204" s="505"/>
      <c r="P204" s="505"/>
      <c r="Q204" s="505"/>
      <c r="R204" s="505"/>
      <c r="S204" s="505"/>
      <c r="T204" s="505"/>
      <c r="U204" s="505"/>
      <c r="V204" s="505"/>
      <c r="W204" s="505"/>
      <c r="X204" s="505"/>
      <c r="Y204" s="505"/>
      <c r="Z204" s="505"/>
      <c r="AA204" s="505"/>
      <c r="AB204" s="505"/>
      <c r="AC204" s="505"/>
      <c r="AD204" s="505"/>
      <c r="AE204" s="505"/>
      <c r="AF204" s="505"/>
      <c r="AG204" s="505"/>
      <c r="AH204" s="505"/>
      <c r="AI204" s="505"/>
      <c r="AJ204" s="505"/>
      <c r="AK204" s="505"/>
      <c r="AL204" s="505"/>
      <c r="AM204" s="505"/>
      <c r="AN204" s="505"/>
      <c r="AO204" s="505"/>
      <c r="AP204" s="505"/>
      <c r="AQ204" s="505"/>
      <c r="AR204" s="505"/>
      <c r="AS204" s="505"/>
      <c r="AT204" s="505"/>
      <c r="AU204" s="505"/>
      <c r="AV204" s="505"/>
      <c r="AW204" s="505"/>
      <c r="AX204" s="505"/>
      <c r="AY204" s="505"/>
      <c r="AZ204" s="505"/>
      <c r="BA204" s="505"/>
      <c r="BB204" s="505"/>
      <c r="BC204" s="505"/>
      <c r="BD204" s="505"/>
      <c r="BE204" s="505"/>
      <c r="BF204" s="505"/>
      <c r="BG204" s="505"/>
      <c r="BH204" s="505"/>
      <c r="BI204" s="505"/>
      <c r="BJ204" s="505"/>
      <c r="BK204" s="505"/>
      <c r="BL204" s="505"/>
      <c r="BM204" s="505"/>
      <c r="BN204" s="505"/>
      <c r="BO204" s="505"/>
      <c r="BP204" s="505"/>
      <c r="BQ204" s="505"/>
      <c r="BR204" s="505"/>
      <c r="BS204" s="505"/>
      <c r="BT204" s="505"/>
      <c r="BU204" s="505"/>
      <c r="BV204" s="505"/>
      <c r="BW204" s="505"/>
      <c r="BX204" s="505"/>
      <c r="BY204" s="505"/>
      <c r="BZ204" s="505"/>
      <c r="CA204" s="505"/>
      <c r="CB204" s="505"/>
      <c r="CC204" s="505"/>
      <c r="CD204" s="505"/>
      <c r="CE204" s="505"/>
      <c r="CF204" s="505"/>
      <c r="CG204" s="505"/>
      <c r="CH204" s="505"/>
      <c r="CI204" s="505"/>
      <c r="CJ204" s="505"/>
      <c r="CK204" s="505"/>
      <c r="CL204" s="505"/>
      <c r="CM204" s="505"/>
      <c r="CN204" s="505"/>
      <c r="CO204" s="505"/>
      <c r="CP204" s="505"/>
      <c r="CQ204" s="505"/>
      <c r="CR204" s="505"/>
      <c r="CS204" s="505"/>
      <c r="CT204" s="505"/>
      <c r="CU204" s="505"/>
      <c r="CV204" s="505"/>
      <c r="CW204" s="505"/>
      <c r="CX204" s="505"/>
      <c r="CY204" s="505"/>
      <c r="CZ204" s="505"/>
      <c r="DA204" s="505"/>
      <c r="DB204" s="505"/>
      <c r="DC204" s="505"/>
      <c r="DD204" s="505"/>
      <c r="DE204" s="505"/>
      <c r="DF204" s="505"/>
      <c r="DG204" s="505"/>
      <c r="DH204" s="505"/>
      <c r="DI204" s="505"/>
      <c r="DJ204" s="505"/>
      <c r="DK204" s="505"/>
      <c r="DL204" s="505"/>
      <c r="DM204" s="505"/>
      <c r="DN204" s="505"/>
      <c r="DO204" s="505"/>
      <c r="DP204" s="505"/>
    </row>
    <row r="205" spans="1:120" hidden="1" outlineLevel="1" x14ac:dyDescent="0.2">
      <c r="A205" s="517">
        <f t="shared" si="43"/>
        <v>37926</v>
      </c>
      <c r="B205" s="517" t="str">
        <f t="shared" si="40"/>
        <v>4Q03</v>
      </c>
      <c r="C205" s="517" t="str">
        <f t="shared" si="44"/>
        <v>1Q04</v>
      </c>
      <c r="D205" s="518">
        <f t="shared" si="45"/>
        <v>37988</v>
      </c>
      <c r="E205" s="518">
        <f t="shared" si="45"/>
        <v>37928</v>
      </c>
      <c r="F205" s="520">
        <v>1.4809999999999999</v>
      </c>
      <c r="G205" s="521">
        <f t="shared" si="41"/>
        <v>7.0000000000000007E-2</v>
      </c>
      <c r="H205" s="521">
        <f t="shared" si="42"/>
        <v>7.0000000000000007E-2</v>
      </c>
      <c r="I205" s="505"/>
      <c r="J205" s="505"/>
      <c r="K205" s="505"/>
      <c r="L205" s="505"/>
      <c r="M205" s="528"/>
      <c r="N205" s="505"/>
      <c r="O205" s="505"/>
      <c r="P205" s="505"/>
      <c r="Q205" s="505"/>
      <c r="R205" s="505"/>
      <c r="S205" s="505"/>
      <c r="T205" s="505"/>
      <c r="U205" s="505"/>
      <c r="V205" s="505"/>
      <c r="W205" s="505"/>
      <c r="X205" s="505"/>
      <c r="Y205" s="505"/>
      <c r="Z205" s="505"/>
      <c r="AA205" s="505"/>
      <c r="AB205" s="505"/>
      <c r="AC205" s="505"/>
      <c r="AD205" s="505"/>
      <c r="AE205" s="505"/>
      <c r="AF205" s="505"/>
      <c r="AG205" s="505"/>
      <c r="AH205" s="505"/>
      <c r="AI205" s="505"/>
      <c r="AJ205" s="505"/>
      <c r="AK205" s="505"/>
      <c r="AL205" s="505"/>
      <c r="AM205" s="505"/>
      <c r="AN205" s="505"/>
      <c r="AO205" s="505"/>
      <c r="AP205" s="505"/>
      <c r="AQ205" s="505"/>
      <c r="AR205" s="505"/>
      <c r="AS205" s="505"/>
      <c r="AT205" s="505"/>
      <c r="AU205" s="505"/>
      <c r="AV205" s="505"/>
      <c r="AW205" s="505"/>
      <c r="AX205" s="505"/>
      <c r="AY205" s="505"/>
      <c r="AZ205" s="505"/>
      <c r="BA205" s="505"/>
      <c r="BB205" s="505"/>
      <c r="BC205" s="505"/>
      <c r="BD205" s="505"/>
      <c r="BE205" s="505"/>
      <c r="BF205" s="505"/>
      <c r="BG205" s="505"/>
      <c r="BH205" s="505"/>
      <c r="BI205" s="505"/>
      <c r="BJ205" s="505"/>
      <c r="BK205" s="505"/>
      <c r="BL205" s="505"/>
      <c r="BM205" s="505"/>
      <c r="BN205" s="505"/>
      <c r="BO205" s="505"/>
      <c r="BP205" s="505"/>
      <c r="BQ205" s="505"/>
      <c r="BR205" s="505"/>
      <c r="BS205" s="505"/>
      <c r="BT205" s="505"/>
      <c r="BU205" s="505"/>
      <c r="BV205" s="505"/>
      <c r="BW205" s="505"/>
      <c r="BX205" s="505"/>
      <c r="BY205" s="505"/>
      <c r="BZ205" s="505"/>
      <c r="CA205" s="505"/>
      <c r="CB205" s="505"/>
      <c r="CC205" s="505"/>
      <c r="CD205" s="505"/>
      <c r="CE205" s="505"/>
      <c r="CF205" s="505"/>
      <c r="CG205" s="505"/>
      <c r="CH205" s="505"/>
      <c r="CI205" s="505"/>
      <c r="CJ205" s="505"/>
      <c r="CK205" s="505"/>
      <c r="CL205" s="505"/>
      <c r="CM205" s="505"/>
      <c r="CN205" s="505"/>
      <c r="CO205" s="505"/>
      <c r="CP205" s="505"/>
      <c r="CQ205" s="505"/>
      <c r="CR205" s="505"/>
      <c r="CS205" s="505"/>
      <c r="CT205" s="505"/>
      <c r="CU205" s="505"/>
      <c r="CV205" s="505"/>
      <c r="CW205" s="505"/>
      <c r="CX205" s="505"/>
      <c r="CY205" s="505"/>
      <c r="CZ205" s="505"/>
      <c r="DA205" s="505"/>
      <c r="DB205" s="505"/>
      <c r="DC205" s="505"/>
      <c r="DD205" s="505"/>
      <c r="DE205" s="505"/>
      <c r="DF205" s="505"/>
      <c r="DG205" s="505"/>
      <c r="DH205" s="505"/>
      <c r="DI205" s="505"/>
      <c r="DJ205" s="505"/>
      <c r="DK205" s="505"/>
      <c r="DL205" s="505"/>
      <c r="DM205" s="505"/>
      <c r="DN205" s="505"/>
      <c r="DO205" s="505"/>
      <c r="DP205" s="505"/>
    </row>
    <row r="206" spans="1:120" hidden="1" outlineLevel="1" x14ac:dyDescent="0.2">
      <c r="A206" s="517">
        <f t="shared" si="43"/>
        <v>37926</v>
      </c>
      <c r="B206" s="517" t="str">
        <f t="shared" si="40"/>
        <v>4Q03</v>
      </c>
      <c r="C206" s="517" t="str">
        <f t="shared" si="44"/>
        <v>1Q04</v>
      </c>
      <c r="D206" s="518">
        <f t="shared" si="45"/>
        <v>37995</v>
      </c>
      <c r="E206" s="518">
        <f t="shared" si="45"/>
        <v>37935</v>
      </c>
      <c r="F206" s="520">
        <v>1.476</v>
      </c>
      <c r="G206" s="521">
        <f t="shared" si="41"/>
        <v>7.0000000000000007E-2</v>
      </c>
      <c r="H206" s="521">
        <f t="shared" si="42"/>
        <v>7.0000000000000007E-2</v>
      </c>
      <c r="I206" s="505"/>
      <c r="J206" s="505"/>
      <c r="K206" s="505"/>
      <c r="L206" s="505"/>
      <c r="M206" s="528"/>
      <c r="N206" s="505"/>
      <c r="O206" s="505"/>
      <c r="P206" s="505"/>
      <c r="Q206" s="505"/>
      <c r="R206" s="505"/>
      <c r="S206" s="505"/>
      <c r="T206" s="505"/>
      <c r="U206" s="505"/>
      <c r="V206" s="505"/>
      <c r="W206" s="505"/>
      <c r="X206" s="505"/>
      <c r="Y206" s="505"/>
      <c r="Z206" s="505"/>
      <c r="AA206" s="505"/>
      <c r="AB206" s="505"/>
      <c r="AC206" s="505"/>
      <c r="AD206" s="505"/>
      <c r="AE206" s="505"/>
      <c r="AF206" s="505"/>
      <c r="AG206" s="505"/>
      <c r="AH206" s="505"/>
      <c r="AI206" s="505"/>
      <c r="AJ206" s="505"/>
      <c r="AK206" s="505"/>
      <c r="AL206" s="505"/>
      <c r="AM206" s="505"/>
      <c r="AN206" s="505"/>
      <c r="AO206" s="505"/>
      <c r="AP206" s="505"/>
      <c r="AQ206" s="505"/>
      <c r="AR206" s="505"/>
      <c r="AS206" s="505"/>
      <c r="AT206" s="505"/>
      <c r="AU206" s="505"/>
      <c r="AV206" s="505"/>
      <c r="AW206" s="505"/>
      <c r="AX206" s="505"/>
      <c r="AY206" s="505"/>
      <c r="AZ206" s="505"/>
      <c r="BA206" s="505"/>
      <c r="BB206" s="505"/>
      <c r="BC206" s="505"/>
      <c r="BD206" s="505"/>
      <c r="BE206" s="505"/>
      <c r="BF206" s="505"/>
      <c r="BG206" s="505"/>
      <c r="BH206" s="505"/>
      <c r="BI206" s="505"/>
      <c r="BJ206" s="505"/>
      <c r="BK206" s="505"/>
      <c r="BL206" s="505"/>
      <c r="BM206" s="505"/>
      <c r="BN206" s="505"/>
      <c r="BO206" s="505"/>
      <c r="BP206" s="505"/>
      <c r="BQ206" s="505"/>
      <c r="BR206" s="505"/>
      <c r="BS206" s="505"/>
      <c r="BT206" s="505"/>
      <c r="BU206" s="505"/>
      <c r="BV206" s="505"/>
      <c r="BW206" s="505"/>
      <c r="BX206" s="505"/>
      <c r="BY206" s="505"/>
      <c r="BZ206" s="505"/>
      <c r="CA206" s="505"/>
      <c r="CB206" s="505"/>
      <c r="CC206" s="505"/>
      <c r="CD206" s="505"/>
      <c r="CE206" s="505"/>
      <c r="CF206" s="505"/>
      <c r="CG206" s="505"/>
      <c r="CH206" s="505"/>
      <c r="CI206" s="505"/>
      <c r="CJ206" s="505"/>
      <c r="CK206" s="505"/>
      <c r="CL206" s="505"/>
      <c r="CM206" s="505"/>
      <c r="CN206" s="505"/>
      <c r="CO206" s="505"/>
      <c r="CP206" s="505"/>
      <c r="CQ206" s="505"/>
      <c r="CR206" s="505"/>
      <c r="CS206" s="505"/>
      <c r="CT206" s="505"/>
      <c r="CU206" s="505"/>
      <c r="CV206" s="505"/>
      <c r="CW206" s="505"/>
      <c r="CX206" s="505"/>
      <c r="CY206" s="505"/>
      <c r="CZ206" s="505"/>
      <c r="DA206" s="505"/>
      <c r="DB206" s="505"/>
      <c r="DC206" s="505"/>
      <c r="DD206" s="505"/>
      <c r="DE206" s="505"/>
      <c r="DF206" s="505"/>
      <c r="DG206" s="505"/>
      <c r="DH206" s="505"/>
      <c r="DI206" s="505"/>
      <c r="DJ206" s="505"/>
      <c r="DK206" s="505"/>
      <c r="DL206" s="505"/>
      <c r="DM206" s="505"/>
      <c r="DN206" s="505"/>
      <c r="DO206" s="505"/>
      <c r="DP206" s="505"/>
    </row>
    <row r="207" spans="1:120" hidden="1" outlineLevel="1" x14ac:dyDescent="0.2">
      <c r="A207" s="517">
        <f t="shared" si="43"/>
        <v>37926</v>
      </c>
      <c r="B207" s="517" t="str">
        <f t="shared" si="40"/>
        <v>4Q03</v>
      </c>
      <c r="C207" s="517" t="str">
        <f t="shared" si="44"/>
        <v>1Q04</v>
      </c>
      <c r="D207" s="518">
        <f t="shared" si="45"/>
        <v>38002</v>
      </c>
      <c r="E207" s="518">
        <f t="shared" si="45"/>
        <v>37942</v>
      </c>
      <c r="F207" s="520">
        <v>1.4809999999999999</v>
      </c>
      <c r="G207" s="521">
        <f t="shared" si="41"/>
        <v>7.0000000000000007E-2</v>
      </c>
      <c r="H207" s="521">
        <f t="shared" si="42"/>
        <v>7.0000000000000007E-2</v>
      </c>
      <c r="I207" s="505"/>
      <c r="J207" s="505"/>
      <c r="K207" s="505"/>
      <c r="L207" s="505"/>
      <c r="M207" s="528"/>
      <c r="N207" s="505"/>
      <c r="O207" s="505"/>
      <c r="P207" s="505"/>
      <c r="Q207" s="505"/>
      <c r="R207" s="505"/>
      <c r="S207" s="505"/>
      <c r="T207" s="505"/>
      <c r="U207" s="505"/>
      <c r="V207" s="505"/>
      <c r="W207" s="505"/>
      <c r="X207" s="505"/>
      <c r="Y207" s="505"/>
      <c r="Z207" s="505"/>
      <c r="AA207" s="505"/>
      <c r="AB207" s="505"/>
      <c r="AC207" s="505"/>
      <c r="AD207" s="505"/>
      <c r="AE207" s="505"/>
      <c r="AF207" s="505"/>
      <c r="AG207" s="505"/>
      <c r="AH207" s="505"/>
      <c r="AI207" s="505"/>
      <c r="AJ207" s="505"/>
      <c r="AK207" s="505"/>
      <c r="AL207" s="505"/>
      <c r="AM207" s="505"/>
      <c r="AN207" s="505"/>
      <c r="AO207" s="505"/>
      <c r="AP207" s="505"/>
      <c r="AQ207" s="505"/>
      <c r="AR207" s="505"/>
      <c r="AS207" s="505"/>
      <c r="AT207" s="505"/>
      <c r="AU207" s="505"/>
      <c r="AV207" s="505"/>
      <c r="AW207" s="505"/>
      <c r="AX207" s="505"/>
      <c r="AY207" s="505"/>
      <c r="AZ207" s="505"/>
      <c r="BA207" s="505"/>
      <c r="BB207" s="505"/>
      <c r="BC207" s="505"/>
      <c r="BD207" s="505"/>
      <c r="BE207" s="505"/>
      <c r="BF207" s="505"/>
      <c r="BG207" s="505"/>
      <c r="BH207" s="505"/>
      <c r="BI207" s="505"/>
      <c r="BJ207" s="505"/>
      <c r="BK207" s="505"/>
      <c r="BL207" s="505"/>
      <c r="BM207" s="505"/>
      <c r="BN207" s="505"/>
      <c r="BO207" s="505"/>
      <c r="BP207" s="505"/>
      <c r="BQ207" s="505"/>
      <c r="BR207" s="505"/>
      <c r="BS207" s="505"/>
      <c r="BT207" s="505"/>
      <c r="BU207" s="505"/>
      <c r="BV207" s="505"/>
      <c r="BW207" s="505"/>
      <c r="BX207" s="505"/>
      <c r="BY207" s="505"/>
      <c r="BZ207" s="505"/>
      <c r="CA207" s="505"/>
      <c r="CB207" s="505"/>
      <c r="CC207" s="505"/>
      <c r="CD207" s="505"/>
      <c r="CE207" s="505"/>
      <c r="CF207" s="505"/>
      <c r="CG207" s="505"/>
      <c r="CH207" s="505"/>
      <c r="CI207" s="505"/>
      <c r="CJ207" s="505"/>
      <c r="CK207" s="505"/>
      <c r="CL207" s="505"/>
      <c r="CM207" s="505"/>
      <c r="CN207" s="505"/>
      <c r="CO207" s="505"/>
      <c r="CP207" s="505"/>
      <c r="CQ207" s="505"/>
      <c r="CR207" s="505"/>
      <c r="CS207" s="505"/>
      <c r="CT207" s="505"/>
      <c r="CU207" s="505"/>
      <c r="CV207" s="505"/>
      <c r="CW207" s="505"/>
      <c r="CX207" s="505"/>
      <c r="CY207" s="505"/>
      <c r="CZ207" s="505"/>
      <c r="DA207" s="505"/>
      <c r="DB207" s="505"/>
      <c r="DC207" s="505"/>
      <c r="DD207" s="505"/>
      <c r="DE207" s="505"/>
      <c r="DF207" s="505"/>
      <c r="DG207" s="505"/>
      <c r="DH207" s="505"/>
      <c r="DI207" s="505"/>
      <c r="DJ207" s="505"/>
      <c r="DK207" s="505"/>
      <c r="DL207" s="505"/>
      <c r="DM207" s="505"/>
      <c r="DN207" s="505"/>
      <c r="DO207" s="505"/>
      <c r="DP207" s="505"/>
    </row>
    <row r="208" spans="1:120" hidden="1" outlineLevel="1" x14ac:dyDescent="0.2">
      <c r="A208" s="517">
        <f t="shared" si="43"/>
        <v>37926</v>
      </c>
      <c r="B208" s="517" t="str">
        <f t="shared" si="40"/>
        <v>4Q03</v>
      </c>
      <c r="C208" s="517" t="str">
        <f t="shared" si="44"/>
        <v>1Q04</v>
      </c>
      <c r="D208" s="518">
        <f t="shared" si="45"/>
        <v>38009</v>
      </c>
      <c r="E208" s="518">
        <f t="shared" si="45"/>
        <v>37949</v>
      </c>
      <c r="F208" s="520">
        <v>1.4909999999999999</v>
      </c>
      <c r="G208" s="521">
        <f t="shared" si="41"/>
        <v>7.0000000000000007E-2</v>
      </c>
      <c r="H208" s="521">
        <f t="shared" si="42"/>
        <v>7.0000000000000007E-2</v>
      </c>
      <c r="I208" s="505"/>
      <c r="J208" s="505"/>
      <c r="K208" s="505"/>
      <c r="L208" s="505"/>
      <c r="M208" s="528"/>
      <c r="N208" s="505"/>
      <c r="O208" s="505"/>
      <c r="P208" s="505"/>
      <c r="Q208" s="505"/>
      <c r="R208" s="505"/>
      <c r="S208" s="505"/>
      <c r="T208" s="505"/>
      <c r="U208" s="505"/>
      <c r="V208" s="505"/>
      <c r="W208" s="505"/>
      <c r="X208" s="505"/>
      <c r="Y208" s="505"/>
      <c r="Z208" s="505"/>
      <c r="AA208" s="505"/>
      <c r="AB208" s="505"/>
      <c r="AC208" s="505"/>
      <c r="AD208" s="505"/>
      <c r="AE208" s="505"/>
      <c r="AF208" s="505"/>
      <c r="AG208" s="505"/>
      <c r="AH208" s="505"/>
      <c r="AI208" s="505"/>
      <c r="AJ208" s="505"/>
      <c r="AK208" s="505"/>
      <c r="AL208" s="505"/>
      <c r="AM208" s="505"/>
      <c r="AN208" s="505"/>
      <c r="AO208" s="505"/>
      <c r="AP208" s="505"/>
      <c r="AQ208" s="505"/>
      <c r="AR208" s="505"/>
      <c r="AS208" s="505"/>
      <c r="AT208" s="505"/>
      <c r="AU208" s="505"/>
      <c r="AV208" s="505"/>
      <c r="AW208" s="505"/>
      <c r="AX208" s="505"/>
      <c r="AY208" s="505"/>
      <c r="AZ208" s="505"/>
      <c r="BA208" s="505"/>
      <c r="BB208" s="505"/>
      <c r="BC208" s="505"/>
      <c r="BD208" s="505"/>
      <c r="BE208" s="505"/>
      <c r="BF208" s="505"/>
      <c r="BG208" s="505"/>
      <c r="BH208" s="505"/>
      <c r="BI208" s="505"/>
      <c r="BJ208" s="505"/>
      <c r="BK208" s="505"/>
      <c r="BL208" s="505"/>
      <c r="BM208" s="505"/>
      <c r="BN208" s="505"/>
      <c r="BO208" s="505"/>
      <c r="BP208" s="505"/>
      <c r="BQ208" s="505"/>
      <c r="BR208" s="505"/>
      <c r="BS208" s="505"/>
      <c r="BT208" s="505"/>
      <c r="BU208" s="505"/>
      <c r="BV208" s="505"/>
      <c r="BW208" s="505"/>
      <c r="BX208" s="505"/>
      <c r="BY208" s="505"/>
      <c r="BZ208" s="505"/>
      <c r="CA208" s="505"/>
      <c r="CB208" s="505"/>
      <c r="CC208" s="505"/>
      <c r="CD208" s="505"/>
      <c r="CE208" s="505"/>
      <c r="CF208" s="505"/>
      <c r="CG208" s="505"/>
      <c r="CH208" s="505"/>
      <c r="CI208" s="505"/>
      <c r="CJ208" s="505"/>
      <c r="CK208" s="505"/>
      <c r="CL208" s="505"/>
      <c r="CM208" s="505"/>
      <c r="CN208" s="505"/>
      <c r="CO208" s="505"/>
      <c r="CP208" s="505"/>
      <c r="CQ208" s="505"/>
      <c r="CR208" s="505"/>
      <c r="CS208" s="505"/>
      <c r="CT208" s="505"/>
      <c r="CU208" s="505"/>
      <c r="CV208" s="505"/>
      <c r="CW208" s="505"/>
      <c r="CX208" s="505"/>
      <c r="CY208" s="505"/>
      <c r="CZ208" s="505"/>
      <c r="DA208" s="505"/>
      <c r="DB208" s="505"/>
      <c r="DC208" s="505"/>
      <c r="DD208" s="505"/>
      <c r="DE208" s="505"/>
      <c r="DF208" s="505"/>
      <c r="DG208" s="505"/>
      <c r="DH208" s="505"/>
      <c r="DI208" s="505"/>
      <c r="DJ208" s="505"/>
      <c r="DK208" s="505"/>
      <c r="DL208" s="505"/>
      <c r="DM208" s="505"/>
      <c r="DN208" s="505"/>
      <c r="DO208" s="505"/>
      <c r="DP208" s="505"/>
    </row>
    <row r="209" spans="1:120" hidden="1" outlineLevel="1" x14ac:dyDescent="0.2">
      <c r="A209" s="517">
        <f t="shared" si="43"/>
        <v>37956</v>
      </c>
      <c r="B209" s="517" t="str">
        <f t="shared" si="40"/>
        <v>4Q03</v>
      </c>
      <c r="C209" s="517" t="str">
        <f t="shared" si="44"/>
        <v>1Q04</v>
      </c>
      <c r="D209" s="518">
        <f t="shared" si="45"/>
        <v>38016</v>
      </c>
      <c r="E209" s="518">
        <f t="shared" si="45"/>
        <v>37956</v>
      </c>
      <c r="F209" s="520">
        <v>1.476</v>
      </c>
      <c r="G209" s="521">
        <f t="shared" si="41"/>
        <v>7.0000000000000007E-2</v>
      </c>
      <c r="H209" s="521">
        <f t="shared" si="42"/>
        <v>7.0000000000000007E-2</v>
      </c>
      <c r="I209" s="505"/>
      <c r="J209" s="505"/>
      <c r="K209" s="505"/>
      <c r="L209" s="505"/>
      <c r="M209" s="528"/>
      <c r="N209" s="505"/>
      <c r="O209" s="505"/>
      <c r="P209" s="505"/>
      <c r="Q209" s="505"/>
      <c r="R209" s="505"/>
      <c r="S209" s="505"/>
      <c r="T209" s="505"/>
      <c r="U209" s="505"/>
      <c r="V209" s="505"/>
      <c r="W209" s="505"/>
      <c r="X209" s="505"/>
      <c r="Y209" s="505"/>
      <c r="Z209" s="505"/>
      <c r="AA209" s="505"/>
      <c r="AB209" s="505"/>
      <c r="AC209" s="505"/>
      <c r="AD209" s="505"/>
      <c r="AE209" s="505"/>
      <c r="AF209" s="505"/>
      <c r="AG209" s="505"/>
      <c r="AH209" s="505"/>
      <c r="AI209" s="505"/>
      <c r="AJ209" s="505"/>
      <c r="AK209" s="505"/>
      <c r="AL209" s="505"/>
      <c r="AM209" s="505"/>
      <c r="AN209" s="505"/>
      <c r="AO209" s="505"/>
      <c r="AP209" s="505"/>
      <c r="AQ209" s="505"/>
      <c r="AR209" s="505"/>
      <c r="AS209" s="505"/>
      <c r="AT209" s="505"/>
      <c r="AU209" s="505"/>
      <c r="AV209" s="505"/>
      <c r="AW209" s="505"/>
      <c r="AX209" s="505"/>
      <c r="AY209" s="505"/>
      <c r="AZ209" s="505"/>
      <c r="BA209" s="505"/>
      <c r="BB209" s="505"/>
      <c r="BC209" s="505"/>
      <c r="BD209" s="505"/>
      <c r="BE209" s="505"/>
      <c r="BF209" s="505"/>
      <c r="BG209" s="505"/>
      <c r="BH209" s="505"/>
      <c r="BI209" s="505"/>
      <c r="BJ209" s="505"/>
      <c r="BK209" s="505"/>
      <c r="BL209" s="505"/>
      <c r="BM209" s="505"/>
      <c r="BN209" s="505"/>
      <c r="BO209" s="505"/>
      <c r="BP209" s="505"/>
      <c r="BQ209" s="505"/>
      <c r="BR209" s="505"/>
      <c r="BS209" s="505"/>
      <c r="BT209" s="505"/>
      <c r="BU209" s="505"/>
      <c r="BV209" s="505"/>
      <c r="BW209" s="505"/>
      <c r="BX209" s="505"/>
      <c r="BY209" s="505"/>
      <c r="BZ209" s="505"/>
      <c r="CA209" s="505"/>
      <c r="CB209" s="505"/>
      <c r="CC209" s="505"/>
      <c r="CD209" s="505"/>
      <c r="CE209" s="505"/>
      <c r="CF209" s="505"/>
      <c r="CG209" s="505"/>
      <c r="CH209" s="505"/>
      <c r="CI209" s="505"/>
      <c r="CJ209" s="505"/>
      <c r="CK209" s="505"/>
      <c r="CL209" s="505"/>
      <c r="CM209" s="505"/>
      <c r="CN209" s="505"/>
      <c r="CO209" s="505"/>
      <c r="CP209" s="505"/>
      <c r="CQ209" s="505"/>
      <c r="CR209" s="505"/>
      <c r="CS209" s="505"/>
      <c r="CT209" s="505"/>
      <c r="CU209" s="505"/>
      <c r="CV209" s="505"/>
      <c r="CW209" s="505"/>
      <c r="CX209" s="505"/>
      <c r="CY209" s="505"/>
      <c r="CZ209" s="505"/>
      <c r="DA209" s="505"/>
      <c r="DB209" s="505"/>
      <c r="DC209" s="505"/>
      <c r="DD209" s="505"/>
      <c r="DE209" s="505"/>
      <c r="DF209" s="505"/>
      <c r="DG209" s="505"/>
      <c r="DH209" s="505"/>
      <c r="DI209" s="505"/>
      <c r="DJ209" s="505"/>
      <c r="DK209" s="505"/>
      <c r="DL209" s="505"/>
      <c r="DM209" s="505"/>
      <c r="DN209" s="505"/>
      <c r="DO209" s="505"/>
      <c r="DP209" s="505"/>
    </row>
    <row r="210" spans="1:120" hidden="1" outlineLevel="1" x14ac:dyDescent="0.2">
      <c r="A210" s="517">
        <f t="shared" si="43"/>
        <v>37956</v>
      </c>
      <c r="B210" s="517" t="str">
        <f t="shared" si="40"/>
        <v>4Q03</v>
      </c>
      <c r="C210" s="517" t="str">
        <f t="shared" si="44"/>
        <v>1Q04</v>
      </c>
      <c r="D210" s="518">
        <f t="shared" si="45"/>
        <v>38023</v>
      </c>
      <c r="E210" s="518">
        <f t="shared" si="45"/>
        <v>37963</v>
      </c>
      <c r="F210" s="520">
        <v>1.4809999999999999</v>
      </c>
      <c r="G210" s="521">
        <f t="shared" si="41"/>
        <v>7.0000000000000007E-2</v>
      </c>
      <c r="H210" s="521">
        <f t="shared" si="42"/>
        <v>7.0000000000000007E-2</v>
      </c>
      <c r="I210" s="505"/>
      <c r="J210" s="505"/>
      <c r="K210" s="505"/>
      <c r="L210" s="505"/>
      <c r="M210" s="528"/>
      <c r="N210" s="505"/>
      <c r="O210" s="505"/>
      <c r="P210" s="505"/>
      <c r="Q210" s="505"/>
      <c r="R210" s="505"/>
      <c r="S210" s="505"/>
      <c r="T210" s="505"/>
      <c r="U210" s="505"/>
      <c r="V210" s="505"/>
      <c r="W210" s="505"/>
      <c r="X210" s="505"/>
      <c r="Y210" s="505"/>
      <c r="Z210" s="505"/>
      <c r="AA210" s="505"/>
      <c r="AB210" s="505"/>
      <c r="AC210" s="505"/>
      <c r="AD210" s="505"/>
      <c r="AE210" s="505"/>
      <c r="AF210" s="505"/>
      <c r="AG210" s="505"/>
      <c r="AH210" s="505"/>
      <c r="AI210" s="505"/>
      <c r="AJ210" s="505"/>
      <c r="AK210" s="505"/>
      <c r="AL210" s="505"/>
      <c r="AM210" s="505"/>
      <c r="AN210" s="505"/>
      <c r="AO210" s="505"/>
      <c r="AP210" s="505"/>
      <c r="AQ210" s="505"/>
      <c r="AR210" s="505"/>
      <c r="AS210" s="505"/>
      <c r="AT210" s="505"/>
      <c r="AU210" s="505"/>
      <c r="AV210" s="505"/>
      <c r="AW210" s="505"/>
      <c r="AX210" s="505"/>
      <c r="AY210" s="505"/>
      <c r="AZ210" s="505"/>
      <c r="BA210" s="505"/>
      <c r="BB210" s="505"/>
      <c r="BC210" s="505"/>
      <c r="BD210" s="505"/>
      <c r="BE210" s="505"/>
      <c r="BF210" s="505"/>
      <c r="BG210" s="505"/>
      <c r="BH210" s="505"/>
      <c r="BI210" s="505"/>
      <c r="BJ210" s="505"/>
      <c r="BK210" s="505"/>
      <c r="BL210" s="505"/>
      <c r="BM210" s="505"/>
      <c r="BN210" s="505"/>
      <c r="BO210" s="505"/>
      <c r="BP210" s="505"/>
      <c r="BQ210" s="505"/>
      <c r="BR210" s="505"/>
      <c r="BS210" s="505"/>
      <c r="BT210" s="505"/>
      <c r="BU210" s="505"/>
      <c r="BV210" s="505"/>
      <c r="BW210" s="505"/>
      <c r="BX210" s="505"/>
      <c r="BY210" s="505"/>
      <c r="BZ210" s="505"/>
      <c r="CA210" s="505"/>
      <c r="CB210" s="505"/>
      <c r="CC210" s="505"/>
      <c r="CD210" s="505"/>
      <c r="CE210" s="505"/>
      <c r="CF210" s="505"/>
      <c r="CG210" s="505"/>
      <c r="CH210" s="505"/>
      <c r="CI210" s="505"/>
      <c r="CJ210" s="505"/>
      <c r="CK210" s="505"/>
      <c r="CL210" s="505"/>
      <c r="CM210" s="505"/>
      <c r="CN210" s="505"/>
      <c r="CO210" s="505"/>
      <c r="CP210" s="505"/>
      <c r="CQ210" s="505"/>
      <c r="CR210" s="505"/>
      <c r="CS210" s="505"/>
      <c r="CT210" s="505"/>
      <c r="CU210" s="505"/>
      <c r="CV210" s="505"/>
      <c r="CW210" s="505"/>
      <c r="CX210" s="505"/>
      <c r="CY210" s="505"/>
      <c r="CZ210" s="505"/>
      <c r="DA210" s="505"/>
      <c r="DB210" s="505"/>
      <c r="DC210" s="505"/>
      <c r="DD210" s="505"/>
      <c r="DE210" s="505"/>
      <c r="DF210" s="505"/>
      <c r="DG210" s="505"/>
      <c r="DH210" s="505"/>
      <c r="DI210" s="505"/>
      <c r="DJ210" s="505"/>
      <c r="DK210" s="505"/>
      <c r="DL210" s="505"/>
      <c r="DM210" s="505"/>
      <c r="DN210" s="505"/>
      <c r="DO210" s="505"/>
      <c r="DP210" s="505"/>
    </row>
    <row r="211" spans="1:120" hidden="1" outlineLevel="1" x14ac:dyDescent="0.2">
      <c r="A211" s="517">
        <f t="shared" si="43"/>
        <v>37956</v>
      </c>
      <c r="B211" s="517" t="str">
        <f t="shared" si="40"/>
        <v>4Q03</v>
      </c>
      <c r="C211" s="517" t="str">
        <f t="shared" si="44"/>
        <v>1Q04</v>
      </c>
      <c r="D211" s="518">
        <f t="shared" si="45"/>
        <v>38030</v>
      </c>
      <c r="E211" s="518">
        <f t="shared" si="45"/>
        <v>37970</v>
      </c>
      <c r="F211" s="520">
        <v>1.486</v>
      </c>
      <c r="G211" s="521">
        <f t="shared" si="41"/>
        <v>7.0000000000000007E-2</v>
      </c>
      <c r="H211" s="521">
        <f t="shared" si="42"/>
        <v>0.08</v>
      </c>
      <c r="I211" s="505"/>
      <c r="J211" s="505"/>
      <c r="K211" s="505"/>
      <c r="L211" s="505"/>
      <c r="M211" s="528"/>
      <c r="N211" s="505"/>
      <c r="O211" s="505"/>
      <c r="P211" s="505"/>
      <c r="Q211" s="505"/>
      <c r="R211" s="505"/>
      <c r="S211" s="505"/>
      <c r="T211" s="505"/>
      <c r="U211" s="505"/>
      <c r="V211" s="505"/>
      <c r="W211" s="505"/>
      <c r="X211" s="505"/>
      <c r="Y211" s="505"/>
      <c r="Z211" s="505"/>
      <c r="AA211" s="505"/>
      <c r="AB211" s="505"/>
      <c r="AC211" s="505"/>
      <c r="AD211" s="505"/>
      <c r="AE211" s="505"/>
      <c r="AF211" s="505"/>
      <c r="AG211" s="505"/>
      <c r="AH211" s="505"/>
      <c r="AI211" s="505"/>
      <c r="AJ211" s="505"/>
      <c r="AK211" s="505"/>
      <c r="AL211" s="505"/>
      <c r="AM211" s="505"/>
      <c r="AN211" s="505"/>
      <c r="AO211" s="505"/>
      <c r="AP211" s="505"/>
      <c r="AQ211" s="505"/>
      <c r="AR211" s="505"/>
      <c r="AS211" s="505"/>
      <c r="AT211" s="505"/>
      <c r="AU211" s="505"/>
      <c r="AV211" s="505"/>
      <c r="AW211" s="505"/>
      <c r="AX211" s="505"/>
      <c r="AY211" s="505"/>
      <c r="AZ211" s="505"/>
      <c r="BA211" s="505"/>
      <c r="BB211" s="505"/>
      <c r="BC211" s="505"/>
      <c r="BD211" s="505"/>
      <c r="BE211" s="505"/>
      <c r="BF211" s="505"/>
      <c r="BG211" s="505"/>
      <c r="BH211" s="505"/>
      <c r="BI211" s="505"/>
      <c r="BJ211" s="505"/>
      <c r="BK211" s="505"/>
      <c r="BL211" s="505"/>
      <c r="BM211" s="505"/>
      <c r="BN211" s="505"/>
      <c r="BO211" s="505"/>
      <c r="BP211" s="505"/>
      <c r="BQ211" s="505"/>
      <c r="BR211" s="505"/>
      <c r="BS211" s="505"/>
      <c r="BT211" s="505"/>
      <c r="BU211" s="505"/>
      <c r="BV211" s="505"/>
      <c r="BW211" s="505"/>
      <c r="BX211" s="505"/>
      <c r="BY211" s="505"/>
      <c r="BZ211" s="505"/>
      <c r="CA211" s="505"/>
      <c r="CB211" s="505"/>
      <c r="CC211" s="505"/>
      <c r="CD211" s="505"/>
      <c r="CE211" s="505"/>
      <c r="CF211" s="505"/>
      <c r="CG211" s="505"/>
      <c r="CH211" s="505"/>
      <c r="CI211" s="505"/>
      <c r="CJ211" s="505"/>
      <c r="CK211" s="505"/>
      <c r="CL211" s="505"/>
      <c r="CM211" s="505"/>
      <c r="CN211" s="505"/>
      <c r="CO211" s="505"/>
      <c r="CP211" s="505"/>
      <c r="CQ211" s="505"/>
      <c r="CR211" s="505"/>
      <c r="CS211" s="505"/>
      <c r="CT211" s="505"/>
      <c r="CU211" s="505"/>
      <c r="CV211" s="505"/>
      <c r="CW211" s="505"/>
      <c r="CX211" s="505"/>
      <c r="CY211" s="505"/>
      <c r="CZ211" s="505"/>
      <c r="DA211" s="505"/>
      <c r="DB211" s="505"/>
      <c r="DC211" s="505"/>
      <c r="DD211" s="505"/>
      <c r="DE211" s="505"/>
      <c r="DF211" s="505"/>
      <c r="DG211" s="505"/>
      <c r="DH211" s="505"/>
      <c r="DI211" s="505"/>
      <c r="DJ211" s="505"/>
      <c r="DK211" s="505"/>
      <c r="DL211" s="505"/>
      <c r="DM211" s="505"/>
      <c r="DN211" s="505"/>
      <c r="DO211" s="505"/>
      <c r="DP211" s="505"/>
    </row>
    <row r="212" spans="1:120" hidden="1" outlineLevel="1" x14ac:dyDescent="0.2">
      <c r="A212" s="517">
        <f t="shared" si="43"/>
        <v>37956</v>
      </c>
      <c r="B212" s="517" t="str">
        <f t="shared" si="40"/>
        <v>4Q03</v>
      </c>
      <c r="C212" s="517" t="str">
        <f t="shared" si="44"/>
        <v>1Q04</v>
      </c>
      <c r="D212" s="518">
        <f t="shared" si="45"/>
        <v>38037</v>
      </c>
      <c r="E212" s="518">
        <f t="shared" si="45"/>
        <v>37977</v>
      </c>
      <c r="F212" s="520">
        <v>1.504</v>
      </c>
      <c r="G212" s="521">
        <f t="shared" si="41"/>
        <v>0.08</v>
      </c>
      <c r="H212" s="521">
        <f t="shared" si="42"/>
        <v>0.08</v>
      </c>
      <c r="I212" s="505"/>
      <c r="J212" s="505"/>
      <c r="K212" s="505"/>
      <c r="L212" s="505"/>
      <c r="M212" s="528"/>
      <c r="N212" s="505"/>
      <c r="O212" s="505"/>
      <c r="P212" s="505"/>
      <c r="Q212" s="505"/>
      <c r="R212" s="505"/>
      <c r="S212" s="505"/>
      <c r="T212" s="505"/>
      <c r="U212" s="505"/>
      <c r="V212" s="505"/>
      <c r="W212" s="505"/>
      <c r="X212" s="505"/>
      <c r="Y212" s="505"/>
      <c r="Z212" s="505"/>
      <c r="AA212" s="505"/>
      <c r="AB212" s="505"/>
      <c r="AC212" s="505"/>
      <c r="AD212" s="505"/>
      <c r="AE212" s="505"/>
      <c r="AF212" s="505"/>
      <c r="AG212" s="505"/>
      <c r="AH212" s="505"/>
      <c r="AI212" s="505"/>
      <c r="AJ212" s="505"/>
      <c r="AK212" s="505"/>
      <c r="AL212" s="505"/>
      <c r="AM212" s="505"/>
      <c r="AN212" s="505"/>
      <c r="AO212" s="505"/>
      <c r="AP212" s="505"/>
      <c r="AQ212" s="505"/>
      <c r="AR212" s="505"/>
      <c r="AS212" s="505"/>
      <c r="AT212" s="505"/>
      <c r="AU212" s="505"/>
      <c r="AV212" s="505"/>
      <c r="AW212" s="505"/>
      <c r="AX212" s="505"/>
      <c r="AY212" s="505"/>
      <c r="AZ212" s="505"/>
      <c r="BA212" s="505"/>
      <c r="BB212" s="505"/>
      <c r="BC212" s="505"/>
      <c r="BD212" s="505"/>
      <c r="BE212" s="505"/>
      <c r="BF212" s="505"/>
      <c r="BG212" s="505"/>
      <c r="BH212" s="505"/>
      <c r="BI212" s="505"/>
      <c r="BJ212" s="505"/>
      <c r="BK212" s="505"/>
      <c r="BL212" s="505"/>
      <c r="BM212" s="505"/>
      <c r="BN212" s="505"/>
      <c r="BO212" s="505"/>
      <c r="BP212" s="505"/>
      <c r="BQ212" s="505"/>
      <c r="BR212" s="505"/>
      <c r="BS212" s="505"/>
      <c r="BT212" s="505"/>
      <c r="BU212" s="505"/>
      <c r="BV212" s="505"/>
      <c r="BW212" s="505"/>
      <c r="BX212" s="505"/>
      <c r="BY212" s="505"/>
      <c r="BZ212" s="505"/>
      <c r="CA212" s="505"/>
      <c r="CB212" s="505"/>
      <c r="CC212" s="505"/>
      <c r="CD212" s="505"/>
      <c r="CE212" s="505"/>
      <c r="CF212" s="505"/>
      <c r="CG212" s="505"/>
      <c r="CH212" s="505"/>
      <c r="CI212" s="505"/>
      <c r="CJ212" s="505"/>
      <c r="CK212" s="505"/>
      <c r="CL212" s="505"/>
      <c r="CM212" s="505"/>
      <c r="CN212" s="505"/>
      <c r="CO212" s="505"/>
      <c r="CP212" s="505"/>
      <c r="CQ212" s="505"/>
      <c r="CR212" s="505"/>
      <c r="CS212" s="505"/>
      <c r="CT212" s="505"/>
      <c r="CU212" s="505"/>
      <c r="CV212" s="505"/>
      <c r="CW212" s="505"/>
      <c r="CX212" s="505"/>
      <c r="CY212" s="505"/>
      <c r="CZ212" s="505"/>
      <c r="DA212" s="505"/>
      <c r="DB212" s="505"/>
      <c r="DC212" s="505"/>
      <c r="DD212" s="505"/>
      <c r="DE212" s="505"/>
      <c r="DF212" s="505"/>
      <c r="DG212" s="505"/>
      <c r="DH212" s="505"/>
      <c r="DI212" s="505"/>
      <c r="DJ212" s="505"/>
      <c r="DK212" s="505"/>
      <c r="DL212" s="505"/>
      <c r="DM212" s="505"/>
      <c r="DN212" s="505"/>
      <c r="DO212" s="505"/>
      <c r="DP212" s="505"/>
    </row>
    <row r="213" spans="1:120" hidden="1" outlineLevel="1" x14ac:dyDescent="0.2">
      <c r="A213" s="517">
        <f t="shared" si="43"/>
        <v>37956</v>
      </c>
      <c r="B213" s="517" t="str">
        <f t="shared" si="40"/>
        <v>4Q03</v>
      </c>
      <c r="C213" s="517" t="str">
        <f t="shared" si="44"/>
        <v>1Q04</v>
      </c>
      <c r="D213" s="518">
        <f t="shared" si="45"/>
        <v>38044</v>
      </c>
      <c r="E213" s="518">
        <f t="shared" si="45"/>
        <v>37984</v>
      </c>
      <c r="F213" s="520">
        <v>1.5019999999999998</v>
      </c>
      <c r="G213" s="521">
        <f t="shared" si="41"/>
        <v>0.08</v>
      </c>
      <c r="H213" s="521">
        <f t="shared" si="42"/>
        <v>0.08</v>
      </c>
      <c r="I213" s="505"/>
      <c r="J213" s="505"/>
      <c r="K213" s="505"/>
      <c r="L213" s="505"/>
      <c r="M213" s="528"/>
      <c r="N213" s="505"/>
      <c r="O213" s="505"/>
      <c r="P213" s="505"/>
      <c r="Q213" s="505"/>
      <c r="R213" s="505"/>
      <c r="S213" s="505"/>
      <c r="T213" s="505"/>
      <c r="U213" s="505"/>
      <c r="V213" s="505"/>
      <c r="W213" s="505"/>
      <c r="X213" s="505"/>
      <c r="Y213" s="505"/>
      <c r="Z213" s="505"/>
      <c r="AA213" s="505"/>
      <c r="AB213" s="505"/>
      <c r="AC213" s="505"/>
      <c r="AD213" s="505"/>
      <c r="AE213" s="505"/>
      <c r="AF213" s="505"/>
      <c r="AG213" s="505"/>
      <c r="AH213" s="505"/>
      <c r="AI213" s="505"/>
      <c r="AJ213" s="505"/>
      <c r="AK213" s="505"/>
      <c r="AL213" s="505"/>
      <c r="AM213" s="505"/>
      <c r="AN213" s="505"/>
      <c r="AO213" s="505"/>
      <c r="AP213" s="505"/>
      <c r="AQ213" s="505"/>
      <c r="AR213" s="505"/>
      <c r="AS213" s="505"/>
      <c r="AT213" s="505"/>
      <c r="AU213" s="505"/>
      <c r="AV213" s="505"/>
      <c r="AW213" s="505"/>
      <c r="AX213" s="505"/>
      <c r="AY213" s="505"/>
      <c r="AZ213" s="505"/>
      <c r="BA213" s="505"/>
      <c r="BB213" s="505"/>
      <c r="BC213" s="505"/>
      <c r="BD213" s="505"/>
      <c r="BE213" s="505"/>
      <c r="BF213" s="505"/>
      <c r="BG213" s="505"/>
      <c r="BH213" s="505"/>
      <c r="BI213" s="505"/>
      <c r="BJ213" s="505"/>
      <c r="BK213" s="505"/>
      <c r="BL213" s="505"/>
      <c r="BM213" s="505"/>
      <c r="BN213" s="505"/>
      <c r="BO213" s="505"/>
      <c r="BP213" s="505"/>
      <c r="BQ213" s="505"/>
      <c r="BR213" s="505"/>
      <c r="BS213" s="505"/>
      <c r="BT213" s="505"/>
      <c r="BU213" s="505"/>
      <c r="BV213" s="505"/>
      <c r="BW213" s="505"/>
      <c r="BX213" s="505"/>
      <c r="BY213" s="505"/>
      <c r="BZ213" s="505"/>
      <c r="CA213" s="505"/>
      <c r="CB213" s="505"/>
      <c r="CC213" s="505"/>
      <c r="CD213" s="505"/>
      <c r="CE213" s="505"/>
      <c r="CF213" s="505"/>
      <c r="CG213" s="505"/>
      <c r="CH213" s="505"/>
      <c r="CI213" s="505"/>
      <c r="CJ213" s="505"/>
      <c r="CK213" s="505"/>
      <c r="CL213" s="505"/>
      <c r="CM213" s="505"/>
      <c r="CN213" s="505"/>
      <c r="CO213" s="505"/>
      <c r="CP213" s="505"/>
      <c r="CQ213" s="505"/>
      <c r="CR213" s="505"/>
      <c r="CS213" s="505"/>
      <c r="CT213" s="505"/>
      <c r="CU213" s="505"/>
      <c r="CV213" s="505"/>
      <c r="CW213" s="505"/>
      <c r="CX213" s="505"/>
      <c r="CY213" s="505"/>
      <c r="CZ213" s="505"/>
      <c r="DA213" s="505"/>
      <c r="DB213" s="505"/>
      <c r="DC213" s="505"/>
      <c r="DD213" s="505"/>
      <c r="DE213" s="505"/>
      <c r="DF213" s="505"/>
      <c r="DG213" s="505"/>
      <c r="DH213" s="505"/>
      <c r="DI213" s="505"/>
      <c r="DJ213" s="505"/>
      <c r="DK213" s="505"/>
      <c r="DL213" s="505"/>
      <c r="DM213" s="505"/>
      <c r="DN213" s="505"/>
      <c r="DO213" s="505"/>
      <c r="DP213" s="505"/>
    </row>
    <row r="214" spans="1:120" hidden="1" outlineLevel="1" x14ac:dyDescent="0.2">
      <c r="A214" s="517">
        <f t="shared" si="43"/>
        <v>37987</v>
      </c>
      <c r="B214" s="517" t="str">
        <f t="shared" si="40"/>
        <v>1Q04</v>
      </c>
      <c r="C214" s="517" t="str">
        <f t="shared" si="44"/>
        <v>1Q04</v>
      </c>
      <c r="D214" s="518">
        <f t="shared" si="45"/>
        <v>38051</v>
      </c>
      <c r="E214" s="518">
        <f t="shared" si="45"/>
        <v>37991</v>
      </c>
      <c r="F214" s="520">
        <v>1.5030000000000001</v>
      </c>
      <c r="G214" s="521">
        <f t="shared" si="41"/>
        <v>0.08</v>
      </c>
      <c r="H214" s="521">
        <f t="shared" si="42"/>
        <v>0.09</v>
      </c>
      <c r="I214" s="505"/>
      <c r="J214" s="505"/>
      <c r="K214" s="505"/>
      <c r="L214" s="505"/>
      <c r="M214" s="528"/>
      <c r="N214" s="505"/>
      <c r="O214" s="505"/>
      <c r="P214" s="505"/>
      <c r="Q214" s="505"/>
      <c r="R214" s="505"/>
      <c r="S214" s="505"/>
      <c r="T214" s="505"/>
      <c r="U214" s="505"/>
      <c r="V214" s="505"/>
      <c r="W214" s="505"/>
      <c r="X214" s="505"/>
      <c r="Y214" s="505"/>
      <c r="Z214" s="505"/>
      <c r="AA214" s="505"/>
      <c r="AB214" s="505"/>
      <c r="AC214" s="505"/>
      <c r="AD214" s="505"/>
      <c r="AE214" s="505"/>
      <c r="AF214" s="505"/>
      <c r="AG214" s="505"/>
      <c r="AH214" s="505"/>
      <c r="AI214" s="505"/>
      <c r="AJ214" s="505"/>
      <c r="AK214" s="505"/>
      <c r="AL214" s="505"/>
      <c r="AM214" s="505"/>
      <c r="AN214" s="505"/>
      <c r="AO214" s="505"/>
      <c r="AP214" s="505"/>
      <c r="AQ214" s="505"/>
      <c r="AR214" s="505"/>
      <c r="AS214" s="505"/>
      <c r="AT214" s="505"/>
      <c r="AU214" s="505"/>
      <c r="AV214" s="505"/>
      <c r="AW214" s="505"/>
      <c r="AX214" s="505"/>
      <c r="AY214" s="505"/>
      <c r="AZ214" s="505"/>
      <c r="BA214" s="505"/>
      <c r="BB214" s="505"/>
      <c r="BC214" s="505"/>
      <c r="BD214" s="505"/>
      <c r="BE214" s="505"/>
      <c r="BF214" s="505"/>
      <c r="BG214" s="505"/>
      <c r="BH214" s="505"/>
      <c r="BI214" s="505"/>
      <c r="BJ214" s="505"/>
      <c r="BK214" s="505"/>
      <c r="BL214" s="505"/>
      <c r="BM214" s="505"/>
      <c r="BN214" s="505"/>
      <c r="BO214" s="505"/>
      <c r="BP214" s="505"/>
      <c r="BQ214" s="505"/>
      <c r="BR214" s="505"/>
      <c r="BS214" s="505"/>
      <c r="BT214" s="505"/>
      <c r="BU214" s="505"/>
      <c r="BV214" s="505"/>
      <c r="BW214" s="505"/>
      <c r="BX214" s="505"/>
      <c r="BY214" s="505"/>
      <c r="BZ214" s="505"/>
      <c r="CA214" s="505"/>
      <c r="CB214" s="505"/>
      <c r="CC214" s="505"/>
      <c r="CD214" s="505"/>
      <c r="CE214" s="505"/>
      <c r="CF214" s="505"/>
      <c r="CG214" s="505"/>
      <c r="CH214" s="505"/>
      <c r="CI214" s="505"/>
      <c r="CJ214" s="505"/>
      <c r="CK214" s="505"/>
      <c r="CL214" s="505"/>
      <c r="CM214" s="505"/>
      <c r="CN214" s="505"/>
      <c r="CO214" s="505"/>
      <c r="CP214" s="505"/>
      <c r="CQ214" s="505"/>
      <c r="CR214" s="505"/>
      <c r="CS214" s="505"/>
      <c r="CT214" s="505"/>
      <c r="CU214" s="505"/>
      <c r="CV214" s="505"/>
      <c r="CW214" s="505"/>
      <c r="CX214" s="505"/>
      <c r="CY214" s="505"/>
      <c r="CZ214" s="505"/>
      <c r="DA214" s="505"/>
      <c r="DB214" s="505"/>
      <c r="DC214" s="505"/>
      <c r="DD214" s="505"/>
      <c r="DE214" s="505"/>
      <c r="DF214" s="505"/>
      <c r="DG214" s="505"/>
      <c r="DH214" s="505"/>
      <c r="DI214" s="505"/>
      <c r="DJ214" s="505"/>
      <c r="DK214" s="505"/>
      <c r="DL214" s="505"/>
      <c r="DM214" s="505"/>
      <c r="DN214" s="505"/>
      <c r="DO214" s="505"/>
      <c r="DP214" s="505"/>
    </row>
    <row r="215" spans="1:120" hidden="1" outlineLevel="1" x14ac:dyDescent="0.2">
      <c r="A215" s="517">
        <f t="shared" si="43"/>
        <v>37987</v>
      </c>
      <c r="B215" s="517" t="str">
        <f t="shared" si="40"/>
        <v>1Q04</v>
      </c>
      <c r="C215" s="517" t="str">
        <f t="shared" si="44"/>
        <v>1Q04</v>
      </c>
      <c r="D215" s="518">
        <f t="shared" si="45"/>
        <v>38058</v>
      </c>
      <c r="E215" s="518">
        <f t="shared" si="45"/>
        <v>37998</v>
      </c>
      <c r="F215" s="520">
        <v>1.5509999999999999</v>
      </c>
      <c r="G215" s="521">
        <f t="shared" si="41"/>
        <v>0.09</v>
      </c>
      <c r="H215" s="521">
        <f t="shared" si="42"/>
        <v>0.09</v>
      </c>
      <c r="I215" s="505"/>
      <c r="J215" s="505"/>
      <c r="K215" s="505"/>
      <c r="L215" s="505"/>
      <c r="M215" s="528"/>
      <c r="N215" s="505"/>
      <c r="O215" s="505"/>
      <c r="P215" s="505"/>
      <c r="Q215" s="505"/>
      <c r="R215" s="505"/>
      <c r="S215" s="505"/>
      <c r="T215" s="505"/>
      <c r="U215" s="505"/>
      <c r="V215" s="505"/>
      <c r="W215" s="505"/>
      <c r="X215" s="505"/>
      <c r="Y215" s="505"/>
      <c r="Z215" s="505"/>
      <c r="AA215" s="505"/>
      <c r="AB215" s="505"/>
      <c r="AC215" s="505"/>
      <c r="AD215" s="505"/>
      <c r="AE215" s="505"/>
      <c r="AF215" s="505"/>
      <c r="AG215" s="505"/>
      <c r="AH215" s="505"/>
      <c r="AI215" s="505"/>
      <c r="AJ215" s="505"/>
      <c r="AK215" s="505"/>
      <c r="AL215" s="505"/>
      <c r="AM215" s="505"/>
      <c r="AN215" s="505"/>
      <c r="AO215" s="505"/>
      <c r="AP215" s="505"/>
      <c r="AQ215" s="505"/>
      <c r="AR215" s="505"/>
      <c r="AS215" s="505"/>
      <c r="AT215" s="505"/>
      <c r="AU215" s="505"/>
      <c r="AV215" s="505"/>
      <c r="AW215" s="505"/>
      <c r="AX215" s="505"/>
      <c r="AY215" s="505"/>
      <c r="AZ215" s="505"/>
      <c r="BA215" s="505"/>
      <c r="BB215" s="505"/>
      <c r="BC215" s="505"/>
      <c r="BD215" s="505"/>
      <c r="BE215" s="505"/>
      <c r="BF215" s="505"/>
      <c r="BG215" s="505"/>
      <c r="BH215" s="505"/>
      <c r="BI215" s="505"/>
      <c r="BJ215" s="505"/>
      <c r="BK215" s="505"/>
      <c r="BL215" s="505"/>
      <c r="BM215" s="505"/>
      <c r="BN215" s="505"/>
      <c r="BO215" s="505"/>
      <c r="BP215" s="505"/>
      <c r="BQ215" s="505"/>
      <c r="BR215" s="505"/>
      <c r="BS215" s="505"/>
      <c r="BT215" s="505"/>
      <c r="BU215" s="505"/>
      <c r="BV215" s="505"/>
      <c r="BW215" s="505"/>
      <c r="BX215" s="505"/>
      <c r="BY215" s="505"/>
      <c r="BZ215" s="505"/>
      <c r="CA215" s="505"/>
      <c r="CB215" s="505"/>
      <c r="CC215" s="505"/>
      <c r="CD215" s="505"/>
      <c r="CE215" s="505"/>
      <c r="CF215" s="505"/>
      <c r="CG215" s="505"/>
      <c r="CH215" s="505"/>
      <c r="CI215" s="505"/>
      <c r="CJ215" s="505"/>
      <c r="CK215" s="505"/>
      <c r="CL215" s="505"/>
      <c r="CM215" s="505"/>
      <c r="CN215" s="505"/>
      <c r="CO215" s="505"/>
      <c r="CP215" s="505"/>
      <c r="CQ215" s="505"/>
      <c r="CR215" s="505"/>
      <c r="CS215" s="505"/>
      <c r="CT215" s="505"/>
      <c r="CU215" s="505"/>
      <c r="CV215" s="505"/>
      <c r="CW215" s="505"/>
      <c r="CX215" s="505"/>
      <c r="CY215" s="505"/>
      <c r="CZ215" s="505"/>
      <c r="DA215" s="505"/>
      <c r="DB215" s="505"/>
      <c r="DC215" s="505"/>
      <c r="DD215" s="505"/>
      <c r="DE215" s="505"/>
      <c r="DF215" s="505"/>
      <c r="DG215" s="505"/>
      <c r="DH215" s="505"/>
      <c r="DI215" s="505"/>
      <c r="DJ215" s="505"/>
      <c r="DK215" s="505"/>
      <c r="DL215" s="505"/>
      <c r="DM215" s="505"/>
      <c r="DN215" s="505"/>
      <c r="DO215" s="505"/>
      <c r="DP215" s="505"/>
    </row>
    <row r="216" spans="1:120" hidden="1" outlineLevel="1" x14ac:dyDescent="0.2">
      <c r="A216" s="517">
        <f t="shared" si="43"/>
        <v>37987</v>
      </c>
      <c r="B216" s="517" t="str">
        <f t="shared" si="40"/>
        <v>1Q04</v>
      </c>
      <c r="C216" s="517" t="str">
        <f t="shared" si="44"/>
        <v>1Q04</v>
      </c>
      <c r="D216" s="518">
        <f t="shared" si="45"/>
        <v>38065</v>
      </c>
      <c r="E216" s="518">
        <f t="shared" si="45"/>
        <v>38005</v>
      </c>
      <c r="F216" s="520">
        <v>1.5590000000000002</v>
      </c>
      <c r="G216" s="521">
        <f t="shared" si="41"/>
        <v>0.09</v>
      </c>
      <c r="H216" s="521">
        <f t="shared" si="42"/>
        <v>0.09</v>
      </c>
      <c r="I216" s="505"/>
      <c r="J216" s="505"/>
      <c r="K216" s="505"/>
      <c r="L216" s="505"/>
      <c r="M216" s="528"/>
      <c r="N216" s="505"/>
      <c r="O216" s="505"/>
      <c r="P216" s="505"/>
      <c r="Q216" s="505"/>
      <c r="R216" s="505"/>
      <c r="S216" s="505"/>
      <c r="T216" s="505"/>
      <c r="U216" s="505"/>
      <c r="V216" s="505"/>
      <c r="W216" s="505"/>
      <c r="X216" s="505"/>
      <c r="Y216" s="505"/>
      <c r="Z216" s="505"/>
      <c r="AA216" s="505"/>
      <c r="AB216" s="505"/>
      <c r="AC216" s="505"/>
      <c r="AD216" s="505"/>
      <c r="AE216" s="505"/>
      <c r="AF216" s="505"/>
      <c r="AG216" s="505"/>
      <c r="AH216" s="505"/>
      <c r="AI216" s="505"/>
      <c r="AJ216" s="505"/>
      <c r="AK216" s="505"/>
      <c r="AL216" s="505"/>
      <c r="AM216" s="505"/>
      <c r="AN216" s="505"/>
      <c r="AO216" s="505"/>
      <c r="AP216" s="505"/>
      <c r="AQ216" s="505"/>
      <c r="AR216" s="505"/>
      <c r="AS216" s="505"/>
      <c r="AT216" s="505"/>
      <c r="AU216" s="505"/>
      <c r="AV216" s="505"/>
      <c r="AW216" s="505"/>
      <c r="AX216" s="505"/>
      <c r="AY216" s="505"/>
      <c r="AZ216" s="505"/>
      <c r="BA216" s="505"/>
      <c r="BB216" s="505"/>
      <c r="BC216" s="505"/>
      <c r="BD216" s="505"/>
      <c r="BE216" s="505"/>
      <c r="BF216" s="505"/>
      <c r="BG216" s="505"/>
      <c r="BH216" s="505"/>
      <c r="BI216" s="505"/>
      <c r="BJ216" s="505"/>
      <c r="BK216" s="505"/>
      <c r="BL216" s="505"/>
      <c r="BM216" s="505"/>
      <c r="BN216" s="505"/>
      <c r="BO216" s="505"/>
      <c r="BP216" s="505"/>
      <c r="BQ216" s="505"/>
      <c r="BR216" s="505"/>
      <c r="BS216" s="505"/>
      <c r="BT216" s="505"/>
      <c r="BU216" s="505"/>
      <c r="BV216" s="505"/>
      <c r="BW216" s="505"/>
      <c r="BX216" s="505"/>
      <c r="BY216" s="505"/>
      <c r="BZ216" s="505"/>
      <c r="CA216" s="505"/>
      <c r="CB216" s="505"/>
      <c r="CC216" s="505"/>
      <c r="CD216" s="505"/>
      <c r="CE216" s="505"/>
      <c r="CF216" s="505"/>
      <c r="CG216" s="505"/>
      <c r="CH216" s="505"/>
      <c r="CI216" s="505"/>
      <c r="CJ216" s="505"/>
      <c r="CK216" s="505"/>
      <c r="CL216" s="505"/>
      <c r="CM216" s="505"/>
      <c r="CN216" s="505"/>
      <c r="CO216" s="505"/>
      <c r="CP216" s="505"/>
      <c r="CQ216" s="505"/>
      <c r="CR216" s="505"/>
      <c r="CS216" s="505"/>
      <c r="CT216" s="505"/>
      <c r="CU216" s="505"/>
      <c r="CV216" s="505"/>
      <c r="CW216" s="505"/>
      <c r="CX216" s="505"/>
      <c r="CY216" s="505"/>
      <c r="CZ216" s="505"/>
      <c r="DA216" s="505"/>
      <c r="DB216" s="505"/>
      <c r="DC216" s="505"/>
      <c r="DD216" s="505"/>
      <c r="DE216" s="505"/>
      <c r="DF216" s="505"/>
      <c r="DG216" s="505"/>
      <c r="DH216" s="505"/>
      <c r="DI216" s="505"/>
      <c r="DJ216" s="505"/>
      <c r="DK216" s="505"/>
      <c r="DL216" s="505"/>
      <c r="DM216" s="505"/>
      <c r="DN216" s="505"/>
      <c r="DO216" s="505"/>
      <c r="DP216" s="505"/>
    </row>
    <row r="217" spans="1:120" hidden="1" outlineLevel="1" x14ac:dyDescent="0.2">
      <c r="A217" s="517">
        <f t="shared" si="43"/>
        <v>37987</v>
      </c>
      <c r="B217" s="517" t="str">
        <f t="shared" si="40"/>
        <v>1Q04</v>
      </c>
      <c r="C217" s="517" t="str">
        <f t="shared" si="44"/>
        <v>1Q04</v>
      </c>
      <c r="D217" s="518">
        <f t="shared" si="45"/>
        <v>38072</v>
      </c>
      <c r="E217" s="518">
        <f t="shared" si="45"/>
        <v>38012</v>
      </c>
      <c r="F217" s="520">
        <v>1.591</v>
      </c>
      <c r="G217" s="521">
        <f t="shared" si="41"/>
        <v>0.09</v>
      </c>
      <c r="H217" s="521">
        <f t="shared" si="42"/>
        <v>0.09</v>
      </c>
      <c r="I217" s="505"/>
      <c r="J217" s="505"/>
      <c r="K217" s="505"/>
      <c r="L217" s="505"/>
      <c r="M217" s="528"/>
      <c r="N217" s="505"/>
      <c r="O217" s="505"/>
      <c r="P217" s="505"/>
      <c r="Q217" s="505"/>
      <c r="R217" s="505"/>
      <c r="S217" s="505"/>
      <c r="T217" s="505"/>
      <c r="U217" s="505"/>
      <c r="V217" s="505"/>
      <c r="W217" s="505"/>
      <c r="X217" s="505"/>
      <c r="Y217" s="505"/>
      <c r="Z217" s="505"/>
      <c r="AA217" s="505"/>
      <c r="AB217" s="505"/>
      <c r="AC217" s="505"/>
      <c r="AD217" s="505"/>
      <c r="AE217" s="505"/>
      <c r="AF217" s="505"/>
      <c r="AG217" s="505"/>
      <c r="AH217" s="505"/>
      <c r="AI217" s="505"/>
      <c r="AJ217" s="505"/>
      <c r="AK217" s="505"/>
      <c r="AL217" s="505"/>
      <c r="AM217" s="505"/>
      <c r="AN217" s="505"/>
      <c r="AO217" s="505"/>
      <c r="AP217" s="505"/>
      <c r="AQ217" s="505"/>
      <c r="AR217" s="505"/>
      <c r="AS217" s="505"/>
      <c r="AT217" s="505"/>
      <c r="AU217" s="505"/>
      <c r="AV217" s="505"/>
      <c r="AW217" s="505"/>
      <c r="AX217" s="505"/>
      <c r="AY217" s="505"/>
      <c r="AZ217" s="505"/>
      <c r="BA217" s="505"/>
      <c r="BB217" s="505"/>
      <c r="BC217" s="505"/>
      <c r="BD217" s="505"/>
      <c r="BE217" s="505"/>
      <c r="BF217" s="505"/>
      <c r="BG217" s="505"/>
      <c r="BH217" s="505"/>
      <c r="BI217" s="505"/>
      <c r="BJ217" s="505"/>
      <c r="BK217" s="505"/>
      <c r="BL217" s="505"/>
      <c r="BM217" s="505"/>
      <c r="BN217" s="505"/>
      <c r="BO217" s="505"/>
      <c r="BP217" s="505"/>
      <c r="BQ217" s="505"/>
      <c r="BR217" s="505"/>
      <c r="BS217" s="505"/>
      <c r="BT217" s="505"/>
      <c r="BU217" s="505"/>
      <c r="BV217" s="505"/>
      <c r="BW217" s="505"/>
      <c r="BX217" s="505"/>
      <c r="BY217" s="505"/>
      <c r="BZ217" s="505"/>
      <c r="CA217" s="505"/>
      <c r="CB217" s="505"/>
      <c r="CC217" s="505"/>
      <c r="CD217" s="505"/>
      <c r="CE217" s="505"/>
      <c r="CF217" s="505"/>
      <c r="CG217" s="505"/>
      <c r="CH217" s="505"/>
      <c r="CI217" s="505"/>
      <c r="CJ217" s="505"/>
      <c r="CK217" s="505"/>
      <c r="CL217" s="505"/>
      <c r="CM217" s="505"/>
      <c r="CN217" s="505"/>
      <c r="CO217" s="505"/>
      <c r="CP217" s="505"/>
      <c r="CQ217" s="505"/>
      <c r="CR217" s="505"/>
      <c r="CS217" s="505"/>
      <c r="CT217" s="505"/>
      <c r="CU217" s="505"/>
      <c r="CV217" s="505"/>
      <c r="CW217" s="505"/>
      <c r="CX217" s="505"/>
      <c r="CY217" s="505"/>
      <c r="CZ217" s="505"/>
      <c r="DA217" s="505"/>
      <c r="DB217" s="505"/>
      <c r="DC217" s="505"/>
      <c r="DD217" s="505"/>
      <c r="DE217" s="505"/>
      <c r="DF217" s="505"/>
      <c r="DG217" s="505"/>
      <c r="DH217" s="505"/>
      <c r="DI217" s="505"/>
      <c r="DJ217" s="505"/>
      <c r="DK217" s="505"/>
      <c r="DL217" s="505"/>
      <c r="DM217" s="505"/>
      <c r="DN217" s="505"/>
      <c r="DO217" s="505"/>
      <c r="DP217" s="505"/>
    </row>
    <row r="218" spans="1:120" hidden="1" outlineLevel="1" x14ac:dyDescent="0.2">
      <c r="A218" s="517">
        <f t="shared" si="43"/>
        <v>38018</v>
      </c>
      <c r="B218" s="517" t="str">
        <f t="shared" si="40"/>
        <v>1Q04</v>
      </c>
      <c r="C218" s="517" t="str">
        <f t="shared" si="44"/>
        <v>2Q04</v>
      </c>
      <c r="D218" s="518">
        <f t="shared" si="45"/>
        <v>38079</v>
      </c>
      <c r="E218" s="518">
        <f t="shared" si="45"/>
        <v>38019</v>
      </c>
      <c r="F218" s="520">
        <v>1.581</v>
      </c>
      <c r="G218" s="521">
        <f t="shared" si="41"/>
        <v>0.09</v>
      </c>
      <c r="H218" s="521">
        <f t="shared" si="42"/>
        <v>0.09</v>
      </c>
      <c r="I218" s="505"/>
      <c r="J218" s="505"/>
      <c r="K218" s="505"/>
      <c r="L218" s="505"/>
      <c r="M218" s="528"/>
      <c r="N218" s="505"/>
      <c r="O218" s="505"/>
      <c r="P218" s="505"/>
      <c r="Q218" s="505"/>
      <c r="R218" s="505"/>
      <c r="S218" s="505"/>
      <c r="T218" s="505"/>
      <c r="U218" s="505"/>
      <c r="V218" s="505"/>
      <c r="W218" s="505"/>
      <c r="X218" s="505"/>
      <c r="Y218" s="505"/>
      <c r="Z218" s="505"/>
      <c r="AA218" s="505"/>
      <c r="AB218" s="505"/>
      <c r="AC218" s="505"/>
      <c r="AD218" s="505"/>
      <c r="AE218" s="505"/>
      <c r="AF218" s="505"/>
      <c r="AG218" s="505"/>
      <c r="AH218" s="505"/>
      <c r="AI218" s="505"/>
      <c r="AJ218" s="505"/>
      <c r="AK218" s="505"/>
      <c r="AL218" s="505"/>
      <c r="AM218" s="505"/>
      <c r="AN218" s="505"/>
      <c r="AO218" s="505"/>
      <c r="AP218" s="505"/>
      <c r="AQ218" s="505"/>
      <c r="AR218" s="505"/>
      <c r="AS218" s="505"/>
      <c r="AT218" s="505"/>
      <c r="AU218" s="505"/>
      <c r="AV218" s="505"/>
      <c r="AW218" s="505"/>
      <c r="AX218" s="505"/>
      <c r="AY218" s="505"/>
      <c r="AZ218" s="505"/>
      <c r="BA218" s="505"/>
      <c r="BB218" s="505"/>
      <c r="BC218" s="505"/>
      <c r="BD218" s="505"/>
      <c r="BE218" s="505"/>
      <c r="BF218" s="505"/>
      <c r="BG218" s="505"/>
      <c r="BH218" s="505"/>
      <c r="BI218" s="505"/>
      <c r="BJ218" s="505"/>
      <c r="BK218" s="505"/>
      <c r="BL218" s="505"/>
      <c r="BM218" s="505"/>
      <c r="BN218" s="505"/>
      <c r="BO218" s="505"/>
      <c r="BP218" s="505"/>
      <c r="BQ218" s="505"/>
      <c r="BR218" s="505"/>
      <c r="BS218" s="505"/>
      <c r="BT218" s="505"/>
      <c r="BU218" s="505"/>
      <c r="BV218" s="505"/>
      <c r="BW218" s="505"/>
      <c r="BX218" s="505"/>
      <c r="BY218" s="505"/>
      <c r="BZ218" s="505"/>
      <c r="CA218" s="505"/>
      <c r="CB218" s="505"/>
      <c r="CC218" s="505"/>
      <c r="CD218" s="505"/>
      <c r="CE218" s="505"/>
      <c r="CF218" s="505"/>
      <c r="CG218" s="505"/>
      <c r="CH218" s="505"/>
      <c r="CI218" s="505"/>
      <c r="CJ218" s="505"/>
      <c r="CK218" s="505"/>
      <c r="CL218" s="505"/>
      <c r="CM218" s="505"/>
      <c r="CN218" s="505"/>
      <c r="CO218" s="505"/>
      <c r="CP218" s="505"/>
      <c r="CQ218" s="505"/>
      <c r="CR218" s="505"/>
      <c r="CS218" s="505"/>
      <c r="CT218" s="505"/>
      <c r="CU218" s="505"/>
      <c r="CV218" s="505"/>
      <c r="CW218" s="505"/>
      <c r="CX218" s="505"/>
      <c r="CY218" s="505"/>
      <c r="CZ218" s="505"/>
      <c r="DA218" s="505"/>
      <c r="DB218" s="505"/>
      <c r="DC218" s="505"/>
      <c r="DD218" s="505"/>
      <c r="DE218" s="505"/>
      <c r="DF218" s="505"/>
      <c r="DG218" s="505"/>
      <c r="DH218" s="505"/>
      <c r="DI218" s="505"/>
      <c r="DJ218" s="505"/>
      <c r="DK218" s="505"/>
      <c r="DL218" s="505"/>
      <c r="DM218" s="505"/>
      <c r="DN218" s="505"/>
      <c r="DO218" s="505"/>
      <c r="DP218" s="505"/>
    </row>
    <row r="219" spans="1:120" hidden="1" outlineLevel="1" x14ac:dyDescent="0.2">
      <c r="A219" s="517">
        <f t="shared" si="43"/>
        <v>38018</v>
      </c>
      <c r="B219" s="517" t="str">
        <f t="shared" si="40"/>
        <v>1Q04</v>
      </c>
      <c r="C219" s="517" t="str">
        <f t="shared" si="44"/>
        <v>2Q04</v>
      </c>
      <c r="D219" s="518">
        <f t="shared" si="45"/>
        <v>38086</v>
      </c>
      <c r="E219" s="518">
        <f t="shared" si="45"/>
        <v>38026</v>
      </c>
      <c r="F219" s="520">
        <v>1.5680000000000001</v>
      </c>
      <c r="G219" s="521">
        <f t="shared" si="41"/>
        <v>0.09</v>
      </c>
      <c r="H219" s="521">
        <f t="shared" si="42"/>
        <v>0.09</v>
      </c>
      <c r="I219" s="505"/>
      <c r="J219" s="505"/>
      <c r="K219" s="505"/>
      <c r="L219" s="505"/>
      <c r="M219" s="528"/>
      <c r="N219" s="505"/>
      <c r="O219" s="505"/>
      <c r="P219" s="505"/>
      <c r="Q219" s="505"/>
      <c r="R219" s="505"/>
      <c r="S219" s="505"/>
      <c r="T219" s="505"/>
      <c r="U219" s="505"/>
      <c r="V219" s="505"/>
      <c r="W219" s="505"/>
      <c r="X219" s="505"/>
      <c r="Y219" s="505"/>
      <c r="Z219" s="505"/>
      <c r="AA219" s="505"/>
      <c r="AB219" s="505"/>
      <c r="AC219" s="505"/>
      <c r="AD219" s="505"/>
      <c r="AE219" s="505"/>
      <c r="AF219" s="505"/>
      <c r="AG219" s="505"/>
      <c r="AH219" s="505"/>
      <c r="AI219" s="505"/>
      <c r="AJ219" s="505"/>
      <c r="AK219" s="505"/>
      <c r="AL219" s="505"/>
      <c r="AM219" s="505"/>
      <c r="AN219" s="505"/>
      <c r="AO219" s="505"/>
      <c r="AP219" s="505"/>
      <c r="AQ219" s="505"/>
      <c r="AR219" s="505"/>
      <c r="AS219" s="505"/>
      <c r="AT219" s="505"/>
      <c r="AU219" s="505"/>
      <c r="AV219" s="505"/>
      <c r="AW219" s="505"/>
      <c r="AX219" s="505"/>
      <c r="AY219" s="505"/>
      <c r="AZ219" s="505"/>
      <c r="BA219" s="505"/>
      <c r="BB219" s="505"/>
      <c r="BC219" s="505"/>
      <c r="BD219" s="505"/>
      <c r="BE219" s="505"/>
      <c r="BF219" s="505"/>
      <c r="BG219" s="505"/>
      <c r="BH219" s="505"/>
      <c r="BI219" s="505"/>
      <c r="BJ219" s="505"/>
      <c r="BK219" s="505"/>
      <c r="BL219" s="505"/>
      <c r="BM219" s="505"/>
      <c r="BN219" s="505"/>
      <c r="BO219" s="505"/>
      <c r="BP219" s="505"/>
      <c r="BQ219" s="505"/>
      <c r="BR219" s="505"/>
      <c r="BS219" s="505"/>
      <c r="BT219" s="505"/>
      <c r="BU219" s="505"/>
      <c r="BV219" s="505"/>
      <c r="BW219" s="505"/>
      <c r="BX219" s="505"/>
      <c r="BY219" s="505"/>
      <c r="BZ219" s="505"/>
      <c r="CA219" s="505"/>
      <c r="CB219" s="505"/>
      <c r="CC219" s="505"/>
      <c r="CD219" s="505"/>
      <c r="CE219" s="505"/>
      <c r="CF219" s="505"/>
      <c r="CG219" s="505"/>
      <c r="CH219" s="505"/>
      <c r="CI219" s="505"/>
      <c r="CJ219" s="505"/>
      <c r="CK219" s="505"/>
      <c r="CL219" s="505"/>
      <c r="CM219" s="505"/>
      <c r="CN219" s="505"/>
      <c r="CO219" s="505"/>
      <c r="CP219" s="505"/>
      <c r="CQ219" s="505"/>
      <c r="CR219" s="505"/>
      <c r="CS219" s="505"/>
      <c r="CT219" s="505"/>
      <c r="CU219" s="505"/>
      <c r="CV219" s="505"/>
      <c r="CW219" s="505"/>
      <c r="CX219" s="505"/>
      <c r="CY219" s="505"/>
      <c r="CZ219" s="505"/>
      <c r="DA219" s="505"/>
      <c r="DB219" s="505"/>
      <c r="DC219" s="505"/>
      <c r="DD219" s="505"/>
      <c r="DE219" s="505"/>
      <c r="DF219" s="505"/>
      <c r="DG219" s="505"/>
      <c r="DH219" s="505"/>
      <c r="DI219" s="505"/>
      <c r="DJ219" s="505"/>
      <c r="DK219" s="505"/>
      <c r="DL219" s="505"/>
      <c r="DM219" s="505"/>
      <c r="DN219" s="505"/>
      <c r="DO219" s="505"/>
      <c r="DP219" s="505"/>
    </row>
    <row r="220" spans="1:120" hidden="1" outlineLevel="1" x14ac:dyDescent="0.2">
      <c r="A220" s="517">
        <f t="shared" si="43"/>
        <v>38018</v>
      </c>
      <c r="B220" s="517" t="str">
        <f t="shared" si="40"/>
        <v>1Q04</v>
      </c>
      <c r="C220" s="517" t="str">
        <f t="shared" si="44"/>
        <v>2Q04</v>
      </c>
      <c r="D220" s="518">
        <f t="shared" si="45"/>
        <v>38093</v>
      </c>
      <c r="E220" s="518">
        <f t="shared" si="45"/>
        <v>38033</v>
      </c>
      <c r="F220" s="520">
        <v>1.5840000000000001</v>
      </c>
      <c r="G220" s="521">
        <f t="shared" si="41"/>
        <v>0.09</v>
      </c>
      <c r="H220" s="521">
        <f t="shared" si="42"/>
        <v>0.09</v>
      </c>
      <c r="I220" s="505"/>
      <c r="J220" s="505"/>
      <c r="K220" s="505"/>
      <c r="L220" s="505"/>
      <c r="M220" s="528"/>
      <c r="N220" s="505"/>
      <c r="O220" s="505"/>
      <c r="P220" s="505"/>
      <c r="Q220" s="505"/>
      <c r="R220" s="505"/>
      <c r="S220" s="505"/>
      <c r="T220" s="505"/>
      <c r="U220" s="505"/>
      <c r="V220" s="505"/>
      <c r="W220" s="505"/>
      <c r="X220" s="505"/>
      <c r="Y220" s="505"/>
      <c r="Z220" s="505"/>
      <c r="AA220" s="505"/>
      <c r="AB220" s="505"/>
      <c r="AC220" s="505"/>
      <c r="AD220" s="505"/>
      <c r="AE220" s="505"/>
      <c r="AF220" s="505"/>
      <c r="AG220" s="505"/>
      <c r="AH220" s="505"/>
      <c r="AI220" s="505"/>
      <c r="AJ220" s="505"/>
      <c r="AK220" s="505"/>
      <c r="AL220" s="505"/>
      <c r="AM220" s="505"/>
      <c r="AN220" s="505"/>
      <c r="AO220" s="505"/>
      <c r="AP220" s="505"/>
      <c r="AQ220" s="505"/>
      <c r="AR220" s="505"/>
      <c r="AS220" s="505"/>
      <c r="AT220" s="505"/>
      <c r="AU220" s="505"/>
      <c r="AV220" s="505"/>
      <c r="AW220" s="505"/>
      <c r="AX220" s="505"/>
      <c r="AY220" s="505"/>
      <c r="AZ220" s="505"/>
      <c r="BA220" s="505"/>
      <c r="BB220" s="505"/>
      <c r="BC220" s="505"/>
      <c r="BD220" s="505"/>
      <c r="BE220" s="505"/>
      <c r="BF220" s="505"/>
      <c r="BG220" s="505"/>
      <c r="BH220" s="505"/>
      <c r="BI220" s="505"/>
      <c r="BJ220" s="505"/>
      <c r="BK220" s="505"/>
      <c r="BL220" s="505"/>
      <c r="BM220" s="505"/>
      <c r="BN220" s="505"/>
      <c r="BO220" s="505"/>
      <c r="BP220" s="505"/>
      <c r="BQ220" s="505"/>
      <c r="BR220" s="505"/>
      <c r="BS220" s="505"/>
      <c r="BT220" s="505"/>
      <c r="BU220" s="505"/>
      <c r="BV220" s="505"/>
      <c r="BW220" s="505"/>
      <c r="BX220" s="505"/>
      <c r="BY220" s="505"/>
      <c r="BZ220" s="505"/>
      <c r="CA220" s="505"/>
      <c r="CB220" s="505"/>
      <c r="CC220" s="505"/>
      <c r="CD220" s="505"/>
      <c r="CE220" s="505"/>
      <c r="CF220" s="505"/>
      <c r="CG220" s="505"/>
      <c r="CH220" s="505"/>
      <c r="CI220" s="505"/>
      <c r="CJ220" s="505"/>
      <c r="CK220" s="505"/>
      <c r="CL220" s="505"/>
      <c r="CM220" s="505"/>
      <c r="CN220" s="505"/>
      <c r="CO220" s="505"/>
      <c r="CP220" s="505"/>
      <c r="CQ220" s="505"/>
      <c r="CR220" s="505"/>
      <c r="CS220" s="505"/>
      <c r="CT220" s="505"/>
      <c r="CU220" s="505"/>
      <c r="CV220" s="505"/>
      <c r="CW220" s="505"/>
      <c r="CX220" s="505"/>
      <c r="CY220" s="505"/>
      <c r="CZ220" s="505"/>
      <c r="DA220" s="505"/>
      <c r="DB220" s="505"/>
      <c r="DC220" s="505"/>
      <c r="DD220" s="505"/>
      <c r="DE220" s="505"/>
      <c r="DF220" s="505"/>
      <c r="DG220" s="505"/>
      <c r="DH220" s="505"/>
      <c r="DI220" s="505"/>
      <c r="DJ220" s="505"/>
      <c r="DK220" s="505"/>
      <c r="DL220" s="505"/>
      <c r="DM220" s="505"/>
      <c r="DN220" s="505"/>
      <c r="DO220" s="505"/>
      <c r="DP220" s="505"/>
    </row>
    <row r="221" spans="1:120" hidden="1" outlineLevel="1" x14ac:dyDescent="0.2">
      <c r="A221" s="517">
        <f t="shared" si="43"/>
        <v>38018</v>
      </c>
      <c r="B221" s="517" t="str">
        <f t="shared" si="40"/>
        <v>1Q04</v>
      </c>
      <c r="C221" s="517" t="str">
        <f t="shared" si="44"/>
        <v>2Q04</v>
      </c>
      <c r="D221" s="518">
        <f t="shared" si="45"/>
        <v>38100</v>
      </c>
      <c r="E221" s="518">
        <f t="shared" si="45"/>
        <v>38040</v>
      </c>
      <c r="F221" s="520">
        <v>1.595</v>
      </c>
      <c r="G221" s="521">
        <f t="shared" si="41"/>
        <v>0.09</v>
      </c>
      <c r="H221" s="521">
        <f t="shared" si="42"/>
        <v>9.9999999999999992E-2</v>
      </c>
      <c r="I221" s="505"/>
      <c r="J221" s="505"/>
      <c r="K221" s="505"/>
      <c r="L221" s="505"/>
      <c r="M221" s="528"/>
      <c r="N221" s="505"/>
      <c r="O221" s="505"/>
      <c r="P221" s="505"/>
      <c r="Q221" s="505"/>
      <c r="R221" s="505"/>
      <c r="S221" s="505"/>
      <c r="T221" s="505"/>
      <c r="U221" s="505"/>
      <c r="V221" s="505"/>
      <c r="W221" s="505"/>
      <c r="X221" s="505"/>
      <c r="Y221" s="505"/>
      <c r="Z221" s="505"/>
      <c r="AA221" s="505"/>
      <c r="AB221" s="505"/>
      <c r="AC221" s="505"/>
      <c r="AD221" s="505"/>
      <c r="AE221" s="505"/>
      <c r="AF221" s="505"/>
      <c r="AG221" s="505"/>
      <c r="AH221" s="505"/>
      <c r="AI221" s="505"/>
      <c r="AJ221" s="505"/>
      <c r="AK221" s="505"/>
      <c r="AL221" s="505"/>
      <c r="AM221" s="505"/>
      <c r="AN221" s="505"/>
      <c r="AO221" s="505"/>
      <c r="AP221" s="505"/>
      <c r="AQ221" s="505"/>
      <c r="AR221" s="505"/>
      <c r="AS221" s="505"/>
      <c r="AT221" s="505"/>
      <c r="AU221" s="505"/>
      <c r="AV221" s="505"/>
      <c r="AW221" s="505"/>
      <c r="AX221" s="505"/>
      <c r="AY221" s="505"/>
      <c r="AZ221" s="505"/>
      <c r="BA221" s="505"/>
      <c r="BB221" s="505"/>
      <c r="BC221" s="505"/>
      <c r="BD221" s="505"/>
      <c r="BE221" s="505"/>
      <c r="BF221" s="505"/>
      <c r="BG221" s="505"/>
      <c r="BH221" s="505"/>
      <c r="BI221" s="505"/>
      <c r="BJ221" s="505"/>
      <c r="BK221" s="505"/>
      <c r="BL221" s="505"/>
      <c r="BM221" s="505"/>
      <c r="BN221" s="505"/>
      <c r="BO221" s="505"/>
      <c r="BP221" s="505"/>
      <c r="BQ221" s="505"/>
      <c r="BR221" s="505"/>
      <c r="BS221" s="505"/>
      <c r="BT221" s="505"/>
      <c r="BU221" s="505"/>
      <c r="BV221" s="505"/>
      <c r="BW221" s="505"/>
      <c r="BX221" s="505"/>
      <c r="BY221" s="505"/>
      <c r="BZ221" s="505"/>
      <c r="CA221" s="505"/>
      <c r="CB221" s="505"/>
      <c r="CC221" s="505"/>
      <c r="CD221" s="505"/>
      <c r="CE221" s="505"/>
      <c r="CF221" s="505"/>
      <c r="CG221" s="505"/>
      <c r="CH221" s="505"/>
      <c r="CI221" s="505"/>
      <c r="CJ221" s="505"/>
      <c r="CK221" s="505"/>
      <c r="CL221" s="505"/>
      <c r="CM221" s="505"/>
      <c r="CN221" s="505"/>
      <c r="CO221" s="505"/>
      <c r="CP221" s="505"/>
      <c r="CQ221" s="505"/>
      <c r="CR221" s="505"/>
      <c r="CS221" s="505"/>
      <c r="CT221" s="505"/>
      <c r="CU221" s="505"/>
      <c r="CV221" s="505"/>
      <c r="CW221" s="505"/>
      <c r="CX221" s="505"/>
      <c r="CY221" s="505"/>
      <c r="CZ221" s="505"/>
      <c r="DA221" s="505"/>
      <c r="DB221" s="505"/>
      <c r="DC221" s="505"/>
      <c r="DD221" s="505"/>
      <c r="DE221" s="505"/>
      <c r="DF221" s="505"/>
      <c r="DG221" s="505"/>
      <c r="DH221" s="505"/>
      <c r="DI221" s="505"/>
      <c r="DJ221" s="505"/>
      <c r="DK221" s="505"/>
      <c r="DL221" s="505"/>
      <c r="DM221" s="505"/>
      <c r="DN221" s="505"/>
      <c r="DO221" s="505"/>
      <c r="DP221" s="505"/>
    </row>
    <row r="222" spans="1:120" hidden="1" outlineLevel="1" x14ac:dyDescent="0.2">
      <c r="A222" s="517">
        <f t="shared" si="43"/>
        <v>38047</v>
      </c>
      <c r="B222" s="517" t="str">
        <f t="shared" si="40"/>
        <v>1Q04</v>
      </c>
      <c r="C222" s="517" t="str">
        <f t="shared" si="44"/>
        <v>2Q04</v>
      </c>
      <c r="D222" s="518">
        <f t="shared" si="45"/>
        <v>38107</v>
      </c>
      <c r="E222" s="518">
        <f t="shared" si="45"/>
        <v>38047</v>
      </c>
      <c r="F222" s="520">
        <v>1.619</v>
      </c>
      <c r="G222" s="521">
        <f t="shared" si="41"/>
        <v>9.9999999999999992E-2</v>
      </c>
      <c r="H222" s="521">
        <f t="shared" si="42"/>
        <v>9.9999999999999992E-2</v>
      </c>
      <c r="I222" s="505"/>
      <c r="J222" s="505"/>
      <c r="K222" s="505"/>
      <c r="L222" s="505"/>
      <c r="M222" s="528"/>
      <c r="N222" s="505"/>
      <c r="O222" s="505"/>
      <c r="P222" s="505"/>
      <c r="Q222" s="505"/>
      <c r="R222" s="505"/>
      <c r="S222" s="505"/>
      <c r="T222" s="505"/>
      <c r="U222" s="505"/>
      <c r="V222" s="505"/>
      <c r="W222" s="505"/>
      <c r="X222" s="505"/>
      <c r="Y222" s="505"/>
      <c r="Z222" s="505"/>
      <c r="AA222" s="505"/>
      <c r="AB222" s="505"/>
      <c r="AC222" s="505"/>
      <c r="AD222" s="505"/>
      <c r="AE222" s="505"/>
      <c r="AF222" s="505"/>
      <c r="AG222" s="505"/>
      <c r="AH222" s="505"/>
      <c r="AI222" s="505"/>
      <c r="AJ222" s="505"/>
      <c r="AK222" s="505"/>
      <c r="AL222" s="505"/>
      <c r="AM222" s="505"/>
      <c r="AN222" s="505"/>
      <c r="AO222" s="505"/>
      <c r="AP222" s="505"/>
      <c r="AQ222" s="505"/>
      <c r="AR222" s="505"/>
      <c r="AS222" s="505"/>
      <c r="AT222" s="505"/>
      <c r="AU222" s="505"/>
      <c r="AV222" s="505"/>
      <c r="AW222" s="505"/>
      <c r="AX222" s="505"/>
      <c r="AY222" s="505"/>
      <c r="AZ222" s="505"/>
      <c r="BA222" s="505"/>
      <c r="BB222" s="505"/>
      <c r="BC222" s="505"/>
      <c r="BD222" s="505"/>
      <c r="BE222" s="505"/>
      <c r="BF222" s="505"/>
      <c r="BG222" s="505"/>
      <c r="BH222" s="505"/>
      <c r="BI222" s="505"/>
      <c r="BJ222" s="505"/>
      <c r="BK222" s="505"/>
      <c r="BL222" s="505"/>
      <c r="BM222" s="505"/>
      <c r="BN222" s="505"/>
      <c r="BO222" s="505"/>
      <c r="BP222" s="505"/>
      <c r="BQ222" s="505"/>
      <c r="BR222" s="505"/>
      <c r="BS222" s="505"/>
      <c r="BT222" s="505"/>
      <c r="BU222" s="505"/>
      <c r="BV222" s="505"/>
      <c r="BW222" s="505"/>
      <c r="BX222" s="505"/>
      <c r="BY222" s="505"/>
      <c r="BZ222" s="505"/>
      <c r="CA222" s="505"/>
      <c r="CB222" s="505"/>
      <c r="CC222" s="505"/>
      <c r="CD222" s="505"/>
      <c r="CE222" s="505"/>
      <c r="CF222" s="505"/>
      <c r="CG222" s="505"/>
      <c r="CH222" s="505"/>
      <c r="CI222" s="505"/>
      <c r="CJ222" s="505"/>
      <c r="CK222" s="505"/>
      <c r="CL222" s="505"/>
      <c r="CM222" s="505"/>
      <c r="CN222" s="505"/>
      <c r="CO222" s="505"/>
      <c r="CP222" s="505"/>
      <c r="CQ222" s="505"/>
      <c r="CR222" s="505"/>
      <c r="CS222" s="505"/>
      <c r="CT222" s="505"/>
      <c r="CU222" s="505"/>
      <c r="CV222" s="505"/>
      <c r="CW222" s="505"/>
      <c r="CX222" s="505"/>
      <c r="CY222" s="505"/>
      <c r="CZ222" s="505"/>
      <c r="DA222" s="505"/>
      <c r="DB222" s="505"/>
      <c r="DC222" s="505"/>
      <c r="DD222" s="505"/>
      <c r="DE222" s="505"/>
      <c r="DF222" s="505"/>
      <c r="DG222" s="505"/>
      <c r="DH222" s="505"/>
      <c r="DI222" s="505"/>
      <c r="DJ222" s="505"/>
      <c r="DK222" s="505"/>
      <c r="DL222" s="505"/>
      <c r="DM222" s="505"/>
      <c r="DN222" s="505"/>
      <c r="DO222" s="505"/>
      <c r="DP222" s="505"/>
    </row>
    <row r="223" spans="1:120" hidden="1" outlineLevel="1" x14ac:dyDescent="0.2">
      <c r="A223" s="517">
        <f t="shared" si="43"/>
        <v>38047</v>
      </c>
      <c r="B223" s="517" t="str">
        <f t="shared" si="40"/>
        <v>1Q04</v>
      </c>
      <c r="C223" s="517" t="str">
        <f t="shared" si="44"/>
        <v>2Q04</v>
      </c>
      <c r="D223" s="518">
        <f t="shared" si="45"/>
        <v>38114</v>
      </c>
      <c r="E223" s="518">
        <f t="shared" si="45"/>
        <v>38054</v>
      </c>
      <c r="F223" s="520">
        <v>1.6280000000000001</v>
      </c>
      <c r="G223" s="521">
        <f t="shared" si="41"/>
        <v>9.9999999999999992E-2</v>
      </c>
      <c r="H223" s="521">
        <f t="shared" si="42"/>
        <v>9.9999999999999992E-2</v>
      </c>
      <c r="I223" s="505"/>
      <c r="J223" s="505"/>
      <c r="K223" s="505"/>
      <c r="L223" s="505"/>
      <c r="M223" s="528"/>
      <c r="N223" s="505"/>
      <c r="O223" s="505"/>
      <c r="P223" s="505"/>
      <c r="Q223" s="505"/>
      <c r="R223" s="505"/>
      <c r="S223" s="505"/>
      <c r="T223" s="505"/>
      <c r="U223" s="505"/>
      <c r="V223" s="505"/>
      <c r="W223" s="505"/>
      <c r="X223" s="505"/>
      <c r="Y223" s="505"/>
      <c r="Z223" s="505"/>
      <c r="AA223" s="505"/>
      <c r="AB223" s="505"/>
      <c r="AC223" s="505"/>
      <c r="AD223" s="505"/>
      <c r="AE223" s="505"/>
      <c r="AF223" s="505"/>
      <c r="AG223" s="505"/>
      <c r="AH223" s="505"/>
      <c r="AI223" s="505"/>
      <c r="AJ223" s="505"/>
      <c r="AK223" s="505"/>
      <c r="AL223" s="505"/>
      <c r="AM223" s="505"/>
      <c r="AN223" s="505"/>
      <c r="AO223" s="505"/>
      <c r="AP223" s="505"/>
      <c r="AQ223" s="505"/>
      <c r="AR223" s="505"/>
      <c r="AS223" s="505"/>
      <c r="AT223" s="505"/>
      <c r="AU223" s="505"/>
      <c r="AV223" s="505"/>
      <c r="AW223" s="505"/>
      <c r="AX223" s="505"/>
      <c r="AY223" s="505"/>
      <c r="AZ223" s="505"/>
      <c r="BA223" s="505"/>
      <c r="BB223" s="505"/>
      <c r="BC223" s="505"/>
      <c r="BD223" s="505"/>
      <c r="BE223" s="505"/>
      <c r="BF223" s="505"/>
      <c r="BG223" s="505"/>
      <c r="BH223" s="505"/>
      <c r="BI223" s="505"/>
      <c r="BJ223" s="505"/>
      <c r="BK223" s="505"/>
      <c r="BL223" s="505"/>
      <c r="BM223" s="505"/>
      <c r="BN223" s="505"/>
      <c r="BO223" s="505"/>
      <c r="BP223" s="505"/>
      <c r="BQ223" s="505"/>
      <c r="BR223" s="505"/>
      <c r="BS223" s="505"/>
      <c r="BT223" s="505"/>
      <c r="BU223" s="505"/>
      <c r="BV223" s="505"/>
      <c r="BW223" s="505"/>
      <c r="BX223" s="505"/>
      <c r="BY223" s="505"/>
      <c r="BZ223" s="505"/>
      <c r="CA223" s="505"/>
      <c r="CB223" s="505"/>
      <c r="CC223" s="505"/>
      <c r="CD223" s="505"/>
      <c r="CE223" s="505"/>
      <c r="CF223" s="505"/>
      <c r="CG223" s="505"/>
      <c r="CH223" s="505"/>
      <c r="CI223" s="505"/>
      <c r="CJ223" s="505"/>
      <c r="CK223" s="505"/>
      <c r="CL223" s="505"/>
      <c r="CM223" s="505"/>
      <c r="CN223" s="505"/>
      <c r="CO223" s="505"/>
      <c r="CP223" s="505"/>
      <c r="CQ223" s="505"/>
      <c r="CR223" s="505"/>
      <c r="CS223" s="505"/>
      <c r="CT223" s="505"/>
      <c r="CU223" s="505"/>
      <c r="CV223" s="505"/>
      <c r="CW223" s="505"/>
      <c r="CX223" s="505"/>
      <c r="CY223" s="505"/>
      <c r="CZ223" s="505"/>
      <c r="DA223" s="505"/>
      <c r="DB223" s="505"/>
      <c r="DC223" s="505"/>
      <c r="DD223" s="505"/>
      <c r="DE223" s="505"/>
      <c r="DF223" s="505"/>
      <c r="DG223" s="505"/>
      <c r="DH223" s="505"/>
      <c r="DI223" s="505"/>
      <c r="DJ223" s="505"/>
      <c r="DK223" s="505"/>
      <c r="DL223" s="505"/>
      <c r="DM223" s="505"/>
      <c r="DN223" s="505"/>
      <c r="DO223" s="505"/>
      <c r="DP223" s="505"/>
    </row>
    <row r="224" spans="1:120" hidden="1" outlineLevel="1" x14ac:dyDescent="0.2">
      <c r="A224" s="517">
        <f t="shared" si="43"/>
        <v>38047</v>
      </c>
      <c r="B224" s="517" t="str">
        <f t="shared" si="40"/>
        <v>1Q04</v>
      </c>
      <c r="C224" s="517" t="str">
        <f t="shared" si="44"/>
        <v>2Q04</v>
      </c>
      <c r="D224" s="518">
        <f t="shared" si="45"/>
        <v>38121</v>
      </c>
      <c r="E224" s="518">
        <f t="shared" si="45"/>
        <v>38061</v>
      </c>
      <c r="F224" s="520">
        <v>1.617</v>
      </c>
      <c r="G224" s="521">
        <f t="shared" si="41"/>
        <v>9.9999999999999992E-2</v>
      </c>
      <c r="H224" s="521">
        <f t="shared" si="42"/>
        <v>9.9999999999999992E-2</v>
      </c>
      <c r="I224" s="505"/>
      <c r="J224" s="505"/>
      <c r="K224" s="505"/>
      <c r="L224" s="505"/>
      <c r="M224" s="528"/>
      <c r="N224" s="505"/>
      <c r="O224" s="505"/>
      <c r="P224" s="505"/>
      <c r="Q224" s="505"/>
      <c r="R224" s="505"/>
      <c r="S224" s="505"/>
      <c r="T224" s="505"/>
      <c r="U224" s="505"/>
      <c r="V224" s="505"/>
      <c r="W224" s="505"/>
      <c r="X224" s="505"/>
      <c r="Y224" s="505"/>
      <c r="Z224" s="505"/>
      <c r="AA224" s="505"/>
      <c r="AB224" s="505"/>
      <c r="AC224" s="505"/>
      <c r="AD224" s="505"/>
      <c r="AE224" s="505"/>
      <c r="AF224" s="505"/>
      <c r="AG224" s="505"/>
      <c r="AH224" s="505"/>
      <c r="AI224" s="505"/>
      <c r="AJ224" s="505"/>
      <c r="AK224" s="505"/>
      <c r="AL224" s="505"/>
      <c r="AM224" s="505"/>
      <c r="AN224" s="505"/>
      <c r="AO224" s="505"/>
      <c r="AP224" s="505"/>
      <c r="AQ224" s="505"/>
      <c r="AR224" s="505"/>
      <c r="AS224" s="505"/>
      <c r="AT224" s="505"/>
      <c r="AU224" s="505"/>
      <c r="AV224" s="505"/>
      <c r="AW224" s="505"/>
      <c r="AX224" s="505"/>
      <c r="AY224" s="505"/>
      <c r="AZ224" s="505"/>
      <c r="BA224" s="505"/>
      <c r="BB224" s="505"/>
      <c r="BC224" s="505"/>
      <c r="BD224" s="505"/>
      <c r="BE224" s="505"/>
      <c r="BF224" s="505"/>
      <c r="BG224" s="505"/>
      <c r="BH224" s="505"/>
      <c r="BI224" s="505"/>
      <c r="BJ224" s="505"/>
      <c r="BK224" s="505"/>
      <c r="BL224" s="505"/>
      <c r="BM224" s="505"/>
      <c r="BN224" s="505"/>
      <c r="BO224" s="505"/>
      <c r="BP224" s="505"/>
      <c r="BQ224" s="505"/>
      <c r="BR224" s="505"/>
      <c r="BS224" s="505"/>
      <c r="BT224" s="505"/>
      <c r="BU224" s="505"/>
      <c r="BV224" s="505"/>
      <c r="BW224" s="505"/>
      <c r="BX224" s="505"/>
      <c r="BY224" s="505"/>
      <c r="BZ224" s="505"/>
      <c r="CA224" s="505"/>
      <c r="CB224" s="505"/>
      <c r="CC224" s="505"/>
      <c r="CD224" s="505"/>
      <c r="CE224" s="505"/>
      <c r="CF224" s="505"/>
      <c r="CG224" s="505"/>
      <c r="CH224" s="505"/>
      <c r="CI224" s="505"/>
      <c r="CJ224" s="505"/>
      <c r="CK224" s="505"/>
      <c r="CL224" s="505"/>
      <c r="CM224" s="505"/>
      <c r="CN224" s="505"/>
      <c r="CO224" s="505"/>
      <c r="CP224" s="505"/>
      <c r="CQ224" s="505"/>
      <c r="CR224" s="505"/>
      <c r="CS224" s="505"/>
      <c r="CT224" s="505"/>
      <c r="CU224" s="505"/>
      <c r="CV224" s="505"/>
      <c r="CW224" s="505"/>
      <c r="CX224" s="505"/>
      <c r="CY224" s="505"/>
      <c r="CZ224" s="505"/>
      <c r="DA224" s="505"/>
      <c r="DB224" s="505"/>
      <c r="DC224" s="505"/>
      <c r="DD224" s="505"/>
      <c r="DE224" s="505"/>
      <c r="DF224" s="505"/>
      <c r="DG224" s="505"/>
      <c r="DH224" s="505"/>
      <c r="DI224" s="505"/>
      <c r="DJ224" s="505"/>
      <c r="DK224" s="505"/>
      <c r="DL224" s="505"/>
      <c r="DM224" s="505"/>
      <c r="DN224" s="505"/>
      <c r="DO224" s="505"/>
      <c r="DP224" s="505"/>
    </row>
    <row r="225" spans="1:120" hidden="1" outlineLevel="1" x14ac:dyDescent="0.2">
      <c r="A225" s="517">
        <f t="shared" si="43"/>
        <v>38047</v>
      </c>
      <c r="B225" s="517" t="str">
        <f t="shared" si="40"/>
        <v>1Q04</v>
      </c>
      <c r="C225" s="517" t="str">
        <f t="shared" si="44"/>
        <v>2Q04</v>
      </c>
      <c r="D225" s="518">
        <f t="shared" si="45"/>
        <v>38128</v>
      </c>
      <c r="E225" s="518">
        <f t="shared" si="45"/>
        <v>38068</v>
      </c>
      <c r="F225" s="520">
        <v>1.641</v>
      </c>
      <c r="G225" s="521">
        <f t="shared" si="41"/>
        <v>9.9999999999999992E-2</v>
      </c>
      <c r="H225" s="521">
        <f t="shared" si="42"/>
        <v>9.9999999999999992E-2</v>
      </c>
      <c r="I225" s="505"/>
      <c r="J225" s="505"/>
      <c r="K225" s="505"/>
      <c r="L225" s="505"/>
      <c r="M225" s="528"/>
      <c r="N225" s="505"/>
      <c r="O225" s="505"/>
      <c r="P225" s="505"/>
      <c r="Q225" s="505"/>
      <c r="R225" s="505"/>
      <c r="S225" s="505"/>
      <c r="T225" s="505"/>
      <c r="U225" s="505"/>
      <c r="V225" s="505"/>
      <c r="W225" s="505"/>
      <c r="X225" s="505"/>
      <c r="Y225" s="505"/>
      <c r="Z225" s="505"/>
      <c r="AA225" s="505"/>
      <c r="AB225" s="505"/>
      <c r="AC225" s="505"/>
      <c r="AD225" s="505"/>
      <c r="AE225" s="505"/>
      <c r="AF225" s="505"/>
      <c r="AG225" s="505"/>
      <c r="AH225" s="505"/>
      <c r="AI225" s="505"/>
      <c r="AJ225" s="505"/>
      <c r="AK225" s="505"/>
      <c r="AL225" s="505"/>
      <c r="AM225" s="505"/>
      <c r="AN225" s="505"/>
      <c r="AO225" s="505"/>
      <c r="AP225" s="505"/>
      <c r="AQ225" s="505"/>
      <c r="AR225" s="505"/>
      <c r="AS225" s="505"/>
      <c r="AT225" s="505"/>
      <c r="AU225" s="505"/>
      <c r="AV225" s="505"/>
      <c r="AW225" s="505"/>
      <c r="AX225" s="505"/>
      <c r="AY225" s="505"/>
      <c r="AZ225" s="505"/>
      <c r="BA225" s="505"/>
      <c r="BB225" s="505"/>
      <c r="BC225" s="505"/>
      <c r="BD225" s="505"/>
      <c r="BE225" s="505"/>
      <c r="BF225" s="505"/>
      <c r="BG225" s="505"/>
      <c r="BH225" s="505"/>
      <c r="BI225" s="505"/>
      <c r="BJ225" s="505"/>
      <c r="BK225" s="505"/>
      <c r="BL225" s="505"/>
      <c r="BM225" s="505"/>
      <c r="BN225" s="505"/>
      <c r="BO225" s="505"/>
      <c r="BP225" s="505"/>
      <c r="BQ225" s="505"/>
      <c r="BR225" s="505"/>
      <c r="BS225" s="505"/>
      <c r="BT225" s="505"/>
      <c r="BU225" s="505"/>
      <c r="BV225" s="505"/>
      <c r="BW225" s="505"/>
      <c r="BX225" s="505"/>
      <c r="BY225" s="505"/>
      <c r="BZ225" s="505"/>
      <c r="CA225" s="505"/>
      <c r="CB225" s="505"/>
      <c r="CC225" s="505"/>
      <c r="CD225" s="505"/>
      <c r="CE225" s="505"/>
      <c r="CF225" s="505"/>
      <c r="CG225" s="505"/>
      <c r="CH225" s="505"/>
      <c r="CI225" s="505"/>
      <c r="CJ225" s="505"/>
      <c r="CK225" s="505"/>
      <c r="CL225" s="505"/>
      <c r="CM225" s="505"/>
      <c r="CN225" s="505"/>
      <c r="CO225" s="505"/>
      <c r="CP225" s="505"/>
      <c r="CQ225" s="505"/>
      <c r="CR225" s="505"/>
      <c r="CS225" s="505"/>
      <c r="CT225" s="505"/>
      <c r="CU225" s="505"/>
      <c r="CV225" s="505"/>
      <c r="CW225" s="505"/>
      <c r="CX225" s="505"/>
      <c r="CY225" s="505"/>
      <c r="CZ225" s="505"/>
      <c r="DA225" s="505"/>
      <c r="DB225" s="505"/>
      <c r="DC225" s="505"/>
      <c r="DD225" s="505"/>
      <c r="DE225" s="505"/>
      <c r="DF225" s="505"/>
      <c r="DG225" s="505"/>
      <c r="DH225" s="505"/>
      <c r="DI225" s="505"/>
      <c r="DJ225" s="505"/>
      <c r="DK225" s="505"/>
      <c r="DL225" s="505"/>
      <c r="DM225" s="505"/>
      <c r="DN225" s="505"/>
      <c r="DO225" s="505"/>
      <c r="DP225" s="505"/>
    </row>
    <row r="226" spans="1:120" hidden="1" outlineLevel="1" x14ac:dyDescent="0.2">
      <c r="A226" s="517">
        <f t="shared" si="43"/>
        <v>38047</v>
      </c>
      <c r="B226" s="517" t="str">
        <f t="shared" si="40"/>
        <v>1Q04</v>
      </c>
      <c r="C226" s="517" t="str">
        <f t="shared" si="44"/>
        <v>2Q04</v>
      </c>
      <c r="D226" s="518">
        <f t="shared" si="45"/>
        <v>38135</v>
      </c>
      <c r="E226" s="518">
        <f t="shared" si="45"/>
        <v>38075</v>
      </c>
      <c r="F226" s="520">
        <v>1.6419999999999999</v>
      </c>
      <c r="G226" s="521">
        <f t="shared" si="41"/>
        <v>9.9999999999999992E-2</v>
      </c>
      <c r="H226" s="521">
        <f t="shared" si="42"/>
        <v>9.9999999999999992E-2</v>
      </c>
      <c r="I226" s="505"/>
      <c r="J226" s="505"/>
      <c r="K226" s="505"/>
      <c r="L226" s="505"/>
      <c r="M226" s="528"/>
      <c r="N226" s="505"/>
      <c r="O226" s="505"/>
      <c r="P226" s="505"/>
      <c r="Q226" s="505"/>
      <c r="R226" s="505"/>
      <c r="S226" s="505"/>
      <c r="T226" s="505"/>
      <c r="U226" s="505"/>
      <c r="V226" s="505"/>
      <c r="W226" s="505"/>
      <c r="X226" s="505"/>
      <c r="Y226" s="505"/>
      <c r="Z226" s="505"/>
      <c r="AA226" s="505"/>
      <c r="AB226" s="505"/>
      <c r="AC226" s="505"/>
      <c r="AD226" s="505"/>
      <c r="AE226" s="505"/>
      <c r="AF226" s="505"/>
      <c r="AG226" s="505"/>
      <c r="AH226" s="505"/>
      <c r="AI226" s="505"/>
      <c r="AJ226" s="505"/>
      <c r="AK226" s="505"/>
      <c r="AL226" s="505"/>
      <c r="AM226" s="505"/>
      <c r="AN226" s="505"/>
      <c r="AO226" s="505"/>
      <c r="AP226" s="505"/>
      <c r="AQ226" s="505"/>
      <c r="AR226" s="505"/>
      <c r="AS226" s="505"/>
      <c r="AT226" s="505"/>
      <c r="AU226" s="505"/>
      <c r="AV226" s="505"/>
      <c r="AW226" s="505"/>
      <c r="AX226" s="505"/>
      <c r="AY226" s="505"/>
      <c r="AZ226" s="505"/>
      <c r="BA226" s="505"/>
      <c r="BB226" s="505"/>
      <c r="BC226" s="505"/>
      <c r="BD226" s="505"/>
      <c r="BE226" s="505"/>
      <c r="BF226" s="505"/>
      <c r="BG226" s="505"/>
      <c r="BH226" s="505"/>
      <c r="BI226" s="505"/>
      <c r="BJ226" s="505"/>
      <c r="BK226" s="505"/>
      <c r="BL226" s="505"/>
      <c r="BM226" s="505"/>
      <c r="BN226" s="505"/>
      <c r="BO226" s="505"/>
      <c r="BP226" s="505"/>
      <c r="BQ226" s="505"/>
      <c r="BR226" s="505"/>
      <c r="BS226" s="505"/>
      <c r="BT226" s="505"/>
      <c r="BU226" s="505"/>
      <c r="BV226" s="505"/>
      <c r="BW226" s="505"/>
      <c r="BX226" s="505"/>
      <c r="BY226" s="505"/>
      <c r="BZ226" s="505"/>
      <c r="CA226" s="505"/>
      <c r="CB226" s="505"/>
      <c r="CC226" s="505"/>
      <c r="CD226" s="505"/>
      <c r="CE226" s="505"/>
      <c r="CF226" s="505"/>
      <c r="CG226" s="505"/>
      <c r="CH226" s="505"/>
      <c r="CI226" s="505"/>
      <c r="CJ226" s="505"/>
      <c r="CK226" s="505"/>
      <c r="CL226" s="505"/>
      <c r="CM226" s="505"/>
      <c r="CN226" s="505"/>
      <c r="CO226" s="505"/>
      <c r="CP226" s="505"/>
      <c r="CQ226" s="505"/>
      <c r="CR226" s="505"/>
      <c r="CS226" s="505"/>
      <c r="CT226" s="505"/>
      <c r="CU226" s="505"/>
      <c r="CV226" s="505"/>
      <c r="CW226" s="505"/>
      <c r="CX226" s="505"/>
      <c r="CY226" s="505"/>
      <c r="CZ226" s="505"/>
      <c r="DA226" s="505"/>
      <c r="DB226" s="505"/>
      <c r="DC226" s="505"/>
      <c r="DD226" s="505"/>
      <c r="DE226" s="505"/>
      <c r="DF226" s="505"/>
      <c r="DG226" s="505"/>
      <c r="DH226" s="505"/>
      <c r="DI226" s="505"/>
      <c r="DJ226" s="505"/>
      <c r="DK226" s="505"/>
      <c r="DL226" s="505"/>
      <c r="DM226" s="505"/>
      <c r="DN226" s="505"/>
      <c r="DO226" s="505"/>
      <c r="DP226" s="505"/>
    </row>
    <row r="227" spans="1:120" hidden="1" outlineLevel="1" x14ac:dyDescent="0.2">
      <c r="A227" s="517">
        <f t="shared" si="43"/>
        <v>38078</v>
      </c>
      <c r="B227" s="517" t="str">
        <f t="shared" si="40"/>
        <v>2Q04</v>
      </c>
      <c r="C227" s="517" t="str">
        <f t="shared" si="44"/>
        <v>2Q04</v>
      </c>
      <c r="D227" s="518">
        <f t="shared" si="45"/>
        <v>38142</v>
      </c>
      <c r="E227" s="518">
        <f t="shared" si="45"/>
        <v>38082</v>
      </c>
      <c r="F227" s="520">
        <v>1.6480000000000001</v>
      </c>
      <c r="G227" s="521">
        <f t="shared" si="41"/>
        <v>9.9999999999999992E-2</v>
      </c>
      <c r="H227" s="521">
        <f t="shared" si="42"/>
        <v>0.10999999999999999</v>
      </c>
      <c r="I227" s="505"/>
      <c r="J227" s="505"/>
      <c r="K227" s="505"/>
      <c r="L227" s="505"/>
      <c r="M227" s="528"/>
      <c r="N227" s="505"/>
      <c r="O227" s="505"/>
      <c r="P227" s="505"/>
      <c r="Q227" s="505"/>
      <c r="R227" s="505"/>
      <c r="S227" s="505"/>
      <c r="T227" s="505"/>
      <c r="U227" s="505"/>
      <c r="V227" s="505"/>
      <c r="W227" s="505"/>
      <c r="X227" s="505"/>
      <c r="Y227" s="505"/>
      <c r="Z227" s="505"/>
      <c r="AA227" s="505"/>
      <c r="AB227" s="505"/>
      <c r="AC227" s="505"/>
      <c r="AD227" s="505"/>
      <c r="AE227" s="505"/>
      <c r="AF227" s="505"/>
      <c r="AG227" s="505"/>
      <c r="AH227" s="505"/>
      <c r="AI227" s="505"/>
      <c r="AJ227" s="505"/>
      <c r="AK227" s="505"/>
      <c r="AL227" s="505"/>
      <c r="AM227" s="505"/>
      <c r="AN227" s="505"/>
      <c r="AO227" s="505"/>
      <c r="AP227" s="505"/>
      <c r="AQ227" s="505"/>
      <c r="AR227" s="505"/>
      <c r="AS227" s="505"/>
      <c r="AT227" s="505"/>
      <c r="AU227" s="505"/>
      <c r="AV227" s="505"/>
      <c r="AW227" s="505"/>
      <c r="AX227" s="505"/>
      <c r="AY227" s="505"/>
      <c r="AZ227" s="505"/>
      <c r="BA227" s="505"/>
      <c r="BB227" s="505"/>
      <c r="BC227" s="505"/>
      <c r="BD227" s="505"/>
      <c r="BE227" s="505"/>
      <c r="BF227" s="505"/>
      <c r="BG227" s="505"/>
      <c r="BH227" s="505"/>
      <c r="BI227" s="505"/>
      <c r="BJ227" s="505"/>
      <c r="BK227" s="505"/>
      <c r="BL227" s="505"/>
      <c r="BM227" s="505"/>
      <c r="BN227" s="505"/>
      <c r="BO227" s="505"/>
      <c r="BP227" s="505"/>
      <c r="BQ227" s="505"/>
      <c r="BR227" s="505"/>
      <c r="BS227" s="505"/>
      <c r="BT227" s="505"/>
      <c r="BU227" s="505"/>
      <c r="BV227" s="505"/>
      <c r="BW227" s="505"/>
      <c r="BX227" s="505"/>
      <c r="BY227" s="505"/>
      <c r="BZ227" s="505"/>
      <c r="CA227" s="505"/>
      <c r="CB227" s="505"/>
      <c r="CC227" s="505"/>
      <c r="CD227" s="505"/>
      <c r="CE227" s="505"/>
      <c r="CF227" s="505"/>
      <c r="CG227" s="505"/>
      <c r="CH227" s="505"/>
      <c r="CI227" s="505"/>
      <c r="CJ227" s="505"/>
      <c r="CK227" s="505"/>
      <c r="CL227" s="505"/>
      <c r="CM227" s="505"/>
      <c r="CN227" s="505"/>
      <c r="CO227" s="505"/>
      <c r="CP227" s="505"/>
      <c r="CQ227" s="505"/>
      <c r="CR227" s="505"/>
      <c r="CS227" s="505"/>
      <c r="CT227" s="505"/>
      <c r="CU227" s="505"/>
      <c r="CV227" s="505"/>
      <c r="CW227" s="505"/>
      <c r="CX227" s="505"/>
      <c r="CY227" s="505"/>
      <c r="CZ227" s="505"/>
      <c r="DA227" s="505"/>
      <c r="DB227" s="505"/>
      <c r="DC227" s="505"/>
      <c r="DD227" s="505"/>
      <c r="DE227" s="505"/>
      <c r="DF227" s="505"/>
      <c r="DG227" s="505"/>
      <c r="DH227" s="505"/>
      <c r="DI227" s="505"/>
      <c r="DJ227" s="505"/>
      <c r="DK227" s="505"/>
      <c r="DL227" s="505"/>
      <c r="DM227" s="505"/>
      <c r="DN227" s="505"/>
      <c r="DO227" s="505"/>
      <c r="DP227" s="505"/>
    </row>
    <row r="228" spans="1:120" hidden="1" outlineLevel="1" x14ac:dyDescent="0.2">
      <c r="A228" s="517">
        <f t="shared" si="43"/>
        <v>38078</v>
      </c>
      <c r="B228" s="517" t="str">
        <f t="shared" si="40"/>
        <v>2Q04</v>
      </c>
      <c r="C228" s="517" t="str">
        <f t="shared" si="44"/>
        <v>2Q04</v>
      </c>
      <c r="D228" s="518">
        <f t="shared" si="45"/>
        <v>38149</v>
      </c>
      <c r="E228" s="518">
        <f t="shared" si="45"/>
        <v>38089</v>
      </c>
      <c r="F228" s="520">
        <v>1.679</v>
      </c>
      <c r="G228" s="521">
        <f t="shared" si="41"/>
        <v>0.10999999999999999</v>
      </c>
      <c r="H228" s="521">
        <f t="shared" si="42"/>
        <v>0.11999999999999998</v>
      </c>
      <c r="I228" s="505"/>
      <c r="J228" s="505"/>
      <c r="K228" s="505"/>
      <c r="L228" s="505"/>
      <c r="M228" s="528"/>
      <c r="N228" s="505"/>
      <c r="O228" s="505"/>
      <c r="P228" s="505"/>
      <c r="Q228" s="505"/>
      <c r="R228" s="505"/>
      <c r="S228" s="505"/>
      <c r="T228" s="505"/>
      <c r="U228" s="505"/>
      <c r="V228" s="505"/>
      <c r="W228" s="505"/>
      <c r="X228" s="505"/>
      <c r="Y228" s="505"/>
      <c r="Z228" s="505"/>
      <c r="AA228" s="505"/>
      <c r="AB228" s="505"/>
      <c r="AC228" s="505"/>
      <c r="AD228" s="505"/>
      <c r="AE228" s="505"/>
      <c r="AF228" s="505"/>
      <c r="AG228" s="505"/>
      <c r="AH228" s="505"/>
      <c r="AI228" s="505"/>
      <c r="AJ228" s="505"/>
      <c r="AK228" s="505"/>
      <c r="AL228" s="505"/>
      <c r="AM228" s="505"/>
      <c r="AN228" s="505"/>
      <c r="AO228" s="505"/>
      <c r="AP228" s="505"/>
      <c r="AQ228" s="505"/>
      <c r="AR228" s="505"/>
      <c r="AS228" s="505"/>
      <c r="AT228" s="505"/>
      <c r="AU228" s="505"/>
      <c r="AV228" s="505"/>
      <c r="AW228" s="505"/>
      <c r="AX228" s="505"/>
      <c r="AY228" s="505"/>
      <c r="AZ228" s="505"/>
      <c r="BA228" s="505"/>
      <c r="BB228" s="505"/>
      <c r="BC228" s="505"/>
      <c r="BD228" s="505"/>
      <c r="BE228" s="505"/>
      <c r="BF228" s="505"/>
      <c r="BG228" s="505"/>
      <c r="BH228" s="505"/>
      <c r="BI228" s="505"/>
      <c r="BJ228" s="505"/>
      <c r="BK228" s="505"/>
      <c r="BL228" s="505"/>
      <c r="BM228" s="505"/>
      <c r="BN228" s="505"/>
      <c r="BO228" s="505"/>
      <c r="BP228" s="505"/>
      <c r="BQ228" s="505"/>
      <c r="BR228" s="505"/>
      <c r="BS228" s="505"/>
      <c r="BT228" s="505"/>
      <c r="BU228" s="505"/>
      <c r="BV228" s="505"/>
      <c r="BW228" s="505"/>
      <c r="BX228" s="505"/>
      <c r="BY228" s="505"/>
      <c r="BZ228" s="505"/>
      <c r="CA228" s="505"/>
      <c r="CB228" s="505"/>
      <c r="CC228" s="505"/>
      <c r="CD228" s="505"/>
      <c r="CE228" s="505"/>
      <c r="CF228" s="505"/>
      <c r="CG228" s="505"/>
      <c r="CH228" s="505"/>
      <c r="CI228" s="505"/>
      <c r="CJ228" s="505"/>
      <c r="CK228" s="505"/>
      <c r="CL228" s="505"/>
      <c r="CM228" s="505"/>
      <c r="CN228" s="505"/>
      <c r="CO228" s="505"/>
      <c r="CP228" s="505"/>
      <c r="CQ228" s="505"/>
      <c r="CR228" s="505"/>
      <c r="CS228" s="505"/>
      <c r="CT228" s="505"/>
      <c r="CU228" s="505"/>
      <c r="CV228" s="505"/>
      <c r="CW228" s="505"/>
      <c r="CX228" s="505"/>
      <c r="CY228" s="505"/>
      <c r="CZ228" s="505"/>
      <c r="DA228" s="505"/>
      <c r="DB228" s="505"/>
      <c r="DC228" s="505"/>
      <c r="DD228" s="505"/>
      <c r="DE228" s="505"/>
      <c r="DF228" s="505"/>
      <c r="DG228" s="505"/>
      <c r="DH228" s="505"/>
      <c r="DI228" s="505"/>
      <c r="DJ228" s="505"/>
      <c r="DK228" s="505"/>
      <c r="DL228" s="505"/>
      <c r="DM228" s="505"/>
      <c r="DN228" s="505"/>
      <c r="DO228" s="505"/>
      <c r="DP228" s="505"/>
    </row>
    <row r="229" spans="1:120" hidden="1" outlineLevel="1" x14ac:dyDescent="0.2">
      <c r="A229" s="517">
        <f t="shared" si="43"/>
        <v>38078</v>
      </c>
      <c r="B229" s="517" t="str">
        <f t="shared" si="40"/>
        <v>2Q04</v>
      </c>
      <c r="C229" s="517" t="str">
        <f t="shared" si="44"/>
        <v>2Q04</v>
      </c>
      <c r="D229" s="518">
        <f t="shared" si="45"/>
        <v>38156</v>
      </c>
      <c r="E229" s="518">
        <f t="shared" si="45"/>
        <v>38096</v>
      </c>
      <c r="F229" s="520">
        <v>1.724</v>
      </c>
      <c r="G229" s="521">
        <f t="shared" si="41"/>
        <v>0.11999999999999998</v>
      </c>
      <c r="H229" s="521">
        <f t="shared" si="42"/>
        <v>0.11999999999999998</v>
      </c>
      <c r="I229" s="505"/>
      <c r="J229" s="505"/>
      <c r="K229" s="505"/>
      <c r="L229" s="505"/>
      <c r="M229" s="528"/>
      <c r="N229" s="505"/>
      <c r="O229" s="505"/>
      <c r="P229" s="505"/>
      <c r="Q229" s="505"/>
      <c r="R229" s="505"/>
      <c r="S229" s="505"/>
      <c r="T229" s="505"/>
      <c r="U229" s="505"/>
      <c r="V229" s="505"/>
      <c r="W229" s="505"/>
      <c r="X229" s="505"/>
      <c r="Y229" s="505"/>
      <c r="Z229" s="505"/>
      <c r="AA229" s="505"/>
      <c r="AB229" s="505"/>
      <c r="AC229" s="505"/>
      <c r="AD229" s="505"/>
      <c r="AE229" s="505"/>
      <c r="AF229" s="505"/>
      <c r="AG229" s="505"/>
      <c r="AH229" s="505"/>
      <c r="AI229" s="505"/>
      <c r="AJ229" s="505"/>
      <c r="AK229" s="505"/>
      <c r="AL229" s="505"/>
      <c r="AM229" s="505"/>
      <c r="AN229" s="505"/>
      <c r="AO229" s="505"/>
      <c r="AP229" s="505"/>
      <c r="AQ229" s="505"/>
      <c r="AR229" s="505"/>
      <c r="AS229" s="505"/>
      <c r="AT229" s="505"/>
      <c r="AU229" s="505"/>
      <c r="AV229" s="505"/>
      <c r="AW229" s="505"/>
      <c r="AX229" s="505"/>
      <c r="AY229" s="505"/>
      <c r="AZ229" s="505"/>
      <c r="BA229" s="505"/>
      <c r="BB229" s="505"/>
      <c r="BC229" s="505"/>
      <c r="BD229" s="505"/>
      <c r="BE229" s="505"/>
      <c r="BF229" s="505"/>
      <c r="BG229" s="505"/>
      <c r="BH229" s="505"/>
      <c r="BI229" s="505"/>
      <c r="BJ229" s="505"/>
      <c r="BK229" s="505"/>
      <c r="BL229" s="505"/>
      <c r="BM229" s="505"/>
      <c r="BN229" s="505"/>
      <c r="BO229" s="505"/>
      <c r="BP229" s="505"/>
      <c r="BQ229" s="505"/>
      <c r="BR229" s="505"/>
      <c r="BS229" s="505"/>
      <c r="BT229" s="505"/>
      <c r="BU229" s="505"/>
      <c r="BV229" s="505"/>
      <c r="BW229" s="505"/>
      <c r="BX229" s="505"/>
      <c r="BY229" s="505"/>
      <c r="BZ229" s="505"/>
      <c r="CA229" s="505"/>
      <c r="CB229" s="505"/>
      <c r="CC229" s="505"/>
      <c r="CD229" s="505"/>
      <c r="CE229" s="505"/>
      <c r="CF229" s="505"/>
      <c r="CG229" s="505"/>
      <c r="CH229" s="505"/>
      <c r="CI229" s="505"/>
      <c r="CJ229" s="505"/>
      <c r="CK229" s="505"/>
      <c r="CL229" s="505"/>
      <c r="CM229" s="505"/>
      <c r="CN229" s="505"/>
      <c r="CO229" s="505"/>
      <c r="CP229" s="505"/>
      <c r="CQ229" s="505"/>
      <c r="CR229" s="505"/>
      <c r="CS229" s="505"/>
      <c r="CT229" s="505"/>
      <c r="CU229" s="505"/>
      <c r="CV229" s="505"/>
      <c r="CW229" s="505"/>
      <c r="CX229" s="505"/>
      <c r="CY229" s="505"/>
      <c r="CZ229" s="505"/>
      <c r="DA229" s="505"/>
      <c r="DB229" s="505"/>
      <c r="DC229" s="505"/>
      <c r="DD229" s="505"/>
      <c r="DE229" s="505"/>
      <c r="DF229" s="505"/>
      <c r="DG229" s="505"/>
      <c r="DH229" s="505"/>
      <c r="DI229" s="505"/>
      <c r="DJ229" s="505"/>
      <c r="DK229" s="505"/>
      <c r="DL229" s="505"/>
      <c r="DM229" s="505"/>
      <c r="DN229" s="505"/>
      <c r="DO229" s="505"/>
      <c r="DP229" s="505"/>
    </row>
    <row r="230" spans="1:120" hidden="1" outlineLevel="1" x14ac:dyDescent="0.2">
      <c r="A230" s="517">
        <f t="shared" si="43"/>
        <v>38078</v>
      </c>
      <c r="B230" s="517" t="str">
        <f t="shared" si="40"/>
        <v>2Q04</v>
      </c>
      <c r="C230" s="517" t="str">
        <f t="shared" si="44"/>
        <v>2Q04</v>
      </c>
      <c r="D230" s="518">
        <f t="shared" si="45"/>
        <v>38163</v>
      </c>
      <c r="E230" s="518">
        <f t="shared" si="45"/>
        <v>38103</v>
      </c>
      <c r="F230" s="520">
        <v>1.7180000000000002</v>
      </c>
      <c r="G230" s="521">
        <f t="shared" si="41"/>
        <v>0.11999999999999998</v>
      </c>
      <c r="H230" s="521">
        <f t="shared" si="42"/>
        <v>0.11999999999999998</v>
      </c>
      <c r="I230" s="505"/>
      <c r="J230" s="505"/>
      <c r="K230" s="505"/>
      <c r="L230" s="505"/>
      <c r="M230" s="528"/>
      <c r="N230" s="505"/>
      <c r="O230" s="505"/>
      <c r="P230" s="505"/>
      <c r="Q230" s="505"/>
      <c r="R230" s="505"/>
      <c r="S230" s="505"/>
      <c r="T230" s="505"/>
      <c r="U230" s="505"/>
      <c r="V230" s="505"/>
      <c r="W230" s="505"/>
      <c r="X230" s="505"/>
      <c r="Y230" s="505"/>
      <c r="Z230" s="505"/>
      <c r="AA230" s="505"/>
      <c r="AB230" s="505"/>
      <c r="AC230" s="505"/>
      <c r="AD230" s="505"/>
      <c r="AE230" s="505"/>
      <c r="AF230" s="505"/>
      <c r="AG230" s="505"/>
      <c r="AH230" s="505"/>
      <c r="AI230" s="505"/>
      <c r="AJ230" s="505"/>
      <c r="AK230" s="505"/>
      <c r="AL230" s="505"/>
      <c r="AM230" s="505"/>
      <c r="AN230" s="505"/>
      <c r="AO230" s="505"/>
      <c r="AP230" s="505"/>
      <c r="AQ230" s="505"/>
      <c r="AR230" s="505"/>
      <c r="AS230" s="505"/>
      <c r="AT230" s="505"/>
      <c r="AU230" s="505"/>
      <c r="AV230" s="505"/>
      <c r="AW230" s="505"/>
      <c r="AX230" s="505"/>
      <c r="AY230" s="505"/>
      <c r="AZ230" s="505"/>
      <c r="BA230" s="505"/>
      <c r="BB230" s="505"/>
      <c r="BC230" s="505"/>
      <c r="BD230" s="505"/>
      <c r="BE230" s="505"/>
      <c r="BF230" s="505"/>
      <c r="BG230" s="505"/>
      <c r="BH230" s="505"/>
      <c r="BI230" s="505"/>
      <c r="BJ230" s="505"/>
      <c r="BK230" s="505"/>
      <c r="BL230" s="505"/>
      <c r="BM230" s="505"/>
      <c r="BN230" s="505"/>
      <c r="BO230" s="505"/>
      <c r="BP230" s="505"/>
      <c r="BQ230" s="505"/>
      <c r="BR230" s="505"/>
      <c r="BS230" s="505"/>
      <c r="BT230" s="505"/>
      <c r="BU230" s="505"/>
      <c r="BV230" s="505"/>
      <c r="BW230" s="505"/>
      <c r="BX230" s="505"/>
      <c r="BY230" s="505"/>
      <c r="BZ230" s="505"/>
      <c r="CA230" s="505"/>
      <c r="CB230" s="505"/>
      <c r="CC230" s="505"/>
      <c r="CD230" s="505"/>
      <c r="CE230" s="505"/>
      <c r="CF230" s="505"/>
      <c r="CG230" s="505"/>
      <c r="CH230" s="505"/>
      <c r="CI230" s="505"/>
      <c r="CJ230" s="505"/>
      <c r="CK230" s="505"/>
      <c r="CL230" s="505"/>
      <c r="CM230" s="505"/>
      <c r="CN230" s="505"/>
      <c r="CO230" s="505"/>
      <c r="CP230" s="505"/>
      <c r="CQ230" s="505"/>
      <c r="CR230" s="505"/>
      <c r="CS230" s="505"/>
      <c r="CT230" s="505"/>
      <c r="CU230" s="505"/>
      <c r="CV230" s="505"/>
      <c r="CW230" s="505"/>
      <c r="CX230" s="505"/>
      <c r="CY230" s="505"/>
      <c r="CZ230" s="505"/>
      <c r="DA230" s="505"/>
      <c r="DB230" s="505"/>
      <c r="DC230" s="505"/>
      <c r="DD230" s="505"/>
      <c r="DE230" s="505"/>
      <c r="DF230" s="505"/>
      <c r="DG230" s="505"/>
      <c r="DH230" s="505"/>
      <c r="DI230" s="505"/>
      <c r="DJ230" s="505"/>
      <c r="DK230" s="505"/>
      <c r="DL230" s="505"/>
      <c r="DM230" s="505"/>
      <c r="DN230" s="505"/>
      <c r="DO230" s="505"/>
      <c r="DP230" s="505"/>
    </row>
    <row r="231" spans="1:120" hidden="1" outlineLevel="1" x14ac:dyDescent="0.2">
      <c r="A231" s="517">
        <f t="shared" si="43"/>
        <v>38108</v>
      </c>
      <c r="B231" s="517" t="str">
        <f t="shared" si="40"/>
        <v>2Q04</v>
      </c>
      <c r="C231" s="517" t="str">
        <f t="shared" si="44"/>
        <v>3Q04</v>
      </c>
      <c r="D231" s="518">
        <f t="shared" si="45"/>
        <v>38170</v>
      </c>
      <c r="E231" s="518">
        <f t="shared" si="45"/>
        <v>38110</v>
      </c>
      <c r="F231" s="520">
        <v>1.7169999999999999</v>
      </c>
      <c r="G231" s="521">
        <f t="shared" si="41"/>
        <v>0.11999999999999998</v>
      </c>
      <c r="H231" s="521">
        <f t="shared" si="42"/>
        <v>0.11999999999999998</v>
      </c>
      <c r="I231" s="505"/>
      <c r="J231" s="505"/>
      <c r="K231" s="505"/>
      <c r="L231" s="505"/>
      <c r="M231" s="528"/>
      <c r="N231" s="505"/>
      <c r="O231" s="505"/>
      <c r="P231" s="505"/>
      <c r="Q231" s="505"/>
      <c r="R231" s="505"/>
      <c r="S231" s="505"/>
      <c r="T231" s="505"/>
      <c r="U231" s="505"/>
      <c r="V231" s="505"/>
      <c r="W231" s="505"/>
      <c r="X231" s="505"/>
      <c r="Y231" s="505"/>
      <c r="Z231" s="505"/>
      <c r="AA231" s="505"/>
      <c r="AB231" s="505"/>
      <c r="AC231" s="505"/>
      <c r="AD231" s="505"/>
      <c r="AE231" s="505"/>
      <c r="AF231" s="505"/>
      <c r="AG231" s="505"/>
      <c r="AH231" s="505"/>
      <c r="AI231" s="505"/>
      <c r="AJ231" s="505"/>
      <c r="AK231" s="505"/>
      <c r="AL231" s="505"/>
      <c r="AM231" s="505"/>
      <c r="AN231" s="505"/>
      <c r="AO231" s="505"/>
      <c r="AP231" s="505"/>
      <c r="AQ231" s="505"/>
      <c r="AR231" s="505"/>
      <c r="AS231" s="505"/>
      <c r="AT231" s="505"/>
      <c r="AU231" s="505"/>
      <c r="AV231" s="505"/>
      <c r="AW231" s="505"/>
      <c r="AX231" s="505"/>
      <c r="AY231" s="505"/>
      <c r="AZ231" s="505"/>
      <c r="BA231" s="505"/>
      <c r="BB231" s="505"/>
      <c r="BC231" s="505"/>
      <c r="BD231" s="505"/>
      <c r="BE231" s="505"/>
      <c r="BF231" s="505"/>
      <c r="BG231" s="505"/>
      <c r="BH231" s="505"/>
      <c r="BI231" s="505"/>
      <c r="BJ231" s="505"/>
      <c r="BK231" s="505"/>
      <c r="BL231" s="505"/>
      <c r="BM231" s="505"/>
      <c r="BN231" s="505"/>
      <c r="BO231" s="505"/>
      <c r="BP231" s="505"/>
      <c r="BQ231" s="505"/>
      <c r="BR231" s="505"/>
      <c r="BS231" s="505"/>
      <c r="BT231" s="505"/>
      <c r="BU231" s="505"/>
      <c r="BV231" s="505"/>
      <c r="BW231" s="505"/>
      <c r="BX231" s="505"/>
      <c r="BY231" s="505"/>
      <c r="BZ231" s="505"/>
      <c r="CA231" s="505"/>
      <c r="CB231" s="505"/>
      <c r="CC231" s="505"/>
      <c r="CD231" s="505"/>
      <c r="CE231" s="505"/>
      <c r="CF231" s="505"/>
      <c r="CG231" s="505"/>
      <c r="CH231" s="505"/>
      <c r="CI231" s="505"/>
      <c r="CJ231" s="505"/>
      <c r="CK231" s="505"/>
      <c r="CL231" s="505"/>
      <c r="CM231" s="505"/>
      <c r="CN231" s="505"/>
      <c r="CO231" s="505"/>
      <c r="CP231" s="505"/>
      <c r="CQ231" s="505"/>
      <c r="CR231" s="505"/>
      <c r="CS231" s="505"/>
      <c r="CT231" s="505"/>
      <c r="CU231" s="505"/>
      <c r="CV231" s="505"/>
      <c r="CW231" s="505"/>
      <c r="CX231" s="505"/>
      <c r="CY231" s="505"/>
      <c r="CZ231" s="505"/>
      <c r="DA231" s="505"/>
      <c r="DB231" s="505"/>
      <c r="DC231" s="505"/>
      <c r="DD231" s="505"/>
      <c r="DE231" s="505"/>
      <c r="DF231" s="505"/>
      <c r="DG231" s="505"/>
      <c r="DH231" s="505"/>
      <c r="DI231" s="505"/>
      <c r="DJ231" s="505"/>
      <c r="DK231" s="505"/>
      <c r="DL231" s="505"/>
      <c r="DM231" s="505"/>
      <c r="DN231" s="505"/>
      <c r="DO231" s="505"/>
      <c r="DP231" s="505"/>
    </row>
    <row r="232" spans="1:120" hidden="1" outlineLevel="1" x14ac:dyDescent="0.2">
      <c r="A232" s="517">
        <f t="shared" si="43"/>
        <v>38108</v>
      </c>
      <c r="B232" s="517" t="str">
        <f t="shared" si="40"/>
        <v>2Q04</v>
      </c>
      <c r="C232" s="517" t="str">
        <f t="shared" si="44"/>
        <v>3Q04</v>
      </c>
      <c r="D232" s="518">
        <f t="shared" si="45"/>
        <v>38177</v>
      </c>
      <c r="E232" s="518">
        <f t="shared" si="45"/>
        <v>38117</v>
      </c>
      <c r="F232" s="520">
        <v>1.7450000000000001</v>
      </c>
      <c r="G232" s="521">
        <f t="shared" si="41"/>
        <v>0.11999999999999998</v>
      </c>
      <c r="H232" s="521">
        <f t="shared" si="42"/>
        <v>0.12999999999999998</v>
      </c>
      <c r="I232" s="505"/>
      <c r="J232" s="505"/>
      <c r="K232" s="505"/>
      <c r="L232" s="505"/>
      <c r="M232" s="528"/>
      <c r="N232" s="505"/>
      <c r="O232" s="505"/>
      <c r="P232" s="505"/>
      <c r="Q232" s="505"/>
      <c r="R232" s="505"/>
      <c r="S232" s="505"/>
      <c r="T232" s="505"/>
      <c r="U232" s="505"/>
      <c r="V232" s="505"/>
      <c r="W232" s="505"/>
      <c r="X232" s="505"/>
      <c r="Y232" s="505"/>
      <c r="Z232" s="505"/>
      <c r="AA232" s="505"/>
      <c r="AB232" s="505"/>
      <c r="AC232" s="505"/>
      <c r="AD232" s="505"/>
      <c r="AE232" s="505"/>
      <c r="AF232" s="505"/>
      <c r="AG232" s="505"/>
      <c r="AH232" s="505"/>
      <c r="AI232" s="505"/>
      <c r="AJ232" s="505"/>
      <c r="AK232" s="505"/>
      <c r="AL232" s="505"/>
      <c r="AM232" s="505"/>
      <c r="AN232" s="505"/>
      <c r="AO232" s="505"/>
      <c r="AP232" s="505"/>
      <c r="AQ232" s="505"/>
      <c r="AR232" s="505"/>
      <c r="AS232" s="505"/>
      <c r="AT232" s="505"/>
      <c r="AU232" s="505"/>
      <c r="AV232" s="505"/>
      <c r="AW232" s="505"/>
      <c r="AX232" s="505"/>
      <c r="AY232" s="505"/>
      <c r="AZ232" s="505"/>
      <c r="BA232" s="505"/>
      <c r="BB232" s="505"/>
      <c r="BC232" s="505"/>
      <c r="BD232" s="505"/>
      <c r="BE232" s="505"/>
      <c r="BF232" s="505"/>
      <c r="BG232" s="505"/>
      <c r="BH232" s="505"/>
      <c r="BI232" s="505"/>
      <c r="BJ232" s="505"/>
      <c r="BK232" s="505"/>
      <c r="BL232" s="505"/>
      <c r="BM232" s="505"/>
      <c r="BN232" s="505"/>
      <c r="BO232" s="505"/>
      <c r="BP232" s="505"/>
      <c r="BQ232" s="505"/>
      <c r="BR232" s="505"/>
      <c r="BS232" s="505"/>
      <c r="BT232" s="505"/>
      <c r="BU232" s="505"/>
      <c r="BV232" s="505"/>
      <c r="BW232" s="505"/>
      <c r="BX232" s="505"/>
      <c r="BY232" s="505"/>
      <c r="BZ232" s="505"/>
      <c r="CA232" s="505"/>
      <c r="CB232" s="505"/>
      <c r="CC232" s="505"/>
      <c r="CD232" s="505"/>
      <c r="CE232" s="505"/>
      <c r="CF232" s="505"/>
      <c r="CG232" s="505"/>
      <c r="CH232" s="505"/>
      <c r="CI232" s="505"/>
      <c r="CJ232" s="505"/>
      <c r="CK232" s="505"/>
      <c r="CL232" s="505"/>
      <c r="CM232" s="505"/>
      <c r="CN232" s="505"/>
      <c r="CO232" s="505"/>
      <c r="CP232" s="505"/>
      <c r="CQ232" s="505"/>
      <c r="CR232" s="505"/>
      <c r="CS232" s="505"/>
      <c r="CT232" s="505"/>
      <c r="CU232" s="505"/>
      <c r="CV232" s="505"/>
      <c r="CW232" s="505"/>
      <c r="CX232" s="505"/>
      <c r="CY232" s="505"/>
      <c r="CZ232" s="505"/>
      <c r="DA232" s="505"/>
      <c r="DB232" s="505"/>
      <c r="DC232" s="505"/>
      <c r="DD232" s="505"/>
      <c r="DE232" s="505"/>
      <c r="DF232" s="505"/>
      <c r="DG232" s="505"/>
      <c r="DH232" s="505"/>
      <c r="DI232" s="505"/>
      <c r="DJ232" s="505"/>
      <c r="DK232" s="505"/>
      <c r="DL232" s="505"/>
      <c r="DM232" s="505"/>
      <c r="DN232" s="505"/>
      <c r="DO232" s="505"/>
      <c r="DP232" s="505"/>
    </row>
    <row r="233" spans="1:120" hidden="1" outlineLevel="1" x14ac:dyDescent="0.2">
      <c r="A233" s="517">
        <f t="shared" si="43"/>
        <v>38108</v>
      </c>
      <c r="B233" s="517" t="str">
        <f t="shared" si="40"/>
        <v>2Q04</v>
      </c>
      <c r="C233" s="517" t="str">
        <f t="shared" si="44"/>
        <v>3Q04</v>
      </c>
      <c r="D233" s="518">
        <f t="shared" si="45"/>
        <v>38184</v>
      </c>
      <c r="E233" s="518">
        <f t="shared" si="45"/>
        <v>38124</v>
      </c>
      <c r="F233" s="520">
        <v>1.7630000000000001</v>
      </c>
      <c r="G233" s="521">
        <f t="shared" si="41"/>
        <v>0.12999999999999998</v>
      </c>
      <c r="H233" s="521">
        <f t="shared" si="42"/>
        <v>0.12999999999999998</v>
      </c>
      <c r="I233" s="505"/>
      <c r="J233" s="505"/>
      <c r="K233" s="505"/>
      <c r="L233" s="505"/>
      <c r="M233" s="528"/>
      <c r="N233" s="505"/>
      <c r="O233" s="505"/>
      <c r="P233" s="505"/>
      <c r="Q233" s="505"/>
      <c r="R233" s="505"/>
      <c r="S233" s="505"/>
      <c r="T233" s="505"/>
      <c r="U233" s="505"/>
      <c r="V233" s="505"/>
      <c r="W233" s="505"/>
      <c r="X233" s="505"/>
      <c r="Y233" s="505"/>
      <c r="Z233" s="505"/>
      <c r="AA233" s="505"/>
      <c r="AB233" s="505"/>
      <c r="AC233" s="505"/>
      <c r="AD233" s="505"/>
      <c r="AE233" s="505"/>
      <c r="AF233" s="505"/>
      <c r="AG233" s="505"/>
      <c r="AH233" s="505"/>
      <c r="AI233" s="505"/>
      <c r="AJ233" s="505"/>
      <c r="AK233" s="505"/>
      <c r="AL233" s="505"/>
      <c r="AM233" s="505"/>
      <c r="AN233" s="505"/>
      <c r="AO233" s="505"/>
      <c r="AP233" s="505"/>
      <c r="AQ233" s="505"/>
      <c r="AR233" s="505"/>
      <c r="AS233" s="505"/>
      <c r="AT233" s="505"/>
      <c r="AU233" s="505"/>
      <c r="AV233" s="505"/>
      <c r="AW233" s="505"/>
      <c r="AX233" s="505"/>
      <c r="AY233" s="505"/>
      <c r="AZ233" s="505"/>
      <c r="BA233" s="505"/>
      <c r="BB233" s="505"/>
      <c r="BC233" s="505"/>
      <c r="BD233" s="505"/>
      <c r="BE233" s="505"/>
      <c r="BF233" s="505"/>
      <c r="BG233" s="505"/>
      <c r="BH233" s="505"/>
      <c r="BI233" s="505"/>
      <c r="BJ233" s="505"/>
      <c r="BK233" s="505"/>
      <c r="BL233" s="505"/>
      <c r="BM233" s="505"/>
      <c r="BN233" s="505"/>
      <c r="BO233" s="505"/>
      <c r="BP233" s="505"/>
      <c r="BQ233" s="505"/>
      <c r="BR233" s="505"/>
      <c r="BS233" s="505"/>
      <c r="BT233" s="505"/>
      <c r="BU233" s="505"/>
      <c r="BV233" s="505"/>
      <c r="BW233" s="505"/>
      <c r="BX233" s="505"/>
      <c r="BY233" s="505"/>
      <c r="BZ233" s="505"/>
      <c r="CA233" s="505"/>
      <c r="CB233" s="505"/>
      <c r="CC233" s="505"/>
      <c r="CD233" s="505"/>
      <c r="CE233" s="505"/>
      <c r="CF233" s="505"/>
      <c r="CG233" s="505"/>
      <c r="CH233" s="505"/>
      <c r="CI233" s="505"/>
      <c r="CJ233" s="505"/>
      <c r="CK233" s="505"/>
      <c r="CL233" s="505"/>
      <c r="CM233" s="505"/>
      <c r="CN233" s="505"/>
      <c r="CO233" s="505"/>
      <c r="CP233" s="505"/>
      <c r="CQ233" s="505"/>
      <c r="CR233" s="505"/>
      <c r="CS233" s="505"/>
      <c r="CT233" s="505"/>
      <c r="CU233" s="505"/>
      <c r="CV233" s="505"/>
      <c r="CW233" s="505"/>
      <c r="CX233" s="505"/>
      <c r="CY233" s="505"/>
      <c r="CZ233" s="505"/>
      <c r="DA233" s="505"/>
      <c r="DB233" s="505"/>
      <c r="DC233" s="505"/>
      <c r="DD233" s="505"/>
      <c r="DE233" s="505"/>
      <c r="DF233" s="505"/>
      <c r="DG233" s="505"/>
      <c r="DH233" s="505"/>
      <c r="DI233" s="505"/>
      <c r="DJ233" s="505"/>
      <c r="DK233" s="505"/>
      <c r="DL233" s="505"/>
      <c r="DM233" s="505"/>
      <c r="DN233" s="505"/>
      <c r="DO233" s="505"/>
      <c r="DP233" s="505"/>
    </row>
    <row r="234" spans="1:120" hidden="1" outlineLevel="1" x14ac:dyDescent="0.2">
      <c r="A234" s="517">
        <f t="shared" si="43"/>
        <v>38108</v>
      </c>
      <c r="B234" s="517" t="str">
        <f t="shared" si="40"/>
        <v>2Q04</v>
      </c>
      <c r="C234" s="517" t="str">
        <f t="shared" si="44"/>
        <v>3Q04</v>
      </c>
      <c r="D234" s="518">
        <f t="shared" si="45"/>
        <v>38191</v>
      </c>
      <c r="E234" s="518">
        <f t="shared" si="45"/>
        <v>38131</v>
      </c>
      <c r="F234" s="520">
        <v>1.7609999999999999</v>
      </c>
      <c r="G234" s="521">
        <f t="shared" si="41"/>
        <v>0.12999999999999998</v>
      </c>
      <c r="H234" s="521">
        <f t="shared" si="42"/>
        <v>0.11999999999999998</v>
      </c>
      <c r="I234" s="505"/>
      <c r="J234" s="505"/>
      <c r="K234" s="505"/>
      <c r="L234" s="505"/>
      <c r="M234" s="528"/>
      <c r="N234" s="505"/>
      <c r="O234" s="505"/>
      <c r="P234" s="505"/>
      <c r="Q234" s="505"/>
      <c r="R234" s="505"/>
      <c r="S234" s="505"/>
      <c r="T234" s="505"/>
      <c r="U234" s="505"/>
      <c r="V234" s="505"/>
      <c r="W234" s="505"/>
      <c r="X234" s="505"/>
      <c r="Y234" s="505"/>
      <c r="Z234" s="505"/>
      <c r="AA234" s="505"/>
      <c r="AB234" s="505"/>
      <c r="AC234" s="505"/>
      <c r="AD234" s="505"/>
      <c r="AE234" s="505"/>
      <c r="AF234" s="505"/>
      <c r="AG234" s="505"/>
      <c r="AH234" s="505"/>
      <c r="AI234" s="505"/>
      <c r="AJ234" s="505"/>
      <c r="AK234" s="505"/>
      <c r="AL234" s="505"/>
      <c r="AM234" s="505"/>
      <c r="AN234" s="505"/>
      <c r="AO234" s="505"/>
      <c r="AP234" s="505"/>
      <c r="AQ234" s="505"/>
      <c r="AR234" s="505"/>
      <c r="AS234" s="505"/>
      <c r="AT234" s="505"/>
      <c r="AU234" s="505"/>
      <c r="AV234" s="505"/>
      <c r="AW234" s="505"/>
      <c r="AX234" s="505"/>
      <c r="AY234" s="505"/>
      <c r="AZ234" s="505"/>
      <c r="BA234" s="505"/>
      <c r="BB234" s="505"/>
      <c r="BC234" s="505"/>
      <c r="BD234" s="505"/>
      <c r="BE234" s="505"/>
      <c r="BF234" s="505"/>
      <c r="BG234" s="505"/>
      <c r="BH234" s="505"/>
      <c r="BI234" s="505"/>
      <c r="BJ234" s="505"/>
      <c r="BK234" s="505"/>
      <c r="BL234" s="505"/>
      <c r="BM234" s="505"/>
      <c r="BN234" s="505"/>
      <c r="BO234" s="505"/>
      <c r="BP234" s="505"/>
      <c r="BQ234" s="505"/>
      <c r="BR234" s="505"/>
      <c r="BS234" s="505"/>
      <c r="BT234" s="505"/>
      <c r="BU234" s="505"/>
      <c r="BV234" s="505"/>
      <c r="BW234" s="505"/>
      <c r="BX234" s="505"/>
      <c r="BY234" s="505"/>
      <c r="BZ234" s="505"/>
      <c r="CA234" s="505"/>
      <c r="CB234" s="505"/>
      <c r="CC234" s="505"/>
      <c r="CD234" s="505"/>
      <c r="CE234" s="505"/>
      <c r="CF234" s="505"/>
      <c r="CG234" s="505"/>
      <c r="CH234" s="505"/>
      <c r="CI234" s="505"/>
      <c r="CJ234" s="505"/>
      <c r="CK234" s="505"/>
      <c r="CL234" s="505"/>
      <c r="CM234" s="505"/>
      <c r="CN234" s="505"/>
      <c r="CO234" s="505"/>
      <c r="CP234" s="505"/>
      <c r="CQ234" s="505"/>
      <c r="CR234" s="505"/>
      <c r="CS234" s="505"/>
      <c r="CT234" s="505"/>
      <c r="CU234" s="505"/>
      <c r="CV234" s="505"/>
      <c r="CW234" s="505"/>
      <c r="CX234" s="505"/>
      <c r="CY234" s="505"/>
      <c r="CZ234" s="505"/>
      <c r="DA234" s="505"/>
      <c r="DB234" s="505"/>
      <c r="DC234" s="505"/>
      <c r="DD234" s="505"/>
      <c r="DE234" s="505"/>
      <c r="DF234" s="505"/>
      <c r="DG234" s="505"/>
      <c r="DH234" s="505"/>
      <c r="DI234" s="505"/>
      <c r="DJ234" s="505"/>
      <c r="DK234" s="505"/>
      <c r="DL234" s="505"/>
      <c r="DM234" s="505"/>
      <c r="DN234" s="505"/>
      <c r="DO234" s="505"/>
      <c r="DP234" s="505"/>
    </row>
    <row r="235" spans="1:120" hidden="1" outlineLevel="1" x14ac:dyDescent="0.2">
      <c r="A235" s="517">
        <f t="shared" si="43"/>
        <v>38108</v>
      </c>
      <c r="B235" s="517" t="str">
        <f t="shared" si="40"/>
        <v>2Q04</v>
      </c>
      <c r="C235" s="517" t="str">
        <f t="shared" si="44"/>
        <v>3Q04</v>
      </c>
      <c r="D235" s="518">
        <f t="shared" si="45"/>
        <v>38198</v>
      </c>
      <c r="E235" s="518">
        <f t="shared" si="45"/>
        <v>38138</v>
      </c>
      <c r="F235" s="520">
        <v>1.746</v>
      </c>
      <c r="G235" s="521">
        <f t="shared" si="41"/>
        <v>0.11999999999999998</v>
      </c>
      <c r="H235" s="521">
        <f t="shared" si="42"/>
        <v>0.11999999999999998</v>
      </c>
      <c r="I235" s="505"/>
      <c r="J235" s="505"/>
      <c r="K235" s="505"/>
      <c r="L235" s="505"/>
      <c r="M235" s="528"/>
      <c r="N235" s="505"/>
      <c r="O235" s="505"/>
      <c r="P235" s="505"/>
      <c r="Q235" s="505"/>
      <c r="R235" s="505"/>
      <c r="S235" s="505"/>
      <c r="T235" s="505"/>
      <c r="U235" s="505"/>
      <c r="V235" s="505"/>
      <c r="W235" s="505"/>
      <c r="X235" s="505"/>
      <c r="Y235" s="505"/>
      <c r="Z235" s="505"/>
      <c r="AA235" s="505"/>
      <c r="AB235" s="505"/>
      <c r="AC235" s="505"/>
      <c r="AD235" s="505"/>
      <c r="AE235" s="505"/>
      <c r="AF235" s="505"/>
      <c r="AG235" s="505"/>
      <c r="AH235" s="505"/>
      <c r="AI235" s="505"/>
      <c r="AJ235" s="505"/>
      <c r="AK235" s="505"/>
      <c r="AL235" s="505"/>
      <c r="AM235" s="505"/>
      <c r="AN235" s="505"/>
      <c r="AO235" s="505"/>
      <c r="AP235" s="505"/>
      <c r="AQ235" s="505"/>
      <c r="AR235" s="505"/>
      <c r="AS235" s="505"/>
      <c r="AT235" s="505"/>
      <c r="AU235" s="505"/>
      <c r="AV235" s="505"/>
      <c r="AW235" s="505"/>
      <c r="AX235" s="505"/>
      <c r="AY235" s="505"/>
      <c r="AZ235" s="505"/>
      <c r="BA235" s="505"/>
      <c r="BB235" s="505"/>
      <c r="BC235" s="505"/>
      <c r="BD235" s="505"/>
      <c r="BE235" s="505"/>
      <c r="BF235" s="505"/>
      <c r="BG235" s="505"/>
      <c r="BH235" s="505"/>
      <c r="BI235" s="505"/>
      <c r="BJ235" s="505"/>
      <c r="BK235" s="505"/>
      <c r="BL235" s="505"/>
      <c r="BM235" s="505"/>
      <c r="BN235" s="505"/>
      <c r="BO235" s="505"/>
      <c r="BP235" s="505"/>
      <c r="BQ235" s="505"/>
      <c r="BR235" s="505"/>
      <c r="BS235" s="505"/>
      <c r="BT235" s="505"/>
      <c r="BU235" s="505"/>
      <c r="BV235" s="505"/>
      <c r="BW235" s="505"/>
      <c r="BX235" s="505"/>
      <c r="BY235" s="505"/>
      <c r="BZ235" s="505"/>
      <c r="CA235" s="505"/>
      <c r="CB235" s="505"/>
      <c r="CC235" s="505"/>
      <c r="CD235" s="505"/>
      <c r="CE235" s="505"/>
      <c r="CF235" s="505"/>
      <c r="CG235" s="505"/>
      <c r="CH235" s="505"/>
      <c r="CI235" s="505"/>
      <c r="CJ235" s="505"/>
      <c r="CK235" s="505"/>
      <c r="CL235" s="505"/>
      <c r="CM235" s="505"/>
      <c r="CN235" s="505"/>
      <c r="CO235" s="505"/>
      <c r="CP235" s="505"/>
      <c r="CQ235" s="505"/>
      <c r="CR235" s="505"/>
      <c r="CS235" s="505"/>
      <c r="CT235" s="505"/>
      <c r="CU235" s="505"/>
      <c r="CV235" s="505"/>
      <c r="CW235" s="505"/>
      <c r="CX235" s="505"/>
      <c r="CY235" s="505"/>
      <c r="CZ235" s="505"/>
      <c r="DA235" s="505"/>
      <c r="DB235" s="505"/>
      <c r="DC235" s="505"/>
      <c r="DD235" s="505"/>
      <c r="DE235" s="505"/>
      <c r="DF235" s="505"/>
      <c r="DG235" s="505"/>
      <c r="DH235" s="505"/>
      <c r="DI235" s="505"/>
      <c r="DJ235" s="505"/>
      <c r="DK235" s="505"/>
      <c r="DL235" s="505"/>
      <c r="DM235" s="505"/>
      <c r="DN235" s="505"/>
      <c r="DO235" s="505"/>
      <c r="DP235" s="505"/>
    </row>
    <row r="236" spans="1:120" hidden="1" outlineLevel="1" x14ac:dyDescent="0.2">
      <c r="A236" s="517">
        <f t="shared" si="43"/>
        <v>38139</v>
      </c>
      <c r="B236" s="517" t="str">
        <f t="shared" si="40"/>
        <v>2Q04</v>
      </c>
      <c r="C236" s="517" t="str">
        <f t="shared" si="44"/>
        <v>3Q04</v>
      </c>
      <c r="D236" s="518">
        <f t="shared" si="45"/>
        <v>38205</v>
      </c>
      <c r="E236" s="518">
        <f t="shared" si="45"/>
        <v>38145</v>
      </c>
      <c r="F236" s="520">
        <v>1.734</v>
      </c>
      <c r="G236" s="521">
        <f t="shared" si="41"/>
        <v>0.11999999999999998</v>
      </c>
      <c r="H236" s="521">
        <f t="shared" si="42"/>
        <v>0.11999999999999998</v>
      </c>
      <c r="I236" s="505"/>
      <c r="J236" s="505"/>
      <c r="K236" s="505"/>
      <c r="L236" s="505"/>
      <c r="M236" s="528"/>
      <c r="N236" s="505"/>
      <c r="O236" s="505"/>
      <c r="P236" s="505"/>
      <c r="Q236" s="505"/>
      <c r="R236" s="505"/>
      <c r="S236" s="505"/>
      <c r="T236" s="505"/>
      <c r="U236" s="505"/>
      <c r="V236" s="505"/>
      <c r="W236" s="505"/>
      <c r="X236" s="505"/>
      <c r="Y236" s="505"/>
      <c r="Z236" s="505"/>
      <c r="AA236" s="505"/>
      <c r="AB236" s="505"/>
      <c r="AC236" s="505"/>
      <c r="AD236" s="505"/>
      <c r="AE236" s="505"/>
      <c r="AF236" s="505"/>
      <c r="AG236" s="505"/>
      <c r="AH236" s="505"/>
      <c r="AI236" s="505"/>
      <c r="AJ236" s="505"/>
      <c r="AK236" s="505"/>
      <c r="AL236" s="505"/>
      <c r="AM236" s="505"/>
      <c r="AN236" s="505"/>
      <c r="AO236" s="505"/>
      <c r="AP236" s="505"/>
      <c r="AQ236" s="505"/>
      <c r="AR236" s="505"/>
      <c r="AS236" s="505"/>
      <c r="AT236" s="505"/>
      <c r="AU236" s="505"/>
      <c r="AV236" s="505"/>
      <c r="AW236" s="505"/>
      <c r="AX236" s="505"/>
      <c r="AY236" s="505"/>
      <c r="AZ236" s="505"/>
      <c r="BA236" s="505"/>
      <c r="BB236" s="505"/>
      <c r="BC236" s="505"/>
      <c r="BD236" s="505"/>
      <c r="BE236" s="505"/>
      <c r="BF236" s="505"/>
      <c r="BG236" s="505"/>
      <c r="BH236" s="505"/>
      <c r="BI236" s="505"/>
      <c r="BJ236" s="505"/>
      <c r="BK236" s="505"/>
      <c r="BL236" s="505"/>
      <c r="BM236" s="505"/>
      <c r="BN236" s="505"/>
      <c r="BO236" s="505"/>
      <c r="BP236" s="505"/>
      <c r="BQ236" s="505"/>
      <c r="BR236" s="505"/>
      <c r="BS236" s="505"/>
      <c r="BT236" s="505"/>
      <c r="BU236" s="505"/>
      <c r="BV236" s="505"/>
      <c r="BW236" s="505"/>
      <c r="BX236" s="505"/>
      <c r="BY236" s="505"/>
      <c r="BZ236" s="505"/>
      <c r="CA236" s="505"/>
      <c r="CB236" s="505"/>
      <c r="CC236" s="505"/>
      <c r="CD236" s="505"/>
      <c r="CE236" s="505"/>
      <c r="CF236" s="505"/>
      <c r="CG236" s="505"/>
      <c r="CH236" s="505"/>
      <c r="CI236" s="505"/>
      <c r="CJ236" s="505"/>
      <c r="CK236" s="505"/>
      <c r="CL236" s="505"/>
      <c r="CM236" s="505"/>
      <c r="CN236" s="505"/>
      <c r="CO236" s="505"/>
      <c r="CP236" s="505"/>
      <c r="CQ236" s="505"/>
      <c r="CR236" s="505"/>
      <c r="CS236" s="505"/>
      <c r="CT236" s="505"/>
      <c r="CU236" s="505"/>
      <c r="CV236" s="505"/>
      <c r="CW236" s="505"/>
      <c r="CX236" s="505"/>
      <c r="CY236" s="505"/>
      <c r="CZ236" s="505"/>
      <c r="DA236" s="505"/>
      <c r="DB236" s="505"/>
      <c r="DC236" s="505"/>
      <c r="DD236" s="505"/>
      <c r="DE236" s="505"/>
      <c r="DF236" s="505"/>
      <c r="DG236" s="505"/>
      <c r="DH236" s="505"/>
      <c r="DI236" s="505"/>
      <c r="DJ236" s="505"/>
      <c r="DK236" s="505"/>
      <c r="DL236" s="505"/>
      <c r="DM236" s="505"/>
      <c r="DN236" s="505"/>
      <c r="DO236" s="505"/>
      <c r="DP236" s="505"/>
    </row>
    <row r="237" spans="1:120" hidden="1" outlineLevel="1" x14ac:dyDescent="0.2">
      <c r="A237" s="517">
        <f t="shared" si="43"/>
        <v>38139</v>
      </c>
      <c r="B237" s="517" t="str">
        <f t="shared" si="40"/>
        <v>2Q04</v>
      </c>
      <c r="C237" s="517" t="str">
        <f t="shared" si="44"/>
        <v>3Q04</v>
      </c>
      <c r="D237" s="518">
        <f t="shared" si="45"/>
        <v>38212</v>
      </c>
      <c r="E237" s="518">
        <f t="shared" si="45"/>
        <v>38152</v>
      </c>
      <c r="F237" s="520">
        <v>1.7109999999999999</v>
      </c>
      <c r="G237" s="521">
        <f t="shared" si="41"/>
        <v>0.11999999999999998</v>
      </c>
      <c r="H237" s="521">
        <f t="shared" si="42"/>
        <v>0.10999999999999999</v>
      </c>
      <c r="I237" s="505"/>
      <c r="J237" s="505"/>
      <c r="K237" s="505"/>
      <c r="L237" s="505"/>
      <c r="M237" s="528"/>
      <c r="N237" s="505"/>
      <c r="O237" s="505"/>
      <c r="P237" s="505"/>
      <c r="Q237" s="505"/>
      <c r="R237" s="505"/>
      <c r="S237" s="505"/>
      <c r="T237" s="505"/>
      <c r="U237" s="505"/>
      <c r="V237" s="505"/>
      <c r="W237" s="505"/>
      <c r="X237" s="505"/>
      <c r="Y237" s="505"/>
      <c r="Z237" s="505"/>
      <c r="AA237" s="505"/>
      <c r="AB237" s="505"/>
      <c r="AC237" s="505"/>
      <c r="AD237" s="505"/>
      <c r="AE237" s="505"/>
      <c r="AF237" s="505"/>
      <c r="AG237" s="505"/>
      <c r="AH237" s="505"/>
      <c r="AI237" s="505"/>
      <c r="AJ237" s="505"/>
      <c r="AK237" s="505"/>
      <c r="AL237" s="505"/>
      <c r="AM237" s="505"/>
      <c r="AN237" s="505"/>
      <c r="AO237" s="505"/>
      <c r="AP237" s="505"/>
      <c r="AQ237" s="505"/>
      <c r="AR237" s="505"/>
      <c r="AS237" s="505"/>
      <c r="AT237" s="505"/>
      <c r="AU237" s="505"/>
      <c r="AV237" s="505"/>
      <c r="AW237" s="505"/>
      <c r="AX237" s="505"/>
      <c r="AY237" s="505"/>
      <c r="AZ237" s="505"/>
      <c r="BA237" s="505"/>
      <c r="BB237" s="505"/>
      <c r="BC237" s="505"/>
      <c r="BD237" s="505"/>
      <c r="BE237" s="505"/>
      <c r="BF237" s="505"/>
      <c r="BG237" s="505"/>
      <c r="BH237" s="505"/>
      <c r="BI237" s="505"/>
      <c r="BJ237" s="505"/>
      <c r="BK237" s="505"/>
      <c r="BL237" s="505"/>
      <c r="BM237" s="505"/>
      <c r="BN237" s="505"/>
      <c r="BO237" s="505"/>
      <c r="BP237" s="505"/>
      <c r="BQ237" s="505"/>
      <c r="BR237" s="505"/>
      <c r="BS237" s="505"/>
      <c r="BT237" s="505"/>
      <c r="BU237" s="505"/>
      <c r="BV237" s="505"/>
      <c r="BW237" s="505"/>
      <c r="BX237" s="505"/>
      <c r="BY237" s="505"/>
      <c r="BZ237" s="505"/>
      <c r="CA237" s="505"/>
      <c r="CB237" s="505"/>
      <c r="CC237" s="505"/>
      <c r="CD237" s="505"/>
      <c r="CE237" s="505"/>
      <c r="CF237" s="505"/>
      <c r="CG237" s="505"/>
      <c r="CH237" s="505"/>
      <c r="CI237" s="505"/>
      <c r="CJ237" s="505"/>
      <c r="CK237" s="505"/>
      <c r="CL237" s="505"/>
      <c r="CM237" s="505"/>
      <c r="CN237" s="505"/>
      <c r="CO237" s="505"/>
      <c r="CP237" s="505"/>
      <c r="CQ237" s="505"/>
      <c r="CR237" s="505"/>
      <c r="CS237" s="505"/>
      <c r="CT237" s="505"/>
      <c r="CU237" s="505"/>
      <c r="CV237" s="505"/>
      <c r="CW237" s="505"/>
      <c r="CX237" s="505"/>
      <c r="CY237" s="505"/>
      <c r="CZ237" s="505"/>
      <c r="DA237" s="505"/>
      <c r="DB237" s="505"/>
      <c r="DC237" s="505"/>
      <c r="DD237" s="505"/>
      <c r="DE237" s="505"/>
      <c r="DF237" s="505"/>
      <c r="DG237" s="505"/>
      <c r="DH237" s="505"/>
      <c r="DI237" s="505"/>
      <c r="DJ237" s="505"/>
      <c r="DK237" s="505"/>
      <c r="DL237" s="505"/>
      <c r="DM237" s="505"/>
      <c r="DN237" s="505"/>
      <c r="DO237" s="505"/>
      <c r="DP237" s="505"/>
    </row>
    <row r="238" spans="1:120" hidden="1" outlineLevel="1" x14ac:dyDescent="0.2">
      <c r="A238" s="517">
        <f t="shared" si="43"/>
        <v>38139</v>
      </c>
      <c r="B238" s="517" t="str">
        <f t="shared" si="40"/>
        <v>2Q04</v>
      </c>
      <c r="C238" s="517" t="str">
        <f t="shared" si="44"/>
        <v>3Q04</v>
      </c>
      <c r="D238" s="518">
        <f t="shared" si="45"/>
        <v>38219</v>
      </c>
      <c r="E238" s="518">
        <f t="shared" si="45"/>
        <v>38159</v>
      </c>
      <c r="F238" s="520">
        <v>1.7</v>
      </c>
      <c r="G238" s="521">
        <f t="shared" si="41"/>
        <v>0.10999999999999999</v>
      </c>
      <c r="H238" s="521">
        <f t="shared" si="42"/>
        <v>0.10999999999999999</v>
      </c>
      <c r="I238" s="505"/>
      <c r="J238" s="505"/>
      <c r="K238" s="505"/>
      <c r="L238" s="505"/>
      <c r="M238" s="528"/>
      <c r="N238" s="505"/>
      <c r="O238" s="505"/>
      <c r="P238" s="505"/>
      <c r="Q238" s="505"/>
      <c r="R238" s="505"/>
      <c r="S238" s="505"/>
      <c r="T238" s="505"/>
      <c r="U238" s="505"/>
      <c r="V238" s="505"/>
      <c r="W238" s="505"/>
      <c r="X238" s="505"/>
      <c r="Y238" s="505"/>
      <c r="Z238" s="505"/>
      <c r="AA238" s="505"/>
      <c r="AB238" s="505"/>
      <c r="AC238" s="505"/>
      <c r="AD238" s="505"/>
      <c r="AE238" s="505"/>
      <c r="AF238" s="505"/>
      <c r="AG238" s="505"/>
      <c r="AH238" s="505"/>
      <c r="AI238" s="505"/>
      <c r="AJ238" s="505"/>
      <c r="AK238" s="505"/>
      <c r="AL238" s="505"/>
      <c r="AM238" s="505"/>
      <c r="AN238" s="505"/>
      <c r="AO238" s="505"/>
      <c r="AP238" s="505"/>
      <c r="AQ238" s="505"/>
      <c r="AR238" s="505"/>
      <c r="AS238" s="505"/>
      <c r="AT238" s="505"/>
      <c r="AU238" s="505"/>
      <c r="AV238" s="505"/>
      <c r="AW238" s="505"/>
      <c r="AX238" s="505"/>
      <c r="AY238" s="505"/>
      <c r="AZ238" s="505"/>
      <c r="BA238" s="505"/>
      <c r="BB238" s="505"/>
      <c r="BC238" s="505"/>
      <c r="BD238" s="505"/>
      <c r="BE238" s="505"/>
      <c r="BF238" s="505"/>
      <c r="BG238" s="505"/>
      <c r="BH238" s="505"/>
      <c r="BI238" s="505"/>
      <c r="BJ238" s="505"/>
      <c r="BK238" s="505"/>
      <c r="BL238" s="505"/>
      <c r="BM238" s="505"/>
      <c r="BN238" s="505"/>
      <c r="BO238" s="505"/>
      <c r="BP238" s="505"/>
      <c r="BQ238" s="505"/>
      <c r="BR238" s="505"/>
      <c r="BS238" s="505"/>
      <c r="BT238" s="505"/>
      <c r="BU238" s="505"/>
      <c r="BV238" s="505"/>
      <c r="BW238" s="505"/>
      <c r="BX238" s="505"/>
      <c r="BY238" s="505"/>
      <c r="BZ238" s="505"/>
      <c r="CA238" s="505"/>
      <c r="CB238" s="505"/>
      <c r="CC238" s="505"/>
      <c r="CD238" s="505"/>
      <c r="CE238" s="505"/>
      <c r="CF238" s="505"/>
      <c r="CG238" s="505"/>
      <c r="CH238" s="505"/>
      <c r="CI238" s="505"/>
      <c r="CJ238" s="505"/>
      <c r="CK238" s="505"/>
      <c r="CL238" s="505"/>
      <c r="CM238" s="505"/>
      <c r="CN238" s="505"/>
      <c r="CO238" s="505"/>
      <c r="CP238" s="505"/>
      <c r="CQ238" s="505"/>
      <c r="CR238" s="505"/>
      <c r="CS238" s="505"/>
      <c r="CT238" s="505"/>
      <c r="CU238" s="505"/>
      <c r="CV238" s="505"/>
      <c r="CW238" s="505"/>
      <c r="CX238" s="505"/>
      <c r="CY238" s="505"/>
      <c r="CZ238" s="505"/>
      <c r="DA238" s="505"/>
      <c r="DB238" s="505"/>
      <c r="DC238" s="505"/>
      <c r="DD238" s="505"/>
      <c r="DE238" s="505"/>
      <c r="DF238" s="505"/>
      <c r="DG238" s="505"/>
      <c r="DH238" s="505"/>
      <c r="DI238" s="505"/>
      <c r="DJ238" s="505"/>
      <c r="DK238" s="505"/>
      <c r="DL238" s="505"/>
      <c r="DM238" s="505"/>
      <c r="DN238" s="505"/>
      <c r="DO238" s="505"/>
      <c r="DP238" s="505"/>
    </row>
    <row r="239" spans="1:120" hidden="1" outlineLevel="1" x14ac:dyDescent="0.2">
      <c r="A239" s="517">
        <f t="shared" si="43"/>
        <v>38139</v>
      </c>
      <c r="B239" s="517" t="str">
        <f t="shared" si="40"/>
        <v>2Q04</v>
      </c>
      <c r="C239" s="517" t="str">
        <f t="shared" si="44"/>
        <v>3Q04</v>
      </c>
      <c r="D239" s="518">
        <f t="shared" si="45"/>
        <v>38226</v>
      </c>
      <c r="E239" s="518">
        <f t="shared" si="45"/>
        <v>38166</v>
      </c>
      <c r="F239" s="520">
        <v>1.7</v>
      </c>
      <c r="G239" s="521">
        <f t="shared" si="41"/>
        <v>0.10999999999999999</v>
      </c>
      <c r="H239" s="521">
        <f t="shared" si="42"/>
        <v>0.11999999999999998</v>
      </c>
      <c r="I239" s="505"/>
      <c r="J239" s="505"/>
      <c r="K239" s="505"/>
      <c r="L239" s="505"/>
      <c r="M239" s="528"/>
      <c r="N239" s="505"/>
      <c r="O239" s="505"/>
      <c r="P239" s="505"/>
      <c r="Q239" s="505"/>
      <c r="R239" s="505"/>
      <c r="S239" s="505"/>
      <c r="T239" s="505"/>
      <c r="U239" s="505"/>
      <c r="V239" s="505"/>
      <c r="W239" s="505"/>
      <c r="X239" s="505"/>
      <c r="Y239" s="505"/>
      <c r="Z239" s="505"/>
      <c r="AA239" s="505"/>
      <c r="AB239" s="505"/>
      <c r="AC239" s="505"/>
      <c r="AD239" s="505"/>
      <c r="AE239" s="505"/>
      <c r="AF239" s="505"/>
      <c r="AG239" s="505"/>
      <c r="AH239" s="505"/>
      <c r="AI239" s="505"/>
      <c r="AJ239" s="505"/>
      <c r="AK239" s="505"/>
      <c r="AL239" s="505"/>
      <c r="AM239" s="505"/>
      <c r="AN239" s="505"/>
      <c r="AO239" s="505"/>
      <c r="AP239" s="505"/>
      <c r="AQ239" s="505"/>
      <c r="AR239" s="505"/>
      <c r="AS239" s="505"/>
      <c r="AT239" s="505"/>
      <c r="AU239" s="505"/>
      <c r="AV239" s="505"/>
      <c r="AW239" s="505"/>
      <c r="AX239" s="505"/>
      <c r="AY239" s="505"/>
      <c r="AZ239" s="505"/>
      <c r="BA239" s="505"/>
      <c r="BB239" s="505"/>
      <c r="BC239" s="505"/>
      <c r="BD239" s="505"/>
      <c r="BE239" s="505"/>
      <c r="BF239" s="505"/>
      <c r="BG239" s="505"/>
      <c r="BH239" s="505"/>
      <c r="BI239" s="505"/>
      <c r="BJ239" s="505"/>
      <c r="BK239" s="505"/>
      <c r="BL239" s="505"/>
      <c r="BM239" s="505"/>
      <c r="BN239" s="505"/>
      <c r="BO239" s="505"/>
      <c r="BP239" s="505"/>
      <c r="BQ239" s="505"/>
      <c r="BR239" s="505"/>
      <c r="BS239" s="505"/>
      <c r="BT239" s="505"/>
      <c r="BU239" s="505"/>
      <c r="BV239" s="505"/>
      <c r="BW239" s="505"/>
      <c r="BX239" s="505"/>
      <c r="BY239" s="505"/>
      <c r="BZ239" s="505"/>
      <c r="CA239" s="505"/>
      <c r="CB239" s="505"/>
      <c r="CC239" s="505"/>
      <c r="CD239" s="505"/>
      <c r="CE239" s="505"/>
      <c r="CF239" s="505"/>
      <c r="CG239" s="505"/>
      <c r="CH239" s="505"/>
      <c r="CI239" s="505"/>
      <c r="CJ239" s="505"/>
      <c r="CK239" s="505"/>
      <c r="CL239" s="505"/>
      <c r="CM239" s="505"/>
      <c r="CN239" s="505"/>
      <c r="CO239" s="505"/>
      <c r="CP239" s="505"/>
      <c r="CQ239" s="505"/>
      <c r="CR239" s="505"/>
      <c r="CS239" s="505"/>
      <c r="CT239" s="505"/>
      <c r="CU239" s="505"/>
      <c r="CV239" s="505"/>
      <c r="CW239" s="505"/>
      <c r="CX239" s="505"/>
      <c r="CY239" s="505"/>
      <c r="CZ239" s="505"/>
      <c r="DA239" s="505"/>
      <c r="DB239" s="505"/>
      <c r="DC239" s="505"/>
      <c r="DD239" s="505"/>
      <c r="DE239" s="505"/>
      <c r="DF239" s="505"/>
      <c r="DG239" s="505"/>
      <c r="DH239" s="505"/>
      <c r="DI239" s="505"/>
      <c r="DJ239" s="505"/>
      <c r="DK239" s="505"/>
      <c r="DL239" s="505"/>
      <c r="DM239" s="505"/>
      <c r="DN239" s="505"/>
      <c r="DO239" s="505"/>
      <c r="DP239" s="505"/>
    </row>
    <row r="240" spans="1:120" hidden="1" outlineLevel="1" x14ac:dyDescent="0.2">
      <c r="A240" s="517">
        <f t="shared" si="43"/>
        <v>38169</v>
      </c>
      <c r="B240" s="517" t="str">
        <f t="shared" si="40"/>
        <v>3Q04</v>
      </c>
      <c r="C240" s="517" t="str">
        <f t="shared" si="44"/>
        <v>3Q04</v>
      </c>
      <c r="D240" s="518">
        <f t="shared" si="45"/>
        <v>38233</v>
      </c>
      <c r="E240" s="518">
        <f t="shared" si="45"/>
        <v>38173</v>
      </c>
      <c r="F240" s="520">
        <v>1.716</v>
      </c>
      <c r="G240" s="521">
        <f t="shared" si="41"/>
        <v>0.11999999999999998</v>
      </c>
      <c r="H240" s="521">
        <f t="shared" si="42"/>
        <v>0.11999999999999998</v>
      </c>
      <c r="I240" s="505"/>
      <c r="J240" s="505"/>
      <c r="K240" s="505"/>
      <c r="L240" s="505"/>
      <c r="M240" s="528"/>
      <c r="N240" s="505"/>
      <c r="O240" s="505"/>
      <c r="P240" s="505"/>
      <c r="Q240" s="505"/>
      <c r="R240" s="505"/>
      <c r="S240" s="505"/>
      <c r="T240" s="505"/>
      <c r="U240" s="505"/>
      <c r="V240" s="505"/>
      <c r="W240" s="505"/>
      <c r="X240" s="505"/>
      <c r="Y240" s="505"/>
      <c r="Z240" s="505"/>
      <c r="AA240" s="505"/>
      <c r="AB240" s="505"/>
      <c r="AC240" s="505"/>
      <c r="AD240" s="505"/>
      <c r="AE240" s="505"/>
      <c r="AF240" s="505"/>
      <c r="AG240" s="505"/>
      <c r="AH240" s="505"/>
      <c r="AI240" s="505"/>
      <c r="AJ240" s="505"/>
      <c r="AK240" s="505"/>
      <c r="AL240" s="505"/>
      <c r="AM240" s="505"/>
      <c r="AN240" s="505"/>
      <c r="AO240" s="505"/>
      <c r="AP240" s="505"/>
      <c r="AQ240" s="505"/>
      <c r="AR240" s="505"/>
      <c r="AS240" s="505"/>
      <c r="AT240" s="505"/>
      <c r="AU240" s="505"/>
      <c r="AV240" s="505"/>
      <c r="AW240" s="505"/>
      <c r="AX240" s="505"/>
      <c r="AY240" s="505"/>
      <c r="AZ240" s="505"/>
      <c r="BA240" s="505"/>
      <c r="BB240" s="505"/>
      <c r="BC240" s="505"/>
      <c r="BD240" s="505"/>
      <c r="BE240" s="505"/>
      <c r="BF240" s="505"/>
      <c r="BG240" s="505"/>
      <c r="BH240" s="505"/>
      <c r="BI240" s="505"/>
      <c r="BJ240" s="505"/>
      <c r="BK240" s="505"/>
      <c r="BL240" s="505"/>
      <c r="BM240" s="505"/>
      <c r="BN240" s="505"/>
      <c r="BO240" s="505"/>
      <c r="BP240" s="505"/>
      <c r="BQ240" s="505"/>
      <c r="BR240" s="505"/>
      <c r="BS240" s="505"/>
      <c r="BT240" s="505"/>
      <c r="BU240" s="505"/>
      <c r="BV240" s="505"/>
      <c r="BW240" s="505"/>
      <c r="BX240" s="505"/>
      <c r="BY240" s="505"/>
      <c r="BZ240" s="505"/>
      <c r="CA240" s="505"/>
      <c r="CB240" s="505"/>
      <c r="CC240" s="505"/>
      <c r="CD240" s="505"/>
      <c r="CE240" s="505"/>
      <c r="CF240" s="505"/>
      <c r="CG240" s="505"/>
      <c r="CH240" s="505"/>
      <c r="CI240" s="505"/>
      <c r="CJ240" s="505"/>
      <c r="CK240" s="505"/>
      <c r="CL240" s="505"/>
      <c r="CM240" s="505"/>
      <c r="CN240" s="505"/>
      <c r="CO240" s="505"/>
      <c r="CP240" s="505"/>
      <c r="CQ240" s="505"/>
      <c r="CR240" s="505"/>
      <c r="CS240" s="505"/>
      <c r="CT240" s="505"/>
      <c r="CU240" s="505"/>
      <c r="CV240" s="505"/>
      <c r="CW240" s="505"/>
      <c r="CX240" s="505"/>
      <c r="CY240" s="505"/>
      <c r="CZ240" s="505"/>
      <c r="DA240" s="505"/>
      <c r="DB240" s="505"/>
      <c r="DC240" s="505"/>
      <c r="DD240" s="505"/>
      <c r="DE240" s="505"/>
      <c r="DF240" s="505"/>
      <c r="DG240" s="505"/>
      <c r="DH240" s="505"/>
      <c r="DI240" s="505"/>
      <c r="DJ240" s="505"/>
      <c r="DK240" s="505"/>
      <c r="DL240" s="505"/>
      <c r="DM240" s="505"/>
      <c r="DN240" s="505"/>
      <c r="DO240" s="505"/>
      <c r="DP240" s="505"/>
    </row>
    <row r="241" spans="1:120" hidden="1" outlineLevel="1" x14ac:dyDescent="0.2">
      <c r="A241" s="517">
        <f t="shared" si="43"/>
        <v>38169</v>
      </c>
      <c r="B241" s="517" t="str">
        <f t="shared" si="40"/>
        <v>3Q04</v>
      </c>
      <c r="C241" s="517" t="str">
        <f t="shared" si="44"/>
        <v>3Q04</v>
      </c>
      <c r="D241" s="518">
        <f t="shared" si="45"/>
        <v>38240</v>
      </c>
      <c r="E241" s="518">
        <f t="shared" si="45"/>
        <v>38180</v>
      </c>
      <c r="F241" s="520">
        <v>1.74</v>
      </c>
      <c r="G241" s="521">
        <f t="shared" si="41"/>
        <v>0.11999999999999998</v>
      </c>
      <c r="H241" s="521">
        <f t="shared" si="42"/>
        <v>0.11999999999999998</v>
      </c>
      <c r="I241" s="505"/>
      <c r="J241" s="505"/>
      <c r="K241" s="505"/>
      <c r="L241" s="505"/>
      <c r="M241" s="528"/>
      <c r="N241" s="505"/>
      <c r="O241" s="505"/>
      <c r="P241" s="505"/>
      <c r="Q241" s="505"/>
      <c r="R241" s="505"/>
      <c r="S241" s="505"/>
      <c r="T241" s="505"/>
      <c r="U241" s="505"/>
      <c r="V241" s="505"/>
      <c r="W241" s="505"/>
      <c r="X241" s="505"/>
      <c r="Y241" s="505"/>
      <c r="Z241" s="505"/>
      <c r="AA241" s="505"/>
      <c r="AB241" s="505"/>
      <c r="AC241" s="505"/>
      <c r="AD241" s="505"/>
      <c r="AE241" s="505"/>
      <c r="AF241" s="505"/>
      <c r="AG241" s="505"/>
      <c r="AH241" s="505"/>
      <c r="AI241" s="505"/>
      <c r="AJ241" s="505"/>
      <c r="AK241" s="505"/>
      <c r="AL241" s="505"/>
      <c r="AM241" s="505"/>
      <c r="AN241" s="505"/>
      <c r="AO241" s="505"/>
      <c r="AP241" s="505"/>
      <c r="AQ241" s="505"/>
      <c r="AR241" s="505"/>
      <c r="AS241" s="505"/>
      <c r="AT241" s="505"/>
      <c r="AU241" s="505"/>
      <c r="AV241" s="505"/>
      <c r="AW241" s="505"/>
      <c r="AX241" s="505"/>
      <c r="AY241" s="505"/>
      <c r="AZ241" s="505"/>
      <c r="BA241" s="505"/>
      <c r="BB241" s="505"/>
      <c r="BC241" s="505"/>
      <c r="BD241" s="505"/>
      <c r="BE241" s="505"/>
      <c r="BF241" s="505"/>
      <c r="BG241" s="505"/>
      <c r="BH241" s="505"/>
      <c r="BI241" s="505"/>
      <c r="BJ241" s="505"/>
      <c r="BK241" s="505"/>
      <c r="BL241" s="505"/>
      <c r="BM241" s="505"/>
      <c r="BN241" s="505"/>
      <c r="BO241" s="505"/>
      <c r="BP241" s="505"/>
      <c r="BQ241" s="505"/>
      <c r="BR241" s="505"/>
      <c r="BS241" s="505"/>
      <c r="BT241" s="505"/>
      <c r="BU241" s="505"/>
      <c r="BV241" s="505"/>
      <c r="BW241" s="505"/>
      <c r="BX241" s="505"/>
      <c r="BY241" s="505"/>
      <c r="BZ241" s="505"/>
      <c r="CA241" s="505"/>
      <c r="CB241" s="505"/>
      <c r="CC241" s="505"/>
      <c r="CD241" s="505"/>
      <c r="CE241" s="505"/>
      <c r="CF241" s="505"/>
      <c r="CG241" s="505"/>
      <c r="CH241" s="505"/>
      <c r="CI241" s="505"/>
      <c r="CJ241" s="505"/>
      <c r="CK241" s="505"/>
      <c r="CL241" s="505"/>
      <c r="CM241" s="505"/>
      <c r="CN241" s="505"/>
      <c r="CO241" s="505"/>
      <c r="CP241" s="505"/>
      <c r="CQ241" s="505"/>
      <c r="CR241" s="505"/>
      <c r="CS241" s="505"/>
      <c r="CT241" s="505"/>
      <c r="CU241" s="505"/>
      <c r="CV241" s="505"/>
      <c r="CW241" s="505"/>
      <c r="CX241" s="505"/>
      <c r="CY241" s="505"/>
      <c r="CZ241" s="505"/>
      <c r="DA241" s="505"/>
      <c r="DB241" s="505"/>
      <c r="DC241" s="505"/>
      <c r="DD241" s="505"/>
      <c r="DE241" s="505"/>
      <c r="DF241" s="505"/>
      <c r="DG241" s="505"/>
      <c r="DH241" s="505"/>
      <c r="DI241" s="505"/>
      <c r="DJ241" s="505"/>
      <c r="DK241" s="505"/>
      <c r="DL241" s="505"/>
      <c r="DM241" s="505"/>
      <c r="DN241" s="505"/>
      <c r="DO241" s="505"/>
      <c r="DP241" s="505"/>
    </row>
    <row r="242" spans="1:120" hidden="1" outlineLevel="1" x14ac:dyDescent="0.2">
      <c r="A242" s="517">
        <f t="shared" si="43"/>
        <v>38169</v>
      </c>
      <c r="B242" s="517" t="str">
        <f t="shared" si="40"/>
        <v>3Q04</v>
      </c>
      <c r="C242" s="517" t="str">
        <f t="shared" si="44"/>
        <v>3Q04</v>
      </c>
      <c r="D242" s="518">
        <f t="shared" si="45"/>
        <v>38247</v>
      </c>
      <c r="E242" s="518">
        <f t="shared" si="45"/>
        <v>38187</v>
      </c>
      <c r="F242" s="520">
        <v>1.744</v>
      </c>
      <c r="G242" s="521">
        <f t="shared" si="41"/>
        <v>0.11999999999999998</v>
      </c>
      <c r="H242" s="521">
        <f t="shared" si="42"/>
        <v>0.12999999999999998</v>
      </c>
      <c r="I242" s="505"/>
      <c r="J242" s="505"/>
      <c r="K242" s="505"/>
      <c r="L242" s="505"/>
      <c r="M242" s="528"/>
      <c r="N242" s="505"/>
      <c r="O242" s="505"/>
      <c r="P242" s="505"/>
      <c r="Q242" s="505"/>
      <c r="R242" s="505"/>
      <c r="S242" s="505"/>
      <c r="T242" s="505"/>
      <c r="U242" s="505"/>
      <c r="V242" s="505"/>
      <c r="W242" s="505"/>
      <c r="X242" s="505"/>
      <c r="Y242" s="505"/>
      <c r="Z242" s="505"/>
      <c r="AA242" s="505"/>
      <c r="AB242" s="505"/>
      <c r="AC242" s="505"/>
      <c r="AD242" s="505"/>
      <c r="AE242" s="505"/>
      <c r="AF242" s="505"/>
      <c r="AG242" s="505"/>
      <c r="AH242" s="505"/>
      <c r="AI242" s="505"/>
      <c r="AJ242" s="505"/>
      <c r="AK242" s="505"/>
      <c r="AL242" s="505"/>
      <c r="AM242" s="505"/>
      <c r="AN242" s="505"/>
      <c r="AO242" s="505"/>
      <c r="AP242" s="505"/>
      <c r="AQ242" s="505"/>
      <c r="AR242" s="505"/>
      <c r="AS242" s="505"/>
      <c r="AT242" s="505"/>
      <c r="AU242" s="505"/>
      <c r="AV242" s="505"/>
      <c r="AW242" s="505"/>
      <c r="AX242" s="505"/>
      <c r="AY242" s="505"/>
      <c r="AZ242" s="505"/>
      <c r="BA242" s="505"/>
      <c r="BB242" s="505"/>
      <c r="BC242" s="505"/>
      <c r="BD242" s="505"/>
      <c r="BE242" s="505"/>
      <c r="BF242" s="505"/>
      <c r="BG242" s="505"/>
      <c r="BH242" s="505"/>
      <c r="BI242" s="505"/>
      <c r="BJ242" s="505"/>
      <c r="BK242" s="505"/>
      <c r="BL242" s="505"/>
      <c r="BM242" s="505"/>
      <c r="BN242" s="505"/>
      <c r="BO242" s="505"/>
      <c r="BP242" s="505"/>
      <c r="BQ242" s="505"/>
      <c r="BR242" s="505"/>
      <c r="BS242" s="505"/>
      <c r="BT242" s="505"/>
      <c r="BU242" s="505"/>
      <c r="BV242" s="505"/>
      <c r="BW242" s="505"/>
      <c r="BX242" s="505"/>
      <c r="BY242" s="505"/>
      <c r="BZ242" s="505"/>
      <c r="CA242" s="505"/>
      <c r="CB242" s="505"/>
      <c r="CC242" s="505"/>
      <c r="CD242" s="505"/>
      <c r="CE242" s="505"/>
      <c r="CF242" s="505"/>
      <c r="CG242" s="505"/>
      <c r="CH242" s="505"/>
      <c r="CI242" s="505"/>
      <c r="CJ242" s="505"/>
      <c r="CK242" s="505"/>
      <c r="CL242" s="505"/>
      <c r="CM242" s="505"/>
      <c r="CN242" s="505"/>
      <c r="CO242" s="505"/>
      <c r="CP242" s="505"/>
      <c r="CQ242" s="505"/>
      <c r="CR242" s="505"/>
      <c r="CS242" s="505"/>
      <c r="CT242" s="505"/>
      <c r="CU242" s="505"/>
      <c r="CV242" s="505"/>
      <c r="CW242" s="505"/>
      <c r="CX242" s="505"/>
      <c r="CY242" s="505"/>
      <c r="CZ242" s="505"/>
      <c r="DA242" s="505"/>
      <c r="DB242" s="505"/>
      <c r="DC242" s="505"/>
      <c r="DD242" s="505"/>
      <c r="DE242" s="505"/>
      <c r="DF242" s="505"/>
      <c r="DG242" s="505"/>
      <c r="DH242" s="505"/>
      <c r="DI242" s="505"/>
      <c r="DJ242" s="505"/>
      <c r="DK242" s="505"/>
      <c r="DL242" s="505"/>
      <c r="DM242" s="505"/>
      <c r="DN242" s="505"/>
      <c r="DO242" s="505"/>
      <c r="DP242" s="505"/>
    </row>
    <row r="243" spans="1:120" hidden="1" outlineLevel="1" x14ac:dyDescent="0.2">
      <c r="A243" s="517">
        <f t="shared" si="43"/>
        <v>38169</v>
      </c>
      <c r="B243" s="517" t="str">
        <f t="shared" si="40"/>
        <v>3Q04</v>
      </c>
      <c r="C243" s="517" t="str">
        <f t="shared" si="44"/>
        <v>3Q04</v>
      </c>
      <c r="D243" s="518">
        <f t="shared" si="45"/>
        <v>38254</v>
      </c>
      <c r="E243" s="518">
        <f t="shared" si="45"/>
        <v>38194</v>
      </c>
      <c r="F243" s="520">
        <v>1.754</v>
      </c>
      <c r="G243" s="521">
        <f t="shared" si="41"/>
        <v>0.12999999999999998</v>
      </c>
      <c r="H243" s="521">
        <f t="shared" si="42"/>
        <v>0.12999999999999998</v>
      </c>
      <c r="I243" s="505"/>
      <c r="J243" s="505"/>
      <c r="K243" s="505"/>
      <c r="L243" s="505"/>
      <c r="M243" s="528"/>
      <c r="N243" s="505"/>
      <c r="O243" s="505"/>
      <c r="P243" s="505"/>
      <c r="Q243" s="505"/>
      <c r="R243" s="505"/>
      <c r="S243" s="505"/>
      <c r="T243" s="505"/>
      <c r="U243" s="505"/>
      <c r="V243" s="505"/>
      <c r="W243" s="505"/>
      <c r="X243" s="505"/>
      <c r="Y243" s="505"/>
      <c r="Z243" s="505"/>
      <c r="AA243" s="505"/>
      <c r="AB243" s="505"/>
      <c r="AC243" s="505"/>
      <c r="AD243" s="505"/>
      <c r="AE243" s="505"/>
      <c r="AF243" s="505"/>
      <c r="AG243" s="505"/>
      <c r="AH243" s="505"/>
      <c r="AI243" s="505"/>
      <c r="AJ243" s="505"/>
      <c r="AK243" s="505"/>
      <c r="AL243" s="505"/>
      <c r="AM243" s="505"/>
      <c r="AN243" s="505"/>
      <c r="AO243" s="505"/>
      <c r="AP243" s="505"/>
      <c r="AQ243" s="505"/>
      <c r="AR243" s="505"/>
      <c r="AS243" s="505"/>
      <c r="AT243" s="505"/>
      <c r="AU243" s="505"/>
      <c r="AV243" s="505"/>
      <c r="AW243" s="505"/>
      <c r="AX243" s="505"/>
      <c r="AY243" s="505"/>
      <c r="AZ243" s="505"/>
      <c r="BA243" s="505"/>
      <c r="BB243" s="505"/>
      <c r="BC243" s="505"/>
      <c r="BD243" s="505"/>
      <c r="BE243" s="505"/>
      <c r="BF243" s="505"/>
      <c r="BG243" s="505"/>
      <c r="BH243" s="505"/>
      <c r="BI243" s="505"/>
      <c r="BJ243" s="505"/>
      <c r="BK243" s="505"/>
      <c r="BL243" s="505"/>
      <c r="BM243" s="505"/>
      <c r="BN243" s="505"/>
      <c r="BO243" s="505"/>
      <c r="BP243" s="505"/>
      <c r="BQ243" s="505"/>
      <c r="BR243" s="505"/>
      <c r="BS243" s="505"/>
      <c r="BT243" s="505"/>
      <c r="BU243" s="505"/>
      <c r="BV243" s="505"/>
      <c r="BW243" s="505"/>
      <c r="BX243" s="505"/>
      <c r="BY243" s="505"/>
      <c r="BZ243" s="505"/>
      <c r="CA243" s="505"/>
      <c r="CB243" s="505"/>
      <c r="CC243" s="505"/>
      <c r="CD243" s="505"/>
      <c r="CE243" s="505"/>
      <c r="CF243" s="505"/>
      <c r="CG243" s="505"/>
      <c r="CH243" s="505"/>
      <c r="CI243" s="505"/>
      <c r="CJ243" s="505"/>
      <c r="CK243" s="505"/>
      <c r="CL243" s="505"/>
      <c r="CM243" s="505"/>
      <c r="CN243" s="505"/>
      <c r="CO243" s="505"/>
      <c r="CP243" s="505"/>
      <c r="CQ243" s="505"/>
      <c r="CR243" s="505"/>
      <c r="CS243" s="505"/>
      <c r="CT243" s="505"/>
      <c r="CU243" s="505"/>
      <c r="CV243" s="505"/>
      <c r="CW243" s="505"/>
      <c r="CX243" s="505"/>
      <c r="CY243" s="505"/>
      <c r="CZ243" s="505"/>
      <c r="DA243" s="505"/>
      <c r="DB243" s="505"/>
      <c r="DC243" s="505"/>
      <c r="DD243" s="505"/>
      <c r="DE243" s="505"/>
      <c r="DF243" s="505"/>
      <c r="DG243" s="505"/>
      <c r="DH243" s="505"/>
      <c r="DI243" s="505"/>
      <c r="DJ243" s="505"/>
      <c r="DK243" s="505"/>
      <c r="DL243" s="505"/>
      <c r="DM243" s="505"/>
      <c r="DN243" s="505"/>
      <c r="DO243" s="505"/>
      <c r="DP243" s="505"/>
    </row>
    <row r="244" spans="1:120" hidden="1" outlineLevel="1" x14ac:dyDescent="0.2">
      <c r="A244" s="517">
        <f t="shared" si="43"/>
        <v>38200</v>
      </c>
      <c r="B244" s="517" t="str">
        <f t="shared" si="40"/>
        <v>3Q04</v>
      </c>
      <c r="C244" s="517" t="str">
        <f t="shared" si="44"/>
        <v>4Q04</v>
      </c>
      <c r="D244" s="518">
        <f t="shared" si="45"/>
        <v>38261</v>
      </c>
      <c r="E244" s="518">
        <f t="shared" si="45"/>
        <v>38201</v>
      </c>
      <c r="F244" s="520">
        <v>1.78</v>
      </c>
      <c r="G244" s="521">
        <f t="shared" si="41"/>
        <v>0.12999999999999998</v>
      </c>
      <c r="H244" s="521">
        <f t="shared" si="42"/>
        <v>0.13999999999999999</v>
      </c>
      <c r="I244" s="505"/>
      <c r="J244" s="505"/>
      <c r="K244" s="505"/>
      <c r="L244" s="505"/>
      <c r="M244" s="528"/>
      <c r="N244" s="505"/>
      <c r="O244" s="505"/>
      <c r="P244" s="505"/>
      <c r="Q244" s="505"/>
      <c r="R244" s="505"/>
      <c r="S244" s="505"/>
      <c r="T244" s="505"/>
      <c r="U244" s="505"/>
      <c r="V244" s="505"/>
      <c r="W244" s="505"/>
      <c r="X244" s="505"/>
      <c r="Y244" s="505"/>
      <c r="Z244" s="505"/>
      <c r="AA244" s="505"/>
      <c r="AB244" s="505"/>
      <c r="AC244" s="505"/>
      <c r="AD244" s="505"/>
      <c r="AE244" s="505"/>
      <c r="AF244" s="505"/>
      <c r="AG244" s="505"/>
      <c r="AH244" s="505"/>
      <c r="AI244" s="505"/>
      <c r="AJ244" s="505"/>
      <c r="AK244" s="505"/>
      <c r="AL244" s="505"/>
      <c r="AM244" s="505"/>
      <c r="AN244" s="505"/>
      <c r="AO244" s="505"/>
      <c r="AP244" s="505"/>
      <c r="AQ244" s="505"/>
      <c r="AR244" s="505"/>
      <c r="AS244" s="505"/>
      <c r="AT244" s="505"/>
      <c r="AU244" s="505"/>
      <c r="AV244" s="505"/>
      <c r="AW244" s="505"/>
      <c r="AX244" s="505"/>
      <c r="AY244" s="505"/>
      <c r="AZ244" s="505"/>
      <c r="BA244" s="505"/>
      <c r="BB244" s="505"/>
      <c r="BC244" s="505"/>
      <c r="BD244" s="505"/>
      <c r="BE244" s="505"/>
      <c r="BF244" s="505"/>
      <c r="BG244" s="505"/>
      <c r="BH244" s="505"/>
      <c r="BI244" s="505"/>
      <c r="BJ244" s="505"/>
      <c r="BK244" s="505"/>
      <c r="BL244" s="505"/>
      <c r="BM244" s="505"/>
      <c r="BN244" s="505"/>
      <c r="BO244" s="505"/>
      <c r="BP244" s="505"/>
      <c r="BQ244" s="505"/>
      <c r="BR244" s="505"/>
      <c r="BS244" s="505"/>
      <c r="BT244" s="505"/>
      <c r="BU244" s="505"/>
      <c r="BV244" s="505"/>
      <c r="BW244" s="505"/>
      <c r="BX244" s="505"/>
      <c r="BY244" s="505"/>
      <c r="BZ244" s="505"/>
      <c r="CA244" s="505"/>
      <c r="CB244" s="505"/>
      <c r="CC244" s="505"/>
      <c r="CD244" s="505"/>
      <c r="CE244" s="505"/>
      <c r="CF244" s="505"/>
      <c r="CG244" s="505"/>
      <c r="CH244" s="505"/>
      <c r="CI244" s="505"/>
      <c r="CJ244" s="505"/>
      <c r="CK244" s="505"/>
      <c r="CL244" s="505"/>
      <c r="CM244" s="505"/>
      <c r="CN244" s="505"/>
      <c r="CO244" s="505"/>
      <c r="CP244" s="505"/>
      <c r="CQ244" s="505"/>
      <c r="CR244" s="505"/>
      <c r="CS244" s="505"/>
      <c r="CT244" s="505"/>
      <c r="CU244" s="505"/>
      <c r="CV244" s="505"/>
      <c r="CW244" s="505"/>
      <c r="CX244" s="505"/>
      <c r="CY244" s="505"/>
      <c r="CZ244" s="505"/>
      <c r="DA244" s="505"/>
      <c r="DB244" s="505"/>
      <c r="DC244" s="505"/>
      <c r="DD244" s="505"/>
      <c r="DE244" s="505"/>
      <c r="DF244" s="505"/>
      <c r="DG244" s="505"/>
      <c r="DH244" s="505"/>
      <c r="DI244" s="505"/>
      <c r="DJ244" s="505"/>
      <c r="DK244" s="505"/>
      <c r="DL244" s="505"/>
      <c r="DM244" s="505"/>
      <c r="DN244" s="505"/>
      <c r="DO244" s="505"/>
      <c r="DP244" s="505"/>
    </row>
    <row r="245" spans="1:120" hidden="1" outlineLevel="1" x14ac:dyDescent="0.2">
      <c r="A245" s="517">
        <f t="shared" si="43"/>
        <v>38200</v>
      </c>
      <c r="B245" s="517" t="str">
        <f t="shared" si="40"/>
        <v>3Q04</v>
      </c>
      <c r="C245" s="517" t="str">
        <f t="shared" si="44"/>
        <v>4Q04</v>
      </c>
      <c r="D245" s="518">
        <f t="shared" si="45"/>
        <v>38268</v>
      </c>
      <c r="E245" s="518">
        <f t="shared" si="45"/>
        <v>38208</v>
      </c>
      <c r="F245" s="520">
        <v>1.8140000000000001</v>
      </c>
      <c r="G245" s="521">
        <f t="shared" si="41"/>
        <v>0.13999999999999999</v>
      </c>
      <c r="H245" s="521">
        <f t="shared" si="42"/>
        <v>0.13999999999999999</v>
      </c>
      <c r="I245" s="505"/>
      <c r="J245" s="505"/>
      <c r="K245" s="505"/>
      <c r="L245" s="505"/>
      <c r="M245" s="528"/>
      <c r="N245" s="505"/>
      <c r="O245" s="505"/>
      <c r="P245" s="505"/>
      <c r="Q245" s="505"/>
      <c r="R245" s="505"/>
      <c r="S245" s="505"/>
      <c r="T245" s="505"/>
      <c r="U245" s="505"/>
      <c r="V245" s="505"/>
      <c r="W245" s="505"/>
      <c r="X245" s="505"/>
      <c r="Y245" s="505"/>
      <c r="Z245" s="505"/>
      <c r="AA245" s="505"/>
      <c r="AB245" s="505"/>
      <c r="AC245" s="505"/>
      <c r="AD245" s="505"/>
      <c r="AE245" s="505"/>
      <c r="AF245" s="505"/>
      <c r="AG245" s="505"/>
      <c r="AH245" s="505"/>
      <c r="AI245" s="505"/>
      <c r="AJ245" s="505"/>
      <c r="AK245" s="505"/>
      <c r="AL245" s="505"/>
      <c r="AM245" s="505"/>
      <c r="AN245" s="505"/>
      <c r="AO245" s="505"/>
      <c r="AP245" s="505"/>
      <c r="AQ245" s="505"/>
      <c r="AR245" s="505"/>
      <c r="AS245" s="505"/>
      <c r="AT245" s="505"/>
      <c r="AU245" s="505"/>
      <c r="AV245" s="505"/>
      <c r="AW245" s="505"/>
      <c r="AX245" s="505"/>
      <c r="AY245" s="505"/>
      <c r="AZ245" s="505"/>
      <c r="BA245" s="505"/>
      <c r="BB245" s="505"/>
      <c r="BC245" s="505"/>
      <c r="BD245" s="505"/>
      <c r="BE245" s="505"/>
      <c r="BF245" s="505"/>
      <c r="BG245" s="505"/>
      <c r="BH245" s="505"/>
      <c r="BI245" s="505"/>
      <c r="BJ245" s="505"/>
      <c r="BK245" s="505"/>
      <c r="BL245" s="505"/>
      <c r="BM245" s="505"/>
      <c r="BN245" s="505"/>
      <c r="BO245" s="505"/>
      <c r="BP245" s="505"/>
      <c r="BQ245" s="505"/>
      <c r="BR245" s="505"/>
      <c r="BS245" s="505"/>
      <c r="BT245" s="505"/>
      <c r="BU245" s="505"/>
      <c r="BV245" s="505"/>
      <c r="BW245" s="505"/>
      <c r="BX245" s="505"/>
      <c r="BY245" s="505"/>
      <c r="BZ245" s="505"/>
      <c r="CA245" s="505"/>
      <c r="CB245" s="505"/>
      <c r="CC245" s="505"/>
      <c r="CD245" s="505"/>
      <c r="CE245" s="505"/>
      <c r="CF245" s="505"/>
      <c r="CG245" s="505"/>
      <c r="CH245" s="505"/>
      <c r="CI245" s="505"/>
      <c r="CJ245" s="505"/>
      <c r="CK245" s="505"/>
      <c r="CL245" s="505"/>
      <c r="CM245" s="505"/>
      <c r="CN245" s="505"/>
      <c r="CO245" s="505"/>
      <c r="CP245" s="505"/>
      <c r="CQ245" s="505"/>
      <c r="CR245" s="505"/>
      <c r="CS245" s="505"/>
      <c r="CT245" s="505"/>
      <c r="CU245" s="505"/>
      <c r="CV245" s="505"/>
      <c r="CW245" s="505"/>
      <c r="CX245" s="505"/>
      <c r="CY245" s="505"/>
      <c r="CZ245" s="505"/>
      <c r="DA245" s="505"/>
      <c r="DB245" s="505"/>
      <c r="DC245" s="505"/>
      <c r="DD245" s="505"/>
      <c r="DE245" s="505"/>
      <c r="DF245" s="505"/>
      <c r="DG245" s="505"/>
      <c r="DH245" s="505"/>
      <c r="DI245" s="505"/>
      <c r="DJ245" s="505"/>
      <c r="DK245" s="505"/>
      <c r="DL245" s="505"/>
      <c r="DM245" s="505"/>
      <c r="DN245" s="505"/>
      <c r="DO245" s="505"/>
      <c r="DP245" s="505"/>
    </row>
    <row r="246" spans="1:120" hidden="1" outlineLevel="1" x14ac:dyDescent="0.2">
      <c r="A246" s="517">
        <f t="shared" si="43"/>
        <v>38200</v>
      </c>
      <c r="B246" s="517" t="str">
        <f t="shared" si="40"/>
        <v>3Q04</v>
      </c>
      <c r="C246" s="517" t="str">
        <f t="shared" si="44"/>
        <v>4Q04</v>
      </c>
      <c r="D246" s="518">
        <f t="shared" si="45"/>
        <v>38275</v>
      </c>
      <c r="E246" s="518">
        <f t="shared" si="45"/>
        <v>38215</v>
      </c>
      <c r="F246" s="520">
        <v>1.825</v>
      </c>
      <c r="G246" s="521">
        <f t="shared" si="41"/>
        <v>0.13999999999999999</v>
      </c>
      <c r="H246" s="521">
        <f t="shared" si="42"/>
        <v>0.15</v>
      </c>
      <c r="I246" s="505"/>
      <c r="J246" s="505"/>
      <c r="K246" s="505"/>
      <c r="L246" s="505"/>
      <c r="M246" s="528"/>
      <c r="N246" s="505"/>
      <c r="O246" s="505"/>
      <c r="P246" s="505"/>
      <c r="Q246" s="505"/>
      <c r="R246" s="505"/>
      <c r="S246" s="505"/>
      <c r="T246" s="505"/>
      <c r="U246" s="505"/>
      <c r="V246" s="505"/>
      <c r="W246" s="505"/>
      <c r="X246" s="505"/>
      <c r="Y246" s="505"/>
      <c r="Z246" s="505"/>
      <c r="AA246" s="505"/>
      <c r="AB246" s="505"/>
      <c r="AC246" s="505"/>
      <c r="AD246" s="505"/>
      <c r="AE246" s="505"/>
      <c r="AF246" s="505"/>
      <c r="AG246" s="505"/>
      <c r="AH246" s="505"/>
      <c r="AI246" s="505"/>
      <c r="AJ246" s="505"/>
      <c r="AK246" s="505"/>
      <c r="AL246" s="505"/>
      <c r="AM246" s="505"/>
      <c r="AN246" s="505"/>
      <c r="AO246" s="505"/>
      <c r="AP246" s="505"/>
      <c r="AQ246" s="505"/>
      <c r="AR246" s="505"/>
      <c r="AS246" s="505"/>
      <c r="AT246" s="505"/>
      <c r="AU246" s="505"/>
      <c r="AV246" s="505"/>
      <c r="AW246" s="505"/>
      <c r="AX246" s="505"/>
      <c r="AY246" s="505"/>
      <c r="AZ246" s="505"/>
      <c r="BA246" s="505"/>
      <c r="BB246" s="505"/>
      <c r="BC246" s="505"/>
      <c r="BD246" s="505"/>
      <c r="BE246" s="505"/>
      <c r="BF246" s="505"/>
      <c r="BG246" s="505"/>
      <c r="BH246" s="505"/>
      <c r="BI246" s="505"/>
      <c r="BJ246" s="505"/>
      <c r="BK246" s="505"/>
      <c r="BL246" s="505"/>
      <c r="BM246" s="505"/>
      <c r="BN246" s="505"/>
      <c r="BO246" s="505"/>
      <c r="BP246" s="505"/>
      <c r="BQ246" s="505"/>
      <c r="BR246" s="505"/>
      <c r="BS246" s="505"/>
      <c r="BT246" s="505"/>
      <c r="BU246" s="505"/>
      <c r="BV246" s="505"/>
      <c r="BW246" s="505"/>
      <c r="BX246" s="505"/>
      <c r="BY246" s="505"/>
      <c r="BZ246" s="505"/>
      <c r="CA246" s="505"/>
      <c r="CB246" s="505"/>
      <c r="CC246" s="505"/>
      <c r="CD246" s="505"/>
      <c r="CE246" s="505"/>
      <c r="CF246" s="505"/>
      <c r="CG246" s="505"/>
      <c r="CH246" s="505"/>
      <c r="CI246" s="505"/>
      <c r="CJ246" s="505"/>
      <c r="CK246" s="505"/>
      <c r="CL246" s="505"/>
      <c r="CM246" s="505"/>
      <c r="CN246" s="505"/>
      <c r="CO246" s="505"/>
      <c r="CP246" s="505"/>
      <c r="CQ246" s="505"/>
      <c r="CR246" s="505"/>
      <c r="CS246" s="505"/>
      <c r="CT246" s="505"/>
      <c r="CU246" s="505"/>
      <c r="CV246" s="505"/>
      <c r="CW246" s="505"/>
      <c r="CX246" s="505"/>
      <c r="CY246" s="505"/>
      <c r="CZ246" s="505"/>
      <c r="DA246" s="505"/>
      <c r="DB246" s="505"/>
      <c r="DC246" s="505"/>
      <c r="DD246" s="505"/>
      <c r="DE246" s="505"/>
      <c r="DF246" s="505"/>
      <c r="DG246" s="505"/>
      <c r="DH246" s="505"/>
      <c r="DI246" s="505"/>
      <c r="DJ246" s="505"/>
      <c r="DK246" s="505"/>
      <c r="DL246" s="505"/>
      <c r="DM246" s="505"/>
      <c r="DN246" s="505"/>
      <c r="DO246" s="505"/>
      <c r="DP246" s="505"/>
    </row>
    <row r="247" spans="1:120" hidden="1" outlineLevel="1" x14ac:dyDescent="0.2">
      <c r="A247" s="517">
        <f t="shared" si="43"/>
        <v>38200</v>
      </c>
      <c r="B247" s="517" t="str">
        <f t="shared" si="40"/>
        <v>3Q04</v>
      </c>
      <c r="C247" s="517" t="str">
        <f t="shared" si="44"/>
        <v>4Q04</v>
      </c>
      <c r="D247" s="518">
        <f t="shared" si="45"/>
        <v>38282</v>
      </c>
      <c r="E247" s="518">
        <f t="shared" si="45"/>
        <v>38222</v>
      </c>
      <c r="F247" s="520">
        <v>1.8740000000000001</v>
      </c>
      <c r="G247" s="521">
        <f t="shared" si="41"/>
        <v>0.15</v>
      </c>
      <c r="H247" s="521">
        <f t="shared" si="42"/>
        <v>0.15</v>
      </c>
      <c r="I247" s="505"/>
      <c r="J247" s="505"/>
      <c r="K247" s="505"/>
      <c r="L247" s="505"/>
      <c r="M247" s="528"/>
      <c r="N247" s="505"/>
      <c r="O247" s="505"/>
      <c r="P247" s="505"/>
      <c r="Q247" s="505"/>
      <c r="R247" s="505"/>
      <c r="S247" s="505"/>
      <c r="T247" s="505"/>
      <c r="U247" s="505"/>
      <c r="V247" s="505"/>
      <c r="W247" s="505"/>
      <c r="X247" s="505"/>
      <c r="Y247" s="505"/>
      <c r="Z247" s="505"/>
      <c r="AA247" s="505"/>
      <c r="AB247" s="505"/>
      <c r="AC247" s="505"/>
      <c r="AD247" s="505"/>
      <c r="AE247" s="505"/>
      <c r="AF247" s="505"/>
      <c r="AG247" s="505"/>
      <c r="AH247" s="505"/>
      <c r="AI247" s="505"/>
      <c r="AJ247" s="505"/>
      <c r="AK247" s="505"/>
      <c r="AL247" s="505"/>
      <c r="AM247" s="505"/>
      <c r="AN247" s="505"/>
      <c r="AO247" s="505"/>
      <c r="AP247" s="505"/>
      <c r="AQ247" s="505"/>
      <c r="AR247" s="505"/>
      <c r="AS247" s="505"/>
      <c r="AT247" s="505"/>
      <c r="AU247" s="505"/>
      <c r="AV247" s="505"/>
      <c r="AW247" s="505"/>
      <c r="AX247" s="505"/>
      <c r="AY247" s="505"/>
      <c r="AZ247" s="505"/>
      <c r="BA247" s="505"/>
      <c r="BB247" s="505"/>
      <c r="BC247" s="505"/>
      <c r="BD247" s="505"/>
      <c r="BE247" s="505"/>
      <c r="BF247" s="505"/>
      <c r="BG247" s="505"/>
      <c r="BH247" s="505"/>
      <c r="BI247" s="505"/>
      <c r="BJ247" s="505"/>
      <c r="BK247" s="505"/>
      <c r="BL247" s="505"/>
      <c r="BM247" s="505"/>
      <c r="BN247" s="505"/>
      <c r="BO247" s="505"/>
      <c r="BP247" s="505"/>
      <c r="BQ247" s="505"/>
      <c r="BR247" s="505"/>
      <c r="BS247" s="505"/>
      <c r="BT247" s="505"/>
      <c r="BU247" s="505"/>
      <c r="BV247" s="505"/>
      <c r="BW247" s="505"/>
      <c r="BX247" s="505"/>
      <c r="BY247" s="505"/>
      <c r="BZ247" s="505"/>
      <c r="CA247" s="505"/>
      <c r="CB247" s="505"/>
      <c r="CC247" s="505"/>
      <c r="CD247" s="505"/>
      <c r="CE247" s="505"/>
      <c r="CF247" s="505"/>
      <c r="CG247" s="505"/>
      <c r="CH247" s="505"/>
      <c r="CI247" s="505"/>
      <c r="CJ247" s="505"/>
      <c r="CK247" s="505"/>
      <c r="CL247" s="505"/>
      <c r="CM247" s="505"/>
      <c r="CN247" s="505"/>
      <c r="CO247" s="505"/>
      <c r="CP247" s="505"/>
      <c r="CQ247" s="505"/>
      <c r="CR247" s="505"/>
      <c r="CS247" s="505"/>
      <c r="CT247" s="505"/>
      <c r="CU247" s="505"/>
      <c r="CV247" s="505"/>
      <c r="CW247" s="505"/>
      <c r="CX247" s="505"/>
      <c r="CY247" s="505"/>
      <c r="CZ247" s="505"/>
      <c r="DA247" s="505"/>
      <c r="DB247" s="505"/>
      <c r="DC247" s="505"/>
      <c r="DD247" s="505"/>
      <c r="DE247" s="505"/>
      <c r="DF247" s="505"/>
      <c r="DG247" s="505"/>
      <c r="DH247" s="505"/>
      <c r="DI247" s="505"/>
      <c r="DJ247" s="505"/>
      <c r="DK247" s="505"/>
      <c r="DL247" s="505"/>
      <c r="DM247" s="505"/>
      <c r="DN247" s="505"/>
      <c r="DO247" s="505"/>
      <c r="DP247" s="505"/>
    </row>
    <row r="248" spans="1:120" hidden="1" outlineLevel="1" x14ac:dyDescent="0.2">
      <c r="A248" s="517">
        <f t="shared" si="43"/>
        <v>38200</v>
      </c>
      <c r="B248" s="517" t="str">
        <f t="shared" si="40"/>
        <v>3Q04</v>
      </c>
      <c r="C248" s="517" t="str">
        <f t="shared" si="44"/>
        <v>4Q04</v>
      </c>
      <c r="D248" s="518">
        <f t="shared" si="45"/>
        <v>38289</v>
      </c>
      <c r="E248" s="518">
        <f t="shared" si="45"/>
        <v>38229</v>
      </c>
      <c r="F248" s="520">
        <v>1.871</v>
      </c>
      <c r="G248" s="521">
        <f t="shared" si="41"/>
        <v>0.15</v>
      </c>
      <c r="H248" s="521">
        <f t="shared" si="42"/>
        <v>0.15</v>
      </c>
      <c r="I248" s="505"/>
      <c r="J248" s="505"/>
      <c r="K248" s="505"/>
      <c r="L248" s="505"/>
      <c r="M248" s="528"/>
      <c r="N248" s="505"/>
      <c r="O248" s="505"/>
      <c r="P248" s="505"/>
      <c r="Q248" s="505"/>
      <c r="R248" s="505"/>
      <c r="S248" s="505"/>
      <c r="T248" s="505"/>
      <c r="U248" s="505"/>
      <c r="V248" s="505"/>
      <c r="W248" s="505"/>
      <c r="X248" s="505"/>
      <c r="Y248" s="505"/>
      <c r="Z248" s="505"/>
      <c r="AA248" s="505"/>
      <c r="AB248" s="505"/>
      <c r="AC248" s="505"/>
      <c r="AD248" s="505"/>
      <c r="AE248" s="505"/>
      <c r="AF248" s="505"/>
      <c r="AG248" s="505"/>
      <c r="AH248" s="505"/>
      <c r="AI248" s="505"/>
      <c r="AJ248" s="505"/>
      <c r="AK248" s="505"/>
      <c r="AL248" s="505"/>
      <c r="AM248" s="505"/>
      <c r="AN248" s="505"/>
      <c r="AO248" s="505"/>
      <c r="AP248" s="505"/>
      <c r="AQ248" s="505"/>
      <c r="AR248" s="505"/>
      <c r="AS248" s="505"/>
      <c r="AT248" s="505"/>
      <c r="AU248" s="505"/>
      <c r="AV248" s="505"/>
      <c r="AW248" s="505"/>
      <c r="AX248" s="505"/>
      <c r="AY248" s="505"/>
      <c r="AZ248" s="505"/>
      <c r="BA248" s="505"/>
      <c r="BB248" s="505"/>
      <c r="BC248" s="505"/>
      <c r="BD248" s="505"/>
      <c r="BE248" s="505"/>
      <c r="BF248" s="505"/>
      <c r="BG248" s="505"/>
      <c r="BH248" s="505"/>
      <c r="BI248" s="505"/>
      <c r="BJ248" s="505"/>
      <c r="BK248" s="505"/>
      <c r="BL248" s="505"/>
      <c r="BM248" s="505"/>
      <c r="BN248" s="505"/>
      <c r="BO248" s="505"/>
      <c r="BP248" s="505"/>
      <c r="BQ248" s="505"/>
      <c r="BR248" s="505"/>
      <c r="BS248" s="505"/>
      <c r="BT248" s="505"/>
      <c r="BU248" s="505"/>
      <c r="BV248" s="505"/>
      <c r="BW248" s="505"/>
      <c r="BX248" s="505"/>
      <c r="BY248" s="505"/>
      <c r="BZ248" s="505"/>
      <c r="CA248" s="505"/>
      <c r="CB248" s="505"/>
      <c r="CC248" s="505"/>
      <c r="CD248" s="505"/>
      <c r="CE248" s="505"/>
      <c r="CF248" s="505"/>
      <c r="CG248" s="505"/>
      <c r="CH248" s="505"/>
      <c r="CI248" s="505"/>
      <c r="CJ248" s="505"/>
      <c r="CK248" s="505"/>
      <c r="CL248" s="505"/>
      <c r="CM248" s="505"/>
      <c r="CN248" s="505"/>
      <c r="CO248" s="505"/>
      <c r="CP248" s="505"/>
      <c r="CQ248" s="505"/>
      <c r="CR248" s="505"/>
      <c r="CS248" s="505"/>
      <c r="CT248" s="505"/>
      <c r="CU248" s="505"/>
      <c r="CV248" s="505"/>
      <c r="CW248" s="505"/>
      <c r="CX248" s="505"/>
      <c r="CY248" s="505"/>
      <c r="CZ248" s="505"/>
      <c r="DA248" s="505"/>
      <c r="DB248" s="505"/>
      <c r="DC248" s="505"/>
      <c r="DD248" s="505"/>
      <c r="DE248" s="505"/>
      <c r="DF248" s="505"/>
      <c r="DG248" s="505"/>
      <c r="DH248" s="505"/>
      <c r="DI248" s="505"/>
      <c r="DJ248" s="505"/>
      <c r="DK248" s="505"/>
      <c r="DL248" s="505"/>
      <c r="DM248" s="505"/>
      <c r="DN248" s="505"/>
      <c r="DO248" s="505"/>
      <c r="DP248" s="505"/>
    </row>
    <row r="249" spans="1:120" hidden="1" outlineLevel="1" x14ac:dyDescent="0.2">
      <c r="A249" s="517">
        <f t="shared" si="43"/>
        <v>38231</v>
      </c>
      <c r="B249" s="517" t="str">
        <f t="shared" si="40"/>
        <v>3Q04</v>
      </c>
      <c r="C249" s="517" t="str">
        <f t="shared" si="44"/>
        <v>4Q04</v>
      </c>
      <c r="D249" s="518">
        <f t="shared" si="45"/>
        <v>38296</v>
      </c>
      <c r="E249" s="518">
        <f t="shared" si="45"/>
        <v>38236</v>
      </c>
      <c r="F249" s="520">
        <v>1.869</v>
      </c>
      <c r="G249" s="521">
        <f t="shared" si="41"/>
        <v>0.15</v>
      </c>
      <c r="H249" s="521">
        <f t="shared" si="42"/>
        <v>0.15</v>
      </c>
      <c r="I249" s="505"/>
      <c r="J249" s="505"/>
      <c r="K249" s="505"/>
      <c r="L249" s="505"/>
      <c r="M249" s="528"/>
      <c r="N249" s="505"/>
      <c r="O249" s="505"/>
      <c r="P249" s="505"/>
      <c r="Q249" s="505"/>
      <c r="R249" s="505"/>
      <c r="S249" s="505"/>
      <c r="T249" s="505"/>
      <c r="U249" s="505"/>
      <c r="V249" s="505"/>
      <c r="W249" s="505"/>
      <c r="X249" s="505"/>
      <c r="Y249" s="505"/>
      <c r="Z249" s="505"/>
      <c r="AA249" s="505"/>
      <c r="AB249" s="505"/>
      <c r="AC249" s="505"/>
      <c r="AD249" s="505"/>
      <c r="AE249" s="505"/>
      <c r="AF249" s="505"/>
      <c r="AG249" s="505"/>
      <c r="AH249" s="505"/>
      <c r="AI249" s="505"/>
      <c r="AJ249" s="505"/>
      <c r="AK249" s="505"/>
      <c r="AL249" s="505"/>
      <c r="AM249" s="505"/>
      <c r="AN249" s="505"/>
      <c r="AO249" s="505"/>
      <c r="AP249" s="505"/>
      <c r="AQ249" s="505"/>
      <c r="AR249" s="505"/>
      <c r="AS249" s="505"/>
      <c r="AT249" s="505"/>
      <c r="AU249" s="505"/>
      <c r="AV249" s="505"/>
      <c r="AW249" s="505"/>
      <c r="AX249" s="505"/>
      <c r="AY249" s="505"/>
      <c r="AZ249" s="505"/>
      <c r="BA249" s="505"/>
      <c r="BB249" s="505"/>
      <c r="BC249" s="505"/>
      <c r="BD249" s="505"/>
      <c r="BE249" s="505"/>
      <c r="BF249" s="505"/>
      <c r="BG249" s="505"/>
      <c r="BH249" s="505"/>
      <c r="BI249" s="505"/>
      <c r="BJ249" s="505"/>
      <c r="BK249" s="505"/>
      <c r="BL249" s="505"/>
      <c r="BM249" s="505"/>
      <c r="BN249" s="505"/>
      <c r="BO249" s="505"/>
      <c r="BP249" s="505"/>
      <c r="BQ249" s="505"/>
      <c r="BR249" s="505"/>
      <c r="BS249" s="505"/>
      <c r="BT249" s="505"/>
      <c r="BU249" s="505"/>
      <c r="BV249" s="505"/>
      <c r="BW249" s="505"/>
      <c r="BX249" s="505"/>
      <c r="BY249" s="505"/>
      <c r="BZ249" s="505"/>
      <c r="CA249" s="505"/>
      <c r="CB249" s="505"/>
      <c r="CC249" s="505"/>
      <c r="CD249" s="505"/>
      <c r="CE249" s="505"/>
      <c r="CF249" s="505"/>
      <c r="CG249" s="505"/>
      <c r="CH249" s="505"/>
      <c r="CI249" s="505"/>
      <c r="CJ249" s="505"/>
      <c r="CK249" s="505"/>
      <c r="CL249" s="505"/>
      <c r="CM249" s="505"/>
      <c r="CN249" s="505"/>
      <c r="CO249" s="505"/>
      <c r="CP249" s="505"/>
      <c r="CQ249" s="505"/>
      <c r="CR249" s="505"/>
      <c r="CS249" s="505"/>
      <c r="CT249" s="505"/>
      <c r="CU249" s="505"/>
      <c r="CV249" s="505"/>
      <c r="CW249" s="505"/>
      <c r="CX249" s="505"/>
      <c r="CY249" s="505"/>
      <c r="CZ249" s="505"/>
      <c r="DA249" s="505"/>
      <c r="DB249" s="505"/>
      <c r="DC249" s="505"/>
      <c r="DD249" s="505"/>
      <c r="DE249" s="505"/>
      <c r="DF249" s="505"/>
      <c r="DG249" s="505"/>
      <c r="DH249" s="505"/>
      <c r="DI249" s="505"/>
      <c r="DJ249" s="505"/>
      <c r="DK249" s="505"/>
      <c r="DL249" s="505"/>
      <c r="DM249" s="505"/>
      <c r="DN249" s="505"/>
      <c r="DO249" s="505"/>
      <c r="DP249" s="505"/>
    </row>
    <row r="250" spans="1:120" hidden="1" outlineLevel="1" x14ac:dyDescent="0.2">
      <c r="A250" s="517">
        <f t="shared" si="43"/>
        <v>38231</v>
      </c>
      <c r="B250" s="517" t="str">
        <f t="shared" si="40"/>
        <v>3Q04</v>
      </c>
      <c r="C250" s="517" t="str">
        <f t="shared" si="44"/>
        <v>4Q04</v>
      </c>
      <c r="D250" s="518">
        <f t="shared" si="45"/>
        <v>38303</v>
      </c>
      <c r="E250" s="518">
        <f t="shared" si="45"/>
        <v>38243</v>
      </c>
      <c r="F250" s="520">
        <v>1.8740000000000001</v>
      </c>
      <c r="G250" s="521">
        <f t="shared" si="41"/>
        <v>0.15</v>
      </c>
      <c r="H250" s="521">
        <f t="shared" si="42"/>
        <v>0.16</v>
      </c>
      <c r="I250" s="505"/>
      <c r="J250" s="505"/>
      <c r="K250" s="505"/>
      <c r="L250" s="505"/>
      <c r="M250" s="528"/>
      <c r="N250" s="505"/>
      <c r="O250" s="505"/>
      <c r="P250" s="505"/>
      <c r="Q250" s="505"/>
      <c r="R250" s="505"/>
      <c r="S250" s="505"/>
      <c r="T250" s="505"/>
      <c r="U250" s="505"/>
      <c r="V250" s="505"/>
      <c r="W250" s="505"/>
      <c r="X250" s="505"/>
      <c r="Y250" s="505"/>
      <c r="Z250" s="505"/>
      <c r="AA250" s="505"/>
      <c r="AB250" s="505"/>
      <c r="AC250" s="505"/>
      <c r="AD250" s="505"/>
      <c r="AE250" s="505"/>
      <c r="AF250" s="505"/>
      <c r="AG250" s="505"/>
      <c r="AH250" s="505"/>
      <c r="AI250" s="505"/>
      <c r="AJ250" s="505"/>
      <c r="AK250" s="505"/>
      <c r="AL250" s="505"/>
      <c r="AM250" s="505"/>
      <c r="AN250" s="505"/>
      <c r="AO250" s="505"/>
      <c r="AP250" s="505"/>
      <c r="AQ250" s="505"/>
      <c r="AR250" s="505"/>
      <c r="AS250" s="505"/>
      <c r="AT250" s="505"/>
      <c r="AU250" s="505"/>
      <c r="AV250" s="505"/>
      <c r="AW250" s="505"/>
      <c r="AX250" s="505"/>
      <c r="AY250" s="505"/>
      <c r="AZ250" s="505"/>
      <c r="BA250" s="505"/>
      <c r="BB250" s="505"/>
      <c r="BC250" s="505"/>
      <c r="BD250" s="505"/>
      <c r="BE250" s="505"/>
      <c r="BF250" s="505"/>
      <c r="BG250" s="505"/>
      <c r="BH250" s="505"/>
      <c r="BI250" s="505"/>
      <c r="BJ250" s="505"/>
      <c r="BK250" s="505"/>
      <c r="BL250" s="505"/>
      <c r="BM250" s="505"/>
      <c r="BN250" s="505"/>
      <c r="BO250" s="505"/>
      <c r="BP250" s="505"/>
      <c r="BQ250" s="505"/>
      <c r="BR250" s="505"/>
      <c r="BS250" s="505"/>
      <c r="BT250" s="505"/>
      <c r="BU250" s="505"/>
      <c r="BV250" s="505"/>
      <c r="BW250" s="505"/>
      <c r="BX250" s="505"/>
      <c r="BY250" s="505"/>
      <c r="BZ250" s="505"/>
      <c r="CA250" s="505"/>
      <c r="CB250" s="505"/>
      <c r="CC250" s="505"/>
      <c r="CD250" s="505"/>
      <c r="CE250" s="505"/>
      <c r="CF250" s="505"/>
      <c r="CG250" s="505"/>
      <c r="CH250" s="505"/>
      <c r="CI250" s="505"/>
      <c r="CJ250" s="505"/>
      <c r="CK250" s="505"/>
      <c r="CL250" s="505"/>
      <c r="CM250" s="505"/>
      <c r="CN250" s="505"/>
      <c r="CO250" s="505"/>
      <c r="CP250" s="505"/>
      <c r="CQ250" s="505"/>
      <c r="CR250" s="505"/>
      <c r="CS250" s="505"/>
      <c r="CT250" s="505"/>
      <c r="CU250" s="505"/>
      <c r="CV250" s="505"/>
      <c r="CW250" s="505"/>
      <c r="CX250" s="505"/>
      <c r="CY250" s="505"/>
      <c r="CZ250" s="505"/>
      <c r="DA250" s="505"/>
      <c r="DB250" s="505"/>
      <c r="DC250" s="505"/>
      <c r="DD250" s="505"/>
      <c r="DE250" s="505"/>
      <c r="DF250" s="505"/>
      <c r="DG250" s="505"/>
      <c r="DH250" s="505"/>
      <c r="DI250" s="505"/>
      <c r="DJ250" s="505"/>
      <c r="DK250" s="505"/>
      <c r="DL250" s="505"/>
      <c r="DM250" s="505"/>
      <c r="DN250" s="505"/>
      <c r="DO250" s="505"/>
      <c r="DP250" s="505"/>
    </row>
    <row r="251" spans="1:120" hidden="1" outlineLevel="1" x14ac:dyDescent="0.2">
      <c r="A251" s="517">
        <f t="shared" si="43"/>
        <v>38231</v>
      </c>
      <c r="B251" s="517" t="str">
        <f t="shared" si="40"/>
        <v>3Q04</v>
      </c>
      <c r="C251" s="517" t="str">
        <f t="shared" si="44"/>
        <v>4Q04</v>
      </c>
      <c r="D251" s="518">
        <f t="shared" si="45"/>
        <v>38310</v>
      </c>
      <c r="E251" s="518">
        <f t="shared" si="45"/>
        <v>38250</v>
      </c>
      <c r="F251" s="520">
        <v>1.9119999999999999</v>
      </c>
      <c r="G251" s="521">
        <f t="shared" si="41"/>
        <v>0.16</v>
      </c>
      <c r="H251" s="521">
        <f t="shared" si="42"/>
        <v>0.18000000000000002</v>
      </c>
      <c r="I251" s="505"/>
      <c r="J251" s="505"/>
      <c r="K251" s="505"/>
      <c r="L251" s="505"/>
      <c r="M251" s="528"/>
      <c r="N251" s="505"/>
      <c r="O251" s="505"/>
      <c r="P251" s="505"/>
      <c r="Q251" s="505"/>
      <c r="R251" s="505"/>
      <c r="S251" s="505"/>
      <c r="T251" s="505"/>
      <c r="U251" s="505"/>
      <c r="V251" s="505"/>
      <c r="W251" s="505"/>
      <c r="X251" s="505"/>
      <c r="Y251" s="505"/>
      <c r="Z251" s="505"/>
      <c r="AA251" s="505"/>
      <c r="AB251" s="505"/>
      <c r="AC251" s="505"/>
      <c r="AD251" s="505"/>
      <c r="AE251" s="505"/>
      <c r="AF251" s="505"/>
      <c r="AG251" s="505"/>
      <c r="AH251" s="505"/>
      <c r="AI251" s="505"/>
      <c r="AJ251" s="505"/>
      <c r="AK251" s="505"/>
      <c r="AL251" s="505"/>
      <c r="AM251" s="505"/>
      <c r="AN251" s="505"/>
      <c r="AO251" s="505"/>
      <c r="AP251" s="505"/>
      <c r="AQ251" s="505"/>
      <c r="AR251" s="505"/>
      <c r="AS251" s="505"/>
      <c r="AT251" s="505"/>
      <c r="AU251" s="505"/>
      <c r="AV251" s="505"/>
      <c r="AW251" s="505"/>
      <c r="AX251" s="505"/>
      <c r="AY251" s="505"/>
      <c r="AZ251" s="505"/>
      <c r="BA251" s="505"/>
      <c r="BB251" s="505"/>
      <c r="BC251" s="505"/>
      <c r="BD251" s="505"/>
      <c r="BE251" s="505"/>
      <c r="BF251" s="505"/>
      <c r="BG251" s="505"/>
      <c r="BH251" s="505"/>
      <c r="BI251" s="505"/>
      <c r="BJ251" s="505"/>
      <c r="BK251" s="505"/>
      <c r="BL251" s="505"/>
      <c r="BM251" s="505"/>
      <c r="BN251" s="505"/>
      <c r="BO251" s="505"/>
      <c r="BP251" s="505"/>
      <c r="BQ251" s="505"/>
      <c r="BR251" s="505"/>
      <c r="BS251" s="505"/>
      <c r="BT251" s="505"/>
      <c r="BU251" s="505"/>
      <c r="BV251" s="505"/>
      <c r="BW251" s="505"/>
      <c r="BX251" s="505"/>
      <c r="BY251" s="505"/>
      <c r="BZ251" s="505"/>
      <c r="CA251" s="505"/>
      <c r="CB251" s="505"/>
      <c r="CC251" s="505"/>
      <c r="CD251" s="505"/>
      <c r="CE251" s="505"/>
      <c r="CF251" s="505"/>
      <c r="CG251" s="505"/>
      <c r="CH251" s="505"/>
      <c r="CI251" s="505"/>
      <c r="CJ251" s="505"/>
      <c r="CK251" s="505"/>
      <c r="CL251" s="505"/>
      <c r="CM251" s="505"/>
      <c r="CN251" s="505"/>
      <c r="CO251" s="505"/>
      <c r="CP251" s="505"/>
      <c r="CQ251" s="505"/>
      <c r="CR251" s="505"/>
      <c r="CS251" s="505"/>
      <c r="CT251" s="505"/>
      <c r="CU251" s="505"/>
      <c r="CV251" s="505"/>
      <c r="CW251" s="505"/>
      <c r="CX251" s="505"/>
      <c r="CY251" s="505"/>
      <c r="CZ251" s="505"/>
      <c r="DA251" s="505"/>
      <c r="DB251" s="505"/>
      <c r="DC251" s="505"/>
      <c r="DD251" s="505"/>
      <c r="DE251" s="505"/>
      <c r="DF251" s="505"/>
      <c r="DG251" s="505"/>
      <c r="DH251" s="505"/>
      <c r="DI251" s="505"/>
      <c r="DJ251" s="505"/>
      <c r="DK251" s="505"/>
      <c r="DL251" s="505"/>
      <c r="DM251" s="505"/>
      <c r="DN251" s="505"/>
      <c r="DO251" s="505"/>
      <c r="DP251" s="505"/>
    </row>
    <row r="252" spans="1:120" hidden="1" outlineLevel="1" x14ac:dyDescent="0.2">
      <c r="A252" s="517">
        <f t="shared" si="43"/>
        <v>38231</v>
      </c>
      <c r="B252" s="517" t="str">
        <f t="shared" si="40"/>
        <v>3Q04</v>
      </c>
      <c r="C252" s="517" t="str">
        <f t="shared" si="44"/>
        <v>4Q04</v>
      </c>
      <c r="D252" s="518">
        <f t="shared" si="45"/>
        <v>38317</v>
      </c>
      <c r="E252" s="518">
        <f t="shared" si="45"/>
        <v>38257</v>
      </c>
      <c r="F252" s="520">
        <v>2.012</v>
      </c>
      <c r="G252" s="521">
        <f t="shared" si="41"/>
        <v>0.18000000000000002</v>
      </c>
      <c r="H252" s="521">
        <f t="shared" si="42"/>
        <v>0.19000000000000003</v>
      </c>
      <c r="I252" s="505"/>
      <c r="J252" s="505"/>
      <c r="K252" s="505"/>
      <c r="L252" s="505"/>
      <c r="M252" s="528"/>
      <c r="N252" s="505"/>
      <c r="O252" s="505"/>
      <c r="P252" s="505"/>
      <c r="Q252" s="505"/>
      <c r="R252" s="505"/>
      <c r="S252" s="505"/>
      <c r="T252" s="505"/>
      <c r="U252" s="505"/>
      <c r="V252" s="505"/>
      <c r="W252" s="505"/>
      <c r="X252" s="505"/>
      <c r="Y252" s="505"/>
      <c r="Z252" s="505"/>
      <c r="AA252" s="505"/>
      <c r="AB252" s="505"/>
      <c r="AC252" s="505"/>
      <c r="AD252" s="505"/>
      <c r="AE252" s="505"/>
      <c r="AF252" s="505"/>
      <c r="AG252" s="505"/>
      <c r="AH252" s="505"/>
      <c r="AI252" s="505"/>
      <c r="AJ252" s="505"/>
      <c r="AK252" s="505"/>
      <c r="AL252" s="505"/>
      <c r="AM252" s="505"/>
      <c r="AN252" s="505"/>
      <c r="AO252" s="505"/>
      <c r="AP252" s="505"/>
      <c r="AQ252" s="505"/>
      <c r="AR252" s="505"/>
      <c r="AS252" s="505"/>
      <c r="AT252" s="505"/>
      <c r="AU252" s="505"/>
      <c r="AV252" s="505"/>
      <c r="AW252" s="505"/>
      <c r="AX252" s="505"/>
      <c r="AY252" s="505"/>
      <c r="AZ252" s="505"/>
      <c r="BA252" s="505"/>
      <c r="BB252" s="505"/>
      <c r="BC252" s="505"/>
      <c r="BD252" s="505"/>
      <c r="BE252" s="505"/>
      <c r="BF252" s="505"/>
      <c r="BG252" s="505"/>
      <c r="BH252" s="505"/>
      <c r="BI252" s="505"/>
      <c r="BJ252" s="505"/>
      <c r="BK252" s="505"/>
      <c r="BL252" s="505"/>
      <c r="BM252" s="505"/>
      <c r="BN252" s="505"/>
      <c r="BO252" s="505"/>
      <c r="BP252" s="505"/>
      <c r="BQ252" s="505"/>
      <c r="BR252" s="505"/>
      <c r="BS252" s="505"/>
      <c r="BT252" s="505"/>
      <c r="BU252" s="505"/>
      <c r="BV252" s="505"/>
      <c r="BW252" s="505"/>
      <c r="BX252" s="505"/>
      <c r="BY252" s="505"/>
      <c r="BZ252" s="505"/>
      <c r="CA252" s="505"/>
      <c r="CB252" s="505"/>
      <c r="CC252" s="505"/>
      <c r="CD252" s="505"/>
      <c r="CE252" s="505"/>
      <c r="CF252" s="505"/>
      <c r="CG252" s="505"/>
      <c r="CH252" s="505"/>
      <c r="CI252" s="505"/>
      <c r="CJ252" s="505"/>
      <c r="CK252" s="505"/>
      <c r="CL252" s="505"/>
      <c r="CM252" s="505"/>
      <c r="CN252" s="505"/>
      <c r="CO252" s="505"/>
      <c r="CP252" s="505"/>
      <c r="CQ252" s="505"/>
      <c r="CR252" s="505"/>
      <c r="CS252" s="505"/>
      <c r="CT252" s="505"/>
      <c r="CU252" s="505"/>
      <c r="CV252" s="505"/>
      <c r="CW252" s="505"/>
      <c r="CX252" s="505"/>
      <c r="CY252" s="505"/>
      <c r="CZ252" s="505"/>
      <c r="DA252" s="505"/>
      <c r="DB252" s="505"/>
      <c r="DC252" s="505"/>
      <c r="DD252" s="505"/>
      <c r="DE252" s="505"/>
      <c r="DF252" s="505"/>
      <c r="DG252" s="505"/>
      <c r="DH252" s="505"/>
      <c r="DI252" s="505"/>
      <c r="DJ252" s="505"/>
      <c r="DK252" s="505"/>
      <c r="DL252" s="505"/>
      <c r="DM252" s="505"/>
      <c r="DN252" s="505"/>
      <c r="DO252" s="505"/>
      <c r="DP252" s="505"/>
    </row>
    <row r="253" spans="1:120" hidden="1" outlineLevel="1" x14ac:dyDescent="0.2">
      <c r="A253" s="517">
        <f t="shared" si="43"/>
        <v>38261</v>
      </c>
      <c r="B253" s="517" t="str">
        <f t="shared" si="40"/>
        <v>4Q04</v>
      </c>
      <c r="C253" s="517" t="str">
        <f t="shared" si="44"/>
        <v>4Q04</v>
      </c>
      <c r="D253" s="518">
        <f t="shared" si="45"/>
        <v>38324</v>
      </c>
      <c r="E253" s="518">
        <f t="shared" si="45"/>
        <v>38264</v>
      </c>
      <c r="F253" s="520">
        <v>2.0529999999999999</v>
      </c>
      <c r="G253" s="521">
        <f t="shared" si="41"/>
        <v>0.19000000000000003</v>
      </c>
      <c r="H253" s="521">
        <f t="shared" si="42"/>
        <v>0.19000000000000003</v>
      </c>
      <c r="I253" s="505"/>
      <c r="J253" s="505"/>
      <c r="K253" s="505"/>
      <c r="L253" s="505"/>
      <c r="M253" s="528"/>
      <c r="N253" s="505"/>
      <c r="O253" s="505"/>
      <c r="P253" s="505"/>
      <c r="Q253" s="505"/>
      <c r="R253" s="505"/>
      <c r="S253" s="505"/>
      <c r="T253" s="505"/>
      <c r="U253" s="505"/>
      <c r="V253" s="505"/>
      <c r="W253" s="505"/>
      <c r="X253" s="505"/>
      <c r="Y253" s="505"/>
      <c r="Z253" s="505"/>
      <c r="AA253" s="505"/>
      <c r="AB253" s="505"/>
      <c r="AC253" s="505"/>
      <c r="AD253" s="505"/>
      <c r="AE253" s="505"/>
      <c r="AF253" s="505"/>
      <c r="AG253" s="505"/>
      <c r="AH253" s="505"/>
      <c r="AI253" s="505"/>
      <c r="AJ253" s="505"/>
      <c r="AK253" s="505"/>
      <c r="AL253" s="505"/>
      <c r="AM253" s="505"/>
      <c r="AN253" s="505"/>
      <c r="AO253" s="505"/>
      <c r="AP253" s="505"/>
      <c r="AQ253" s="505"/>
      <c r="AR253" s="505"/>
      <c r="AS253" s="505"/>
      <c r="AT253" s="505"/>
      <c r="AU253" s="505"/>
      <c r="AV253" s="505"/>
      <c r="AW253" s="505"/>
      <c r="AX253" s="505"/>
      <c r="AY253" s="505"/>
      <c r="AZ253" s="505"/>
      <c r="BA253" s="505"/>
      <c r="BB253" s="505"/>
      <c r="BC253" s="505"/>
      <c r="BD253" s="505"/>
      <c r="BE253" s="505"/>
      <c r="BF253" s="505"/>
      <c r="BG253" s="505"/>
      <c r="BH253" s="505"/>
      <c r="BI253" s="505"/>
      <c r="BJ253" s="505"/>
      <c r="BK253" s="505"/>
      <c r="BL253" s="505"/>
      <c r="BM253" s="505"/>
      <c r="BN253" s="505"/>
      <c r="BO253" s="505"/>
      <c r="BP253" s="505"/>
      <c r="BQ253" s="505"/>
      <c r="BR253" s="505"/>
      <c r="BS253" s="505"/>
      <c r="BT253" s="505"/>
      <c r="BU253" s="505"/>
      <c r="BV253" s="505"/>
      <c r="BW253" s="505"/>
      <c r="BX253" s="505"/>
      <c r="BY253" s="505"/>
      <c r="BZ253" s="505"/>
      <c r="CA253" s="505"/>
      <c r="CB253" s="505"/>
      <c r="CC253" s="505"/>
      <c r="CD253" s="505"/>
      <c r="CE253" s="505"/>
      <c r="CF253" s="505"/>
      <c r="CG253" s="505"/>
      <c r="CH253" s="505"/>
      <c r="CI253" s="505"/>
      <c r="CJ253" s="505"/>
      <c r="CK253" s="505"/>
      <c r="CL253" s="505"/>
      <c r="CM253" s="505"/>
      <c r="CN253" s="505"/>
      <c r="CO253" s="505"/>
      <c r="CP253" s="505"/>
      <c r="CQ253" s="505"/>
      <c r="CR253" s="505"/>
      <c r="CS253" s="505"/>
      <c r="CT253" s="505"/>
      <c r="CU253" s="505"/>
      <c r="CV253" s="505"/>
      <c r="CW253" s="505"/>
      <c r="CX253" s="505"/>
      <c r="CY253" s="505"/>
      <c r="CZ253" s="505"/>
      <c r="DA253" s="505"/>
      <c r="DB253" s="505"/>
      <c r="DC253" s="505"/>
      <c r="DD253" s="505"/>
      <c r="DE253" s="505"/>
      <c r="DF253" s="505"/>
      <c r="DG253" s="505"/>
      <c r="DH253" s="505"/>
      <c r="DI253" s="505"/>
      <c r="DJ253" s="505"/>
      <c r="DK253" s="505"/>
      <c r="DL253" s="505"/>
      <c r="DM253" s="505"/>
      <c r="DN253" s="505"/>
      <c r="DO253" s="505"/>
      <c r="DP253" s="505"/>
    </row>
    <row r="254" spans="1:120" hidden="1" outlineLevel="1" x14ac:dyDescent="0.2">
      <c r="A254" s="517">
        <f t="shared" si="43"/>
        <v>38261</v>
      </c>
      <c r="B254" s="517" t="str">
        <f t="shared" si="40"/>
        <v>4Q04</v>
      </c>
      <c r="C254" s="517" t="str">
        <f t="shared" si="44"/>
        <v>4Q04</v>
      </c>
      <c r="D254" s="518">
        <f t="shared" si="45"/>
        <v>38331</v>
      </c>
      <c r="E254" s="518">
        <f t="shared" si="45"/>
        <v>38271</v>
      </c>
      <c r="F254" s="520">
        <v>2.0920000000000001</v>
      </c>
      <c r="G254" s="521">
        <f t="shared" si="41"/>
        <v>0.19000000000000003</v>
      </c>
      <c r="H254" s="521">
        <f t="shared" si="42"/>
        <v>0.21000000000000005</v>
      </c>
      <c r="I254" s="505"/>
      <c r="J254" s="505"/>
      <c r="K254" s="505"/>
      <c r="L254" s="505"/>
      <c r="M254" s="528"/>
      <c r="N254" s="505"/>
      <c r="O254" s="505"/>
      <c r="P254" s="505"/>
      <c r="Q254" s="505"/>
      <c r="R254" s="505"/>
      <c r="S254" s="505"/>
      <c r="T254" s="505"/>
      <c r="U254" s="505"/>
      <c r="V254" s="505"/>
      <c r="W254" s="505"/>
      <c r="X254" s="505"/>
      <c r="Y254" s="505"/>
      <c r="Z254" s="505"/>
      <c r="AA254" s="505"/>
      <c r="AB254" s="505"/>
      <c r="AC254" s="505"/>
      <c r="AD254" s="505"/>
      <c r="AE254" s="505"/>
      <c r="AF254" s="505"/>
      <c r="AG254" s="505"/>
      <c r="AH254" s="505"/>
      <c r="AI254" s="505"/>
      <c r="AJ254" s="505"/>
      <c r="AK254" s="505"/>
      <c r="AL254" s="505"/>
      <c r="AM254" s="505"/>
      <c r="AN254" s="505"/>
      <c r="AO254" s="505"/>
      <c r="AP254" s="505"/>
      <c r="AQ254" s="505"/>
      <c r="AR254" s="505"/>
      <c r="AS254" s="505"/>
      <c r="AT254" s="505"/>
      <c r="AU254" s="505"/>
      <c r="AV254" s="505"/>
      <c r="AW254" s="505"/>
      <c r="AX254" s="505"/>
      <c r="AY254" s="505"/>
      <c r="AZ254" s="505"/>
      <c r="BA254" s="505"/>
      <c r="BB254" s="505"/>
      <c r="BC254" s="505"/>
      <c r="BD254" s="505"/>
      <c r="BE254" s="505"/>
      <c r="BF254" s="505"/>
      <c r="BG254" s="505"/>
      <c r="BH254" s="505"/>
      <c r="BI254" s="505"/>
      <c r="BJ254" s="505"/>
      <c r="BK254" s="505"/>
      <c r="BL254" s="505"/>
      <c r="BM254" s="505"/>
      <c r="BN254" s="505"/>
      <c r="BO254" s="505"/>
      <c r="BP254" s="505"/>
      <c r="BQ254" s="505"/>
      <c r="BR254" s="505"/>
      <c r="BS254" s="505"/>
      <c r="BT254" s="505"/>
      <c r="BU254" s="505"/>
      <c r="BV254" s="505"/>
      <c r="BW254" s="505"/>
      <c r="BX254" s="505"/>
      <c r="BY254" s="505"/>
      <c r="BZ254" s="505"/>
      <c r="CA254" s="505"/>
      <c r="CB254" s="505"/>
      <c r="CC254" s="505"/>
      <c r="CD254" s="505"/>
      <c r="CE254" s="505"/>
      <c r="CF254" s="505"/>
      <c r="CG254" s="505"/>
      <c r="CH254" s="505"/>
      <c r="CI254" s="505"/>
      <c r="CJ254" s="505"/>
      <c r="CK254" s="505"/>
      <c r="CL254" s="505"/>
      <c r="CM254" s="505"/>
      <c r="CN254" s="505"/>
      <c r="CO254" s="505"/>
      <c r="CP254" s="505"/>
      <c r="CQ254" s="505"/>
      <c r="CR254" s="505"/>
      <c r="CS254" s="505"/>
      <c r="CT254" s="505"/>
      <c r="CU254" s="505"/>
      <c r="CV254" s="505"/>
      <c r="CW254" s="505"/>
      <c r="CX254" s="505"/>
      <c r="CY254" s="505"/>
      <c r="CZ254" s="505"/>
      <c r="DA254" s="505"/>
      <c r="DB254" s="505"/>
      <c r="DC254" s="505"/>
      <c r="DD254" s="505"/>
      <c r="DE254" s="505"/>
      <c r="DF254" s="505"/>
      <c r="DG254" s="505"/>
      <c r="DH254" s="505"/>
      <c r="DI254" s="505"/>
      <c r="DJ254" s="505"/>
      <c r="DK254" s="505"/>
      <c r="DL254" s="505"/>
      <c r="DM254" s="505"/>
      <c r="DN254" s="505"/>
      <c r="DO254" s="505"/>
      <c r="DP254" s="505"/>
    </row>
    <row r="255" spans="1:120" hidden="1" outlineLevel="1" x14ac:dyDescent="0.2">
      <c r="A255" s="517">
        <f t="shared" si="43"/>
        <v>38261</v>
      </c>
      <c r="B255" s="517" t="str">
        <f t="shared" si="40"/>
        <v>4Q04</v>
      </c>
      <c r="C255" s="517" t="str">
        <f t="shared" si="44"/>
        <v>4Q04</v>
      </c>
      <c r="D255" s="518">
        <f t="shared" si="45"/>
        <v>38338</v>
      </c>
      <c r="E255" s="518">
        <f t="shared" si="45"/>
        <v>38278</v>
      </c>
      <c r="F255" s="520">
        <v>2.1800000000000002</v>
      </c>
      <c r="G255" s="521">
        <f t="shared" si="41"/>
        <v>0.21000000000000005</v>
      </c>
      <c r="H255" s="521">
        <f t="shared" si="42"/>
        <v>0.22000000000000006</v>
      </c>
      <c r="I255" s="505"/>
      <c r="J255" s="505"/>
      <c r="K255" s="505"/>
      <c r="L255" s="505"/>
      <c r="M255" s="528"/>
      <c r="N255" s="505"/>
      <c r="O255" s="505"/>
      <c r="P255" s="505"/>
      <c r="Q255" s="505"/>
      <c r="R255" s="505"/>
      <c r="S255" s="505"/>
      <c r="T255" s="505"/>
      <c r="U255" s="505"/>
      <c r="V255" s="505"/>
      <c r="W255" s="505"/>
      <c r="X255" s="505"/>
      <c r="Y255" s="505"/>
      <c r="Z255" s="505"/>
      <c r="AA255" s="505"/>
      <c r="AB255" s="505"/>
      <c r="AC255" s="505"/>
      <c r="AD255" s="505"/>
      <c r="AE255" s="505"/>
      <c r="AF255" s="505"/>
      <c r="AG255" s="505"/>
      <c r="AH255" s="505"/>
      <c r="AI255" s="505"/>
      <c r="AJ255" s="505"/>
      <c r="AK255" s="505"/>
      <c r="AL255" s="505"/>
      <c r="AM255" s="505"/>
      <c r="AN255" s="505"/>
      <c r="AO255" s="505"/>
      <c r="AP255" s="505"/>
      <c r="AQ255" s="505"/>
      <c r="AR255" s="505"/>
      <c r="AS255" s="505"/>
      <c r="AT255" s="505"/>
      <c r="AU255" s="505"/>
      <c r="AV255" s="505"/>
      <c r="AW255" s="505"/>
      <c r="AX255" s="505"/>
      <c r="AY255" s="505"/>
      <c r="AZ255" s="505"/>
      <c r="BA255" s="505"/>
      <c r="BB255" s="505"/>
      <c r="BC255" s="505"/>
      <c r="BD255" s="505"/>
      <c r="BE255" s="505"/>
      <c r="BF255" s="505"/>
      <c r="BG255" s="505"/>
      <c r="BH255" s="505"/>
      <c r="BI255" s="505"/>
      <c r="BJ255" s="505"/>
      <c r="BK255" s="505"/>
      <c r="BL255" s="505"/>
      <c r="BM255" s="505"/>
      <c r="BN255" s="505"/>
      <c r="BO255" s="505"/>
      <c r="BP255" s="505"/>
      <c r="BQ255" s="505"/>
      <c r="BR255" s="505"/>
      <c r="BS255" s="505"/>
      <c r="BT255" s="505"/>
      <c r="BU255" s="505"/>
      <c r="BV255" s="505"/>
      <c r="BW255" s="505"/>
      <c r="BX255" s="505"/>
      <c r="BY255" s="505"/>
      <c r="BZ255" s="505"/>
      <c r="CA255" s="505"/>
      <c r="CB255" s="505"/>
      <c r="CC255" s="505"/>
      <c r="CD255" s="505"/>
      <c r="CE255" s="505"/>
      <c r="CF255" s="505"/>
      <c r="CG255" s="505"/>
      <c r="CH255" s="505"/>
      <c r="CI255" s="505"/>
      <c r="CJ255" s="505"/>
      <c r="CK255" s="505"/>
      <c r="CL255" s="505"/>
      <c r="CM255" s="505"/>
      <c r="CN255" s="505"/>
      <c r="CO255" s="505"/>
      <c r="CP255" s="505"/>
      <c r="CQ255" s="505"/>
      <c r="CR255" s="505"/>
      <c r="CS255" s="505"/>
      <c r="CT255" s="505"/>
      <c r="CU255" s="505"/>
      <c r="CV255" s="505"/>
      <c r="CW255" s="505"/>
      <c r="CX255" s="505"/>
      <c r="CY255" s="505"/>
      <c r="CZ255" s="505"/>
      <c r="DA255" s="505"/>
      <c r="DB255" s="505"/>
      <c r="DC255" s="505"/>
      <c r="DD255" s="505"/>
      <c r="DE255" s="505"/>
      <c r="DF255" s="505"/>
      <c r="DG255" s="505"/>
      <c r="DH255" s="505"/>
      <c r="DI255" s="505"/>
      <c r="DJ255" s="505"/>
      <c r="DK255" s="505"/>
      <c r="DL255" s="505"/>
      <c r="DM255" s="505"/>
      <c r="DN255" s="505"/>
      <c r="DO255" s="505"/>
      <c r="DP255" s="505"/>
    </row>
    <row r="256" spans="1:120" hidden="1" outlineLevel="1" x14ac:dyDescent="0.2">
      <c r="A256" s="517">
        <f t="shared" si="43"/>
        <v>38261</v>
      </c>
      <c r="B256" s="517" t="str">
        <f t="shared" si="40"/>
        <v>4Q04</v>
      </c>
      <c r="C256" s="517" t="str">
        <f t="shared" si="44"/>
        <v>4Q04</v>
      </c>
      <c r="D256" s="518">
        <f t="shared" si="45"/>
        <v>38345</v>
      </c>
      <c r="E256" s="518">
        <f t="shared" si="45"/>
        <v>38285</v>
      </c>
      <c r="F256" s="520">
        <v>2.2119999999999997</v>
      </c>
      <c r="G256" s="521">
        <f t="shared" si="41"/>
        <v>0.22000000000000006</v>
      </c>
      <c r="H256" s="521">
        <f t="shared" si="42"/>
        <v>0.22000000000000006</v>
      </c>
      <c r="I256" s="505"/>
      <c r="J256" s="505"/>
      <c r="K256" s="505"/>
      <c r="L256" s="505"/>
      <c r="M256" s="528"/>
      <c r="N256" s="505"/>
      <c r="O256" s="505"/>
      <c r="P256" s="505"/>
      <c r="Q256" s="505"/>
      <c r="R256" s="505"/>
      <c r="S256" s="505"/>
      <c r="T256" s="505"/>
      <c r="U256" s="505"/>
      <c r="V256" s="505"/>
      <c r="W256" s="505"/>
      <c r="X256" s="505"/>
      <c r="Y256" s="505"/>
      <c r="Z256" s="505"/>
      <c r="AA256" s="505"/>
      <c r="AB256" s="505"/>
      <c r="AC256" s="505"/>
      <c r="AD256" s="505"/>
      <c r="AE256" s="505"/>
      <c r="AF256" s="505"/>
      <c r="AG256" s="505"/>
      <c r="AH256" s="505"/>
      <c r="AI256" s="505"/>
      <c r="AJ256" s="505"/>
      <c r="AK256" s="505"/>
      <c r="AL256" s="505"/>
      <c r="AM256" s="505"/>
      <c r="AN256" s="505"/>
      <c r="AO256" s="505"/>
      <c r="AP256" s="505"/>
      <c r="AQ256" s="505"/>
      <c r="AR256" s="505"/>
      <c r="AS256" s="505"/>
      <c r="AT256" s="505"/>
      <c r="AU256" s="505"/>
      <c r="AV256" s="505"/>
      <c r="AW256" s="505"/>
      <c r="AX256" s="505"/>
      <c r="AY256" s="505"/>
      <c r="AZ256" s="505"/>
      <c r="BA256" s="505"/>
      <c r="BB256" s="505"/>
      <c r="BC256" s="505"/>
      <c r="BD256" s="505"/>
      <c r="BE256" s="505"/>
      <c r="BF256" s="505"/>
      <c r="BG256" s="505"/>
      <c r="BH256" s="505"/>
      <c r="BI256" s="505"/>
      <c r="BJ256" s="505"/>
      <c r="BK256" s="505"/>
      <c r="BL256" s="505"/>
      <c r="BM256" s="505"/>
      <c r="BN256" s="505"/>
      <c r="BO256" s="505"/>
      <c r="BP256" s="505"/>
      <c r="BQ256" s="505"/>
      <c r="BR256" s="505"/>
      <c r="BS256" s="505"/>
      <c r="BT256" s="505"/>
      <c r="BU256" s="505"/>
      <c r="BV256" s="505"/>
      <c r="BW256" s="505"/>
      <c r="BX256" s="505"/>
      <c r="BY256" s="505"/>
      <c r="BZ256" s="505"/>
      <c r="CA256" s="505"/>
      <c r="CB256" s="505"/>
      <c r="CC256" s="505"/>
      <c r="CD256" s="505"/>
      <c r="CE256" s="505"/>
      <c r="CF256" s="505"/>
      <c r="CG256" s="505"/>
      <c r="CH256" s="505"/>
      <c r="CI256" s="505"/>
      <c r="CJ256" s="505"/>
      <c r="CK256" s="505"/>
      <c r="CL256" s="505"/>
      <c r="CM256" s="505"/>
      <c r="CN256" s="505"/>
      <c r="CO256" s="505"/>
      <c r="CP256" s="505"/>
      <c r="CQ256" s="505"/>
      <c r="CR256" s="505"/>
      <c r="CS256" s="505"/>
      <c r="CT256" s="505"/>
      <c r="CU256" s="505"/>
      <c r="CV256" s="505"/>
      <c r="CW256" s="505"/>
      <c r="CX256" s="505"/>
      <c r="CY256" s="505"/>
      <c r="CZ256" s="505"/>
      <c r="DA256" s="505"/>
      <c r="DB256" s="505"/>
      <c r="DC256" s="505"/>
      <c r="DD256" s="505"/>
      <c r="DE256" s="505"/>
      <c r="DF256" s="505"/>
      <c r="DG256" s="505"/>
      <c r="DH256" s="505"/>
      <c r="DI256" s="505"/>
      <c r="DJ256" s="505"/>
      <c r="DK256" s="505"/>
      <c r="DL256" s="505"/>
      <c r="DM256" s="505"/>
      <c r="DN256" s="505"/>
      <c r="DO256" s="505"/>
      <c r="DP256" s="505"/>
    </row>
    <row r="257" spans="1:120" hidden="1" outlineLevel="1" x14ac:dyDescent="0.2">
      <c r="A257" s="517">
        <f t="shared" si="43"/>
        <v>38292</v>
      </c>
      <c r="B257" s="517" t="str">
        <f t="shared" si="40"/>
        <v>4Q04</v>
      </c>
      <c r="C257" s="517" t="str">
        <f t="shared" si="44"/>
        <v>4Q04</v>
      </c>
      <c r="D257" s="518">
        <f t="shared" si="45"/>
        <v>38352</v>
      </c>
      <c r="E257" s="518">
        <f t="shared" si="45"/>
        <v>38292</v>
      </c>
      <c r="F257" s="520">
        <v>2.206</v>
      </c>
      <c r="G257" s="521">
        <f t="shared" si="41"/>
        <v>0.22000000000000006</v>
      </c>
      <c r="H257" s="521">
        <f t="shared" si="42"/>
        <v>0.21000000000000005</v>
      </c>
      <c r="I257" s="505"/>
      <c r="J257" s="505"/>
      <c r="K257" s="505"/>
      <c r="L257" s="505"/>
      <c r="M257" s="528"/>
      <c r="N257" s="505"/>
      <c r="O257" s="505"/>
      <c r="P257" s="505"/>
      <c r="Q257" s="505"/>
      <c r="R257" s="505"/>
      <c r="S257" s="505"/>
      <c r="T257" s="505"/>
      <c r="U257" s="505"/>
      <c r="V257" s="505"/>
      <c r="W257" s="505"/>
      <c r="X257" s="505"/>
      <c r="Y257" s="505"/>
      <c r="Z257" s="505"/>
      <c r="AA257" s="505"/>
      <c r="AB257" s="505"/>
      <c r="AC257" s="505"/>
      <c r="AD257" s="505"/>
      <c r="AE257" s="505"/>
      <c r="AF257" s="505"/>
      <c r="AG257" s="505"/>
      <c r="AH257" s="505"/>
      <c r="AI257" s="505"/>
      <c r="AJ257" s="505"/>
      <c r="AK257" s="505"/>
      <c r="AL257" s="505"/>
      <c r="AM257" s="505"/>
      <c r="AN257" s="505"/>
      <c r="AO257" s="505"/>
      <c r="AP257" s="505"/>
      <c r="AQ257" s="505"/>
      <c r="AR257" s="505"/>
      <c r="AS257" s="505"/>
      <c r="AT257" s="505"/>
      <c r="AU257" s="505"/>
      <c r="AV257" s="505"/>
      <c r="AW257" s="505"/>
      <c r="AX257" s="505"/>
      <c r="AY257" s="505"/>
      <c r="AZ257" s="505"/>
      <c r="BA257" s="505"/>
      <c r="BB257" s="505"/>
      <c r="BC257" s="505"/>
      <c r="BD257" s="505"/>
      <c r="BE257" s="505"/>
      <c r="BF257" s="505"/>
      <c r="BG257" s="505"/>
      <c r="BH257" s="505"/>
      <c r="BI257" s="505"/>
      <c r="BJ257" s="505"/>
      <c r="BK257" s="505"/>
      <c r="BL257" s="505"/>
      <c r="BM257" s="505"/>
      <c r="BN257" s="505"/>
      <c r="BO257" s="505"/>
      <c r="BP257" s="505"/>
      <c r="BQ257" s="505"/>
      <c r="BR257" s="505"/>
      <c r="BS257" s="505"/>
      <c r="BT257" s="505"/>
      <c r="BU257" s="505"/>
      <c r="BV257" s="505"/>
      <c r="BW257" s="505"/>
      <c r="BX257" s="505"/>
      <c r="BY257" s="505"/>
      <c r="BZ257" s="505"/>
      <c r="CA257" s="505"/>
      <c r="CB257" s="505"/>
      <c r="CC257" s="505"/>
      <c r="CD257" s="505"/>
      <c r="CE257" s="505"/>
      <c r="CF257" s="505"/>
      <c r="CG257" s="505"/>
      <c r="CH257" s="505"/>
      <c r="CI257" s="505"/>
      <c r="CJ257" s="505"/>
      <c r="CK257" s="505"/>
      <c r="CL257" s="505"/>
      <c r="CM257" s="505"/>
      <c r="CN257" s="505"/>
      <c r="CO257" s="505"/>
      <c r="CP257" s="505"/>
      <c r="CQ257" s="505"/>
      <c r="CR257" s="505"/>
      <c r="CS257" s="505"/>
      <c r="CT257" s="505"/>
      <c r="CU257" s="505"/>
      <c r="CV257" s="505"/>
      <c r="CW257" s="505"/>
      <c r="CX257" s="505"/>
      <c r="CY257" s="505"/>
      <c r="CZ257" s="505"/>
      <c r="DA257" s="505"/>
      <c r="DB257" s="505"/>
      <c r="DC257" s="505"/>
      <c r="DD257" s="505"/>
      <c r="DE257" s="505"/>
      <c r="DF257" s="505"/>
      <c r="DG257" s="505"/>
      <c r="DH257" s="505"/>
      <c r="DI257" s="505"/>
      <c r="DJ257" s="505"/>
      <c r="DK257" s="505"/>
      <c r="DL257" s="505"/>
      <c r="DM257" s="505"/>
      <c r="DN257" s="505"/>
      <c r="DO257" s="505"/>
      <c r="DP257" s="505"/>
    </row>
    <row r="258" spans="1:120" hidden="1" outlineLevel="1" x14ac:dyDescent="0.2">
      <c r="A258" s="517">
        <f t="shared" si="43"/>
        <v>38292</v>
      </c>
      <c r="B258" s="517" t="str">
        <f t="shared" si="40"/>
        <v>4Q04</v>
      </c>
      <c r="C258" s="517" t="str">
        <f t="shared" si="44"/>
        <v>1Q05</v>
      </c>
      <c r="D258" s="518">
        <f t="shared" si="45"/>
        <v>38359</v>
      </c>
      <c r="E258" s="518">
        <f t="shared" si="45"/>
        <v>38299</v>
      </c>
      <c r="F258" s="520">
        <v>2.1630000000000003</v>
      </c>
      <c r="G258" s="521">
        <f t="shared" si="41"/>
        <v>0.21000000000000005</v>
      </c>
      <c r="H258" s="521">
        <f t="shared" si="42"/>
        <v>0.20000000000000004</v>
      </c>
      <c r="I258" s="505"/>
      <c r="J258" s="505"/>
      <c r="K258" s="505"/>
      <c r="L258" s="505"/>
      <c r="M258" s="528"/>
      <c r="N258" s="505"/>
      <c r="O258" s="505"/>
      <c r="P258" s="505"/>
      <c r="Q258" s="505"/>
      <c r="R258" s="505"/>
      <c r="S258" s="505"/>
      <c r="T258" s="505"/>
      <c r="U258" s="505"/>
      <c r="V258" s="505"/>
      <c r="W258" s="505"/>
      <c r="X258" s="505"/>
      <c r="Y258" s="505"/>
      <c r="Z258" s="505"/>
      <c r="AA258" s="505"/>
      <c r="AB258" s="505"/>
      <c r="AC258" s="505"/>
      <c r="AD258" s="505"/>
      <c r="AE258" s="505"/>
      <c r="AF258" s="505"/>
      <c r="AG258" s="505"/>
      <c r="AH258" s="505"/>
      <c r="AI258" s="505"/>
      <c r="AJ258" s="505"/>
      <c r="AK258" s="505"/>
      <c r="AL258" s="505"/>
      <c r="AM258" s="505"/>
      <c r="AN258" s="505"/>
      <c r="AO258" s="505"/>
      <c r="AP258" s="505"/>
      <c r="AQ258" s="505"/>
      <c r="AR258" s="505"/>
      <c r="AS258" s="505"/>
      <c r="AT258" s="505"/>
      <c r="AU258" s="505"/>
      <c r="AV258" s="505"/>
      <c r="AW258" s="505"/>
      <c r="AX258" s="505"/>
      <c r="AY258" s="505"/>
      <c r="AZ258" s="505"/>
      <c r="BA258" s="505"/>
      <c r="BB258" s="505"/>
      <c r="BC258" s="505"/>
      <c r="BD258" s="505"/>
      <c r="BE258" s="505"/>
      <c r="BF258" s="505"/>
      <c r="BG258" s="505"/>
      <c r="BH258" s="505"/>
      <c r="BI258" s="505"/>
      <c r="BJ258" s="505"/>
      <c r="BK258" s="505"/>
      <c r="BL258" s="505"/>
      <c r="BM258" s="505"/>
      <c r="BN258" s="505"/>
      <c r="BO258" s="505"/>
      <c r="BP258" s="505"/>
      <c r="BQ258" s="505"/>
      <c r="BR258" s="505"/>
      <c r="BS258" s="505"/>
      <c r="BT258" s="505"/>
      <c r="BU258" s="505"/>
      <c r="BV258" s="505"/>
      <c r="BW258" s="505"/>
      <c r="BX258" s="505"/>
      <c r="BY258" s="505"/>
      <c r="BZ258" s="505"/>
      <c r="CA258" s="505"/>
      <c r="CB258" s="505"/>
      <c r="CC258" s="505"/>
      <c r="CD258" s="505"/>
      <c r="CE258" s="505"/>
      <c r="CF258" s="505"/>
      <c r="CG258" s="505"/>
      <c r="CH258" s="505"/>
      <c r="CI258" s="505"/>
      <c r="CJ258" s="505"/>
      <c r="CK258" s="505"/>
      <c r="CL258" s="505"/>
      <c r="CM258" s="505"/>
      <c r="CN258" s="505"/>
      <c r="CO258" s="505"/>
      <c r="CP258" s="505"/>
      <c r="CQ258" s="505"/>
      <c r="CR258" s="505"/>
      <c r="CS258" s="505"/>
      <c r="CT258" s="505"/>
      <c r="CU258" s="505"/>
      <c r="CV258" s="505"/>
      <c r="CW258" s="505"/>
      <c r="CX258" s="505"/>
      <c r="CY258" s="505"/>
      <c r="CZ258" s="505"/>
      <c r="DA258" s="505"/>
      <c r="DB258" s="505"/>
      <c r="DC258" s="505"/>
      <c r="DD258" s="505"/>
      <c r="DE258" s="505"/>
      <c r="DF258" s="505"/>
      <c r="DG258" s="505"/>
      <c r="DH258" s="505"/>
      <c r="DI258" s="505"/>
      <c r="DJ258" s="505"/>
      <c r="DK258" s="505"/>
      <c r="DL258" s="505"/>
      <c r="DM258" s="505"/>
      <c r="DN258" s="505"/>
      <c r="DO258" s="505"/>
      <c r="DP258" s="505"/>
    </row>
    <row r="259" spans="1:120" hidden="1" outlineLevel="1" x14ac:dyDescent="0.2">
      <c r="A259" s="517">
        <f t="shared" si="43"/>
        <v>38292</v>
      </c>
      <c r="B259" s="517" t="str">
        <f t="shared" si="40"/>
        <v>4Q04</v>
      </c>
      <c r="C259" s="517" t="str">
        <f t="shared" si="44"/>
        <v>1Q05</v>
      </c>
      <c r="D259" s="518">
        <f t="shared" si="45"/>
        <v>38366</v>
      </c>
      <c r="E259" s="518">
        <f t="shared" si="45"/>
        <v>38306</v>
      </c>
      <c r="F259" s="520">
        <v>2.1319999999999997</v>
      </c>
      <c r="G259" s="521">
        <f t="shared" si="41"/>
        <v>0.20000000000000004</v>
      </c>
      <c r="H259" s="521">
        <f t="shared" si="42"/>
        <v>0.20000000000000004</v>
      </c>
      <c r="I259" s="505"/>
      <c r="J259" s="505"/>
      <c r="K259" s="505"/>
      <c r="L259" s="505"/>
      <c r="M259" s="528"/>
      <c r="N259" s="505"/>
      <c r="O259" s="505"/>
      <c r="P259" s="505"/>
      <c r="Q259" s="505"/>
      <c r="R259" s="505"/>
      <c r="S259" s="505"/>
      <c r="T259" s="505"/>
      <c r="U259" s="505"/>
      <c r="V259" s="505"/>
      <c r="W259" s="505"/>
      <c r="X259" s="505"/>
      <c r="Y259" s="505"/>
      <c r="Z259" s="505"/>
      <c r="AA259" s="505"/>
      <c r="AB259" s="505"/>
      <c r="AC259" s="505"/>
      <c r="AD259" s="505"/>
      <c r="AE259" s="505"/>
      <c r="AF259" s="505"/>
      <c r="AG259" s="505"/>
      <c r="AH259" s="505"/>
      <c r="AI259" s="505"/>
      <c r="AJ259" s="505"/>
      <c r="AK259" s="505"/>
      <c r="AL259" s="505"/>
      <c r="AM259" s="505"/>
      <c r="AN259" s="505"/>
      <c r="AO259" s="505"/>
      <c r="AP259" s="505"/>
      <c r="AQ259" s="505"/>
      <c r="AR259" s="505"/>
      <c r="AS259" s="505"/>
      <c r="AT259" s="505"/>
      <c r="AU259" s="505"/>
      <c r="AV259" s="505"/>
      <c r="AW259" s="505"/>
      <c r="AX259" s="505"/>
      <c r="AY259" s="505"/>
      <c r="AZ259" s="505"/>
      <c r="BA259" s="505"/>
      <c r="BB259" s="505"/>
      <c r="BC259" s="505"/>
      <c r="BD259" s="505"/>
      <c r="BE259" s="505"/>
      <c r="BF259" s="505"/>
      <c r="BG259" s="505"/>
      <c r="BH259" s="505"/>
      <c r="BI259" s="505"/>
      <c r="BJ259" s="505"/>
      <c r="BK259" s="505"/>
      <c r="BL259" s="505"/>
      <c r="BM259" s="505"/>
      <c r="BN259" s="505"/>
      <c r="BO259" s="505"/>
      <c r="BP259" s="505"/>
      <c r="BQ259" s="505"/>
      <c r="BR259" s="505"/>
      <c r="BS259" s="505"/>
      <c r="BT259" s="505"/>
      <c r="BU259" s="505"/>
      <c r="BV259" s="505"/>
      <c r="BW259" s="505"/>
      <c r="BX259" s="505"/>
      <c r="BY259" s="505"/>
      <c r="BZ259" s="505"/>
      <c r="CA259" s="505"/>
      <c r="CB259" s="505"/>
      <c r="CC259" s="505"/>
      <c r="CD259" s="505"/>
      <c r="CE259" s="505"/>
      <c r="CF259" s="505"/>
      <c r="CG259" s="505"/>
      <c r="CH259" s="505"/>
      <c r="CI259" s="505"/>
      <c r="CJ259" s="505"/>
      <c r="CK259" s="505"/>
      <c r="CL259" s="505"/>
      <c r="CM259" s="505"/>
      <c r="CN259" s="505"/>
      <c r="CO259" s="505"/>
      <c r="CP259" s="505"/>
      <c r="CQ259" s="505"/>
      <c r="CR259" s="505"/>
      <c r="CS259" s="505"/>
      <c r="CT259" s="505"/>
      <c r="CU259" s="505"/>
      <c r="CV259" s="505"/>
      <c r="CW259" s="505"/>
      <c r="CX259" s="505"/>
      <c r="CY259" s="505"/>
      <c r="CZ259" s="505"/>
      <c r="DA259" s="505"/>
      <c r="DB259" s="505"/>
      <c r="DC259" s="505"/>
      <c r="DD259" s="505"/>
      <c r="DE259" s="505"/>
      <c r="DF259" s="505"/>
      <c r="DG259" s="505"/>
      <c r="DH259" s="505"/>
      <c r="DI259" s="505"/>
      <c r="DJ259" s="505"/>
      <c r="DK259" s="505"/>
      <c r="DL259" s="505"/>
      <c r="DM259" s="505"/>
      <c r="DN259" s="505"/>
      <c r="DO259" s="505"/>
      <c r="DP259" s="505"/>
    </row>
    <row r="260" spans="1:120" hidden="1" outlineLevel="1" x14ac:dyDescent="0.2">
      <c r="A260" s="517">
        <f t="shared" si="43"/>
        <v>38292</v>
      </c>
      <c r="B260" s="517" t="str">
        <f t="shared" ref="B260:B323" si="46">VLOOKUP(MONTH(A260),$N$4:$O$16,2,FALSE) &amp; "Q" &amp; RIGHT(YEAR(A260),2)</f>
        <v>4Q04</v>
      </c>
      <c r="C260" s="517" t="str">
        <f t="shared" si="44"/>
        <v>1Q05</v>
      </c>
      <c r="D260" s="518">
        <f t="shared" si="45"/>
        <v>38373</v>
      </c>
      <c r="E260" s="518">
        <f t="shared" si="45"/>
        <v>38313</v>
      </c>
      <c r="F260" s="520">
        <v>2.1160000000000001</v>
      </c>
      <c r="G260" s="521">
        <f t="shared" ref="G260:G323" si="47">INDEX($I$4:$K$153,MATCH(F260,$I$4:$I$153,1),3)</f>
        <v>0.20000000000000004</v>
      </c>
      <c r="H260" s="521">
        <f t="shared" ref="H260:H323" si="48">G261</f>
        <v>0.20000000000000004</v>
      </c>
      <c r="I260" s="505"/>
      <c r="J260" s="505"/>
      <c r="K260" s="505"/>
      <c r="L260" s="505"/>
      <c r="M260" s="528"/>
      <c r="N260" s="505"/>
      <c r="O260" s="505"/>
      <c r="P260" s="505"/>
      <c r="Q260" s="505"/>
      <c r="R260" s="505"/>
      <c r="S260" s="505"/>
      <c r="T260" s="505"/>
      <c r="U260" s="505"/>
      <c r="V260" s="505"/>
      <c r="W260" s="505"/>
      <c r="X260" s="505"/>
      <c r="Y260" s="505"/>
      <c r="Z260" s="505"/>
      <c r="AA260" s="505"/>
      <c r="AB260" s="505"/>
      <c r="AC260" s="505"/>
      <c r="AD260" s="505"/>
      <c r="AE260" s="505"/>
      <c r="AF260" s="505"/>
      <c r="AG260" s="505"/>
      <c r="AH260" s="505"/>
      <c r="AI260" s="505"/>
      <c r="AJ260" s="505"/>
      <c r="AK260" s="505"/>
      <c r="AL260" s="505"/>
      <c r="AM260" s="505"/>
      <c r="AN260" s="505"/>
      <c r="AO260" s="505"/>
      <c r="AP260" s="505"/>
      <c r="AQ260" s="505"/>
      <c r="AR260" s="505"/>
      <c r="AS260" s="505"/>
      <c r="AT260" s="505"/>
      <c r="AU260" s="505"/>
      <c r="AV260" s="505"/>
      <c r="AW260" s="505"/>
      <c r="AX260" s="505"/>
      <c r="AY260" s="505"/>
      <c r="AZ260" s="505"/>
      <c r="BA260" s="505"/>
      <c r="BB260" s="505"/>
      <c r="BC260" s="505"/>
      <c r="BD260" s="505"/>
      <c r="BE260" s="505"/>
      <c r="BF260" s="505"/>
      <c r="BG260" s="505"/>
      <c r="BH260" s="505"/>
      <c r="BI260" s="505"/>
      <c r="BJ260" s="505"/>
      <c r="BK260" s="505"/>
      <c r="BL260" s="505"/>
      <c r="BM260" s="505"/>
      <c r="BN260" s="505"/>
      <c r="BO260" s="505"/>
      <c r="BP260" s="505"/>
      <c r="BQ260" s="505"/>
      <c r="BR260" s="505"/>
      <c r="BS260" s="505"/>
      <c r="BT260" s="505"/>
      <c r="BU260" s="505"/>
      <c r="BV260" s="505"/>
      <c r="BW260" s="505"/>
      <c r="BX260" s="505"/>
      <c r="BY260" s="505"/>
      <c r="BZ260" s="505"/>
      <c r="CA260" s="505"/>
      <c r="CB260" s="505"/>
      <c r="CC260" s="505"/>
      <c r="CD260" s="505"/>
      <c r="CE260" s="505"/>
      <c r="CF260" s="505"/>
      <c r="CG260" s="505"/>
      <c r="CH260" s="505"/>
      <c r="CI260" s="505"/>
      <c r="CJ260" s="505"/>
      <c r="CK260" s="505"/>
      <c r="CL260" s="505"/>
      <c r="CM260" s="505"/>
      <c r="CN260" s="505"/>
      <c r="CO260" s="505"/>
      <c r="CP260" s="505"/>
      <c r="CQ260" s="505"/>
      <c r="CR260" s="505"/>
      <c r="CS260" s="505"/>
      <c r="CT260" s="505"/>
      <c r="CU260" s="505"/>
      <c r="CV260" s="505"/>
      <c r="CW260" s="505"/>
      <c r="CX260" s="505"/>
      <c r="CY260" s="505"/>
      <c r="CZ260" s="505"/>
      <c r="DA260" s="505"/>
      <c r="DB260" s="505"/>
      <c r="DC260" s="505"/>
      <c r="DD260" s="505"/>
      <c r="DE260" s="505"/>
      <c r="DF260" s="505"/>
      <c r="DG260" s="505"/>
      <c r="DH260" s="505"/>
      <c r="DI260" s="505"/>
      <c r="DJ260" s="505"/>
      <c r="DK260" s="505"/>
      <c r="DL260" s="505"/>
      <c r="DM260" s="505"/>
      <c r="DN260" s="505"/>
      <c r="DO260" s="505"/>
      <c r="DP260" s="505"/>
    </row>
    <row r="261" spans="1:120" hidden="1" outlineLevel="1" x14ac:dyDescent="0.2">
      <c r="A261" s="517">
        <f t="shared" ref="A261:A324" si="49">DATE(YEAR(E261),MONTH(E261),1)</f>
        <v>38292</v>
      </c>
      <c r="B261" s="517" t="str">
        <f t="shared" si="46"/>
        <v>4Q04</v>
      </c>
      <c r="C261" s="517" t="str">
        <f t="shared" ref="C261:C324" si="50">VLOOKUP(MONTH(D261),$N$4:$O$16,2,FALSE) &amp; "Q" &amp; RIGHT(YEAR(D261),2)</f>
        <v>1Q05</v>
      </c>
      <c r="D261" s="518">
        <f t="shared" ref="D261:E324" si="51">D260+7</f>
        <v>38380</v>
      </c>
      <c r="E261" s="518">
        <f t="shared" si="51"/>
        <v>38320</v>
      </c>
      <c r="F261" s="520">
        <v>2.1160000000000001</v>
      </c>
      <c r="G261" s="521">
        <f t="shared" si="47"/>
        <v>0.20000000000000004</v>
      </c>
      <c r="H261" s="521">
        <f t="shared" si="48"/>
        <v>0.19000000000000003</v>
      </c>
      <c r="I261" s="505"/>
      <c r="J261" s="505"/>
      <c r="K261" s="505"/>
      <c r="L261" s="505"/>
      <c r="M261" s="528"/>
      <c r="N261" s="505"/>
      <c r="O261" s="505"/>
      <c r="P261" s="505"/>
      <c r="Q261" s="505"/>
      <c r="R261" s="505"/>
      <c r="S261" s="505"/>
      <c r="T261" s="505"/>
      <c r="U261" s="505"/>
      <c r="V261" s="505"/>
      <c r="W261" s="505"/>
      <c r="X261" s="505"/>
      <c r="Y261" s="505"/>
      <c r="Z261" s="505"/>
      <c r="AA261" s="505"/>
      <c r="AB261" s="505"/>
      <c r="AC261" s="505"/>
      <c r="AD261" s="505"/>
      <c r="AE261" s="505"/>
      <c r="AF261" s="505"/>
      <c r="AG261" s="505"/>
      <c r="AH261" s="505"/>
      <c r="AI261" s="505"/>
      <c r="AJ261" s="505"/>
      <c r="AK261" s="505"/>
      <c r="AL261" s="505"/>
      <c r="AM261" s="505"/>
      <c r="AN261" s="505"/>
      <c r="AO261" s="505"/>
      <c r="AP261" s="505"/>
      <c r="AQ261" s="505"/>
      <c r="AR261" s="505"/>
      <c r="AS261" s="505"/>
      <c r="AT261" s="505"/>
      <c r="AU261" s="505"/>
      <c r="AV261" s="505"/>
      <c r="AW261" s="505"/>
      <c r="AX261" s="505"/>
      <c r="AY261" s="505"/>
      <c r="AZ261" s="505"/>
      <c r="BA261" s="505"/>
      <c r="BB261" s="505"/>
      <c r="BC261" s="505"/>
      <c r="BD261" s="505"/>
      <c r="BE261" s="505"/>
      <c r="BF261" s="505"/>
      <c r="BG261" s="505"/>
      <c r="BH261" s="505"/>
      <c r="BI261" s="505"/>
      <c r="BJ261" s="505"/>
      <c r="BK261" s="505"/>
      <c r="BL261" s="505"/>
      <c r="BM261" s="505"/>
      <c r="BN261" s="505"/>
      <c r="BO261" s="505"/>
      <c r="BP261" s="505"/>
      <c r="BQ261" s="505"/>
      <c r="BR261" s="505"/>
      <c r="BS261" s="505"/>
      <c r="BT261" s="505"/>
      <c r="BU261" s="505"/>
      <c r="BV261" s="505"/>
      <c r="BW261" s="505"/>
      <c r="BX261" s="505"/>
      <c r="BY261" s="505"/>
      <c r="BZ261" s="505"/>
      <c r="CA261" s="505"/>
      <c r="CB261" s="505"/>
      <c r="CC261" s="505"/>
      <c r="CD261" s="505"/>
      <c r="CE261" s="505"/>
      <c r="CF261" s="505"/>
      <c r="CG261" s="505"/>
      <c r="CH261" s="505"/>
      <c r="CI261" s="505"/>
      <c r="CJ261" s="505"/>
      <c r="CK261" s="505"/>
      <c r="CL261" s="505"/>
      <c r="CM261" s="505"/>
      <c r="CN261" s="505"/>
      <c r="CO261" s="505"/>
      <c r="CP261" s="505"/>
      <c r="CQ261" s="505"/>
      <c r="CR261" s="505"/>
      <c r="CS261" s="505"/>
      <c r="CT261" s="505"/>
      <c r="CU261" s="505"/>
      <c r="CV261" s="505"/>
      <c r="CW261" s="505"/>
      <c r="CX261" s="505"/>
      <c r="CY261" s="505"/>
      <c r="CZ261" s="505"/>
      <c r="DA261" s="505"/>
      <c r="DB261" s="505"/>
      <c r="DC261" s="505"/>
      <c r="DD261" s="505"/>
      <c r="DE261" s="505"/>
      <c r="DF261" s="505"/>
      <c r="DG261" s="505"/>
      <c r="DH261" s="505"/>
      <c r="DI261" s="505"/>
      <c r="DJ261" s="505"/>
      <c r="DK261" s="505"/>
      <c r="DL261" s="505"/>
      <c r="DM261" s="505"/>
      <c r="DN261" s="505"/>
      <c r="DO261" s="505"/>
      <c r="DP261" s="505"/>
    </row>
    <row r="262" spans="1:120" hidden="1" outlineLevel="1" x14ac:dyDescent="0.2">
      <c r="A262" s="517">
        <f t="shared" si="49"/>
        <v>38322</v>
      </c>
      <c r="B262" s="517" t="str">
        <f t="shared" si="46"/>
        <v>4Q04</v>
      </c>
      <c r="C262" s="517" t="str">
        <f t="shared" si="50"/>
        <v>1Q05</v>
      </c>
      <c r="D262" s="518">
        <f t="shared" si="51"/>
        <v>38387</v>
      </c>
      <c r="E262" s="518">
        <f t="shared" si="51"/>
        <v>38327</v>
      </c>
      <c r="F262" s="520">
        <v>2.069</v>
      </c>
      <c r="G262" s="521">
        <f t="shared" si="47"/>
        <v>0.19000000000000003</v>
      </c>
      <c r="H262" s="521">
        <f t="shared" si="48"/>
        <v>0.17</v>
      </c>
      <c r="I262" s="505"/>
      <c r="J262" s="505"/>
      <c r="K262" s="505"/>
      <c r="L262" s="505"/>
      <c r="M262" s="528"/>
      <c r="N262" s="505"/>
      <c r="O262" s="505"/>
      <c r="P262" s="505"/>
      <c r="Q262" s="505"/>
      <c r="R262" s="505"/>
      <c r="S262" s="505"/>
      <c r="T262" s="505"/>
      <c r="U262" s="505"/>
      <c r="V262" s="505"/>
      <c r="W262" s="505"/>
      <c r="X262" s="505"/>
      <c r="Y262" s="505"/>
      <c r="Z262" s="505"/>
      <c r="AA262" s="505"/>
      <c r="AB262" s="505"/>
      <c r="AC262" s="505"/>
      <c r="AD262" s="505"/>
      <c r="AE262" s="505"/>
      <c r="AF262" s="505"/>
      <c r="AG262" s="505"/>
      <c r="AH262" s="505"/>
      <c r="AI262" s="505"/>
      <c r="AJ262" s="505"/>
      <c r="AK262" s="505"/>
      <c r="AL262" s="505"/>
      <c r="AM262" s="505"/>
      <c r="AN262" s="505"/>
      <c r="AO262" s="505"/>
      <c r="AP262" s="505"/>
      <c r="AQ262" s="505"/>
      <c r="AR262" s="505"/>
      <c r="AS262" s="505"/>
      <c r="AT262" s="505"/>
      <c r="AU262" s="505"/>
      <c r="AV262" s="505"/>
      <c r="AW262" s="505"/>
      <c r="AX262" s="505"/>
      <c r="AY262" s="505"/>
      <c r="AZ262" s="505"/>
      <c r="BA262" s="505"/>
      <c r="BB262" s="505"/>
      <c r="BC262" s="505"/>
      <c r="BD262" s="505"/>
      <c r="BE262" s="505"/>
      <c r="BF262" s="505"/>
      <c r="BG262" s="505"/>
      <c r="BH262" s="505"/>
      <c r="BI262" s="505"/>
      <c r="BJ262" s="505"/>
      <c r="BK262" s="505"/>
      <c r="BL262" s="505"/>
      <c r="BM262" s="505"/>
      <c r="BN262" s="505"/>
      <c r="BO262" s="505"/>
      <c r="BP262" s="505"/>
      <c r="BQ262" s="505"/>
      <c r="BR262" s="505"/>
      <c r="BS262" s="505"/>
      <c r="BT262" s="505"/>
      <c r="BU262" s="505"/>
      <c r="BV262" s="505"/>
      <c r="BW262" s="505"/>
      <c r="BX262" s="505"/>
      <c r="BY262" s="505"/>
      <c r="BZ262" s="505"/>
      <c r="CA262" s="505"/>
      <c r="CB262" s="505"/>
      <c r="CC262" s="505"/>
      <c r="CD262" s="505"/>
      <c r="CE262" s="505"/>
      <c r="CF262" s="505"/>
      <c r="CG262" s="505"/>
      <c r="CH262" s="505"/>
      <c r="CI262" s="505"/>
      <c r="CJ262" s="505"/>
      <c r="CK262" s="505"/>
      <c r="CL262" s="505"/>
      <c r="CM262" s="505"/>
      <c r="CN262" s="505"/>
      <c r="CO262" s="505"/>
      <c r="CP262" s="505"/>
      <c r="CQ262" s="505"/>
      <c r="CR262" s="505"/>
      <c r="CS262" s="505"/>
      <c r="CT262" s="505"/>
      <c r="CU262" s="505"/>
      <c r="CV262" s="505"/>
      <c r="CW262" s="505"/>
      <c r="CX262" s="505"/>
      <c r="CY262" s="505"/>
      <c r="CZ262" s="505"/>
      <c r="DA262" s="505"/>
      <c r="DB262" s="505"/>
      <c r="DC262" s="505"/>
      <c r="DD262" s="505"/>
      <c r="DE262" s="505"/>
      <c r="DF262" s="505"/>
      <c r="DG262" s="505"/>
      <c r="DH262" s="505"/>
      <c r="DI262" s="505"/>
      <c r="DJ262" s="505"/>
      <c r="DK262" s="505"/>
      <c r="DL262" s="505"/>
      <c r="DM262" s="505"/>
      <c r="DN262" s="505"/>
      <c r="DO262" s="505"/>
      <c r="DP262" s="505"/>
    </row>
    <row r="263" spans="1:120" hidden="1" outlineLevel="1" x14ac:dyDescent="0.2">
      <c r="A263" s="517">
        <f t="shared" si="49"/>
        <v>38322</v>
      </c>
      <c r="B263" s="517" t="str">
        <f t="shared" si="46"/>
        <v>4Q04</v>
      </c>
      <c r="C263" s="517" t="str">
        <f t="shared" si="50"/>
        <v>1Q05</v>
      </c>
      <c r="D263" s="518">
        <f t="shared" si="51"/>
        <v>38394</v>
      </c>
      <c r="E263" s="518">
        <f t="shared" si="51"/>
        <v>38334</v>
      </c>
      <c r="F263" s="520">
        <v>1.9969999999999999</v>
      </c>
      <c r="G263" s="521">
        <f t="shared" si="47"/>
        <v>0.17</v>
      </c>
      <c r="H263" s="521">
        <f t="shared" si="48"/>
        <v>0.17</v>
      </c>
      <c r="I263" s="505"/>
      <c r="J263" s="505"/>
      <c r="K263" s="505"/>
      <c r="L263" s="505"/>
      <c r="M263" s="528"/>
      <c r="N263" s="505"/>
      <c r="O263" s="505"/>
      <c r="P263" s="505"/>
      <c r="Q263" s="505"/>
      <c r="R263" s="505"/>
      <c r="S263" s="505"/>
      <c r="T263" s="505"/>
      <c r="U263" s="505"/>
      <c r="V263" s="505"/>
      <c r="W263" s="505"/>
      <c r="X263" s="505"/>
      <c r="Y263" s="505"/>
      <c r="Z263" s="505"/>
      <c r="AA263" s="505"/>
      <c r="AB263" s="505"/>
      <c r="AC263" s="505"/>
      <c r="AD263" s="505"/>
      <c r="AE263" s="505"/>
      <c r="AF263" s="505"/>
      <c r="AG263" s="505"/>
      <c r="AH263" s="505"/>
      <c r="AI263" s="505"/>
      <c r="AJ263" s="505"/>
      <c r="AK263" s="505"/>
      <c r="AL263" s="505"/>
      <c r="AM263" s="505"/>
      <c r="AN263" s="505"/>
      <c r="AO263" s="505"/>
      <c r="AP263" s="505"/>
      <c r="AQ263" s="505"/>
      <c r="AR263" s="505"/>
      <c r="AS263" s="505"/>
      <c r="AT263" s="505"/>
      <c r="AU263" s="505"/>
      <c r="AV263" s="505"/>
      <c r="AW263" s="505"/>
      <c r="AX263" s="505"/>
      <c r="AY263" s="505"/>
      <c r="AZ263" s="505"/>
      <c r="BA263" s="505"/>
      <c r="BB263" s="505"/>
      <c r="BC263" s="505"/>
      <c r="BD263" s="505"/>
      <c r="BE263" s="505"/>
      <c r="BF263" s="505"/>
      <c r="BG263" s="505"/>
      <c r="BH263" s="505"/>
      <c r="BI263" s="505"/>
      <c r="BJ263" s="505"/>
      <c r="BK263" s="505"/>
      <c r="BL263" s="505"/>
      <c r="BM263" s="505"/>
      <c r="BN263" s="505"/>
      <c r="BO263" s="505"/>
      <c r="BP263" s="505"/>
      <c r="BQ263" s="505"/>
      <c r="BR263" s="505"/>
      <c r="BS263" s="505"/>
      <c r="BT263" s="505"/>
      <c r="BU263" s="505"/>
      <c r="BV263" s="505"/>
      <c r="BW263" s="505"/>
      <c r="BX263" s="505"/>
      <c r="BY263" s="505"/>
      <c r="BZ263" s="505"/>
      <c r="CA263" s="505"/>
      <c r="CB263" s="505"/>
      <c r="CC263" s="505"/>
      <c r="CD263" s="505"/>
      <c r="CE263" s="505"/>
      <c r="CF263" s="505"/>
      <c r="CG263" s="505"/>
      <c r="CH263" s="505"/>
      <c r="CI263" s="505"/>
      <c r="CJ263" s="505"/>
      <c r="CK263" s="505"/>
      <c r="CL263" s="505"/>
      <c r="CM263" s="505"/>
      <c r="CN263" s="505"/>
      <c r="CO263" s="505"/>
      <c r="CP263" s="505"/>
      <c r="CQ263" s="505"/>
      <c r="CR263" s="505"/>
      <c r="CS263" s="505"/>
      <c r="CT263" s="505"/>
      <c r="CU263" s="505"/>
      <c r="CV263" s="505"/>
      <c r="CW263" s="505"/>
      <c r="CX263" s="505"/>
      <c r="CY263" s="505"/>
      <c r="CZ263" s="505"/>
      <c r="DA263" s="505"/>
      <c r="DB263" s="505"/>
      <c r="DC263" s="505"/>
      <c r="DD263" s="505"/>
      <c r="DE263" s="505"/>
      <c r="DF263" s="505"/>
      <c r="DG263" s="505"/>
      <c r="DH263" s="505"/>
      <c r="DI263" s="505"/>
      <c r="DJ263" s="505"/>
      <c r="DK263" s="505"/>
      <c r="DL263" s="505"/>
      <c r="DM263" s="505"/>
      <c r="DN263" s="505"/>
      <c r="DO263" s="505"/>
      <c r="DP263" s="505"/>
    </row>
    <row r="264" spans="1:120" hidden="1" outlineLevel="1" x14ac:dyDescent="0.2">
      <c r="A264" s="517">
        <f t="shared" si="49"/>
        <v>38322</v>
      </c>
      <c r="B264" s="517" t="str">
        <f t="shared" si="46"/>
        <v>4Q04</v>
      </c>
      <c r="C264" s="517" t="str">
        <f t="shared" si="50"/>
        <v>1Q05</v>
      </c>
      <c r="D264" s="518">
        <f t="shared" si="51"/>
        <v>38401</v>
      </c>
      <c r="E264" s="518">
        <f t="shared" si="51"/>
        <v>38341</v>
      </c>
      <c r="F264" s="520">
        <v>1.984</v>
      </c>
      <c r="G264" s="521">
        <f t="shared" si="47"/>
        <v>0.17</v>
      </c>
      <c r="H264" s="521">
        <f t="shared" si="48"/>
        <v>0.17</v>
      </c>
      <c r="I264" s="505"/>
      <c r="J264" s="505"/>
      <c r="K264" s="505"/>
      <c r="L264" s="505"/>
      <c r="M264" s="528"/>
      <c r="N264" s="505"/>
      <c r="O264" s="505"/>
      <c r="P264" s="505"/>
      <c r="Q264" s="505"/>
      <c r="R264" s="505"/>
      <c r="S264" s="505"/>
      <c r="T264" s="505"/>
      <c r="U264" s="505"/>
      <c r="V264" s="505"/>
      <c r="W264" s="505"/>
      <c r="X264" s="505"/>
      <c r="Y264" s="505"/>
      <c r="Z264" s="505"/>
      <c r="AA264" s="505"/>
      <c r="AB264" s="505"/>
      <c r="AC264" s="505"/>
      <c r="AD264" s="505"/>
      <c r="AE264" s="505"/>
      <c r="AF264" s="505"/>
      <c r="AG264" s="505"/>
      <c r="AH264" s="505"/>
      <c r="AI264" s="505"/>
      <c r="AJ264" s="505"/>
      <c r="AK264" s="505"/>
      <c r="AL264" s="505"/>
      <c r="AM264" s="505"/>
      <c r="AN264" s="505"/>
      <c r="AO264" s="505"/>
      <c r="AP264" s="505"/>
      <c r="AQ264" s="505"/>
      <c r="AR264" s="505"/>
      <c r="AS264" s="505"/>
      <c r="AT264" s="505"/>
      <c r="AU264" s="505"/>
      <c r="AV264" s="505"/>
      <c r="AW264" s="505"/>
      <c r="AX264" s="505"/>
      <c r="AY264" s="505"/>
      <c r="AZ264" s="505"/>
      <c r="BA264" s="505"/>
      <c r="BB264" s="505"/>
      <c r="BC264" s="505"/>
      <c r="BD264" s="505"/>
      <c r="BE264" s="505"/>
      <c r="BF264" s="505"/>
      <c r="BG264" s="505"/>
      <c r="BH264" s="505"/>
      <c r="BI264" s="505"/>
      <c r="BJ264" s="505"/>
      <c r="BK264" s="505"/>
      <c r="BL264" s="505"/>
      <c r="BM264" s="505"/>
      <c r="BN264" s="505"/>
      <c r="BO264" s="505"/>
      <c r="BP264" s="505"/>
      <c r="BQ264" s="505"/>
      <c r="BR264" s="505"/>
      <c r="BS264" s="505"/>
      <c r="BT264" s="505"/>
      <c r="BU264" s="505"/>
      <c r="BV264" s="505"/>
      <c r="BW264" s="505"/>
      <c r="BX264" s="505"/>
      <c r="BY264" s="505"/>
      <c r="BZ264" s="505"/>
      <c r="CA264" s="505"/>
      <c r="CB264" s="505"/>
      <c r="CC264" s="505"/>
      <c r="CD264" s="505"/>
      <c r="CE264" s="505"/>
      <c r="CF264" s="505"/>
      <c r="CG264" s="505"/>
      <c r="CH264" s="505"/>
      <c r="CI264" s="505"/>
      <c r="CJ264" s="505"/>
      <c r="CK264" s="505"/>
      <c r="CL264" s="505"/>
      <c r="CM264" s="505"/>
      <c r="CN264" s="505"/>
      <c r="CO264" s="505"/>
      <c r="CP264" s="505"/>
      <c r="CQ264" s="505"/>
      <c r="CR264" s="505"/>
      <c r="CS264" s="505"/>
      <c r="CT264" s="505"/>
      <c r="CU264" s="505"/>
      <c r="CV264" s="505"/>
      <c r="CW264" s="505"/>
      <c r="CX264" s="505"/>
      <c r="CY264" s="505"/>
      <c r="CZ264" s="505"/>
      <c r="DA264" s="505"/>
      <c r="DB264" s="505"/>
      <c r="DC264" s="505"/>
      <c r="DD264" s="505"/>
      <c r="DE264" s="505"/>
      <c r="DF264" s="505"/>
      <c r="DG264" s="505"/>
      <c r="DH264" s="505"/>
      <c r="DI264" s="505"/>
      <c r="DJ264" s="505"/>
      <c r="DK264" s="505"/>
      <c r="DL264" s="505"/>
      <c r="DM264" s="505"/>
      <c r="DN264" s="505"/>
      <c r="DO264" s="505"/>
      <c r="DP264" s="505"/>
    </row>
    <row r="265" spans="1:120" hidden="1" outlineLevel="1" x14ac:dyDescent="0.2">
      <c r="A265" s="517">
        <f t="shared" si="49"/>
        <v>38322</v>
      </c>
      <c r="B265" s="517" t="str">
        <f t="shared" si="46"/>
        <v>4Q04</v>
      </c>
      <c r="C265" s="517" t="str">
        <f t="shared" si="50"/>
        <v>1Q05</v>
      </c>
      <c r="D265" s="518">
        <f t="shared" si="51"/>
        <v>38408</v>
      </c>
      <c r="E265" s="518">
        <f t="shared" si="51"/>
        <v>38348</v>
      </c>
      <c r="F265" s="520">
        <v>1.9869999999999999</v>
      </c>
      <c r="G265" s="521">
        <f t="shared" si="47"/>
        <v>0.17</v>
      </c>
      <c r="H265" s="521">
        <f t="shared" si="48"/>
        <v>0.17</v>
      </c>
      <c r="I265" s="505"/>
      <c r="J265" s="505"/>
      <c r="K265" s="505"/>
      <c r="L265" s="505"/>
      <c r="M265" s="528"/>
      <c r="N265" s="505"/>
      <c r="O265" s="505"/>
      <c r="P265" s="505"/>
      <c r="Q265" s="505"/>
      <c r="R265" s="505"/>
      <c r="S265" s="505"/>
      <c r="T265" s="505"/>
      <c r="U265" s="505"/>
      <c r="V265" s="505"/>
      <c r="W265" s="505"/>
      <c r="X265" s="505"/>
      <c r="Y265" s="505"/>
      <c r="Z265" s="505"/>
      <c r="AA265" s="505"/>
      <c r="AB265" s="505"/>
      <c r="AC265" s="505"/>
      <c r="AD265" s="505"/>
      <c r="AE265" s="505"/>
      <c r="AF265" s="505"/>
      <c r="AG265" s="505"/>
      <c r="AH265" s="505"/>
      <c r="AI265" s="505"/>
      <c r="AJ265" s="505"/>
      <c r="AK265" s="505"/>
      <c r="AL265" s="505"/>
      <c r="AM265" s="505"/>
      <c r="AN265" s="505"/>
      <c r="AO265" s="505"/>
      <c r="AP265" s="505"/>
      <c r="AQ265" s="505"/>
      <c r="AR265" s="505"/>
      <c r="AS265" s="505"/>
      <c r="AT265" s="505"/>
      <c r="AU265" s="505"/>
      <c r="AV265" s="505"/>
      <c r="AW265" s="505"/>
      <c r="AX265" s="505"/>
      <c r="AY265" s="505"/>
      <c r="AZ265" s="505"/>
      <c r="BA265" s="505"/>
      <c r="BB265" s="505"/>
      <c r="BC265" s="505"/>
      <c r="BD265" s="505"/>
      <c r="BE265" s="505"/>
      <c r="BF265" s="505"/>
      <c r="BG265" s="505"/>
      <c r="BH265" s="505"/>
      <c r="BI265" s="505"/>
      <c r="BJ265" s="505"/>
      <c r="BK265" s="505"/>
      <c r="BL265" s="505"/>
      <c r="BM265" s="505"/>
      <c r="BN265" s="505"/>
      <c r="BO265" s="505"/>
      <c r="BP265" s="505"/>
      <c r="BQ265" s="505"/>
      <c r="BR265" s="505"/>
      <c r="BS265" s="505"/>
      <c r="BT265" s="505"/>
      <c r="BU265" s="505"/>
      <c r="BV265" s="505"/>
      <c r="BW265" s="505"/>
      <c r="BX265" s="505"/>
      <c r="BY265" s="505"/>
      <c r="BZ265" s="505"/>
      <c r="CA265" s="505"/>
      <c r="CB265" s="505"/>
      <c r="CC265" s="505"/>
      <c r="CD265" s="505"/>
      <c r="CE265" s="505"/>
      <c r="CF265" s="505"/>
      <c r="CG265" s="505"/>
      <c r="CH265" s="505"/>
      <c r="CI265" s="505"/>
      <c r="CJ265" s="505"/>
      <c r="CK265" s="505"/>
      <c r="CL265" s="505"/>
      <c r="CM265" s="505"/>
      <c r="CN265" s="505"/>
      <c r="CO265" s="505"/>
      <c r="CP265" s="505"/>
      <c r="CQ265" s="505"/>
      <c r="CR265" s="505"/>
      <c r="CS265" s="505"/>
      <c r="CT265" s="505"/>
      <c r="CU265" s="505"/>
      <c r="CV265" s="505"/>
      <c r="CW265" s="505"/>
      <c r="CX265" s="505"/>
      <c r="CY265" s="505"/>
      <c r="CZ265" s="505"/>
      <c r="DA265" s="505"/>
      <c r="DB265" s="505"/>
      <c r="DC265" s="505"/>
      <c r="DD265" s="505"/>
      <c r="DE265" s="505"/>
      <c r="DF265" s="505"/>
      <c r="DG265" s="505"/>
      <c r="DH265" s="505"/>
      <c r="DI265" s="505"/>
      <c r="DJ265" s="505"/>
      <c r="DK265" s="505"/>
      <c r="DL265" s="505"/>
      <c r="DM265" s="505"/>
      <c r="DN265" s="505"/>
      <c r="DO265" s="505"/>
      <c r="DP265" s="505"/>
    </row>
    <row r="266" spans="1:120" hidden="1" outlineLevel="1" x14ac:dyDescent="0.2">
      <c r="A266" s="517">
        <f t="shared" si="49"/>
        <v>38353</v>
      </c>
      <c r="B266" s="517" t="str">
        <f t="shared" si="46"/>
        <v>1Q05</v>
      </c>
      <c r="C266" s="517" t="str">
        <f t="shared" si="50"/>
        <v>1Q05</v>
      </c>
      <c r="D266" s="518">
        <f t="shared" si="51"/>
        <v>38415</v>
      </c>
      <c r="E266" s="518">
        <f t="shared" si="51"/>
        <v>38355</v>
      </c>
      <c r="F266" s="520">
        <v>1.9569999999999999</v>
      </c>
      <c r="G266" s="521">
        <f t="shared" si="47"/>
        <v>0.17</v>
      </c>
      <c r="H266" s="521">
        <f t="shared" si="48"/>
        <v>0.16</v>
      </c>
      <c r="I266" s="505"/>
      <c r="J266" s="505"/>
      <c r="K266" s="505"/>
      <c r="L266" s="505"/>
      <c r="M266" s="528"/>
      <c r="N266" s="505"/>
      <c r="O266" s="505"/>
      <c r="P266" s="505"/>
      <c r="Q266" s="505"/>
      <c r="R266" s="505"/>
      <c r="S266" s="505"/>
      <c r="T266" s="505"/>
      <c r="U266" s="505"/>
      <c r="V266" s="505"/>
      <c r="W266" s="505"/>
      <c r="X266" s="505"/>
      <c r="Y266" s="505"/>
      <c r="Z266" s="505"/>
      <c r="AA266" s="505"/>
      <c r="AB266" s="505"/>
      <c r="AC266" s="505"/>
      <c r="AD266" s="505"/>
      <c r="AE266" s="505"/>
      <c r="AF266" s="505"/>
      <c r="AG266" s="505"/>
      <c r="AH266" s="505"/>
      <c r="AI266" s="505"/>
      <c r="AJ266" s="505"/>
      <c r="AK266" s="505"/>
      <c r="AL266" s="505"/>
      <c r="AM266" s="505"/>
      <c r="AN266" s="505"/>
      <c r="AO266" s="505"/>
      <c r="AP266" s="505"/>
      <c r="AQ266" s="505"/>
      <c r="AR266" s="505"/>
      <c r="AS266" s="505"/>
      <c r="AT266" s="505"/>
      <c r="AU266" s="505"/>
      <c r="AV266" s="505"/>
      <c r="AW266" s="505"/>
      <c r="AX266" s="505"/>
      <c r="AY266" s="505"/>
      <c r="AZ266" s="505"/>
      <c r="BA266" s="505"/>
      <c r="BB266" s="505"/>
      <c r="BC266" s="505"/>
      <c r="BD266" s="505"/>
      <c r="BE266" s="505"/>
      <c r="BF266" s="505"/>
      <c r="BG266" s="505"/>
      <c r="BH266" s="505"/>
      <c r="BI266" s="505"/>
      <c r="BJ266" s="505"/>
      <c r="BK266" s="505"/>
      <c r="BL266" s="505"/>
      <c r="BM266" s="505"/>
      <c r="BN266" s="505"/>
      <c r="BO266" s="505"/>
      <c r="BP266" s="505"/>
      <c r="BQ266" s="505"/>
      <c r="BR266" s="505"/>
      <c r="BS266" s="505"/>
      <c r="BT266" s="505"/>
      <c r="BU266" s="505"/>
      <c r="BV266" s="505"/>
      <c r="BW266" s="505"/>
      <c r="BX266" s="505"/>
      <c r="BY266" s="505"/>
      <c r="BZ266" s="505"/>
      <c r="CA266" s="505"/>
      <c r="CB266" s="505"/>
      <c r="CC266" s="505"/>
      <c r="CD266" s="505"/>
      <c r="CE266" s="505"/>
      <c r="CF266" s="505"/>
      <c r="CG266" s="505"/>
      <c r="CH266" s="505"/>
      <c r="CI266" s="505"/>
      <c r="CJ266" s="505"/>
      <c r="CK266" s="505"/>
      <c r="CL266" s="505"/>
      <c r="CM266" s="505"/>
      <c r="CN266" s="505"/>
      <c r="CO266" s="505"/>
      <c r="CP266" s="505"/>
      <c r="CQ266" s="505"/>
      <c r="CR266" s="505"/>
      <c r="CS266" s="505"/>
      <c r="CT266" s="505"/>
      <c r="CU266" s="505"/>
      <c r="CV266" s="505"/>
      <c r="CW266" s="505"/>
      <c r="CX266" s="505"/>
      <c r="CY266" s="505"/>
      <c r="CZ266" s="505"/>
      <c r="DA266" s="505"/>
      <c r="DB266" s="505"/>
      <c r="DC266" s="505"/>
      <c r="DD266" s="505"/>
      <c r="DE266" s="505"/>
      <c r="DF266" s="505"/>
      <c r="DG266" s="505"/>
      <c r="DH266" s="505"/>
      <c r="DI266" s="505"/>
      <c r="DJ266" s="505"/>
      <c r="DK266" s="505"/>
      <c r="DL266" s="505"/>
      <c r="DM266" s="505"/>
      <c r="DN266" s="505"/>
      <c r="DO266" s="505"/>
      <c r="DP266" s="505"/>
    </row>
    <row r="267" spans="1:120" hidden="1" outlineLevel="1" x14ac:dyDescent="0.2">
      <c r="A267" s="517">
        <f t="shared" si="49"/>
        <v>38353</v>
      </c>
      <c r="B267" s="517" t="str">
        <f t="shared" si="46"/>
        <v>1Q05</v>
      </c>
      <c r="C267" s="517" t="str">
        <f t="shared" si="50"/>
        <v>1Q05</v>
      </c>
      <c r="D267" s="518">
        <f t="shared" si="51"/>
        <v>38422</v>
      </c>
      <c r="E267" s="518">
        <f t="shared" si="51"/>
        <v>38362</v>
      </c>
      <c r="F267" s="520">
        <v>1.9340000000000002</v>
      </c>
      <c r="G267" s="521">
        <f t="shared" si="47"/>
        <v>0.16</v>
      </c>
      <c r="H267" s="521">
        <f t="shared" si="48"/>
        <v>0.17</v>
      </c>
      <c r="I267" s="505"/>
      <c r="J267" s="505"/>
      <c r="K267" s="505"/>
      <c r="L267" s="505"/>
      <c r="M267" s="528"/>
      <c r="N267" s="505"/>
      <c r="O267" s="505"/>
      <c r="P267" s="505"/>
      <c r="Q267" s="505"/>
      <c r="R267" s="505"/>
      <c r="S267" s="505"/>
      <c r="T267" s="505"/>
      <c r="U267" s="505"/>
      <c r="V267" s="505"/>
      <c r="W267" s="505"/>
      <c r="X267" s="505"/>
      <c r="Y267" s="505"/>
      <c r="Z267" s="505"/>
      <c r="AA267" s="505"/>
      <c r="AB267" s="505"/>
      <c r="AC267" s="505"/>
      <c r="AD267" s="505"/>
      <c r="AE267" s="505"/>
      <c r="AF267" s="505"/>
      <c r="AG267" s="505"/>
      <c r="AH267" s="505"/>
      <c r="AI267" s="505"/>
      <c r="AJ267" s="505"/>
      <c r="AK267" s="505"/>
      <c r="AL267" s="505"/>
      <c r="AM267" s="505"/>
      <c r="AN267" s="505"/>
      <c r="AO267" s="505"/>
      <c r="AP267" s="505"/>
      <c r="AQ267" s="505"/>
      <c r="AR267" s="505"/>
      <c r="AS267" s="505"/>
      <c r="AT267" s="505"/>
      <c r="AU267" s="505"/>
      <c r="AV267" s="505"/>
      <c r="AW267" s="505"/>
      <c r="AX267" s="505"/>
      <c r="AY267" s="505"/>
      <c r="AZ267" s="505"/>
      <c r="BA267" s="505"/>
      <c r="BB267" s="505"/>
      <c r="BC267" s="505"/>
      <c r="BD267" s="505"/>
      <c r="BE267" s="505"/>
      <c r="BF267" s="505"/>
      <c r="BG267" s="505"/>
      <c r="BH267" s="505"/>
      <c r="BI267" s="505"/>
      <c r="BJ267" s="505"/>
      <c r="BK267" s="505"/>
      <c r="BL267" s="505"/>
      <c r="BM267" s="505"/>
      <c r="BN267" s="505"/>
      <c r="BO267" s="505"/>
      <c r="BP267" s="505"/>
      <c r="BQ267" s="505"/>
      <c r="BR267" s="505"/>
      <c r="BS267" s="505"/>
      <c r="BT267" s="505"/>
      <c r="BU267" s="505"/>
      <c r="BV267" s="505"/>
      <c r="BW267" s="505"/>
      <c r="BX267" s="505"/>
      <c r="BY267" s="505"/>
      <c r="BZ267" s="505"/>
      <c r="CA267" s="505"/>
      <c r="CB267" s="505"/>
      <c r="CC267" s="505"/>
      <c r="CD267" s="505"/>
      <c r="CE267" s="505"/>
      <c r="CF267" s="505"/>
      <c r="CG267" s="505"/>
      <c r="CH267" s="505"/>
      <c r="CI267" s="505"/>
      <c r="CJ267" s="505"/>
      <c r="CK267" s="505"/>
      <c r="CL267" s="505"/>
      <c r="CM267" s="505"/>
      <c r="CN267" s="505"/>
      <c r="CO267" s="505"/>
      <c r="CP267" s="505"/>
      <c r="CQ267" s="505"/>
      <c r="CR267" s="505"/>
      <c r="CS267" s="505"/>
      <c r="CT267" s="505"/>
      <c r="CU267" s="505"/>
      <c r="CV267" s="505"/>
      <c r="CW267" s="505"/>
      <c r="CX267" s="505"/>
      <c r="CY267" s="505"/>
      <c r="CZ267" s="505"/>
      <c r="DA267" s="505"/>
      <c r="DB267" s="505"/>
      <c r="DC267" s="505"/>
      <c r="DD267" s="505"/>
      <c r="DE267" s="505"/>
      <c r="DF267" s="505"/>
      <c r="DG267" s="505"/>
      <c r="DH267" s="505"/>
      <c r="DI267" s="505"/>
      <c r="DJ267" s="505"/>
      <c r="DK267" s="505"/>
      <c r="DL267" s="505"/>
      <c r="DM267" s="505"/>
      <c r="DN267" s="505"/>
      <c r="DO267" s="505"/>
      <c r="DP267" s="505"/>
    </row>
    <row r="268" spans="1:120" hidden="1" outlineLevel="1" x14ac:dyDescent="0.2">
      <c r="A268" s="517">
        <f t="shared" si="49"/>
        <v>38353</v>
      </c>
      <c r="B268" s="517" t="str">
        <f t="shared" si="46"/>
        <v>1Q05</v>
      </c>
      <c r="C268" s="517" t="str">
        <f t="shared" si="50"/>
        <v>1Q05</v>
      </c>
      <c r="D268" s="518">
        <f t="shared" si="51"/>
        <v>38429</v>
      </c>
      <c r="E268" s="518">
        <f t="shared" si="51"/>
        <v>38369</v>
      </c>
      <c r="F268" s="520">
        <v>1.952</v>
      </c>
      <c r="G268" s="521">
        <f t="shared" si="47"/>
        <v>0.17</v>
      </c>
      <c r="H268" s="521">
        <f t="shared" si="48"/>
        <v>0.17</v>
      </c>
      <c r="I268" s="505"/>
      <c r="J268" s="505"/>
      <c r="K268" s="505"/>
      <c r="L268" s="505"/>
      <c r="M268" s="528"/>
      <c r="N268" s="505"/>
      <c r="O268" s="505"/>
      <c r="P268" s="505"/>
      <c r="Q268" s="505"/>
      <c r="R268" s="505"/>
      <c r="S268" s="505"/>
      <c r="T268" s="505"/>
      <c r="U268" s="505"/>
      <c r="V268" s="505"/>
      <c r="W268" s="505"/>
      <c r="X268" s="505"/>
      <c r="Y268" s="505"/>
      <c r="Z268" s="505"/>
      <c r="AA268" s="505"/>
      <c r="AB268" s="505"/>
      <c r="AC268" s="505"/>
      <c r="AD268" s="505"/>
      <c r="AE268" s="505"/>
      <c r="AF268" s="505"/>
      <c r="AG268" s="505"/>
      <c r="AH268" s="505"/>
      <c r="AI268" s="505"/>
      <c r="AJ268" s="505"/>
      <c r="AK268" s="505"/>
      <c r="AL268" s="505"/>
      <c r="AM268" s="505"/>
      <c r="AN268" s="505"/>
      <c r="AO268" s="505"/>
      <c r="AP268" s="505"/>
      <c r="AQ268" s="505"/>
      <c r="AR268" s="505"/>
      <c r="AS268" s="505"/>
      <c r="AT268" s="505"/>
      <c r="AU268" s="505"/>
      <c r="AV268" s="505"/>
      <c r="AW268" s="505"/>
      <c r="AX268" s="505"/>
      <c r="AY268" s="505"/>
      <c r="AZ268" s="505"/>
      <c r="BA268" s="505"/>
      <c r="BB268" s="505"/>
      <c r="BC268" s="505"/>
      <c r="BD268" s="505"/>
      <c r="BE268" s="505"/>
      <c r="BF268" s="505"/>
      <c r="BG268" s="505"/>
      <c r="BH268" s="505"/>
      <c r="BI268" s="505"/>
      <c r="BJ268" s="505"/>
      <c r="BK268" s="505"/>
      <c r="BL268" s="505"/>
      <c r="BM268" s="505"/>
      <c r="BN268" s="505"/>
      <c r="BO268" s="505"/>
      <c r="BP268" s="505"/>
      <c r="BQ268" s="505"/>
      <c r="BR268" s="505"/>
      <c r="BS268" s="505"/>
      <c r="BT268" s="505"/>
      <c r="BU268" s="505"/>
      <c r="BV268" s="505"/>
      <c r="BW268" s="505"/>
      <c r="BX268" s="505"/>
      <c r="BY268" s="505"/>
      <c r="BZ268" s="505"/>
      <c r="CA268" s="505"/>
      <c r="CB268" s="505"/>
      <c r="CC268" s="505"/>
      <c r="CD268" s="505"/>
      <c r="CE268" s="505"/>
      <c r="CF268" s="505"/>
      <c r="CG268" s="505"/>
      <c r="CH268" s="505"/>
      <c r="CI268" s="505"/>
      <c r="CJ268" s="505"/>
      <c r="CK268" s="505"/>
      <c r="CL268" s="505"/>
      <c r="CM268" s="505"/>
      <c r="CN268" s="505"/>
      <c r="CO268" s="505"/>
      <c r="CP268" s="505"/>
      <c r="CQ268" s="505"/>
      <c r="CR268" s="505"/>
      <c r="CS268" s="505"/>
      <c r="CT268" s="505"/>
      <c r="CU268" s="505"/>
      <c r="CV268" s="505"/>
      <c r="CW268" s="505"/>
      <c r="CX268" s="505"/>
      <c r="CY268" s="505"/>
      <c r="CZ268" s="505"/>
      <c r="DA268" s="505"/>
      <c r="DB268" s="505"/>
      <c r="DC268" s="505"/>
      <c r="DD268" s="505"/>
      <c r="DE268" s="505"/>
      <c r="DF268" s="505"/>
      <c r="DG268" s="505"/>
      <c r="DH268" s="505"/>
      <c r="DI268" s="505"/>
      <c r="DJ268" s="505"/>
      <c r="DK268" s="505"/>
      <c r="DL268" s="505"/>
      <c r="DM268" s="505"/>
      <c r="DN268" s="505"/>
      <c r="DO268" s="505"/>
      <c r="DP268" s="505"/>
    </row>
    <row r="269" spans="1:120" hidden="1" outlineLevel="1" x14ac:dyDescent="0.2">
      <c r="A269" s="517">
        <f t="shared" si="49"/>
        <v>38353</v>
      </c>
      <c r="B269" s="517" t="str">
        <f t="shared" si="46"/>
        <v>1Q05</v>
      </c>
      <c r="C269" s="517" t="str">
        <f t="shared" si="50"/>
        <v>1Q05</v>
      </c>
      <c r="D269" s="518">
        <f t="shared" si="51"/>
        <v>38436</v>
      </c>
      <c r="E269" s="518">
        <f t="shared" si="51"/>
        <v>38376</v>
      </c>
      <c r="F269" s="520">
        <v>1.9590000000000001</v>
      </c>
      <c r="G269" s="521">
        <f t="shared" si="47"/>
        <v>0.17</v>
      </c>
      <c r="H269" s="521">
        <f t="shared" si="48"/>
        <v>0.17</v>
      </c>
      <c r="I269" s="505"/>
      <c r="J269" s="505"/>
      <c r="K269" s="505"/>
      <c r="L269" s="505"/>
      <c r="M269" s="528"/>
      <c r="N269" s="505"/>
      <c r="O269" s="505"/>
      <c r="P269" s="505"/>
      <c r="Q269" s="505"/>
      <c r="R269" s="505"/>
      <c r="S269" s="505"/>
      <c r="T269" s="505"/>
      <c r="U269" s="505"/>
      <c r="V269" s="505"/>
      <c r="W269" s="505"/>
      <c r="X269" s="505"/>
      <c r="Y269" s="505"/>
      <c r="Z269" s="505"/>
      <c r="AA269" s="505"/>
      <c r="AB269" s="505"/>
      <c r="AC269" s="505"/>
      <c r="AD269" s="505"/>
      <c r="AE269" s="505"/>
      <c r="AF269" s="505"/>
      <c r="AG269" s="505"/>
      <c r="AH269" s="505"/>
      <c r="AI269" s="505"/>
      <c r="AJ269" s="505"/>
      <c r="AK269" s="505"/>
      <c r="AL269" s="505"/>
      <c r="AM269" s="505"/>
      <c r="AN269" s="505"/>
      <c r="AO269" s="505"/>
      <c r="AP269" s="505"/>
      <c r="AQ269" s="505"/>
      <c r="AR269" s="505"/>
      <c r="AS269" s="505"/>
      <c r="AT269" s="505"/>
      <c r="AU269" s="505"/>
      <c r="AV269" s="505"/>
      <c r="AW269" s="505"/>
      <c r="AX269" s="505"/>
      <c r="AY269" s="505"/>
      <c r="AZ269" s="505"/>
      <c r="BA269" s="505"/>
      <c r="BB269" s="505"/>
      <c r="BC269" s="505"/>
      <c r="BD269" s="505"/>
      <c r="BE269" s="505"/>
      <c r="BF269" s="505"/>
      <c r="BG269" s="505"/>
      <c r="BH269" s="505"/>
      <c r="BI269" s="505"/>
      <c r="BJ269" s="505"/>
      <c r="BK269" s="505"/>
      <c r="BL269" s="505"/>
      <c r="BM269" s="505"/>
      <c r="BN269" s="505"/>
      <c r="BO269" s="505"/>
      <c r="BP269" s="505"/>
      <c r="BQ269" s="505"/>
      <c r="BR269" s="505"/>
      <c r="BS269" s="505"/>
      <c r="BT269" s="505"/>
      <c r="BU269" s="505"/>
      <c r="BV269" s="505"/>
      <c r="BW269" s="505"/>
      <c r="BX269" s="505"/>
      <c r="BY269" s="505"/>
      <c r="BZ269" s="505"/>
      <c r="CA269" s="505"/>
      <c r="CB269" s="505"/>
      <c r="CC269" s="505"/>
      <c r="CD269" s="505"/>
      <c r="CE269" s="505"/>
      <c r="CF269" s="505"/>
      <c r="CG269" s="505"/>
      <c r="CH269" s="505"/>
      <c r="CI269" s="505"/>
      <c r="CJ269" s="505"/>
      <c r="CK269" s="505"/>
      <c r="CL269" s="505"/>
      <c r="CM269" s="505"/>
      <c r="CN269" s="505"/>
      <c r="CO269" s="505"/>
      <c r="CP269" s="505"/>
      <c r="CQ269" s="505"/>
      <c r="CR269" s="505"/>
      <c r="CS269" s="505"/>
      <c r="CT269" s="505"/>
      <c r="CU269" s="505"/>
      <c r="CV269" s="505"/>
      <c r="CW269" s="505"/>
      <c r="CX269" s="505"/>
      <c r="CY269" s="505"/>
      <c r="CZ269" s="505"/>
      <c r="DA269" s="505"/>
      <c r="DB269" s="505"/>
      <c r="DC269" s="505"/>
      <c r="DD269" s="505"/>
      <c r="DE269" s="505"/>
      <c r="DF269" s="505"/>
      <c r="DG269" s="505"/>
      <c r="DH269" s="505"/>
      <c r="DI269" s="505"/>
      <c r="DJ269" s="505"/>
      <c r="DK269" s="505"/>
      <c r="DL269" s="505"/>
      <c r="DM269" s="505"/>
      <c r="DN269" s="505"/>
      <c r="DO269" s="505"/>
      <c r="DP269" s="505"/>
    </row>
    <row r="270" spans="1:120" hidden="1" outlineLevel="1" x14ac:dyDescent="0.2">
      <c r="A270" s="517">
        <f t="shared" si="49"/>
        <v>38353</v>
      </c>
      <c r="B270" s="517" t="str">
        <f t="shared" si="46"/>
        <v>1Q05</v>
      </c>
      <c r="C270" s="517" t="str">
        <f t="shared" si="50"/>
        <v>2Q05</v>
      </c>
      <c r="D270" s="518">
        <f t="shared" si="51"/>
        <v>38443</v>
      </c>
      <c r="E270" s="518">
        <f t="shared" si="51"/>
        <v>38383</v>
      </c>
      <c r="F270" s="520">
        <v>1.992</v>
      </c>
      <c r="G270" s="521">
        <f t="shared" si="47"/>
        <v>0.17</v>
      </c>
      <c r="H270" s="521">
        <f t="shared" si="48"/>
        <v>0.17</v>
      </c>
      <c r="I270" s="505"/>
      <c r="J270" s="505"/>
      <c r="K270" s="505"/>
      <c r="L270" s="505"/>
      <c r="M270" s="528"/>
      <c r="N270" s="505"/>
      <c r="O270" s="505"/>
      <c r="P270" s="505"/>
      <c r="Q270" s="505"/>
      <c r="R270" s="505"/>
      <c r="S270" s="505"/>
      <c r="T270" s="505"/>
      <c r="U270" s="505"/>
      <c r="V270" s="505"/>
      <c r="W270" s="505"/>
      <c r="X270" s="505"/>
      <c r="Y270" s="505"/>
      <c r="Z270" s="505"/>
      <c r="AA270" s="505"/>
      <c r="AB270" s="505"/>
      <c r="AC270" s="505"/>
      <c r="AD270" s="505"/>
      <c r="AE270" s="505"/>
      <c r="AF270" s="505"/>
      <c r="AG270" s="505"/>
      <c r="AH270" s="505"/>
      <c r="AI270" s="505"/>
      <c r="AJ270" s="505"/>
      <c r="AK270" s="505"/>
      <c r="AL270" s="505"/>
      <c r="AM270" s="505"/>
      <c r="AN270" s="505"/>
      <c r="AO270" s="505"/>
      <c r="AP270" s="505"/>
      <c r="AQ270" s="505"/>
      <c r="AR270" s="505"/>
      <c r="AS270" s="505"/>
      <c r="AT270" s="505"/>
      <c r="AU270" s="505"/>
      <c r="AV270" s="505"/>
      <c r="AW270" s="505"/>
      <c r="AX270" s="505"/>
      <c r="AY270" s="505"/>
      <c r="AZ270" s="505"/>
      <c r="BA270" s="505"/>
      <c r="BB270" s="505"/>
      <c r="BC270" s="505"/>
      <c r="BD270" s="505"/>
      <c r="BE270" s="505"/>
      <c r="BF270" s="505"/>
      <c r="BG270" s="505"/>
      <c r="BH270" s="505"/>
      <c r="BI270" s="505"/>
      <c r="BJ270" s="505"/>
      <c r="BK270" s="505"/>
      <c r="BL270" s="505"/>
      <c r="BM270" s="505"/>
      <c r="BN270" s="505"/>
      <c r="BO270" s="505"/>
      <c r="BP270" s="505"/>
      <c r="BQ270" s="505"/>
      <c r="BR270" s="505"/>
      <c r="BS270" s="505"/>
      <c r="BT270" s="505"/>
      <c r="BU270" s="505"/>
      <c r="BV270" s="505"/>
      <c r="BW270" s="505"/>
      <c r="BX270" s="505"/>
      <c r="BY270" s="505"/>
      <c r="BZ270" s="505"/>
      <c r="CA270" s="505"/>
      <c r="CB270" s="505"/>
      <c r="CC270" s="505"/>
      <c r="CD270" s="505"/>
      <c r="CE270" s="505"/>
      <c r="CF270" s="505"/>
      <c r="CG270" s="505"/>
      <c r="CH270" s="505"/>
      <c r="CI270" s="505"/>
      <c r="CJ270" s="505"/>
      <c r="CK270" s="505"/>
      <c r="CL270" s="505"/>
      <c r="CM270" s="505"/>
      <c r="CN270" s="505"/>
      <c r="CO270" s="505"/>
      <c r="CP270" s="505"/>
      <c r="CQ270" s="505"/>
      <c r="CR270" s="505"/>
      <c r="CS270" s="505"/>
      <c r="CT270" s="505"/>
      <c r="CU270" s="505"/>
      <c r="CV270" s="505"/>
      <c r="CW270" s="505"/>
      <c r="CX270" s="505"/>
      <c r="CY270" s="505"/>
      <c r="CZ270" s="505"/>
      <c r="DA270" s="505"/>
      <c r="DB270" s="505"/>
      <c r="DC270" s="505"/>
      <c r="DD270" s="505"/>
      <c r="DE270" s="505"/>
      <c r="DF270" s="505"/>
      <c r="DG270" s="505"/>
      <c r="DH270" s="505"/>
      <c r="DI270" s="505"/>
      <c r="DJ270" s="505"/>
      <c r="DK270" s="505"/>
      <c r="DL270" s="505"/>
      <c r="DM270" s="505"/>
      <c r="DN270" s="505"/>
      <c r="DO270" s="505"/>
      <c r="DP270" s="505"/>
    </row>
    <row r="271" spans="1:120" hidden="1" outlineLevel="1" x14ac:dyDescent="0.2">
      <c r="A271" s="517">
        <f t="shared" si="49"/>
        <v>38384</v>
      </c>
      <c r="B271" s="517" t="str">
        <f t="shared" si="46"/>
        <v>1Q05</v>
      </c>
      <c r="C271" s="517" t="str">
        <f t="shared" si="50"/>
        <v>2Q05</v>
      </c>
      <c r="D271" s="518">
        <f t="shared" si="51"/>
        <v>38450</v>
      </c>
      <c r="E271" s="518">
        <f t="shared" si="51"/>
        <v>38390</v>
      </c>
      <c r="F271" s="520">
        <v>1.9830000000000001</v>
      </c>
      <c r="G271" s="521">
        <f t="shared" si="47"/>
        <v>0.17</v>
      </c>
      <c r="H271" s="521">
        <f t="shared" si="48"/>
        <v>0.17</v>
      </c>
      <c r="I271" s="505"/>
      <c r="J271" s="505"/>
      <c r="K271" s="505"/>
      <c r="L271" s="505"/>
      <c r="M271" s="528"/>
      <c r="N271" s="505"/>
      <c r="O271" s="505"/>
      <c r="P271" s="505"/>
      <c r="Q271" s="505"/>
      <c r="R271" s="505"/>
      <c r="S271" s="505"/>
      <c r="T271" s="505"/>
      <c r="U271" s="505"/>
      <c r="V271" s="505"/>
      <c r="W271" s="505"/>
      <c r="X271" s="505"/>
      <c r="Y271" s="505"/>
      <c r="Z271" s="505"/>
      <c r="AA271" s="505"/>
      <c r="AB271" s="505"/>
      <c r="AC271" s="505"/>
      <c r="AD271" s="505"/>
      <c r="AE271" s="505"/>
      <c r="AF271" s="505"/>
      <c r="AG271" s="505"/>
      <c r="AH271" s="505"/>
      <c r="AI271" s="505"/>
      <c r="AJ271" s="505"/>
      <c r="AK271" s="505"/>
      <c r="AL271" s="505"/>
      <c r="AM271" s="505"/>
      <c r="AN271" s="505"/>
      <c r="AO271" s="505"/>
      <c r="AP271" s="505"/>
      <c r="AQ271" s="505"/>
      <c r="AR271" s="505"/>
      <c r="AS271" s="505"/>
      <c r="AT271" s="505"/>
      <c r="AU271" s="505"/>
      <c r="AV271" s="505"/>
      <c r="AW271" s="505"/>
      <c r="AX271" s="505"/>
      <c r="AY271" s="505"/>
      <c r="AZ271" s="505"/>
      <c r="BA271" s="505"/>
      <c r="BB271" s="505"/>
      <c r="BC271" s="505"/>
      <c r="BD271" s="505"/>
      <c r="BE271" s="505"/>
      <c r="BF271" s="505"/>
      <c r="BG271" s="505"/>
      <c r="BH271" s="505"/>
      <c r="BI271" s="505"/>
      <c r="BJ271" s="505"/>
      <c r="BK271" s="505"/>
      <c r="BL271" s="505"/>
      <c r="BM271" s="505"/>
      <c r="BN271" s="505"/>
      <c r="BO271" s="505"/>
      <c r="BP271" s="505"/>
      <c r="BQ271" s="505"/>
      <c r="BR271" s="505"/>
      <c r="BS271" s="505"/>
      <c r="BT271" s="505"/>
      <c r="BU271" s="505"/>
      <c r="BV271" s="505"/>
      <c r="BW271" s="505"/>
      <c r="BX271" s="505"/>
      <c r="BY271" s="505"/>
      <c r="BZ271" s="505"/>
      <c r="CA271" s="505"/>
      <c r="CB271" s="505"/>
      <c r="CC271" s="505"/>
      <c r="CD271" s="505"/>
      <c r="CE271" s="505"/>
      <c r="CF271" s="505"/>
      <c r="CG271" s="505"/>
      <c r="CH271" s="505"/>
      <c r="CI271" s="505"/>
      <c r="CJ271" s="505"/>
      <c r="CK271" s="505"/>
      <c r="CL271" s="505"/>
      <c r="CM271" s="505"/>
      <c r="CN271" s="505"/>
      <c r="CO271" s="505"/>
      <c r="CP271" s="505"/>
      <c r="CQ271" s="505"/>
      <c r="CR271" s="505"/>
      <c r="CS271" s="505"/>
      <c r="CT271" s="505"/>
      <c r="CU271" s="505"/>
      <c r="CV271" s="505"/>
      <c r="CW271" s="505"/>
      <c r="CX271" s="505"/>
      <c r="CY271" s="505"/>
      <c r="CZ271" s="505"/>
      <c r="DA271" s="505"/>
      <c r="DB271" s="505"/>
      <c r="DC271" s="505"/>
      <c r="DD271" s="505"/>
      <c r="DE271" s="505"/>
      <c r="DF271" s="505"/>
      <c r="DG271" s="505"/>
      <c r="DH271" s="505"/>
      <c r="DI271" s="505"/>
      <c r="DJ271" s="505"/>
      <c r="DK271" s="505"/>
      <c r="DL271" s="505"/>
      <c r="DM271" s="505"/>
      <c r="DN271" s="505"/>
      <c r="DO271" s="505"/>
      <c r="DP271" s="505"/>
    </row>
    <row r="272" spans="1:120" hidden="1" outlineLevel="1" x14ac:dyDescent="0.2">
      <c r="A272" s="517">
        <f t="shared" si="49"/>
        <v>38384</v>
      </c>
      <c r="B272" s="517" t="str">
        <f t="shared" si="46"/>
        <v>1Q05</v>
      </c>
      <c r="C272" s="517" t="str">
        <f t="shared" si="50"/>
        <v>2Q05</v>
      </c>
      <c r="D272" s="518">
        <f t="shared" si="51"/>
        <v>38457</v>
      </c>
      <c r="E272" s="518">
        <f t="shared" si="51"/>
        <v>38397</v>
      </c>
      <c r="F272" s="520">
        <v>1.986</v>
      </c>
      <c r="G272" s="521">
        <f t="shared" si="47"/>
        <v>0.17</v>
      </c>
      <c r="H272" s="521">
        <f t="shared" si="48"/>
        <v>0.18000000000000002</v>
      </c>
      <c r="I272" s="505"/>
      <c r="J272" s="505"/>
      <c r="K272" s="505"/>
      <c r="L272" s="505"/>
      <c r="M272" s="528"/>
      <c r="N272" s="505"/>
      <c r="O272" s="505"/>
      <c r="P272" s="505"/>
      <c r="Q272" s="505"/>
      <c r="R272" s="505"/>
      <c r="S272" s="505"/>
      <c r="T272" s="505"/>
      <c r="U272" s="505"/>
      <c r="V272" s="505"/>
      <c r="W272" s="505"/>
      <c r="X272" s="505"/>
      <c r="Y272" s="505"/>
      <c r="Z272" s="505"/>
      <c r="AA272" s="505"/>
      <c r="AB272" s="505"/>
      <c r="AC272" s="505"/>
      <c r="AD272" s="505"/>
      <c r="AE272" s="505"/>
      <c r="AF272" s="505"/>
      <c r="AG272" s="505"/>
      <c r="AH272" s="505"/>
      <c r="AI272" s="505"/>
      <c r="AJ272" s="505"/>
      <c r="AK272" s="505"/>
      <c r="AL272" s="505"/>
      <c r="AM272" s="505"/>
      <c r="AN272" s="505"/>
      <c r="AO272" s="505"/>
      <c r="AP272" s="505"/>
      <c r="AQ272" s="505"/>
      <c r="AR272" s="505"/>
      <c r="AS272" s="505"/>
      <c r="AT272" s="505"/>
      <c r="AU272" s="505"/>
      <c r="AV272" s="505"/>
      <c r="AW272" s="505"/>
      <c r="AX272" s="505"/>
      <c r="AY272" s="505"/>
      <c r="AZ272" s="505"/>
      <c r="BA272" s="505"/>
      <c r="BB272" s="505"/>
      <c r="BC272" s="505"/>
      <c r="BD272" s="505"/>
      <c r="BE272" s="505"/>
      <c r="BF272" s="505"/>
      <c r="BG272" s="505"/>
      <c r="BH272" s="505"/>
      <c r="BI272" s="505"/>
      <c r="BJ272" s="505"/>
      <c r="BK272" s="505"/>
      <c r="BL272" s="505"/>
      <c r="BM272" s="505"/>
      <c r="BN272" s="505"/>
      <c r="BO272" s="505"/>
      <c r="BP272" s="505"/>
      <c r="BQ272" s="505"/>
      <c r="BR272" s="505"/>
      <c r="BS272" s="505"/>
      <c r="BT272" s="505"/>
      <c r="BU272" s="505"/>
      <c r="BV272" s="505"/>
      <c r="BW272" s="505"/>
      <c r="BX272" s="505"/>
      <c r="BY272" s="505"/>
      <c r="BZ272" s="505"/>
      <c r="CA272" s="505"/>
      <c r="CB272" s="505"/>
      <c r="CC272" s="505"/>
      <c r="CD272" s="505"/>
      <c r="CE272" s="505"/>
      <c r="CF272" s="505"/>
      <c r="CG272" s="505"/>
      <c r="CH272" s="505"/>
      <c r="CI272" s="505"/>
      <c r="CJ272" s="505"/>
      <c r="CK272" s="505"/>
      <c r="CL272" s="505"/>
      <c r="CM272" s="505"/>
      <c r="CN272" s="505"/>
      <c r="CO272" s="505"/>
      <c r="CP272" s="505"/>
      <c r="CQ272" s="505"/>
      <c r="CR272" s="505"/>
      <c r="CS272" s="505"/>
      <c r="CT272" s="505"/>
      <c r="CU272" s="505"/>
      <c r="CV272" s="505"/>
      <c r="CW272" s="505"/>
      <c r="CX272" s="505"/>
      <c r="CY272" s="505"/>
      <c r="CZ272" s="505"/>
      <c r="DA272" s="505"/>
      <c r="DB272" s="505"/>
      <c r="DC272" s="505"/>
      <c r="DD272" s="505"/>
      <c r="DE272" s="505"/>
      <c r="DF272" s="505"/>
      <c r="DG272" s="505"/>
      <c r="DH272" s="505"/>
      <c r="DI272" s="505"/>
      <c r="DJ272" s="505"/>
      <c r="DK272" s="505"/>
      <c r="DL272" s="505"/>
      <c r="DM272" s="505"/>
      <c r="DN272" s="505"/>
      <c r="DO272" s="505"/>
      <c r="DP272" s="505"/>
    </row>
    <row r="273" spans="1:120" hidden="1" outlineLevel="1" x14ac:dyDescent="0.2">
      <c r="A273" s="517">
        <f t="shared" si="49"/>
        <v>38384</v>
      </c>
      <c r="B273" s="517" t="str">
        <f t="shared" si="46"/>
        <v>1Q05</v>
      </c>
      <c r="C273" s="517" t="str">
        <f t="shared" si="50"/>
        <v>2Q05</v>
      </c>
      <c r="D273" s="518">
        <f t="shared" si="51"/>
        <v>38464</v>
      </c>
      <c r="E273" s="518">
        <f t="shared" si="51"/>
        <v>38404</v>
      </c>
      <c r="F273" s="520">
        <v>2.02</v>
      </c>
      <c r="G273" s="521">
        <f t="shared" si="47"/>
        <v>0.18000000000000002</v>
      </c>
      <c r="H273" s="521">
        <f t="shared" si="48"/>
        <v>0.20000000000000004</v>
      </c>
      <c r="I273" s="505"/>
      <c r="J273" s="505"/>
      <c r="K273" s="505"/>
      <c r="L273" s="505"/>
      <c r="M273" s="528"/>
      <c r="N273" s="505"/>
      <c r="O273" s="505"/>
      <c r="P273" s="505"/>
      <c r="Q273" s="505"/>
      <c r="R273" s="505"/>
      <c r="S273" s="505"/>
      <c r="T273" s="505"/>
      <c r="U273" s="505"/>
      <c r="V273" s="505"/>
      <c r="W273" s="505"/>
      <c r="X273" s="505"/>
      <c r="Y273" s="505"/>
      <c r="Z273" s="505"/>
      <c r="AA273" s="505"/>
      <c r="AB273" s="505"/>
      <c r="AC273" s="505"/>
      <c r="AD273" s="505"/>
      <c r="AE273" s="505"/>
      <c r="AF273" s="505"/>
      <c r="AG273" s="505"/>
      <c r="AH273" s="505"/>
      <c r="AI273" s="505"/>
      <c r="AJ273" s="505"/>
      <c r="AK273" s="505"/>
      <c r="AL273" s="505"/>
      <c r="AM273" s="505"/>
      <c r="AN273" s="505"/>
      <c r="AO273" s="505"/>
      <c r="AP273" s="505"/>
      <c r="AQ273" s="505"/>
      <c r="AR273" s="505"/>
      <c r="AS273" s="505"/>
      <c r="AT273" s="505"/>
      <c r="AU273" s="505"/>
      <c r="AV273" s="505"/>
      <c r="AW273" s="505"/>
      <c r="AX273" s="505"/>
      <c r="AY273" s="505"/>
      <c r="AZ273" s="505"/>
      <c r="BA273" s="505"/>
      <c r="BB273" s="505"/>
      <c r="BC273" s="505"/>
      <c r="BD273" s="505"/>
      <c r="BE273" s="505"/>
      <c r="BF273" s="505"/>
      <c r="BG273" s="505"/>
      <c r="BH273" s="505"/>
      <c r="BI273" s="505"/>
      <c r="BJ273" s="505"/>
      <c r="BK273" s="505"/>
      <c r="BL273" s="505"/>
      <c r="BM273" s="505"/>
      <c r="BN273" s="505"/>
      <c r="BO273" s="505"/>
      <c r="BP273" s="505"/>
      <c r="BQ273" s="505"/>
      <c r="BR273" s="505"/>
      <c r="BS273" s="505"/>
      <c r="BT273" s="505"/>
      <c r="BU273" s="505"/>
      <c r="BV273" s="505"/>
      <c r="BW273" s="505"/>
      <c r="BX273" s="505"/>
      <c r="BY273" s="505"/>
      <c r="BZ273" s="505"/>
      <c r="CA273" s="505"/>
      <c r="CB273" s="505"/>
      <c r="CC273" s="505"/>
      <c r="CD273" s="505"/>
      <c r="CE273" s="505"/>
      <c r="CF273" s="505"/>
      <c r="CG273" s="505"/>
      <c r="CH273" s="505"/>
      <c r="CI273" s="505"/>
      <c r="CJ273" s="505"/>
      <c r="CK273" s="505"/>
      <c r="CL273" s="505"/>
      <c r="CM273" s="505"/>
      <c r="CN273" s="505"/>
      <c r="CO273" s="505"/>
      <c r="CP273" s="505"/>
      <c r="CQ273" s="505"/>
      <c r="CR273" s="505"/>
      <c r="CS273" s="505"/>
      <c r="CT273" s="505"/>
      <c r="CU273" s="505"/>
      <c r="CV273" s="505"/>
      <c r="CW273" s="505"/>
      <c r="CX273" s="505"/>
      <c r="CY273" s="505"/>
      <c r="CZ273" s="505"/>
      <c r="DA273" s="505"/>
      <c r="DB273" s="505"/>
      <c r="DC273" s="505"/>
      <c r="DD273" s="505"/>
      <c r="DE273" s="505"/>
      <c r="DF273" s="505"/>
      <c r="DG273" s="505"/>
      <c r="DH273" s="505"/>
      <c r="DI273" s="505"/>
      <c r="DJ273" s="505"/>
      <c r="DK273" s="505"/>
      <c r="DL273" s="505"/>
      <c r="DM273" s="505"/>
      <c r="DN273" s="505"/>
      <c r="DO273" s="505"/>
      <c r="DP273" s="505"/>
    </row>
    <row r="274" spans="1:120" hidden="1" outlineLevel="1" x14ac:dyDescent="0.2">
      <c r="A274" s="517">
        <f t="shared" si="49"/>
        <v>38384</v>
      </c>
      <c r="B274" s="517" t="str">
        <f t="shared" si="46"/>
        <v>1Q05</v>
      </c>
      <c r="C274" s="517" t="str">
        <f t="shared" si="50"/>
        <v>2Q05</v>
      </c>
      <c r="D274" s="518">
        <f t="shared" si="51"/>
        <v>38471</v>
      </c>
      <c r="E274" s="518">
        <f t="shared" si="51"/>
        <v>38411</v>
      </c>
      <c r="F274" s="520">
        <v>2.1180000000000003</v>
      </c>
      <c r="G274" s="521">
        <f t="shared" si="47"/>
        <v>0.20000000000000004</v>
      </c>
      <c r="H274" s="521">
        <f t="shared" si="48"/>
        <v>0.21000000000000005</v>
      </c>
      <c r="I274" s="505"/>
      <c r="J274" s="505"/>
      <c r="K274" s="505"/>
      <c r="L274" s="505"/>
      <c r="M274" s="528"/>
      <c r="N274" s="505"/>
      <c r="O274" s="505"/>
      <c r="P274" s="505"/>
      <c r="Q274" s="505"/>
      <c r="R274" s="505"/>
      <c r="S274" s="505"/>
      <c r="T274" s="505"/>
      <c r="U274" s="505"/>
      <c r="V274" s="505"/>
      <c r="W274" s="505"/>
      <c r="X274" s="505"/>
      <c r="Y274" s="505"/>
      <c r="Z274" s="505"/>
      <c r="AA274" s="505"/>
      <c r="AB274" s="505"/>
      <c r="AC274" s="505"/>
      <c r="AD274" s="505"/>
      <c r="AE274" s="505"/>
      <c r="AF274" s="505"/>
      <c r="AG274" s="505"/>
      <c r="AH274" s="505"/>
      <c r="AI274" s="505"/>
      <c r="AJ274" s="505"/>
      <c r="AK274" s="505"/>
      <c r="AL274" s="505"/>
      <c r="AM274" s="505"/>
      <c r="AN274" s="505"/>
      <c r="AO274" s="505"/>
      <c r="AP274" s="505"/>
      <c r="AQ274" s="505"/>
      <c r="AR274" s="505"/>
      <c r="AS274" s="505"/>
      <c r="AT274" s="505"/>
      <c r="AU274" s="505"/>
      <c r="AV274" s="505"/>
      <c r="AW274" s="505"/>
      <c r="AX274" s="505"/>
      <c r="AY274" s="505"/>
      <c r="AZ274" s="505"/>
      <c r="BA274" s="505"/>
      <c r="BB274" s="505"/>
      <c r="BC274" s="505"/>
      <c r="BD274" s="505"/>
      <c r="BE274" s="505"/>
      <c r="BF274" s="505"/>
      <c r="BG274" s="505"/>
      <c r="BH274" s="505"/>
      <c r="BI274" s="505"/>
      <c r="BJ274" s="505"/>
      <c r="BK274" s="505"/>
      <c r="BL274" s="505"/>
      <c r="BM274" s="505"/>
      <c r="BN274" s="505"/>
      <c r="BO274" s="505"/>
      <c r="BP274" s="505"/>
      <c r="BQ274" s="505"/>
      <c r="BR274" s="505"/>
      <c r="BS274" s="505"/>
      <c r="BT274" s="505"/>
      <c r="BU274" s="505"/>
      <c r="BV274" s="505"/>
      <c r="BW274" s="505"/>
      <c r="BX274" s="505"/>
      <c r="BY274" s="505"/>
      <c r="BZ274" s="505"/>
      <c r="CA274" s="505"/>
      <c r="CB274" s="505"/>
      <c r="CC274" s="505"/>
      <c r="CD274" s="505"/>
      <c r="CE274" s="505"/>
      <c r="CF274" s="505"/>
      <c r="CG274" s="505"/>
      <c r="CH274" s="505"/>
      <c r="CI274" s="505"/>
      <c r="CJ274" s="505"/>
      <c r="CK274" s="505"/>
      <c r="CL274" s="505"/>
      <c r="CM274" s="505"/>
      <c r="CN274" s="505"/>
      <c r="CO274" s="505"/>
      <c r="CP274" s="505"/>
      <c r="CQ274" s="505"/>
      <c r="CR274" s="505"/>
      <c r="CS274" s="505"/>
      <c r="CT274" s="505"/>
      <c r="CU274" s="505"/>
      <c r="CV274" s="505"/>
      <c r="CW274" s="505"/>
      <c r="CX274" s="505"/>
      <c r="CY274" s="505"/>
      <c r="CZ274" s="505"/>
      <c r="DA274" s="505"/>
      <c r="DB274" s="505"/>
      <c r="DC274" s="505"/>
      <c r="DD274" s="505"/>
      <c r="DE274" s="505"/>
      <c r="DF274" s="505"/>
      <c r="DG274" s="505"/>
      <c r="DH274" s="505"/>
      <c r="DI274" s="505"/>
      <c r="DJ274" s="505"/>
      <c r="DK274" s="505"/>
      <c r="DL274" s="505"/>
      <c r="DM274" s="505"/>
      <c r="DN274" s="505"/>
      <c r="DO274" s="505"/>
      <c r="DP274" s="505"/>
    </row>
    <row r="275" spans="1:120" hidden="1" outlineLevel="1" x14ac:dyDescent="0.2">
      <c r="A275" s="517">
        <f t="shared" si="49"/>
        <v>38412</v>
      </c>
      <c r="B275" s="517" t="str">
        <f t="shared" si="46"/>
        <v>1Q05</v>
      </c>
      <c r="C275" s="517" t="str">
        <f t="shared" si="50"/>
        <v>2Q05</v>
      </c>
      <c r="D275" s="518">
        <f t="shared" si="51"/>
        <v>38478</v>
      </c>
      <c r="E275" s="518">
        <f t="shared" si="51"/>
        <v>38418</v>
      </c>
      <c r="F275" s="520">
        <v>2.1680000000000001</v>
      </c>
      <c r="G275" s="521">
        <f t="shared" si="47"/>
        <v>0.21000000000000005</v>
      </c>
      <c r="H275" s="521">
        <f t="shared" si="48"/>
        <v>0.21000000000000005</v>
      </c>
      <c r="I275" s="505"/>
      <c r="J275" s="505"/>
      <c r="K275" s="505"/>
      <c r="L275" s="505"/>
      <c r="M275" s="528"/>
      <c r="N275" s="505"/>
      <c r="O275" s="505"/>
      <c r="P275" s="505"/>
      <c r="Q275" s="505"/>
      <c r="R275" s="505"/>
      <c r="S275" s="505"/>
      <c r="T275" s="505"/>
      <c r="U275" s="505"/>
      <c r="V275" s="505"/>
      <c r="W275" s="505"/>
      <c r="X275" s="505"/>
      <c r="Y275" s="505"/>
      <c r="Z275" s="505"/>
      <c r="AA275" s="505"/>
      <c r="AB275" s="505"/>
      <c r="AC275" s="505"/>
      <c r="AD275" s="505"/>
      <c r="AE275" s="505"/>
      <c r="AF275" s="505"/>
      <c r="AG275" s="505"/>
      <c r="AH275" s="505"/>
      <c r="AI275" s="505"/>
      <c r="AJ275" s="505"/>
      <c r="AK275" s="505"/>
      <c r="AL275" s="505"/>
      <c r="AM275" s="505"/>
      <c r="AN275" s="505"/>
      <c r="AO275" s="505"/>
      <c r="AP275" s="505"/>
      <c r="AQ275" s="505"/>
      <c r="AR275" s="505"/>
      <c r="AS275" s="505"/>
      <c r="AT275" s="505"/>
      <c r="AU275" s="505"/>
      <c r="AV275" s="505"/>
      <c r="AW275" s="505"/>
      <c r="AX275" s="505"/>
      <c r="AY275" s="505"/>
      <c r="AZ275" s="505"/>
      <c r="BA275" s="505"/>
      <c r="BB275" s="505"/>
      <c r="BC275" s="505"/>
      <c r="BD275" s="505"/>
      <c r="BE275" s="505"/>
      <c r="BF275" s="505"/>
      <c r="BG275" s="505"/>
      <c r="BH275" s="505"/>
      <c r="BI275" s="505"/>
      <c r="BJ275" s="505"/>
      <c r="BK275" s="505"/>
      <c r="BL275" s="505"/>
      <c r="BM275" s="505"/>
      <c r="BN275" s="505"/>
      <c r="BO275" s="505"/>
      <c r="BP275" s="505"/>
      <c r="BQ275" s="505"/>
      <c r="BR275" s="505"/>
      <c r="BS275" s="505"/>
      <c r="BT275" s="505"/>
      <c r="BU275" s="505"/>
      <c r="BV275" s="505"/>
      <c r="BW275" s="505"/>
      <c r="BX275" s="505"/>
      <c r="BY275" s="505"/>
      <c r="BZ275" s="505"/>
      <c r="CA275" s="505"/>
      <c r="CB275" s="505"/>
      <c r="CC275" s="505"/>
      <c r="CD275" s="505"/>
      <c r="CE275" s="505"/>
      <c r="CF275" s="505"/>
      <c r="CG275" s="505"/>
      <c r="CH275" s="505"/>
      <c r="CI275" s="505"/>
      <c r="CJ275" s="505"/>
      <c r="CK275" s="505"/>
      <c r="CL275" s="505"/>
      <c r="CM275" s="505"/>
      <c r="CN275" s="505"/>
      <c r="CO275" s="505"/>
      <c r="CP275" s="505"/>
      <c r="CQ275" s="505"/>
      <c r="CR275" s="505"/>
      <c r="CS275" s="505"/>
      <c r="CT275" s="505"/>
      <c r="CU275" s="505"/>
      <c r="CV275" s="505"/>
      <c r="CW275" s="505"/>
      <c r="CX275" s="505"/>
      <c r="CY275" s="505"/>
      <c r="CZ275" s="505"/>
      <c r="DA275" s="505"/>
      <c r="DB275" s="505"/>
      <c r="DC275" s="505"/>
      <c r="DD275" s="505"/>
      <c r="DE275" s="505"/>
      <c r="DF275" s="505"/>
      <c r="DG275" s="505"/>
      <c r="DH275" s="505"/>
      <c r="DI275" s="505"/>
      <c r="DJ275" s="505"/>
      <c r="DK275" s="505"/>
      <c r="DL275" s="505"/>
      <c r="DM275" s="505"/>
      <c r="DN275" s="505"/>
      <c r="DO275" s="505"/>
      <c r="DP275" s="505"/>
    </row>
    <row r="276" spans="1:120" hidden="1" outlineLevel="1" x14ac:dyDescent="0.2">
      <c r="A276" s="517">
        <f t="shared" si="49"/>
        <v>38412</v>
      </c>
      <c r="B276" s="517" t="str">
        <f t="shared" si="46"/>
        <v>1Q05</v>
      </c>
      <c r="C276" s="517" t="str">
        <f t="shared" si="50"/>
        <v>2Q05</v>
      </c>
      <c r="D276" s="518">
        <f t="shared" si="51"/>
        <v>38485</v>
      </c>
      <c r="E276" s="518">
        <f t="shared" si="51"/>
        <v>38425</v>
      </c>
      <c r="F276" s="520">
        <v>2.194</v>
      </c>
      <c r="G276" s="521">
        <f t="shared" si="47"/>
        <v>0.21000000000000005</v>
      </c>
      <c r="H276" s="521">
        <f t="shared" si="48"/>
        <v>0.22000000000000006</v>
      </c>
      <c r="I276" s="505"/>
      <c r="J276" s="505"/>
      <c r="K276" s="505"/>
      <c r="L276" s="505"/>
      <c r="M276" s="528"/>
      <c r="N276" s="505"/>
      <c r="O276" s="505"/>
      <c r="P276" s="505"/>
      <c r="Q276" s="505"/>
      <c r="R276" s="505"/>
      <c r="S276" s="505"/>
      <c r="T276" s="505"/>
      <c r="U276" s="505"/>
      <c r="V276" s="505"/>
      <c r="W276" s="505"/>
      <c r="X276" s="505"/>
      <c r="Y276" s="505"/>
      <c r="Z276" s="505"/>
      <c r="AA276" s="505"/>
      <c r="AB276" s="505"/>
      <c r="AC276" s="505"/>
      <c r="AD276" s="505"/>
      <c r="AE276" s="505"/>
      <c r="AF276" s="505"/>
      <c r="AG276" s="505"/>
      <c r="AH276" s="505"/>
      <c r="AI276" s="505"/>
      <c r="AJ276" s="505"/>
      <c r="AK276" s="505"/>
      <c r="AL276" s="505"/>
      <c r="AM276" s="505"/>
      <c r="AN276" s="505"/>
      <c r="AO276" s="505"/>
      <c r="AP276" s="505"/>
      <c r="AQ276" s="505"/>
      <c r="AR276" s="505"/>
      <c r="AS276" s="505"/>
      <c r="AT276" s="505"/>
      <c r="AU276" s="505"/>
      <c r="AV276" s="505"/>
      <c r="AW276" s="505"/>
      <c r="AX276" s="505"/>
      <c r="AY276" s="505"/>
      <c r="AZ276" s="505"/>
      <c r="BA276" s="505"/>
      <c r="BB276" s="505"/>
      <c r="BC276" s="505"/>
      <c r="BD276" s="505"/>
      <c r="BE276" s="505"/>
      <c r="BF276" s="505"/>
      <c r="BG276" s="505"/>
      <c r="BH276" s="505"/>
      <c r="BI276" s="505"/>
      <c r="BJ276" s="505"/>
      <c r="BK276" s="505"/>
      <c r="BL276" s="505"/>
      <c r="BM276" s="505"/>
      <c r="BN276" s="505"/>
      <c r="BO276" s="505"/>
      <c r="BP276" s="505"/>
      <c r="BQ276" s="505"/>
      <c r="BR276" s="505"/>
      <c r="BS276" s="505"/>
      <c r="BT276" s="505"/>
      <c r="BU276" s="505"/>
      <c r="BV276" s="505"/>
      <c r="BW276" s="505"/>
      <c r="BX276" s="505"/>
      <c r="BY276" s="505"/>
      <c r="BZ276" s="505"/>
      <c r="CA276" s="505"/>
      <c r="CB276" s="505"/>
      <c r="CC276" s="505"/>
      <c r="CD276" s="505"/>
      <c r="CE276" s="505"/>
      <c r="CF276" s="505"/>
      <c r="CG276" s="505"/>
      <c r="CH276" s="505"/>
      <c r="CI276" s="505"/>
      <c r="CJ276" s="505"/>
      <c r="CK276" s="505"/>
      <c r="CL276" s="505"/>
      <c r="CM276" s="505"/>
      <c r="CN276" s="505"/>
      <c r="CO276" s="505"/>
      <c r="CP276" s="505"/>
      <c r="CQ276" s="505"/>
      <c r="CR276" s="505"/>
      <c r="CS276" s="505"/>
      <c r="CT276" s="505"/>
      <c r="CU276" s="505"/>
      <c r="CV276" s="505"/>
      <c r="CW276" s="505"/>
      <c r="CX276" s="505"/>
      <c r="CY276" s="505"/>
      <c r="CZ276" s="505"/>
      <c r="DA276" s="505"/>
      <c r="DB276" s="505"/>
      <c r="DC276" s="505"/>
      <c r="DD276" s="505"/>
      <c r="DE276" s="505"/>
      <c r="DF276" s="505"/>
      <c r="DG276" s="505"/>
      <c r="DH276" s="505"/>
      <c r="DI276" s="505"/>
      <c r="DJ276" s="505"/>
      <c r="DK276" s="505"/>
      <c r="DL276" s="505"/>
      <c r="DM276" s="505"/>
      <c r="DN276" s="505"/>
      <c r="DO276" s="505"/>
      <c r="DP276" s="505"/>
    </row>
    <row r="277" spans="1:120" hidden="1" outlineLevel="1" x14ac:dyDescent="0.2">
      <c r="A277" s="517">
        <f t="shared" si="49"/>
        <v>38412</v>
      </c>
      <c r="B277" s="517" t="str">
        <f t="shared" si="46"/>
        <v>1Q05</v>
      </c>
      <c r="C277" s="517" t="str">
        <f t="shared" si="50"/>
        <v>2Q05</v>
      </c>
      <c r="D277" s="518">
        <f t="shared" si="51"/>
        <v>38492</v>
      </c>
      <c r="E277" s="518">
        <f t="shared" si="51"/>
        <v>38432</v>
      </c>
      <c r="F277" s="520">
        <v>2.2440000000000002</v>
      </c>
      <c r="G277" s="521">
        <f t="shared" si="47"/>
        <v>0.22000000000000006</v>
      </c>
      <c r="H277" s="521">
        <f t="shared" si="48"/>
        <v>0.22000000000000006</v>
      </c>
      <c r="I277" s="505"/>
      <c r="J277" s="505"/>
      <c r="K277" s="505"/>
      <c r="L277" s="505"/>
      <c r="M277" s="528"/>
      <c r="N277" s="505"/>
      <c r="O277" s="505"/>
      <c r="P277" s="505"/>
      <c r="Q277" s="505"/>
      <c r="R277" s="505"/>
      <c r="S277" s="505"/>
      <c r="T277" s="505"/>
      <c r="U277" s="505"/>
      <c r="V277" s="505"/>
      <c r="W277" s="505"/>
      <c r="X277" s="505"/>
      <c r="Y277" s="505"/>
      <c r="Z277" s="505"/>
      <c r="AA277" s="505"/>
      <c r="AB277" s="505"/>
      <c r="AC277" s="505"/>
      <c r="AD277" s="505"/>
      <c r="AE277" s="505"/>
      <c r="AF277" s="505"/>
      <c r="AG277" s="505"/>
      <c r="AH277" s="505"/>
      <c r="AI277" s="505"/>
      <c r="AJ277" s="505"/>
      <c r="AK277" s="505"/>
      <c r="AL277" s="505"/>
      <c r="AM277" s="505"/>
      <c r="AN277" s="505"/>
      <c r="AO277" s="505"/>
      <c r="AP277" s="505"/>
      <c r="AQ277" s="505"/>
      <c r="AR277" s="505"/>
      <c r="AS277" s="505"/>
      <c r="AT277" s="505"/>
      <c r="AU277" s="505"/>
      <c r="AV277" s="505"/>
      <c r="AW277" s="505"/>
      <c r="AX277" s="505"/>
      <c r="AY277" s="505"/>
      <c r="AZ277" s="505"/>
      <c r="BA277" s="505"/>
      <c r="BB277" s="505"/>
      <c r="BC277" s="505"/>
      <c r="BD277" s="505"/>
      <c r="BE277" s="505"/>
      <c r="BF277" s="505"/>
      <c r="BG277" s="505"/>
      <c r="BH277" s="505"/>
      <c r="BI277" s="505"/>
      <c r="BJ277" s="505"/>
      <c r="BK277" s="505"/>
      <c r="BL277" s="505"/>
      <c r="BM277" s="505"/>
      <c r="BN277" s="505"/>
      <c r="BO277" s="505"/>
      <c r="BP277" s="505"/>
      <c r="BQ277" s="505"/>
      <c r="BR277" s="505"/>
      <c r="BS277" s="505"/>
      <c r="BT277" s="505"/>
      <c r="BU277" s="505"/>
      <c r="BV277" s="505"/>
      <c r="BW277" s="505"/>
      <c r="BX277" s="505"/>
      <c r="BY277" s="505"/>
      <c r="BZ277" s="505"/>
      <c r="CA277" s="505"/>
      <c r="CB277" s="505"/>
      <c r="CC277" s="505"/>
      <c r="CD277" s="505"/>
      <c r="CE277" s="505"/>
      <c r="CF277" s="505"/>
      <c r="CG277" s="505"/>
      <c r="CH277" s="505"/>
      <c r="CI277" s="505"/>
      <c r="CJ277" s="505"/>
      <c r="CK277" s="505"/>
      <c r="CL277" s="505"/>
      <c r="CM277" s="505"/>
      <c r="CN277" s="505"/>
      <c r="CO277" s="505"/>
      <c r="CP277" s="505"/>
      <c r="CQ277" s="505"/>
      <c r="CR277" s="505"/>
      <c r="CS277" s="505"/>
      <c r="CT277" s="505"/>
      <c r="CU277" s="505"/>
      <c r="CV277" s="505"/>
      <c r="CW277" s="505"/>
      <c r="CX277" s="505"/>
      <c r="CY277" s="505"/>
      <c r="CZ277" s="505"/>
      <c r="DA277" s="505"/>
      <c r="DB277" s="505"/>
      <c r="DC277" s="505"/>
      <c r="DD277" s="505"/>
      <c r="DE277" s="505"/>
      <c r="DF277" s="505"/>
      <c r="DG277" s="505"/>
      <c r="DH277" s="505"/>
      <c r="DI277" s="505"/>
      <c r="DJ277" s="505"/>
      <c r="DK277" s="505"/>
      <c r="DL277" s="505"/>
      <c r="DM277" s="505"/>
      <c r="DN277" s="505"/>
      <c r="DO277" s="505"/>
      <c r="DP277" s="505"/>
    </row>
    <row r="278" spans="1:120" hidden="1" outlineLevel="1" x14ac:dyDescent="0.2">
      <c r="A278" s="517">
        <f t="shared" si="49"/>
        <v>38412</v>
      </c>
      <c r="B278" s="517" t="str">
        <f t="shared" si="46"/>
        <v>1Q05</v>
      </c>
      <c r="C278" s="517" t="str">
        <f t="shared" si="50"/>
        <v>2Q05</v>
      </c>
      <c r="D278" s="518">
        <f t="shared" si="51"/>
        <v>38499</v>
      </c>
      <c r="E278" s="518">
        <f t="shared" si="51"/>
        <v>38439</v>
      </c>
      <c r="F278" s="520">
        <v>2.2490000000000001</v>
      </c>
      <c r="G278" s="521">
        <f t="shared" si="47"/>
        <v>0.22000000000000006</v>
      </c>
      <c r="H278" s="521">
        <f t="shared" si="48"/>
        <v>0.24000000000000007</v>
      </c>
      <c r="I278" s="505"/>
      <c r="J278" s="505"/>
      <c r="K278" s="505"/>
      <c r="L278" s="505"/>
      <c r="M278" s="528"/>
      <c r="N278" s="505"/>
      <c r="O278" s="505"/>
      <c r="P278" s="505"/>
      <c r="Q278" s="505"/>
      <c r="R278" s="505"/>
      <c r="S278" s="505"/>
      <c r="T278" s="505"/>
      <c r="U278" s="505"/>
      <c r="V278" s="505"/>
      <c r="W278" s="505"/>
      <c r="X278" s="505"/>
      <c r="Y278" s="505"/>
      <c r="Z278" s="505"/>
      <c r="AA278" s="505"/>
      <c r="AB278" s="505"/>
      <c r="AC278" s="505"/>
      <c r="AD278" s="505"/>
      <c r="AE278" s="505"/>
      <c r="AF278" s="505"/>
      <c r="AG278" s="505"/>
      <c r="AH278" s="505"/>
      <c r="AI278" s="505"/>
      <c r="AJ278" s="505"/>
      <c r="AK278" s="505"/>
      <c r="AL278" s="505"/>
      <c r="AM278" s="505"/>
      <c r="AN278" s="505"/>
      <c r="AO278" s="505"/>
      <c r="AP278" s="505"/>
      <c r="AQ278" s="505"/>
      <c r="AR278" s="505"/>
      <c r="AS278" s="505"/>
      <c r="AT278" s="505"/>
      <c r="AU278" s="505"/>
      <c r="AV278" s="505"/>
      <c r="AW278" s="505"/>
      <c r="AX278" s="505"/>
      <c r="AY278" s="505"/>
      <c r="AZ278" s="505"/>
      <c r="BA278" s="505"/>
      <c r="BB278" s="505"/>
      <c r="BC278" s="505"/>
      <c r="BD278" s="505"/>
      <c r="BE278" s="505"/>
      <c r="BF278" s="505"/>
      <c r="BG278" s="505"/>
      <c r="BH278" s="505"/>
      <c r="BI278" s="505"/>
      <c r="BJ278" s="505"/>
      <c r="BK278" s="505"/>
      <c r="BL278" s="505"/>
      <c r="BM278" s="505"/>
      <c r="BN278" s="505"/>
      <c r="BO278" s="505"/>
      <c r="BP278" s="505"/>
      <c r="BQ278" s="505"/>
      <c r="BR278" s="505"/>
      <c r="BS278" s="505"/>
      <c r="BT278" s="505"/>
      <c r="BU278" s="505"/>
      <c r="BV278" s="505"/>
      <c r="BW278" s="505"/>
      <c r="BX278" s="505"/>
      <c r="BY278" s="505"/>
      <c r="BZ278" s="505"/>
      <c r="CA278" s="505"/>
      <c r="CB278" s="505"/>
      <c r="CC278" s="505"/>
      <c r="CD278" s="505"/>
      <c r="CE278" s="505"/>
      <c r="CF278" s="505"/>
      <c r="CG278" s="505"/>
      <c r="CH278" s="505"/>
      <c r="CI278" s="505"/>
      <c r="CJ278" s="505"/>
      <c r="CK278" s="505"/>
      <c r="CL278" s="505"/>
      <c r="CM278" s="505"/>
      <c r="CN278" s="505"/>
      <c r="CO278" s="505"/>
      <c r="CP278" s="505"/>
      <c r="CQ278" s="505"/>
      <c r="CR278" s="505"/>
      <c r="CS278" s="505"/>
      <c r="CT278" s="505"/>
      <c r="CU278" s="505"/>
      <c r="CV278" s="505"/>
      <c r="CW278" s="505"/>
      <c r="CX278" s="505"/>
      <c r="CY278" s="505"/>
      <c r="CZ278" s="505"/>
      <c r="DA278" s="505"/>
      <c r="DB278" s="505"/>
      <c r="DC278" s="505"/>
      <c r="DD278" s="505"/>
      <c r="DE278" s="505"/>
      <c r="DF278" s="505"/>
      <c r="DG278" s="505"/>
      <c r="DH278" s="505"/>
      <c r="DI278" s="505"/>
      <c r="DJ278" s="505"/>
      <c r="DK278" s="505"/>
      <c r="DL278" s="505"/>
      <c r="DM278" s="505"/>
      <c r="DN278" s="505"/>
      <c r="DO278" s="505"/>
      <c r="DP278" s="505"/>
    </row>
    <row r="279" spans="1:120" hidden="1" outlineLevel="1" x14ac:dyDescent="0.2">
      <c r="A279" s="517">
        <f t="shared" si="49"/>
        <v>38443</v>
      </c>
      <c r="B279" s="517" t="str">
        <f t="shared" si="46"/>
        <v>2Q05</v>
      </c>
      <c r="C279" s="517" t="str">
        <f t="shared" si="50"/>
        <v>2Q05</v>
      </c>
      <c r="D279" s="518">
        <f t="shared" si="51"/>
        <v>38506</v>
      </c>
      <c r="E279" s="518">
        <f t="shared" si="51"/>
        <v>38446</v>
      </c>
      <c r="F279" s="520">
        <v>2.3029999999999999</v>
      </c>
      <c r="G279" s="521">
        <f t="shared" si="47"/>
        <v>0.24000000000000007</v>
      </c>
      <c r="H279" s="521">
        <f t="shared" si="48"/>
        <v>0.24000000000000007</v>
      </c>
      <c r="I279" s="505"/>
      <c r="J279" s="505"/>
      <c r="K279" s="505"/>
      <c r="L279" s="505"/>
      <c r="M279" s="528"/>
      <c r="N279" s="505"/>
      <c r="O279" s="505"/>
      <c r="P279" s="505"/>
      <c r="Q279" s="505"/>
      <c r="R279" s="505"/>
      <c r="S279" s="505"/>
      <c r="T279" s="505"/>
      <c r="U279" s="505"/>
      <c r="V279" s="505"/>
      <c r="W279" s="505"/>
      <c r="X279" s="505"/>
      <c r="Y279" s="505"/>
      <c r="Z279" s="505"/>
      <c r="AA279" s="505"/>
      <c r="AB279" s="505"/>
      <c r="AC279" s="505"/>
      <c r="AD279" s="505"/>
      <c r="AE279" s="505"/>
      <c r="AF279" s="505"/>
      <c r="AG279" s="505"/>
      <c r="AH279" s="505"/>
      <c r="AI279" s="505"/>
      <c r="AJ279" s="505"/>
      <c r="AK279" s="505"/>
      <c r="AL279" s="505"/>
      <c r="AM279" s="505"/>
      <c r="AN279" s="505"/>
      <c r="AO279" s="505"/>
      <c r="AP279" s="505"/>
      <c r="AQ279" s="505"/>
      <c r="AR279" s="505"/>
      <c r="AS279" s="505"/>
      <c r="AT279" s="505"/>
      <c r="AU279" s="505"/>
      <c r="AV279" s="505"/>
      <c r="AW279" s="505"/>
      <c r="AX279" s="505"/>
      <c r="AY279" s="505"/>
      <c r="AZ279" s="505"/>
      <c r="BA279" s="505"/>
      <c r="BB279" s="505"/>
      <c r="BC279" s="505"/>
      <c r="BD279" s="505"/>
      <c r="BE279" s="505"/>
      <c r="BF279" s="505"/>
      <c r="BG279" s="505"/>
      <c r="BH279" s="505"/>
      <c r="BI279" s="505"/>
      <c r="BJ279" s="505"/>
      <c r="BK279" s="505"/>
      <c r="BL279" s="505"/>
      <c r="BM279" s="505"/>
      <c r="BN279" s="505"/>
      <c r="BO279" s="505"/>
      <c r="BP279" s="505"/>
      <c r="BQ279" s="505"/>
      <c r="BR279" s="505"/>
      <c r="BS279" s="505"/>
      <c r="BT279" s="505"/>
      <c r="BU279" s="505"/>
      <c r="BV279" s="505"/>
      <c r="BW279" s="505"/>
      <c r="BX279" s="505"/>
      <c r="BY279" s="505"/>
      <c r="BZ279" s="505"/>
      <c r="CA279" s="505"/>
      <c r="CB279" s="505"/>
      <c r="CC279" s="505"/>
      <c r="CD279" s="505"/>
      <c r="CE279" s="505"/>
      <c r="CF279" s="505"/>
      <c r="CG279" s="505"/>
      <c r="CH279" s="505"/>
      <c r="CI279" s="505"/>
      <c r="CJ279" s="505"/>
      <c r="CK279" s="505"/>
      <c r="CL279" s="505"/>
      <c r="CM279" s="505"/>
      <c r="CN279" s="505"/>
      <c r="CO279" s="505"/>
      <c r="CP279" s="505"/>
      <c r="CQ279" s="505"/>
      <c r="CR279" s="505"/>
      <c r="CS279" s="505"/>
      <c r="CT279" s="505"/>
      <c r="CU279" s="505"/>
      <c r="CV279" s="505"/>
      <c r="CW279" s="505"/>
      <c r="CX279" s="505"/>
      <c r="CY279" s="505"/>
      <c r="CZ279" s="505"/>
      <c r="DA279" s="505"/>
      <c r="DB279" s="505"/>
      <c r="DC279" s="505"/>
      <c r="DD279" s="505"/>
      <c r="DE279" s="505"/>
      <c r="DF279" s="505"/>
      <c r="DG279" s="505"/>
      <c r="DH279" s="505"/>
      <c r="DI279" s="505"/>
      <c r="DJ279" s="505"/>
      <c r="DK279" s="505"/>
      <c r="DL279" s="505"/>
      <c r="DM279" s="505"/>
      <c r="DN279" s="505"/>
      <c r="DO279" s="505"/>
      <c r="DP279" s="505"/>
    </row>
    <row r="280" spans="1:120" hidden="1" outlineLevel="1" x14ac:dyDescent="0.2">
      <c r="A280" s="517">
        <f t="shared" si="49"/>
        <v>38443</v>
      </c>
      <c r="B280" s="517" t="str">
        <f t="shared" si="46"/>
        <v>2Q05</v>
      </c>
      <c r="C280" s="517" t="str">
        <f t="shared" si="50"/>
        <v>2Q05</v>
      </c>
      <c r="D280" s="518">
        <f t="shared" si="51"/>
        <v>38513</v>
      </c>
      <c r="E280" s="518">
        <f t="shared" si="51"/>
        <v>38453</v>
      </c>
      <c r="F280" s="520">
        <v>2.3159999999999998</v>
      </c>
      <c r="G280" s="521">
        <f t="shared" si="47"/>
        <v>0.24000000000000007</v>
      </c>
      <c r="H280" s="521">
        <f t="shared" si="48"/>
        <v>0.23000000000000007</v>
      </c>
      <c r="I280" s="505"/>
      <c r="J280" s="505"/>
      <c r="K280" s="505"/>
      <c r="L280" s="505"/>
      <c r="M280" s="528"/>
      <c r="N280" s="505"/>
      <c r="O280" s="505"/>
      <c r="P280" s="505"/>
      <c r="Q280" s="505"/>
      <c r="R280" s="505"/>
      <c r="S280" s="505"/>
      <c r="T280" s="505"/>
      <c r="U280" s="505"/>
      <c r="V280" s="505"/>
      <c r="W280" s="505"/>
      <c r="X280" s="505"/>
      <c r="Y280" s="505"/>
      <c r="Z280" s="505"/>
      <c r="AA280" s="505"/>
      <c r="AB280" s="505"/>
      <c r="AC280" s="505"/>
      <c r="AD280" s="505"/>
      <c r="AE280" s="505"/>
      <c r="AF280" s="505"/>
      <c r="AG280" s="505"/>
      <c r="AH280" s="505"/>
      <c r="AI280" s="505"/>
      <c r="AJ280" s="505"/>
      <c r="AK280" s="505"/>
      <c r="AL280" s="505"/>
      <c r="AM280" s="505"/>
      <c r="AN280" s="505"/>
      <c r="AO280" s="505"/>
      <c r="AP280" s="505"/>
      <c r="AQ280" s="505"/>
      <c r="AR280" s="505"/>
      <c r="AS280" s="505"/>
      <c r="AT280" s="505"/>
      <c r="AU280" s="505"/>
      <c r="AV280" s="505"/>
      <c r="AW280" s="505"/>
      <c r="AX280" s="505"/>
      <c r="AY280" s="505"/>
      <c r="AZ280" s="505"/>
      <c r="BA280" s="505"/>
      <c r="BB280" s="505"/>
      <c r="BC280" s="505"/>
      <c r="BD280" s="505"/>
      <c r="BE280" s="505"/>
      <c r="BF280" s="505"/>
      <c r="BG280" s="505"/>
      <c r="BH280" s="505"/>
      <c r="BI280" s="505"/>
      <c r="BJ280" s="505"/>
      <c r="BK280" s="505"/>
      <c r="BL280" s="505"/>
      <c r="BM280" s="505"/>
      <c r="BN280" s="505"/>
      <c r="BO280" s="505"/>
      <c r="BP280" s="505"/>
      <c r="BQ280" s="505"/>
      <c r="BR280" s="505"/>
      <c r="BS280" s="505"/>
      <c r="BT280" s="505"/>
      <c r="BU280" s="505"/>
      <c r="BV280" s="505"/>
      <c r="BW280" s="505"/>
      <c r="BX280" s="505"/>
      <c r="BY280" s="505"/>
      <c r="BZ280" s="505"/>
      <c r="CA280" s="505"/>
      <c r="CB280" s="505"/>
      <c r="CC280" s="505"/>
      <c r="CD280" s="505"/>
      <c r="CE280" s="505"/>
      <c r="CF280" s="505"/>
      <c r="CG280" s="505"/>
      <c r="CH280" s="505"/>
      <c r="CI280" s="505"/>
      <c r="CJ280" s="505"/>
      <c r="CK280" s="505"/>
      <c r="CL280" s="505"/>
      <c r="CM280" s="505"/>
      <c r="CN280" s="505"/>
      <c r="CO280" s="505"/>
      <c r="CP280" s="505"/>
      <c r="CQ280" s="505"/>
      <c r="CR280" s="505"/>
      <c r="CS280" s="505"/>
      <c r="CT280" s="505"/>
      <c r="CU280" s="505"/>
      <c r="CV280" s="505"/>
      <c r="CW280" s="505"/>
      <c r="CX280" s="505"/>
      <c r="CY280" s="505"/>
      <c r="CZ280" s="505"/>
      <c r="DA280" s="505"/>
      <c r="DB280" s="505"/>
      <c r="DC280" s="505"/>
      <c r="DD280" s="505"/>
      <c r="DE280" s="505"/>
      <c r="DF280" s="505"/>
      <c r="DG280" s="505"/>
      <c r="DH280" s="505"/>
      <c r="DI280" s="505"/>
      <c r="DJ280" s="505"/>
      <c r="DK280" s="505"/>
      <c r="DL280" s="505"/>
      <c r="DM280" s="505"/>
      <c r="DN280" s="505"/>
      <c r="DO280" s="505"/>
      <c r="DP280" s="505"/>
    </row>
    <row r="281" spans="1:120" hidden="1" outlineLevel="1" x14ac:dyDescent="0.2">
      <c r="A281" s="517">
        <f t="shared" si="49"/>
        <v>38443</v>
      </c>
      <c r="B281" s="517" t="str">
        <f t="shared" si="46"/>
        <v>2Q05</v>
      </c>
      <c r="C281" s="517" t="str">
        <f t="shared" si="50"/>
        <v>2Q05</v>
      </c>
      <c r="D281" s="518">
        <f t="shared" si="51"/>
        <v>38520</v>
      </c>
      <c r="E281" s="518">
        <f t="shared" si="51"/>
        <v>38460</v>
      </c>
      <c r="F281" s="520">
        <v>2.2589999999999999</v>
      </c>
      <c r="G281" s="521">
        <f t="shared" si="47"/>
        <v>0.23000000000000007</v>
      </c>
      <c r="H281" s="521">
        <f t="shared" si="48"/>
        <v>0.23000000000000007</v>
      </c>
      <c r="I281" s="505"/>
      <c r="J281" s="505"/>
      <c r="K281" s="505"/>
      <c r="L281" s="505"/>
      <c r="M281" s="528"/>
      <c r="N281" s="505"/>
      <c r="O281" s="505"/>
      <c r="P281" s="505"/>
      <c r="Q281" s="505"/>
      <c r="R281" s="505"/>
      <c r="S281" s="505"/>
      <c r="T281" s="505"/>
      <c r="U281" s="505"/>
      <c r="V281" s="505"/>
      <c r="W281" s="505"/>
      <c r="X281" s="505"/>
      <c r="Y281" s="505"/>
      <c r="Z281" s="505"/>
      <c r="AA281" s="505"/>
      <c r="AB281" s="505"/>
      <c r="AC281" s="505"/>
      <c r="AD281" s="505"/>
      <c r="AE281" s="505"/>
      <c r="AF281" s="505"/>
      <c r="AG281" s="505"/>
      <c r="AH281" s="505"/>
      <c r="AI281" s="505"/>
      <c r="AJ281" s="505"/>
      <c r="AK281" s="505"/>
      <c r="AL281" s="505"/>
      <c r="AM281" s="505"/>
      <c r="AN281" s="505"/>
      <c r="AO281" s="505"/>
      <c r="AP281" s="505"/>
      <c r="AQ281" s="505"/>
      <c r="AR281" s="505"/>
      <c r="AS281" s="505"/>
      <c r="AT281" s="505"/>
      <c r="AU281" s="505"/>
      <c r="AV281" s="505"/>
      <c r="AW281" s="505"/>
      <c r="AX281" s="505"/>
      <c r="AY281" s="505"/>
      <c r="AZ281" s="505"/>
      <c r="BA281" s="505"/>
      <c r="BB281" s="505"/>
      <c r="BC281" s="505"/>
      <c r="BD281" s="505"/>
      <c r="BE281" s="505"/>
      <c r="BF281" s="505"/>
      <c r="BG281" s="505"/>
      <c r="BH281" s="505"/>
      <c r="BI281" s="505"/>
      <c r="BJ281" s="505"/>
      <c r="BK281" s="505"/>
      <c r="BL281" s="505"/>
      <c r="BM281" s="505"/>
      <c r="BN281" s="505"/>
      <c r="BO281" s="505"/>
      <c r="BP281" s="505"/>
      <c r="BQ281" s="505"/>
      <c r="BR281" s="505"/>
      <c r="BS281" s="505"/>
      <c r="BT281" s="505"/>
      <c r="BU281" s="505"/>
      <c r="BV281" s="505"/>
      <c r="BW281" s="505"/>
      <c r="BX281" s="505"/>
      <c r="BY281" s="505"/>
      <c r="BZ281" s="505"/>
      <c r="CA281" s="505"/>
      <c r="CB281" s="505"/>
      <c r="CC281" s="505"/>
      <c r="CD281" s="505"/>
      <c r="CE281" s="505"/>
      <c r="CF281" s="505"/>
      <c r="CG281" s="505"/>
      <c r="CH281" s="505"/>
      <c r="CI281" s="505"/>
      <c r="CJ281" s="505"/>
      <c r="CK281" s="505"/>
      <c r="CL281" s="505"/>
      <c r="CM281" s="505"/>
      <c r="CN281" s="505"/>
      <c r="CO281" s="505"/>
      <c r="CP281" s="505"/>
      <c r="CQ281" s="505"/>
      <c r="CR281" s="505"/>
      <c r="CS281" s="505"/>
      <c r="CT281" s="505"/>
      <c r="CU281" s="505"/>
      <c r="CV281" s="505"/>
      <c r="CW281" s="505"/>
      <c r="CX281" s="505"/>
      <c r="CY281" s="505"/>
      <c r="CZ281" s="505"/>
      <c r="DA281" s="505"/>
      <c r="DB281" s="505"/>
      <c r="DC281" s="505"/>
      <c r="DD281" s="505"/>
      <c r="DE281" s="505"/>
      <c r="DF281" s="505"/>
      <c r="DG281" s="505"/>
      <c r="DH281" s="505"/>
      <c r="DI281" s="505"/>
      <c r="DJ281" s="505"/>
      <c r="DK281" s="505"/>
      <c r="DL281" s="505"/>
      <c r="DM281" s="505"/>
      <c r="DN281" s="505"/>
      <c r="DO281" s="505"/>
      <c r="DP281" s="505"/>
    </row>
    <row r="282" spans="1:120" hidden="1" outlineLevel="1" x14ac:dyDescent="0.2">
      <c r="A282" s="517">
        <f t="shared" si="49"/>
        <v>38443</v>
      </c>
      <c r="B282" s="517" t="str">
        <f t="shared" si="46"/>
        <v>2Q05</v>
      </c>
      <c r="C282" s="517" t="str">
        <f t="shared" si="50"/>
        <v>2Q05</v>
      </c>
      <c r="D282" s="518">
        <f t="shared" si="51"/>
        <v>38527</v>
      </c>
      <c r="E282" s="518">
        <f t="shared" si="51"/>
        <v>38467</v>
      </c>
      <c r="F282" s="520">
        <v>2.2890000000000001</v>
      </c>
      <c r="G282" s="521">
        <f t="shared" si="47"/>
        <v>0.23000000000000007</v>
      </c>
      <c r="H282" s="521">
        <f t="shared" si="48"/>
        <v>0.23000000000000007</v>
      </c>
      <c r="I282" s="505"/>
      <c r="J282" s="505"/>
      <c r="K282" s="505"/>
      <c r="L282" s="505"/>
      <c r="M282" s="528"/>
      <c r="N282" s="505"/>
      <c r="O282" s="505"/>
      <c r="P282" s="505"/>
      <c r="Q282" s="505"/>
      <c r="R282" s="505"/>
      <c r="S282" s="505"/>
      <c r="T282" s="505"/>
      <c r="U282" s="505"/>
      <c r="V282" s="505"/>
      <c r="W282" s="505"/>
      <c r="X282" s="505"/>
      <c r="Y282" s="505"/>
      <c r="Z282" s="505"/>
      <c r="AA282" s="505"/>
      <c r="AB282" s="505"/>
      <c r="AC282" s="505"/>
      <c r="AD282" s="505"/>
      <c r="AE282" s="505"/>
      <c r="AF282" s="505"/>
      <c r="AG282" s="505"/>
      <c r="AH282" s="505"/>
      <c r="AI282" s="505"/>
      <c r="AJ282" s="505"/>
      <c r="AK282" s="505"/>
      <c r="AL282" s="505"/>
      <c r="AM282" s="505"/>
      <c r="AN282" s="505"/>
      <c r="AO282" s="505"/>
      <c r="AP282" s="505"/>
      <c r="AQ282" s="505"/>
      <c r="AR282" s="505"/>
      <c r="AS282" s="505"/>
      <c r="AT282" s="505"/>
      <c r="AU282" s="505"/>
      <c r="AV282" s="505"/>
      <c r="AW282" s="505"/>
      <c r="AX282" s="505"/>
      <c r="AY282" s="505"/>
      <c r="AZ282" s="505"/>
      <c r="BA282" s="505"/>
      <c r="BB282" s="505"/>
      <c r="BC282" s="505"/>
      <c r="BD282" s="505"/>
      <c r="BE282" s="505"/>
      <c r="BF282" s="505"/>
      <c r="BG282" s="505"/>
      <c r="BH282" s="505"/>
      <c r="BI282" s="505"/>
      <c r="BJ282" s="505"/>
      <c r="BK282" s="505"/>
      <c r="BL282" s="505"/>
      <c r="BM282" s="505"/>
      <c r="BN282" s="505"/>
      <c r="BO282" s="505"/>
      <c r="BP282" s="505"/>
      <c r="BQ282" s="505"/>
      <c r="BR282" s="505"/>
      <c r="BS282" s="505"/>
      <c r="BT282" s="505"/>
      <c r="BU282" s="505"/>
      <c r="BV282" s="505"/>
      <c r="BW282" s="505"/>
      <c r="BX282" s="505"/>
      <c r="BY282" s="505"/>
      <c r="BZ282" s="505"/>
      <c r="CA282" s="505"/>
      <c r="CB282" s="505"/>
      <c r="CC282" s="505"/>
      <c r="CD282" s="505"/>
      <c r="CE282" s="505"/>
      <c r="CF282" s="505"/>
      <c r="CG282" s="505"/>
      <c r="CH282" s="505"/>
      <c r="CI282" s="505"/>
      <c r="CJ282" s="505"/>
      <c r="CK282" s="505"/>
      <c r="CL282" s="505"/>
      <c r="CM282" s="505"/>
      <c r="CN282" s="505"/>
      <c r="CO282" s="505"/>
      <c r="CP282" s="505"/>
      <c r="CQ282" s="505"/>
      <c r="CR282" s="505"/>
      <c r="CS282" s="505"/>
      <c r="CT282" s="505"/>
      <c r="CU282" s="505"/>
      <c r="CV282" s="505"/>
      <c r="CW282" s="505"/>
      <c r="CX282" s="505"/>
      <c r="CY282" s="505"/>
      <c r="CZ282" s="505"/>
      <c r="DA282" s="505"/>
      <c r="DB282" s="505"/>
      <c r="DC282" s="505"/>
      <c r="DD282" s="505"/>
      <c r="DE282" s="505"/>
      <c r="DF282" s="505"/>
      <c r="DG282" s="505"/>
      <c r="DH282" s="505"/>
      <c r="DI282" s="505"/>
      <c r="DJ282" s="505"/>
      <c r="DK282" s="505"/>
      <c r="DL282" s="505"/>
      <c r="DM282" s="505"/>
      <c r="DN282" s="505"/>
      <c r="DO282" s="505"/>
      <c r="DP282" s="505"/>
    </row>
    <row r="283" spans="1:120" hidden="1" outlineLevel="1" x14ac:dyDescent="0.2">
      <c r="A283" s="517">
        <f t="shared" si="49"/>
        <v>38473</v>
      </c>
      <c r="B283" s="517" t="str">
        <f t="shared" si="46"/>
        <v>2Q05</v>
      </c>
      <c r="C283" s="517" t="str">
        <f t="shared" si="50"/>
        <v>3Q05</v>
      </c>
      <c r="D283" s="518">
        <f t="shared" si="51"/>
        <v>38534</v>
      </c>
      <c r="E283" s="518">
        <f t="shared" si="51"/>
        <v>38474</v>
      </c>
      <c r="F283" s="520">
        <v>2.262</v>
      </c>
      <c r="G283" s="521">
        <f t="shared" si="47"/>
        <v>0.23000000000000007</v>
      </c>
      <c r="H283" s="521">
        <f t="shared" si="48"/>
        <v>0.22000000000000006</v>
      </c>
      <c r="I283" s="505"/>
      <c r="J283" s="505"/>
      <c r="K283" s="505"/>
      <c r="L283" s="505"/>
      <c r="M283" s="528"/>
      <c r="N283" s="505"/>
      <c r="O283" s="505"/>
      <c r="P283" s="505"/>
      <c r="Q283" s="505"/>
      <c r="R283" s="505"/>
      <c r="S283" s="505"/>
      <c r="T283" s="505"/>
      <c r="U283" s="505"/>
      <c r="V283" s="505"/>
      <c r="W283" s="505"/>
      <c r="X283" s="505"/>
      <c r="Y283" s="505"/>
      <c r="Z283" s="505"/>
      <c r="AA283" s="505"/>
      <c r="AB283" s="505"/>
      <c r="AC283" s="505"/>
      <c r="AD283" s="505"/>
      <c r="AE283" s="505"/>
      <c r="AF283" s="505"/>
      <c r="AG283" s="505"/>
      <c r="AH283" s="505"/>
      <c r="AI283" s="505"/>
      <c r="AJ283" s="505"/>
      <c r="AK283" s="505"/>
      <c r="AL283" s="505"/>
      <c r="AM283" s="505"/>
      <c r="AN283" s="505"/>
      <c r="AO283" s="505"/>
      <c r="AP283" s="505"/>
      <c r="AQ283" s="505"/>
      <c r="AR283" s="505"/>
      <c r="AS283" s="505"/>
      <c r="AT283" s="505"/>
      <c r="AU283" s="505"/>
      <c r="AV283" s="505"/>
      <c r="AW283" s="505"/>
      <c r="AX283" s="505"/>
      <c r="AY283" s="505"/>
      <c r="AZ283" s="505"/>
      <c r="BA283" s="505"/>
      <c r="BB283" s="505"/>
      <c r="BC283" s="505"/>
      <c r="BD283" s="505"/>
      <c r="BE283" s="505"/>
      <c r="BF283" s="505"/>
      <c r="BG283" s="505"/>
      <c r="BH283" s="505"/>
      <c r="BI283" s="505"/>
      <c r="BJ283" s="505"/>
      <c r="BK283" s="505"/>
      <c r="BL283" s="505"/>
      <c r="BM283" s="505"/>
      <c r="BN283" s="505"/>
      <c r="BO283" s="505"/>
      <c r="BP283" s="505"/>
      <c r="BQ283" s="505"/>
      <c r="BR283" s="505"/>
      <c r="BS283" s="505"/>
      <c r="BT283" s="505"/>
      <c r="BU283" s="505"/>
      <c r="BV283" s="505"/>
      <c r="BW283" s="505"/>
      <c r="BX283" s="505"/>
      <c r="BY283" s="505"/>
      <c r="BZ283" s="505"/>
      <c r="CA283" s="505"/>
      <c r="CB283" s="505"/>
      <c r="CC283" s="505"/>
      <c r="CD283" s="505"/>
      <c r="CE283" s="505"/>
      <c r="CF283" s="505"/>
      <c r="CG283" s="505"/>
      <c r="CH283" s="505"/>
      <c r="CI283" s="505"/>
      <c r="CJ283" s="505"/>
      <c r="CK283" s="505"/>
      <c r="CL283" s="505"/>
      <c r="CM283" s="505"/>
      <c r="CN283" s="505"/>
      <c r="CO283" s="505"/>
      <c r="CP283" s="505"/>
      <c r="CQ283" s="505"/>
      <c r="CR283" s="505"/>
      <c r="CS283" s="505"/>
      <c r="CT283" s="505"/>
      <c r="CU283" s="505"/>
      <c r="CV283" s="505"/>
      <c r="CW283" s="505"/>
      <c r="CX283" s="505"/>
      <c r="CY283" s="505"/>
      <c r="CZ283" s="505"/>
      <c r="DA283" s="505"/>
      <c r="DB283" s="505"/>
      <c r="DC283" s="505"/>
      <c r="DD283" s="505"/>
      <c r="DE283" s="505"/>
      <c r="DF283" s="505"/>
      <c r="DG283" s="505"/>
      <c r="DH283" s="505"/>
      <c r="DI283" s="505"/>
      <c r="DJ283" s="505"/>
      <c r="DK283" s="505"/>
      <c r="DL283" s="505"/>
      <c r="DM283" s="505"/>
      <c r="DN283" s="505"/>
      <c r="DO283" s="505"/>
      <c r="DP283" s="505"/>
    </row>
    <row r="284" spans="1:120" hidden="1" outlineLevel="1" x14ac:dyDescent="0.2">
      <c r="A284" s="517">
        <f t="shared" si="49"/>
        <v>38473</v>
      </c>
      <c r="B284" s="517" t="str">
        <f t="shared" si="46"/>
        <v>2Q05</v>
      </c>
      <c r="C284" s="517" t="str">
        <f t="shared" si="50"/>
        <v>3Q05</v>
      </c>
      <c r="D284" s="518">
        <f t="shared" si="51"/>
        <v>38541</v>
      </c>
      <c r="E284" s="518">
        <f t="shared" si="51"/>
        <v>38481</v>
      </c>
      <c r="F284" s="520">
        <v>2.2269999999999999</v>
      </c>
      <c r="G284" s="521">
        <f t="shared" si="47"/>
        <v>0.22000000000000006</v>
      </c>
      <c r="H284" s="521">
        <f t="shared" si="48"/>
        <v>0.21000000000000005</v>
      </c>
      <c r="I284" s="505"/>
      <c r="J284" s="505"/>
      <c r="K284" s="505"/>
      <c r="L284" s="505"/>
      <c r="M284" s="528"/>
      <c r="N284" s="505"/>
      <c r="O284" s="505"/>
      <c r="P284" s="505"/>
      <c r="Q284" s="505"/>
      <c r="R284" s="505"/>
      <c r="S284" s="505"/>
      <c r="T284" s="505"/>
      <c r="U284" s="505"/>
      <c r="V284" s="505"/>
      <c r="W284" s="505"/>
      <c r="X284" s="505"/>
      <c r="Y284" s="505"/>
      <c r="Z284" s="505"/>
      <c r="AA284" s="505"/>
      <c r="AB284" s="505"/>
      <c r="AC284" s="505"/>
      <c r="AD284" s="505"/>
      <c r="AE284" s="505"/>
      <c r="AF284" s="505"/>
      <c r="AG284" s="505"/>
      <c r="AH284" s="505"/>
      <c r="AI284" s="505"/>
      <c r="AJ284" s="505"/>
      <c r="AK284" s="505"/>
      <c r="AL284" s="505"/>
      <c r="AM284" s="505"/>
      <c r="AN284" s="505"/>
      <c r="AO284" s="505"/>
      <c r="AP284" s="505"/>
      <c r="AQ284" s="505"/>
      <c r="AR284" s="505"/>
      <c r="AS284" s="505"/>
      <c r="AT284" s="505"/>
      <c r="AU284" s="505"/>
      <c r="AV284" s="505"/>
      <c r="AW284" s="505"/>
      <c r="AX284" s="505"/>
      <c r="AY284" s="505"/>
      <c r="AZ284" s="505"/>
      <c r="BA284" s="505"/>
      <c r="BB284" s="505"/>
      <c r="BC284" s="505"/>
      <c r="BD284" s="505"/>
      <c r="BE284" s="505"/>
      <c r="BF284" s="505"/>
      <c r="BG284" s="505"/>
      <c r="BH284" s="505"/>
      <c r="BI284" s="505"/>
      <c r="BJ284" s="505"/>
      <c r="BK284" s="505"/>
      <c r="BL284" s="505"/>
      <c r="BM284" s="505"/>
      <c r="BN284" s="505"/>
      <c r="BO284" s="505"/>
      <c r="BP284" s="505"/>
      <c r="BQ284" s="505"/>
      <c r="BR284" s="505"/>
      <c r="BS284" s="505"/>
      <c r="BT284" s="505"/>
      <c r="BU284" s="505"/>
      <c r="BV284" s="505"/>
      <c r="BW284" s="505"/>
      <c r="BX284" s="505"/>
      <c r="BY284" s="505"/>
      <c r="BZ284" s="505"/>
      <c r="CA284" s="505"/>
      <c r="CB284" s="505"/>
      <c r="CC284" s="505"/>
      <c r="CD284" s="505"/>
      <c r="CE284" s="505"/>
      <c r="CF284" s="505"/>
      <c r="CG284" s="505"/>
      <c r="CH284" s="505"/>
      <c r="CI284" s="505"/>
      <c r="CJ284" s="505"/>
      <c r="CK284" s="505"/>
      <c r="CL284" s="505"/>
      <c r="CM284" s="505"/>
      <c r="CN284" s="505"/>
      <c r="CO284" s="505"/>
      <c r="CP284" s="505"/>
      <c r="CQ284" s="505"/>
      <c r="CR284" s="505"/>
      <c r="CS284" s="505"/>
      <c r="CT284" s="505"/>
      <c r="CU284" s="505"/>
      <c r="CV284" s="505"/>
      <c r="CW284" s="505"/>
      <c r="CX284" s="505"/>
      <c r="CY284" s="505"/>
      <c r="CZ284" s="505"/>
      <c r="DA284" s="505"/>
      <c r="DB284" s="505"/>
      <c r="DC284" s="505"/>
      <c r="DD284" s="505"/>
      <c r="DE284" s="505"/>
      <c r="DF284" s="505"/>
      <c r="DG284" s="505"/>
      <c r="DH284" s="505"/>
      <c r="DI284" s="505"/>
      <c r="DJ284" s="505"/>
      <c r="DK284" s="505"/>
      <c r="DL284" s="505"/>
      <c r="DM284" s="505"/>
      <c r="DN284" s="505"/>
      <c r="DO284" s="505"/>
      <c r="DP284" s="505"/>
    </row>
    <row r="285" spans="1:120" hidden="1" outlineLevel="1" x14ac:dyDescent="0.2">
      <c r="A285" s="517">
        <f t="shared" si="49"/>
        <v>38473</v>
      </c>
      <c r="B285" s="517" t="str">
        <f t="shared" si="46"/>
        <v>2Q05</v>
      </c>
      <c r="C285" s="517" t="str">
        <f t="shared" si="50"/>
        <v>3Q05</v>
      </c>
      <c r="D285" s="518">
        <f t="shared" si="51"/>
        <v>38548</v>
      </c>
      <c r="E285" s="518">
        <f t="shared" si="51"/>
        <v>38488</v>
      </c>
      <c r="F285" s="520">
        <v>2.1890000000000001</v>
      </c>
      <c r="G285" s="521">
        <f t="shared" si="47"/>
        <v>0.21000000000000005</v>
      </c>
      <c r="H285" s="521">
        <f t="shared" si="48"/>
        <v>0.21000000000000005</v>
      </c>
      <c r="I285" s="505"/>
      <c r="J285" s="505"/>
      <c r="K285" s="505"/>
      <c r="L285" s="505"/>
      <c r="M285" s="528"/>
      <c r="N285" s="505"/>
      <c r="O285" s="505"/>
      <c r="P285" s="505"/>
      <c r="Q285" s="505"/>
      <c r="R285" s="505"/>
      <c r="S285" s="505"/>
      <c r="T285" s="505"/>
      <c r="U285" s="505"/>
      <c r="V285" s="505"/>
      <c r="W285" s="505"/>
      <c r="X285" s="505"/>
      <c r="Y285" s="505"/>
      <c r="Z285" s="505"/>
      <c r="AA285" s="505"/>
      <c r="AB285" s="505"/>
      <c r="AC285" s="505"/>
      <c r="AD285" s="505"/>
      <c r="AE285" s="505"/>
      <c r="AF285" s="505"/>
      <c r="AG285" s="505"/>
      <c r="AH285" s="505"/>
      <c r="AI285" s="505"/>
      <c r="AJ285" s="505"/>
      <c r="AK285" s="505"/>
      <c r="AL285" s="505"/>
      <c r="AM285" s="505"/>
      <c r="AN285" s="505"/>
      <c r="AO285" s="505"/>
      <c r="AP285" s="505"/>
      <c r="AQ285" s="505"/>
      <c r="AR285" s="505"/>
      <c r="AS285" s="505"/>
      <c r="AT285" s="505"/>
      <c r="AU285" s="505"/>
      <c r="AV285" s="505"/>
      <c r="AW285" s="505"/>
      <c r="AX285" s="505"/>
      <c r="AY285" s="505"/>
      <c r="AZ285" s="505"/>
      <c r="BA285" s="505"/>
      <c r="BB285" s="505"/>
      <c r="BC285" s="505"/>
      <c r="BD285" s="505"/>
      <c r="BE285" s="505"/>
      <c r="BF285" s="505"/>
      <c r="BG285" s="505"/>
      <c r="BH285" s="505"/>
      <c r="BI285" s="505"/>
      <c r="BJ285" s="505"/>
      <c r="BK285" s="505"/>
      <c r="BL285" s="505"/>
      <c r="BM285" s="505"/>
      <c r="BN285" s="505"/>
      <c r="BO285" s="505"/>
      <c r="BP285" s="505"/>
      <c r="BQ285" s="505"/>
      <c r="BR285" s="505"/>
      <c r="BS285" s="505"/>
      <c r="BT285" s="505"/>
      <c r="BU285" s="505"/>
      <c r="BV285" s="505"/>
      <c r="BW285" s="505"/>
      <c r="BX285" s="505"/>
      <c r="BY285" s="505"/>
      <c r="BZ285" s="505"/>
      <c r="CA285" s="505"/>
      <c r="CB285" s="505"/>
      <c r="CC285" s="505"/>
      <c r="CD285" s="505"/>
      <c r="CE285" s="505"/>
      <c r="CF285" s="505"/>
      <c r="CG285" s="505"/>
      <c r="CH285" s="505"/>
      <c r="CI285" s="505"/>
      <c r="CJ285" s="505"/>
      <c r="CK285" s="505"/>
      <c r="CL285" s="505"/>
      <c r="CM285" s="505"/>
      <c r="CN285" s="505"/>
      <c r="CO285" s="505"/>
      <c r="CP285" s="505"/>
      <c r="CQ285" s="505"/>
      <c r="CR285" s="505"/>
      <c r="CS285" s="505"/>
      <c r="CT285" s="505"/>
      <c r="CU285" s="505"/>
      <c r="CV285" s="505"/>
      <c r="CW285" s="505"/>
      <c r="CX285" s="505"/>
      <c r="CY285" s="505"/>
      <c r="CZ285" s="505"/>
      <c r="DA285" s="505"/>
      <c r="DB285" s="505"/>
      <c r="DC285" s="505"/>
      <c r="DD285" s="505"/>
      <c r="DE285" s="505"/>
      <c r="DF285" s="505"/>
      <c r="DG285" s="505"/>
      <c r="DH285" s="505"/>
      <c r="DI285" s="505"/>
      <c r="DJ285" s="505"/>
      <c r="DK285" s="505"/>
      <c r="DL285" s="505"/>
      <c r="DM285" s="505"/>
      <c r="DN285" s="505"/>
      <c r="DO285" s="505"/>
      <c r="DP285" s="505"/>
    </row>
    <row r="286" spans="1:120" hidden="1" outlineLevel="1" x14ac:dyDescent="0.2">
      <c r="A286" s="517">
        <f t="shared" si="49"/>
        <v>38473</v>
      </c>
      <c r="B286" s="517" t="str">
        <f t="shared" si="46"/>
        <v>2Q05</v>
      </c>
      <c r="C286" s="517" t="str">
        <f t="shared" si="50"/>
        <v>3Q05</v>
      </c>
      <c r="D286" s="518">
        <f t="shared" si="51"/>
        <v>38555</v>
      </c>
      <c r="E286" s="518">
        <f t="shared" si="51"/>
        <v>38495</v>
      </c>
      <c r="F286" s="520">
        <v>2.1560000000000001</v>
      </c>
      <c r="G286" s="521">
        <f t="shared" si="47"/>
        <v>0.21000000000000005</v>
      </c>
      <c r="H286" s="521">
        <f t="shared" si="48"/>
        <v>0.21000000000000005</v>
      </c>
      <c r="I286" s="505"/>
      <c r="J286" s="505"/>
      <c r="K286" s="505"/>
      <c r="L286" s="505"/>
      <c r="M286" s="528"/>
      <c r="N286" s="505"/>
      <c r="O286" s="505"/>
      <c r="P286" s="505"/>
      <c r="Q286" s="505"/>
      <c r="R286" s="505"/>
      <c r="S286" s="505"/>
      <c r="T286" s="505"/>
      <c r="U286" s="505"/>
      <c r="V286" s="505"/>
      <c r="W286" s="505"/>
      <c r="X286" s="505"/>
      <c r="Y286" s="505"/>
      <c r="Z286" s="505"/>
      <c r="AA286" s="505"/>
      <c r="AB286" s="505"/>
      <c r="AC286" s="505"/>
      <c r="AD286" s="505"/>
      <c r="AE286" s="505"/>
      <c r="AF286" s="505"/>
      <c r="AG286" s="505"/>
      <c r="AH286" s="505"/>
      <c r="AI286" s="505"/>
      <c r="AJ286" s="505"/>
      <c r="AK286" s="505"/>
      <c r="AL286" s="505"/>
      <c r="AM286" s="505"/>
      <c r="AN286" s="505"/>
      <c r="AO286" s="505"/>
      <c r="AP286" s="505"/>
      <c r="AQ286" s="505"/>
      <c r="AR286" s="505"/>
      <c r="AS286" s="505"/>
      <c r="AT286" s="505"/>
      <c r="AU286" s="505"/>
      <c r="AV286" s="505"/>
      <c r="AW286" s="505"/>
      <c r="AX286" s="505"/>
      <c r="AY286" s="505"/>
      <c r="AZ286" s="505"/>
      <c r="BA286" s="505"/>
      <c r="BB286" s="505"/>
      <c r="BC286" s="505"/>
      <c r="BD286" s="505"/>
      <c r="BE286" s="505"/>
      <c r="BF286" s="505"/>
      <c r="BG286" s="505"/>
      <c r="BH286" s="505"/>
      <c r="BI286" s="505"/>
      <c r="BJ286" s="505"/>
      <c r="BK286" s="505"/>
      <c r="BL286" s="505"/>
      <c r="BM286" s="505"/>
      <c r="BN286" s="505"/>
      <c r="BO286" s="505"/>
      <c r="BP286" s="505"/>
      <c r="BQ286" s="505"/>
      <c r="BR286" s="505"/>
      <c r="BS286" s="505"/>
      <c r="BT286" s="505"/>
      <c r="BU286" s="505"/>
      <c r="BV286" s="505"/>
      <c r="BW286" s="505"/>
      <c r="BX286" s="505"/>
      <c r="BY286" s="505"/>
      <c r="BZ286" s="505"/>
      <c r="CA286" s="505"/>
      <c r="CB286" s="505"/>
      <c r="CC286" s="505"/>
      <c r="CD286" s="505"/>
      <c r="CE286" s="505"/>
      <c r="CF286" s="505"/>
      <c r="CG286" s="505"/>
      <c r="CH286" s="505"/>
      <c r="CI286" s="505"/>
      <c r="CJ286" s="505"/>
      <c r="CK286" s="505"/>
      <c r="CL286" s="505"/>
      <c r="CM286" s="505"/>
      <c r="CN286" s="505"/>
      <c r="CO286" s="505"/>
      <c r="CP286" s="505"/>
      <c r="CQ286" s="505"/>
      <c r="CR286" s="505"/>
      <c r="CS286" s="505"/>
      <c r="CT286" s="505"/>
      <c r="CU286" s="505"/>
      <c r="CV286" s="505"/>
      <c r="CW286" s="505"/>
      <c r="CX286" s="505"/>
      <c r="CY286" s="505"/>
      <c r="CZ286" s="505"/>
      <c r="DA286" s="505"/>
      <c r="DB286" s="505"/>
      <c r="DC286" s="505"/>
      <c r="DD286" s="505"/>
      <c r="DE286" s="505"/>
      <c r="DF286" s="505"/>
      <c r="DG286" s="505"/>
      <c r="DH286" s="505"/>
      <c r="DI286" s="505"/>
      <c r="DJ286" s="505"/>
      <c r="DK286" s="505"/>
      <c r="DL286" s="505"/>
      <c r="DM286" s="505"/>
      <c r="DN286" s="505"/>
      <c r="DO286" s="505"/>
      <c r="DP286" s="505"/>
    </row>
    <row r="287" spans="1:120" hidden="1" outlineLevel="1" x14ac:dyDescent="0.2">
      <c r="A287" s="517">
        <f t="shared" si="49"/>
        <v>38473</v>
      </c>
      <c r="B287" s="517" t="str">
        <f t="shared" si="46"/>
        <v>2Q05</v>
      </c>
      <c r="C287" s="517" t="str">
        <f t="shared" si="50"/>
        <v>3Q05</v>
      </c>
      <c r="D287" s="518">
        <f t="shared" si="51"/>
        <v>38562</v>
      </c>
      <c r="E287" s="518">
        <f t="shared" si="51"/>
        <v>38502</v>
      </c>
      <c r="F287" s="520">
        <v>2.16</v>
      </c>
      <c r="G287" s="521">
        <f t="shared" si="47"/>
        <v>0.21000000000000005</v>
      </c>
      <c r="H287" s="521">
        <f t="shared" si="48"/>
        <v>0.22000000000000006</v>
      </c>
      <c r="I287" s="505"/>
      <c r="J287" s="505"/>
      <c r="K287" s="505"/>
      <c r="L287" s="505"/>
      <c r="M287" s="528"/>
      <c r="N287" s="505"/>
      <c r="O287" s="505"/>
      <c r="P287" s="505"/>
      <c r="Q287" s="505"/>
      <c r="R287" s="505"/>
      <c r="S287" s="505"/>
      <c r="T287" s="505"/>
      <c r="U287" s="505"/>
      <c r="V287" s="505"/>
      <c r="W287" s="505"/>
      <c r="X287" s="505"/>
      <c r="Y287" s="505"/>
      <c r="Z287" s="505"/>
      <c r="AA287" s="505"/>
      <c r="AB287" s="505"/>
      <c r="AC287" s="505"/>
      <c r="AD287" s="505"/>
      <c r="AE287" s="505"/>
      <c r="AF287" s="505"/>
      <c r="AG287" s="505"/>
      <c r="AH287" s="505"/>
      <c r="AI287" s="505"/>
      <c r="AJ287" s="505"/>
      <c r="AK287" s="505"/>
      <c r="AL287" s="505"/>
      <c r="AM287" s="505"/>
      <c r="AN287" s="505"/>
      <c r="AO287" s="505"/>
      <c r="AP287" s="505"/>
      <c r="AQ287" s="505"/>
      <c r="AR287" s="505"/>
      <c r="AS287" s="505"/>
      <c r="AT287" s="505"/>
      <c r="AU287" s="505"/>
      <c r="AV287" s="505"/>
      <c r="AW287" s="505"/>
      <c r="AX287" s="505"/>
      <c r="AY287" s="505"/>
      <c r="AZ287" s="505"/>
      <c r="BA287" s="505"/>
      <c r="BB287" s="505"/>
      <c r="BC287" s="505"/>
      <c r="BD287" s="505"/>
      <c r="BE287" s="505"/>
      <c r="BF287" s="505"/>
      <c r="BG287" s="505"/>
      <c r="BH287" s="505"/>
      <c r="BI287" s="505"/>
      <c r="BJ287" s="505"/>
      <c r="BK287" s="505"/>
      <c r="BL287" s="505"/>
      <c r="BM287" s="505"/>
      <c r="BN287" s="505"/>
      <c r="BO287" s="505"/>
      <c r="BP287" s="505"/>
      <c r="BQ287" s="505"/>
      <c r="BR287" s="505"/>
      <c r="BS287" s="505"/>
      <c r="BT287" s="505"/>
      <c r="BU287" s="505"/>
      <c r="BV287" s="505"/>
      <c r="BW287" s="505"/>
      <c r="BX287" s="505"/>
      <c r="BY287" s="505"/>
      <c r="BZ287" s="505"/>
      <c r="CA287" s="505"/>
      <c r="CB287" s="505"/>
      <c r="CC287" s="505"/>
      <c r="CD287" s="505"/>
      <c r="CE287" s="505"/>
      <c r="CF287" s="505"/>
      <c r="CG287" s="505"/>
      <c r="CH287" s="505"/>
      <c r="CI287" s="505"/>
      <c r="CJ287" s="505"/>
      <c r="CK287" s="505"/>
      <c r="CL287" s="505"/>
      <c r="CM287" s="505"/>
      <c r="CN287" s="505"/>
      <c r="CO287" s="505"/>
      <c r="CP287" s="505"/>
      <c r="CQ287" s="505"/>
      <c r="CR287" s="505"/>
      <c r="CS287" s="505"/>
      <c r="CT287" s="505"/>
      <c r="CU287" s="505"/>
      <c r="CV287" s="505"/>
      <c r="CW287" s="505"/>
      <c r="CX287" s="505"/>
      <c r="CY287" s="505"/>
      <c r="CZ287" s="505"/>
      <c r="DA287" s="505"/>
      <c r="DB287" s="505"/>
      <c r="DC287" s="505"/>
      <c r="DD287" s="505"/>
      <c r="DE287" s="505"/>
      <c r="DF287" s="505"/>
      <c r="DG287" s="505"/>
      <c r="DH287" s="505"/>
      <c r="DI287" s="505"/>
      <c r="DJ287" s="505"/>
      <c r="DK287" s="505"/>
      <c r="DL287" s="505"/>
      <c r="DM287" s="505"/>
      <c r="DN287" s="505"/>
      <c r="DO287" s="505"/>
      <c r="DP287" s="505"/>
    </row>
    <row r="288" spans="1:120" hidden="1" outlineLevel="1" x14ac:dyDescent="0.2">
      <c r="A288" s="517">
        <f t="shared" si="49"/>
        <v>38504</v>
      </c>
      <c r="B288" s="517" t="str">
        <f t="shared" si="46"/>
        <v>2Q05</v>
      </c>
      <c r="C288" s="517" t="str">
        <f t="shared" si="50"/>
        <v>3Q05</v>
      </c>
      <c r="D288" s="518">
        <f t="shared" si="51"/>
        <v>38569</v>
      </c>
      <c r="E288" s="518">
        <f t="shared" si="51"/>
        <v>38509</v>
      </c>
      <c r="F288" s="520">
        <v>2.234</v>
      </c>
      <c r="G288" s="521">
        <f t="shared" si="47"/>
        <v>0.22000000000000006</v>
      </c>
      <c r="H288" s="521">
        <f t="shared" si="48"/>
        <v>0.23000000000000007</v>
      </c>
      <c r="I288" s="505"/>
      <c r="J288" s="505"/>
      <c r="K288" s="505"/>
      <c r="L288" s="505"/>
      <c r="M288" s="528"/>
      <c r="N288" s="505"/>
      <c r="O288" s="505"/>
      <c r="P288" s="505"/>
      <c r="Q288" s="505"/>
      <c r="R288" s="505"/>
      <c r="S288" s="505"/>
      <c r="T288" s="505"/>
      <c r="U288" s="505"/>
      <c r="V288" s="505"/>
      <c r="W288" s="505"/>
      <c r="X288" s="505"/>
      <c r="Y288" s="505"/>
      <c r="Z288" s="505"/>
      <c r="AA288" s="505"/>
      <c r="AB288" s="505"/>
      <c r="AC288" s="505"/>
      <c r="AD288" s="505"/>
      <c r="AE288" s="505"/>
      <c r="AF288" s="505"/>
      <c r="AG288" s="505"/>
      <c r="AH288" s="505"/>
      <c r="AI288" s="505"/>
      <c r="AJ288" s="505"/>
      <c r="AK288" s="505"/>
      <c r="AL288" s="505"/>
      <c r="AM288" s="505"/>
      <c r="AN288" s="505"/>
      <c r="AO288" s="505"/>
      <c r="AP288" s="505"/>
      <c r="AQ288" s="505"/>
      <c r="AR288" s="505"/>
      <c r="AS288" s="505"/>
      <c r="AT288" s="505"/>
      <c r="AU288" s="505"/>
      <c r="AV288" s="505"/>
      <c r="AW288" s="505"/>
      <c r="AX288" s="505"/>
      <c r="AY288" s="505"/>
      <c r="AZ288" s="505"/>
      <c r="BA288" s="505"/>
      <c r="BB288" s="505"/>
      <c r="BC288" s="505"/>
      <c r="BD288" s="505"/>
      <c r="BE288" s="505"/>
      <c r="BF288" s="505"/>
      <c r="BG288" s="505"/>
      <c r="BH288" s="505"/>
      <c r="BI288" s="505"/>
      <c r="BJ288" s="505"/>
      <c r="BK288" s="505"/>
      <c r="BL288" s="505"/>
      <c r="BM288" s="505"/>
      <c r="BN288" s="505"/>
      <c r="BO288" s="505"/>
      <c r="BP288" s="505"/>
      <c r="BQ288" s="505"/>
      <c r="BR288" s="505"/>
      <c r="BS288" s="505"/>
      <c r="BT288" s="505"/>
      <c r="BU288" s="505"/>
      <c r="BV288" s="505"/>
      <c r="BW288" s="505"/>
      <c r="BX288" s="505"/>
      <c r="BY288" s="505"/>
      <c r="BZ288" s="505"/>
      <c r="CA288" s="505"/>
      <c r="CB288" s="505"/>
      <c r="CC288" s="505"/>
      <c r="CD288" s="505"/>
      <c r="CE288" s="505"/>
      <c r="CF288" s="505"/>
      <c r="CG288" s="505"/>
      <c r="CH288" s="505"/>
      <c r="CI288" s="505"/>
      <c r="CJ288" s="505"/>
      <c r="CK288" s="505"/>
      <c r="CL288" s="505"/>
      <c r="CM288" s="505"/>
      <c r="CN288" s="505"/>
      <c r="CO288" s="505"/>
      <c r="CP288" s="505"/>
      <c r="CQ288" s="505"/>
      <c r="CR288" s="505"/>
      <c r="CS288" s="505"/>
      <c r="CT288" s="505"/>
      <c r="CU288" s="505"/>
      <c r="CV288" s="505"/>
      <c r="CW288" s="505"/>
      <c r="CX288" s="505"/>
      <c r="CY288" s="505"/>
      <c r="CZ288" s="505"/>
      <c r="DA288" s="505"/>
      <c r="DB288" s="505"/>
      <c r="DC288" s="505"/>
      <c r="DD288" s="505"/>
      <c r="DE288" s="505"/>
      <c r="DF288" s="505"/>
      <c r="DG288" s="505"/>
      <c r="DH288" s="505"/>
      <c r="DI288" s="505"/>
      <c r="DJ288" s="505"/>
      <c r="DK288" s="505"/>
      <c r="DL288" s="505"/>
      <c r="DM288" s="505"/>
      <c r="DN288" s="505"/>
      <c r="DO288" s="505"/>
      <c r="DP288" s="505"/>
    </row>
    <row r="289" spans="1:120" hidden="1" outlineLevel="1" x14ac:dyDescent="0.2">
      <c r="A289" s="517">
        <f t="shared" si="49"/>
        <v>38504</v>
      </c>
      <c r="B289" s="517" t="str">
        <f t="shared" si="46"/>
        <v>2Q05</v>
      </c>
      <c r="C289" s="517" t="str">
        <f t="shared" si="50"/>
        <v>3Q05</v>
      </c>
      <c r="D289" s="518">
        <f t="shared" si="51"/>
        <v>38576</v>
      </c>
      <c r="E289" s="518">
        <f t="shared" si="51"/>
        <v>38516</v>
      </c>
      <c r="F289" s="520">
        <v>2.2759999999999998</v>
      </c>
      <c r="G289" s="521">
        <f t="shared" si="47"/>
        <v>0.23000000000000007</v>
      </c>
      <c r="H289" s="521">
        <f t="shared" si="48"/>
        <v>0.24000000000000007</v>
      </c>
      <c r="I289" s="505"/>
      <c r="J289" s="505"/>
      <c r="K289" s="505"/>
      <c r="L289" s="505"/>
      <c r="M289" s="528"/>
      <c r="N289" s="505"/>
      <c r="O289" s="505"/>
      <c r="P289" s="505"/>
      <c r="Q289" s="505"/>
      <c r="R289" s="505"/>
      <c r="S289" s="505"/>
      <c r="T289" s="505"/>
      <c r="U289" s="505"/>
      <c r="V289" s="505"/>
      <c r="W289" s="505"/>
      <c r="X289" s="505"/>
      <c r="Y289" s="505"/>
      <c r="Z289" s="505"/>
      <c r="AA289" s="505"/>
      <c r="AB289" s="505"/>
      <c r="AC289" s="505"/>
      <c r="AD289" s="505"/>
      <c r="AE289" s="505"/>
      <c r="AF289" s="505"/>
      <c r="AG289" s="505"/>
      <c r="AH289" s="505"/>
      <c r="AI289" s="505"/>
      <c r="AJ289" s="505"/>
      <c r="AK289" s="505"/>
      <c r="AL289" s="505"/>
      <c r="AM289" s="505"/>
      <c r="AN289" s="505"/>
      <c r="AO289" s="505"/>
      <c r="AP289" s="505"/>
      <c r="AQ289" s="505"/>
      <c r="AR289" s="505"/>
      <c r="AS289" s="505"/>
      <c r="AT289" s="505"/>
      <c r="AU289" s="505"/>
      <c r="AV289" s="505"/>
      <c r="AW289" s="505"/>
      <c r="AX289" s="505"/>
      <c r="AY289" s="505"/>
      <c r="AZ289" s="505"/>
      <c r="BA289" s="505"/>
      <c r="BB289" s="505"/>
      <c r="BC289" s="505"/>
      <c r="BD289" s="505"/>
      <c r="BE289" s="505"/>
      <c r="BF289" s="505"/>
      <c r="BG289" s="505"/>
      <c r="BH289" s="505"/>
      <c r="BI289" s="505"/>
      <c r="BJ289" s="505"/>
      <c r="BK289" s="505"/>
      <c r="BL289" s="505"/>
      <c r="BM289" s="505"/>
      <c r="BN289" s="505"/>
      <c r="BO289" s="505"/>
      <c r="BP289" s="505"/>
      <c r="BQ289" s="505"/>
      <c r="BR289" s="505"/>
      <c r="BS289" s="505"/>
      <c r="BT289" s="505"/>
      <c r="BU289" s="505"/>
      <c r="BV289" s="505"/>
      <c r="BW289" s="505"/>
      <c r="BX289" s="505"/>
      <c r="BY289" s="505"/>
      <c r="BZ289" s="505"/>
      <c r="CA289" s="505"/>
      <c r="CB289" s="505"/>
      <c r="CC289" s="505"/>
      <c r="CD289" s="505"/>
      <c r="CE289" s="505"/>
      <c r="CF289" s="505"/>
      <c r="CG289" s="505"/>
      <c r="CH289" s="505"/>
      <c r="CI289" s="505"/>
      <c r="CJ289" s="505"/>
      <c r="CK289" s="505"/>
      <c r="CL289" s="505"/>
      <c r="CM289" s="505"/>
      <c r="CN289" s="505"/>
      <c r="CO289" s="505"/>
      <c r="CP289" s="505"/>
      <c r="CQ289" s="505"/>
      <c r="CR289" s="505"/>
      <c r="CS289" s="505"/>
      <c r="CT289" s="505"/>
      <c r="CU289" s="505"/>
      <c r="CV289" s="505"/>
      <c r="CW289" s="505"/>
      <c r="CX289" s="505"/>
      <c r="CY289" s="505"/>
      <c r="CZ289" s="505"/>
      <c r="DA289" s="505"/>
      <c r="DB289" s="505"/>
      <c r="DC289" s="505"/>
      <c r="DD289" s="505"/>
      <c r="DE289" s="505"/>
      <c r="DF289" s="505"/>
      <c r="DG289" s="505"/>
      <c r="DH289" s="505"/>
      <c r="DI289" s="505"/>
      <c r="DJ289" s="505"/>
      <c r="DK289" s="505"/>
      <c r="DL289" s="505"/>
      <c r="DM289" s="505"/>
      <c r="DN289" s="505"/>
      <c r="DO289" s="505"/>
      <c r="DP289" s="505"/>
    </row>
    <row r="290" spans="1:120" hidden="1" outlineLevel="1" x14ac:dyDescent="0.2">
      <c r="A290" s="517">
        <f t="shared" si="49"/>
        <v>38504</v>
      </c>
      <c r="B290" s="517" t="str">
        <f t="shared" si="46"/>
        <v>2Q05</v>
      </c>
      <c r="C290" s="517" t="str">
        <f t="shared" si="50"/>
        <v>3Q05</v>
      </c>
      <c r="D290" s="518">
        <f t="shared" si="51"/>
        <v>38583</v>
      </c>
      <c r="E290" s="518">
        <f t="shared" si="51"/>
        <v>38523</v>
      </c>
      <c r="F290" s="520">
        <v>2.3130000000000002</v>
      </c>
      <c r="G290" s="521">
        <f t="shared" si="47"/>
        <v>0.24000000000000007</v>
      </c>
      <c r="H290" s="521">
        <f t="shared" si="48"/>
        <v>0.24000000000000007</v>
      </c>
      <c r="I290" s="505"/>
      <c r="J290" s="505"/>
      <c r="K290" s="505"/>
      <c r="L290" s="505"/>
      <c r="M290" s="528"/>
      <c r="N290" s="505"/>
      <c r="O290" s="505"/>
      <c r="P290" s="505"/>
      <c r="Q290" s="505"/>
      <c r="R290" s="505"/>
      <c r="S290" s="505"/>
      <c r="T290" s="505"/>
      <c r="U290" s="505"/>
      <c r="V290" s="505"/>
      <c r="W290" s="505"/>
      <c r="X290" s="505"/>
      <c r="Y290" s="505"/>
      <c r="Z290" s="505"/>
      <c r="AA290" s="505"/>
      <c r="AB290" s="505"/>
      <c r="AC290" s="505"/>
      <c r="AD290" s="505"/>
      <c r="AE290" s="505"/>
      <c r="AF290" s="505"/>
      <c r="AG290" s="505"/>
      <c r="AH290" s="505"/>
      <c r="AI290" s="505"/>
      <c r="AJ290" s="505"/>
      <c r="AK290" s="505"/>
      <c r="AL290" s="505"/>
      <c r="AM290" s="505"/>
      <c r="AN290" s="505"/>
      <c r="AO290" s="505"/>
      <c r="AP290" s="505"/>
      <c r="AQ290" s="505"/>
      <c r="AR290" s="505"/>
      <c r="AS290" s="505"/>
      <c r="AT290" s="505"/>
      <c r="AU290" s="505"/>
      <c r="AV290" s="505"/>
      <c r="AW290" s="505"/>
      <c r="AX290" s="505"/>
      <c r="AY290" s="505"/>
      <c r="AZ290" s="505"/>
      <c r="BA290" s="505"/>
      <c r="BB290" s="505"/>
      <c r="BC290" s="505"/>
      <c r="BD290" s="505"/>
      <c r="BE290" s="505"/>
      <c r="BF290" s="505"/>
      <c r="BG290" s="505"/>
      <c r="BH290" s="505"/>
      <c r="BI290" s="505"/>
      <c r="BJ290" s="505"/>
      <c r="BK290" s="505"/>
      <c r="BL290" s="505"/>
      <c r="BM290" s="505"/>
      <c r="BN290" s="505"/>
      <c r="BO290" s="505"/>
      <c r="BP290" s="505"/>
      <c r="BQ290" s="505"/>
      <c r="BR290" s="505"/>
      <c r="BS290" s="505"/>
      <c r="BT290" s="505"/>
      <c r="BU290" s="505"/>
      <c r="BV290" s="505"/>
      <c r="BW290" s="505"/>
      <c r="BX290" s="505"/>
      <c r="BY290" s="505"/>
      <c r="BZ290" s="505"/>
      <c r="CA290" s="505"/>
      <c r="CB290" s="505"/>
      <c r="CC290" s="505"/>
      <c r="CD290" s="505"/>
      <c r="CE290" s="505"/>
      <c r="CF290" s="505"/>
      <c r="CG290" s="505"/>
      <c r="CH290" s="505"/>
      <c r="CI290" s="505"/>
      <c r="CJ290" s="505"/>
      <c r="CK290" s="505"/>
      <c r="CL290" s="505"/>
      <c r="CM290" s="505"/>
      <c r="CN290" s="505"/>
      <c r="CO290" s="505"/>
      <c r="CP290" s="505"/>
      <c r="CQ290" s="505"/>
      <c r="CR290" s="505"/>
      <c r="CS290" s="505"/>
      <c r="CT290" s="505"/>
      <c r="CU290" s="505"/>
      <c r="CV290" s="505"/>
      <c r="CW290" s="505"/>
      <c r="CX290" s="505"/>
      <c r="CY290" s="505"/>
      <c r="CZ290" s="505"/>
      <c r="DA290" s="505"/>
      <c r="DB290" s="505"/>
      <c r="DC290" s="505"/>
      <c r="DD290" s="505"/>
      <c r="DE290" s="505"/>
      <c r="DF290" s="505"/>
      <c r="DG290" s="505"/>
      <c r="DH290" s="505"/>
      <c r="DI290" s="505"/>
      <c r="DJ290" s="505"/>
      <c r="DK290" s="505"/>
      <c r="DL290" s="505"/>
      <c r="DM290" s="505"/>
      <c r="DN290" s="505"/>
      <c r="DO290" s="505"/>
      <c r="DP290" s="505"/>
    </row>
    <row r="291" spans="1:120" hidden="1" outlineLevel="1" x14ac:dyDescent="0.2">
      <c r="A291" s="517">
        <f t="shared" si="49"/>
        <v>38504</v>
      </c>
      <c r="B291" s="517" t="str">
        <f t="shared" si="46"/>
        <v>2Q05</v>
      </c>
      <c r="C291" s="517" t="str">
        <f t="shared" si="50"/>
        <v>3Q05</v>
      </c>
      <c r="D291" s="518">
        <f t="shared" si="51"/>
        <v>38590</v>
      </c>
      <c r="E291" s="518">
        <f t="shared" si="51"/>
        <v>38530</v>
      </c>
      <c r="F291" s="520">
        <v>2.3359999999999999</v>
      </c>
      <c r="G291" s="521">
        <f t="shared" si="47"/>
        <v>0.24000000000000007</v>
      </c>
      <c r="H291" s="521">
        <f t="shared" si="48"/>
        <v>0.24000000000000007</v>
      </c>
      <c r="I291" s="505"/>
      <c r="J291" s="505"/>
      <c r="K291" s="505"/>
      <c r="L291" s="505"/>
      <c r="M291" s="528"/>
      <c r="N291" s="505"/>
      <c r="O291" s="505"/>
      <c r="P291" s="505"/>
      <c r="Q291" s="505"/>
      <c r="R291" s="505"/>
      <c r="S291" s="505"/>
      <c r="T291" s="505"/>
      <c r="U291" s="505"/>
      <c r="V291" s="505"/>
      <c r="W291" s="505"/>
      <c r="X291" s="505"/>
      <c r="Y291" s="505"/>
      <c r="Z291" s="505"/>
      <c r="AA291" s="505"/>
      <c r="AB291" s="505"/>
      <c r="AC291" s="505"/>
      <c r="AD291" s="505"/>
      <c r="AE291" s="505"/>
      <c r="AF291" s="505"/>
      <c r="AG291" s="505"/>
      <c r="AH291" s="505"/>
      <c r="AI291" s="505"/>
      <c r="AJ291" s="505"/>
      <c r="AK291" s="505"/>
      <c r="AL291" s="505"/>
      <c r="AM291" s="505"/>
      <c r="AN291" s="505"/>
      <c r="AO291" s="505"/>
      <c r="AP291" s="505"/>
      <c r="AQ291" s="505"/>
      <c r="AR291" s="505"/>
      <c r="AS291" s="505"/>
      <c r="AT291" s="505"/>
      <c r="AU291" s="505"/>
      <c r="AV291" s="505"/>
      <c r="AW291" s="505"/>
      <c r="AX291" s="505"/>
      <c r="AY291" s="505"/>
      <c r="AZ291" s="505"/>
      <c r="BA291" s="505"/>
      <c r="BB291" s="505"/>
      <c r="BC291" s="505"/>
      <c r="BD291" s="505"/>
      <c r="BE291" s="505"/>
      <c r="BF291" s="505"/>
      <c r="BG291" s="505"/>
      <c r="BH291" s="505"/>
      <c r="BI291" s="505"/>
      <c r="BJ291" s="505"/>
      <c r="BK291" s="505"/>
      <c r="BL291" s="505"/>
      <c r="BM291" s="505"/>
      <c r="BN291" s="505"/>
      <c r="BO291" s="505"/>
      <c r="BP291" s="505"/>
      <c r="BQ291" s="505"/>
      <c r="BR291" s="505"/>
      <c r="BS291" s="505"/>
      <c r="BT291" s="505"/>
      <c r="BU291" s="505"/>
      <c r="BV291" s="505"/>
      <c r="BW291" s="505"/>
      <c r="BX291" s="505"/>
      <c r="BY291" s="505"/>
      <c r="BZ291" s="505"/>
      <c r="CA291" s="505"/>
      <c r="CB291" s="505"/>
      <c r="CC291" s="505"/>
      <c r="CD291" s="505"/>
      <c r="CE291" s="505"/>
      <c r="CF291" s="505"/>
      <c r="CG291" s="505"/>
      <c r="CH291" s="505"/>
      <c r="CI291" s="505"/>
      <c r="CJ291" s="505"/>
      <c r="CK291" s="505"/>
      <c r="CL291" s="505"/>
      <c r="CM291" s="505"/>
      <c r="CN291" s="505"/>
      <c r="CO291" s="505"/>
      <c r="CP291" s="505"/>
      <c r="CQ291" s="505"/>
      <c r="CR291" s="505"/>
      <c r="CS291" s="505"/>
      <c r="CT291" s="505"/>
      <c r="CU291" s="505"/>
      <c r="CV291" s="505"/>
      <c r="CW291" s="505"/>
      <c r="CX291" s="505"/>
      <c r="CY291" s="505"/>
      <c r="CZ291" s="505"/>
      <c r="DA291" s="505"/>
      <c r="DB291" s="505"/>
      <c r="DC291" s="505"/>
      <c r="DD291" s="505"/>
      <c r="DE291" s="505"/>
      <c r="DF291" s="505"/>
      <c r="DG291" s="505"/>
      <c r="DH291" s="505"/>
      <c r="DI291" s="505"/>
      <c r="DJ291" s="505"/>
      <c r="DK291" s="505"/>
      <c r="DL291" s="505"/>
      <c r="DM291" s="505"/>
      <c r="DN291" s="505"/>
      <c r="DO291" s="505"/>
      <c r="DP291" s="505"/>
    </row>
    <row r="292" spans="1:120" hidden="1" outlineLevel="1" x14ac:dyDescent="0.2">
      <c r="A292" s="517">
        <f t="shared" si="49"/>
        <v>38534</v>
      </c>
      <c r="B292" s="517" t="str">
        <f t="shared" si="46"/>
        <v>3Q05</v>
      </c>
      <c r="C292" s="517" t="str">
        <f t="shared" si="50"/>
        <v>3Q05</v>
      </c>
      <c r="D292" s="518">
        <f t="shared" si="51"/>
        <v>38597</v>
      </c>
      <c r="E292" s="518">
        <f t="shared" si="51"/>
        <v>38537</v>
      </c>
      <c r="F292" s="520">
        <v>2.3480000000000003</v>
      </c>
      <c r="G292" s="521">
        <f t="shared" si="47"/>
        <v>0.24000000000000007</v>
      </c>
      <c r="H292" s="521">
        <f t="shared" si="48"/>
        <v>0.26000000000000006</v>
      </c>
      <c r="I292" s="505"/>
      <c r="J292" s="505"/>
      <c r="K292" s="505"/>
      <c r="L292" s="505"/>
      <c r="M292" s="528"/>
      <c r="N292" s="505"/>
      <c r="O292" s="505"/>
      <c r="P292" s="505"/>
      <c r="Q292" s="505"/>
      <c r="R292" s="505"/>
      <c r="S292" s="505"/>
      <c r="T292" s="505"/>
      <c r="U292" s="505"/>
      <c r="V292" s="505"/>
      <c r="W292" s="505"/>
      <c r="X292" s="505"/>
      <c r="Y292" s="505"/>
      <c r="Z292" s="505"/>
      <c r="AA292" s="505"/>
      <c r="AB292" s="505"/>
      <c r="AC292" s="505"/>
      <c r="AD292" s="505"/>
      <c r="AE292" s="505"/>
      <c r="AF292" s="505"/>
      <c r="AG292" s="505"/>
      <c r="AH292" s="505"/>
      <c r="AI292" s="505"/>
      <c r="AJ292" s="505"/>
      <c r="AK292" s="505"/>
      <c r="AL292" s="505"/>
      <c r="AM292" s="505"/>
      <c r="AN292" s="505"/>
      <c r="AO292" s="505"/>
      <c r="AP292" s="505"/>
      <c r="AQ292" s="505"/>
      <c r="AR292" s="505"/>
      <c r="AS292" s="505"/>
      <c r="AT292" s="505"/>
      <c r="AU292" s="505"/>
      <c r="AV292" s="505"/>
      <c r="AW292" s="505"/>
      <c r="AX292" s="505"/>
      <c r="AY292" s="505"/>
      <c r="AZ292" s="505"/>
      <c r="BA292" s="505"/>
      <c r="BB292" s="505"/>
      <c r="BC292" s="505"/>
      <c r="BD292" s="505"/>
      <c r="BE292" s="505"/>
      <c r="BF292" s="505"/>
      <c r="BG292" s="505"/>
      <c r="BH292" s="505"/>
      <c r="BI292" s="505"/>
      <c r="BJ292" s="505"/>
      <c r="BK292" s="505"/>
      <c r="BL292" s="505"/>
      <c r="BM292" s="505"/>
      <c r="BN292" s="505"/>
      <c r="BO292" s="505"/>
      <c r="BP292" s="505"/>
      <c r="BQ292" s="505"/>
      <c r="BR292" s="505"/>
      <c r="BS292" s="505"/>
      <c r="BT292" s="505"/>
      <c r="BU292" s="505"/>
      <c r="BV292" s="505"/>
      <c r="BW292" s="505"/>
      <c r="BX292" s="505"/>
      <c r="BY292" s="505"/>
      <c r="BZ292" s="505"/>
      <c r="CA292" s="505"/>
      <c r="CB292" s="505"/>
      <c r="CC292" s="505"/>
      <c r="CD292" s="505"/>
      <c r="CE292" s="505"/>
      <c r="CF292" s="505"/>
      <c r="CG292" s="505"/>
      <c r="CH292" s="505"/>
      <c r="CI292" s="505"/>
      <c r="CJ292" s="505"/>
      <c r="CK292" s="505"/>
      <c r="CL292" s="505"/>
      <c r="CM292" s="505"/>
      <c r="CN292" s="505"/>
      <c r="CO292" s="505"/>
      <c r="CP292" s="505"/>
      <c r="CQ292" s="505"/>
      <c r="CR292" s="505"/>
      <c r="CS292" s="505"/>
      <c r="CT292" s="505"/>
      <c r="CU292" s="505"/>
      <c r="CV292" s="505"/>
      <c r="CW292" s="505"/>
      <c r="CX292" s="505"/>
      <c r="CY292" s="505"/>
      <c r="CZ292" s="505"/>
      <c r="DA292" s="505"/>
      <c r="DB292" s="505"/>
      <c r="DC292" s="505"/>
      <c r="DD292" s="505"/>
      <c r="DE292" s="505"/>
      <c r="DF292" s="505"/>
      <c r="DG292" s="505"/>
      <c r="DH292" s="505"/>
      <c r="DI292" s="505"/>
      <c r="DJ292" s="505"/>
      <c r="DK292" s="505"/>
      <c r="DL292" s="505"/>
      <c r="DM292" s="505"/>
      <c r="DN292" s="505"/>
      <c r="DO292" s="505"/>
      <c r="DP292" s="505"/>
    </row>
    <row r="293" spans="1:120" hidden="1" outlineLevel="1" x14ac:dyDescent="0.2">
      <c r="A293" s="517">
        <f t="shared" si="49"/>
        <v>38534</v>
      </c>
      <c r="B293" s="517" t="str">
        <f t="shared" si="46"/>
        <v>3Q05</v>
      </c>
      <c r="C293" s="517" t="str">
        <f t="shared" si="50"/>
        <v>3Q05</v>
      </c>
      <c r="D293" s="518">
        <f t="shared" si="51"/>
        <v>38604</v>
      </c>
      <c r="E293" s="518">
        <f t="shared" si="51"/>
        <v>38544</v>
      </c>
      <c r="F293" s="520">
        <v>2.4079999999999999</v>
      </c>
      <c r="G293" s="521">
        <f t="shared" si="47"/>
        <v>0.26000000000000006</v>
      </c>
      <c r="H293" s="521">
        <f t="shared" si="48"/>
        <v>0.25000000000000006</v>
      </c>
      <c r="I293" s="505"/>
      <c r="J293" s="505"/>
      <c r="K293" s="505"/>
      <c r="L293" s="505"/>
      <c r="M293" s="528"/>
      <c r="N293" s="505"/>
      <c r="O293" s="505"/>
      <c r="P293" s="505"/>
      <c r="Q293" s="505"/>
      <c r="R293" s="505"/>
      <c r="S293" s="505"/>
      <c r="T293" s="505"/>
      <c r="U293" s="505"/>
      <c r="V293" s="505"/>
      <c r="W293" s="505"/>
      <c r="X293" s="505"/>
      <c r="Y293" s="505"/>
      <c r="Z293" s="505"/>
      <c r="AA293" s="505"/>
      <c r="AB293" s="505"/>
      <c r="AC293" s="505"/>
      <c r="AD293" s="505"/>
      <c r="AE293" s="505"/>
      <c r="AF293" s="505"/>
      <c r="AG293" s="505"/>
      <c r="AH293" s="505"/>
      <c r="AI293" s="505"/>
      <c r="AJ293" s="505"/>
      <c r="AK293" s="505"/>
      <c r="AL293" s="505"/>
      <c r="AM293" s="505"/>
      <c r="AN293" s="505"/>
      <c r="AO293" s="505"/>
      <c r="AP293" s="505"/>
      <c r="AQ293" s="505"/>
      <c r="AR293" s="505"/>
      <c r="AS293" s="505"/>
      <c r="AT293" s="505"/>
      <c r="AU293" s="505"/>
      <c r="AV293" s="505"/>
      <c r="AW293" s="505"/>
      <c r="AX293" s="505"/>
      <c r="AY293" s="505"/>
      <c r="AZ293" s="505"/>
      <c r="BA293" s="505"/>
      <c r="BB293" s="505"/>
      <c r="BC293" s="505"/>
      <c r="BD293" s="505"/>
      <c r="BE293" s="505"/>
      <c r="BF293" s="505"/>
      <c r="BG293" s="505"/>
      <c r="BH293" s="505"/>
      <c r="BI293" s="505"/>
      <c r="BJ293" s="505"/>
      <c r="BK293" s="505"/>
      <c r="BL293" s="505"/>
      <c r="BM293" s="505"/>
      <c r="BN293" s="505"/>
      <c r="BO293" s="505"/>
      <c r="BP293" s="505"/>
      <c r="BQ293" s="505"/>
      <c r="BR293" s="505"/>
      <c r="BS293" s="505"/>
      <c r="BT293" s="505"/>
      <c r="BU293" s="505"/>
      <c r="BV293" s="505"/>
      <c r="BW293" s="505"/>
      <c r="BX293" s="505"/>
      <c r="BY293" s="505"/>
      <c r="BZ293" s="505"/>
      <c r="CA293" s="505"/>
      <c r="CB293" s="505"/>
      <c r="CC293" s="505"/>
      <c r="CD293" s="505"/>
      <c r="CE293" s="505"/>
      <c r="CF293" s="505"/>
      <c r="CG293" s="505"/>
      <c r="CH293" s="505"/>
      <c r="CI293" s="505"/>
      <c r="CJ293" s="505"/>
      <c r="CK293" s="505"/>
      <c r="CL293" s="505"/>
      <c r="CM293" s="505"/>
      <c r="CN293" s="505"/>
      <c r="CO293" s="505"/>
      <c r="CP293" s="505"/>
      <c r="CQ293" s="505"/>
      <c r="CR293" s="505"/>
      <c r="CS293" s="505"/>
      <c r="CT293" s="505"/>
      <c r="CU293" s="505"/>
      <c r="CV293" s="505"/>
      <c r="CW293" s="505"/>
      <c r="CX293" s="505"/>
      <c r="CY293" s="505"/>
      <c r="CZ293" s="505"/>
      <c r="DA293" s="505"/>
      <c r="DB293" s="505"/>
      <c r="DC293" s="505"/>
      <c r="DD293" s="505"/>
      <c r="DE293" s="505"/>
      <c r="DF293" s="505"/>
      <c r="DG293" s="505"/>
      <c r="DH293" s="505"/>
      <c r="DI293" s="505"/>
      <c r="DJ293" s="505"/>
      <c r="DK293" s="505"/>
      <c r="DL293" s="505"/>
      <c r="DM293" s="505"/>
      <c r="DN293" s="505"/>
      <c r="DO293" s="505"/>
      <c r="DP293" s="505"/>
    </row>
    <row r="294" spans="1:120" hidden="1" outlineLevel="1" x14ac:dyDescent="0.2">
      <c r="A294" s="517">
        <f t="shared" si="49"/>
        <v>38534</v>
      </c>
      <c r="B294" s="517" t="str">
        <f t="shared" si="46"/>
        <v>3Q05</v>
      </c>
      <c r="C294" s="517" t="str">
        <f t="shared" si="50"/>
        <v>3Q05</v>
      </c>
      <c r="D294" s="518">
        <f t="shared" si="51"/>
        <v>38611</v>
      </c>
      <c r="E294" s="518">
        <f t="shared" si="51"/>
        <v>38551</v>
      </c>
      <c r="F294" s="520">
        <v>2.3919999999999999</v>
      </c>
      <c r="G294" s="521">
        <f t="shared" si="47"/>
        <v>0.25000000000000006</v>
      </c>
      <c r="H294" s="521">
        <f t="shared" si="48"/>
        <v>0.24000000000000007</v>
      </c>
      <c r="I294" s="505"/>
      <c r="J294" s="505"/>
      <c r="K294" s="505"/>
      <c r="L294" s="505"/>
      <c r="M294" s="528"/>
      <c r="N294" s="505"/>
      <c r="O294" s="505"/>
      <c r="P294" s="505"/>
      <c r="Q294" s="505"/>
      <c r="R294" s="505"/>
      <c r="S294" s="505"/>
      <c r="T294" s="505"/>
      <c r="U294" s="505"/>
      <c r="V294" s="505"/>
      <c r="W294" s="505"/>
      <c r="X294" s="505"/>
      <c r="Y294" s="505"/>
      <c r="Z294" s="505"/>
      <c r="AA294" s="505"/>
      <c r="AB294" s="505"/>
      <c r="AC294" s="505"/>
      <c r="AD294" s="505"/>
      <c r="AE294" s="505"/>
      <c r="AF294" s="505"/>
      <c r="AG294" s="505"/>
      <c r="AH294" s="505"/>
      <c r="AI294" s="505"/>
      <c r="AJ294" s="505"/>
      <c r="AK294" s="505"/>
      <c r="AL294" s="505"/>
      <c r="AM294" s="505"/>
      <c r="AN294" s="505"/>
      <c r="AO294" s="505"/>
      <c r="AP294" s="505"/>
      <c r="AQ294" s="505"/>
      <c r="AR294" s="505"/>
      <c r="AS294" s="505"/>
      <c r="AT294" s="505"/>
      <c r="AU294" s="505"/>
      <c r="AV294" s="505"/>
      <c r="AW294" s="505"/>
      <c r="AX294" s="505"/>
      <c r="AY294" s="505"/>
      <c r="AZ294" s="505"/>
      <c r="BA294" s="505"/>
      <c r="BB294" s="505"/>
      <c r="BC294" s="505"/>
      <c r="BD294" s="505"/>
      <c r="BE294" s="505"/>
      <c r="BF294" s="505"/>
      <c r="BG294" s="505"/>
      <c r="BH294" s="505"/>
      <c r="BI294" s="505"/>
      <c r="BJ294" s="505"/>
      <c r="BK294" s="505"/>
      <c r="BL294" s="505"/>
      <c r="BM294" s="505"/>
      <c r="BN294" s="505"/>
      <c r="BO294" s="505"/>
      <c r="BP294" s="505"/>
      <c r="BQ294" s="505"/>
      <c r="BR294" s="505"/>
      <c r="BS294" s="505"/>
      <c r="BT294" s="505"/>
      <c r="BU294" s="505"/>
      <c r="BV294" s="505"/>
      <c r="BW294" s="505"/>
      <c r="BX294" s="505"/>
      <c r="BY294" s="505"/>
      <c r="BZ294" s="505"/>
      <c r="CA294" s="505"/>
      <c r="CB294" s="505"/>
      <c r="CC294" s="505"/>
      <c r="CD294" s="505"/>
      <c r="CE294" s="505"/>
      <c r="CF294" s="505"/>
      <c r="CG294" s="505"/>
      <c r="CH294" s="505"/>
      <c r="CI294" s="505"/>
      <c r="CJ294" s="505"/>
      <c r="CK294" s="505"/>
      <c r="CL294" s="505"/>
      <c r="CM294" s="505"/>
      <c r="CN294" s="505"/>
      <c r="CO294" s="505"/>
      <c r="CP294" s="505"/>
      <c r="CQ294" s="505"/>
      <c r="CR294" s="505"/>
      <c r="CS294" s="505"/>
      <c r="CT294" s="505"/>
      <c r="CU294" s="505"/>
      <c r="CV294" s="505"/>
      <c r="CW294" s="505"/>
      <c r="CX294" s="505"/>
      <c r="CY294" s="505"/>
      <c r="CZ294" s="505"/>
      <c r="DA294" s="505"/>
      <c r="DB294" s="505"/>
      <c r="DC294" s="505"/>
      <c r="DD294" s="505"/>
      <c r="DE294" s="505"/>
      <c r="DF294" s="505"/>
      <c r="DG294" s="505"/>
      <c r="DH294" s="505"/>
      <c r="DI294" s="505"/>
      <c r="DJ294" s="505"/>
      <c r="DK294" s="505"/>
      <c r="DL294" s="505"/>
      <c r="DM294" s="505"/>
      <c r="DN294" s="505"/>
      <c r="DO294" s="505"/>
      <c r="DP294" s="505"/>
    </row>
    <row r="295" spans="1:120" hidden="1" outlineLevel="1" x14ac:dyDescent="0.2">
      <c r="A295" s="517">
        <f t="shared" si="49"/>
        <v>38534</v>
      </c>
      <c r="B295" s="517" t="str">
        <f t="shared" si="46"/>
        <v>3Q05</v>
      </c>
      <c r="C295" s="517" t="str">
        <f t="shared" si="50"/>
        <v>3Q05</v>
      </c>
      <c r="D295" s="518">
        <f t="shared" si="51"/>
        <v>38618</v>
      </c>
      <c r="E295" s="518">
        <f t="shared" si="51"/>
        <v>38558</v>
      </c>
      <c r="F295" s="520">
        <v>2.3420000000000001</v>
      </c>
      <c r="G295" s="521">
        <f t="shared" si="47"/>
        <v>0.24000000000000007</v>
      </c>
      <c r="H295" s="521">
        <f t="shared" si="48"/>
        <v>0.24000000000000007</v>
      </c>
      <c r="I295" s="505"/>
      <c r="J295" s="505"/>
      <c r="K295" s="505"/>
      <c r="L295" s="505"/>
      <c r="M295" s="528"/>
      <c r="N295" s="505"/>
      <c r="O295" s="505"/>
      <c r="P295" s="505"/>
      <c r="Q295" s="505"/>
      <c r="R295" s="505"/>
      <c r="S295" s="505"/>
      <c r="T295" s="505"/>
      <c r="U295" s="505"/>
      <c r="V295" s="505"/>
      <c r="W295" s="505"/>
      <c r="X295" s="505"/>
      <c r="Y295" s="505"/>
      <c r="Z295" s="505"/>
      <c r="AA295" s="505"/>
      <c r="AB295" s="505"/>
      <c r="AC295" s="505"/>
      <c r="AD295" s="505"/>
      <c r="AE295" s="505"/>
      <c r="AF295" s="505"/>
      <c r="AG295" s="505"/>
      <c r="AH295" s="505"/>
      <c r="AI295" s="505"/>
      <c r="AJ295" s="505"/>
      <c r="AK295" s="505"/>
      <c r="AL295" s="505"/>
      <c r="AM295" s="505"/>
      <c r="AN295" s="505"/>
      <c r="AO295" s="505"/>
      <c r="AP295" s="505"/>
      <c r="AQ295" s="505"/>
      <c r="AR295" s="505"/>
      <c r="AS295" s="505"/>
      <c r="AT295" s="505"/>
      <c r="AU295" s="505"/>
      <c r="AV295" s="505"/>
      <c r="AW295" s="505"/>
      <c r="AX295" s="505"/>
      <c r="AY295" s="505"/>
      <c r="AZ295" s="505"/>
      <c r="BA295" s="505"/>
      <c r="BB295" s="505"/>
      <c r="BC295" s="505"/>
      <c r="BD295" s="505"/>
      <c r="BE295" s="505"/>
      <c r="BF295" s="505"/>
      <c r="BG295" s="505"/>
      <c r="BH295" s="505"/>
      <c r="BI295" s="505"/>
      <c r="BJ295" s="505"/>
      <c r="BK295" s="505"/>
      <c r="BL295" s="505"/>
      <c r="BM295" s="505"/>
      <c r="BN295" s="505"/>
      <c r="BO295" s="505"/>
      <c r="BP295" s="505"/>
      <c r="BQ295" s="505"/>
      <c r="BR295" s="505"/>
      <c r="BS295" s="505"/>
      <c r="BT295" s="505"/>
      <c r="BU295" s="505"/>
      <c r="BV295" s="505"/>
      <c r="BW295" s="505"/>
      <c r="BX295" s="505"/>
      <c r="BY295" s="505"/>
      <c r="BZ295" s="505"/>
      <c r="CA295" s="505"/>
      <c r="CB295" s="505"/>
      <c r="CC295" s="505"/>
      <c r="CD295" s="505"/>
      <c r="CE295" s="505"/>
      <c r="CF295" s="505"/>
      <c r="CG295" s="505"/>
      <c r="CH295" s="505"/>
      <c r="CI295" s="505"/>
      <c r="CJ295" s="505"/>
      <c r="CK295" s="505"/>
      <c r="CL295" s="505"/>
      <c r="CM295" s="505"/>
      <c r="CN295" s="505"/>
      <c r="CO295" s="505"/>
      <c r="CP295" s="505"/>
      <c r="CQ295" s="505"/>
      <c r="CR295" s="505"/>
      <c r="CS295" s="505"/>
      <c r="CT295" s="505"/>
      <c r="CU295" s="505"/>
      <c r="CV295" s="505"/>
      <c r="CW295" s="505"/>
      <c r="CX295" s="505"/>
      <c r="CY295" s="505"/>
      <c r="CZ295" s="505"/>
      <c r="DA295" s="505"/>
      <c r="DB295" s="505"/>
      <c r="DC295" s="505"/>
      <c r="DD295" s="505"/>
      <c r="DE295" s="505"/>
      <c r="DF295" s="505"/>
      <c r="DG295" s="505"/>
      <c r="DH295" s="505"/>
      <c r="DI295" s="505"/>
      <c r="DJ295" s="505"/>
      <c r="DK295" s="505"/>
      <c r="DL295" s="505"/>
      <c r="DM295" s="505"/>
      <c r="DN295" s="505"/>
      <c r="DO295" s="505"/>
      <c r="DP295" s="505"/>
    </row>
    <row r="296" spans="1:120" hidden="1" outlineLevel="1" x14ac:dyDescent="0.2">
      <c r="A296" s="517">
        <f t="shared" si="49"/>
        <v>38565</v>
      </c>
      <c r="B296" s="517" t="str">
        <f t="shared" si="46"/>
        <v>3Q05</v>
      </c>
      <c r="C296" s="517" t="str">
        <f t="shared" si="50"/>
        <v>3Q05</v>
      </c>
      <c r="D296" s="518">
        <f t="shared" si="51"/>
        <v>38625</v>
      </c>
      <c r="E296" s="518">
        <f t="shared" si="51"/>
        <v>38565</v>
      </c>
      <c r="F296" s="520">
        <v>2.3480000000000003</v>
      </c>
      <c r="G296" s="521">
        <f t="shared" si="47"/>
        <v>0.24000000000000007</v>
      </c>
      <c r="H296" s="521">
        <f t="shared" si="48"/>
        <v>0.26000000000000006</v>
      </c>
      <c r="I296" s="505"/>
      <c r="J296" s="505"/>
      <c r="K296" s="505"/>
      <c r="L296" s="505"/>
      <c r="M296" s="528"/>
      <c r="N296" s="505"/>
      <c r="O296" s="505"/>
      <c r="P296" s="505"/>
      <c r="Q296" s="505"/>
      <c r="R296" s="505"/>
      <c r="S296" s="505"/>
      <c r="T296" s="505"/>
      <c r="U296" s="505"/>
      <c r="V296" s="505"/>
      <c r="W296" s="505"/>
      <c r="X296" s="505"/>
      <c r="Y296" s="505"/>
      <c r="Z296" s="505"/>
      <c r="AA296" s="505"/>
      <c r="AB296" s="505"/>
      <c r="AC296" s="505"/>
      <c r="AD296" s="505"/>
      <c r="AE296" s="505"/>
      <c r="AF296" s="505"/>
      <c r="AG296" s="505"/>
      <c r="AH296" s="505"/>
      <c r="AI296" s="505"/>
      <c r="AJ296" s="505"/>
      <c r="AK296" s="505"/>
      <c r="AL296" s="505"/>
      <c r="AM296" s="505"/>
      <c r="AN296" s="505"/>
      <c r="AO296" s="505"/>
      <c r="AP296" s="505"/>
      <c r="AQ296" s="505"/>
      <c r="AR296" s="505"/>
      <c r="AS296" s="505"/>
      <c r="AT296" s="505"/>
      <c r="AU296" s="505"/>
      <c r="AV296" s="505"/>
      <c r="AW296" s="505"/>
      <c r="AX296" s="505"/>
      <c r="AY296" s="505"/>
      <c r="AZ296" s="505"/>
      <c r="BA296" s="505"/>
      <c r="BB296" s="505"/>
      <c r="BC296" s="505"/>
      <c r="BD296" s="505"/>
      <c r="BE296" s="505"/>
      <c r="BF296" s="505"/>
      <c r="BG296" s="505"/>
      <c r="BH296" s="505"/>
      <c r="BI296" s="505"/>
      <c r="BJ296" s="505"/>
      <c r="BK296" s="505"/>
      <c r="BL296" s="505"/>
      <c r="BM296" s="505"/>
      <c r="BN296" s="505"/>
      <c r="BO296" s="505"/>
      <c r="BP296" s="505"/>
      <c r="BQ296" s="505"/>
      <c r="BR296" s="505"/>
      <c r="BS296" s="505"/>
      <c r="BT296" s="505"/>
      <c r="BU296" s="505"/>
      <c r="BV296" s="505"/>
      <c r="BW296" s="505"/>
      <c r="BX296" s="505"/>
      <c r="BY296" s="505"/>
      <c r="BZ296" s="505"/>
      <c r="CA296" s="505"/>
      <c r="CB296" s="505"/>
      <c r="CC296" s="505"/>
      <c r="CD296" s="505"/>
      <c r="CE296" s="505"/>
      <c r="CF296" s="505"/>
      <c r="CG296" s="505"/>
      <c r="CH296" s="505"/>
      <c r="CI296" s="505"/>
      <c r="CJ296" s="505"/>
      <c r="CK296" s="505"/>
      <c r="CL296" s="505"/>
      <c r="CM296" s="505"/>
      <c r="CN296" s="505"/>
      <c r="CO296" s="505"/>
      <c r="CP296" s="505"/>
      <c r="CQ296" s="505"/>
      <c r="CR296" s="505"/>
      <c r="CS296" s="505"/>
      <c r="CT296" s="505"/>
      <c r="CU296" s="505"/>
      <c r="CV296" s="505"/>
      <c r="CW296" s="505"/>
      <c r="CX296" s="505"/>
      <c r="CY296" s="505"/>
      <c r="CZ296" s="505"/>
      <c r="DA296" s="505"/>
      <c r="DB296" s="505"/>
      <c r="DC296" s="505"/>
      <c r="DD296" s="505"/>
      <c r="DE296" s="505"/>
      <c r="DF296" s="505"/>
      <c r="DG296" s="505"/>
      <c r="DH296" s="505"/>
      <c r="DI296" s="505"/>
      <c r="DJ296" s="505"/>
      <c r="DK296" s="505"/>
      <c r="DL296" s="505"/>
      <c r="DM296" s="505"/>
      <c r="DN296" s="505"/>
      <c r="DO296" s="505"/>
      <c r="DP296" s="505"/>
    </row>
    <row r="297" spans="1:120" hidden="1" outlineLevel="1" x14ac:dyDescent="0.2">
      <c r="A297" s="517">
        <f t="shared" si="49"/>
        <v>38565</v>
      </c>
      <c r="B297" s="517" t="str">
        <f t="shared" si="46"/>
        <v>3Q05</v>
      </c>
      <c r="C297" s="517" t="str">
        <f t="shared" si="50"/>
        <v>4Q05</v>
      </c>
      <c r="D297" s="518">
        <f t="shared" si="51"/>
        <v>38632</v>
      </c>
      <c r="E297" s="518">
        <f t="shared" si="51"/>
        <v>38572</v>
      </c>
      <c r="F297" s="520">
        <v>2.407</v>
      </c>
      <c r="G297" s="521">
        <f t="shared" si="47"/>
        <v>0.26000000000000006</v>
      </c>
      <c r="H297" s="521">
        <f t="shared" si="48"/>
        <v>0.29000000000000009</v>
      </c>
      <c r="I297" s="505"/>
      <c r="J297" s="505"/>
      <c r="K297" s="505"/>
      <c r="L297" s="505"/>
      <c r="M297" s="528"/>
      <c r="N297" s="505"/>
      <c r="O297" s="505"/>
      <c r="P297" s="505"/>
      <c r="Q297" s="505"/>
      <c r="R297" s="505"/>
      <c r="S297" s="505"/>
      <c r="T297" s="505"/>
      <c r="U297" s="505"/>
      <c r="V297" s="505"/>
      <c r="W297" s="505"/>
      <c r="X297" s="505"/>
      <c r="Y297" s="505"/>
      <c r="Z297" s="505"/>
      <c r="AA297" s="505"/>
      <c r="AB297" s="505"/>
      <c r="AC297" s="505"/>
      <c r="AD297" s="505"/>
      <c r="AE297" s="505"/>
      <c r="AF297" s="505"/>
      <c r="AG297" s="505"/>
      <c r="AH297" s="505"/>
      <c r="AI297" s="505"/>
      <c r="AJ297" s="505"/>
      <c r="AK297" s="505"/>
      <c r="AL297" s="505"/>
      <c r="AM297" s="505"/>
      <c r="AN297" s="505"/>
      <c r="AO297" s="505"/>
      <c r="AP297" s="505"/>
      <c r="AQ297" s="505"/>
      <c r="AR297" s="505"/>
      <c r="AS297" s="505"/>
      <c r="AT297" s="505"/>
      <c r="AU297" s="505"/>
      <c r="AV297" s="505"/>
      <c r="AW297" s="505"/>
      <c r="AX297" s="505"/>
      <c r="AY297" s="505"/>
      <c r="AZ297" s="505"/>
      <c r="BA297" s="505"/>
      <c r="BB297" s="505"/>
      <c r="BC297" s="505"/>
      <c r="BD297" s="505"/>
      <c r="BE297" s="505"/>
      <c r="BF297" s="505"/>
      <c r="BG297" s="505"/>
      <c r="BH297" s="505"/>
      <c r="BI297" s="505"/>
      <c r="BJ297" s="505"/>
      <c r="BK297" s="505"/>
      <c r="BL297" s="505"/>
      <c r="BM297" s="505"/>
      <c r="BN297" s="505"/>
      <c r="BO297" s="505"/>
      <c r="BP297" s="505"/>
      <c r="BQ297" s="505"/>
      <c r="BR297" s="505"/>
      <c r="BS297" s="505"/>
      <c r="BT297" s="505"/>
      <c r="BU297" s="505"/>
      <c r="BV297" s="505"/>
      <c r="BW297" s="505"/>
      <c r="BX297" s="505"/>
      <c r="BY297" s="505"/>
      <c r="BZ297" s="505"/>
      <c r="CA297" s="505"/>
      <c r="CB297" s="505"/>
      <c r="CC297" s="505"/>
      <c r="CD297" s="505"/>
      <c r="CE297" s="505"/>
      <c r="CF297" s="505"/>
      <c r="CG297" s="505"/>
      <c r="CH297" s="505"/>
      <c r="CI297" s="505"/>
      <c r="CJ297" s="505"/>
      <c r="CK297" s="505"/>
      <c r="CL297" s="505"/>
      <c r="CM297" s="505"/>
      <c r="CN297" s="505"/>
      <c r="CO297" s="505"/>
      <c r="CP297" s="505"/>
      <c r="CQ297" s="505"/>
      <c r="CR297" s="505"/>
      <c r="CS297" s="505"/>
      <c r="CT297" s="505"/>
      <c r="CU297" s="505"/>
      <c r="CV297" s="505"/>
      <c r="CW297" s="505"/>
      <c r="CX297" s="505"/>
      <c r="CY297" s="505"/>
      <c r="CZ297" s="505"/>
      <c r="DA297" s="505"/>
      <c r="DB297" s="505"/>
      <c r="DC297" s="505"/>
      <c r="DD297" s="505"/>
      <c r="DE297" s="505"/>
      <c r="DF297" s="505"/>
      <c r="DG297" s="505"/>
      <c r="DH297" s="505"/>
      <c r="DI297" s="505"/>
      <c r="DJ297" s="505"/>
      <c r="DK297" s="505"/>
      <c r="DL297" s="505"/>
      <c r="DM297" s="505"/>
      <c r="DN297" s="505"/>
      <c r="DO297" s="505"/>
      <c r="DP297" s="505"/>
    </row>
    <row r="298" spans="1:120" hidden="1" outlineLevel="1" x14ac:dyDescent="0.2">
      <c r="A298" s="517">
        <f t="shared" si="49"/>
        <v>38565</v>
      </c>
      <c r="B298" s="517" t="str">
        <f t="shared" si="46"/>
        <v>3Q05</v>
      </c>
      <c r="C298" s="517" t="str">
        <f t="shared" si="50"/>
        <v>4Q05</v>
      </c>
      <c r="D298" s="518">
        <f t="shared" si="51"/>
        <v>38639</v>
      </c>
      <c r="E298" s="518">
        <f t="shared" si="51"/>
        <v>38579</v>
      </c>
      <c r="F298" s="520">
        <v>2.5669999999999997</v>
      </c>
      <c r="G298" s="521">
        <f t="shared" si="47"/>
        <v>0.29000000000000009</v>
      </c>
      <c r="H298" s="521">
        <f t="shared" si="48"/>
        <v>0.29000000000000009</v>
      </c>
      <c r="I298" s="505"/>
      <c r="J298" s="505"/>
      <c r="K298" s="505"/>
      <c r="L298" s="505"/>
      <c r="M298" s="528"/>
      <c r="N298" s="505"/>
      <c r="O298" s="505"/>
      <c r="P298" s="505"/>
      <c r="Q298" s="505"/>
      <c r="R298" s="505"/>
      <c r="S298" s="505"/>
      <c r="T298" s="505"/>
      <c r="U298" s="505"/>
      <c r="V298" s="505"/>
      <c r="W298" s="505"/>
      <c r="X298" s="505"/>
      <c r="Y298" s="505"/>
      <c r="Z298" s="505"/>
      <c r="AA298" s="505"/>
      <c r="AB298" s="505"/>
      <c r="AC298" s="505"/>
      <c r="AD298" s="505"/>
      <c r="AE298" s="505"/>
      <c r="AF298" s="505"/>
      <c r="AG298" s="505"/>
      <c r="AH298" s="505"/>
      <c r="AI298" s="505"/>
      <c r="AJ298" s="505"/>
      <c r="AK298" s="505"/>
      <c r="AL298" s="505"/>
      <c r="AM298" s="505"/>
      <c r="AN298" s="505"/>
      <c r="AO298" s="505"/>
      <c r="AP298" s="505"/>
      <c r="AQ298" s="505"/>
      <c r="AR298" s="505"/>
      <c r="AS298" s="505"/>
      <c r="AT298" s="505"/>
      <c r="AU298" s="505"/>
      <c r="AV298" s="505"/>
      <c r="AW298" s="505"/>
      <c r="AX298" s="505"/>
      <c r="AY298" s="505"/>
      <c r="AZ298" s="505"/>
      <c r="BA298" s="505"/>
      <c r="BB298" s="505"/>
      <c r="BC298" s="505"/>
      <c r="BD298" s="505"/>
      <c r="BE298" s="505"/>
      <c r="BF298" s="505"/>
      <c r="BG298" s="505"/>
      <c r="BH298" s="505"/>
      <c r="BI298" s="505"/>
      <c r="BJ298" s="505"/>
      <c r="BK298" s="505"/>
      <c r="BL298" s="505"/>
      <c r="BM298" s="505"/>
      <c r="BN298" s="505"/>
      <c r="BO298" s="505"/>
      <c r="BP298" s="505"/>
      <c r="BQ298" s="505"/>
      <c r="BR298" s="505"/>
      <c r="BS298" s="505"/>
      <c r="BT298" s="505"/>
      <c r="BU298" s="505"/>
      <c r="BV298" s="505"/>
      <c r="BW298" s="505"/>
      <c r="BX298" s="505"/>
      <c r="BY298" s="505"/>
      <c r="BZ298" s="505"/>
      <c r="CA298" s="505"/>
      <c r="CB298" s="505"/>
      <c r="CC298" s="505"/>
      <c r="CD298" s="505"/>
      <c r="CE298" s="505"/>
      <c r="CF298" s="505"/>
      <c r="CG298" s="505"/>
      <c r="CH298" s="505"/>
      <c r="CI298" s="505"/>
      <c r="CJ298" s="505"/>
      <c r="CK298" s="505"/>
      <c r="CL298" s="505"/>
      <c r="CM298" s="505"/>
      <c r="CN298" s="505"/>
      <c r="CO298" s="505"/>
      <c r="CP298" s="505"/>
      <c r="CQ298" s="505"/>
      <c r="CR298" s="505"/>
      <c r="CS298" s="505"/>
      <c r="CT298" s="505"/>
      <c r="CU298" s="505"/>
      <c r="CV298" s="505"/>
      <c r="CW298" s="505"/>
      <c r="CX298" s="505"/>
      <c r="CY298" s="505"/>
      <c r="CZ298" s="505"/>
      <c r="DA298" s="505"/>
      <c r="DB298" s="505"/>
      <c r="DC298" s="505"/>
      <c r="DD298" s="505"/>
      <c r="DE298" s="505"/>
      <c r="DF298" s="505"/>
      <c r="DG298" s="505"/>
      <c r="DH298" s="505"/>
      <c r="DI298" s="505"/>
      <c r="DJ298" s="505"/>
      <c r="DK298" s="505"/>
      <c r="DL298" s="505"/>
      <c r="DM298" s="505"/>
      <c r="DN298" s="505"/>
      <c r="DO298" s="505"/>
      <c r="DP298" s="505"/>
    </row>
    <row r="299" spans="1:120" hidden="1" outlineLevel="1" x14ac:dyDescent="0.2">
      <c r="A299" s="517">
        <f t="shared" si="49"/>
        <v>38565</v>
      </c>
      <c r="B299" s="517" t="str">
        <f t="shared" si="46"/>
        <v>3Q05</v>
      </c>
      <c r="C299" s="517" t="str">
        <f t="shared" si="50"/>
        <v>4Q05</v>
      </c>
      <c r="D299" s="518">
        <f t="shared" si="51"/>
        <v>38646</v>
      </c>
      <c r="E299" s="518">
        <f t="shared" si="51"/>
        <v>38586</v>
      </c>
      <c r="F299" s="520">
        <v>2.5880000000000001</v>
      </c>
      <c r="G299" s="521">
        <f t="shared" si="47"/>
        <v>0.29000000000000009</v>
      </c>
      <c r="H299" s="521">
        <f t="shared" si="48"/>
        <v>0.29000000000000009</v>
      </c>
      <c r="I299" s="505"/>
      <c r="J299" s="505"/>
      <c r="K299" s="505"/>
      <c r="L299" s="505"/>
      <c r="M299" s="528"/>
      <c r="N299" s="505"/>
      <c r="O299" s="505"/>
      <c r="P299" s="505"/>
      <c r="Q299" s="505"/>
      <c r="R299" s="505"/>
      <c r="S299" s="505"/>
      <c r="T299" s="505"/>
      <c r="U299" s="505"/>
      <c r="V299" s="505"/>
      <c r="W299" s="505"/>
      <c r="X299" s="505"/>
      <c r="Y299" s="505"/>
      <c r="Z299" s="505"/>
      <c r="AA299" s="505"/>
      <c r="AB299" s="505"/>
      <c r="AC299" s="505"/>
      <c r="AD299" s="505"/>
      <c r="AE299" s="505"/>
      <c r="AF299" s="505"/>
      <c r="AG299" s="505"/>
      <c r="AH299" s="505"/>
      <c r="AI299" s="505"/>
      <c r="AJ299" s="505"/>
      <c r="AK299" s="505"/>
      <c r="AL299" s="505"/>
      <c r="AM299" s="505"/>
      <c r="AN299" s="505"/>
      <c r="AO299" s="505"/>
      <c r="AP299" s="505"/>
      <c r="AQ299" s="505"/>
      <c r="AR299" s="505"/>
      <c r="AS299" s="505"/>
      <c r="AT299" s="505"/>
      <c r="AU299" s="505"/>
      <c r="AV299" s="505"/>
      <c r="AW299" s="505"/>
      <c r="AX299" s="505"/>
      <c r="AY299" s="505"/>
      <c r="AZ299" s="505"/>
      <c r="BA299" s="505"/>
      <c r="BB299" s="505"/>
      <c r="BC299" s="505"/>
      <c r="BD299" s="505"/>
      <c r="BE299" s="505"/>
      <c r="BF299" s="505"/>
      <c r="BG299" s="505"/>
      <c r="BH299" s="505"/>
      <c r="BI299" s="505"/>
      <c r="BJ299" s="505"/>
      <c r="BK299" s="505"/>
      <c r="BL299" s="505"/>
      <c r="BM299" s="505"/>
      <c r="BN299" s="505"/>
      <c r="BO299" s="505"/>
      <c r="BP299" s="505"/>
      <c r="BQ299" s="505"/>
      <c r="BR299" s="505"/>
      <c r="BS299" s="505"/>
      <c r="BT299" s="505"/>
      <c r="BU299" s="505"/>
      <c r="BV299" s="505"/>
      <c r="BW299" s="505"/>
      <c r="BX299" s="505"/>
      <c r="BY299" s="505"/>
      <c r="BZ299" s="505"/>
      <c r="CA299" s="505"/>
      <c r="CB299" s="505"/>
      <c r="CC299" s="505"/>
      <c r="CD299" s="505"/>
      <c r="CE299" s="505"/>
      <c r="CF299" s="505"/>
      <c r="CG299" s="505"/>
      <c r="CH299" s="505"/>
      <c r="CI299" s="505"/>
      <c r="CJ299" s="505"/>
      <c r="CK299" s="505"/>
      <c r="CL299" s="505"/>
      <c r="CM299" s="505"/>
      <c r="CN299" s="505"/>
      <c r="CO299" s="505"/>
      <c r="CP299" s="505"/>
      <c r="CQ299" s="505"/>
      <c r="CR299" s="505"/>
      <c r="CS299" s="505"/>
      <c r="CT299" s="505"/>
      <c r="CU299" s="505"/>
      <c r="CV299" s="505"/>
      <c r="CW299" s="505"/>
      <c r="CX299" s="505"/>
      <c r="CY299" s="505"/>
      <c r="CZ299" s="505"/>
      <c r="DA299" s="505"/>
      <c r="DB299" s="505"/>
      <c r="DC299" s="505"/>
      <c r="DD299" s="505"/>
      <c r="DE299" s="505"/>
      <c r="DF299" s="505"/>
      <c r="DG299" s="505"/>
      <c r="DH299" s="505"/>
      <c r="DI299" s="505"/>
      <c r="DJ299" s="505"/>
      <c r="DK299" s="505"/>
      <c r="DL299" s="505"/>
      <c r="DM299" s="505"/>
      <c r="DN299" s="505"/>
      <c r="DO299" s="505"/>
      <c r="DP299" s="505"/>
    </row>
    <row r="300" spans="1:120" hidden="1" outlineLevel="1" x14ac:dyDescent="0.2">
      <c r="A300" s="517">
        <f t="shared" si="49"/>
        <v>38565</v>
      </c>
      <c r="B300" s="517" t="str">
        <f t="shared" si="46"/>
        <v>3Q05</v>
      </c>
      <c r="C300" s="517" t="str">
        <f t="shared" si="50"/>
        <v>4Q05</v>
      </c>
      <c r="D300" s="518">
        <f t="shared" si="51"/>
        <v>38653</v>
      </c>
      <c r="E300" s="518">
        <f t="shared" si="51"/>
        <v>38593</v>
      </c>
      <c r="F300" s="520">
        <v>2.59</v>
      </c>
      <c r="G300" s="521">
        <f t="shared" si="47"/>
        <v>0.29000000000000009</v>
      </c>
      <c r="H300" s="521">
        <f t="shared" si="48"/>
        <v>0.35000000000000014</v>
      </c>
      <c r="I300" s="505"/>
      <c r="J300" s="505"/>
      <c r="K300" s="505"/>
      <c r="L300" s="505"/>
      <c r="M300" s="528"/>
      <c r="N300" s="505"/>
      <c r="O300" s="505"/>
      <c r="P300" s="505"/>
      <c r="Q300" s="505"/>
      <c r="R300" s="505"/>
      <c r="S300" s="505"/>
      <c r="T300" s="505"/>
      <c r="U300" s="505"/>
      <c r="V300" s="505"/>
      <c r="W300" s="505"/>
      <c r="X300" s="505"/>
      <c r="Y300" s="505"/>
      <c r="Z300" s="505"/>
      <c r="AA300" s="505"/>
      <c r="AB300" s="505"/>
      <c r="AC300" s="505"/>
      <c r="AD300" s="505"/>
      <c r="AE300" s="505"/>
      <c r="AF300" s="505"/>
      <c r="AG300" s="505"/>
      <c r="AH300" s="505"/>
      <c r="AI300" s="505"/>
      <c r="AJ300" s="505"/>
      <c r="AK300" s="505"/>
      <c r="AL300" s="505"/>
      <c r="AM300" s="505"/>
      <c r="AN300" s="505"/>
      <c r="AO300" s="505"/>
      <c r="AP300" s="505"/>
      <c r="AQ300" s="505"/>
      <c r="AR300" s="505"/>
      <c r="AS300" s="505"/>
      <c r="AT300" s="505"/>
      <c r="AU300" s="505"/>
      <c r="AV300" s="505"/>
      <c r="AW300" s="505"/>
      <c r="AX300" s="505"/>
      <c r="AY300" s="505"/>
      <c r="AZ300" s="505"/>
      <c r="BA300" s="505"/>
      <c r="BB300" s="505"/>
      <c r="BC300" s="505"/>
      <c r="BD300" s="505"/>
      <c r="BE300" s="505"/>
      <c r="BF300" s="505"/>
      <c r="BG300" s="505"/>
      <c r="BH300" s="505"/>
      <c r="BI300" s="505"/>
      <c r="BJ300" s="505"/>
      <c r="BK300" s="505"/>
      <c r="BL300" s="505"/>
      <c r="BM300" s="505"/>
      <c r="BN300" s="505"/>
      <c r="BO300" s="505"/>
      <c r="BP300" s="505"/>
      <c r="BQ300" s="505"/>
      <c r="BR300" s="505"/>
      <c r="BS300" s="505"/>
      <c r="BT300" s="505"/>
      <c r="BU300" s="505"/>
      <c r="BV300" s="505"/>
      <c r="BW300" s="505"/>
      <c r="BX300" s="505"/>
      <c r="BY300" s="505"/>
      <c r="BZ300" s="505"/>
      <c r="CA300" s="505"/>
      <c r="CB300" s="505"/>
      <c r="CC300" s="505"/>
      <c r="CD300" s="505"/>
      <c r="CE300" s="505"/>
      <c r="CF300" s="505"/>
      <c r="CG300" s="505"/>
      <c r="CH300" s="505"/>
      <c r="CI300" s="505"/>
      <c r="CJ300" s="505"/>
      <c r="CK300" s="505"/>
      <c r="CL300" s="505"/>
      <c r="CM300" s="505"/>
      <c r="CN300" s="505"/>
      <c r="CO300" s="505"/>
      <c r="CP300" s="505"/>
      <c r="CQ300" s="505"/>
      <c r="CR300" s="505"/>
      <c r="CS300" s="505"/>
      <c r="CT300" s="505"/>
      <c r="CU300" s="505"/>
      <c r="CV300" s="505"/>
      <c r="CW300" s="505"/>
      <c r="CX300" s="505"/>
      <c r="CY300" s="505"/>
      <c r="CZ300" s="505"/>
      <c r="DA300" s="505"/>
      <c r="DB300" s="505"/>
      <c r="DC300" s="505"/>
      <c r="DD300" s="505"/>
      <c r="DE300" s="505"/>
      <c r="DF300" s="505"/>
      <c r="DG300" s="505"/>
      <c r="DH300" s="505"/>
      <c r="DI300" s="505"/>
      <c r="DJ300" s="505"/>
      <c r="DK300" s="505"/>
      <c r="DL300" s="505"/>
      <c r="DM300" s="505"/>
      <c r="DN300" s="505"/>
      <c r="DO300" s="505"/>
      <c r="DP300" s="505"/>
    </row>
    <row r="301" spans="1:120" hidden="1" outlineLevel="1" x14ac:dyDescent="0.2">
      <c r="A301" s="517">
        <f t="shared" si="49"/>
        <v>38596</v>
      </c>
      <c r="B301" s="517" t="str">
        <f t="shared" si="46"/>
        <v>3Q05</v>
      </c>
      <c r="C301" s="517" t="str">
        <f t="shared" si="50"/>
        <v>4Q05</v>
      </c>
      <c r="D301" s="518">
        <f t="shared" si="51"/>
        <v>38660</v>
      </c>
      <c r="E301" s="518">
        <f t="shared" si="51"/>
        <v>38600</v>
      </c>
      <c r="F301" s="520">
        <v>2.8980000000000001</v>
      </c>
      <c r="G301" s="521">
        <f t="shared" si="47"/>
        <v>0.35000000000000014</v>
      </c>
      <c r="H301" s="521">
        <f t="shared" si="48"/>
        <v>0.34000000000000014</v>
      </c>
      <c r="I301" s="505"/>
      <c r="J301" s="505"/>
      <c r="K301" s="505"/>
      <c r="L301" s="505"/>
      <c r="M301" s="528"/>
      <c r="N301" s="505"/>
      <c r="O301" s="505"/>
      <c r="P301" s="505"/>
      <c r="Q301" s="505"/>
      <c r="R301" s="505"/>
      <c r="S301" s="505"/>
      <c r="T301" s="505"/>
      <c r="U301" s="505"/>
      <c r="V301" s="505"/>
      <c r="W301" s="505"/>
      <c r="X301" s="505"/>
      <c r="Y301" s="505"/>
      <c r="Z301" s="505"/>
      <c r="AA301" s="505"/>
      <c r="AB301" s="505"/>
      <c r="AC301" s="505"/>
      <c r="AD301" s="505"/>
      <c r="AE301" s="505"/>
      <c r="AF301" s="505"/>
      <c r="AG301" s="505"/>
      <c r="AH301" s="505"/>
      <c r="AI301" s="505"/>
      <c r="AJ301" s="505"/>
      <c r="AK301" s="505"/>
      <c r="AL301" s="505"/>
      <c r="AM301" s="505"/>
      <c r="AN301" s="505"/>
      <c r="AO301" s="505"/>
      <c r="AP301" s="505"/>
      <c r="AQ301" s="505"/>
      <c r="AR301" s="505"/>
      <c r="AS301" s="505"/>
      <c r="AT301" s="505"/>
      <c r="AU301" s="505"/>
      <c r="AV301" s="505"/>
      <c r="AW301" s="505"/>
      <c r="AX301" s="505"/>
      <c r="AY301" s="505"/>
      <c r="AZ301" s="505"/>
      <c r="BA301" s="505"/>
      <c r="BB301" s="505"/>
      <c r="BC301" s="505"/>
      <c r="BD301" s="505"/>
      <c r="BE301" s="505"/>
      <c r="BF301" s="505"/>
      <c r="BG301" s="505"/>
      <c r="BH301" s="505"/>
      <c r="BI301" s="505"/>
      <c r="BJ301" s="505"/>
      <c r="BK301" s="505"/>
      <c r="BL301" s="505"/>
      <c r="BM301" s="505"/>
      <c r="BN301" s="505"/>
      <c r="BO301" s="505"/>
      <c r="BP301" s="505"/>
      <c r="BQ301" s="505"/>
      <c r="BR301" s="505"/>
      <c r="BS301" s="505"/>
      <c r="BT301" s="505"/>
      <c r="BU301" s="505"/>
      <c r="BV301" s="505"/>
      <c r="BW301" s="505"/>
      <c r="BX301" s="505"/>
      <c r="BY301" s="505"/>
      <c r="BZ301" s="505"/>
      <c r="CA301" s="505"/>
      <c r="CB301" s="505"/>
      <c r="CC301" s="505"/>
      <c r="CD301" s="505"/>
      <c r="CE301" s="505"/>
      <c r="CF301" s="505"/>
      <c r="CG301" s="505"/>
      <c r="CH301" s="505"/>
      <c r="CI301" s="505"/>
      <c r="CJ301" s="505"/>
      <c r="CK301" s="505"/>
      <c r="CL301" s="505"/>
      <c r="CM301" s="505"/>
      <c r="CN301" s="505"/>
      <c r="CO301" s="505"/>
      <c r="CP301" s="505"/>
      <c r="CQ301" s="505"/>
      <c r="CR301" s="505"/>
      <c r="CS301" s="505"/>
      <c r="CT301" s="505"/>
      <c r="CU301" s="505"/>
      <c r="CV301" s="505"/>
      <c r="CW301" s="505"/>
      <c r="CX301" s="505"/>
      <c r="CY301" s="505"/>
      <c r="CZ301" s="505"/>
      <c r="DA301" s="505"/>
      <c r="DB301" s="505"/>
      <c r="DC301" s="505"/>
      <c r="DD301" s="505"/>
      <c r="DE301" s="505"/>
      <c r="DF301" s="505"/>
      <c r="DG301" s="505"/>
      <c r="DH301" s="505"/>
      <c r="DI301" s="505"/>
      <c r="DJ301" s="505"/>
      <c r="DK301" s="505"/>
      <c r="DL301" s="505"/>
      <c r="DM301" s="505"/>
      <c r="DN301" s="505"/>
      <c r="DO301" s="505"/>
      <c r="DP301" s="505"/>
    </row>
    <row r="302" spans="1:120" hidden="1" outlineLevel="1" x14ac:dyDescent="0.2">
      <c r="A302" s="517">
        <f t="shared" si="49"/>
        <v>38596</v>
      </c>
      <c r="B302" s="517" t="str">
        <f t="shared" si="46"/>
        <v>3Q05</v>
      </c>
      <c r="C302" s="517" t="str">
        <f t="shared" si="50"/>
        <v>4Q05</v>
      </c>
      <c r="D302" s="518">
        <f t="shared" si="51"/>
        <v>38667</v>
      </c>
      <c r="E302" s="518">
        <f t="shared" si="51"/>
        <v>38607</v>
      </c>
      <c r="F302" s="520">
        <v>2.847</v>
      </c>
      <c r="G302" s="521">
        <f t="shared" si="47"/>
        <v>0.34000000000000014</v>
      </c>
      <c r="H302" s="521">
        <f t="shared" si="48"/>
        <v>0.32000000000000012</v>
      </c>
      <c r="I302" s="505"/>
      <c r="J302" s="505"/>
      <c r="K302" s="505"/>
      <c r="L302" s="505"/>
      <c r="M302" s="528"/>
      <c r="N302" s="505"/>
      <c r="O302" s="505"/>
      <c r="P302" s="505"/>
      <c r="Q302" s="505"/>
      <c r="R302" s="505"/>
      <c r="S302" s="505"/>
      <c r="T302" s="505"/>
      <c r="U302" s="505"/>
      <c r="V302" s="505"/>
      <c r="W302" s="505"/>
      <c r="X302" s="505"/>
      <c r="Y302" s="505"/>
      <c r="Z302" s="505"/>
      <c r="AA302" s="505"/>
      <c r="AB302" s="505"/>
      <c r="AC302" s="505"/>
      <c r="AD302" s="505"/>
      <c r="AE302" s="505"/>
      <c r="AF302" s="505"/>
      <c r="AG302" s="505"/>
      <c r="AH302" s="505"/>
      <c r="AI302" s="505"/>
      <c r="AJ302" s="505"/>
      <c r="AK302" s="505"/>
      <c r="AL302" s="505"/>
      <c r="AM302" s="505"/>
      <c r="AN302" s="505"/>
      <c r="AO302" s="505"/>
      <c r="AP302" s="505"/>
      <c r="AQ302" s="505"/>
      <c r="AR302" s="505"/>
      <c r="AS302" s="505"/>
      <c r="AT302" s="505"/>
      <c r="AU302" s="505"/>
      <c r="AV302" s="505"/>
      <c r="AW302" s="505"/>
      <c r="AX302" s="505"/>
      <c r="AY302" s="505"/>
      <c r="AZ302" s="505"/>
      <c r="BA302" s="505"/>
      <c r="BB302" s="505"/>
      <c r="BC302" s="505"/>
      <c r="BD302" s="505"/>
      <c r="BE302" s="505"/>
      <c r="BF302" s="505"/>
      <c r="BG302" s="505"/>
      <c r="BH302" s="505"/>
      <c r="BI302" s="505"/>
      <c r="BJ302" s="505"/>
      <c r="BK302" s="505"/>
      <c r="BL302" s="505"/>
      <c r="BM302" s="505"/>
      <c r="BN302" s="505"/>
      <c r="BO302" s="505"/>
      <c r="BP302" s="505"/>
      <c r="BQ302" s="505"/>
      <c r="BR302" s="505"/>
      <c r="BS302" s="505"/>
      <c r="BT302" s="505"/>
      <c r="BU302" s="505"/>
      <c r="BV302" s="505"/>
      <c r="BW302" s="505"/>
      <c r="BX302" s="505"/>
      <c r="BY302" s="505"/>
      <c r="BZ302" s="505"/>
      <c r="CA302" s="505"/>
      <c r="CB302" s="505"/>
      <c r="CC302" s="505"/>
      <c r="CD302" s="505"/>
      <c r="CE302" s="505"/>
      <c r="CF302" s="505"/>
      <c r="CG302" s="505"/>
      <c r="CH302" s="505"/>
      <c r="CI302" s="505"/>
      <c r="CJ302" s="505"/>
      <c r="CK302" s="505"/>
      <c r="CL302" s="505"/>
      <c r="CM302" s="505"/>
      <c r="CN302" s="505"/>
      <c r="CO302" s="505"/>
      <c r="CP302" s="505"/>
      <c r="CQ302" s="505"/>
      <c r="CR302" s="505"/>
      <c r="CS302" s="505"/>
      <c r="CT302" s="505"/>
      <c r="CU302" s="505"/>
      <c r="CV302" s="505"/>
      <c r="CW302" s="505"/>
      <c r="CX302" s="505"/>
      <c r="CY302" s="505"/>
      <c r="CZ302" s="505"/>
      <c r="DA302" s="505"/>
      <c r="DB302" s="505"/>
      <c r="DC302" s="505"/>
      <c r="DD302" s="505"/>
      <c r="DE302" s="505"/>
      <c r="DF302" s="505"/>
      <c r="DG302" s="505"/>
      <c r="DH302" s="505"/>
      <c r="DI302" s="505"/>
      <c r="DJ302" s="505"/>
      <c r="DK302" s="505"/>
      <c r="DL302" s="505"/>
      <c r="DM302" s="505"/>
      <c r="DN302" s="505"/>
      <c r="DO302" s="505"/>
      <c r="DP302" s="505"/>
    </row>
    <row r="303" spans="1:120" hidden="1" outlineLevel="1" x14ac:dyDescent="0.2">
      <c r="A303" s="517">
        <f t="shared" si="49"/>
        <v>38596</v>
      </c>
      <c r="B303" s="517" t="str">
        <f t="shared" si="46"/>
        <v>3Q05</v>
      </c>
      <c r="C303" s="517" t="str">
        <f t="shared" si="50"/>
        <v>4Q05</v>
      </c>
      <c r="D303" s="518">
        <f t="shared" si="51"/>
        <v>38674</v>
      </c>
      <c r="E303" s="518">
        <f t="shared" si="51"/>
        <v>38614</v>
      </c>
      <c r="F303" s="520">
        <v>2.7319999999999998</v>
      </c>
      <c r="G303" s="521">
        <f t="shared" si="47"/>
        <v>0.32000000000000012</v>
      </c>
      <c r="H303" s="521">
        <f t="shared" si="48"/>
        <v>0.33000000000000013</v>
      </c>
      <c r="I303" s="505"/>
      <c r="J303" s="505"/>
      <c r="K303" s="505"/>
      <c r="L303" s="505"/>
      <c r="M303" s="528"/>
      <c r="N303" s="505"/>
      <c r="O303" s="505"/>
      <c r="P303" s="505"/>
      <c r="Q303" s="505"/>
      <c r="R303" s="505"/>
      <c r="S303" s="505"/>
      <c r="T303" s="505"/>
      <c r="U303" s="505"/>
      <c r="V303" s="505"/>
      <c r="W303" s="505"/>
      <c r="X303" s="505"/>
      <c r="Y303" s="505"/>
      <c r="Z303" s="505"/>
      <c r="AA303" s="505"/>
      <c r="AB303" s="505"/>
      <c r="AC303" s="505"/>
      <c r="AD303" s="505"/>
      <c r="AE303" s="505"/>
      <c r="AF303" s="505"/>
      <c r="AG303" s="505"/>
      <c r="AH303" s="505"/>
      <c r="AI303" s="505"/>
      <c r="AJ303" s="505"/>
      <c r="AK303" s="505"/>
      <c r="AL303" s="505"/>
      <c r="AM303" s="505"/>
      <c r="AN303" s="505"/>
      <c r="AO303" s="505"/>
      <c r="AP303" s="505"/>
      <c r="AQ303" s="505"/>
      <c r="AR303" s="505"/>
      <c r="AS303" s="505"/>
      <c r="AT303" s="505"/>
      <c r="AU303" s="505"/>
      <c r="AV303" s="505"/>
      <c r="AW303" s="505"/>
      <c r="AX303" s="505"/>
      <c r="AY303" s="505"/>
      <c r="AZ303" s="505"/>
      <c r="BA303" s="505"/>
      <c r="BB303" s="505"/>
      <c r="BC303" s="505"/>
      <c r="BD303" s="505"/>
      <c r="BE303" s="505"/>
      <c r="BF303" s="505"/>
      <c r="BG303" s="505"/>
      <c r="BH303" s="505"/>
      <c r="BI303" s="505"/>
      <c r="BJ303" s="505"/>
      <c r="BK303" s="505"/>
      <c r="BL303" s="505"/>
      <c r="BM303" s="505"/>
      <c r="BN303" s="505"/>
      <c r="BO303" s="505"/>
      <c r="BP303" s="505"/>
      <c r="BQ303" s="505"/>
      <c r="BR303" s="505"/>
      <c r="BS303" s="505"/>
      <c r="BT303" s="505"/>
      <c r="BU303" s="505"/>
      <c r="BV303" s="505"/>
      <c r="BW303" s="505"/>
      <c r="BX303" s="505"/>
      <c r="BY303" s="505"/>
      <c r="BZ303" s="505"/>
      <c r="CA303" s="505"/>
      <c r="CB303" s="505"/>
      <c r="CC303" s="505"/>
      <c r="CD303" s="505"/>
      <c r="CE303" s="505"/>
      <c r="CF303" s="505"/>
      <c r="CG303" s="505"/>
      <c r="CH303" s="505"/>
      <c r="CI303" s="505"/>
      <c r="CJ303" s="505"/>
      <c r="CK303" s="505"/>
      <c r="CL303" s="505"/>
      <c r="CM303" s="505"/>
      <c r="CN303" s="505"/>
      <c r="CO303" s="505"/>
      <c r="CP303" s="505"/>
      <c r="CQ303" s="505"/>
      <c r="CR303" s="505"/>
      <c r="CS303" s="505"/>
      <c r="CT303" s="505"/>
      <c r="CU303" s="505"/>
      <c r="CV303" s="505"/>
      <c r="CW303" s="505"/>
      <c r="CX303" s="505"/>
      <c r="CY303" s="505"/>
      <c r="CZ303" s="505"/>
      <c r="DA303" s="505"/>
      <c r="DB303" s="505"/>
      <c r="DC303" s="505"/>
      <c r="DD303" s="505"/>
      <c r="DE303" s="505"/>
      <c r="DF303" s="505"/>
      <c r="DG303" s="505"/>
      <c r="DH303" s="505"/>
      <c r="DI303" s="505"/>
      <c r="DJ303" s="505"/>
      <c r="DK303" s="505"/>
      <c r="DL303" s="505"/>
      <c r="DM303" s="505"/>
      <c r="DN303" s="505"/>
      <c r="DO303" s="505"/>
      <c r="DP303" s="505"/>
    </row>
    <row r="304" spans="1:120" hidden="1" outlineLevel="1" x14ac:dyDescent="0.2">
      <c r="A304" s="517">
        <f t="shared" si="49"/>
        <v>38596</v>
      </c>
      <c r="B304" s="517" t="str">
        <f t="shared" si="46"/>
        <v>3Q05</v>
      </c>
      <c r="C304" s="517" t="str">
        <f t="shared" si="50"/>
        <v>4Q05</v>
      </c>
      <c r="D304" s="518">
        <f t="shared" si="51"/>
        <v>38681</v>
      </c>
      <c r="E304" s="518">
        <f t="shared" si="51"/>
        <v>38621</v>
      </c>
      <c r="F304" s="520">
        <v>2.798</v>
      </c>
      <c r="G304" s="521">
        <f t="shared" si="47"/>
        <v>0.33000000000000013</v>
      </c>
      <c r="H304" s="521">
        <f t="shared" si="48"/>
        <v>0.40000000000000019</v>
      </c>
      <c r="I304" s="505"/>
      <c r="J304" s="505"/>
      <c r="K304" s="505"/>
      <c r="L304" s="505"/>
      <c r="M304" s="528"/>
      <c r="N304" s="505"/>
      <c r="O304" s="505"/>
      <c r="P304" s="505"/>
      <c r="Q304" s="505"/>
      <c r="R304" s="505"/>
      <c r="S304" s="505"/>
      <c r="T304" s="505"/>
      <c r="U304" s="505"/>
      <c r="V304" s="505"/>
      <c r="W304" s="505"/>
      <c r="X304" s="505"/>
      <c r="Y304" s="505"/>
      <c r="Z304" s="505"/>
      <c r="AA304" s="505"/>
      <c r="AB304" s="505"/>
      <c r="AC304" s="505"/>
      <c r="AD304" s="505"/>
      <c r="AE304" s="505"/>
      <c r="AF304" s="505"/>
      <c r="AG304" s="505"/>
      <c r="AH304" s="505"/>
      <c r="AI304" s="505"/>
      <c r="AJ304" s="505"/>
      <c r="AK304" s="505"/>
      <c r="AL304" s="505"/>
      <c r="AM304" s="505"/>
      <c r="AN304" s="505"/>
      <c r="AO304" s="505"/>
      <c r="AP304" s="505"/>
      <c r="AQ304" s="505"/>
      <c r="AR304" s="505"/>
      <c r="AS304" s="505"/>
      <c r="AT304" s="505"/>
      <c r="AU304" s="505"/>
      <c r="AV304" s="505"/>
      <c r="AW304" s="505"/>
      <c r="AX304" s="505"/>
      <c r="AY304" s="505"/>
      <c r="AZ304" s="505"/>
      <c r="BA304" s="505"/>
      <c r="BB304" s="505"/>
      <c r="BC304" s="505"/>
      <c r="BD304" s="505"/>
      <c r="BE304" s="505"/>
      <c r="BF304" s="505"/>
      <c r="BG304" s="505"/>
      <c r="BH304" s="505"/>
      <c r="BI304" s="505"/>
      <c r="BJ304" s="505"/>
      <c r="BK304" s="505"/>
      <c r="BL304" s="505"/>
      <c r="BM304" s="505"/>
      <c r="BN304" s="505"/>
      <c r="BO304" s="505"/>
      <c r="BP304" s="505"/>
      <c r="BQ304" s="505"/>
      <c r="BR304" s="505"/>
      <c r="BS304" s="505"/>
      <c r="BT304" s="505"/>
      <c r="BU304" s="505"/>
      <c r="BV304" s="505"/>
      <c r="BW304" s="505"/>
      <c r="BX304" s="505"/>
      <c r="BY304" s="505"/>
      <c r="BZ304" s="505"/>
      <c r="CA304" s="505"/>
      <c r="CB304" s="505"/>
      <c r="CC304" s="505"/>
      <c r="CD304" s="505"/>
      <c r="CE304" s="505"/>
      <c r="CF304" s="505"/>
      <c r="CG304" s="505"/>
      <c r="CH304" s="505"/>
      <c r="CI304" s="505"/>
      <c r="CJ304" s="505"/>
      <c r="CK304" s="505"/>
      <c r="CL304" s="505"/>
      <c r="CM304" s="505"/>
      <c r="CN304" s="505"/>
      <c r="CO304" s="505"/>
      <c r="CP304" s="505"/>
      <c r="CQ304" s="505"/>
      <c r="CR304" s="505"/>
      <c r="CS304" s="505"/>
      <c r="CT304" s="505"/>
      <c r="CU304" s="505"/>
      <c r="CV304" s="505"/>
      <c r="CW304" s="505"/>
      <c r="CX304" s="505"/>
      <c r="CY304" s="505"/>
      <c r="CZ304" s="505"/>
      <c r="DA304" s="505"/>
      <c r="DB304" s="505"/>
      <c r="DC304" s="505"/>
      <c r="DD304" s="505"/>
      <c r="DE304" s="505"/>
      <c r="DF304" s="505"/>
      <c r="DG304" s="505"/>
      <c r="DH304" s="505"/>
      <c r="DI304" s="505"/>
      <c r="DJ304" s="505"/>
      <c r="DK304" s="505"/>
      <c r="DL304" s="505"/>
      <c r="DM304" s="505"/>
      <c r="DN304" s="505"/>
      <c r="DO304" s="505"/>
      <c r="DP304" s="505"/>
    </row>
    <row r="305" spans="1:120" hidden="1" outlineLevel="1" x14ac:dyDescent="0.2">
      <c r="A305" s="517">
        <f t="shared" si="49"/>
        <v>38626</v>
      </c>
      <c r="B305" s="517" t="str">
        <f t="shared" si="46"/>
        <v>4Q05</v>
      </c>
      <c r="C305" s="517" t="str">
        <f t="shared" si="50"/>
        <v>4Q05</v>
      </c>
      <c r="D305" s="518">
        <f t="shared" si="51"/>
        <v>38688</v>
      </c>
      <c r="E305" s="518">
        <f t="shared" si="51"/>
        <v>38628</v>
      </c>
      <c r="F305" s="520">
        <v>3.1439999999999997</v>
      </c>
      <c r="G305" s="521">
        <f t="shared" si="47"/>
        <v>0.40000000000000019</v>
      </c>
      <c r="H305" s="521">
        <f t="shared" si="48"/>
        <v>0.4100000000000002</v>
      </c>
      <c r="I305" s="505"/>
      <c r="J305" s="505"/>
      <c r="K305" s="505"/>
      <c r="L305" s="505"/>
      <c r="M305" s="528"/>
      <c r="N305" s="505"/>
      <c r="O305" s="505"/>
      <c r="P305" s="505"/>
      <c r="Q305" s="505"/>
      <c r="R305" s="505"/>
      <c r="S305" s="505"/>
      <c r="T305" s="505"/>
      <c r="U305" s="505"/>
      <c r="V305" s="505"/>
      <c r="W305" s="505"/>
      <c r="X305" s="505"/>
      <c r="Y305" s="505"/>
      <c r="Z305" s="505"/>
      <c r="AA305" s="505"/>
      <c r="AB305" s="505"/>
      <c r="AC305" s="505"/>
      <c r="AD305" s="505"/>
      <c r="AE305" s="505"/>
      <c r="AF305" s="505"/>
      <c r="AG305" s="505"/>
      <c r="AH305" s="505"/>
      <c r="AI305" s="505"/>
      <c r="AJ305" s="505"/>
      <c r="AK305" s="505"/>
      <c r="AL305" s="505"/>
      <c r="AM305" s="505"/>
      <c r="AN305" s="505"/>
      <c r="AO305" s="505"/>
      <c r="AP305" s="505"/>
      <c r="AQ305" s="505"/>
      <c r="AR305" s="505"/>
      <c r="AS305" s="505"/>
      <c r="AT305" s="505"/>
      <c r="AU305" s="505"/>
      <c r="AV305" s="505"/>
      <c r="AW305" s="505"/>
      <c r="AX305" s="505"/>
      <c r="AY305" s="505"/>
      <c r="AZ305" s="505"/>
      <c r="BA305" s="505"/>
      <c r="BB305" s="505"/>
      <c r="BC305" s="505"/>
      <c r="BD305" s="505"/>
      <c r="BE305" s="505"/>
      <c r="BF305" s="505"/>
      <c r="BG305" s="505"/>
      <c r="BH305" s="505"/>
      <c r="BI305" s="505"/>
      <c r="BJ305" s="505"/>
      <c r="BK305" s="505"/>
      <c r="BL305" s="505"/>
      <c r="BM305" s="505"/>
      <c r="BN305" s="505"/>
      <c r="BO305" s="505"/>
      <c r="BP305" s="505"/>
      <c r="BQ305" s="505"/>
      <c r="BR305" s="505"/>
      <c r="BS305" s="505"/>
      <c r="BT305" s="505"/>
      <c r="BU305" s="505"/>
      <c r="BV305" s="505"/>
      <c r="BW305" s="505"/>
      <c r="BX305" s="505"/>
      <c r="BY305" s="505"/>
      <c r="BZ305" s="505"/>
      <c r="CA305" s="505"/>
      <c r="CB305" s="505"/>
      <c r="CC305" s="505"/>
      <c r="CD305" s="505"/>
      <c r="CE305" s="505"/>
      <c r="CF305" s="505"/>
      <c r="CG305" s="505"/>
      <c r="CH305" s="505"/>
      <c r="CI305" s="505"/>
      <c r="CJ305" s="505"/>
      <c r="CK305" s="505"/>
      <c r="CL305" s="505"/>
      <c r="CM305" s="505"/>
      <c r="CN305" s="505"/>
      <c r="CO305" s="505"/>
      <c r="CP305" s="505"/>
      <c r="CQ305" s="505"/>
      <c r="CR305" s="505"/>
      <c r="CS305" s="505"/>
      <c r="CT305" s="505"/>
      <c r="CU305" s="505"/>
      <c r="CV305" s="505"/>
      <c r="CW305" s="505"/>
      <c r="CX305" s="505"/>
      <c r="CY305" s="505"/>
      <c r="CZ305" s="505"/>
      <c r="DA305" s="505"/>
      <c r="DB305" s="505"/>
      <c r="DC305" s="505"/>
      <c r="DD305" s="505"/>
      <c r="DE305" s="505"/>
      <c r="DF305" s="505"/>
      <c r="DG305" s="505"/>
      <c r="DH305" s="505"/>
      <c r="DI305" s="505"/>
      <c r="DJ305" s="505"/>
      <c r="DK305" s="505"/>
      <c r="DL305" s="505"/>
      <c r="DM305" s="505"/>
      <c r="DN305" s="505"/>
      <c r="DO305" s="505"/>
      <c r="DP305" s="505"/>
    </row>
    <row r="306" spans="1:120" hidden="1" outlineLevel="1" x14ac:dyDescent="0.2">
      <c r="A306" s="517">
        <f t="shared" si="49"/>
        <v>38626</v>
      </c>
      <c r="B306" s="517" t="str">
        <f t="shared" si="46"/>
        <v>4Q05</v>
      </c>
      <c r="C306" s="517" t="str">
        <f t="shared" si="50"/>
        <v>4Q05</v>
      </c>
      <c r="D306" s="518">
        <f t="shared" si="51"/>
        <v>38695</v>
      </c>
      <c r="E306" s="518">
        <f t="shared" si="51"/>
        <v>38635</v>
      </c>
      <c r="F306" s="520">
        <v>3.15</v>
      </c>
      <c r="G306" s="521">
        <f t="shared" si="47"/>
        <v>0.4100000000000002</v>
      </c>
      <c r="H306" s="521">
        <f t="shared" si="48"/>
        <v>0.40000000000000019</v>
      </c>
      <c r="I306" s="505"/>
      <c r="J306" s="505"/>
      <c r="K306" s="505"/>
      <c r="L306" s="505"/>
      <c r="M306" s="528"/>
      <c r="N306" s="505"/>
      <c r="O306" s="505"/>
      <c r="P306" s="505"/>
      <c r="Q306" s="505"/>
      <c r="R306" s="505"/>
      <c r="S306" s="505"/>
      <c r="T306" s="505"/>
      <c r="U306" s="505"/>
      <c r="V306" s="505"/>
      <c r="W306" s="505"/>
      <c r="X306" s="505"/>
      <c r="Y306" s="505"/>
      <c r="Z306" s="505"/>
      <c r="AA306" s="505"/>
      <c r="AB306" s="505"/>
      <c r="AC306" s="505"/>
      <c r="AD306" s="505"/>
      <c r="AE306" s="505"/>
      <c r="AF306" s="505"/>
      <c r="AG306" s="505"/>
      <c r="AH306" s="505"/>
      <c r="AI306" s="505"/>
      <c r="AJ306" s="505"/>
      <c r="AK306" s="505"/>
      <c r="AL306" s="505"/>
      <c r="AM306" s="505"/>
      <c r="AN306" s="505"/>
      <c r="AO306" s="505"/>
      <c r="AP306" s="505"/>
      <c r="AQ306" s="505"/>
      <c r="AR306" s="505"/>
      <c r="AS306" s="505"/>
      <c r="AT306" s="505"/>
      <c r="AU306" s="505"/>
      <c r="AV306" s="505"/>
      <c r="AW306" s="505"/>
      <c r="AX306" s="505"/>
      <c r="AY306" s="505"/>
      <c r="AZ306" s="505"/>
      <c r="BA306" s="505"/>
      <c r="BB306" s="505"/>
      <c r="BC306" s="505"/>
      <c r="BD306" s="505"/>
      <c r="BE306" s="505"/>
      <c r="BF306" s="505"/>
      <c r="BG306" s="505"/>
      <c r="BH306" s="505"/>
      <c r="BI306" s="505"/>
      <c r="BJ306" s="505"/>
      <c r="BK306" s="505"/>
      <c r="BL306" s="505"/>
      <c r="BM306" s="505"/>
      <c r="BN306" s="505"/>
      <c r="BO306" s="505"/>
      <c r="BP306" s="505"/>
      <c r="BQ306" s="505"/>
      <c r="BR306" s="505"/>
      <c r="BS306" s="505"/>
      <c r="BT306" s="505"/>
      <c r="BU306" s="505"/>
      <c r="BV306" s="505"/>
      <c r="BW306" s="505"/>
      <c r="BX306" s="505"/>
      <c r="BY306" s="505"/>
      <c r="BZ306" s="505"/>
      <c r="CA306" s="505"/>
      <c r="CB306" s="505"/>
      <c r="CC306" s="505"/>
      <c r="CD306" s="505"/>
      <c r="CE306" s="505"/>
      <c r="CF306" s="505"/>
      <c r="CG306" s="505"/>
      <c r="CH306" s="505"/>
      <c r="CI306" s="505"/>
      <c r="CJ306" s="505"/>
      <c r="CK306" s="505"/>
      <c r="CL306" s="505"/>
      <c r="CM306" s="505"/>
      <c r="CN306" s="505"/>
      <c r="CO306" s="505"/>
      <c r="CP306" s="505"/>
      <c r="CQ306" s="505"/>
      <c r="CR306" s="505"/>
      <c r="CS306" s="505"/>
      <c r="CT306" s="505"/>
      <c r="CU306" s="505"/>
      <c r="CV306" s="505"/>
      <c r="CW306" s="505"/>
      <c r="CX306" s="505"/>
      <c r="CY306" s="505"/>
      <c r="CZ306" s="505"/>
      <c r="DA306" s="505"/>
      <c r="DB306" s="505"/>
      <c r="DC306" s="505"/>
      <c r="DD306" s="505"/>
      <c r="DE306" s="505"/>
      <c r="DF306" s="505"/>
      <c r="DG306" s="505"/>
      <c r="DH306" s="505"/>
      <c r="DI306" s="505"/>
      <c r="DJ306" s="505"/>
      <c r="DK306" s="505"/>
      <c r="DL306" s="505"/>
      <c r="DM306" s="505"/>
      <c r="DN306" s="505"/>
      <c r="DO306" s="505"/>
      <c r="DP306" s="505"/>
    </row>
    <row r="307" spans="1:120" hidden="1" outlineLevel="1" x14ac:dyDescent="0.2">
      <c r="A307" s="517">
        <f t="shared" si="49"/>
        <v>38626</v>
      </c>
      <c r="B307" s="517" t="str">
        <f t="shared" si="46"/>
        <v>4Q05</v>
      </c>
      <c r="C307" s="517" t="str">
        <f t="shared" si="50"/>
        <v>4Q05</v>
      </c>
      <c r="D307" s="518">
        <f t="shared" si="51"/>
        <v>38702</v>
      </c>
      <c r="E307" s="518">
        <f t="shared" si="51"/>
        <v>38642</v>
      </c>
      <c r="F307" s="520">
        <v>3.1480000000000001</v>
      </c>
      <c r="G307" s="521">
        <f t="shared" si="47"/>
        <v>0.40000000000000019</v>
      </c>
      <c r="H307" s="521">
        <f t="shared" si="48"/>
        <v>0.4100000000000002</v>
      </c>
      <c r="I307" s="505"/>
      <c r="J307" s="505"/>
      <c r="K307" s="505"/>
      <c r="L307" s="505"/>
      <c r="M307" s="528"/>
      <c r="N307" s="505"/>
      <c r="O307" s="505"/>
      <c r="P307" s="505"/>
      <c r="Q307" s="505"/>
      <c r="R307" s="505"/>
      <c r="S307" s="505"/>
      <c r="T307" s="505"/>
      <c r="U307" s="505"/>
      <c r="V307" s="505"/>
      <c r="W307" s="505"/>
      <c r="X307" s="505"/>
      <c r="Y307" s="505"/>
      <c r="Z307" s="505"/>
      <c r="AA307" s="505"/>
      <c r="AB307" s="505"/>
      <c r="AC307" s="505"/>
      <c r="AD307" s="505"/>
      <c r="AE307" s="505"/>
      <c r="AF307" s="505"/>
      <c r="AG307" s="505"/>
      <c r="AH307" s="505"/>
      <c r="AI307" s="505"/>
      <c r="AJ307" s="505"/>
      <c r="AK307" s="505"/>
      <c r="AL307" s="505"/>
      <c r="AM307" s="505"/>
      <c r="AN307" s="505"/>
      <c r="AO307" s="505"/>
      <c r="AP307" s="505"/>
      <c r="AQ307" s="505"/>
      <c r="AR307" s="505"/>
      <c r="AS307" s="505"/>
      <c r="AT307" s="505"/>
      <c r="AU307" s="505"/>
      <c r="AV307" s="505"/>
      <c r="AW307" s="505"/>
      <c r="AX307" s="505"/>
      <c r="AY307" s="505"/>
      <c r="AZ307" s="505"/>
      <c r="BA307" s="505"/>
      <c r="BB307" s="505"/>
      <c r="BC307" s="505"/>
      <c r="BD307" s="505"/>
      <c r="BE307" s="505"/>
      <c r="BF307" s="505"/>
      <c r="BG307" s="505"/>
      <c r="BH307" s="505"/>
      <c r="BI307" s="505"/>
      <c r="BJ307" s="505"/>
      <c r="BK307" s="505"/>
      <c r="BL307" s="505"/>
      <c r="BM307" s="505"/>
      <c r="BN307" s="505"/>
      <c r="BO307" s="505"/>
      <c r="BP307" s="505"/>
      <c r="BQ307" s="505"/>
      <c r="BR307" s="505"/>
      <c r="BS307" s="505"/>
      <c r="BT307" s="505"/>
      <c r="BU307" s="505"/>
      <c r="BV307" s="505"/>
      <c r="BW307" s="505"/>
      <c r="BX307" s="505"/>
      <c r="BY307" s="505"/>
      <c r="BZ307" s="505"/>
      <c r="CA307" s="505"/>
      <c r="CB307" s="505"/>
      <c r="CC307" s="505"/>
      <c r="CD307" s="505"/>
      <c r="CE307" s="505"/>
      <c r="CF307" s="505"/>
      <c r="CG307" s="505"/>
      <c r="CH307" s="505"/>
      <c r="CI307" s="505"/>
      <c r="CJ307" s="505"/>
      <c r="CK307" s="505"/>
      <c r="CL307" s="505"/>
      <c r="CM307" s="505"/>
      <c r="CN307" s="505"/>
      <c r="CO307" s="505"/>
      <c r="CP307" s="505"/>
      <c r="CQ307" s="505"/>
      <c r="CR307" s="505"/>
      <c r="CS307" s="505"/>
      <c r="CT307" s="505"/>
      <c r="CU307" s="505"/>
      <c r="CV307" s="505"/>
      <c r="CW307" s="505"/>
      <c r="CX307" s="505"/>
      <c r="CY307" s="505"/>
      <c r="CZ307" s="505"/>
      <c r="DA307" s="505"/>
      <c r="DB307" s="505"/>
      <c r="DC307" s="505"/>
      <c r="DD307" s="505"/>
      <c r="DE307" s="505"/>
      <c r="DF307" s="505"/>
      <c r="DG307" s="505"/>
      <c r="DH307" s="505"/>
      <c r="DI307" s="505"/>
      <c r="DJ307" s="505"/>
      <c r="DK307" s="505"/>
      <c r="DL307" s="505"/>
      <c r="DM307" s="505"/>
      <c r="DN307" s="505"/>
      <c r="DO307" s="505"/>
      <c r="DP307" s="505"/>
    </row>
    <row r="308" spans="1:120" hidden="1" outlineLevel="1" x14ac:dyDescent="0.2">
      <c r="A308" s="517">
        <f t="shared" si="49"/>
        <v>38626</v>
      </c>
      <c r="B308" s="517" t="str">
        <f t="shared" si="46"/>
        <v>4Q05</v>
      </c>
      <c r="C308" s="517" t="str">
        <f t="shared" si="50"/>
        <v>4Q05</v>
      </c>
      <c r="D308" s="518">
        <f t="shared" si="51"/>
        <v>38709</v>
      </c>
      <c r="E308" s="518">
        <f t="shared" si="51"/>
        <v>38649</v>
      </c>
      <c r="F308" s="520">
        <v>3.157</v>
      </c>
      <c r="G308" s="521">
        <f t="shared" si="47"/>
        <v>0.4100000000000002</v>
      </c>
      <c r="H308" s="521">
        <f t="shared" si="48"/>
        <v>0.35000000000000014</v>
      </c>
      <c r="I308" s="505"/>
      <c r="J308" s="505"/>
      <c r="K308" s="505"/>
      <c r="L308" s="505"/>
      <c r="M308" s="528"/>
      <c r="N308" s="505"/>
      <c r="O308" s="505"/>
      <c r="P308" s="505"/>
      <c r="Q308" s="505"/>
      <c r="R308" s="505"/>
      <c r="S308" s="505"/>
      <c r="T308" s="505"/>
      <c r="U308" s="505"/>
      <c r="V308" s="505"/>
      <c r="W308" s="505"/>
      <c r="X308" s="505"/>
      <c r="Y308" s="505"/>
      <c r="Z308" s="505"/>
      <c r="AA308" s="505"/>
      <c r="AB308" s="505"/>
      <c r="AC308" s="505"/>
      <c r="AD308" s="505"/>
      <c r="AE308" s="505"/>
      <c r="AF308" s="505"/>
      <c r="AG308" s="505"/>
      <c r="AH308" s="505"/>
      <c r="AI308" s="505"/>
      <c r="AJ308" s="505"/>
      <c r="AK308" s="505"/>
      <c r="AL308" s="505"/>
      <c r="AM308" s="505"/>
      <c r="AN308" s="505"/>
      <c r="AO308" s="505"/>
      <c r="AP308" s="505"/>
      <c r="AQ308" s="505"/>
      <c r="AR308" s="505"/>
      <c r="AS308" s="505"/>
      <c r="AT308" s="505"/>
      <c r="AU308" s="505"/>
      <c r="AV308" s="505"/>
      <c r="AW308" s="505"/>
      <c r="AX308" s="505"/>
      <c r="AY308" s="505"/>
      <c r="AZ308" s="505"/>
      <c r="BA308" s="505"/>
      <c r="BB308" s="505"/>
      <c r="BC308" s="505"/>
      <c r="BD308" s="505"/>
      <c r="BE308" s="505"/>
      <c r="BF308" s="505"/>
      <c r="BG308" s="505"/>
      <c r="BH308" s="505"/>
      <c r="BI308" s="505"/>
      <c r="BJ308" s="505"/>
      <c r="BK308" s="505"/>
      <c r="BL308" s="505"/>
      <c r="BM308" s="505"/>
      <c r="BN308" s="505"/>
      <c r="BO308" s="505"/>
      <c r="BP308" s="505"/>
      <c r="BQ308" s="505"/>
      <c r="BR308" s="505"/>
      <c r="BS308" s="505"/>
      <c r="BT308" s="505"/>
      <c r="BU308" s="505"/>
      <c r="BV308" s="505"/>
      <c r="BW308" s="505"/>
      <c r="BX308" s="505"/>
      <c r="BY308" s="505"/>
      <c r="BZ308" s="505"/>
      <c r="CA308" s="505"/>
      <c r="CB308" s="505"/>
      <c r="CC308" s="505"/>
      <c r="CD308" s="505"/>
      <c r="CE308" s="505"/>
      <c r="CF308" s="505"/>
      <c r="CG308" s="505"/>
      <c r="CH308" s="505"/>
      <c r="CI308" s="505"/>
      <c r="CJ308" s="505"/>
      <c r="CK308" s="505"/>
      <c r="CL308" s="505"/>
      <c r="CM308" s="505"/>
      <c r="CN308" s="505"/>
      <c r="CO308" s="505"/>
      <c r="CP308" s="505"/>
      <c r="CQ308" s="505"/>
      <c r="CR308" s="505"/>
      <c r="CS308" s="505"/>
      <c r="CT308" s="505"/>
      <c r="CU308" s="505"/>
      <c r="CV308" s="505"/>
      <c r="CW308" s="505"/>
      <c r="CX308" s="505"/>
      <c r="CY308" s="505"/>
      <c r="CZ308" s="505"/>
      <c r="DA308" s="505"/>
      <c r="DB308" s="505"/>
      <c r="DC308" s="505"/>
      <c r="DD308" s="505"/>
      <c r="DE308" s="505"/>
      <c r="DF308" s="505"/>
      <c r="DG308" s="505"/>
      <c r="DH308" s="505"/>
      <c r="DI308" s="505"/>
      <c r="DJ308" s="505"/>
      <c r="DK308" s="505"/>
      <c r="DL308" s="505"/>
      <c r="DM308" s="505"/>
      <c r="DN308" s="505"/>
      <c r="DO308" s="505"/>
      <c r="DP308" s="505"/>
    </row>
    <row r="309" spans="1:120" hidden="1" outlineLevel="1" x14ac:dyDescent="0.2">
      <c r="A309" s="517">
        <f t="shared" si="49"/>
        <v>38626</v>
      </c>
      <c r="B309" s="517" t="str">
        <f t="shared" si="46"/>
        <v>4Q05</v>
      </c>
      <c r="C309" s="517" t="str">
        <f t="shared" si="50"/>
        <v>4Q05</v>
      </c>
      <c r="D309" s="518">
        <f t="shared" si="51"/>
        <v>38716</v>
      </c>
      <c r="E309" s="518">
        <f t="shared" si="51"/>
        <v>38656</v>
      </c>
      <c r="F309" s="520">
        <v>2.8760000000000003</v>
      </c>
      <c r="G309" s="521">
        <f t="shared" si="47"/>
        <v>0.35000000000000014</v>
      </c>
      <c r="H309" s="521">
        <f t="shared" si="48"/>
        <v>0.31000000000000011</v>
      </c>
      <c r="I309" s="505"/>
      <c r="J309" s="505"/>
      <c r="K309" s="505"/>
      <c r="L309" s="505"/>
      <c r="M309" s="528"/>
      <c r="N309" s="505"/>
      <c r="O309" s="505"/>
      <c r="P309" s="505"/>
      <c r="Q309" s="505"/>
      <c r="R309" s="505"/>
      <c r="S309" s="505"/>
      <c r="T309" s="505"/>
      <c r="U309" s="505"/>
      <c r="V309" s="505"/>
      <c r="W309" s="505"/>
      <c r="X309" s="505"/>
      <c r="Y309" s="505"/>
      <c r="Z309" s="505"/>
      <c r="AA309" s="505"/>
      <c r="AB309" s="505"/>
      <c r="AC309" s="505"/>
      <c r="AD309" s="505"/>
      <c r="AE309" s="505"/>
      <c r="AF309" s="505"/>
      <c r="AG309" s="505"/>
      <c r="AH309" s="505"/>
      <c r="AI309" s="505"/>
      <c r="AJ309" s="505"/>
      <c r="AK309" s="505"/>
      <c r="AL309" s="505"/>
      <c r="AM309" s="505"/>
      <c r="AN309" s="505"/>
      <c r="AO309" s="505"/>
      <c r="AP309" s="505"/>
      <c r="AQ309" s="505"/>
      <c r="AR309" s="505"/>
      <c r="AS309" s="505"/>
      <c r="AT309" s="505"/>
      <c r="AU309" s="505"/>
      <c r="AV309" s="505"/>
      <c r="AW309" s="505"/>
      <c r="AX309" s="505"/>
      <c r="AY309" s="505"/>
      <c r="AZ309" s="505"/>
      <c r="BA309" s="505"/>
      <c r="BB309" s="505"/>
      <c r="BC309" s="505"/>
      <c r="BD309" s="505"/>
      <c r="BE309" s="505"/>
      <c r="BF309" s="505"/>
      <c r="BG309" s="505"/>
      <c r="BH309" s="505"/>
      <c r="BI309" s="505"/>
      <c r="BJ309" s="505"/>
      <c r="BK309" s="505"/>
      <c r="BL309" s="505"/>
      <c r="BM309" s="505"/>
      <c r="BN309" s="505"/>
      <c r="BO309" s="505"/>
      <c r="BP309" s="505"/>
      <c r="BQ309" s="505"/>
      <c r="BR309" s="505"/>
      <c r="BS309" s="505"/>
      <c r="BT309" s="505"/>
      <c r="BU309" s="505"/>
      <c r="BV309" s="505"/>
      <c r="BW309" s="505"/>
      <c r="BX309" s="505"/>
      <c r="BY309" s="505"/>
      <c r="BZ309" s="505"/>
      <c r="CA309" s="505"/>
      <c r="CB309" s="505"/>
      <c r="CC309" s="505"/>
      <c r="CD309" s="505"/>
      <c r="CE309" s="505"/>
      <c r="CF309" s="505"/>
      <c r="CG309" s="505"/>
      <c r="CH309" s="505"/>
      <c r="CI309" s="505"/>
      <c r="CJ309" s="505"/>
      <c r="CK309" s="505"/>
      <c r="CL309" s="505"/>
      <c r="CM309" s="505"/>
      <c r="CN309" s="505"/>
      <c r="CO309" s="505"/>
      <c r="CP309" s="505"/>
      <c r="CQ309" s="505"/>
      <c r="CR309" s="505"/>
      <c r="CS309" s="505"/>
      <c r="CT309" s="505"/>
      <c r="CU309" s="505"/>
      <c r="CV309" s="505"/>
      <c r="CW309" s="505"/>
      <c r="CX309" s="505"/>
      <c r="CY309" s="505"/>
      <c r="CZ309" s="505"/>
      <c r="DA309" s="505"/>
      <c r="DB309" s="505"/>
      <c r="DC309" s="505"/>
      <c r="DD309" s="505"/>
      <c r="DE309" s="505"/>
      <c r="DF309" s="505"/>
      <c r="DG309" s="505"/>
      <c r="DH309" s="505"/>
      <c r="DI309" s="505"/>
      <c r="DJ309" s="505"/>
      <c r="DK309" s="505"/>
      <c r="DL309" s="505"/>
      <c r="DM309" s="505"/>
      <c r="DN309" s="505"/>
      <c r="DO309" s="505"/>
      <c r="DP309" s="505"/>
    </row>
    <row r="310" spans="1:120" hidden="1" outlineLevel="1" x14ac:dyDescent="0.2">
      <c r="A310" s="517">
        <f t="shared" si="49"/>
        <v>38657</v>
      </c>
      <c r="B310" s="517" t="str">
        <f t="shared" si="46"/>
        <v>4Q05</v>
      </c>
      <c r="C310" s="517" t="str">
        <f t="shared" si="50"/>
        <v>1Q06</v>
      </c>
      <c r="D310" s="518">
        <f t="shared" si="51"/>
        <v>38723</v>
      </c>
      <c r="E310" s="518">
        <f t="shared" si="51"/>
        <v>38663</v>
      </c>
      <c r="F310" s="520">
        <v>2.698</v>
      </c>
      <c r="G310" s="521">
        <f t="shared" si="47"/>
        <v>0.31000000000000011</v>
      </c>
      <c r="H310" s="521">
        <f t="shared" si="48"/>
        <v>0.3000000000000001</v>
      </c>
      <c r="I310" s="505"/>
      <c r="J310" s="505"/>
      <c r="K310" s="505"/>
      <c r="L310" s="505"/>
      <c r="M310" s="528"/>
      <c r="N310" s="505"/>
      <c r="O310" s="505"/>
      <c r="P310" s="505"/>
      <c r="Q310" s="505"/>
      <c r="R310" s="505"/>
      <c r="S310" s="505"/>
      <c r="T310" s="505"/>
      <c r="U310" s="505"/>
      <c r="V310" s="505"/>
      <c r="W310" s="505"/>
      <c r="X310" s="505"/>
      <c r="Y310" s="505"/>
      <c r="Z310" s="505"/>
      <c r="AA310" s="505"/>
      <c r="AB310" s="505"/>
      <c r="AC310" s="505"/>
      <c r="AD310" s="505"/>
      <c r="AE310" s="505"/>
      <c r="AF310" s="505"/>
      <c r="AG310" s="505"/>
      <c r="AH310" s="505"/>
      <c r="AI310" s="505"/>
      <c r="AJ310" s="505"/>
      <c r="AK310" s="505"/>
      <c r="AL310" s="505"/>
      <c r="AM310" s="505"/>
      <c r="AN310" s="505"/>
      <c r="AO310" s="505"/>
      <c r="AP310" s="505"/>
      <c r="AQ310" s="505"/>
      <c r="AR310" s="505"/>
      <c r="AS310" s="505"/>
      <c r="AT310" s="505"/>
      <c r="AU310" s="505"/>
      <c r="AV310" s="505"/>
      <c r="AW310" s="505"/>
      <c r="AX310" s="505"/>
      <c r="AY310" s="505"/>
      <c r="AZ310" s="505"/>
      <c r="BA310" s="505"/>
      <c r="BB310" s="505"/>
      <c r="BC310" s="505"/>
      <c r="BD310" s="505"/>
      <c r="BE310" s="505"/>
      <c r="BF310" s="505"/>
      <c r="BG310" s="505"/>
      <c r="BH310" s="505"/>
      <c r="BI310" s="505"/>
      <c r="BJ310" s="505"/>
      <c r="BK310" s="505"/>
      <c r="BL310" s="505"/>
      <c r="BM310" s="505"/>
      <c r="BN310" s="505"/>
      <c r="BO310" s="505"/>
      <c r="BP310" s="505"/>
      <c r="BQ310" s="505"/>
      <c r="BR310" s="505"/>
      <c r="BS310" s="505"/>
      <c r="BT310" s="505"/>
      <c r="BU310" s="505"/>
      <c r="BV310" s="505"/>
      <c r="BW310" s="505"/>
      <c r="BX310" s="505"/>
      <c r="BY310" s="505"/>
      <c r="BZ310" s="505"/>
      <c r="CA310" s="505"/>
      <c r="CB310" s="505"/>
      <c r="CC310" s="505"/>
      <c r="CD310" s="505"/>
      <c r="CE310" s="505"/>
      <c r="CF310" s="505"/>
      <c r="CG310" s="505"/>
      <c r="CH310" s="505"/>
      <c r="CI310" s="505"/>
      <c r="CJ310" s="505"/>
      <c r="CK310" s="505"/>
      <c r="CL310" s="505"/>
      <c r="CM310" s="505"/>
      <c r="CN310" s="505"/>
      <c r="CO310" s="505"/>
      <c r="CP310" s="505"/>
      <c r="CQ310" s="505"/>
      <c r="CR310" s="505"/>
      <c r="CS310" s="505"/>
      <c r="CT310" s="505"/>
      <c r="CU310" s="505"/>
      <c r="CV310" s="505"/>
      <c r="CW310" s="505"/>
      <c r="CX310" s="505"/>
      <c r="CY310" s="505"/>
      <c r="CZ310" s="505"/>
      <c r="DA310" s="505"/>
      <c r="DB310" s="505"/>
      <c r="DC310" s="505"/>
      <c r="DD310" s="505"/>
      <c r="DE310" s="505"/>
      <c r="DF310" s="505"/>
      <c r="DG310" s="505"/>
      <c r="DH310" s="505"/>
      <c r="DI310" s="505"/>
      <c r="DJ310" s="505"/>
      <c r="DK310" s="505"/>
      <c r="DL310" s="505"/>
      <c r="DM310" s="505"/>
      <c r="DN310" s="505"/>
      <c r="DO310" s="505"/>
      <c r="DP310" s="505"/>
    </row>
    <row r="311" spans="1:120" hidden="1" outlineLevel="1" x14ac:dyDescent="0.2">
      <c r="A311" s="517">
        <f t="shared" si="49"/>
        <v>38657</v>
      </c>
      <c r="B311" s="517" t="str">
        <f t="shared" si="46"/>
        <v>4Q05</v>
      </c>
      <c r="C311" s="517" t="str">
        <f t="shared" si="50"/>
        <v>1Q06</v>
      </c>
      <c r="D311" s="518">
        <f t="shared" si="51"/>
        <v>38730</v>
      </c>
      <c r="E311" s="518">
        <f t="shared" si="51"/>
        <v>38670</v>
      </c>
      <c r="F311" s="520">
        <v>2.6019999999999999</v>
      </c>
      <c r="G311" s="521">
        <f t="shared" si="47"/>
        <v>0.3000000000000001</v>
      </c>
      <c r="H311" s="521">
        <f t="shared" si="48"/>
        <v>0.28000000000000008</v>
      </c>
      <c r="I311" s="505"/>
      <c r="J311" s="505"/>
      <c r="K311" s="505"/>
      <c r="L311" s="505"/>
      <c r="M311" s="528"/>
      <c r="N311" s="505"/>
      <c r="O311" s="505"/>
      <c r="P311" s="505"/>
      <c r="Q311" s="505"/>
      <c r="R311" s="505"/>
      <c r="S311" s="505"/>
      <c r="T311" s="505"/>
      <c r="U311" s="505"/>
      <c r="V311" s="505"/>
      <c r="W311" s="505"/>
      <c r="X311" s="505"/>
      <c r="Y311" s="505"/>
      <c r="Z311" s="505"/>
      <c r="AA311" s="505"/>
      <c r="AB311" s="505"/>
      <c r="AC311" s="505"/>
      <c r="AD311" s="505"/>
      <c r="AE311" s="505"/>
      <c r="AF311" s="505"/>
      <c r="AG311" s="505"/>
      <c r="AH311" s="505"/>
      <c r="AI311" s="505"/>
      <c r="AJ311" s="505"/>
      <c r="AK311" s="505"/>
      <c r="AL311" s="505"/>
      <c r="AM311" s="505"/>
      <c r="AN311" s="505"/>
      <c r="AO311" s="505"/>
      <c r="AP311" s="505"/>
      <c r="AQ311" s="505"/>
      <c r="AR311" s="505"/>
      <c r="AS311" s="505"/>
      <c r="AT311" s="505"/>
      <c r="AU311" s="505"/>
      <c r="AV311" s="505"/>
      <c r="AW311" s="505"/>
      <c r="AX311" s="505"/>
      <c r="AY311" s="505"/>
      <c r="AZ311" s="505"/>
      <c r="BA311" s="505"/>
      <c r="BB311" s="505"/>
      <c r="BC311" s="505"/>
      <c r="BD311" s="505"/>
      <c r="BE311" s="505"/>
      <c r="BF311" s="505"/>
      <c r="BG311" s="505"/>
      <c r="BH311" s="505"/>
      <c r="BI311" s="505"/>
      <c r="BJ311" s="505"/>
      <c r="BK311" s="505"/>
      <c r="BL311" s="505"/>
      <c r="BM311" s="505"/>
      <c r="BN311" s="505"/>
      <c r="BO311" s="505"/>
      <c r="BP311" s="505"/>
      <c r="BQ311" s="505"/>
      <c r="BR311" s="505"/>
      <c r="BS311" s="505"/>
      <c r="BT311" s="505"/>
      <c r="BU311" s="505"/>
      <c r="BV311" s="505"/>
      <c r="BW311" s="505"/>
      <c r="BX311" s="505"/>
      <c r="BY311" s="505"/>
      <c r="BZ311" s="505"/>
      <c r="CA311" s="505"/>
      <c r="CB311" s="505"/>
      <c r="CC311" s="505"/>
      <c r="CD311" s="505"/>
      <c r="CE311" s="505"/>
      <c r="CF311" s="505"/>
      <c r="CG311" s="505"/>
      <c r="CH311" s="505"/>
      <c r="CI311" s="505"/>
      <c r="CJ311" s="505"/>
      <c r="CK311" s="505"/>
      <c r="CL311" s="505"/>
      <c r="CM311" s="505"/>
      <c r="CN311" s="505"/>
      <c r="CO311" s="505"/>
      <c r="CP311" s="505"/>
      <c r="CQ311" s="505"/>
      <c r="CR311" s="505"/>
      <c r="CS311" s="505"/>
      <c r="CT311" s="505"/>
      <c r="CU311" s="505"/>
      <c r="CV311" s="505"/>
      <c r="CW311" s="505"/>
      <c r="CX311" s="505"/>
      <c r="CY311" s="505"/>
      <c r="CZ311" s="505"/>
      <c r="DA311" s="505"/>
      <c r="DB311" s="505"/>
      <c r="DC311" s="505"/>
      <c r="DD311" s="505"/>
      <c r="DE311" s="505"/>
      <c r="DF311" s="505"/>
      <c r="DG311" s="505"/>
      <c r="DH311" s="505"/>
      <c r="DI311" s="505"/>
      <c r="DJ311" s="505"/>
      <c r="DK311" s="505"/>
      <c r="DL311" s="505"/>
      <c r="DM311" s="505"/>
      <c r="DN311" s="505"/>
      <c r="DO311" s="505"/>
      <c r="DP311" s="505"/>
    </row>
    <row r="312" spans="1:120" hidden="1" outlineLevel="1" x14ac:dyDescent="0.2">
      <c r="A312" s="517">
        <f t="shared" si="49"/>
        <v>38657</v>
      </c>
      <c r="B312" s="517" t="str">
        <f t="shared" si="46"/>
        <v>4Q05</v>
      </c>
      <c r="C312" s="517" t="str">
        <f t="shared" si="50"/>
        <v>1Q06</v>
      </c>
      <c r="D312" s="518">
        <f t="shared" si="51"/>
        <v>38737</v>
      </c>
      <c r="E312" s="518">
        <f t="shared" si="51"/>
        <v>38677</v>
      </c>
      <c r="F312" s="520">
        <v>2.5129999999999999</v>
      </c>
      <c r="G312" s="521">
        <f t="shared" si="47"/>
        <v>0.28000000000000008</v>
      </c>
      <c r="H312" s="521">
        <f t="shared" si="48"/>
        <v>0.27000000000000007</v>
      </c>
      <c r="I312" s="505"/>
      <c r="J312" s="505"/>
      <c r="K312" s="505"/>
      <c r="L312" s="505"/>
      <c r="M312" s="528"/>
      <c r="N312" s="505"/>
      <c r="O312" s="505"/>
      <c r="P312" s="505"/>
      <c r="Q312" s="505"/>
      <c r="R312" s="505"/>
      <c r="S312" s="505"/>
      <c r="T312" s="505"/>
      <c r="U312" s="505"/>
      <c r="V312" s="505"/>
      <c r="W312" s="505"/>
      <c r="X312" s="505"/>
      <c r="Y312" s="505"/>
      <c r="Z312" s="505"/>
      <c r="AA312" s="505"/>
      <c r="AB312" s="505"/>
      <c r="AC312" s="505"/>
      <c r="AD312" s="505"/>
      <c r="AE312" s="505"/>
      <c r="AF312" s="505"/>
      <c r="AG312" s="505"/>
      <c r="AH312" s="505"/>
      <c r="AI312" s="505"/>
      <c r="AJ312" s="505"/>
      <c r="AK312" s="505"/>
      <c r="AL312" s="505"/>
      <c r="AM312" s="505"/>
      <c r="AN312" s="505"/>
      <c r="AO312" s="505"/>
      <c r="AP312" s="505"/>
      <c r="AQ312" s="505"/>
      <c r="AR312" s="505"/>
      <c r="AS312" s="505"/>
      <c r="AT312" s="505"/>
      <c r="AU312" s="505"/>
      <c r="AV312" s="505"/>
      <c r="AW312" s="505"/>
      <c r="AX312" s="505"/>
      <c r="AY312" s="505"/>
      <c r="AZ312" s="505"/>
      <c r="BA312" s="505"/>
      <c r="BB312" s="505"/>
      <c r="BC312" s="505"/>
      <c r="BD312" s="505"/>
      <c r="BE312" s="505"/>
      <c r="BF312" s="505"/>
      <c r="BG312" s="505"/>
      <c r="BH312" s="505"/>
      <c r="BI312" s="505"/>
      <c r="BJ312" s="505"/>
      <c r="BK312" s="505"/>
      <c r="BL312" s="505"/>
      <c r="BM312" s="505"/>
      <c r="BN312" s="505"/>
      <c r="BO312" s="505"/>
      <c r="BP312" s="505"/>
      <c r="BQ312" s="505"/>
      <c r="BR312" s="505"/>
      <c r="BS312" s="505"/>
      <c r="BT312" s="505"/>
      <c r="BU312" s="505"/>
      <c r="BV312" s="505"/>
      <c r="BW312" s="505"/>
      <c r="BX312" s="505"/>
      <c r="BY312" s="505"/>
      <c r="BZ312" s="505"/>
      <c r="CA312" s="505"/>
      <c r="CB312" s="505"/>
      <c r="CC312" s="505"/>
      <c r="CD312" s="505"/>
      <c r="CE312" s="505"/>
      <c r="CF312" s="505"/>
      <c r="CG312" s="505"/>
      <c r="CH312" s="505"/>
      <c r="CI312" s="505"/>
      <c r="CJ312" s="505"/>
      <c r="CK312" s="505"/>
      <c r="CL312" s="505"/>
      <c r="CM312" s="505"/>
      <c r="CN312" s="505"/>
      <c r="CO312" s="505"/>
      <c r="CP312" s="505"/>
      <c r="CQ312" s="505"/>
      <c r="CR312" s="505"/>
      <c r="CS312" s="505"/>
      <c r="CT312" s="505"/>
      <c r="CU312" s="505"/>
      <c r="CV312" s="505"/>
      <c r="CW312" s="505"/>
      <c r="CX312" s="505"/>
      <c r="CY312" s="505"/>
      <c r="CZ312" s="505"/>
      <c r="DA312" s="505"/>
      <c r="DB312" s="505"/>
      <c r="DC312" s="505"/>
      <c r="DD312" s="505"/>
      <c r="DE312" s="505"/>
      <c r="DF312" s="505"/>
      <c r="DG312" s="505"/>
      <c r="DH312" s="505"/>
      <c r="DI312" s="505"/>
      <c r="DJ312" s="505"/>
      <c r="DK312" s="505"/>
      <c r="DL312" s="505"/>
      <c r="DM312" s="505"/>
      <c r="DN312" s="505"/>
      <c r="DO312" s="505"/>
      <c r="DP312" s="505"/>
    </row>
    <row r="313" spans="1:120" hidden="1" outlineLevel="1" x14ac:dyDescent="0.2">
      <c r="A313" s="517">
        <f t="shared" si="49"/>
        <v>38657</v>
      </c>
      <c r="B313" s="517" t="str">
        <f t="shared" si="46"/>
        <v>4Q05</v>
      </c>
      <c r="C313" s="517" t="str">
        <f t="shared" si="50"/>
        <v>1Q06</v>
      </c>
      <c r="D313" s="518">
        <f t="shared" si="51"/>
        <v>38744</v>
      </c>
      <c r="E313" s="518">
        <f t="shared" si="51"/>
        <v>38684</v>
      </c>
      <c r="F313" s="520">
        <v>2.4790000000000001</v>
      </c>
      <c r="G313" s="521">
        <f t="shared" si="47"/>
        <v>0.27000000000000007</v>
      </c>
      <c r="H313" s="521">
        <f t="shared" si="48"/>
        <v>0.26000000000000006</v>
      </c>
      <c r="I313" s="505"/>
      <c r="J313" s="505"/>
      <c r="K313" s="505"/>
      <c r="L313" s="505"/>
      <c r="M313" s="528"/>
      <c r="N313" s="505"/>
      <c r="O313" s="505"/>
      <c r="P313" s="505"/>
      <c r="Q313" s="505"/>
      <c r="R313" s="505"/>
      <c r="S313" s="505"/>
      <c r="T313" s="505"/>
      <c r="U313" s="505"/>
      <c r="V313" s="505"/>
      <c r="W313" s="505"/>
      <c r="X313" s="505"/>
      <c r="Y313" s="505"/>
      <c r="Z313" s="505"/>
      <c r="AA313" s="505"/>
      <c r="AB313" s="505"/>
      <c r="AC313" s="505"/>
      <c r="AD313" s="505"/>
      <c r="AE313" s="505"/>
      <c r="AF313" s="505"/>
      <c r="AG313" s="505"/>
      <c r="AH313" s="505"/>
      <c r="AI313" s="505"/>
      <c r="AJ313" s="505"/>
      <c r="AK313" s="505"/>
      <c r="AL313" s="505"/>
      <c r="AM313" s="505"/>
      <c r="AN313" s="505"/>
      <c r="AO313" s="505"/>
      <c r="AP313" s="505"/>
      <c r="AQ313" s="505"/>
      <c r="AR313" s="505"/>
      <c r="AS313" s="505"/>
      <c r="AT313" s="505"/>
      <c r="AU313" s="505"/>
      <c r="AV313" s="505"/>
      <c r="AW313" s="505"/>
      <c r="AX313" s="505"/>
      <c r="AY313" s="505"/>
      <c r="AZ313" s="505"/>
      <c r="BA313" s="505"/>
      <c r="BB313" s="505"/>
      <c r="BC313" s="505"/>
      <c r="BD313" s="505"/>
      <c r="BE313" s="505"/>
      <c r="BF313" s="505"/>
      <c r="BG313" s="505"/>
      <c r="BH313" s="505"/>
      <c r="BI313" s="505"/>
      <c r="BJ313" s="505"/>
      <c r="BK313" s="505"/>
      <c r="BL313" s="505"/>
      <c r="BM313" s="505"/>
      <c r="BN313" s="505"/>
      <c r="BO313" s="505"/>
      <c r="BP313" s="505"/>
      <c r="BQ313" s="505"/>
      <c r="BR313" s="505"/>
      <c r="BS313" s="505"/>
      <c r="BT313" s="505"/>
      <c r="BU313" s="505"/>
      <c r="BV313" s="505"/>
      <c r="BW313" s="505"/>
      <c r="BX313" s="505"/>
      <c r="BY313" s="505"/>
      <c r="BZ313" s="505"/>
      <c r="CA313" s="505"/>
      <c r="CB313" s="505"/>
      <c r="CC313" s="505"/>
      <c r="CD313" s="505"/>
      <c r="CE313" s="505"/>
      <c r="CF313" s="505"/>
      <c r="CG313" s="505"/>
      <c r="CH313" s="505"/>
      <c r="CI313" s="505"/>
      <c r="CJ313" s="505"/>
      <c r="CK313" s="505"/>
      <c r="CL313" s="505"/>
      <c r="CM313" s="505"/>
      <c r="CN313" s="505"/>
      <c r="CO313" s="505"/>
      <c r="CP313" s="505"/>
      <c r="CQ313" s="505"/>
      <c r="CR313" s="505"/>
      <c r="CS313" s="505"/>
      <c r="CT313" s="505"/>
      <c r="CU313" s="505"/>
      <c r="CV313" s="505"/>
      <c r="CW313" s="505"/>
      <c r="CX313" s="505"/>
      <c r="CY313" s="505"/>
      <c r="CZ313" s="505"/>
      <c r="DA313" s="505"/>
      <c r="DB313" s="505"/>
      <c r="DC313" s="505"/>
      <c r="DD313" s="505"/>
      <c r="DE313" s="505"/>
      <c r="DF313" s="505"/>
      <c r="DG313" s="505"/>
      <c r="DH313" s="505"/>
      <c r="DI313" s="505"/>
      <c r="DJ313" s="505"/>
      <c r="DK313" s="505"/>
      <c r="DL313" s="505"/>
      <c r="DM313" s="505"/>
      <c r="DN313" s="505"/>
      <c r="DO313" s="505"/>
      <c r="DP313" s="505"/>
    </row>
    <row r="314" spans="1:120" hidden="1" outlineLevel="1" x14ac:dyDescent="0.2">
      <c r="A314" s="517">
        <f t="shared" si="49"/>
        <v>38687</v>
      </c>
      <c r="B314" s="517" t="str">
        <f t="shared" si="46"/>
        <v>4Q05</v>
      </c>
      <c r="C314" s="517" t="str">
        <f t="shared" si="50"/>
        <v>1Q06</v>
      </c>
      <c r="D314" s="518">
        <f t="shared" si="51"/>
        <v>38751</v>
      </c>
      <c r="E314" s="518">
        <f t="shared" si="51"/>
        <v>38691</v>
      </c>
      <c r="F314" s="520">
        <v>2.4249999999999998</v>
      </c>
      <c r="G314" s="521">
        <f t="shared" si="47"/>
        <v>0.26000000000000006</v>
      </c>
      <c r="H314" s="521">
        <f t="shared" si="48"/>
        <v>0.26000000000000006</v>
      </c>
      <c r="I314" s="505"/>
      <c r="J314" s="505"/>
      <c r="K314" s="505"/>
      <c r="L314" s="505"/>
      <c r="M314" s="528"/>
      <c r="N314" s="505"/>
      <c r="O314" s="505"/>
      <c r="P314" s="505"/>
      <c r="Q314" s="505"/>
      <c r="R314" s="505"/>
      <c r="S314" s="505"/>
      <c r="T314" s="505"/>
      <c r="U314" s="505"/>
      <c r="V314" s="505"/>
      <c r="W314" s="505"/>
      <c r="X314" s="505"/>
      <c r="Y314" s="505"/>
      <c r="Z314" s="505"/>
      <c r="AA314" s="505"/>
      <c r="AB314" s="505"/>
      <c r="AC314" s="505"/>
      <c r="AD314" s="505"/>
      <c r="AE314" s="505"/>
      <c r="AF314" s="505"/>
      <c r="AG314" s="505"/>
      <c r="AH314" s="505"/>
      <c r="AI314" s="505"/>
      <c r="AJ314" s="505"/>
      <c r="AK314" s="505"/>
      <c r="AL314" s="505"/>
      <c r="AM314" s="505"/>
      <c r="AN314" s="505"/>
      <c r="AO314" s="505"/>
      <c r="AP314" s="505"/>
      <c r="AQ314" s="505"/>
      <c r="AR314" s="505"/>
      <c r="AS314" s="505"/>
      <c r="AT314" s="505"/>
      <c r="AU314" s="505"/>
      <c r="AV314" s="505"/>
      <c r="AW314" s="505"/>
      <c r="AX314" s="505"/>
      <c r="AY314" s="505"/>
      <c r="AZ314" s="505"/>
      <c r="BA314" s="505"/>
      <c r="BB314" s="505"/>
      <c r="BC314" s="505"/>
      <c r="BD314" s="505"/>
      <c r="BE314" s="505"/>
      <c r="BF314" s="505"/>
      <c r="BG314" s="505"/>
      <c r="BH314" s="505"/>
      <c r="BI314" s="505"/>
      <c r="BJ314" s="505"/>
      <c r="BK314" s="505"/>
      <c r="BL314" s="505"/>
      <c r="BM314" s="505"/>
      <c r="BN314" s="505"/>
      <c r="BO314" s="505"/>
      <c r="BP314" s="505"/>
      <c r="BQ314" s="505"/>
      <c r="BR314" s="505"/>
      <c r="BS314" s="505"/>
      <c r="BT314" s="505"/>
      <c r="BU314" s="505"/>
      <c r="BV314" s="505"/>
      <c r="BW314" s="505"/>
      <c r="BX314" s="505"/>
      <c r="BY314" s="505"/>
      <c r="BZ314" s="505"/>
      <c r="CA314" s="505"/>
      <c r="CB314" s="505"/>
      <c r="CC314" s="505"/>
      <c r="CD314" s="505"/>
      <c r="CE314" s="505"/>
      <c r="CF314" s="505"/>
      <c r="CG314" s="505"/>
      <c r="CH314" s="505"/>
      <c r="CI314" s="505"/>
      <c r="CJ314" s="505"/>
      <c r="CK314" s="505"/>
      <c r="CL314" s="505"/>
      <c r="CM314" s="505"/>
      <c r="CN314" s="505"/>
      <c r="CO314" s="505"/>
      <c r="CP314" s="505"/>
      <c r="CQ314" s="505"/>
      <c r="CR314" s="505"/>
      <c r="CS314" s="505"/>
      <c r="CT314" s="505"/>
      <c r="CU314" s="505"/>
      <c r="CV314" s="505"/>
      <c r="CW314" s="505"/>
      <c r="CX314" s="505"/>
      <c r="CY314" s="505"/>
      <c r="CZ314" s="505"/>
      <c r="DA314" s="505"/>
      <c r="DB314" s="505"/>
      <c r="DC314" s="505"/>
      <c r="DD314" s="505"/>
      <c r="DE314" s="505"/>
      <c r="DF314" s="505"/>
      <c r="DG314" s="505"/>
      <c r="DH314" s="505"/>
      <c r="DI314" s="505"/>
      <c r="DJ314" s="505"/>
      <c r="DK314" s="505"/>
      <c r="DL314" s="505"/>
      <c r="DM314" s="505"/>
      <c r="DN314" s="505"/>
      <c r="DO314" s="505"/>
      <c r="DP314" s="505"/>
    </row>
    <row r="315" spans="1:120" hidden="1" outlineLevel="1" x14ac:dyDescent="0.2">
      <c r="A315" s="517">
        <f t="shared" si="49"/>
        <v>38687</v>
      </c>
      <c r="B315" s="517" t="str">
        <f t="shared" si="46"/>
        <v>4Q05</v>
      </c>
      <c r="C315" s="517" t="str">
        <f t="shared" si="50"/>
        <v>1Q06</v>
      </c>
      <c r="D315" s="518">
        <f t="shared" si="51"/>
        <v>38758</v>
      </c>
      <c r="E315" s="518">
        <f t="shared" si="51"/>
        <v>38698</v>
      </c>
      <c r="F315" s="520">
        <v>2.4359999999999999</v>
      </c>
      <c r="G315" s="521">
        <f t="shared" si="47"/>
        <v>0.26000000000000006</v>
      </c>
      <c r="H315" s="521">
        <f t="shared" si="48"/>
        <v>0.27000000000000007</v>
      </c>
      <c r="I315" s="505"/>
      <c r="J315" s="505"/>
      <c r="K315" s="505"/>
      <c r="L315" s="505"/>
      <c r="M315" s="528"/>
      <c r="N315" s="505"/>
      <c r="O315" s="505"/>
      <c r="P315" s="505"/>
      <c r="Q315" s="505"/>
      <c r="R315" s="505"/>
      <c r="S315" s="505"/>
      <c r="T315" s="505"/>
      <c r="U315" s="505"/>
      <c r="V315" s="505"/>
      <c r="W315" s="505"/>
      <c r="X315" s="505"/>
      <c r="Y315" s="505"/>
      <c r="Z315" s="505"/>
      <c r="AA315" s="505"/>
      <c r="AB315" s="505"/>
      <c r="AC315" s="505"/>
      <c r="AD315" s="505"/>
      <c r="AE315" s="505"/>
      <c r="AF315" s="505"/>
      <c r="AG315" s="505"/>
      <c r="AH315" s="505"/>
      <c r="AI315" s="505"/>
      <c r="AJ315" s="505"/>
      <c r="AK315" s="505"/>
      <c r="AL315" s="505"/>
      <c r="AM315" s="505"/>
      <c r="AN315" s="505"/>
      <c r="AO315" s="505"/>
      <c r="AP315" s="505"/>
      <c r="AQ315" s="505"/>
      <c r="AR315" s="505"/>
      <c r="AS315" s="505"/>
      <c r="AT315" s="505"/>
      <c r="AU315" s="505"/>
      <c r="AV315" s="505"/>
      <c r="AW315" s="505"/>
      <c r="AX315" s="505"/>
      <c r="AY315" s="505"/>
      <c r="AZ315" s="505"/>
      <c r="BA315" s="505"/>
      <c r="BB315" s="505"/>
      <c r="BC315" s="505"/>
      <c r="BD315" s="505"/>
      <c r="BE315" s="505"/>
      <c r="BF315" s="505"/>
      <c r="BG315" s="505"/>
      <c r="BH315" s="505"/>
      <c r="BI315" s="505"/>
      <c r="BJ315" s="505"/>
      <c r="BK315" s="505"/>
      <c r="BL315" s="505"/>
      <c r="BM315" s="505"/>
      <c r="BN315" s="505"/>
      <c r="BO315" s="505"/>
      <c r="BP315" s="505"/>
      <c r="BQ315" s="505"/>
      <c r="BR315" s="505"/>
      <c r="BS315" s="505"/>
      <c r="BT315" s="505"/>
      <c r="BU315" s="505"/>
      <c r="BV315" s="505"/>
      <c r="BW315" s="505"/>
      <c r="BX315" s="505"/>
      <c r="BY315" s="505"/>
      <c r="BZ315" s="505"/>
      <c r="CA315" s="505"/>
      <c r="CB315" s="505"/>
      <c r="CC315" s="505"/>
      <c r="CD315" s="505"/>
      <c r="CE315" s="505"/>
      <c r="CF315" s="505"/>
      <c r="CG315" s="505"/>
      <c r="CH315" s="505"/>
      <c r="CI315" s="505"/>
      <c r="CJ315" s="505"/>
      <c r="CK315" s="505"/>
      <c r="CL315" s="505"/>
      <c r="CM315" s="505"/>
      <c r="CN315" s="505"/>
      <c r="CO315" s="505"/>
      <c r="CP315" s="505"/>
      <c r="CQ315" s="505"/>
      <c r="CR315" s="505"/>
      <c r="CS315" s="505"/>
      <c r="CT315" s="505"/>
      <c r="CU315" s="505"/>
      <c r="CV315" s="505"/>
      <c r="CW315" s="505"/>
      <c r="CX315" s="505"/>
      <c r="CY315" s="505"/>
      <c r="CZ315" s="505"/>
      <c r="DA315" s="505"/>
      <c r="DB315" s="505"/>
      <c r="DC315" s="505"/>
      <c r="DD315" s="505"/>
      <c r="DE315" s="505"/>
      <c r="DF315" s="505"/>
      <c r="DG315" s="505"/>
      <c r="DH315" s="505"/>
      <c r="DI315" s="505"/>
      <c r="DJ315" s="505"/>
      <c r="DK315" s="505"/>
      <c r="DL315" s="505"/>
      <c r="DM315" s="505"/>
      <c r="DN315" s="505"/>
      <c r="DO315" s="505"/>
      <c r="DP315" s="505"/>
    </row>
    <row r="316" spans="1:120" hidden="1" outlineLevel="1" x14ac:dyDescent="0.2">
      <c r="A316" s="517">
        <f t="shared" si="49"/>
        <v>38687</v>
      </c>
      <c r="B316" s="517" t="str">
        <f t="shared" si="46"/>
        <v>4Q05</v>
      </c>
      <c r="C316" s="517" t="str">
        <f t="shared" si="50"/>
        <v>1Q06</v>
      </c>
      <c r="D316" s="518">
        <f t="shared" si="51"/>
        <v>38765</v>
      </c>
      <c r="E316" s="518">
        <f t="shared" si="51"/>
        <v>38705</v>
      </c>
      <c r="F316" s="520">
        <v>2.4619999999999997</v>
      </c>
      <c r="G316" s="521">
        <f t="shared" si="47"/>
        <v>0.27000000000000007</v>
      </c>
      <c r="H316" s="521">
        <f t="shared" si="48"/>
        <v>0.26000000000000006</v>
      </c>
      <c r="I316" s="505"/>
      <c r="J316" s="505"/>
      <c r="K316" s="505"/>
      <c r="L316" s="505"/>
      <c r="M316" s="528"/>
      <c r="N316" s="505"/>
      <c r="O316" s="505"/>
      <c r="P316" s="505"/>
      <c r="Q316" s="505"/>
      <c r="R316" s="505"/>
      <c r="S316" s="505"/>
      <c r="T316" s="505"/>
      <c r="U316" s="505"/>
      <c r="V316" s="505"/>
      <c r="W316" s="505"/>
      <c r="X316" s="505"/>
      <c r="Y316" s="505"/>
      <c r="Z316" s="505"/>
      <c r="AA316" s="505"/>
      <c r="AB316" s="505"/>
      <c r="AC316" s="505"/>
      <c r="AD316" s="505"/>
      <c r="AE316" s="505"/>
      <c r="AF316" s="505"/>
      <c r="AG316" s="505"/>
      <c r="AH316" s="505"/>
      <c r="AI316" s="505"/>
      <c r="AJ316" s="505"/>
      <c r="AK316" s="505"/>
      <c r="AL316" s="505"/>
      <c r="AM316" s="505"/>
      <c r="AN316" s="505"/>
      <c r="AO316" s="505"/>
      <c r="AP316" s="505"/>
      <c r="AQ316" s="505"/>
      <c r="AR316" s="505"/>
      <c r="AS316" s="505"/>
      <c r="AT316" s="505"/>
      <c r="AU316" s="505"/>
      <c r="AV316" s="505"/>
      <c r="AW316" s="505"/>
      <c r="AX316" s="505"/>
      <c r="AY316" s="505"/>
      <c r="AZ316" s="505"/>
      <c r="BA316" s="505"/>
      <c r="BB316" s="505"/>
      <c r="BC316" s="505"/>
      <c r="BD316" s="505"/>
      <c r="BE316" s="505"/>
      <c r="BF316" s="505"/>
      <c r="BG316" s="505"/>
      <c r="BH316" s="505"/>
      <c r="BI316" s="505"/>
      <c r="BJ316" s="505"/>
      <c r="BK316" s="505"/>
      <c r="BL316" s="505"/>
      <c r="BM316" s="505"/>
      <c r="BN316" s="505"/>
      <c r="BO316" s="505"/>
      <c r="BP316" s="505"/>
      <c r="BQ316" s="505"/>
      <c r="BR316" s="505"/>
      <c r="BS316" s="505"/>
      <c r="BT316" s="505"/>
      <c r="BU316" s="505"/>
      <c r="BV316" s="505"/>
      <c r="BW316" s="505"/>
      <c r="BX316" s="505"/>
      <c r="BY316" s="505"/>
      <c r="BZ316" s="505"/>
      <c r="CA316" s="505"/>
      <c r="CB316" s="505"/>
      <c r="CC316" s="505"/>
      <c r="CD316" s="505"/>
      <c r="CE316" s="505"/>
      <c r="CF316" s="505"/>
      <c r="CG316" s="505"/>
      <c r="CH316" s="505"/>
      <c r="CI316" s="505"/>
      <c r="CJ316" s="505"/>
      <c r="CK316" s="505"/>
      <c r="CL316" s="505"/>
      <c r="CM316" s="505"/>
      <c r="CN316" s="505"/>
      <c r="CO316" s="505"/>
      <c r="CP316" s="505"/>
      <c r="CQ316" s="505"/>
      <c r="CR316" s="505"/>
      <c r="CS316" s="505"/>
      <c r="CT316" s="505"/>
      <c r="CU316" s="505"/>
      <c r="CV316" s="505"/>
      <c r="CW316" s="505"/>
      <c r="CX316" s="505"/>
      <c r="CY316" s="505"/>
      <c r="CZ316" s="505"/>
      <c r="DA316" s="505"/>
      <c r="DB316" s="505"/>
      <c r="DC316" s="505"/>
      <c r="DD316" s="505"/>
      <c r="DE316" s="505"/>
      <c r="DF316" s="505"/>
      <c r="DG316" s="505"/>
      <c r="DH316" s="505"/>
      <c r="DI316" s="505"/>
      <c r="DJ316" s="505"/>
      <c r="DK316" s="505"/>
      <c r="DL316" s="505"/>
      <c r="DM316" s="505"/>
      <c r="DN316" s="505"/>
      <c r="DO316" s="505"/>
      <c r="DP316" s="505"/>
    </row>
    <row r="317" spans="1:120" hidden="1" outlineLevel="1" x14ac:dyDescent="0.2">
      <c r="A317" s="517">
        <f t="shared" si="49"/>
        <v>38687</v>
      </c>
      <c r="B317" s="517" t="str">
        <f t="shared" si="46"/>
        <v>4Q05</v>
      </c>
      <c r="C317" s="517" t="str">
        <f t="shared" si="50"/>
        <v>1Q06</v>
      </c>
      <c r="D317" s="518">
        <f t="shared" si="51"/>
        <v>38772</v>
      </c>
      <c r="E317" s="518">
        <f t="shared" si="51"/>
        <v>38712</v>
      </c>
      <c r="F317" s="520">
        <v>2.448</v>
      </c>
      <c r="G317" s="521">
        <f t="shared" si="47"/>
        <v>0.26000000000000006</v>
      </c>
      <c r="H317" s="521">
        <f t="shared" si="48"/>
        <v>0.26000000000000006</v>
      </c>
      <c r="I317" s="505"/>
      <c r="J317" s="505"/>
      <c r="K317" s="505"/>
      <c r="L317" s="505"/>
      <c r="M317" s="528"/>
      <c r="N317" s="505"/>
      <c r="O317" s="505"/>
      <c r="P317" s="505"/>
      <c r="Q317" s="505"/>
      <c r="R317" s="505"/>
      <c r="S317" s="505"/>
      <c r="T317" s="505"/>
      <c r="U317" s="505"/>
      <c r="V317" s="505"/>
      <c r="W317" s="505"/>
      <c r="X317" s="505"/>
      <c r="Y317" s="505"/>
      <c r="Z317" s="505"/>
      <c r="AA317" s="505"/>
      <c r="AB317" s="505"/>
      <c r="AC317" s="505"/>
      <c r="AD317" s="505"/>
      <c r="AE317" s="505"/>
      <c r="AF317" s="505"/>
      <c r="AG317" s="505"/>
      <c r="AH317" s="505"/>
      <c r="AI317" s="505"/>
      <c r="AJ317" s="505"/>
      <c r="AK317" s="505"/>
      <c r="AL317" s="505"/>
      <c r="AM317" s="505"/>
      <c r="AN317" s="505"/>
      <c r="AO317" s="505"/>
      <c r="AP317" s="505"/>
      <c r="AQ317" s="505"/>
      <c r="AR317" s="505"/>
      <c r="AS317" s="505"/>
      <c r="AT317" s="505"/>
      <c r="AU317" s="505"/>
      <c r="AV317" s="505"/>
      <c r="AW317" s="505"/>
      <c r="AX317" s="505"/>
      <c r="AY317" s="505"/>
      <c r="AZ317" s="505"/>
      <c r="BA317" s="505"/>
      <c r="BB317" s="505"/>
      <c r="BC317" s="505"/>
      <c r="BD317" s="505"/>
      <c r="BE317" s="505"/>
      <c r="BF317" s="505"/>
      <c r="BG317" s="505"/>
      <c r="BH317" s="505"/>
      <c r="BI317" s="505"/>
      <c r="BJ317" s="505"/>
      <c r="BK317" s="505"/>
      <c r="BL317" s="505"/>
      <c r="BM317" s="505"/>
      <c r="BN317" s="505"/>
      <c r="BO317" s="505"/>
      <c r="BP317" s="505"/>
      <c r="BQ317" s="505"/>
      <c r="BR317" s="505"/>
      <c r="BS317" s="505"/>
      <c r="BT317" s="505"/>
      <c r="BU317" s="505"/>
      <c r="BV317" s="505"/>
      <c r="BW317" s="505"/>
      <c r="BX317" s="505"/>
      <c r="BY317" s="505"/>
      <c r="BZ317" s="505"/>
      <c r="CA317" s="505"/>
      <c r="CB317" s="505"/>
      <c r="CC317" s="505"/>
      <c r="CD317" s="505"/>
      <c r="CE317" s="505"/>
      <c r="CF317" s="505"/>
      <c r="CG317" s="505"/>
      <c r="CH317" s="505"/>
      <c r="CI317" s="505"/>
      <c r="CJ317" s="505"/>
      <c r="CK317" s="505"/>
      <c r="CL317" s="505"/>
      <c r="CM317" s="505"/>
      <c r="CN317" s="505"/>
      <c r="CO317" s="505"/>
      <c r="CP317" s="505"/>
      <c r="CQ317" s="505"/>
      <c r="CR317" s="505"/>
      <c r="CS317" s="505"/>
      <c r="CT317" s="505"/>
      <c r="CU317" s="505"/>
      <c r="CV317" s="505"/>
      <c r="CW317" s="505"/>
      <c r="CX317" s="505"/>
      <c r="CY317" s="505"/>
      <c r="CZ317" s="505"/>
      <c r="DA317" s="505"/>
      <c r="DB317" s="505"/>
      <c r="DC317" s="505"/>
      <c r="DD317" s="505"/>
      <c r="DE317" s="505"/>
      <c r="DF317" s="505"/>
      <c r="DG317" s="505"/>
      <c r="DH317" s="505"/>
      <c r="DI317" s="505"/>
      <c r="DJ317" s="505"/>
      <c r="DK317" s="505"/>
      <c r="DL317" s="505"/>
      <c r="DM317" s="505"/>
      <c r="DN317" s="505"/>
      <c r="DO317" s="505"/>
      <c r="DP317" s="505"/>
    </row>
    <row r="318" spans="1:120" hidden="1" outlineLevel="1" x14ac:dyDescent="0.2">
      <c r="A318" s="517">
        <f t="shared" si="49"/>
        <v>38718</v>
      </c>
      <c r="B318" s="517" t="str">
        <f t="shared" si="46"/>
        <v>1Q06</v>
      </c>
      <c r="C318" s="517" t="str">
        <f t="shared" si="50"/>
        <v>1Q06</v>
      </c>
      <c r="D318" s="518">
        <f t="shared" si="51"/>
        <v>38779</v>
      </c>
      <c r="E318" s="518">
        <f t="shared" si="51"/>
        <v>38719</v>
      </c>
      <c r="F318" s="520">
        <v>2.4420000000000002</v>
      </c>
      <c r="G318" s="521">
        <f t="shared" si="47"/>
        <v>0.26000000000000006</v>
      </c>
      <c r="H318" s="521">
        <f t="shared" si="48"/>
        <v>0.27000000000000007</v>
      </c>
      <c r="I318" s="505"/>
      <c r="J318" s="505"/>
      <c r="K318" s="505"/>
      <c r="L318" s="505"/>
      <c r="M318" s="528"/>
      <c r="N318" s="505"/>
      <c r="O318" s="505"/>
      <c r="P318" s="505"/>
      <c r="Q318" s="505"/>
      <c r="R318" s="505"/>
      <c r="S318" s="505"/>
      <c r="T318" s="505"/>
      <c r="U318" s="505"/>
      <c r="V318" s="505"/>
      <c r="W318" s="505"/>
      <c r="X318" s="505"/>
      <c r="Y318" s="505"/>
      <c r="Z318" s="505"/>
      <c r="AA318" s="505"/>
      <c r="AB318" s="505"/>
      <c r="AC318" s="505"/>
      <c r="AD318" s="505"/>
      <c r="AE318" s="505"/>
      <c r="AF318" s="505"/>
      <c r="AG318" s="505"/>
      <c r="AH318" s="505"/>
      <c r="AI318" s="505"/>
      <c r="AJ318" s="505"/>
      <c r="AK318" s="505"/>
      <c r="AL318" s="505"/>
      <c r="AM318" s="505"/>
      <c r="AN318" s="505"/>
      <c r="AO318" s="505"/>
      <c r="AP318" s="505"/>
      <c r="AQ318" s="505"/>
      <c r="AR318" s="505"/>
      <c r="AS318" s="505"/>
      <c r="AT318" s="505"/>
      <c r="AU318" s="505"/>
      <c r="AV318" s="505"/>
      <c r="AW318" s="505"/>
      <c r="AX318" s="505"/>
      <c r="AY318" s="505"/>
      <c r="AZ318" s="505"/>
      <c r="BA318" s="505"/>
      <c r="BB318" s="505"/>
      <c r="BC318" s="505"/>
      <c r="BD318" s="505"/>
      <c r="BE318" s="505"/>
      <c r="BF318" s="505"/>
      <c r="BG318" s="505"/>
      <c r="BH318" s="505"/>
      <c r="BI318" s="505"/>
      <c r="BJ318" s="505"/>
      <c r="BK318" s="505"/>
      <c r="BL318" s="505"/>
      <c r="BM318" s="505"/>
      <c r="BN318" s="505"/>
      <c r="BO318" s="505"/>
      <c r="BP318" s="505"/>
      <c r="BQ318" s="505"/>
      <c r="BR318" s="505"/>
      <c r="BS318" s="505"/>
      <c r="BT318" s="505"/>
      <c r="BU318" s="505"/>
      <c r="BV318" s="505"/>
      <c r="BW318" s="505"/>
      <c r="BX318" s="505"/>
      <c r="BY318" s="505"/>
      <c r="BZ318" s="505"/>
      <c r="CA318" s="505"/>
      <c r="CB318" s="505"/>
      <c r="CC318" s="505"/>
      <c r="CD318" s="505"/>
      <c r="CE318" s="505"/>
      <c r="CF318" s="505"/>
      <c r="CG318" s="505"/>
      <c r="CH318" s="505"/>
      <c r="CI318" s="505"/>
      <c r="CJ318" s="505"/>
      <c r="CK318" s="505"/>
      <c r="CL318" s="505"/>
      <c r="CM318" s="505"/>
      <c r="CN318" s="505"/>
      <c r="CO318" s="505"/>
      <c r="CP318" s="505"/>
      <c r="CQ318" s="505"/>
      <c r="CR318" s="505"/>
      <c r="CS318" s="505"/>
      <c r="CT318" s="505"/>
      <c r="CU318" s="505"/>
      <c r="CV318" s="505"/>
      <c r="CW318" s="505"/>
      <c r="CX318" s="505"/>
      <c r="CY318" s="505"/>
      <c r="CZ318" s="505"/>
      <c r="DA318" s="505"/>
      <c r="DB318" s="505"/>
      <c r="DC318" s="505"/>
      <c r="DD318" s="505"/>
      <c r="DE318" s="505"/>
      <c r="DF318" s="505"/>
      <c r="DG318" s="505"/>
      <c r="DH318" s="505"/>
      <c r="DI318" s="505"/>
      <c r="DJ318" s="505"/>
      <c r="DK318" s="505"/>
      <c r="DL318" s="505"/>
      <c r="DM318" s="505"/>
      <c r="DN318" s="505"/>
      <c r="DO318" s="505"/>
      <c r="DP318" s="505"/>
    </row>
    <row r="319" spans="1:120" hidden="1" outlineLevel="1" x14ac:dyDescent="0.2">
      <c r="A319" s="517">
        <f t="shared" si="49"/>
        <v>38718</v>
      </c>
      <c r="B319" s="517" t="str">
        <f t="shared" si="46"/>
        <v>1Q06</v>
      </c>
      <c r="C319" s="517" t="str">
        <f t="shared" si="50"/>
        <v>1Q06</v>
      </c>
      <c r="D319" s="518">
        <f t="shared" si="51"/>
        <v>38786</v>
      </c>
      <c r="E319" s="518">
        <f t="shared" si="51"/>
        <v>38726</v>
      </c>
      <c r="F319" s="520">
        <v>2.4849999999999999</v>
      </c>
      <c r="G319" s="521">
        <f t="shared" si="47"/>
        <v>0.27000000000000007</v>
      </c>
      <c r="H319" s="521">
        <f t="shared" si="48"/>
        <v>0.26000000000000006</v>
      </c>
      <c r="I319" s="505"/>
      <c r="J319" s="505"/>
      <c r="K319" s="505"/>
      <c r="L319" s="505"/>
      <c r="M319" s="528"/>
      <c r="N319" s="505"/>
      <c r="O319" s="505"/>
      <c r="P319" s="505"/>
      <c r="Q319" s="505"/>
      <c r="R319" s="505"/>
      <c r="S319" s="505"/>
      <c r="T319" s="505"/>
      <c r="U319" s="505"/>
      <c r="V319" s="505"/>
      <c r="W319" s="505"/>
      <c r="X319" s="505"/>
      <c r="Y319" s="505"/>
      <c r="Z319" s="505"/>
      <c r="AA319" s="505"/>
      <c r="AB319" s="505"/>
      <c r="AC319" s="505"/>
      <c r="AD319" s="505"/>
      <c r="AE319" s="505"/>
      <c r="AF319" s="505"/>
      <c r="AG319" s="505"/>
      <c r="AH319" s="505"/>
      <c r="AI319" s="505"/>
      <c r="AJ319" s="505"/>
      <c r="AK319" s="505"/>
      <c r="AL319" s="505"/>
      <c r="AM319" s="505"/>
      <c r="AN319" s="505"/>
      <c r="AO319" s="505"/>
      <c r="AP319" s="505"/>
      <c r="AQ319" s="505"/>
      <c r="AR319" s="505"/>
      <c r="AS319" s="505"/>
      <c r="AT319" s="505"/>
      <c r="AU319" s="505"/>
      <c r="AV319" s="505"/>
      <c r="AW319" s="505"/>
      <c r="AX319" s="505"/>
      <c r="AY319" s="505"/>
      <c r="AZ319" s="505"/>
      <c r="BA319" s="505"/>
      <c r="BB319" s="505"/>
      <c r="BC319" s="505"/>
      <c r="BD319" s="505"/>
      <c r="BE319" s="505"/>
      <c r="BF319" s="505"/>
      <c r="BG319" s="505"/>
      <c r="BH319" s="505"/>
      <c r="BI319" s="505"/>
      <c r="BJ319" s="505"/>
      <c r="BK319" s="505"/>
      <c r="BL319" s="505"/>
      <c r="BM319" s="505"/>
      <c r="BN319" s="505"/>
      <c r="BO319" s="505"/>
      <c r="BP319" s="505"/>
      <c r="BQ319" s="505"/>
      <c r="BR319" s="505"/>
      <c r="BS319" s="505"/>
      <c r="BT319" s="505"/>
      <c r="BU319" s="505"/>
      <c r="BV319" s="505"/>
      <c r="BW319" s="505"/>
      <c r="BX319" s="505"/>
      <c r="BY319" s="505"/>
      <c r="BZ319" s="505"/>
      <c r="CA319" s="505"/>
      <c r="CB319" s="505"/>
      <c r="CC319" s="505"/>
      <c r="CD319" s="505"/>
      <c r="CE319" s="505"/>
      <c r="CF319" s="505"/>
      <c r="CG319" s="505"/>
      <c r="CH319" s="505"/>
      <c r="CI319" s="505"/>
      <c r="CJ319" s="505"/>
      <c r="CK319" s="505"/>
      <c r="CL319" s="505"/>
      <c r="CM319" s="505"/>
      <c r="CN319" s="505"/>
      <c r="CO319" s="505"/>
      <c r="CP319" s="505"/>
      <c r="CQ319" s="505"/>
      <c r="CR319" s="505"/>
      <c r="CS319" s="505"/>
      <c r="CT319" s="505"/>
      <c r="CU319" s="505"/>
      <c r="CV319" s="505"/>
      <c r="CW319" s="505"/>
      <c r="CX319" s="505"/>
      <c r="CY319" s="505"/>
      <c r="CZ319" s="505"/>
      <c r="DA319" s="505"/>
      <c r="DB319" s="505"/>
      <c r="DC319" s="505"/>
      <c r="DD319" s="505"/>
      <c r="DE319" s="505"/>
      <c r="DF319" s="505"/>
      <c r="DG319" s="505"/>
      <c r="DH319" s="505"/>
      <c r="DI319" s="505"/>
      <c r="DJ319" s="505"/>
      <c r="DK319" s="505"/>
      <c r="DL319" s="505"/>
      <c r="DM319" s="505"/>
      <c r="DN319" s="505"/>
      <c r="DO319" s="505"/>
      <c r="DP319" s="505"/>
    </row>
    <row r="320" spans="1:120" hidden="1" outlineLevel="1" x14ac:dyDescent="0.2">
      <c r="A320" s="517">
        <f t="shared" si="49"/>
        <v>38718</v>
      </c>
      <c r="B320" s="517" t="str">
        <f t="shared" si="46"/>
        <v>1Q06</v>
      </c>
      <c r="C320" s="517" t="str">
        <f t="shared" si="50"/>
        <v>1Q06</v>
      </c>
      <c r="D320" s="518">
        <f t="shared" si="51"/>
        <v>38793</v>
      </c>
      <c r="E320" s="518">
        <f t="shared" si="51"/>
        <v>38733</v>
      </c>
      <c r="F320" s="520">
        <v>2.4489999999999998</v>
      </c>
      <c r="G320" s="521">
        <f t="shared" si="47"/>
        <v>0.26000000000000006</v>
      </c>
      <c r="H320" s="521">
        <f t="shared" si="48"/>
        <v>0.27000000000000007</v>
      </c>
      <c r="I320" s="505"/>
      <c r="J320" s="505"/>
      <c r="K320" s="505"/>
      <c r="L320" s="505"/>
      <c r="M320" s="528"/>
      <c r="N320" s="505"/>
      <c r="O320" s="505"/>
      <c r="P320" s="505"/>
      <c r="Q320" s="505"/>
      <c r="R320" s="505"/>
      <c r="S320" s="505"/>
      <c r="T320" s="505"/>
      <c r="U320" s="505"/>
      <c r="V320" s="505"/>
      <c r="W320" s="505"/>
      <c r="X320" s="505"/>
      <c r="Y320" s="505"/>
      <c r="Z320" s="505"/>
      <c r="AA320" s="505"/>
      <c r="AB320" s="505"/>
      <c r="AC320" s="505"/>
      <c r="AD320" s="505"/>
      <c r="AE320" s="505"/>
      <c r="AF320" s="505"/>
      <c r="AG320" s="505"/>
      <c r="AH320" s="505"/>
      <c r="AI320" s="505"/>
      <c r="AJ320" s="505"/>
      <c r="AK320" s="505"/>
      <c r="AL320" s="505"/>
      <c r="AM320" s="505"/>
      <c r="AN320" s="505"/>
      <c r="AO320" s="505"/>
      <c r="AP320" s="505"/>
      <c r="AQ320" s="505"/>
      <c r="AR320" s="505"/>
      <c r="AS320" s="505"/>
      <c r="AT320" s="505"/>
      <c r="AU320" s="505"/>
      <c r="AV320" s="505"/>
      <c r="AW320" s="505"/>
      <c r="AX320" s="505"/>
      <c r="AY320" s="505"/>
      <c r="AZ320" s="505"/>
      <c r="BA320" s="505"/>
      <c r="BB320" s="505"/>
      <c r="BC320" s="505"/>
      <c r="BD320" s="505"/>
      <c r="BE320" s="505"/>
      <c r="BF320" s="505"/>
      <c r="BG320" s="505"/>
      <c r="BH320" s="505"/>
      <c r="BI320" s="505"/>
      <c r="BJ320" s="505"/>
      <c r="BK320" s="505"/>
      <c r="BL320" s="505"/>
      <c r="BM320" s="505"/>
      <c r="BN320" s="505"/>
      <c r="BO320" s="505"/>
      <c r="BP320" s="505"/>
      <c r="BQ320" s="505"/>
      <c r="BR320" s="505"/>
      <c r="BS320" s="505"/>
      <c r="BT320" s="505"/>
      <c r="BU320" s="505"/>
      <c r="BV320" s="505"/>
      <c r="BW320" s="505"/>
      <c r="BX320" s="505"/>
      <c r="BY320" s="505"/>
      <c r="BZ320" s="505"/>
      <c r="CA320" s="505"/>
      <c r="CB320" s="505"/>
      <c r="CC320" s="505"/>
      <c r="CD320" s="505"/>
      <c r="CE320" s="505"/>
      <c r="CF320" s="505"/>
      <c r="CG320" s="505"/>
      <c r="CH320" s="505"/>
      <c r="CI320" s="505"/>
      <c r="CJ320" s="505"/>
      <c r="CK320" s="505"/>
      <c r="CL320" s="505"/>
      <c r="CM320" s="505"/>
      <c r="CN320" s="505"/>
      <c r="CO320" s="505"/>
      <c r="CP320" s="505"/>
      <c r="CQ320" s="505"/>
      <c r="CR320" s="505"/>
      <c r="CS320" s="505"/>
      <c r="CT320" s="505"/>
      <c r="CU320" s="505"/>
      <c r="CV320" s="505"/>
      <c r="CW320" s="505"/>
      <c r="CX320" s="505"/>
      <c r="CY320" s="505"/>
      <c r="CZ320" s="505"/>
      <c r="DA320" s="505"/>
      <c r="DB320" s="505"/>
      <c r="DC320" s="505"/>
      <c r="DD320" s="505"/>
      <c r="DE320" s="505"/>
      <c r="DF320" s="505"/>
      <c r="DG320" s="505"/>
      <c r="DH320" s="505"/>
      <c r="DI320" s="505"/>
      <c r="DJ320" s="505"/>
      <c r="DK320" s="505"/>
      <c r="DL320" s="505"/>
      <c r="DM320" s="505"/>
      <c r="DN320" s="505"/>
      <c r="DO320" s="505"/>
      <c r="DP320" s="505"/>
    </row>
    <row r="321" spans="1:120" hidden="1" outlineLevel="1" x14ac:dyDescent="0.2">
      <c r="A321" s="517">
        <f t="shared" si="49"/>
        <v>38718</v>
      </c>
      <c r="B321" s="517" t="str">
        <f t="shared" si="46"/>
        <v>1Q06</v>
      </c>
      <c r="C321" s="517" t="str">
        <f t="shared" si="50"/>
        <v>1Q06</v>
      </c>
      <c r="D321" s="518">
        <f t="shared" si="51"/>
        <v>38800</v>
      </c>
      <c r="E321" s="518">
        <f t="shared" si="51"/>
        <v>38740</v>
      </c>
      <c r="F321" s="520">
        <v>2.472</v>
      </c>
      <c r="G321" s="521">
        <f t="shared" si="47"/>
        <v>0.27000000000000007</v>
      </c>
      <c r="H321" s="521">
        <f t="shared" si="48"/>
        <v>0.27000000000000007</v>
      </c>
      <c r="I321" s="505"/>
      <c r="J321" s="505"/>
      <c r="K321" s="505"/>
      <c r="L321" s="505"/>
      <c r="M321" s="528"/>
      <c r="N321" s="505"/>
      <c r="O321" s="505"/>
      <c r="P321" s="505"/>
      <c r="Q321" s="505"/>
      <c r="R321" s="505"/>
      <c r="S321" s="505"/>
      <c r="T321" s="505"/>
      <c r="U321" s="505"/>
      <c r="V321" s="505"/>
      <c r="W321" s="505"/>
      <c r="X321" s="505"/>
      <c r="Y321" s="505"/>
      <c r="Z321" s="505"/>
      <c r="AA321" s="505"/>
      <c r="AB321" s="505"/>
      <c r="AC321" s="505"/>
      <c r="AD321" s="505"/>
      <c r="AE321" s="505"/>
      <c r="AF321" s="505"/>
      <c r="AG321" s="505"/>
      <c r="AH321" s="505"/>
      <c r="AI321" s="505"/>
      <c r="AJ321" s="505"/>
      <c r="AK321" s="505"/>
      <c r="AL321" s="505"/>
      <c r="AM321" s="505"/>
      <c r="AN321" s="505"/>
      <c r="AO321" s="505"/>
      <c r="AP321" s="505"/>
      <c r="AQ321" s="505"/>
      <c r="AR321" s="505"/>
      <c r="AS321" s="505"/>
      <c r="AT321" s="505"/>
      <c r="AU321" s="505"/>
      <c r="AV321" s="505"/>
      <c r="AW321" s="505"/>
      <c r="AX321" s="505"/>
      <c r="AY321" s="505"/>
      <c r="AZ321" s="505"/>
      <c r="BA321" s="505"/>
      <c r="BB321" s="505"/>
      <c r="BC321" s="505"/>
      <c r="BD321" s="505"/>
      <c r="BE321" s="505"/>
      <c r="BF321" s="505"/>
      <c r="BG321" s="505"/>
      <c r="BH321" s="505"/>
      <c r="BI321" s="505"/>
      <c r="BJ321" s="505"/>
      <c r="BK321" s="505"/>
      <c r="BL321" s="505"/>
      <c r="BM321" s="505"/>
      <c r="BN321" s="505"/>
      <c r="BO321" s="505"/>
      <c r="BP321" s="505"/>
      <c r="BQ321" s="505"/>
      <c r="BR321" s="505"/>
      <c r="BS321" s="505"/>
      <c r="BT321" s="505"/>
      <c r="BU321" s="505"/>
      <c r="BV321" s="505"/>
      <c r="BW321" s="505"/>
      <c r="BX321" s="505"/>
      <c r="BY321" s="505"/>
      <c r="BZ321" s="505"/>
      <c r="CA321" s="505"/>
      <c r="CB321" s="505"/>
      <c r="CC321" s="505"/>
      <c r="CD321" s="505"/>
      <c r="CE321" s="505"/>
      <c r="CF321" s="505"/>
      <c r="CG321" s="505"/>
      <c r="CH321" s="505"/>
      <c r="CI321" s="505"/>
      <c r="CJ321" s="505"/>
      <c r="CK321" s="505"/>
      <c r="CL321" s="505"/>
      <c r="CM321" s="505"/>
      <c r="CN321" s="505"/>
      <c r="CO321" s="505"/>
      <c r="CP321" s="505"/>
      <c r="CQ321" s="505"/>
      <c r="CR321" s="505"/>
      <c r="CS321" s="505"/>
      <c r="CT321" s="505"/>
      <c r="CU321" s="505"/>
      <c r="CV321" s="505"/>
      <c r="CW321" s="505"/>
      <c r="CX321" s="505"/>
      <c r="CY321" s="505"/>
      <c r="CZ321" s="505"/>
      <c r="DA321" s="505"/>
      <c r="DB321" s="505"/>
      <c r="DC321" s="505"/>
      <c r="DD321" s="505"/>
      <c r="DE321" s="505"/>
      <c r="DF321" s="505"/>
      <c r="DG321" s="505"/>
      <c r="DH321" s="505"/>
      <c r="DI321" s="505"/>
      <c r="DJ321" s="505"/>
      <c r="DK321" s="505"/>
      <c r="DL321" s="505"/>
      <c r="DM321" s="505"/>
      <c r="DN321" s="505"/>
      <c r="DO321" s="505"/>
      <c r="DP321" s="505"/>
    </row>
    <row r="322" spans="1:120" hidden="1" outlineLevel="1" x14ac:dyDescent="0.2">
      <c r="A322" s="517">
        <f t="shared" si="49"/>
        <v>38718</v>
      </c>
      <c r="B322" s="517" t="str">
        <f t="shared" si="46"/>
        <v>1Q06</v>
      </c>
      <c r="C322" s="517" t="str">
        <f t="shared" si="50"/>
        <v>1Q06</v>
      </c>
      <c r="D322" s="518">
        <f t="shared" si="51"/>
        <v>38807</v>
      </c>
      <c r="E322" s="518">
        <f t="shared" si="51"/>
        <v>38747</v>
      </c>
      <c r="F322" s="520">
        <v>2.4889999999999999</v>
      </c>
      <c r="G322" s="521">
        <f t="shared" si="47"/>
        <v>0.27000000000000007</v>
      </c>
      <c r="H322" s="521">
        <f t="shared" si="48"/>
        <v>0.27000000000000007</v>
      </c>
      <c r="I322" s="505"/>
      <c r="J322" s="505"/>
      <c r="K322" s="505"/>
      <c r="L322" s="505"/>
      <c r="M322" s="528"/>
      <c r="N322" s="505"/>
      <c r="O322" s="505"/>
      <c r="P322" s="505"/>
      <c r="Q322" s="505"/>
      <c r="R322" s="505"/>
      <c r="S322" s="505"/>
      <c r="T322" s="505"/>
      <c r="U322" s="505"/>
      <c r="V322" s="505"/>
      <c r="W322" s="505"/>
      <c r="X322" s="505"/>
      <c r="Y322" s="505"/>
      <c r="Z322" s="505"/>
      <c r="AA322" s="505"/>
      <c r="AB322" s="505"/>
      <c r="AC322" s="505"/>
      <c r="AD322" s="505"/>
      <c r="AE322" s="505"/>
      <c r="AF322" s="505"/>
      <c r="AG322" s="505"/>
      <c r="AH322" s="505"/>
      <c r="AI322" s="505"/>
      <c r="AJ322" s="505"/>
      <c r="AK322" s="505"/>
      <c r="AL322" s="505"/>
      <c r="AM322" s="505"/>
      <c r="AN322" s="505"/>
      <c r="AO322" s="505"/>
      <c r="AP322" s="505"/>
      <c r="AQ322" s="505"/>
      <c r="AR322" s="505"/>
      <c r="AS322" s="505"/>
      <c r="AT322" s="505"/>
      <c r="AU322" s="505"/>
      <c r="AV322" s="505"/>
      <c r="AW322" s="505"/>
      <c r="AX322" s="505"/>
      <c r="AY322" s="505"/>
      <c r="AZ322" s="505"/>
      <c r="BA322" s="505"/>
      <c r="BB322" s="505"/>
      <c r="BC322" s="505"/>
      <c r="BD322" s="505"/>
      <c r="BE322" s="505"/>
      <c r="BF322" s="505"/>
      <c r="BG322" s="505"/>
      <c r="BH322" s="505"/>
      <c r="BI322" s="505"/>
      <c r="BJ322" s="505"/>
      <c r="BK322" s="505"/>
      <c r="BL322" s="505"/>
      <c r="BM322" s="505"/>
      <c r="BN322" s="505"/>
      <c r="BO322" s="505"/>
      <c r="BP322" s="505"/>
      <c r="BQ322" s="505"/>
      <c r="BR322" s="505"/>
      <c r="BS322" s="505"/>
      <c r="BT322" s="505"/>
      <c r="BU322" s="505"/>
      <c r="BV322" s="505"/>
      <c r="BW322" s="505"/>
      <c r="BX322" s="505"/>
      <c r="BY322" s="505"/>
      <c r="BZ322" s="505"/>
      <c r="CA322" s="505"/>
      <c r="CB322" s="505"/>
      <c r="CC322" s="505"/>
      <c r="CD322" s="505"/>
      <c r="CE322" s="505"/>
      <c r="CF322" s="505"/>
      <c r="CG322" s="505"/>
      <c r="CH322" s="505"/>
      <c r="CI322" s="505"/>
      <c r="CJ322" s="505"/>
      <c r="CK322" s="505"/>
      <c r="CL322" s="505"/>
      <c r="CM322" s="505"/>
      <c r="CN322" s="505"/>
      <c r="CO322" s="505"/>
      <c r="CP322" s="505"/>
      <c r="CQ322" s="505"/>
      <c r="CR322" s="505"/>
      <c r="CS322" s="505"/>
      <c r="CT322" s="505"/>
      <c r="CU322" s="505"/>
      <c r="CV322" s="505"/>
      <c r="CW322" s="505"/>
      <c r="CX322" s="505"/>
      <c r="CY322" s="505"/>
      <c r="CZ322" s="505"/>
      <c r="DA322" s="505"/>
      <c r="DB322" s="505"/>
      <c r="DC322" s="505"/>
      <c r="DD322" s="505"/>
      <c r="DE322" s="505"/>
      <c r="DF322" s="505"/>
      <c r="DG322" s="505"/>
      <c r="DH322" s="505"/>
      <c r="DI322" s="505"/>
      <c r="DJ322" s="505"/>
      <c r="DK322" s="505"/>
      <c r="DL322" s="505"/>
      <c r="DM322" s="505"/>
      <c r="DN322" s="505"/>
      <c r="DO322" s="505"/>
      <c r="DP322" s="505"/>
    </row>
    <row r="323" spans="1:120" hidden="1" outlineLevel="1" x14ac:dyDescent="0.2">
      <c r="A323" s="517">
        <f t="shared" si="49"/>
        <v>38749</v>
      </c>
      <c r="B323" s="517" t="str">
        <f t="shared" si="46"/>
        <v>1Q06</v>
      </c>
      <c r="C323" s="517" t="str">
        <f t="shared" si="50"/>
        <v>2Q06</v>
      </c>
      <c r="D323" s="518">
        <f t="shared" si="51"/>
        <v>38814</v>
      </c>
      <c r="E323" s="518">
        <f t="shared" si="51"/>
        <v>38754</v>
      </c>
      <c r="F323" s="520">
        <v>2.4990000000000001</v>
      </c>
      <c r="G323" s="521">
        <f t="shared" si="47"/>
        <v>0.27000000000000007</v>
      </c>
      <c r="H323" s="521">
        <f t="shared" si="48"/>
        <v>0.27000000000000007</v>
      </c>
      <c r="I323" s="505"/>
      <c r="J323" s="505"/>
      <c r="K323" s="505"/>
      <c r="L323" s="505"/>
      <c r="M323" s="528"/>
      <c r="N323" s="505"/>
      <c r="O323" s="505"/>
      <c r="P323" s="505"/>
      <c r="Q323" s="505"/>
      <c r="R323" s="505"/>
      <c r="S323" s="505"/>
      <c r="T323" s="505"/>
      <c r="U323" s="505"/>
      <c r="V323" s="505"/>
      <c r="W323" s="505"/>
      <c r="X323" s="505"/>
      <c r="Y323" s="505"/>
      <c r="Z323" s="505"/>
      <c r="AA323" s="505"/>
      <c r="AB323" s="505"/>
      <c r="AC323" s="505"/>
      <c r="AD323" s="505"/>
      <c r="AE323" s="505"/>
      <c r="AF323" s="505"/>
      <c r="AG323" s="505"/>
      <c r="AH323" s="505"/>
      <c r="AI323" s="505"/>
      <c r="AJ323" s="505"/>
      <c r="AK323" s="505"/>
      <c r="AL323" s="505"/>
      <c r="AM323" s="505"/>
      <c r="AN323" s="505"/>
      <c r="AO323" s="505"/>
      <c r="AP323" s="505"/>
      <c r="AQ323" s="505"/>
      <c r="AR323" s="505"/>
      <c r="AS323" s="505"/>
      <c r="AT323" s="505"/>
      <c r="AU323" s="505"/>
      <c r="AV323" s="505"/>
      <c r="AW323" s="505"/>
      <c r="AX323" s="505"/>
      <c r="AY323" s="505"/>
      <c r="AZ323" s="505"/>
      <c r="BA323" s="505"/>
      <c r="BB323" s="505"/>
      <c r="BC323" s="505"/>
      <c r="BD323" s="505"/>
      <c r="BE323" s="505"/>
      <c r="BF323" s="505"/>
      <c r="BG323" s="505"/>
      <c r="BH323" s="505"/>
      <c r="BI323" s="505"/>
      <c r="BJ323" s="505"/>
      <c r="BK323" s="505"/>
      <c r="BL323" s="505"/>
      <c r="BM323" s="505"/>
      <c r="BN323" s="505"/>
      <c r="BO323" s="505"/>
      <c r="BP323" s="505"/>
      <c r="BQ323" s="505"/>
      <c r="BR323" s="505"/>
      <c r="BS323" s="505"/>
      <c r="BT323" s="505"/>
      <c r="BU323" s="505"/>
      <c r="BV323" s="505"/>
      <c r="BW323" s="505"/>
      <c r="BX323" s="505"/>
      <c r="BY323" s="505"/>
      <c r="BZ323" s="505"/>
      <c r="CA323" s="505"/>
      <c r="CB323" s="505"/>
      <c r="CC323" s="505"/>
      <c r="CD323" s="505"/>
      <c r="CE323" s="505"/>
      <c r="CF323" s="505"/>
      <c r="CG323" s="505"/>
      <c r="CH323" s="505"/>
      <c r="CI323" s="505"/>
      <c r="CJ323" s="505"/>
      <c r="CK323" s="505"/>
      <c r="CL323" s="505"/>
      <c r="CM323" s="505"/>
      <c r="CN323" s="505"/>
      <c r="CO323" s="505"/>
      <c r="CP323" s="505"/>
      <c r="CQ323" s="505"/>
      <c r="CR323" s="505"/>
      <c r="CS323" s="505"/>
      <c r="CT323" s="505"/>
      <c r="CU323" s="505"/>
      <c r="CV323" s="505"/>
      <c r="CW323" s="505"/>
      <c r="CX323" s="505"/>
      <c r="CY323" s="505"/>
      <c r="CZ323" s="505"/>
      <c r="DA323" s="505"/>
      <c r="DB323" s="505"/>
      <c r="DC323" s="505"/>
      <c r="DD323" s="505"/>
      <c r="DE323" s="505"/>
      <c r="DF323" s="505"/>
      <c r="DG323" s="505"/>
      <c r="DH323" s="505"/>
      <c r="DI323" s="505"/>
      <c r="DJ323" s="505"/>
      <c r="DK323" s="505"/>
      <c r="DL323" s="505"/>
      <c r="DM323" s="505"/>
      <c r="DN323" s="505"/>
      <c r="DO323" s="505"/>
      <c r="DP323" s="505"/>
    </row>
    <row r="324" spans="1:120" hidden="1" outlineLevel="1" x14ac:dyDescent="0.2">
      <c r="A324" s="517">
        <f t="shared" si="49"/>
        <v>38749</v>
      </c>
      <c r="B324" s="517" t="str">
        <f t="shared" ref="B324:B387" si="52">VLOOKUP(MONTH(A324),$N$4:$O$16,2,FALSE) &amp; "Q" &amp; RIGHT(YEAR(A324),2)</f>
        <v>1Q06</v>
      </c>
      <c r="C324" s="517" t="str">
        <f t="shared" si="50"/>
        <v>2Q06</v>
      </c>
      <c r="D324" s="518">
        <f t="shared" si="51"/>
        <v>38821</v>
      </c>
      <c r="E324" s="518">
        <f t="shared" si="51"/>
        <v>38761</v>
      </c>
      <c r="F324" s="520">
        <v>2.476</v>
      </c>
      <c r="G324" s="521">
        <f t="shared" ref="G324:G387" si="53">INDEX($I$4:$K$153,MATCH(F324,$I$4:$I$153,1),3)</f>
        <v>0.27000000000000007</v>
      </c>
      <c r="H324" s="521">
        <f t="shared" ref="H324:H387" si="54">G325</f>
        <v>0.27000000000000007</v>
      </c>
      <c r="I324" s="505"/>
      <c r="J324" s="505"/>
      <c r="K324" s="505"/>
      <c r="L324" s="505"/>
      <c r="M324" s="528"/>
      <c r="N324" s="505"/>
      <c r="O324" s="505"/>
      <c r="P324" s="505"/>
      <c r="Q324" s="505"/>
      <c r="R324" s="505"/>
      <c r="S324" s="505"/>
      <c r="T324" s="505"/>
      <c r="U324" s="505"/>
      <c r="V324" s="505"/>
      <c r="W324" s="505"/>
      <c r="X324" s="505"/>
      <c r="Y324" s="505"/>
      <c r="Z324" s="505"/>
      <c r="AA324" s="505"/>
      <c r="AB324" s="505"/>
      <c r="AC324" s="505"/>
      <c r="AD324" s="505"/>
      <c r="AE324" s="505"/>
      <c r="AF324" s="505"/>
      <c r="AG324" s="505"/>
      <c r="AH324" s="505"/>
      <c r="AI324" s="505"/>
      <c r="AJ324" s="505"/>
      <c r="AK324" s="505"/>
      <c r="AL324" s="505"/>
      <c r="AM324" s="505"/>
      <c r="AN324" s="505"/>
      <c r="AO324" s="505"/>
      <c r="AP324" s="505"/>
      <c r="AQ324" s="505"/>
      <c r="AR324" s="505"/>
      <c r="AS324" s="505"/>
      <c r="AT324" s="505"/>
      <c r="AU324" s="505"/>
      <c r="AV324" s="505"/>
      <c r="AW324" s="505"/>
      <c r="AX324" s="505"/>
      <c r="AY324" s="505"/>
      <c r="AZ324" s="505"/>
      <c r="BA324" s="505"/>
      <c r="BB324" s="505"/>
      <c r="BC324" s="505"/>
      <c r="BD324" s="505"/>
      <c r="BE324" s="505"/>
      <c r="BF324" s="505"/>
      <c r="BG324" s="505"/>
      <c r="BH324" s="505"/>
      <c r="BI324" s="505"/>
      <c r="BJ324" s="505"/>
      <c r="BK324" s="505"/>
      <c r="BL324" s="505"/>
      <c r="BM324" s="505"/>
      <c r="BN324" s="505"/>
      <c r="BO324" s="505"/>
      <c r="BP324" s="505"/>
      <c r="BQ324" s="505"/>
      <c r="BR324" s="505"/>
      <c r="BS324" s="505"/>
      <c r="BT324" s="505"/>
      <c r="BU324" s="505"/>
      <c r="BV324" s="505"/>
      <c r="BW324" s="505"/>
      <c r="BX324" s="505"/>
      <c r="BY324" s="505"/>
      <c r="BZ324" s="505"/>
      <c r="CA324" s="505"/>
      <c r="CB324" s="505"/>
      <c r="CC324" s="505"/>
      <c r="CD324" s="505"/>
      <c r="CE324" s="505"/>
      <c r="CF324" s="505"/>
      <c r="CG324" s="505"/>
      <c r="CH324" s="505"/>
      <c r="CI324" s="505"/>
      <c r="CJ324" s="505"/>
      <c r="CK324" s="505"/>
      <c r="CL324" s="505"/>
      <c r="CM324" s="505"/>
      <c r="CN324" s="505"/>
      <c r="CO324" s="505"/>
      <c r="CP324" s="505"/>
      <c r="CQ324" s="505"/>
      <c r="CR324" s="505"/>
      <c r="CS324" s="505"/>
      <c r="CT324" s="505"/>
      <c r="CU324" s="505"/>
      <c r="CV324" s="505"/>
      <c r="CW324" s="505"/>
      <c r="CX324" s="505"/>
      <c r="CY324" s="505"/>
      <c r="CZ324" s="505"/>
      <c r="DA324" s="505"/>
      <c r="DB324" s="505"/>
      <c r="DC324" s="505"/>
      <c r="DD324" s="505"/>
      <c r="DE324" s="505"/>
      <c r="DF324" s="505"/>
      <c r="DG324" s="505"/>
      <c r="DH324" s="505"/>
      <c r="DI324" s="505"/>
      <c r="DJ324" s="505"/>
      <c r="DK324" s="505"/>
      <c r="DL324" s="505"/>
      <c r="DM324" s="505"/>
      <c r="DN324" s="505"/>
      <c r="DO324" s="505"/>
      <c r="DP324" s="505"/>
    </row>
    <row r="325" spans="1:120" hidden="1" outlineLevel="1" x14ac:dyDescent="0.2">
      <c r="A325" s="517">
        <f t="shared" ref="A325:A388" si="55">DATE(YEAR(E325),MONTH(E325),1)</f>
        <v>38749</v>
      </c>
      <c r="B325" s="517" t="str">
        <f t="shared" si="52"/>
        <v>1Q06</v>
      </c>
      <c r="C325" s="517" t="str">
        <f t="shared" ref="C325:C388" si="56">VLOOKUP(MONTH(D325),$N$4:$O$16,2,FALSE) &amp; "Q" &amp; RIGHT(YEAR(D325),2)</f>
        <v>2Q06</v>
      </c>
      <c r="D325" s="518">
        <f t="shared" ref="D325:E388" si="57">D324+7</f>
        <v>38828</v>
      </c>
      <c r="E325" s="518">
        <f t="shared" si="57"/>
        <v>38768</v>
      </c>
      <c r="F325" s="520">
        <v>2.4550000000000001</v>
      </c>
      <c r="G325" s="521">
        <f t="shared" si="53"/>
        <v>0.27000000000000007</v>
      </c>
      <c r="H325" s="521">
        <f t="shared" si="54"/>
        <v>0.27000000000000007</v>
      </c>
      <c r="I325" s="505"/>
      <c r="J325" s="505"/>
      <c r="K325" s="505"/>
      <c r="L325" s="505"/>
      <c r="M325" s="528"/>
      <c r="N325" s="505"/>
      <c r="O325" s="505"/>
      <c r="P325" s="505"/>
      <c r="Q325" s="505"/>
      <c r="R325" s="505"/>
      <c r="S325" s="505"/>
      <c r="T325" s="505"/>
      <c r="U325" s="505"/>
      <c r="V325" s="505"/>
      <c r="W325" s="505"/>
      <c r="X325" s="505"/>
      <c r="Y325" s="505"/>
      <c r="Z325" s="505"/>
      <c r="AA325" s="505"/>
      <c r="AB325" s="505"/>
      <c r="AC325" s="505"/>
      <c r="AD325" s="505"/>
      <c r="AE325" s="505"/>
      <c r="AF325" s="505"/>
      <c r="AG325" s="505"/>
      <c r="AH325" s="505"/>
      <c r="AI325" s="505"/>
      <c r="AJ325" s="505"/>
      <c r="AK325" s="505"/>
      <c r="AL325" s="505"/>
      <c r="AM325" s="505"/>
      <c r="AN325" s="505"/>
      <c r="AO325" s="505"/>
      <c r="AP325" s="505"/>
      <c r="AQ325" s="505"/>
      <c r="AR325" s="505"/>
      <c r="AS325" s="505"/>
      <c r="AT325" s="505"/>
      <c r="AU325" s="505"/>
      <c r="AV325" s="505"/>
      <c r="AW325" s="505"/>
      <c r="AX325" s="505"/>
      <c r="AY325" s="505"/>
      <c r="AZ325" s="505"/>
      <c r="BA325" s="505"/>
      <c r="BB325" s="505"/>
      <c r="BC325" s="505"/>
      <c r="BD325" s="505"/>
      <c r="BE325" s="505"/>
      <c r="BF325" s="505"/>
      <c r="BG325" s="505"/>
      <c r="BH325" s="505"/>
      <c r="BI325" s="505"/>
      <c r="BJ325" s="505"/>
      <c r="BK325" s="505"/>
      <c r="BL325" s="505"/>
      <c r="BM325" s="505"/>
      <c r="BN325" s="505"/>
      <c r="BO325" s="505"/>
      <c r="BP325" s="505"/>
      <c r="BQ325" s="505"/>
      <c r="BR325" s="505"/>
      <c r="BS325" s="505"/>
      <c r="BT325" s="505"/>
      <c r="BU325" s="505"/>
      <c r="BV325" s="505"/>
      <c r="BW325" s="505"/>
      <c r="BX325" s="505"/>
      <c r="BY325" s="505"/>
      <c r="BZ325" s="505"/>
      <c r="CA325" s="505"/>
      <c r="CB325" s="505"/>
      <c r="CC325" s="505"/>
      <c r="CD325" s="505"/>
      <c r="CE325" s="505"/>
      <c r="CF325" s="505"/>
      <c r="CG325" s="505"/>
      <c r="CH325" s="505"/>
      <c r="CI325" s="505"/>
      <c r="CJ325" s="505"/>
      <c r="CK325" s="505"/>
      <c r="CL325" s="505"/>
      <c r="CM325" s="505"/>
      <c r="CN325" s="505"/>
      <c r="CO325" s="505"/>
      <c r="CP325" s="505"/>
      <c r="CQ325" s="505"/>
      <c r="CR325" s="505"/>
      <c r="CS325" s="505"/>
      <c r="CT325" s="505"/>
      <c r="CU325" s="505"/>
      <c r="CV325" s="505"/>
      <c r="CW325" s="505"/>
      <c r="CX325" s="505"/>
      <c r="CY325" s="505"/>
      <c r="CZ325" s="505"/>
      <c r="DA325" s="505"/>
      <c r="DB325" s="505"/>
      <c r="DC325" s="505"/>
      <c r="DD325" s="505"/>
      <c r="DE325" s="505"/>
      <c r="DF325" s="505"/>
      <c r="DG325" s="505"/>
      <c r="DH325" s="505"/>
      <c r="DI325" s="505"/>
      <c r="DJ325" s="505"/>
      <c r="DK325" s="505"/>
      <c r="DL325" s="505"/>
      <c r="DM325" s="505"/>
      <c r="DN325" s="505"/>
      <c r="DO325" s="505"/>
      <c r="DP325" s="505"/>
    </row>
    <row r="326" spans="1:120" hidden="1" outlineLevel="1" x14ac:dyDescent="0.2">
      <c r="A326" s="517">
        <f t="shared" si="55"/>
        <v>38749</v>
      </c>
      <c r="B326" s="517" t="str">
        <f t="shared" si="52"/>
        <v>1Q06</v>
      </c>
      <c r="C326" s="517" t="str">
        <f t="shared" si="56"/>
        <v>2Q06</v>
      </c>
      <c r="D326" s="518">
        <f t="shared" si="57"/>
        <v>38835</v>
      </c>
      <c r="E326" s="518">
        <f t="shared" si="57"/>
        <v>38775</v>
      </c>
      <c r="F326" s="520">
        <v>2.4710000000000001</v>
      </c>
      <c r="G326" s="521">
        <f t="shared" si="53"/>
        <v>0.27000000000000007</v>
      </c>
      <c r="H326" s="521">
        <f t="shared" si="54"/>
        <v>0.28000000000000008</v>
      </c>
      <c r="I326" s="505"/>
      <c r="J326" s="505"/>
      <c r="K326" s="505"/>
      <c r="L326" s="505"/>
      <c r="M326" s="528"/>
      <c r="N326" s="505"/>
      <c r="O326" s="505"/>
      <c r="P326" s="505"/>
      <c r="Q326" s="505"/>
      <c r="R326" s="505"/>
      <c r="S326" s="505"/>
      <c r="T326" s="505"/>
      <c r="U326" s="505"/>
      <c r="V326" s="505"/>
      <c r="W326" s="505"/>
      <c r="X326" s="505"/>
      <c r="Y326" s="505"/>
      <c r="Z326" s="505"/>
      <c r="AA326" s="505"/>
      <c r="AB326" s="505"/>
      <c r="AC326" s="505"/>
      <c r="AD326" s="505"/>
      <c r="AE326" s="505"/>
      <c r="AF326" s="505"/>
      <c r="AG326" s="505"/>
      <c r="AH326" s="505"/>
      <c r="AI326" s="505"/>
      <c r="AJ326" s="505"/>
      <c r="AK326" s="505"/>
      <c r="AL326" s="505"/>
      <c r="AM326" s="505"/>
      <c r="AN326" s="505"/>
      <c r="AO326" s="505"/>
      <c r="AP326" s="505"/>
      <c r="AQ326" s="505"/>
      <c r="AR326" s="505"/>
      <c r="AS326" s="505"/>
      <c r="AT326" s="505"/>
      <c r="AU326" s="505"/>
      <c r="AV326" s="505"/>
      <c r="AW326" s="505"/>
      <c r="AX326" s="505"/>
      <c r="AY326" s="505"/>
      <c r="AZ326" s="505"/>
      <c r="BA326" s="505"/>
      <c r="BB326" s="505"/>
      <c r="BC326" s="505"/>
      <c r="BD326" s="505"/>
      <c r="BE326" s="505"/>
      <c r="BF326" s="505"/>
      <c r="BG326" s="505"/>
      <c r="BH326" s="505"/>
      <c r="BI326" s="505"/>
      <c r="BJ326" s="505"/>
      <c r="BK326" s="505"/>
      <c r="BL326" s="505"/>
      <c r="BM326" s="505"/>
      <c r="BN326" s="505"/>
      <c r="BO326" s="505"/>
      <c r="BP326" s="505"/>
      <c r="BQ326" s="505"/>
      <c r="BR326" s="505"/>
      <c r="BS326" s="505"/>
      <c r="BT326" s="505"/>
      <c r="BU326" s="505"/>
      <c r="BV326" s="505"/>
      <c r="BW326" s="505"/>
      <c r="BX326" s="505"/>
      <c r="BY326" s="505"/>
      <c r="BZ326" s="505"/>
      <c r="CA326" s="505"/>
      <c r="CB326" s="505"/>
      <c r="CC326" s="505"/>
      <c r="CD326" s="505"/>
      <c r="CE326" s="505"/>
      <c r="CF326" s="505"/>
      <c r="CG326" s="505"/>
      <c r="CH326" s="505"/>
      <c r="CI326" s="505"/>
      <c r="CJ326" s="505"/>
      <c r="CK326" s="505"/>
      <c r="CL326" s="505"/>
      <c r="CM326" s="505"/>
      <c r="CN326" s="505"/>
      <c r="CO326" s="505"/>
      <c r="CP326" s="505"/>
      <c r="CQ326" s="505"/>
      <c r="CR326" s="505"/>
      <c r="CS326" s="505"/>
      <c r="CT326" s="505"/>
      <c r="CU326" s="505"/>
      <c r="CV326" s="505"/>
      <c r="CW326" s="505"/>
      <c r="CX326" s="505"/>
      <c r="CY326" s="505"/>
      <c r="CZ326" s="505"/>
      <c r="DA326" s="505"/>
      <c r="DB326" s="505"/>
      <c r="DC326" s="505"/>
      <c r="DD326" s="505"/>
      <c r="DE326" s="505"/>
      <c r="DF326" s="505"/>
      <c r="DG326" s="505"/>
      <c r="DH326" s="505"/>
      <c r="DI326" s="505"/>
      <c r="DJ326" s="505"/>
      <c r="DK326" s="505"/>
      <c r="DL326" s="505"/>
      <c r="DM326" s="505"/>
      <c r="DN326" s="505"/>
      <c r="DO326" s="505"/>
      <c r="DP326" s="505"/>
    </row>
    <row r="327" spans="1:120" hidden="1" outlineLevel="1" x14ac:dyDescent="0.2">
      <c r="A327" s="517">
        <f t="shared" si="55"/>
        <v>38777</v>
      </c>
      <c r="B327" s="517" t="str">
        <f t="shared" si="52"/>
        <v>1Q06</v>
      </c>
      <c r="C327" s="517" t="str">
        <f t="shared" si="56"/>
        <v>2Q06</v>
      </c>
      <c r="D327" s="518">
        <f t="shared" si="57"/>
        <v>38842</v>
      </c>
      <c r="E327" s="518">
        <f t="shared" si="57"/>
        <v>38782</v>
      </c>
      <c r="F327" s="520">
        <v>2.5449999999999999</v>
      </c>
      <c r="G327" s="521">
        <f t="shared" si="53"/>
        <v>0.28000000000000008</v>
      </c>
      <c r="H327" s="521">
        <f t="shared" si="54"/>
        <v>0.28000000000000008</v>
      </c>
      <c r="I327" s="505"/>
      <c r="J327" s="505"/>
      <c r="K327" s="505"/>
      <c r="L327" s="505"/>
      <c r="M327" s="528"/>
      <c r="N327" s="505"/>
      <c r="O327" s="505"/>
      <c r="P327" s="505"/>
      <c r="Q327" s="505"/>
      <c r="R327" s="505"/>
      <c r="S327" s="505"/>
      <c r="T327" s="505"/>
      <c r="U327" s="505"/>
      <c r="V327" s="505"/>
      <c r="W327" s="505"/>
      <c r="X327" s="505"/>
      <c r="Y327" s="505"/>
      <c r="Z327" s="505"/>
      <c r="AA327" s="505"/>
      <c r="AB327" s="505"/>
      <c r="AC327" s="505"/>
      <c r="AD327" s="505"/>
      <c r="AE327" s="505"/>
      <c r="AF327" s="505"/>
      <c r="AG327" s="505"/>
      <c r="AH327" s="505"/>
      <c r="AI327" s="505"/>
      <c r="AJ327" s="505"/>
      <c r="AK327" s="505"/>
      <c r="AL327" s="505"/>
      <c r="AM327" s="505"/>
      <c r="AN327" s="505"/>
      <c r="AO327" s="505"/>
      <c r="AP327" s="505"/>
      <c r="AQ327" s="505"/>
      <c r="AR327" s="505"/>
      <c r="AS327" s="505"/>
      <c r="AT327" s="505"/>
      <c r="AU327" s="505"/>
      <c r="AV327" s="505"/>
      <c r="AW327" s="505"/>
      <c r="AX327" s="505"/>
      <c r="AY327" s="505"/>
      <c r="AZ327" s="505"/>
      <c r="BA327" s="505"/>
      <c r="BB327" s="505"/>
      <c r="BC327" s="505"/>
      <c r="BD327" s="505"/>
      <c r="BE327" s="505"/>
      <c r="BF327" s="505"/>
      <c r="BG327" s="505"/>
      <c r="BH327" s="505"/>
      <c r="BI327" s="505"/>
      <c r="BJ327" s="505"/>
      <c r="BK327" s="505"/>
      <c r="BL327" s="505"/>
      <c r="BM327" s="505"/>
      <c r="BN327" s="505"/>
      <c r="BO327" s="505"/>
      <c r="BP327" s="505"/>
      <c r="BQ327" s="505"/>
      <c r="BR327" s="505"/>
      <c r="BS327" s="505"/>
      <c r="BT327" s="505"/>
      <c r="BU327" s="505"/>
      <c r="BV327" s="505"/>
      <c r="BW327" s="505"/>
      <c r="BX327" s="505"/>
      <c r="BY327" s="505"/>
      <c r="BZ327" s="505"/>
      <c r="CA327" s="505"/>
      <c r="CB327" s="505"/>
      <c r="CC327" s="505"/>
      <c r="CD327" s="505"/>
      <c r="CE327" s="505"/>
      <c r="CF327" s="505"/>
      <c r="CG327" s="505"/>
      <c r="CH327" s="505"/>
      <c r="CI327" s="505"/>
      <c r="CJ327" s="505"/>
      <c r="CK327" s="505"/>
      <c r="CL327" s="505"/>
      <c r="CM327" s="505"/>
      <c r="CN327" s="505"/>
      <c r="CO327" s="505"/>
      <c r="CP327" s="505"/>
      <c r="CQ327" s="505"/>
      <c r="CR327" s="505"/>
      <c r="CS327" s="505"/>
      <c r="CT327" s="505"/>
      <c r="CU327" s="505"/>
      <c r="CV327" s="505"/>
      <c r="CW327" s="505"/>
      <c r="CX327" s="505"/>
      <c r="CY327" s="505"/>
      <c r="CZ327" s="505"/>
      <c r="DA327" s="505"/>
      <c r="DB327" s="505"/>
      <c r="DC327" s="505"/>
      <c r="DD327" s="505"/>
      <c r="DE327" s="505"/>
      <c r="DF327" s="505"/>
      <c r="DG327" s="505"/>
      <c r="DH327" s="505"/>
      <c r="DI327" s="505"/>
      <c r="DJ327" s="505"/>
      <c r="DK327" s="505"/>
      <c r="DL327" s="505"/>
      <c r="DM327" s="505"/>
      <c r="DN327" s="505"/>
      <c r="DO327" s="505"/>
      <c r="DP327" s="505"/>
    </row>
    <row r="328" spans="1:120" hidden="1" outlineLevel="1" x14ac:dyDescent="0.2">
      <c r="A328" s="517">
        <f t="shared" si="55"/>
        <v>38777</v>
      </c>
      <c r="B328" s="517" t="str">
        <f t="shared" si="52"/>
        <v>1Q06</v>
      </c>
      <c r="C328" s="517" t="str">
        <f t="shared" si="56"/>
        <v>2Q06</v>
      </c>
      <c r="D328" s="518">
        <f t="shared" si="57"/>
        <v>38849</v>
      </c>
      <c r="E328" s="518">
        <f t="shared" si="57"/>
        <v>38789</v>
      </c>
      <c r="F328" s="520">
        <v>2.5430000000000001</v>
      </c>
      <c r="G328" s="521">
        <f t="shared" si="53"/>
        <v>0.28000000000000008</v>
      </c>
      <c r="H328" s="521">
        <f t="shared" si="54"/>
        <v>0.29000000000000009</v>
      </c>
      <c r="I328" s="505"/>
      <c r="J328" s="505"/>
      <c r="K328" s="505"/>
      <c r="L328" s="505"/>
      <c r="M328" s="528"/>
      <c r="N328" s="505"/>
      <c r="O328" s="505"/>
      <c r="P328" s="505"/>
      <c r="Q328" s="505"/>
      <c r="R328" s="505"/>
      <c r="S328" s="505"/>
      <c r="T328" s="505"/>
      <c r="U328" s="505"/>
      <c r="V328" s="505"/>
      <c r="W328" s="505"/>
      <c r="X328" s="505"/>
      <c r="Y328" s="505"/>
      <c r="Z328" s="505"/>
      <c r="AA328" s="505"/>
      <c r="AB328" s="505"/>
      <c r="AC328" s="505"/>
      <c r="AD328" s="505"/>
      <c r="AE328" s="505"/>
      <c r="AF328" s="505"/>
      <c r="AG328" s="505"/>
      <c r="AH328" s="505"/>
      <c r="AI328" s="505"/>
      <c r="AJ328" s="505"/>
      <c r="AK328" s="505"/>
      <c r="AL328" s="505"/>
      <c r="AM328" s="505"/>
      <c r="AN328" s="505"/>
      <c r="AO328" s="505"/>
      <c r="AP328" s="505"/>
      <c r="AQ328" s="505"/>
      <c r="AR328" s="505"/>
      <c r="AS328" s="505"/>
      <c r="AT328" s="505"/>
      <c r="AU328" s="505"/>
      <c r="AV328" s="505"/>
      <c r="AW328" s="505"/>
      <c r="AX328" s="505"/>
      <c r="AY328" s="505"/>
      <c r="AZ328" s="505"/>
      <c r="BA328" s="505"/>
      <c r="BB328" s="505"/>
      <c r="BC328" s="505"/>
      <c r="BD328" s="505"/>
      <c r="BE328" s="505"/>
      <c r="BF328" s="505"/>
      <c r="BG328" s="505"/>
      <c r="BH328" s="505"/>
      <c r="BI328" s="505"/>
      <c r="BJ328" s="505"/>
      <c r="BK328" s="505"/>
      <c r="BL328" s="505"/>
      <c r="BM328" s="505"/>
      <c r="BN328" s="505"/>
      <c r="BO328" s="505"/>
      <c r="BP328" s="505"/>
      <c r="BQ328" s="505"/>
      <c r="BR328" s="505"/>
      <c r="BS328" s="505"/>
      <c r="BT328" s="505"/>
      <c r="BU328" s="505"/>
      <c r="BV328" s="505"/>
      <c r="BW328" s="505"/>
      <c r="BX328" s="505"/>
      <c r="BY328" s="505"/>
      <c r="BZ328" s="505"/>
      <c r="CA328" s="505"/>
      <c r="CB328" s="505"/>
      <c r="CC328" s="505"/>
      <c r="CD328" s="505"/>
      <c r="CE328" s="505"/>
      <c r="CF328" s="505"/>
      <c r="CG328" s="505"/>
      <c r="CH328" s="505"/>
      <c r="CI328" s="505"/>
      <c r="CJ328" s="505"/>
      <c r="CK328" s="505"/>
      <c r="CL328" s="505"/>
      <c r="CM328" s="505"/>
      <c r="CN328" s="505"/>
      <c r="CO328" s="505"/>
      <c r="CP328" s="505"/>
      <c r="CQ328" s="505"/>
      <c r="CR328" s="505"/>
      <c r="CS328" s="505"/>
      <c r="CT328" s="505"/>
      <c r="CU328" s="505"/>
      <c r="CV328" s="505"/>
      <c r="CW328" s="505"/>
      <c r="CX328" s="505"/>
      <c r="CY328" s="505"/>
      <c r="CZ328" s="505"/>
      <c r="DA328" s="505"/>
      <c r="DB328" s="505"/>
      <c r="DC328" s="505"/>
      <c r="DD328" s="505"/>
      <c r="DE328" s="505"/>
      <c r="DF328" s="505"/>
      <c r="DG328" s="505"/>
      <c r="DH328" s="505"/>
      <c r="DI328" s="505"/>
      <c r="DJ328" s="505"/>
      <c r="DK328" s="505"/>
      <c r="DL328" s="505"/>
      <c r="DM328" s="505"/>
      <c r="DN328" s="505"/>
      <c r="DO328" s="505"/>
      <c r="DP328" s="505"/>
    </row>
    <row r="329" spans="1:120" hidden="1" outlineLevel="1" x14ac:dyDescent="0.2">
      <c r="A329" s="517">
        <f t="shared" si="55"/>
        <v>38777</v>
      </c>
      <c r="B329" s="517" t="str">
        <f t="shared" si="52"/>
        <v>1Q06</v>
      </c>
      <c r="C329" s="517" t="str">
        <f t="shared" si="56"/>
        <v>2Q06</v>
      </c>
      <c r="D329" s="518">
        <f t="shared" si="57"/>
        <v>38856</v>
      </c>
      <c r="E329" s="518">
        <f t="shared" si="57"/>
        <v>38796</v>
      </c>
      <c r="F329" s="520">
        <v>2.581</v>
      </c>
      <c r="G329" s="521">
        <f t="shared" si="53"/>
        <v>0.29000000000000009</v>
      </c>
      <c r="H329" s="521">
        <f t="shared" si="54"/>
        <v>0.29000000000000009</v>
      </c>
      <c r="I329" s="505"/>
      <c r="J329" s="505"/>
      <c r="K329" s="505"/>
      <c r="L329" s="505"/>
      <c r="M329" s="528"/>
      <c r="N329" s="505"/>
      <c r="O329" s="505"/>
      <c r="P329" s="505"/>
      <c r="Q329" s="505"/>
      <c r="R329" s="505"/>
      <c r="S329" s="505"/>
      <c r="T329" s="505"/>
      <c r="U329" s="505"/>
      <c r="V329" s="505"/>
      <c r="W329" s="505"/>
      <c r="X329" s="505"/>
      <c r="Y329" s="505"/>
      <c r="Z329" s="505"/>
      <c r="AA329" s="505"/>
      <c r="AB329" s="505"/>
      <c r="AC329" s="505"/>
      <c r="AD329" s="505"/>
      <c r="AE329" s="505"/>
      <c r="AF329" s="505"/>
      <c r="AG329" s="505"/>
      <c r="AH329" s="505"/>
      <c r="AI329" s="505"/>
      <c r="AJ329" s="505"/>
      <c r="AK329" s="505"/>
      <c r="AL329" s="505"/>
      <c r="AM329" s="505"/>
      <c r="AN329" s="505"/>
      <c r="AO329" s="505"/>
      <c r="AP329" s="505"/>
      <c r="AQ329" s="505"/>
      <c r="AR329" s="505"/>
      <c r="AS329" s="505"/>
      <c r="AT329" s="505"/>
      <c r="AU329" s="505"/>
      <c r="AV329" s="505"/>
      <c r="AW329" s="505"/>
      <c r="AX329" s="505"/>
      <c r="AY329" s="505"/>
      <c r="AZ329" s="505"/>
      <c r="BA329" s="505"/>
      <c r="BB329" s="505"/>
      <c r="BC329" s="505"/>
      <c r="BD329" s="505"/>
      <c r="BE329" s="505"/>
      <c r="BF329" s="505"/>
      <c r="BG329" s="505"/>
      <c r="BH329" s="505"/>
      <c r="BI329" s="505"/>
      <c r="BJ329" s="505"/>
      <c r="BK329" s="505"/>
      <c r="BL329" s="505"/>
      <c r="BM329" s="505"/>
      <c r="BN329" s="505"/>
      <c r="BO329" s="505"/>
      <c r="BP329" s="505"/>
      <c r="BQ329" s="505"/>
      <c r="BR329" s="505"/>
      <c r="BS329" s="505"/>
      <c r="BT329" s="505"/>
      <c r="BU329" s="505"/>
      <c r="BV329" s="505"/>
      <c r="BW329" s="505"/>
      <c r="BX329" s="505"/>
      <c r="BY329" s="505"/>
      <c r="BZ329" s="505"/>
      <c r="CA329" s="505"/>
      <c r="CB329" s="505"/>
      <c r="CC329" s="505"/>
      <c r="CD329" s="505"/>
      <c r="CE329" s="505"/>
      <c r="CF329" s="505"/>
      <c r="CG329" s="505"/>
      <c r="CH329" s="505"/>
      <c r="CI329" s="505"/>
      <c r="CJ329" s="505"/>
      <c r="CK329" s="505"/>
      <c r="CL329" s="505"/>
      <c r="CM329" s="505"/>
      <c r="CN329" s="505"/>
      <c r="CO329" s="505"/>
      <c r="CP329" s="505"/>
      <c r="CQ329" s="505"/>
      <c r="CR329" s="505"/>
      <c r="CS329" s="505"/>
      <c r="CT329" s="505"/>
      <c r="CU329" s="505"/>
      <c r="CV329" s="505"/>
      <c r="CW329" s="505"/>
      <c r="CX329" s="505"/>
      <c r="CY329" s="505"/>
      <c r="CZ329" s="505"/>
      <c r="DA329" s="505"/>
      <c r="DB329" s="505"/>
      <c r="DC329" s="505"/>
      <c r="DD329" s="505"/>
      <c r="DE329" s="505"/>
      <c r="DF329" s="505"/>
      <c r="DG329" s="505"/>
      <c r="DH329" s="505"/>
      <c r="DI329" s="505"/>
      <c r="DJ329" s="505"/>
      <c r="DK329" s="505"/>
      <c r="DL329" s="505"/>
      <c r="DM329" s="505"/>
      <c r="DN329" s="505"/>
      <c r="DO329" s="505"/>
      <c r="DP329" s="505"/>
    </row>
    <row r="330" spans="1:120" hidden="1" outlineLevel="1" x14ac:dyDescent="0.2">
      <c r="A330" s="517">
        <f t="shared" si="55"/>
        <v>38777</v>
      </c>
      <c r="B330" s="517" t="str">
        <f t="shared" si="52"/>
        <v>1Q06</v>
      </c>
      <c r="C330" s="517" t="str">
        <f t="shared" si="56"/>
        <v>2Q06</v>
      </c>
      <c r="D330" s="518">
        <f t="shared" si="57"/>
        <v>38863</v>
      </c>
      <c r="E330" s="518">
        <f t="shared" si="57"/>
        <v>38803</v>
      </c>
      <c r="F330" s="520">
        <v>2.5649999999999999</v>
      </c>
      <c r="G330" s="521">
        <f t="shared" si="53"/>
        <v>0.29000000000000009</v>
      </c>
      <c r="H330" s="521">
        <f t="shared" si="54"/>
        <v>0.3000000000000001</v>
      </c>
      <c r="I330" s="505"/>
      <c r="J330" s="505"/>
      <c r="K330" s="505"/>
      <c r="L330" s="505"/>
      <c r="M330" s="528"/>
      <c r="N330" s="505"/>
      <c r="O330" s="505"/>
      <c r="P330" s="505"/>
      <c r="Q330" s="505"/>
      <c r="R330" s="505"/>
      <c r="S330" s="505"/>
      <c r="T330" s="505"/>
      <c r="U330" s="505"/>
      <c r="V330" s="505"/>
      <c r="W330" s="505"/>
      <c r="X330" s="505"/>
      <c r="Y330" s="505"/>
      <c r="Z330" s="505"/>
      <c r="AA330" s="505"/>
      <c r="AB330" s="505"/>
      <c r="AC330" s="505"/>
      <c r="AD330" s="505"/>
      <c r="AE330" s="505"/>
      <c r="AF330" s="505"/>
      <c r="AG330" s="505"/>
      <c r="AH330" s="505"/>
      <c r="AI330" s="505"/>
      <c r="AJ330" s="505"/>
      <c r="AK330" s="505"/>
      <c r="AL330" s="505"/>
      <c r="AM330" s="505"/>
      <c r="AN330" s="505"/>
      <c r="AO330" s="505"/>
      <c r="AP330" s="505"/>
      <c r="AQ330" s="505"/>
      <c r="AR330" s="505"/>
      <c r="AS330" s="505"/>
      <c r="AT330" s="505"/>
      <c r="AU330" s="505"/>
      <c r="AV330" s="505"/>
      <c r="AW330" s="505"/>
      <c r="AX330" s="505"/>
      <c r="AY330" s="505"/>
      <c r="AZ330" s="505"/>
      <c r="BA330" s="505"/>
      <c r="BB330" s="505"/>
      <c r="BC330" s="505"/>
      <c r="BD330" s="505"/>
      <c r="BE330" s="505"/>
      <c r="BF330" s="505"/>
      <c r="BG330" s="505"/>
      <c r="BH330" s="505"/>
      <c r="BI330" s="505"/>
      <c r="BJ330" s="505"/>
      <c r="BK330" s="505"/>
      <c r="BL330" s="505"/>
      <c r="BM330" s="505"/>
      <c r="BN330" s="505"/>
      <c r="BO330" s="505"/>
      <c r="BP330" s="505"/>
      <c r="BQ330" s="505"/>
      <c r="BR330" s="505"/>
      <c r="BS330" s="505"/>
      <c r="BT330" s="505"/>
      <c r="BU330" s="505"/>
      <c r="BV330" s="505"/>
      <c r="BW330" s="505"/>
      <c r="BX330" s="505"/>
      <c r="BY330" s="505"/>
      <c r="BZ330" s="505"/>
      <c r="CA330" s="505"/>
      <c r="CB330" s="505"/>
      <c r="CC330" s="505"/>
      <c r="CD330" s="505"/>
      <c r="CE330" s="505"/>
      <c r="CF330" s="505"/>
      <c r="CG330" s="505"/>
      <c r="CH330" s="505"/>
      <c r="CI330" s="505"/>
      <c r="CJ330" s="505"/>
      <c r="CK330" s="505"/>
      <c r="CL330" s="505"/>
      <c r="CM330" s="505"/>
      <c r="CN330" s="505"/>
      <c r="CO330" s="505"/>
      <c r="CP330" s="505"/>
      <c r="CQ330" s="505"/>
      <c r="CR330" s="505"/>
      <c r="CS330" s="505"/>
      <c r="CT330" s="505"/>
      <c r="CU330" s="505"/>
      <c r="CV330" s="505"/>
      <c r="CW330" s="505"/>
      <c r="CX330" s="505"/>
      <c r="CY330" s="505"/>
      <c r="CZ330" s="505"/>
      <c r="DA330" s="505"/>
      <c r="DB330" s="505"/>
      <c r="DC330" s="505"/>
      <c r="DD330" s="505"/>
      <c r="DE330" s="505"/>
      <c r="DF330" s="505"/>
      <c r="DG330" s="505"/>
      <c r="DH330" s="505"/>
      <c r="DI330" s="505"/>
      <c r="DJ330" s="505"/>
      <c r="DK330" s="505"/>
      <c r="DL330" s="505"/>
      <c r="DM330" s="505"/>
      <c r="DN330" s="505"/>
      <c r="DO330" s="505"/>
      <c r="DP330" s="505"/>
    </row>
    <row r="331" spans="1:120" hidden="1" outlineLevel="1" x14ac:dyDescent="0.2">
      <c r="A331" s="517">
        <f t="shared" si="55"/>
        <v>38808</v>
      </c>
      <c r="B331" s="517" t="str">
        <f t="shared" si="52"/>
        <v>2Q06</v>
      </c>
      <c r="C331" s="517" t="str">
        <f t="shared" si="56"/>
        <v>2Q06</v>
      </c>
      <c r="D331" s="518">
        <f t="shared" si="57"/>
        <v>38870</v>
      </c>
      <c r="E331" s="518">
        <f t="shared" si="57"/>
        <v>38810</v>
      </c>
      <c r="F331" s="520">
        <v>2.617</v>
      </c>
      <c r="G331" s="521">
        <f t="shared" si="53"/>
        <v>0.3000000000000001</v>
      </c>
      <c r="H331" s="521">
        <f t="shared" si="54"/>
        <v>0.31000000000000011</v>
      </c>
      <c r="I331" s="505"/>
      <c r="J331" s="505"/>
      <c r="K331" s="505"/>
      <c r="L331" s="505"/>
      <c r="M331" s="528"/>
      <c r="N331" s="505"/>
      <c r="O331" s="505"/>
      <c r="P331" s="505"/>
      <c r="Q331" s="505"/>
      <c r="R331" s="505"/>
      <c r="S331" s="505"/>
      <c r="T331" s="505"/>
      <c r="U331" s="505"/>
      <c r="V331" s="505"/>
      <c r="W331" s="505"/>
      <c r="X331" s="505"/>
      <c r="Y331" s="505"/>
      <c r="Z331" s="505"/>
      <c r="AA331" s="505"/>
      <c r="AB331" s="505"/>
      <c r="AC331" s="505"/>
      <c r="AD331" s="505"/>
      <c r="AE331" s="505"/>
      <c r="AF331" s="505"/>
      <c r="AG331" s="505"/>
      <c r="AH331" s="505"/>
      <c r="AI331" s="505"/>
      <c r="AJ331" s="505"/>
      <c r="AK331" s="505"/>
      <c r="AL331" s="505"/>
      <c r="AM331" s="505"/>
      <c r="AN331" s="505"/>
      <c r="AO331" s="505"/>
      <c r="AP331" s="505"/>
      <c r="AQ331" s="505"/>
      <c r="AR331" s="505"/>
      <c r="AS331" s="505"/>
      <c r="AT331" s="505"/>
      <c r="AU331" s="505"/>
      <c r="AV331" s="505"/>
      <c r="AW331" s="505"/>
      <c r="AX331" s="505"/>
      <c r="AY331" s="505"/>
      <c r="AZ331" s="505"/>
      <c r="BA331" s="505"/>
      <c r="BB331" s="505"/>
      <c r="BC331" s="505"/>
      <c r="BD331" s="505"/>
      <c r="BE331" s="505"/>
      <c r="BF331" s="505"/>
      <c r="BG331" s="505"/>
      <c r="BH331" s="505"/>
      <c r="BI331" s="505"/>
      <c r="BJ331" s="505"/>
      <c r="BK331" s="505"/>
      <c r="BL331" s="505"/>
      <c r="BM331" s="505"/>
      <c r="BN331" s="505"/>
      <c r="BO331" s="505"/>
      <c r="BP331" s="505"/>
      <c r="BQ331" s="505"/>
      <c r="BR331" s="505"/>
      <c r="BS331" s="505"/>
      <c r="BT331" s="505"/>
      <c r="BU331" s="505"/>
      <c r="BV331" s="505"/>
      <c r="BW331" s="505"/>
      <c r="BX331" s="505"/>
      <c r="BY331" s="505"/>
      <c r="BZ331" s="505"/>
      <c r="CA331" s="505"/>
      <c r="CB331" s="505"/>
      <c r="CC331" s="505"/>
      <c r="CD331" s="505"/>
      <c r="CE331" s="505"/>
      <c r="CF331" s="505"/>
      <c r="CG331" s="505"/>
      <c r="CH331" s="505"/>
      <c r="CI331" s="505"/>
      <c r="CJ331" s="505"/>
      <c r="CK331" s="505"/>
      <c r="CL331" s="505"/>
      <c r="CM331" s="505"/>
      <c r="CN331" s="505"/>
      <c r="CO331" s="505"/>
      <c r="CP331" s="505"/>
      <c r="CQ331" s="505"/>
      <c r="CR331" s="505"/>
      <c r="CS331" s="505"/>
      <c r="CT331" s="505"/>
      <c r="CU331" s="505"/>
      <c r="CV331" s="505"/>
      <c r="CW331" s="505"/>
      <c r="CX331" s="505"/>
      <c r="CY331" s="505"/>
      <c r="CZ331" s="505"/>
      <c r="DA331" s="505"/>
      <c r="DB331" s="505"/>
      <c r="DC331" s="505"/>
      <c r="DD331" s="505"/>
      <c r="DE331" s="505"/>
      <c r="DF331" s="505"/>
      <c r="DG331" s="505"/>
      <c r="DH331" s="505"/>
      <c r="DI331" s="505"/>
      <c r="DJ331" s="505"/>
      <c r="DK331" s="505"/>
      <c r="DL331" s="505"/>
      <c r="DM331" s="505"/>
      <c r="DN331" s="505"/>
      <c r="DO331" s="505"/>
      <c r="DP331" s="505"/>
    </row>
    <row r="332" spans="1:120" hidden="1" outlineLevel="1" x14ac:dyDescent="0.2">
      <c r="A332" s="517">
        <f t="shared" si="55"/>
        <v>38808</v>
      </c>
      <c r="B332" s="517" t="str">
        <f t="shared" si="52"/>
        <v>2Q06</v>
      </c>
      <c r="C332" s="517" t="str">
        <f t="shared" si="56"/>
        <v>2Q06</v>
      </c>
      <c r="D332" s="518">
        <f t="shared" si="57"/>
        <v>38877</v>
      </c>
      <c r="E332" s="518">
        <f t="shared" si="57"/>
        <v>38817</v>
      </c>
      <c r="F332" s="520">
        <v>2.6539999999999999</v>
      </c>
      <c r="G332" s="521">
        <f t="shared" si="53"/>
        <v>0.31000000000000011</v>
      </c>
      <c r="H332" s="521">
        <f t="shared" si="54"/>
        <v>0.33000000000000013</v>
      </c>
      <c r="I332" s="505"/>
      <c r="J332" s="505"/>
      <c r="K332" s="505"/>
      <c r="L332" s="505"/>
      <c r="M332" s="528"/>
      <c r="N332" s="505"/>
      <c r="O332" s="505"/>
      <c r="P332" s="505"/>
      <c r="Q332" s="505"/>
      <c r="R332" s="505"/>
      <c r="S332" s="505"/>
      <c r="T332" s="505"/>
      <c r="U332" s="505"/>
      <c r="V332" s="505"/>
      <c r="W332" s="505"/>
      <c r="X332" s="505"/>
      <c r="Y332" s="505"/>
      <c r="Z332" s="505"/>
      <c r="AA332" s="505"/>
      <c r="AB332" s="505"/>
      <c r="AC332" s="505"/>
      <c r="AD332" s="505"/>
      <c r="AE332" s="505"/>
      <c r="AF332" s="505"/>
      <c r="AG332" s="505"/>
      <c r="AH332" s="505"/>
      <c r="AI332" s="505"/>
      <c r="AJ332" s="505"/>
      <c r="AK332" s="505"/>
      <c r="AL332" s="505"/>
      <c r="AM332" s="505"/>
      <c r="AN332" s="505"/>
      <c r="AO332" s="505"/>
      <c r="AP332" s="505"/>
      <c r="AQ332" s="505"/>
      <c r="AR332" s="505"/>
      <c r="AS332" s="505"/>
      <c r="AT332" s="505"/>
      <c r="AU332" s="505"/>
      <c r="AV332" s="505"/>
      <c r="AW332" s="505"/>
      <c r="AX332" s="505"/>
      <c r="AY332" s="505"/>
      <c r="AZ332" s="505"/>
      <c r="BA332" s="505"/>
      <c r="BB332" s="505"/>
      <c r="BC332" s="505"/>
      <c r="BD332" s="505"/>
      <c r="BE332" s="505"/>
      <c r="BF332" s="505"/>
      <c r="BG332" s="505"/>
      <c r="BH332" s="505"/>
      <c r="BI332" s="505"/>
      <c r="BJ332" s="505"/>
      <c r="BK332" s="505"/>
      <c r="BL332" s="505"/>
      <c r="BM332" s="505"/>
      <c r="BN332" s="505"/>
      <c r="BO332" s="505"/>
      <c r="BP332" s="505"/>
      <c r="BQ332" s="505"/>
      <c r="BR332" s="505"/>
      <c r="BS332" s="505"/>
      <c r="BT332" s="505"/>
      <c r="BU332" s="505"/>
      <c r="BV332" s="505"/>
      <c r="BW332" s="505"/>
      <c r="BX332" s="505"/>
      <c r="BY332" s="505"/>
      <c r="BZ332" s="505"/>
      <c r="CA332" s="505"/>
      <c r="CB332" s="505"/>
      <c r="CC332" s="505"/>
      <c r="CD332" s="505"/>
      <c r="CE332" s="505"/>
      <c r="CF332" s="505"/>
      <c r="CG332" s="505"/>
      <c r="CH332" s="505"/>
      <c r="CI332" s="505"/>
      <c r="CJ332" s="505"/>
      <c r="CK332" s="505"/>
      <c r="CL332" s="505"/>
      <c r="CM332" s="505"/>
      <c r="CN332" s="505"/>
      <c r="CO332" s="505"/>
      <c r="CP332" s="505"/>
      <c r="CQ332" s="505"/>
      <c r="CR332" s="505"/>
      <c r="CS332" s="505"/>
      <c r="CT332" s="505"/>
      <c r="CU332" s="505"/>
      <c r="CV332" s="505"/>
      <c r="CW332" s="505"/>
      <c r="CX332" s="505"/>
      <c r="CY332" s="505"/>
      <c r="CZ332" s="505"/>
      <c r="DA332" s="505"/>
      <c r="DB332" s="505"/>
      <c r="DC332" s="505"/>
      <c r="DD332" s="505"/>
      <c r="DE332" s="505"/>
      <c r="DF332" s="505"/>
      <c r="DG332" s="505"/>
      <c r="DH332" s="505"/>
      <c r="DI332" s="505"/>
      <c r="DJ332" s="505"/>
      <c r="DK332" s="505"/>
      <c r="DL332" s="505"/>
      <c r="DM332" s="505"/>
      <c r="DN332" s="505"/>
      <c r="DO332" s="505"/>
      <c r="DP332" s="505"/>
    </row>
    <row r="333" spans="1:120" hidden="1" outlineLevel="1" x14ac:dyDescent="0.2">
      <c r="A333" s="517">
        <f t="shared" si="55"/>
        <v>38808</v>
      </c>
      <c r="B333" s="517" t="str">
        <f t="shared" si="52"/>
        <v>2Q06</v>
      </c>
      <c r="C333" s="517" t="str">
        <f t="shared" si="56"/>
        <v>2Q06</v>
      </c>
      <c r="D333" s="518">
        <f t="shared" si="57"/>
        <v>38884</v>
      </c>
      <c r="E333" s="518">
        <f t="shared" si="57"/>
        <v>38824</v>
      </c>
      <c r="F333" s="520">
        <v>2.7650000000000001</v>
      </c>
      <c r="G333" s="521">
        <f t="shared" si="53"/>
        <v>0.33000000000000013</v>
      </c>
      <c r="H333" s="521">
        <f t="shared" si="54"/>
        <v>0.35000000000000014</v>
      </c>
      <c r="I333" s="505"/>
      <c r="J333" s="505"/>
      <c r="K333" s="505"/>
      <c r="L333" s="505"/>
      <c r="M333" s="528"/>
      <c r="N333" s="505"/>
      <c r="O333" s="505"/>
      <c r="P333" s="505"/>
      <c r="Q333" s="505"/>
      <c r="R333" s="505"/>
      <c r="S333" s="505"/>
      <c r="T333" s="505"/>
      <c r="U333" s="505"/>
      <c r="V333" s="505"/>
      <c r="W333" s="505"/>
      <c r="X333" s="505"/>
      <c r="Y333" s="505"/>
      <c r="Z333" s="505"/>
      <c r="AA333" s="505"/>
      <c r="AB333" s="505"/>
      <c r="AC333" s="505"/>
      <c r="AD333" s="505"/>
      <c r="AE333" s="505"/>
      <c r="AF333" s="505"/>
      <c r="AG333" s="505"/>
      <c r="AH333" s="505"/>
      <c r="AI333" s="505"/>
      <c r="AJ333" s="505"/>
      <c r="AK333" s="505"/>
      <c r="AL333" s="505"/>
      <c r="AM333" s="505"/>
      <c r="AN333" s="505"/>
      <c r="AO333" s="505"/>
      <c r="AP333" s="505"/>
      <c r="AQ333" s="505"/>
      <c r="AR333" s="505"/>
      <c r="AS333" s="505"/>
      <c r="AT333" s="505"/>
      <c r="AU333" s="505"/>
      <c r="AV333" s="505"/>
      <c r="AW333" s="505"/>
      <c r="AX333" s="505"/>
      <c r="AY333" s="505"/>
      <c r="AZ333" s="505"/>
      <c r="BA333" s="505"/>
      <c r="BB333" s="505"/>
      <c r="BC333" s="505"/>
      <c r="BD333" s="505"/>
      <c r="BE333" s="505"/>
      <c r="BF333" s="505"/>
      <c r="BG333" s="505"/>
      <c r="BH333" s="505"/>
      <c r="BI333" s="505"/>
      <c r="BJ333" s="505"/>
      <c r="BK333" s="505"/>
      <c r="BL333" s="505"/>
      <c r="BM333" s="505"/>
      <c r="BN333" s="505"/>
      <c r="BO333" s="505"/>
      <c r="BP333" s="505"/>
      <c r="BQ333" s="505"/>
      <c r="BR333" s="505"/>
      <c r="BS333" s="505"/>
      <c r="BT333" s="505"/>
      <c r="BU333" s="505"/>
      <c r="BV333" s="505"/>
      <c r="BW333" s="505"/>
      <c r="BX333" s="505"/>
      <c r="BY333" s="505"/>
      <c r="BZ333" s="505"/>
      <c r="CA333" s="505"/>
      <c r="CB333" s="505"/>
      <c r="CC333" s="505"/>
      <c r="CD333" s="505"/>
      <c r="CE333" s="505"/>
      <c r="CF333" s="505"/>
      <c r="CG333" s="505"/>
      <c r="CH333" s="505"/>
      <c r="CI333" s="505"/>
      <c r="CJ333" s="505"/>
      <c r="CK333" s="505"/>
      <c r="CL333" s="505"/>
      <c r="CM333" s="505"/>
      <c r="CN333" s="505"/>
      <c r="CO333" s="505"/>
      <c r="CP333" s="505"/>
      <c r="CQ333" s="505"/>
      <c r="CR333" s="505"/>
      <c r="CS333" s="505"/>
      <c r="CT333" s="505"/>
      <c r="CU333" s="505"/>
      <c r="CV333" s="505"/>
      <c r="CW333" s="505"/>
      <c r="CX333" s="505"/>
      <c r="CY333" s="505"/>
      <c r="CZ333" s="505"/>
      <c r="DA333" s="505"/>
      <c r="DB333" s="505"/>
      <c r="DC333" s="505"/>
      <c r="DD333" s="505"/>
      <c r="DE333" s="505"/>
      <c r="DF333" s="505"/>
      <c r="DG333" s="505"/>
      <c r="DH333" s="505"/>
      <c r="DI333" s="505"/>
      <c r="DJ333" s="505"/>
      <c r="DK333" s="505"/>
      <c r="DL333" s="505"/>
      <c r="DM333" s="505"/>
      <c r="DN333" s="505"/>
      <c r="DO333" s="505"/>
      <c r="DP333" s="505"/>
    </row>
    <row r="334" spans="1:120" hidden="1" outlineLevel="1" x14ac:dyDescent="0.2">
      <c r="A334" s="517">
        <f t="shared" si="55"/>
        <v>38808</v>
      </c>
      <c r="B334" s="517" t="str">
        <f t="shared" si="52"/>
        <v>2Q06</v>
      </c>
      <c r="C334" s="517" t="str">
        <f t="shared" si="56"/>
        <v>2Q06</v>
      </c>
      <c r="D334" s="518">
        <f t="shared" si="57"/>
        <v>38891</v>
      </c>
      <c r="E334" s="518">
        <f t="shared" si="57"/>
        <v>38831</v>
      </c>
      <c r="F334" s="520">
        <v>2.8759999999999999</v>
      </c>
      <c r="G334" s="521">
        <f t="shared" si="53"/>
        <v>0.35000000000000014</v>
      </c>
      <c r="H334" s="521">
        <f t="shared" si="54"/>
        <v>0.35000000000000014</v>
      </c>
      <c r="I334" s="505"/>
      <c r="J334" s="505"/>
      <c r="K334" s="505"/>
      <c r="L334" s="505"/>
      <c r="M334" s="528"/>
      <c r="N334" s="505"/>
      <c r="O334" s="505"/>
      <c r="P334" s="505"/>
      <c r="Q334" s="505"/>
      <c r="R334" s="505"/>
      <c r="S334" s="505"/>
      <c r="T334" s="505"/>
      <c r="U334" s="505"/>
      <c r="V334" s="505"/>
      <c r="W334" s="505"/>
      <c r="X334" s="505"/>
      <c r="Y334" s="505"/>
      <c r="Z334" s="505"/>
      <c r="AA334" s="505"/>
      <c r="AB334" s="505"/>
      <c r="AC334" s="505"/>
      <c r="AD334" s="505"/>
      <c r="AE334" s="505"/>
      <c r="AF334" s="505"/>
      <c r="AG334" s="505"/>
      <c r="AH334" s="505"/>
      <c r="AI334" s="505"/>
      <c r="AJ334" s="505"/>
      <c r="AK334" s="505"/>
      <c r="AL334" s="505"/>
      <c r="AM334" s="505"/>
      <c r="AN334" s="505"/>
      <c r="AO334" s="505"/>
      <c r="AP334" s="505"/>
      <c r="AQ334" s="505"/>
      <c r="AR334" s="505"/>
      <c r="AS334" s="505"/>
      <c r="AT334" s="505"/>
      <c r="AU334" s="505"/>
      <c r="AV334" s="505"/>
      <c r="AW334" s="505"/>
      <c r="AX334" s="505"/>
      <c r="AY334" s="505"/>
      <c r="AZ334" s="505"/>
      <c r="BA334" s="505"/>
      <c r="BB334" s="505"/>
      <c r="BC334" s="505"/>
      <c r="BD334" s="505"/>
      <c r="BE334" s="505"/>
      <c r="BF334" s="505"/>
      <c r="BG334" s="505"/>
      <c r="BH334" s="505"/>
      <c r="BI334" s="505"/>
      <c r="BJ334" s="505"/>
      <c r="BK334" s="505"/>
      <c r="BL334" s="505"/>
      <c r="BM334" s="505"/>
      <c r="BN334" s="505"/>
      <c r="BO334" s="505"/>
      <c r="BP334" s="505"/>
      <c r="BQ334" s="505"/>
      <c r="BR334" s="505"/>
      <c r="BS334" s="505"/>
      <c r="BT334" s="505"/>
      <c r="BU334" s="505"/>
      <c r="BV334" s="505"/>
      <c r="BW334" s="505"/>
      <c r="BX334" s="505"/>
      <c r="BY334" s="505"/>
      <c r="BZ334" s="505"/>
      <c r="CA334" s="505"/>
      <c r="CB334" s="505"/>
      <c r="CC334" s="505"/>
      <c r="CD334" s="505"/>
      <c r="CE334" s="505"/>
      <c r="CF334" s="505"/>
      <c r="CG334" s="505"/>
      <c r="CH334" s="505"/>
      <c r="CI334" s="505"/>
      <c r="CJ334" s="505"/>
      <c r="CK334" s="505"/>
      <c r="CL334" s="505"/>
      <c r="CM334" s="505"/>
      <c r="CN334" s="505"/>
      <c r="CO334" s="505"/>
      <c r="CP334" s="505"/>
      <c r="CQ334" s="505"/>
      <c r="CR334" s="505"/>
      <c r="CS334" s="505"/>
      <c r="CT334" s="505"/>
      <c r="CU334" s="505"/>
      <c r="CV334" s="505"/>
      <c r="CW334" s="505"/>
      <c r="CX334" s="505"/>
      <c r="CY334" s="505"/>
      <c r="CZ334" s="505"/>
      <c r="DA334" s="505"/>
      <c r="DB334" s="505"/>
      <c r="DC334" s="505"/>
      <c r="DD334" s="505"/>
      <c r="DE334" s="505"/>
      <c r="DF334" s="505"/>
      <c r="DG334" s="505"/>
      <c r="DH334" s="505"/>
      <c r="DI334" s="505"/>
      <c r="DJ334" s="505"/>
      <c r="DK334" s="505"/>
      <c r="DL334" s="505"/>
      <c r="DM334" s="505"/>
      <c r="DN334" s="505"/>
      <c r="DO334" s="505"/>
      <c r="DP334" s="505"/>
    </row>
    <row r="335" spans="1:120" hidden="1" outlineLevel="1" x14ac:dyDescent="0.2">
      <c r="A335" s="517">
        <f t="shared" si="55"/>
        <v>38838</v>
      </c>
      <c r="B335" s="517" t="str">
        <f t="shared" si="52"/>
        <v>2Q06</v>
      </c>
      <c r="C335" s="517" t="str">
        <f t="shared" si="56"/>
        <v>2Q06</v>
      </c>
      <c r="D335" s="518">
        <f t="shared" si="57"/>
        <v>38898</v>
      </c>
      <c r="E335" s="518">
        <f t="shared" si="57"/>
        <v>38838</v>
      </c>
      <c r="F335" s="520">
        <v>2.8959999999999999</v>
      </c>
      <c r="G335" s="521">
        <f t="shared" si="53"/>
        <v>0.35000000000000014</v>
      </c>
      <c r="H335" s="521">
        <f t="shared" si="54"/>
        <v>0.35000000000000014</v>
      </c>
      <c r="I335" s="505"/>
      <c r="J335" s="505"/>
      <c r="K335" s="505"/>
      <c r="L335" s="505"/>
      <c r="M335" s="528"/>
      <c r="N335" s="505"/>
      <c r="O335" s="505"/>
      <c r="P335" s="505"/>
      <c r="Q335" s="505"/>
      <c r="R335" s="505"/>
      <c r="S335" s="505"/>
      <c r="T335" s="505"/>
      <c r="U335" s="505"/>
      <c r="V335" s="505"/>
      <c r="W335" s="505"/>
      <c r="X335" s="505"/>
      <c r="Y335" s="505"/>
      <c r="Z335" s="505"/>
      <c r="AA335" s="505"/>
      <c r="AB335" s="505"/>
      <c r="AC335" s="505"/>
      <c r="AD335" s="505"/>
      <c r="AE335" s="505"/>
      <c r="AF335" s="505"/>
      <c r="AG335" s="505"/>
      <c r="AH335" s="505"/>
      <c r="AI335" s="505"/>
      <c r="AJ335" s="505"/>
      <c r="AK335" s="505"/>
      <c r="AL335" s="505"/>
      <c r="AM335" s="505"/>
      <c r="AN335" s="505"/>
      <c r="AO335" s="505"/>
      <c r="AP335" s="505"/>
      <c r="AQ335" s="505"/>
      <c r="AR335" s="505"/>
      <c r="AS335" s="505"/>
      <c r="AT335" s="505"/>
      <c r="AU335" s="505"/>
      <c r="AV335" s="505"/>
      <c r="AW335" s="505"/>
      <c r="AX335" s="505"/>
      <c r="AY335" s="505"/>
      <c r="AZ335" s="505"/>
      <c r="BA335" s="505"/>
      <c r="BB335" s="505"/>
      <c r="BC335" s="505"/>
      <c r="BD335" s="505"/>
      <c r="BE335" s="505"/>
      <c r="BF335" s="505"/>
      <c r="BG335" s="505"/>
      <c r="BH335" s="505"/>
      <c r="BI335" s="505"/>
      <c r="BJ335" s="505"/>
      <c r="BK335" s="505"/>
      <c r="BL335" s="505"/>
      <c r="BM335" s="505"/>
      <c r="BN335" s="505"/>
      <c r="BO335" s="505"/>
      <c r="BP335" s="505"/>
      <c r="BQ335" s="505"/>
      <c r="BR335" s="505"/>
      <c r="BS335" s="505"/>
      <c r="BT335" s="505"/>
      <c r="BU335" s="505"/>
      <c r="BV335" s="505"/>
      <c r="BW335" s="505"/>
      <c r="BX335" s="505"/>
      <c r="BY335" s="505"/>
      <c r="BZ335" s="505"/>
      <c r="CA335" s="505"/>
      <c r="CB335" s="505"/>
      <c r="CC335" s="505"/>
      <c r="CD335" s="505"/>
      <c r="CE335" s="505"/>
      <c r="CF335" s="505"/>
      <c r="CG335" s="505"/>
      <c r="CH335" s="505"/>
      <c r="CI335" s="505"/>
      <c r="CJ335" s="505"/>
      <c r="CK335" s="505"/>
      <c r="CL335" s="505"/>
      <c r="CM335" s="505"/>
      <c r="CN335" s="505"/>
      <c r="CO335" s="505"/>
      <c r="CP335" s="505"/>
      <c r="CQ335" s="505"/>
      <c r="CR335" s="505"/>
      <c r="CS335" s="505"/>
      <c r="CT335" s="505"/>
      <c r="CU335" s="505"/>
      <c r="CV335" s="505"/>
      <c r="CW335" s="505"/>
      <c r="CX335" s="505"/>
      <c r="CY335" s="505"/>
      <c r="CZ335" s="505"/>
      <c r="DA335" s="505"/>
      <c r="DB335" s="505"/>
      <c r="DC335" s="505"/>
      <c r="DD335" s="505"/>
      <c r="DE335" s="505"/>
      <c r="DF335" s="505"/>
      <c r="DG335" s="505"/>
      <c r="DH335" s="505"/>
      <c r="DI335" s="505"/>
      <c r="DJ335" s="505"/>
      <c r="DK335" s="505"/>
      <c r="DL335" s="505"/>
      <c r="DM335" s="505"/>
      <c r="DN335" s="505"/>
      <c r="DO335" s="505"/>
      <c r="DP335" s="505"/>
    </row>
    <row r="336" spans="1:120" hidden="1" outlineLevel="1" x14ac:dyDescent="0.2">
      <c r="A336" s="517">
        <f t="shared" si="55"/>
        <v>38838</v>
      </c>
      <c r="B336" s="517" t="str">
        <f t="shared" si="52"/>
        <v>2Q06</v>
      </c>
      <c r="C336" s="517" t="str">
        <f t="shared" si="56"/>
        <v>3Q06</v>
      </c>
      <c r="D336" s="518">
        <f t="shared" si="57"/>
        <v>38905</v>
      </c>
      <c r="E336" s="518">
        <f t="shared" si="57"/>
        <v>38845</v>
      </c>
      <c r="F336" s="520">
        <v>2.8969999999999998</v>
      </c>
      <c r="G336" s="521">
        <f t="shared" si="53"/>
        <v>0.35000000000000014</v>
      </c>
      <c r="H336" s="521">
        <f t="shared" si="54"/>
        <v>0.36000000000000015</v>
      </c>
      <c r="I336" s="505"/>
      <c r="J336" s="505"/>
      <c r="K336" s="505"/>
      <c r="L336" s="505"/>
      <c r="M336" s="528"/>
      <c r="N336" s="505"/>
      <c r="O336" s="505"/>
      <c r="P336" s="505"/>
      <c r="Q336" s="505"/>
      <c r="R336" s="505"/>
      <c r="S336" s="505"/>
      <c r="T336" s="505"/>
      <c r="U336" s="505"/>
      <c r="V336" s="505"/>
      <c r="W336" s="505"/>
      <c r="X336" s="505"/>
      <c r="Y336" s="505"/>
      <c r="Z336" s="505"/>
      <c r="AA336" s="505"/>
      <c r="AB336" s="505"/>
      <c r="AC336" s="505"/>
      <c r="AD336" s="505"/>
      <c r="AE336" s="505"/>
      <c r="AF336" s="505"/>
      <c r="AG336" s="505"/>
      <c r="AH336" s="505"/>
      <c r="AI336" s="505"/>
      <c r="AJ336" s="505"/>
      <c r="AK336" s="505"/>
      <c r="AL336" s="505"/>
      <c r="AM336" s="505"/>
      <c r="AN336" s="505"/>
      <c r="AO336" s="505"/>
      <c r="AP336" s="505"/>
      <c r="AQ336" s="505"/>
      <c r="AR336" s="505"/>
      <c r="AS336" s="505"/>
      <c r="AT336" s="505"/>
      <c r="AU336" s="505"/>
      <c r="AV336" s="505"/>
      <c r="AW336" s="505"/>
      <c r="AX336" s="505"/>
      <c r="AY336" s="505"/>
      <c r="AZ336" s="505"/>
      <c r="BA336" s="505"/>
      <c r="BB336" s="505"/>
      <c r="BC336" s="505"/>
      <c r="BD336" s="505"/>
      <c r="BE336" s="505"/>
      <c r="BF336" s="505"/>
      <c r="BG336" s="505"/>
      <c r="BH336" s="505"/>
      <c r="BI336" s="505"/>
      <c r="BJ336" s="505"/>
      <c r="BK336" s="505"/>
      <c r="BL336" s="505"/>
      <c r="BM336" s="505"/>
      <c r="BN336" s="505"/>
      <c r="BO336" s="505"/>
      <c r="BP336" s="505"/>
      <c r="BQ336" s="505"/>
      <c r="BR336" s="505"/>
      <c r="BS336" s="505"/>
      <c r="BT336" s="505"/>
      <c r="BU336" s="505"/>
      <c r="BV336" s="505"/>
      <c r="BW336" s="505"/>
      <c r="BX336" s="505"/>
      <c r="BY336" s="505"/>
      <c r="BZ336" s="505"/>
      <c r="CA336" s="505"/>
      <c r="CB336" s="505"/>
      <c r="CC336" s="505"/>
      <c r="CD336" s="505"/>
      <c r="CE336" s="505"/>
      <c r="CF336" s="505"/>
      <c r="CG336" s="505"/>
      <c r="CH336" s="505"/>
      <c r="CI336" s="505"/>
      <c r="CJ336" s="505"/>
      <c r="CK336" s="505"/>
      <c r="CL336" s="505"/>
      <c r="CM336" s="505"/>
      <c r="CN336" s="505"/>
      <c r="CO336" s="505"/>
      <c r="CP336" s="505"/>
      <c r="CQ336" s="505"/>
      <c r="CR336" s="505"/>
      <c r="CS336" s="505"/>
      <c r="CT336" s="505"/>
      <c r="CU336" s="505"/>
      <c r="CV336" s="505"/>
      <c r="CW336" s="505"/>
      <c r="CX336" s="505"/>
      <c r="CY336" s="505"/>
      <c r="CZ336" s="505"/>
      <c r="DA336" s="505"/>
      <c r="DB336" s="505"/>
      <c r="DC336" s="505"/>
      <c r="DD336" s="505"/>
      <c r="DE336" s="505"/>
      <c r="DF336" s="505"/>
      <c r="DG336" s="505"/>
      <c r="DH336" s="505"/>
      <c r="DI336" s="505"/>
      <c r="DJ336" s="505"/>
      <c r="DK336" s="505"/>
      <c r="DL336" s="505"/>
      <c r="DM336" s="505"/>
      <c r="DN336" s="505"/>
      <c r="DO336" s="505"/>
      <c r="DP336" s="505"/>
    </row>
    <row r="337" spans="1:120" hidden="1" outlineLevel="1" x14ac:dyDescent="0.2">
      <c r="A337" s="517">
        <f t="shared" si="55"/>
        <v>38838</v>
      </c>
      <c r="B337" s="517" t="str">
        <f t="shared" si="52"/>
        <v>2Q06</v>
      </c>
      <c r="C337" s="517" t="str">
        <f t="shared" si="56"/>
        <v>3Q06</v>
      </c>
      <c r="D337" s="518">
        <f t="shared" si="57"/>
        <v>38912</v>
      </c>
      <c r="E337" s="518">
        <f t="shared" si="57"/>
        <v>38852</v>
      </c>
      <c r="F337" s="520">
        <v>2.92</v>
      </c>
      <c r="G337" s="521">
        <f t="shared" si="53"/>
        <v>0.36000000000000015</v>
      </c>
      <c r="H337" s="521">
        <f t="shared" si="54"/>
        <v>0.35000000000000014</v>
      </c>
      <c r="I337" s="505"/>
      <c r="J337" s="505"/>
      <c r="K337" s="505"/>
      <c r="L337" s="505"/>
      <c r="M337" s="528"/>
      <c r="N337" s="505"/>
      <c r="O337" s="505"/>
      <c r="P337" s="505"/>
      <c r="Q337" s="505"/>
      <c r="R337" s="505"/>
      <c r="S337" s="505"/>
      <c r="T337" s="505"/>
      <c r="U337" s="505"/>
      <c r="V337" s="505"/>
      <c r="W337" s="505"/>
      <c r="X337" s="505"/>
      <c r="Y337" s="505"/>
      <c r="Z337" s="505"/>
      <c r="AA337" s="505"/>
      <c r="AB337" s="505"/>
      <c r="AC337" s="505"/>
      <c r="AD337" s="505"/>
      <c r="AE337" s="505"/>
      <c r="AF337" s="505"/>
      <c r="AG337" s="505"/>
      <c r="AH337" s="505"/>
      <c r="AI337" s="505"/>
      <c r="AJ337" s="505"/>
      <c r="AK337" s="505"/>
      <c r="AL337" s="505"/>
      <c r="AM337" s="505"/>
      <c r="AN337" s="505"/>
      <c r="AO337" s="505"/>
      <c r="AP337" s="505"/>
      <c r="AQ337" s="505"/>
      <c r="AR337" s="505"/>
      <c r="AS337" s="505"/>
      <c r="AT337" s="505"/>
      <c r="AU337" s="505"/>
      <c r="AV337" s="505"/>
      <c r="AW337" s="505"/>
      <c r="AX337" s="505"/>
      <c r="AY337" s="505"/>
      <c r="AZ337" s="505"/>
      <c r="BA337" s="505"/>
      <c r="BB337" s="505"/>
      <c r="BC337" s="505"/>
      <c r="BD337" s="505"/>
      <c r="BE337" s="505"/>
      <c r="BF337" s="505"/>
      <c r="BG337" s="505"/>
      <c r="BH337" s="505"/>
      <c r="BI337" s="505"/>
      <c r="BJ337" s="505"/>
      <c r="BK337" s="505"/>
      <c r="BL337" s="505"/>
      <c r="BM337" s="505"/>
      <c r="BN337" s="505"/>
      <c r="BO337" s="505"/>
      <c r="BP337" s="505"/>
      <c r="BQ337" s="505"/>
      <c r="BR337" s="505"/>
      <c r="BS337" s="505"/>
      <c r="BT337" s="505"/>
      <c r="BU337" s="505"/>
      <c r="BV337" s="505"/>
      <c r="BW337" s="505"/>
      <c r="BX337" s="505"/>
      <c r="BY337" s="505"/>
      <c r="BZ337" s="505"/>
      <c r="CA337" s="505"/>
      <c r="CB337" s="505"/>
      <c r="CC337" s="505"/>
      <c r="CD337" s="505"/>
      <c r="CE337" s="505"/>
      <c r="CF337" s="505"/>
      <c r="CG337" s="505"/>
      <c r="CH337" s="505"/>
      <c r="CI337" s="505"/>
      <c r="CJ337" s="505"/>
      <c r="CK337" s="505"/>
      <c r="CL337" s="505"/>
      <c r="CM337" s="505"/>
      <c r="CN337" s="505"/>
      <c r="CO337" s="505"/>
      <c r="CP337" s="505"/>
      <c r="CQ337" s="505"/>
      <c r="CR337" s="505"/>
      <c r="CS337" s="505"/>
      <c r="CT337" s="505"/>
      <c r="CU337" s="505"/>
      <c r="CV337" s="505"/>
      <c r="CW337" s="505"/>
      <c r="CX337" s="505"/>
      <c r="CY337" s="505"/>
      <c r="CZ337" s="505"/>
      <c r="DA337" s="505"/>
      <c r="DB337" s="505"/>
      <c r="DC337" s="505"/>
      <c r="DD337" s="505"/>
      <c r="DE337" s="505"/>
      <c r="DF337" s="505"/>
      <c r="DG337" s="505"/>
      <c r="DH337" s="505"/>
      <c r="DI337" s="505"/>
      <c r="DJ337" s="505"/>
      <c r="DK337" s="505"/>
      <c r="DL337" s="505"/>
      <c r="DM337" s="505"/>
      <c r="DN337" s="505"/>
      <c r="DO337" s="505"/>
      <c r="DP337" s="505"/>
    </row>
    <row r="338" spans="1:120" hidden="1" outlineLevel="1" x14ac:dyDescent="0.2">
      <c r="A338" s="517">
        <f t="shared" si="55"/>
        <v>38838</v>
      </c>
      <c r="B338" s="517" t="str">
        <f t="shared" si="52"/>
        <v>2Q06</v>
      </c>
      <c r="C338" s="517" t="str">
        <f t="shared" si="56"/>
        <v>3Q06</v>
      </c>
      <c r="D338" s="518">
        <f t="shared" si="57"/>
        <v>38919</v>
      </c>
      <c r="E338" s="518">
        <f t="shared" si="57"/>
        <v>38859</v>
      </c>
      <c r="F338" s="520">
        <v>2.8879999999999999</v>
      </c>
      <c r="G338" s="521">
        <f t="shared" si="53"/>
        <v>0.35000000000000014</v>
      </c>
      <c r="H338" s="521">
        <f t="shared" si="54"/>
        <v>0.35000000000000014</v>
      </c>
      <c r="I338" s="505"/>
      <c r="J338" s="505"/>
      <c r="K338" s="505"/>
      <c r="L338" s="505"/>
      <c r="M338" s="528"/>
      <c r="N338" s="505"/>
      <c r="O338" s="505"/>
      <c r="P338" s="505"/>
      <c r="Q338" s="505"/>
      <c r="R338" s="505"/>
      <c r="S338" s="505"/>
      <c r="T338" s="505"/>
      <c r="U338" s="505"/>
      <c r="V338" s="505"/>
      <c r="W338" s="505"/>
      <c r="X338" s="505"/>
      <c r="Y338" s="505"/>
      <c r="Z338" s="505"/>
      <c r="AA338" s="505"/>
      <c r="AB338" s="505"/>
      <c r="AC338" s="505"/>
      <c r="AD338" s="505"/>
      <c r="AE338" s="505"/>
      <c r="AF338" s="505"/>
      <c r="AG338" s="505"/>
      <c r="AH338" s="505"/>
      <c r="AI338" s="505"/>
      <c r="AJ338" s="505"/>
      <c r="AK338" s="505"/>
      <c r="AL338" s="505"/>
      <c r="AM338" s="505"/>
      <c r="AN338" s="505"/>
      <c r="AO338" s="505"/>
      <c r="AP338" s="505"/>
      <c r="AQ338" s="505"/>
      <c r="AR338" s="505"/>
      <c r="AS338" s="505"/>
      <c r="AT338" s="505"/>
      <c r="AU338" s="505"/>
      <c r="AV338" s="505"/>
      <c r="AW338" s="505"/>
      <c r="AX338" s="505"/>
      <c r="AY338" s="505"/>
      <c r="AZ338" s="505"/>
      <c r="BA338" s="505"/>
      <c r="BB338" s="505"/>
      <c r="BC338" s="505"/>
      <c r="BD338" s="505"/>
      <c r="BE338" s="505"/>
      <c r="BF338" s="505"/>
      <c r="BG338" s="505"/>
      <c r="BH338" s="505"/>
      <c r="BI338" s="505"/>
      <c r="BJ338" s="505"/>
      <c r="BK338" s="505"/>
      <c r="BL338" s="505"/>
      <c r="BM338" s="505"/>
      <c r="BN338" s="505"/>
      <c r="BO338" s="505"/>
      <c r="BP338" s="505"/>
      <c r="BQ338" s="505"/>
      <c r="BR338" s="505"/>
      <c r="BS338" s="505"/>
      <c r="BT338" s="505"/>
      <c r="BU338" s="505"/>
      <c r="BV338" s="505"/>
      <c r="BW338" s="505"/>
      <c r="BX338" s="505"/>
      <c r="BY338" s="505"/>
      <c r="BZ338" s="505"/>
      <c r="CA338" s="505"/>
      <c r="CB338" s="505"/>
      <c r="CC338" s="505"/>
      <c r="CD338" s="505"/>
      <c r="CE338" s="505"/>
      <c r="CF338" s="505"/>
      <c r="CG338" s="505"/>
      <c r="CH338" s="505"/>
      <c r="CI338" s="505"/>
      <c r="CJ338" s="505"/>
      <c r="CK338" s="505"/>
      <c r="CL338" s="505"/>
      <c r="CM338" s="505"/>
      <c r="CN338" s="505"/>
      <c r="CO338" s="505"/>
      <c r="CP338" s="505"/>
      <c r="CQ338" s="505"/>
      <c r="CR338" s="505"/>
      <c r="CS338" s="505"/>
      <c r="CT338" s="505"/>
      <c r="CU338" s="505"/>
      <c r="CV338" s="505"/>
      <c r="CW338" s="505"/>
      <c r="CX338" s="505"/>
      <c r="CY338" s="505"/>
      <c r="CZ338" s="505"/>
      <c r="DA338" s="505"/>
      <c r="DB338" s="505"/>
      <c r="DC338" s="505"/>
      <c r="DD338" s="505"/>
      <c r="DE338" s="505"/>
      <c r="DF338" s="505"/>
      <c r="DG338" s="505"/>
      <c r="DH338" s="505"/>
      <c r="DI338" s="505"/>
      <c r="DJ338" s="505"/>
      <c r="DK338" s="505"/>
      <c r="DL338" s="505"/>
      <c r="DM338" s="505"/>
      <c r="DN338" s="505"/>
      <c r="DO338" s="505"/>
      <c r="DP338" s="505"/>
    </row>
    <row r="339" spans="1:120" hidden="1" outlineLevel="1" x14ac:dyDescent="0.2">
      <c r="A339" s="517">
        <f t="shared" si="55"/>
        <v>38838</v>
      </c>
      <c r="B339" s="517" t="str">
        <f t="shared" si="52"/>
        <v>2Q06</v>
      </c>
      <c r="C339" s="517" t="str">
        <f t="shared" si="56"/>
        <v>3Q06</v>
      </c>
      <c r="D339" s="518">
        <f t="shared" si="57"/>
        <v>38926</v>
      </c>
      <c r="E339" s="518">
        <f t="shared" si="57"/>
        <v>38866</v>
      </c>
      <c r="F339" s="520">
        <v>2.8820000000000001</v>
      </c>
      <c r="G339" s="521">
        <f t="shared" si="53"/>
        <v>0.35000000000000014</v>
      </c>
      <c r="H339" s="521">
        <f t="shared" si="54"/>
        <v>0.35000000000000014</v>
      </c>
      <c r="I339" s="505"/>
      <c r="J339" s="505"/>
      <c r="K339" s="505"/>
      <c r="L339" s="505"/>
      <c r="M339" s="528"/>
      <c r="N339" s="505"/>
      <c r="O339" s="505"/>
      <c r="P339" s="505"/>
      <c r="Q339" s="505"/>
      <c r="R339" s="505"/>
      <c r="S339" s="505"/>
      <c r="T339" s="505"/>
      <c r="U339" s="505"/>
      <c r="V339" s="505"/>
      <c r="W339" s="505"/>
      <c r="X339" s="505"/>
      <c r="Y339" s="505"/>
      <c r="Z339" s="505"/>
      <c r="AA339" s="505"/>
      <c r="AB339" s="505"/>
      <c r="AC339" s="505"/>
      <c r="AD339" s="505"/>
      <c r="AE339" s="505"/>
      <c r="AF339" s="505"/>
      <c r="AG339" s="505"/>
      <c r="AH339" s="505"/>
      <c r="AI339" s="505"/>
      <c r="AJ339" s="505"/>
      <c r="AK339" s="505"/>
      <c r="AL339" s="505"/>
      <c r="AM339" s="505"/>
      <c r="AN339" s="505"/>
      <c r="AO339" s="505"/>
      <c r="AP339" s="505"/>
      <c r="AQ339" s="505"/>
      <c r="AR339" s="505"/>
      <c r="AS339" s="505"/>
      <c r="AT339" s="505"/>
      <c r="AU339" s="505"/>
      <c r="AV339" s="505"/>
      <c r="AW339" s="505"/>
      <c r="AX339" s="505"/>
      <c r="AY339" s="505"/>
      <c r="AZ339" s="505"/>
      <c r="BA339" s="505"/>
      <c r="BB339" s="505"/>
      <c r="BC339" s="505"/>
      <c r="BD339" s="505"/>
      <c r="BE339" s="505"/>
      <c r="BF339" s="505"/>
      <c r="BG339" s="505"/>
      <c r="BH339" s="505"/>
      <c r="BI339" s="505"/>
      <c r="BJ339" s="505"/>
      <c r="BK339" s="505"/>
      <c r="BL339" s="505"/>
      <c r="BM339" s="505"/>
      <c r="BN339" s="505"/>
      <c r="BO339" s="505"/>
      <c r="BP339" s="505"/>
      <c r="BQ339" s="505"/>
      <c r="BR339" s="505"/>
      <c r="BS339" s="505"/>
      <c r="BT339" s="505"/>
      <c r="BU339" s="505"/>
      <c r="BV339" s="505"/>
      <c r="BW339" s="505"/>
      <c r="BX339" s="505"/>
      <c r="BY339" s="505"/>
      <c r="BZ339" s="505"/>
      <c r="CA339" s="505"/>
      <c r="CB339" s="505"/>
      <c r="CC339" s="505"/>
      <c r="CD339" s="505"/>
      <c r="CE339" s="505"/>
      <c r="CF339" s="505"/>
      <c r="CG339" s="505"/>
      <c r="CH339" s="505"/>
      <c r="CI339" s="505"/>
      <c r="CJ339" s="505"/>
      <c r="CK339" s="505"/>
      <c r="CL339" s="505"/>
      <c r="CM339" s="505"/>
      <c r="CN339" s="505"/>
      <c r="CO339" s="505"/>
      <c r="CP339" s="505"/>
      <c r="CQ339" s="505"/>
      <c r="CR339" s="505"/>
      <c r="CS339" s="505"/>
      <c r="CT339" s="505"/>
      <c r="CU339" s="505"/>
      <c r="CV339" s="505"/>
      <c r="CW339" s="505"/>
      <c r="CX339" s="505"/>
      <c r="CY339" s="505"/>
      <c r="CZ339" s="505"/>
      <c r="DA339" s="505"/>
      <c r="DB339" s="505"/>
      <c r="DC339" s="505"/>
      <c r="DD339" s="505"/>
      <c r="DE339" s="505"/>
      <c r="DF339" s="505"/>
      <c r="DG339" s="505"/>
      <c r="DH339" s="505"/>
      <c r="DI339" s="505"/>
      <c r="DJ339" s="505"/>
      <c r="DK339" s="505"/>
      <c r="DL339" s="505"/>
      <c r="DM339" s="505"/>
      <c r="DN339" s="505"/>
      <c r="DO339" s="505"/>
      <c r="DP339" s="505"/>
    </row>
    <row r="340" spans="1:120" hidden="1" outlineLevel="1" x14ac:dyDescent="0.2">
      <c r="A340" s="517">
        <f t="shared" si="55"/>
        <v>38869</v>
      </c>
      <c r="B340" s="517" t="str">
        <f t="shared" si="52"/>
        <v>2Q06</v>
      </c>
      <c r="C340" s="517" t="str">
        <f t="shared" si="56"/>
        <v>3Q06</v>
      </c>
      <c r="D340" s="518">
        <f t="shared" si="57"/>
        <v>38933</v>
      </c>
      <c r="E340" s="518">
        <f t="shared" si="57"/>
        <v>38873</v>
      </c>
      <c r="F340" s="520">
        <v>2.89</v>
      </c>
      <c r="G340" s="521">
        <f t="shared" si="53"/>
        <v>0.35000000000000014</v>
      </c>
      <c r="H340" s="521">
        <f t="shared" si="54"/>
        <v>0.36000000000000015</v>
      </c>
      <c r="I340" s="505"/>
      <c r="J340" s="505"/>
      <c r="K340" s="505"/>
      <c r="L340" s="505"/>
      <c r="M340" s="528"/>
      <c r="N340" s="505"/>
      <c r="O340" s="505"/>
      <c r="P340" s="505"/>
      <c r="Q340" s="505"/>
      <c r="R340" s="505"/>
      <c r="S340" s="505"/>
      <c r="T340" s="505"/>
      <c r="U340" s="505"/>
      <c r="V340" s="505"/>
      <c r="W340" s="505"/>
      <c r="X340" s="505"/>
      <c r="Y340" s="505"/>
      <c r="Z340" s="505"/>
      <c r="AA340" s="505"/>
      <c r="AB340" s="505"/>
      <c r="AC340" s="505"/>
      <c r="AD340" s="505"/>
      <c r="AE340" s="505"/>
      <c r="AF340" s="505"/>
      <c r="AG340" s="505"/>
      <c r="AH340" s="505"/>
      <c r="AI340" s="505"/>
      <c r="AJ340" s="505"/>
      <c r="AK340" s="505"/>
      <c r="AL340" s="505"/>
      <c r="AM340" s="505"/>
      <c r="AN340" s="505"/>
      <c r="AO340" s="505"/>
      <c r="AP340" s="505"/>
      <c r="AQ340" s="505"/>
      <c r="AR340" s="505"/>
      <c r="AS340" s="505"/>
      <c r="AT340" s="505"/>
      <c r="AU340" s="505"/>
      <c r="AV340" s="505"/>
      <c r="AW340" s="505"/>
      <c r="AX340" s="505"/>
      <c r="AY340" s="505"/>
      <c r="AZ340" s="505"/>
      <c r="BA340" s="505"/>
      <c r="BB340" s="505"/>
      <c r="BC340" s="505"/>
      <c r="BD340" s="505"/>
      <c r="BE340" s="505"/>
      <c r="BF340" s="505"/>
      <c r="BG340" s="505"/>
      <c r="BH340" s="505"/>
      <c r="BI340" s="505"/>
      <c r="BJ340" s="505"/>
      <c r="BK340" s="505"/>
      <c r="BL340" s="505"/>
      <c r="BM340" s="505"/>
      <c r="BN340" s="505"/>
      <c r="BO340" s="505"/>
      <c r="BP340" s="505"/>
      <c r="BQ340" s="505"/>
      <c r="BR340" s="505"/>
      <c r="BS340" s="505"/>
      <c r="BT340" s="505"/>
      <c r="BU340" s="505"/>
      <c r="BV340" s="505"/>
      <c r="BW340" s="505"/>
      <c r="BX340" s="505"/>
      <c r="BY340" s="505"/>
      <c r="BZ340" s="505"/>
      <c r="CA340" s="505"/>
      <c r="CB340" s="505"/>
      <c r="CC340" s="505"/>
      <c r="CD340" s="505"/>
      <c r="CE340" s="505"/>
      <c r="CF340" s="505"/>
      <c r="CG340" s="505"/>
      <c r="CH340" s="505"/>
      <c r="CI340" s="505"/>
      <c r="CJ340" s="505"/>
      <c r="CK340" s="505"/>
      <c r="CL340" s="505"/>
      <c r="CM340" s="505"/>
      <c r="CN340" s="505"/>
      <c r="CO340" s="505"/>
      <c r="CP340" s="505"/>
      <c r="CQ340" s="505"/>
      <c r="CR340" s="505"/>
      <c r="CS340" s="505"/>
      <c r="CT340" s="505"/>
      <c r="CU340" s="505"/>
      <c r="CV340" s="505"/>
      <c r="CW340" s="505"/>
      <c r="CX340" s="505"/>
      <c r="CY340" s="505"/>
      <c r="CZ340" s="505"/>
      <c r="DA340" s="505"/>
      <c r="DB340" s="505"/>
      <c r="DC340" s="505"/>
      <c r="DD340" s="505"/>
      <c r="DE340" s="505"/>
      <c r="DF340" s="505"/>
      <c r="DG340" s="505"/>
      <c r="DH340" s="505"/>
      <c r="DI340" s="505"/>
      <c r="DJ340" s="505"/>
      <c r="DK340" s="505"/>
      <c r="DL340" s="505"/>
      <c r="DM340" s="505"/>
      <c r="DN340" s="505"/>
      <c r="DO340" s="505"/>
      <c r="DP340" s="505"/>
    </row>
    <row r="341" spans="1:120" hidden="1" outlineLevel="1" x14ac:dyDescent="0.2">
      <c r="A341" s="517">
        <f t="shared" si="55"/>
        <v>38869</v>
      </c>
      <c r="B341" s="517" t="str">
        <f t="shared" si="52"/>
        <v>2Q06</v>
      </c>
      <c r="C341" s="517" t="str">
        <f t="shared" si="56"/>
        <v>3Q06</v>
      </c>
      <c r="D341" s="518">
        <f t="shared" si="57"/>
        <v>38940</v>
      </c>
      <c r="E341" s="518">
        <f t="shared" si="57"/>
        <v>38880</v>
      </c>
      <c r="F341" s="520">
        <v>2.9180000000000001</v>
      </c>
      <c r="G341" s="521">
        <f t="shared" si="53"/>
        <v>0.36000000000000015</v>
      </c>
      <c r="H341" s="521">
        <f t="shared" si="54"/>
        <v>0.36000000000000015</v>
      </c>
      <c r="I341" s="505"/>
      <c r="J341" s="505"/>
      <c r="K341" s="505"/>
      <c r="L341" s="505"/>
      <c r="M341" s="528"/>
      <c r="N341" s="505"/>
      <c r="O341" s="505"/>
      <c r="P341" s="505"/>
      <c r="Q341" s="505"/>
      <c r="R341" s="505"/>
      <c r="S341" s="505"/>
      <c r="T341" s="505"/>
      <c r="U341" s="505"/>
      <c r="V341" s="505"/>
      <c r="W341" s="505"/>
      <c r="X341" s="505"/>
      <c r="Y341" s="505"/>
      <c r="Z341" s="505"/>
      <c r="AA341" s="505"/>
      <c r="AB341" s="505"/>
      <c r="AC341" s="505"/>
      <c r="AD341" s="505"/>
      <c r="AE341" s="505"/>
      <c r="AF341" s="505"/>
      <c r="AG341" s="505"/>
      <c r="AH341" s="505"/>
      <c r="AI341" s="505"/>
      <c r="AJ341" s="505"/>
      <c r="AK341" s="505"/>
      <c r="AL341" s="505"/>
      <c r="AM341" s="505"/>
      <c r="AN341" s="505"/>
      <c r="AO341" s="505"/>
      <c r="AP341" s="505"/>
      <c r="AQ341" s="505"/>
      <c r="AR341" s="505"/>
      <c r="AS341" s="505"/>
      <c r="AT341" s="505"/>
      <c r="AU341" s="505"/>
      <c r="AV341" s="505"/>
      <c r="AW341" s="505"/>
      <c r="AX341" s="505"/>
      <c r="AY341" s="505"/>
      <c r="AZ341" s="505"/>
      <c r="BA341" s="505"/>
      <c r="BB341" s="505"/>
      <c r="BC341" s="505"/>
      <c r="BD341" s="505"/>
      <c r="BE341" s="505"/>
      <c r="BF341" s="505"/>
      <c r="BG341" s="505"/>
      <c r="BH341" s="505"/>
      <c r="BI341" s="505"/>
      <c r="BJ341" s="505"/>
      <c r="BK341" s="505"/>
      <c r="BL341" s="505"/>
      <c r="BM341" s="505"/>
      <c r="BN341" s="505"/>
      <c r="BO341" s="505"/>
      <c r="BP341" s="505"/>
      <c r="BQ341" s="505"/>
      <c r="BR341" s="505"/>
      <c r="BS341" s="505"/>
      <c r="BT341" s="505"/>
      <c r="BU341" s="505"/>
      <c r="BV341" s="505"/>
      <c r="BW341" s="505"/>
      <c r="BX341" s="505"/>
      <c r="BY341" s="505"/>
      <c r="BZ341" s="505"/>
      <c r="CA341" s="505"/>
      <c r="CB341" s="505"/>
      <c r="CC341" s="505"/>
      <c r="CD341" s="505"/>
      <c r="CE341" s="505"/>
      <c r="CF341" s="505"/>
      <c r="CG341" s="505"/>
      <c r="CH341" s="505"/>
      <c r="CI341" s="505"/>
      <c r="CJ341" s="505"/>
      <c r="CK341" s="505"/>
      <c r="CL341" s="505"/>
      <c r="CM341" s="505"/>
      <c r="CN341" s="505"/>
      <c r="CO341" s="505"/>
      <c r="CP341" s="505"/>
      <c r="CQ341" s="505"/>
      <c r="CR341" s="505"/>
      <c r="CS341" s="505"/>
      <c r="CT341" s="505"/>
      <c r="CU341" s="505"/>
      <c r="CV341" s="505"/>
      <c r="CW341" s="505"/>
      <c r="CX341" s="505"/>
      <c r="CY341" s="505"/>
      <c r="CZ341" s="505"/>
      <c r="DA341" s="505"/>
      <c r="DB341" s="505"/>
      <c r="DC341" s="505"/>
      <c r="DD341" s="505"/>
      <c r="DE341" s="505"/>
      <c r="DF341" s="505"/>
      <c r="DG341" s="505"/>
      <c r="DH341" s="505"/>
      <c r="DI341" s="505"/>
      <c r="DJ341" s="505"/>
      <c r="DK341" s="505"/>
      <c r="DL341" s="505"/>
      <c r="DM341" s="505"/>
      <c r="DN341" s="505"/>
      <c r="DO341" s="505"/>
      <c r="DP341" s="505"/>
    </row>
    <row r="342" spans="1:120" hidden="1" outlineLevel="1" x14ac:dyDescent="0.2">
      <c r="A342" s="517">
        <f t="shared" si="55"/>
        <v>38869</v>
      </c>
      <c r="B342" s="517" t="str">
        <f t="shared" si="52"/>
        <v>2Q06</v>
      </c>
      <c r="C342" s="517" t="str">
        <f t="shared" si="56"/>
        <v>3Q06</v>
      </c>
      <c r="D342" s="518">
        <f t="shared" si="57"/>
        <v>38947</v>
      </c>
      <c r="E342" s="518">
        <f t="shared" si="57"/>
        <v>38887</v>
      </c>
      <c r="F342" s="520">
        <v>2.915</v>
      </c>
      <c r="G342" s="521">
        <f t="shared" si="53"/>
        <v>0.36000000000000015</v>
      </c>
      <c r="H342" s="521">
        <f t="shared" si="54"/>
        <v>0.35000000000000014</v>
      </c>
      <c r="I342" s="505"/>
      <c r="J342" s="505"/>
      <c r="K342" s="505"/>
      <c r="L342" s="505"/>
      <c r="M342" s="528"/>
      <c r="N342" s="505"/>
      <c r="O342" s="505"/>
      <c r="P342" s="505"/>
      <c r="Q342" s="505"/>
      <c r="R342" s="505"/>
      <c r="S342" s="505"/>
      <c r="T342" s="505"/>
      <c r="U342" s="505"/>
      <c r="V342" s="505"/>
      <c r="W342" s="505"/>
      <c r="X342" s="505"/>
      <c r="Y342" s="505"/>
      <c r="Z342" s="505"/>
      <c r="AA342" s="505"/>
      <c r="AB342" s="505"/>
      <c r="AC342" s="505"/>
      <c r="AD342" s="505"/>
      <c r="AE342" s="505"/>
      <c r="AF342" s="505"/>
      <c r="AG342" s="505"/>
      <c r="AH342" s="505"/>
      <c r="AI342" s="505"/>
      <c r="AJ342" s="505"/>
      <c r="AK342" s="505"/>
      <c r="AL342" s="505"/>
      <c r="AM342" s="505"/>
      <c r="AN342" s="505"/>
      <c r="AO342" s="505"/>
      <c r="AP342" s="505"/>
      <c r="AQ342" s="505"/>
      <c r="AR342" s="505"/>
      <c r="AS342" s="505"/>
      <c r="AT342" s="505"/>
      <c r="AU342" s="505"/>
      <c r="AV342" s="505"/>
      <c r="AW342" s="505"/>
      <c r="AX342" s="505"/>
      <c r="AY342" s="505"/>
      <c r="AZ342" s="505"/>
      <c r="BA342" s="505"/>
      <c r="BB342" s="505"/>
      <c r="BC342" s="505"/>
      <c r="BD342" s="505"/>
      <c r="BE342" s="505"/>
      <c r="BF342" s="505"/>
      <c r="BG342" s="505"/>
      <c r="BH342" s="505"/>
      <c r="BI342" s="505"/>
      <c r="BJ342" s="505"/>
      <c r="BK342" s="505"/>
      <c r="BL342" s="505"/>
      <c r="BM342" s="505"/>
      <c r="BN342" s="505"/>
      <c r="BO342" s="505"/>
      <c r="BP342" s="505"/>
      <c r="BQ342" s="505"/>
      <c r="BR342" s="505"/>
      <c r="BS342" s="505"/>
      <c r="BT342" s="505"/>
      <c r="BU342" s="505"/>
      <c r="BV342" s="505"/>
      <c r="BW342" s="505"/>
      <c r="BX342" s="505"/>
      <c r="BY342" s="505"/>
      <c r="BZ342" s="505"/>
      <c r="CA342" s="505"/>
      <c r="CB342" s="505"/>
      <c r="CC342" s="505"/>
      <c r="CD342" s="505"/>
      <c r="CE342" s="505"/>
      <c r="CF342" s="505"/>
      <c r="CG342" s="505"/>
      <c r="CH342" s="505"/>
      <c r="CI342" s="505"/>
      <c r="CJ342" s="505"/>
      <c r="CK342" s="505"/>
      <c r="CL342" s="505"/>
      <c r="CM342" s="505"/>
      <c r="CN342" s="505"/>
      <c r="CO342" s="505"/>
      <c r="CP342" s="505"/>
      <c r="CQ342" s="505"/>
      <c r="CR342" s="505"/>
      <c r="CS342" s="505"/>
      <c r="CT342" s="505"/>
      <c r="CU342" s="505"/>
      <c r="CV342" s="505"/>
      <c r="CW342" s="505"/>
      <c r="CX342" s="505"/>
      <c r="CY342" s="505"/>
      <c r="CZ342" s="505"/>
      <c r="DA342" s="505"/>
      <c r="DB342" s="505"/>
      <c r="DC342" s="505"/>
      <c r="DD342" s="505"/>
      <c r="DE342" s="505"/>
      <c r="DF342" s="505"/>
      <c r="DG342" s="505"/>
      <c r="DH342" s="505"/>
      <c r="DI342" s="505"/>
      <c r="DJ342" s="505"/>
      <c r="DK342" s="505"/>
      <c r="DL342" s="505"/>
      <c r="DM342" s="505"/>
      <c r="DN342" s="505"/>
      <c r="DO342" s="505"/>
      <c r="DP342" s="505"/>
    </row>
    <row r="343" spans="1:120" hidden="1" outlineLevel="1" x14ac:dyDescent="0.2">
      <c r="A343" s="517">
        <f t="shared" si="55"/>
        <v>38869</v>
      </c>
      <c r="B343" s="517" t="str">
        <f t="shared" si="52"/>
        <v>2Q06</v>
      </c>
      <c r="C343" s="517" t="str">
        <f t="shared" si="56"/>
        <v>3Q06</v>
      </c>
      <c r="D343" s="518">
        <f t="shared" si="57"/>
        <v>38954</v>
      </c>
      <c r="E343" s="518">
        <f t="shared" si="57"/>
        <v>38894</v>
      </c>
      <c r="F343" s="520">
        <v>2.867</v>
      </c>
      <c r="G343" s="521">
        <f t="shared" si="53"/>
        <v>0.35000000000000014</v>
      </c>
      <c r="H343" s="521">
        <f t="shared" si="54"/>
        <v>0.35000000000000014</v>
      </c>
      <c r="I343" s="505"/>
      <c r="J343" s="505"/>
      <c r="K343" s="505"/>
      <c r="L343" s="505"/>
      <c r="M343" s="528"/>
      <c r="N343" s="505"/>
      <c r="O343" s="505"/>
      <c r="P343" s="505"/>
      <c r="Q343" s="505"/>
      <c r="R343" s="505"/>
      <c r="S343" s="505"/>
      <c r="T343" s="505"/>
      <c r="U343" s="505"/>
      <c r="V343" s="505"/>
      <c r="W343" s="505"/>
      <c r="X343" s="505"/>
      <c r="Y343" s="505"/>
      <c r="Z343" s="505"/>
      <c r="AA343" s="505"/>
      <c r="AB343" s="505"/>
      <c r="AC343" s="505"/>
      <c r="AD343" s="505"/>
      <c r="AE343" s="505"/>
      <c r="AF343" s="505"/>
      <c r="AG343" s="505"/>
      <c r="AH343" s="505"/>
      <c r="AI343" s="505"/>
      <c r="AJ343" s="505"/>
      <c r="AK343" s="505"/>
      <c r="AL343" s="505"/>
      <c r="AM343" s="505"/>
      <c r="AN343" s="505"/>
      <c r="AO343" s="505"/>
      <c r="AP343" s="505"/>
      <c r="AQ343" s="505"/>
      <c r="AR343" s="505"/>
      <c r="AS343" s="505"/>
      <c r="AT343" s="505"/>
      <c r="AU343" s="505"/>
      <c r="AV343" s="505"/>
      <c r="AW343" s="505"/>
      <c r="AX343" s="505"/>
      <c r="AY343" s="505"/>
      <c r="AZ343" s="505"/>
      <c r="BA343" s="505"/>
      <c r="BB343" s="505"/>
      <c r="BC343" s="505"/>
      <c r="BD343" s="505"/>
      <c r="BE343" s="505"/>
      <c r="BF343" s="505"/>
      <c r="BG343" s="505"/>
      <c r="BH343" s="505"/>
      <c r="BI343" s="505"/>
      <c r="BJ343" s="505"/>
      <c r="BK343" s="505"/>
      <c r="BL343" s="505"/>
      <c r="BM343" s="505"/>
      <c r="BN343" s="505"/>
      <c r="BO343" s="505"/>
      <c r="BP343" s="505"/>
      <c r="BQ343" s="505"/>
      <c r="BR343" s="505"/>
      <c r="BS343" s="505"/>
      <c r="BT343" s="505"/>
      <c r="BU343" s="505"/>
      <c r="BV343" s="505"/>
      <c r="BW343" s="505"/>
      <c r="BX343" s="505"/>
      <c r="BY343" s="505"/>
      <c r="BZ343" s="505"/>
      <c r="CA343" s="505"/>
      <c r="CB343" s="505"/>
      <c r="CC343" s="505"/>
      <c r="CD343" s="505"/>
      <c r="CE343" s="505"/>
      <c r="CF343" s="505"/>
      <c r="CG343" s="505"/>
      <c r="CH343" s="505"/>
      <c r="CI343" s="505"/>
      <c r="CJ343" s="505"/>
      <c r="CK343" s="505"/>
      <c r="CL343" s="505"/>
      <c r="CM343" s="505"/>
      <c r="CN343" s="505"/>
      <c r="CO343" s="505"/>
      <c r="CP343" s="505"/>
      <c r="CQ343" s="505"/>
      <c r="CR343" s="505"/>
      <c r="CS343" s="505"/>
      <c r="CT343" s="505"/>
      <c r="CU343" s="505"/>
      <c r="CV343" s="505"/>
      <c r="CW343" s="505"/>
      <c r="CX343" s="505"/>
      <c r="CY343" s="505"/>
      <c r="CZ343" s="505"/>
      <c r="DA343" s="505"/>
      <c r="DB343" s="505"/>
      <c r="DC343" s="505"/>
      <c r="DD343" s="505"/>
      <c r="DE343" s="505"/>
      <c r="DF343" s="505"/>
      <c r="DG343" s="505"/>
      <c r="DH343" s="505"/>
      <c r="DI343" s="505"/>
      <c r="DJ343" s="505"/>
      <c r="DK343" s="505"/>
      <c r="DL343" s="505"/>
      <c r="DM343" s="505"/>
      <c r="DN343" s="505"/>
      <c r="DO343" s="505"/>
      <c r="DP343" s="505"/>
    </row>
    <row r="344" spans="1:120" hidden="1" outlineLevel="1" x14ac:dyDescent="0.2">
      <c r="A344" s="517">
        <f t="shared" si="55"/>
        <v>38899</v>
      </c>
      <c r="B344" s="517" t="str">
        <f t="shared" si="52"/>
        <v>3Q06</v>
      </c>
      <c r="C344" s="517" t="str">
        <f t="shared" si="56"/>
        <v>3Q06</v>
      </c>
      <c r="D344" s="518">
        <f t="shared" si="57"/>
        <v>38961</v>
      </c>
      <c r="E344" s="518">
        <f t="shared" si="57"/>
        <v>38901</v>
      </c>
      <c r="F344" s="520">
        <v>2.8980000000000001</v>
      </c>
      <c r="G344" s="521">
        <f t="shared" si="53"/>
        <v>0.35000000000000014</v>
      </c>
      <c r="H344" s="521">
        <f t="shared" si="54"/>
        <v>0.36000000000000015</v>
      </c>
      <c r="I344" s="505"/>
      <c r="J344" s="505"/>
      <c r="K344" s="505"/>
      <c r="L344" s="505"/>
      <c r="M344" s="528"/>
      <c r="N344" s="505"/>
      <c r="O344" s="505"/>
      <c r="P344" s="505"/>
      <c r="Q344" s="505"/>
      <c r="R344" s="505"/>
      <c r="S344" s="505"/>
      <c r="T344" s="505"/>
      <c r="U344" s="505"/>
      <c r="V344" s="505"/>
      <c r="W344" s="505"/>
      <c r="X344" s="505"/>
      <c r="Y344" s="505"/>
      <c r="Z344" s="505"/>
      <c r="AA344" s="505"/>
      <c r="AB344" s="505"/>
      <c r="AC344" s="505"/>
      <c r="AD344" s="505"/>
      <c r="AE344" s="505"/>
      <c r="AF344" s="505"/>
      <c r="AG344" s="505"/>
      <c r="AH344" s="505"/>
      <c r="AI344" s="505"/>
      <c r="AJ344" s="505"/>
      <c r="AK344" s="505"/>
      <c r="AL344" s="505"/>
      <c r="AM344" s="505"/>
      <c r="AN344" s="505"/>
      <c r="AO344" s="505"/>
      <c r="AP344" s="505"/>
      <c r="AQ344" s="505"/>
      <c r="AR344" s="505"/>
      <c r="AS344" s="505"/>
      <c r="AT344" s="505"/>
      <c r="AU344" s="505"/>
      <c r="AV344" s="505"/>
      <c r="AW344" s="505"/>
      <c r="AX344" s="505"/>
      <c r="AY344" s="505"/>
      <c r="AZ344" s="505"/>
      <c r="BA344" s="505"/>
      <c r="BB344" s="505"/>
      <c r="BC344" s="505"/>
      <c r="BD344" s="505"/>
      <c r="BE344" s="505"/>
      <c r="BF344" s="505"/>
      <c r="BG344" s="505"/>
      <c r="BH344" s="505"/>
      <c r="BI344" s="505"/>
      <c r="BJ344" s="505"/>
      <c r="BK344" s="505"/>
      <c r="BL344" s="505"/>
      <c r="BM344" s="505"/>
      <c r="BN344" s="505"/>
      <c r="BO344" s="505"/>
      <c r="BP344" s="505"/>
      <c r="BQ344" s="505"/>
      <c r="BR344" s="505"/>
      <c r="BS344" s="505"/>
      <c r="BT344" s="505"/>
      <c r="BU344" s="505"/>
      <c r="BV344" s="505"/>
      <c r="BW344" s="505"/>
      <c r="BX344" s="505"/>
      <c r="BY344" s="505"/>
      <c r="BZ344" s="505"/>
      <c r="CA344" s="505"/>
      <c r="CB344" s="505"/>
      <c r="CC344" s="505"/>
      <c r="CD344" s="505"/>
      <c r="CE344" s="505"/>
      <c r="CF344" s="505"/>
      <c r="CG344" s="505"/>
      <c r="CH344" s="505"/>
      <c r="CI344" s="505"/>
      <c r="CJ344" s="505"/>
      <c r="CK344" s="505"/>
      <c r="CL344" s="505"/>
      <c r="CM344" s="505"/>
      <c r="CN344" s="505"/>
      <c r="CO344" s="505"/>
      <c r="CP344" s="505"/>
      <c r="CQ344" s="505"/>
      <c r="CR344" s="505"/>
      <c r="CS344" s="505"/>
      <c r="CT344" s="505"/>
      <c r="CU344" s="505"/>
      <c r="CV344" s="505"/>
      <c r="CW344" s="505"/>
      <c r="CX344" s="505"/>
      <c r="CY344" s="505"/>
      <c r="CZ344" s="505"/>
      <c r="DA344" s="505"/>
      <c r="DB344" s="505"/>
      <c r="DC344" s="505"/>
      <c r="DD344" s="505"/>
      <c r="DE344" s="505"/>
      <c r="DF344" s="505"/>
      <c r="DG344" s="505"/>
      <c r="DH344" s="505"/>
      <c r="DI344" s="505"/>
      <c r="DJ344" s="505"/>
      <c r="DK344" s="505"/>
      <c r="DL344" s="505"/>
      <c r="DM344" s="505"/>
      <c r="DN344" s="505"/>
      <c r="DO344" s="505"/>
      <c r="DP344" s="505"/>
    </row>
    <row r="345" spans="1:120" hidden="1" outlineLevel="1" x14ac:dyDescent="0.2">
      <c r="A345" s="517">
        <f t="shared" si="55"/>
        <v>38899</v>
      </c>
      <c r="B345" s="517" t="str">
        <f t="shared" si="52"/>
        <v>3Q06</v>
      </c>
      <c r="C345" s="517" t="str">
        <f t="shared" si="56"/>
        <v>3Q06</v>
      </c>
      <c r="D345" s="518">
        <f t="shared" si="57"/>
        <v>38968</v>
      </c>
      <c r="E345" s="518">
        <f t="shared" si="57"/>
        <v>38908</v>
      </c>
      <c r="F345" s="520">
        <v>2.9180000000000001</v>
      </c>
      <c r="G345" s="521">
        <f t="shared" si="53"/>
        <v>0.36000000000000015</v>
      </c>
      <c r="H345" s="521">
        <f t="shared" si="54"/>
        <v>0.36000000000000015</v>
      </c>
      <c r="I345" s="505"/>
      <c r="J345" s="505"/>
      <c r="K345" s="505"/>
      <c r="L345" s="505"/>
      <c r="M345" s="528"/>
      <c r="N345" s="505"/>
      <c r="O345" s="505"/>
      <c r="P345" s="505"/>
      <c r="Q345" s="505"/>
      <c r="R345" s="505"/>
      <c r="S345" s="505"/>
      <c r="T345" s="505"/>
      <c r="U345" s="505"/>
      <c r="V345" s="505"/>
      <c r="W345" s="505"/>
      <c r="X345" s="505"/>
      <c r="Y345" s="505"/>
      <c r="Z345" s="505"/>
      <c r="AA345" s="505"/>
      <c r="AB345" s="505"/>
      <c r="AC345" s="505"/>
      <c r="AD345" s="505"/>
      <c r="AE345" s="505"/>
      <c r="AF345" s="505"/>
      <c r="AG345" s="505"/>
      <c r="AH345" s="505"/>
      <c r="AI345" s="505"/>
      <c r="AJ345" s="505"/>
      <c r="AK345" s="505"/>
      <c r="AL345" s="505"/>
      <c r="AM345" s="505"/>
      <c r="AN345" s="505"/>
      <c r="AO345" s="505"/>
      <c r="AP345" s="505"/>
      <c r="AQ345" s="505"/>
      <c r="AR345" s="505"/>
      <c r="AS345" s="505"/>
      <c r="AT345" s="505"/>
      <c r="AU345" s="505"/>
      <c r="AV345" s="505"/>
      <c r="AW345" s="505"/>
      <c r="AX345" s="505"/>
      <c r="AY345" s="505"/>
      <c r="AZ345" s="505"/>
      <c r="BA345" s="505"/>
      <c r="BB345" s="505"/>
      <c r="BC345" s="505"/>
      <c r="BD345" s="505"/>
      <c r="BE345" s="505"/>
      <c r="BF345" s="505"/>
      <c r="BG345" s="505"/>
      <c r="BH345" s="505"/>
      <c r="BI345" s="505"/>
      <c r="BJ345" s="505"/>
      <c r="BK345" s="505"/>
      <c r="BL345" s="505"/>
      <c r="BM345" s="505"/>
      <c r="BN345" s="505"/>
      <c r="BO345" s="505"/>
      <c r="BP345" s="505"/>
      <c r="BQ345" s="505"/>
      <c r="BR345" s="505"/>
      <c r="BS345" s="505"/>
      <c r="BT345" s="505"/>
      <c r="BU345" s="505"/>
      <c r="BV345" s="505"/>
      <c r="BW345" s="505"/>
      <c r="BX345" s="505"/>
      <c r="BY345" s="505"/>
      <c r="BZ345" s="505"/>
      <c r="CA345" s="505"/>
      <c r="CB345" s="505"/>
      <c r="CC345" s="505"/>
      <c r="CD345" s="505"/>
      <c r="CE345" s="505"/>
      <c r="CF345" s="505"/>
      <c r="CG345" s="505"/>
      <c r="CH345" s="505"/>
      <c r="CI345" s="505"/>
      <c r="CJ345" s="505"/>
      <c r="CK345" s="505"/>
      <c r="CL345" s="505"/>
      <c r="CM345" s="505"/>
      <c r="CN345" s="505"/>
      <c r="CO345" s="505"/>
      <c r="CP345" s="505"/>
      <c r="CQ345" s="505"/>
      <c r="CR345" s="505"/>
      <c r="CS345" s="505"/>
      <c r="CT345" s="505"/>
      <c r="CU345" s="505"/>
      <c r="CV345" s="505"/>
      <c r="CW345" s="505"/>
      <c r="CX345" s="505"/>
      <c r="CY345" s="505"/>
      <c r="CZ345" s="505"/>
      <c r="DA345" s="505"/>
      <c r="DB345" s="505"/>
      <c r="DC345" s="505"/>
      <c r="DD345" s="505"/>
      <c r="DE345" s="505"/>
      <c r="DF345" s="505"/>
      <c r="DG345" s="505"/>
      <c r="DH345" s="505"/>
      <c r="DI345" s="505"/>
      <c r="DJ345" s="505"/>
      <c r="DK345" s="505"/>
      <c r="DL345" s="505"/>
      <c r="DM345" s="505"/>
      <c r="DN345" s="505"/>
      <c r="DO345" s="505"/>
      <c r="DP345" s="505"/>
    </row>
    <row r="346" spans="1:120" hidden="1" outlineLevel="1" x14ac:dyDescent="0.2">
      <c r="A346" s="517">
        <f t="shared" si="55"/>
        <v>38899</v>
      </c>
      <c r="B346" s="517" t="str">
        <f t="shared" si="52"/>
        <v>3Q06</v>
      </c>
      <c r="C346" s="517" t="str">
        <f t="shared" si="56"/>
        <v>3Q06</v>
      </c>
      <c r="D346" s="518">
        <f t="shared" si="57"/>
        <v>38975</v>
      </c>
      <c r="E346" s="518">
        <f t="shared" si="57"/>
        <v>38915</v>
      </c>
      <c r="F346" s="520">
        <v>2.9260000000000002</v>
      </c>
      <c r="G346" s="521">
        <f t="shared" si="53"/>
        <v>0.36000000000000015</v>
      </c>
      <c r="H346" s="521">
        <f t="shared" si="54"/>
        <v>0.36000000000000015</v>
      </c>
      <c r="I346" s="505"/>
      <c r="J346" s="505"/>
      <c r="K346" s="505"/>
      <c r="L346" s="505"/>
      <c r="M346" s="528"/>
      <c r="N346" s="505"/>
      <c r="O346" s="505"/>
      <c r="P346" s="505"/>
      <c r="Q346" s="505"/>
      <c r="R346" s="505"/>
      <c r="S346" s="505"/>
      <c r="T346" s="505"/>
      <c r="U346" s="505"/>
      <c r="V346" s="505"/>
      <c r="W346" s="505"/>
      <c r="X346" s="505"/>
      <c r="Y346" s="505"/>
      <c r="Z346" s="505"/>
      <c r="AA346" s="505"/>
      <c r="AB346" s="505"/>
      <c r="AC346" s="505"/>
      <c r="AD346" s="505"/>
      <c r="AE346" s="505"/>
      <c r="AF346" s="505"/>
      <c r="AG346" s="505"/>
      <c r="AH346" s="505"/>
      <c r="AI346" s="505"/>
      <c r="AJ346" s="505"/>
      <c r="AK346" s="505"/>
      <c r="AL346" s="505"/>
      <c r="AM346" s="505"/>
      <c r="AN346" s="505"/>
      <c r="AO346" s="505"/>
      <c r="AP346" s="505"/>
      <c r="AQ346" s="505"/>
      <c r="AR346" s="505"/>
      <c r="AS346" s="505"/>
      <c r="AT346" s="505"/>
      <c r="AU346" s="505"/>
      <c r="AV346" s="505"/>
      <c r="AW346" s="505"/>
      <c r="AX346" s="505"/>
      <c r="AY346" s="505"/>
      <c r="AZ346" s="505"/>
      <c r="BA346" s="505"/>
      <c r="BB346" s="505"/>
      <c r="BC346" s="505"/>
      <c r="BD346" s="505"/>
      <c r="BE346" s="505"/>
      <c r="BF346" s="505"/>
      <c r="BG346" s="505"/>
      <c r="BH346" s="505"/>
      <c r="BI346" s="505"/>
      <c r="BJ346" s="505"/>
      <c r="BK346" s="505"/>
      <c r="BL346" s="505"/>
      <c r="BM346" s="505"/>
      <c r="BN346" s="505"/>
      <c r="BO346" s="505"/>
      <c r="BP346" s="505"/>
      <c r="BQ346" s="505"/>
      <c r="BR346" s="505"/>
      <c r="BS346" s="505"/>
      <c r="BT346" s="505"/>
      <c r="BU346" s="505"/>
      <c r="BV346" s="505"/>
      <c r="BW346" s="505"/>
      <c r="BX346" s="505"/>
      <c r="BY346" s="505"/>
      <c r="BZ346" s="505"/>
      <c r="CA346" s="505"/>
      <c r="CB346" s="505"/>
      <c r="CC346" s="505"/>
      <c r="CD346" s="505"/>
      <c r="CE346" s="505"/>
      <c r="CF346" s="505"/>
      <c r="CG346" s="505"/>
      <c r="CH346" s="505"/>
      <c r="CI346" s="505"/>
      <c r="CJ346" s="505"/>
      <c r="CK346" s="505"/>
      <c r="CL346" s="505"/>
      <c r="CM346" s="505"/>
      <c r="CN346" s="505"/>
      <c r="CO346" s="505"/>
      <c r="CP346" s="505"/>
      <c r="CQ346" s="505"/>
      <c r="CR346" s="505"/>
      <c r="CS346" s="505"/>
      <c r="CT346" s="505"/>
      <c r="CU346" s="505"/>
      <c r="CV346" s="505"/>
      <c r="CW346" s="505"/>
      <c r="CX346" s="505"/>
      <c r="CY346" s="505"/>
      <c r="CZ346" s="505"/>
      <c r="DA346" s="505"/>
      <c r="DB346" s="505"/>
      <c r="DC346" s="505"/>
      <c r="DD346" s="505"/>
      <c r="DE346" s="505"/>
      <c r="DF346" s="505"/>
      <c r="DG346" s="505"/>
      <c r="DH346" s="505"/>
      <c r="DI346" s="505"/>
      <c r="DJ346" s="505"/>
      <c r="DK346" s="505"/>
      <c r="DL346" s="505"/>
      <c r="DM346" s="505"/>
      <c r="DN346" s="505"/>
      <c r="DO346" s="505"/>
      <c r="DP346" s="505"/>
    </row>
    <row r="347" spans="1:120" hidden="1" outlineLevel="1" x14ac:dyDescent="0.2">
      <c r="A347" s="517">
        <f t="shared" si="55"/>
        <v>38899</v>
      </c>
      <c r="B347" s="517" t="str">
        <f t="shared" si="52"/>
        <v>3Q06</v>
      </c>
      <c r="C347" s="517" t="str">
        <f t="shared" si="56"/>
        <v>3Q06</v>
      </c>
      <c r="D347" s="518">
        <f t="shared" si="57"/>
        <v>38982</v>
      </c>
      <c r="E347" s="518">
        <f t="shared" si="57"/>
        <v>38922</v>
      </c>
      <c r="F347" s="520">
        <v>2.9460000000000002</v>
      </c>
      <c r="G347" s="521">
        <f t="shared" si="53"/>
        <v>0.36000000000000015</v>
      </c>
      <c r="H347" s="521">
        <f t="shared" si="54"/>
        <v>0.37000000000000016</v>
      </c>
      <c r="I347" s="505"/>
      <c r="J347" s="505"/>
      <c r="K347" s="505"/>
      <c r="L347" s="505"/>
      <c r="M347" s="528"/>
      <c r="N347" s="505"/>
      <c r="O347" s="505"/>
      <c r="P347" s="505"/>
      <c r="Q347" s="505"/>
      <c r="R347" s="505"/>
      <c r="S347" s="505"/>
      <c r="T347" s="505"/>
      <c r="U347" s="505"/>
      <c r="V347" s="505"/>
      <c r="W347" s="505"/>
      <c r="X347" s="505"/>
      <c r="Y347" s="505"/>
      <c r="Z347" s="505"/>
      <c r="AA347" s="505"/>
      <c r="AB347" s="505"/>
      <c r="AC347" s="505"/>
      <c r="AD347" s="505"/>
      <c r="AE347" s="505"/>
      <c r="AF347" s="505"/>
      <c r="AG347" s="505"/>
      <c r="AH347" s="505"/>
      <c r="AI347" s="505"/>
      <c r="AJ347" s="505"/>
      <c r="AK347" s="505"/>
      <c r="AL347" s="505"/>
      <c r="AM347" s="505"/>
      <c r="AN347" s="505"/>
      <c r="AO347" s="505"/>
      <c r="AP347" s="505"/>
      <c r="AQ347" s="505"/>
      <c r="AR347" s="505"/>
      <c r="AS347" s="505"/>
      <c r="AT347" s="505"/>
      <c r="AU347" s="505"/>
      <c r="AV347" s="505"/>
      <c r="AW347" s="505"/>
      <c r="AX347" s="505"/>
      <c r="AY347" s="505"/>
      <c r="AZ347" s="505"/>
      <c r="BA347" s="505"/>
      <c r="BB347" s="505"/>
      <c r="BC347" s="505"/>
      <c r="BD347" s="505"/>
      <c r="BE347" s="505"/>
      <c r="BF347" s="505"/>
      <c r="BG347" s="505"/>
      <c r="BH347" s="505"/>
      <c r="BI347" s="505"/>
      <c r="BJ347" s="505"/>
      <c r="BK347" s="505"/>
      <c r="BL347" s="505"/>
      <c r="BM347" s="505"/>
      <c r="BN347" s="505"/>
      <c r="BO347" s="505"/>
      <c r="BP347" s="505"/>
      <c r="BQ347" s="505"/>
      <c r="BR347" s="505"/>
      <c r="BS347" s="505"/>
      <c r="BT347" s="505"/>
      <c r="BU347" s="505"/>
      <c r="BV347" s="505"/>
      <c r="BW347" s="505"/>
      <c r="BX347" s="505"/>
      <c r="BY347" s="505"/>
      <c r="BZ347" s="505"/>
      <c r="CA347" s="505"/>
      <c r="CB347" s="505"/>
      <c r="CC347" s="505"/>
      <c r="CD347" s="505"/>
      <c r="CE347" s="505"/>
      <c r="CF347" s="505"/>
      <c r="CG347" s="505"/>
      <c r="CH347" s="505"/>
      <c r="CI347" s="505"/>
      <c r="CJ347" s="505"/>
      <c r="CK347" s="505"/>
      <c r="CL347" s="505"/>
      <c r="CM347" s="505"/>
      <c r="CN347" s="505"/>
      <c r="CO347" s="505"/>
      <c r="CP347" s="505"/>
      <c r="CQ347" s="505"/>
      <c r="CR347" s="505"/>
      <c r="CS347" s="505"/>
      <c r="CT347" s="505"/>
      <c r="CU347" s="505"/>
      <c r="CV347" s="505"/>
      <c r="CW347" s="505"/>
      <c r="CX347" s="505"/>
      <c r="CY347" s="505"/>
      <c r="CZ347" s="505"/>
      <c r="DA347" s="505"/>
      <c r="DB347" s="505"/>
      <c r="DC347" s="505"/>
      <c r="DD347" s="505"/>
      <c r="DE347" s="505"/>
      <c r="DF347" s="505"/>
      <c r="DG347" s="505"/>
      <c r="DH347" s="505"/>
      <c r="DI347" s="505"/>
      <c r="DJ347" s="505"/>
      <c r="DK347" s="505"/>
      <c r="DL347" s="505"/>
      <c r="DM347" s="505"/>
      <c r="DN347" s="505"/>
      <c r="DO347" s="505"/>
      <c r="DP347" s="505"/>
    </row>
    <row r="348" spans="1:120" hidden="1" outlineLevel="1" x14ac:dyDescent="0.2">
      <c r="A348" s="517">
        <f t="shared" si="55"/>
        <v>38899</v>
      </c>
      <c r="B348" s="517" t="str">
        <f t="shared" si="52"/>
        <v>3Q06</v>
      </c>
      <c r="C348" s="517" t="str">
        <f t="shared" si="56"/>
        <v>3Q06</v>
      </c>
      <c r="D348" s="518">
        <f t="shared" si="57"/>
        <v>38989</v>
      </c>
      <c r="E348" s="518">
        <f t="shared" si="57"/>
        <v>38929</v>
      </c>
      <c r="F348" s="520">
        <v>2.98</v>
      </c>
      <c r="G348" s="521">
        <f t="shared" si="53"/>
        <v>0.37000000000000016</v>
      </c>
      <c r="H348" s="521">
        <f t="shared" si="54"/>
        <v>0.39000000000000018</v>
      </c>
      <c r="I348" s="505"/>
      <c r="J348" s="505"/>
      <c r="K348" s="505"/>
      <c r="L348" s="505"/>
      <c r="M348" s="528"/>
      <c r="N348" s="505"/>
      <c r="O348" s="505"/>
      <c r="P348" s="505"/>
      <c r="Q348" s="505"/>
      <c r="R348" s="505"/>
      <c r="S348" s="505"/>
      <c r="T348" s="505"/>
      <c r="U348" s="505"/>
      <c r="V348" s="505"/>
      <c r="W348" s="505"/>
      <c r="X348" s="505"/>
      <c r="Y348" s="505"/>
      <c r="Z348" s="505"/>
      <c r="AA348" s="505"/>
      <c r="AB348" s="505"/>
      <c r="AC348" s="505"/>
      <c r="AD348" s="505"/>
      <c r="AE348" s="505"/>
      <c r="AF348" s="505"/>
      <c r="AG348" s="505"/>
      <c r="AH348" s="505"/>
      <c r="AI348" s="505"/>
      <c r="AJ348" s="505"/>
      <c r="AK348" s="505"/>
      <c r="AL348" s="505"/>
      <c r="AM348" s="505"/>
      <c r="AN348" s="505"/>
      <c r="AO348" s="505"/>
      <c r="AP348" s="505"/>
      <c r="AQ348" s="505"/>
      <c r="AR348" s="505"/>
      <c r="AS348" s="505"/>
      <c r="AT348" s="505"/>
      <c r="AU348" s="505"/>
      <c r="AV348" s="505"/>
      <c r="AW348" s="505"/>
      <c r="AX348" s="505"/>
      <c r="AY348" s="505"/>
      <c r="AZ348" s="505"/>
      <c r="BA348" s="505"/>
      <c r="BB348" s="505"/>
      <c r="BC348" s="505"/>
      <c r="BD348" s="505"/>
      <c r="BE348" s="505"/>
      <c r="BF348" s="505"/>
      <c r="BG348" s="505"/>
      <c r="BH348" s="505"/>
      <c r="BI348" s="505"/>
      <c r="BJ348" s="505"/>
      <c r="BK348" s="505"/>
      <c r="BL348" s="505"/>
      <c r="BM348" s="505"/>
      <c r="BN348" s="505"/>
      <c r="BO348" s="505"/>
      <c r="BP348" s="505"/>
      <c r="BQ348" s="505"/>
      <c r="BR348" s="505"/>
      <c r="BS348" s="505"/>
      <c r="BT348" s="505"/>
      <c r="BU348" s="505"/>
      <c r="BV348" s="505"/>
      <c r="BW348" s="505"/>
      <c r="BX348" s="505"/>
      <c r="BY348" s="505"/>
      <c r="BZ348" s="505"/>
      <c r="CA348" s="505"/>
      <c r="CB348" s="505"/>
      <c r="CC348" s="505"/>
      <c r="CD348" s="505"/>
      <c r="CE348" s="505"/>
      <c r="CF348" s="505"/>
      <c r="CG348" s="505"/>
      <c r="CH348" s="505"/>
      <c r="CI348" s="505"/>
      <c r="CJ348" s="505"/>
      <c r="CK348" s="505"/>
      <c r="CL348" s="505"/>
      <c r="CM348" s="505"/>
      <c r="CN348" s="505"/>
      <c r="CO348" s="505"/>
      <c r="CP348" s="505"/>
      <c r="CQ348" s="505"/>
      <c r="CR348" s="505"/>
      <c r="CS348" s="505"/>
      <c r="CT348" s="505"/>
      <c r="CU348" s="505"/>
      <c r="CV348" s="505"/>
      <c r="CW348" s="505"/>
      <c r="CX348" s="505"/>
      <c r="CY348" s="505"/>
      <c r="CZ348" s="505"/>
      <c r="DA348" s="505"/>
      <c r="DB348" s="505"/>
      <c r="DC348" s="505"/>
      <c r="DD348" s="505"/>
      <c r="DE348" s="505"/>
      <c r="DF348" s="505"/>
      <c r="DG348" s="505"/>
      <c r="DH348" s="505"/>
      <c r="DI348" s="505"/>
      <c r="DJ348" s="505"/>
      <c r="DK348" s="505"/>
      <c r="DL348" s="505"/>
      <c r="DM348" s="505"/>
      <c r="DN348" s="505"/>
      <c r="DO348" s="505"/>
      <c r="DP348" s="505"/>
    </row>
    <row r="349" spans="1:120" hidden="1" outlineLevel="1" x14ac:dyDescent="0.2">
      <c r="A349" s="517">
        <f t="shared" si="55"/>
        <v>38930</v>
      </c>
      <c r="B349" s="517" t="str">
        <f t="shared" si="52"/>
        <v>3Q06</v>
      </c>
      <c r="C349" s="517" t="str">
        <f t="shared" si="56"/>
        <v>4Q06</v>
      </c>
      <c r="D349" s="518">
        <f t="shared" si="57"/>
        <v>38996</v>
      </c>
      <c r="E349" s="518">
        <f t="shared" si="57"/>
        <v>38936</v>
      </c>
      <c r="F349" s="520">
        <v>3.0550000000000002</v>
      </c>
      <c r="G349" s="521">
        <f t="shared" si="53"/>
        <v>0.39000000000000018</v>
      </c>
      <c r="H349" s="521">
        <f t="shared" si="54"/>
        <v>0.39000000000000018</v>
      </c>
      <c r="I349" s="505"/>
      <c r="J349" s="505"/>
      <c r="K349" s="505"/>
      <c r="L349" s="505"/>
      <c r="M349" s="528"/>
      <c r="N349" s="505"/>
      <c r="O349" s="505"/>
      <c r="P349" s="505"/>
      <c r="Q349" s="505"/>
      <c r="R349" s="505"/>
      <c r="S349" s="505"/>
      <c r="T349" s="505"/>
      <c r="U349" s="505"/>
      <c r="V349" s="505"/>
      <c r="W349" s="505"/>
      <c r="X349" s="505"/>
      <c r="Y349" s="505"/>
      <c r="Z349" s="505"/>
      <c r="AA349" s="505"/>
      <c r="AB349" s="505"/>
      <c r="AC349" s="505"/>
      <c r="AD349" s="505"/>
      <c r="AE349" s="505"/>
      <c r="AF349" s="505"/>
      <c r="AG349" s="505"/>
      <c r="AH349" s="505"/>
      <c r="AI349" s="505"/>
      <c r="AJ349" s="505"/>
      <c r="AK349" s="505"/>
      <c r="AL349" s="505"/>
      <c r="AM349" s="505"/>
      <c r="AN349" s="505"/>
      <c r="AO349" s="505"/>
      <c r="AP349" s="505"/>
      <c r="AQ349" s="505"/>
      <c r="AR349" s="505"/>
      <c r="AS349" s="505"/>
      <c r="AT349" s="505"/>
      <c r="AU349" s="505"/>
      <c r="AV349" s="505"/>
      <c r="AW349" s="505"/>
      <c r="AX349" s="505"/>
      <c r="AY349" s="505"/>
      <c r="AZ349" s="505"/>
      <c r="BA349" s="505"/>
      <c r="BB349" s="505"/>
      <c r="BC349" s="505"/>
      <c r="BD349" s="505"/>
      <c r="BE349" s="505"/>
      <c r="BF349" s="505"/>
      <c r="BG349" s="505"/>
      <c r="BH349" s="505"/>
      <c r="BI349" s="505"/>
      <c r="BJ349" s="505"/>
      <c r="BK349" s="505"/>
      <c r="BL349" s="505"/>
      <c r="BM349" s="505"/>
      <c r="BN349" s="505"/>
      <c r="BO349" s="505"/>
      <c r="BP349" s="505"/>
      <c r="BQ349" s="505"/>
      <c r="BR349" s="505"/>
      <c r="BS349" s="505"/>
      <c r="BT349" s="505"/>
      <c r="BU349" s="505"/>
      <c r="BV349" s="505"/>
      <c r="BW349" s="505"/>
      <c r="BX349" s="505"/>
      <c r="BY349" s="505"/>
      <c r="BZ349" s="505"/>
      <c r="CA349" s="505"/>
      <c r="CB349" s="505"/>
      <c r="CC349" s="505"/>
      <c r="CD349" s="505"/>
      <c r="CE349" s="505"/>
      <c r="CF349" s="505"/>
      <c r="CG349" s="505"/>
      <c r="CH349" s="505"/>
      <c r="CI349" s="505"/>
      <c r="CJ349" s="505"/>
      <c r="CK349" s="505"/>
      <c r="CL349" s="505"/>
      <c r="CM349" s="505"/>
      <c r="CN349" s="505"/>
      <c r="CO349" s="505"/>
      <c r="CP349" s="505"/>
      <c r="CQ349" s="505"/>
      <c r="CR349" s="505"/>
      <c r="CS349" s="505"/>
      <c r="CT349" s="505"/>
      <c r="CU349" s="505"/>
      <c r="CV349" s="505"/>
      <c r="CW349" s="505"/>
      <c r="CX349" s="505"/>
      <c r="CY349" s="505"/>
      <c r="CZ349" s="505"/>
      <c r="DA349" s="505"/>
      <c r="DB349" s="505"/>
      <c r="DC349" s="505"/>
      <c r="DD349" s="505"/>
      <c r="DE349" s="505"/>
      <c r="DF349" s="505"/>
      <c r="DG349" s="505"/>
      <c r="DH349" s="505"/>
      <c r="DI349" s="505"/>
      <c r="DJ349" s="505"/>
      <c r="DK349" s="505"/>
      <c r="DL349" s="505"/>
      <c r="DM349" s="505"/>
      <c r="DN349" s="505"/>
      <c r="DO349" s="505"/>
      <c r="DP349" s="505"/>
    </row>
    <row r="350" spans="1:120" hidden="1" outlineLevel="1" x14ac:dyDescent="0.2">
      <c r="A350" s="517">
        <f t="shared" si="55"/>
        <v>38930</v>
      </c>
      <c r="B350" s="517" t="str">
        <f t="shared" si="52"/>
        <v>3Q06</v>
      </c>
      <c r="C350" s="517" t="str">
        <f t="shared" si="56"/>
        <v>4Q06</v>
      </c>
      <c r="D350" s="518">
        <f t="shared" si="57"/>
        <v>39003</v>
      </c>
      <c r="E350" s="518">
        <f t="shared" si="57"/>
        <v>38943</v>
      </c>
      <c r="F350" s="520">
        <v>3.0649999999999999</v>
      </c>
      <c r="G350" s="521">
        <f t="shared" si="53"/>
        <v>0.39000000000000018</v>
      </c>
      <c r="H350" s="521">
        <f t="shared" si="54"/>
        <v>0.38000000000000017</v>
      </c>
      <c r="I350" s="505"/>
      <c r="J350" s="505"/>
      <c r="K350" s="505"/>
      <c r="L350" s="505"/>
      <c r="M350" s="528"/>
      <c r="N350" s="505"/>
      <c r="O350" s="505"/>
      <c r="P350" s="505"/>
      <c r="Q350" s="505"/>
      <c r="R350" s="505"/>
      <c r="S350" s="505"/>
      <c r="T350" s="505"/>
      <c r="U350" s="505"/>
      <c r="V350" s="505"/>
      <c r="W350" s="505"/>
      <c r="X350" s="505"/>
      <c r="Y350" s="505"/>
      <c r="Z350" s="505"/>
      <c r="AA350" s="505"/>
      <c r="AB350" s="505"/>
      <c r="AC350" s="505"/>
      <c r="AD350" s="505"/>
      <c r="AE350" s="505"/>
      <c r="AF350" s="505"/>
      <c r="AG350" s="505"/>
      <c r="AH350" s="505"/>
      <c r="AI350" s="505"/>
      <c r="AJ350" s="505"/>
      <c r="AK350" s="505"/>
      <c r="AL350" s="505"/>
      <c r="AM350" s="505"/>
      <c r="AN350" s="505"/>
      <c r="AO350" s="505"/>
      <c r="AP350" s="505"/>
      <c r="AQ350" s="505"/>
      <c r="AR350" s="505"/>
      <c r="AS350" s="505"/>
      <c r="AT350" s="505"/>
      <c r="AU350" s="505"/>
      <c r="AV350" s="505"/>
      <c r="AW350" s="505"/>
      <c r="AX350" s="505"/>
      <c r="AY350" s="505"/>
      <c r="AZ350" s="505"/>
      <c r="BA350" s="505"/>
      <c r="BB350" s="505"/>
      <c r="BC350" s="505"/>
      <c r="BD350" s="505"/>
      <c r="BE350" s="505"/>
      <c r="BF350" s="505"/>
      <c r="BG350" s="505"/>
      <c r="BH350" s="505"/>
      <c r="BI350" s="505"/>
      <c r="BJ350" s="505"/>
      <c r="BK350" s="505"/>
      <c r="BL350" s="505"/>
      <c r="BM350" s="505"/>
      <c r="BN350" s="505"/>
      <c r="BO350" s="505"/>
      <c r="BP350" s="505"/>
      <c r="BQ350" s="505"/>
      <c r="BR350" s="505"/>
      <c r="BS350" s="505"/>
      <c r="BT350" s="505"/>
      <c r="BU350" s="505"/>
      <c r="BV350" s="505"/>
      <c r="BW350" s="505"/>
      <c r="BX350" s="505"/>
      <c r="BY350" s="505"/>
      <c r="BZ350" s="505"/>
      <c r="CA350" s="505"/>
      <c r="CB350" s="505"/>
      <c r="CC350" s="505"/>
      <c r="CD350" s="505"/>
      <c r="CE350" s="505"/>
      <c r="CF350" s="505"/>
      <c r="CG350" s="505"/>
      <c r="CH350" s="505"/>
      <c r="CI350" s="505"/>
      <c r="CJ350" s="505"/>
      <c r="CK350" s="505"/>
      <c r="CL350" s="505"/>
      <c r="CM350" s="505"/>
      <c r="CN350" s="505"/>
      <c r="CO350" s="505"/>
      <c r="CP350" s="505"/>
      <c r="CQ350" s="505"/>
      <c r="CR350" s="505"/>
      <c r="CS350" s="505"/>
      <c r="CT350" s="505"/>
      <c r="CU350" s="505"/>
      <c r="CV350" s="505"/>
      <c r="CW350" s="505"/>
      <c r="CX350" s="505"/>
      <c r="CY350" s="505"/>
      <c r="CZ350" s="505"/>
      <c r="DA350" s="505"/>
      <c r="DB350" s="505"/>
      <c r="DC350" s="505"/>
      <c r="DD350" s="505"/>
      <c r="DE350" s="505"/>
      <c r="DF350" s="505"/>
      <c r="DG350" s="505"/>
      <c r="DH350" s="505"/>
      <c r="DI350" s="505"/>
      <c r="DJ350" s="505"/>
      <c r="DK350" s="505"/>
      <c r="DL350" s="505"/>
      <c r="DM350" s="505"/>
      <c r="DN350" s="505"/>
      <c r="DO350" s="505"/>
      <c r="DP350" s="505"/>
    </row>
    <row r="351" spans="1:120" hidden="1" outlineLevel="1" x14ac:dyDescent="0.2">
      <c r="A351" s="517">
        <f t="shared" si="55"/>
        <v>38930</v>
      </c>
      <c r="B351" s="517" t="str">
        <f t="shared" si="52"/>
        <v>3Q06</v>
      </c>
      <c r="C351" s="517" t="str">
        <f t="shared" si="56"/>
        <v>4Q06</v>
      </c>
      <c r="D351" s="518">
        <f t="shared" si="57"/>
        <v>39010</v>
      </c>
      <c r="E351" s="518">
        <f t="shared" si="57"/>
        <v>38950</v>
      </c>
      <c r="F351" s="520">
        <v>3.0329999999999999</v>
      </c>
      <c r="G351" s="521">
        <f t="shared" si="53"/>
        <v>0.38000000000000017</v>
      </c>
      <c r="H351" s="521">
        <f t="shared" si="54"/>
        <v>0.38000000000000017</v>
      </c>
      <c r="I351" s="505"/>
      <c r="J351" s="505"/>
      <c r="K351" s="505"/>
      <c r="L351" s="505"/>
      <c r="M351" s="528"/>
      <c r="N351" s="505"/>
      <c r="O351" s="505"/>
      <c r="P351" s="505"/>
      <c r="Q351" s="505"/>
      <c r="R351" s="505"/>
      <c r="S351" s="505"/>
      <c r="T351" s="505"/>
      <c r="U351" s="505"/>
      <c r="V351" s="505"/>
      <c r="W351" s="505"/>
      <c r="X351" s="505"/>
      <c r="Y351" s="505"/>
      <c r="Z351" s="505"/>
      <c r="AA351" s="505"/>
      <c r="AB351" s="505"/>
      <c r="AC351" s="505"/>
      <c r="AD351" s="505"/>
      <c r="AE351" s="505"/>
      <c r="AF351" s="505"/>
      <c r="AG351" s="505"/>
      <c r="AH351" s="505"/>
      <c r="AI351" s="505"/>
      <c r="AJ351" s="505"/>
      <c r="AK351" s="505"/>
      <c r="AL351" s="505"/>
      <c r="AM351" s="505"/>
      <c r="AN351" s="505"/>
      <c r="AO351" s="505"/>
      <c r="AP351" s="505"/>
      <c r="AQ351" s="505"/>
      <c r="AR351" s="505"/>
      <c r="AS351" s="505"/>
      <c r="AT351" s="505"/>
      <c r="AU351" s="505"/>
      <c r="AV351" s="505"/>
      <c r="AW351" s="505"/>
      <c r="AX351" s="505"/>
      <c r="AY351" s="505"/>
      <c r="AZ351" s="505"/>
      <c r="BA351" s="505"/>
      <c r="BB351" s="505"/>
      <c r="BC351" s="505"/>
      <c r="BD351" s="505"/>
      <c r="BE351" s="505"/>
      <c r="BF351" s="505"/>
      <c r="BG351" s="505"/>
      <c r="BH351" s="505"/>
      <c r="BI351" s="505"/>
      <c r="BJ351" s="505"/>
      <c r="BK351" s="505"/>
      <c r="BL351" s="505"/>
      <c r="BM351" s="505"/>
      <c r="BN351" s="505"/>
      <c r="BO351" s="505"/>
      <c r="BP351" s="505"/>
      <c r="BQ351" s="505"/>
      <c r="BR351" s="505"/>
      <c r="BS351" s="505"/>
      <c r="BT351" s="505"/>
      <c r="BU351" s="505"/>
      <c r="BV351" s="505"/>
      <c r="BW351" s="505"/>
      <c r="BX351" s="505"/>
      <c r="BY351" s="505"/>
      <c r="BZ351" s="505"/>
      <c r="CA351" s="505"/>
      <c r="CB351" s="505"/>
      <c r="CC351" s="505"/>
      <c r="CD351" s="505"/>
      <c r="CE351" s="505"/>
      <c r="CF351" s="505"/>
      <c r="CG351" s="505"/>
      <c r="CH351" s="505"/>
      <c r="CI351" s="505"/>
      <c r="CJ351" s="505"/>
      <c r="CK351" s="505"/>
      <c r="CL351" s="505"/>
      <c r="CM351" s="505"/>
      <c r="CN351" s="505"/>
      <c r="CO351" s="505"/>
      <c r="CP351" s="505"/>
      <c r="CQ351" s="505"/>
      <c r="CR351" s="505"/>
      <c r="CS351" s="505"/>
      <c r="CT351" s="505"/>
      <c r="CU351" s="505"/>
      <c r="CV351" s="505"/>
      <c r="CW351" s="505"/>
      <c r="CX351" s="505"/>
      <c r="CY351" s="505"/>
      <c r="CZ351" s="505"/>
      <c r="DA351" s="505"/>
      <c r="DB351" s="505"/>
      <c r="DC351" s="505"/>
      <c r="DD351" s="505"/>
      <c r="DE351" s="505"/>
      <c r="DF351" s="505"/>
      <c r="DG351" s="505"/>
      <c r="DH351" s="505"/>
      <c r="DI351" s="505"/>
      <c r="DJ351" s="505"/>
      <c r="DK351" s="505"/>
      <c r="DL351" s="505"/>
      <c r="DM351" s="505"/>
      <c r="DN351" s="505"/>
      <c r="DO351" s="505"/>
      <c r="DP351" s="505"/>
    </row>
    <row r="352" spans="1:120" hidden="1" outlineLevel="1" x14ac:dyDescent="0.2">
      <c r="A352" s="517">
        <f t="shared" si="55"/>
        <v>38930</v>
      </c>
      <c r="B352" s="517" t="str">
        <f t="shared" si="52"/>
        <v>3Q06</v>
      </c>
      <c r="C352" s="517" t="str">
        <f t="shared" si="56"/>
        <v>4Q06</v>
      </c>
      <c r="D352" s="518">
        <f t="shared" si="57"/>
        <v>39017</v>
      </c>
      <c r="E352" s="518">
        <f t="shared" si="57"/>
        <v>38957</v>
      </c>
      <c r="F352" s="520">
        <v>3.0270000000000001</v>
      </c>
      <c r="G352" s="521">
        <f t="shared" si="53"/>
        <v>0.38000000000000017</v>
      </c>
      <c r="H352" s="521">
        <f t="shared" si="54"/>
        <v>0.37000000000000016</v>
      </c>
      <c r="I352" s="505"/>
      <c r="J352" s="505"/>
      <c r="K352" s="505"/>
      <c r="L352" s="505"/>
      <c r="M352" s="528"/>
      <c r="N352" s="505"/>
      <c r="O352" s="505"/>
      <c r="P352" s="505"/>
      <c r="Q352" s="505"/>
      <c r="R352" s="505"/>
      <c r="S352" s="505"/>
      <c r="T352" s="505"/>
      <c r="U352" s="505"/>
      <c r="V352" s="505"/>
      <c r="W352" s="505"/>
      <c r="X352" s="505"/>
      <c r="Y352" s="505"/>
      <c r="Z352" s="505"/>
      <c r="AA352" s="505"/>
      <c r="AB352" s="505"/>
      <c r="AC352" s="505"/>
      <c r="AD352" s="505"/>
      <c r="AE352" s="505"/>
      <c r="AF352" s="505"/>
      <c r="AG352" s="505"/>
      <c r="AH352" s="505"/>
      <c r="AI352" s="505"/>
      <c r="AJ352" s="505"/>
      <c r="AK352" s="505"/>
      <c r="AL352" s="505"/>
      <c r="AM352" s="505"/>
      <c r="AN352" s="505"/>
      <c r="AO352" s="505"/>
      <c r="AP352" s="505"/>
      <c r="AQ352" s="505"/>
      <c r="AR352" s="505"/>
      <c r="AS352" s="505"/>
      <c r="AT352" s="505"/>
      <c r="AU352" s="505"/>
      <c r="AV352" s="505"/>
      <c r="AW352" s="505"/>
      <c r="AX352" s="505"/>
      <c r="AY352" s="505"/>
      <c r="AZ352" s="505"/>
      <c r="BA352" s="505"/>
      <c r="BB352" s="505"/>
      <c r="BC352" s="505"/>
      <c r="BD352" s="505"/>
      <c r="BE352" s="505"/>
      <c r="BF352" s="505"/>
      <c r="BG352" s="505"/>
      <c r="BH352" s="505"/>
      <c r="BI352" s="505"/>
      <c r="BJ352" s="505"/>
      <c r="BK352" s="505"/>
      <c r="BL352" s="505"/>
      <c r="BM352" s="505"/>
      <c r="BN352" s="505"/>
      <c r="BO352" s="505"/>
      <c r="BP352" s="505"/>
      <c r="BQ352" s="505"/>
      <c r="BR352" s="505"/>
      <c r="BS352" s="505"/>
      <c r="BT352" s="505"/>
      <c r="BU352" s="505"/>
      <c r="BV352" s="505"/>
      <c r="BW352" s="505"/>
      <c r="BX352" s="505"/>
      <c r="BY352" s="505"/>
      <c r="BZ352" s="505"/>
      <c r="CA352" s="505"/>
      <c r="CB352" s="505"/>
      <c r="CC352" s="505"/>
      <c r="CD352" s="505"/>
      <c r="CE352" s="505"/>
      <c r="CF352" s="505"/>
      <c r="CG352" s="505"/>
      <c r="CH352" s="505"/>
      <c r="CI352" s="505"/>
      <c r="CJ352" s="505"/>
      <c r="CK352" s="505"/>
      <c r="CL352" s="505"/>
      <c r="CM352" s="505"/>
      <c r="CN352" s="505"/>
      <c r="CO352" s="505"/>
      <c r="CP352" s="505"/>
      <c r="CQ352" s="505"/>
      <c r="CR352" s="505"/>
      <c r="CS352" s="505"/>
      <c r="CT352" s="505"/>
      <c r="CU352" s="505"/>
      <c r="CV352" s="505"/>
      <c r="CW352" s="505"/>
      <c r="CX352" s="505"/>
      <c r="CY352" s="505"/>
      <c r="CZ352" s="505"/>
      <c r="DA352" s="505"/>
      <c r="DB352" s="505"/>
      <c r="DC352" s="505"/>
      <c r="DD352" s="505"/>
      <c r="DE352" s="505"/>
      <c r="DF352" s="505"/>
      <c r="DG352" s="505"/>
      <c r="DH352" s="505"/>
      <c r="DI352" s="505"/>
      <c r="DJ352" s="505"/>
      <c r="DK352" s="505"/>
      <c r="DL352" s="505"/>
      <c r="DM352" s="505"/>
      <c r="DN352" s="505"/>
      <c r="DO352" s="505"/>
      <c r="DP352" s="505"/>
    </row>
    <row r="353" spans="1:120" hidden="1" outlineLevel="1" x14ac:dyDescent="0.2">
      <c r="A353" s="517">
        <f t="shared" si="55"/>
        <v>38961</v>
      </c>
      <c r="B353" s="517" t="str">
        <f t="shared" si="52"/>
        <v>3Q06</v>
      </c>
      <c r="C353" s="517" t="str">
        <f t="shared" si="56"/>
        <v>4Q06</v>
      </c>
      <c r="D353" s="518">
        <f t="shared" si="57"/>
        <v>39024</v>
      </c>
      <c r="E353" s="518">
        <f t="shared" si="57"/>
        <v>38964</v>
      </c>
      <c r="F353" s="520">
        <v>2.9670000000000001</v>
      </c>
      <c r="G353" s="521">
        <f t="shared" si="53"/>
        <v>0.37000000000000016</v>
      </c>
      <c r="H353" s="521">
        <f t="shared" si="54"/>
        <v>0.35000000000000014</v>
      </c>
      <c r="I353" s="505"/>
      <c r="J353" s="505"/>
      <c r="K353" s="505"/>
      <c r="L353" s="505"/>
      <c r="M353" s="528"/>
      <c r="N353" s="505"/>
      <c r="O353" s="505"/>
      <c r="P353" s="505"/>
      <c r="Q353" s="505"/>
      <c r="R353" s="505"/>
      <c r="S353" s="505"/>
      <c r="T353" s="505"/>
      <c r="U353" s="505"/>
      <c r="V353" s="505"/>
      <c r="W353" s="505"/>
      <c r="X353" s="505"/>
      <c r="Y353" s="505"/>
      <c r="Z353" s="505"/>
      <c r="AA353" s="505"/>
      <c r="AB353" s="505"/>
      <c r="AC353" s="505"/>
      <c r="AD353" s="505"/>
      <c r="AE353" s="505"/>
      <c r="AF353" s="505"/>
      <c r="AG353" s="505"/>
      <c r="AH353" s="505"/>
      <c r="AI353" s="505"/>
      <c r="AJ353" s="505"/>
      <c r="AK353" s="505"/>
      <c r="AL353" s="505"/>
      <c r="AM353" s="505"/>
      <c r="AN353" s="505"/>
      <c r="AO353" s="505"/>
      <c r="AP353" s="505"/>
      <c r="AQ353" s="505"/>
      <c r="AR353" s="505"/>
      <c r="AS353" s="505"/>
      <c r="AT353" s="505"/>
      <c r="AU353" s="505"/>
      <c r="AV353" s="505"/>
      <c r="AW353" s="505"/>
      <c r="AX353" s="505"/>
      <c r="AY353" s="505"/>
      <c r="AZ353" s="505"/>
      <c r="BA353" s="505"/>
      <c r="BB353" s="505"/>
      <c r="BC353" s="505"/>
      <c r="BD353" s="505"/>
      <c r="BE353" s="505"/>
      <c r="BF353" s="505"/>
      <c r="BG353" s="505"/>
      <c r="BH353" s="505"/>
      <c r="BI353" s="505"/>
      <c r="BJ353" s="505"/>
      <c r="BK353" s="505"/>
      <c r="BL353" s="505"/>
      <c r="BM353" s="505"/>
      <c r="BN353" s="505"/>
      <c r="BO353" s="505"/>
      <c r="BP353" s="505"/>
      <c r="BQ353" s="505"/>
      <c r="BR353" s="505"/>
      <c r="BS353" s="505"/>
      <c r="BT353" s="505"/>
      <c r="BU353" s="505"/>
      <c r="BV353" s="505"/>
      <c r="BW353" s="505"/>
      <c r="BX353" s="505"/>
      <c r="BY353" s="505"/>
      <c r="BZ353" s="505"/>
      <c r="CA353" s="505"/>
      <c r="CB353" s="505"/>
      <c r="CC353" s="505"/>
      <c r="CD353" s="505"/>
      <c r="CE353" s="505"/>
      <c r="CF353" s="505"/>
      <c r="CG353" s="505"/>
      <c r="CH353" s="505"/>
      <c r="CI353" s="505"/>
      <c r="CJ353" s="505"/>
      <c r="CK353" s="505"/>
      <c r="CL353" s="505"/>
      <c r="CM353" s="505"/>
      <c r="CN353" s="505"/>
      <c r="CO353" s="505"/>
      <c r="CP353" s="505"/>
      <c r="CQ353" s="505"/>
      <c r="CR353" s="505"/>
      <c r="CS353" s="505"/>
      <c r="CT353" s="505"/>
      <c r="CU353" s="505"/>
      <c r="CV353" s="505"/>
      <c r="CW353" s="505"/>
      <c r="CX353" s="505"/>
      <c r="CY353" s="505"/>
      <c r="CZ353" s="505"/>
      <c r="DA353" s="505"/>
      <c r="DB353" s="505"/>
      <c r="DC353" s="505"/>
      <c r="DD353" s="505"/>
      <c r="DE353" s="505"/>
      <c r="DF353" s="505"/>
      <c r="DG353" s="505"/>
      <c r="DH353" s="505"/>
      <c r="DI353" s="505"/>
      <c r="DJ353" s="505"/>
      <c r="DK353" s="505"/>
      <c r="DL353" s="505"/>
      <c r="DM353" s="505"/>
      <c r="DN353" s="505"/>
      <c r="DO353" s="505"/>
      <c r="DP353" s="505"/>
    </row>
    <row r="354" spans="1:120" hidden="1" outlineLevel="1" x14ac:dyDescent="0.2">
      <c r="A354" s="517">
        <f t="shared" si="55"/>
        <v>38961</v>
      </c>
      <c r="B354" s="517" t="str">
        <f t="shared" si="52"/>
        <v>3Q06</v>
      </c>
      <c r="C354" s="517" t="str">
        <f t="shared" si="56"/>
        <v>4Q06</v>
      </c>
      <c r="D354" s="518">
        <f t="shared" si="57"/>
        <v>39031</v>
      </c>
      <c r="E354" s="518">
        <f t="shared" si="57"/>
        <v>38971</v>
      </c>
      <c r="F354" s="520">
        <v>2.8570000000000002</v>
      </c>
      <c r="G354" s="521">
        <f t="shared" si="53"/>
        <v>0.35000000000000014</v>
      </c>
      <c r="H354" s="521">
        <f t="shared" si="54"/>
        <v>0.32000000000000012</v>
      </c>
      <c r="I354" s="505"/>
      <c r="J354" s="505"/>
      <c r="K354" s="505"/>
      <c r="L354" s="505"/>
      <c r="M354" s="528"/>
      <c r="N354" s="505"/>
      <c r="O354" s="505"/>
      <c r="P354" s="505"/>
      <c r="Q354" s="505"/>
      <c r="R354" s="505"/>
      <c r="S354" s="505"/>
      <c r="T354" s="505"/>
      <c r="U354" s="505"/>
      <c r="V354" s="505"/>
      <c r="W354" s="505"/>
      <c r="X354" s="505"/>
      <c r="Y354" s="505"/>
      <c r="Z354" s="505"/>
      <c r="AA354" s="505"/>
      <c r="AB354" s="505"/>
      <c r="AC354" s="505"/>
      <c r="AD354" s="505"/>
      <c r="AE354" s="505"/>
      <c r="AF354" s="505"/>
      <c r="AG354" s="505"/>
      <c r="AH354" s="505"/>
      <c r="AI354" s="505"/>
      <c r="AJ354" s="505"/>
      <c r="AK354" s="505"/>
      <c r="AL354" s="505"/>
      <c r="AM354" s="505"/>
      <c r="AN354" s="505"/>
      <c r="AO354" s="505"/>
      <c r="AP354" s="505"/>
      <c r="AQ354" s="505"/>
      <c r="AR354" s="505"/>
      <c r="AS354" s="505"/>
      <c r="AT354" s="505"/>
      <c r="AU354" s="505"/>
      <c r="AV354" s="505"/>
      <c r="AW354" s="505"/>
      <c r="AX354" s="505"/>
      <c r="AY354" s="505"/>
      <c r="AZ354" s="505"/>
      <c r="BA354" s="505"/>
      <c r="BB354" s="505"/>
      <c r="BC354" s="505"/>
      <c r="BD354" s="505"/>
      <c r="BE354" s="505"/>
      <c r="BF354" s="505"/>
      <c r="BG354" s="505"/>
      <c r="BH354" s="505"/>
      <c r="BI354" s="505"/>
      <c r="BJ354" s="505"/>
      <c r="BK354" s="505"/>
      <c r="BL354" s="505"/>
      <c r="BM354" s="505"/>
      <c r="BN354" s="505"/>
      <c r="BO354" s="505"/>
      <c r="BP354" s="505"/>
      <c r="BQ354" s="505"/>
      <c r="BR354" s="505"/>
      <c r="BS354" s="505"/>
      <c r="BT354" s="505"/>
      <c r="BU354" s="505"/>
      <c r="BV354" s="505"/>
      <c r="BW354" s="505"/>
      <c r="BX354" s="505"/>
      <c r="BY354" s="505"/>
      <c r="BZ354" s="505"/>
      <c r="CA354" s="505"/>
      <c r="CB354" s="505"/>
      <c r="CC354" s="505"/>
      <c r="CD354" s="505"/>
      <c r="CE354" s="505"/>
      <c r="CF354" s="505"/>
      <c r="CG354" s="505"/>
      <c r="CH354" s="505"/>
      <c r="CI354" s="505"/>
      <c r="CJ354" s="505"/>
      <c r="CK354" s="505"/>
      <c r="CL354" s="505"/>
      <c r="CM354" s="505"/>
      <c r="CN354" s="505"/>
      <c r="CO354" s="505"/>
      <c r="CP354" s="505"/>
      <c r="CQ354" s="505"/>
      <c r="CR354" s="505"/>
      <c r="CS354" s="505"/>
      <c r="CT354" s="505"/>
      <c r="CU354" s="505"/>
      <c r="CV354" s="505"/>
      <c r="CW354" s="505"/>
      <c r="CX354" s="505"/>
      <c r="CY354" s="505"/>
      <c r="CZ354" s="505"/>
      <c r="DA354" s="505"/>
      <c r="DB354" s="505"/>
      <c r="DC354" s="505"/>
      <c r="DD354" s="505"/>
      <c r="DE354" s="505"/>
      <c r="DF354" s="505"/>
      <c r="DG354" s="505"/>
      <c r="DH354" s="505"/>
      <c r="DI354" s="505"/>
      <c r="DJ354" s="505"/>
      <c r="DK354" s="505"/>
      <c r="DL354" s="505"/>
      <c r="DM354" s="505"/>
      <c r="DN354" s="505"/>
      <c r="DO354" s="505"/>
      <c r="DP354" s="505"/>
    </row>
    <row r="355" spans="1:120" hidden="1" outlineLevel="1" x14ac:dyDescent="0.2">
      <c r="A355" s="517">
        <f t="shared" si="55"/>
        <v>38961</v>
      </c>
      <c r="B355" s="517" t="str">
        <f t="shared" si="52"/>
        <v>3Q06</v>
      </c>
      <c r="C355" s="517" t="str">
        <f t="shared" si="56"/>
        <v>4Q06</v>
      </c>
      <c r="D355" s="518">
        <f t="shared" si="57"/>
        <v>39038</v>
      </c>
      <c r="E355" s="518">
        <f t="shared" si="57"/>
        <v>38978</v>
      </c>
      <c r="F355" s="520">
        <v>2.7130000000000001</v>
      </c>
      <c r="G355" s="521">
        <f t="shared" si="53"/>
        <v>0.32000000000000012</v>
      </c>
      <c r="H355" s="521">
        <f t="shared" si="54"/>
        <v>0.29000000000000009</v>
      </c>
      <c r="I355" s="505"/>
      <c r="J355" s="505"/>
      <c r="K355" s="505"/>
      <c r="L355" s="505"/>
      <c r="M355" s="528"/>
      <c r="N355" s="505"/>
      <c r="O355" s="505"/>
      <c r="P355" s="505"/>
      <c r="Q355" s="505"/>
      <c r="R355" s="505"/>
      <c r="S355" s="505"/>
      <c r="T355" s="505"/>
      <c r="U355" s="505"/>
      <c r="V355" s="505"/>
      <c r="W355" s="505"/>
      <c r="X355" s="505"/>
      <c r="Y355" s="505"/>
      <c r="Z355" s="505"/>
      <c r="AA355" s="505"/>
      <c r="AB355" s="505"/>
      <c r="AC355" s="505"/>
      <c r="AD355" s="505"/>
      <c r="AE355" s="505"/>
      <c r="AF355" s="505"/>
      <c r="AG355" s="505"/>
      <c r="AH355" s="505"/>
      <c r="AI355" s="505"/>
      <c r="AJ355" s="505"/>
      <c r="AK355" s="505"/>
      <c r="AL355" s="505"/>
      <c r="AM355" s="505"/>
      <c r="AN355" s="505"/>
      <c r="AO355" s="505"/>
      <c r="AP355" s="505"/>
      <c r="AQ355" s="505"/>
      <c r="AR355" s="505"/>
      <c r="AS355" s="505"/>
      <c r="AT355" s="505"/>
      <c r="AU355" s="505"/>
      <c r="AV355" s="505"/>
      <c r="AW355" s="505"/>
      <c r="AX355" s="505"/>
      <c r="AY355" s="505"/>
      <c r="AZ355" s="505"/>
      <c r="BA355" s="505"/>
      <c r="BB355" s="505"/>
      <c r="BC355" s="505"/>
      <c r="BD355" s="505"/>
      <c r="BE355" s="505"/>
      <c r="BF355" s="505"/>
      <c r="BG355" s="505"/>
      <c r="BH355" s="505"/>
      <c r="BI355" s="505"/>
      <c r="BJ355" s="505"/>
      <c r="BK355" s="505"/>
      <c r="BL355" s="505"/>
      <c r="BM355" s="505"/>
      <c r="BN355" s="505"/>
      <c r="BO355" s="505"/>
      <c r="BP355" s="505"/>
      <c r="BQ355" s="505"/>
      <c r="BR355" s="505"/>
      <c r="BS355" s="505"/>
      <c r="BT355" s="505"/>
      <c r="BU355" s="505"/>
      <c r="BV355" s="505"/>
      <c r="BW355" s="505"/>
      <c r="BX355" s="505"/>
      <c r="BY355" s="505"/>
      <c r="BZ355" s="505"/>
      <c r="CA355" s="505"/>
      <c r="CB355" s="505"/>
      <c r="CC355" s="505"/>
      <c r="CD355" s="505"/>
      <c r="CE355" s="505"/>
      <c r="CF355" s="505"/>
      <c r="CG355" s="505"/>
      <c r="CH355" s="505"/>
      <c r="CI355" s="505"/>
      <c r="CJ355" s="505"/>
      <c r="CK355" s="505"/>
      <c r="CL355" s="505"/>
      <c r="CM355" s="505"/>
      <c r="CN355" s="505"/>
      <c r="CO355" s="505"/>
      <c r="CP355" s="505"/>
      <c r="CQ355" s="505"/>
      <c r="CR355" s="505"/>
      <c r="CS355" s="505"/>
      <c r="CT355" s="505"/>
      <c r="CU355" s="505"/>
      <c r="CV355" s="505"/>
      <c r="CW355" s="505"/>
      <c r="CX355" s="505"/>
      <c r="CY355" s="505"/>
      <c r="CZ355" s="505"/>
      <c r="DA355" s="505"/>
      <c r="DB355" s="505"/>
      <c r="DC355" s="505"/>
      <c r="DD355" s="505"/>
      <c r="DE355" s="505"/>
      <c r="DF355" s="505"/>
      <c r="DG355" s="505"/>
      <c r="DH355" s="505"/>
      <c r="DI355" s="505"/>
      <c r="DJ355" s="505"/>
      <c r="DK355" s="505"/>
      <c r="DL355" s="505"/>
      <c r="DM355" s="505"/>
      <c r="DN355" s="505"/>
      <c r="DO355" s="505"/>
      <c r="DP355" s="505"/>
    </row>
    <row r="356" spans="1:120" hidden="1" outlineLevel="1" x14ac:dyDescent="0.2">
      <c r="A356" s="517">
        <f t="shared" si="55"/>
        <v>38961</v>
      </c>
      <c r="B356" s="517" t="str">
        <f t="shared" si="52"/>
        <v>3Q06</v>
      </c>
      <c r="C356" s="517" t="str">
        <f t="shared" si="56"/>
        <v>4Q06</v>
      </c>
      <c r="D356" s="518">
        <f t="shared" si="57"/>
        <v>39045</v>
      </c>
      <c r="E356" s="518">
        <f t="shared" si="57"/>
        <v>38985</v>
      </c>
      <c r="F356" s="520">
        <v>2.5950000000000002</v>
      </c>
      <c r="G356" s="521">
        <f t="shared" si="53"/>
        <v>0.29000000000000009</v>
      </c>
      <c r="H356" s="521">
        <f t="shared" si="54"/>
        <v>0.28000000000000008</v>
      </c>
      <c r="I356" s="505"/>
      <c r="J356" s="505"/>
      <c r="K356" s="505"/>
      <c r="L356" s="505"/>
      <c r="M356" s="528"/>
      <c r="N356" s="505"/>
      <c r="O356" s="505"/>
      <c r="P356" s="505"/>
      <c r="Q356" s="505"/>
      <c r="R356" s="505"/>
      <c r="S356" s="505"/>
      <c r="T356" s="505"/>
      <c r="U356" s="505"/>
      <c r="V356" s="505"/>
      <c r="W356" s="505"/>
      <c r="X356" s="505"/>
      <c r="Y356" s="505"/>
      <c r="Z356" s="505"/>
      <c r="AA356" s="505"/>
      <c r="AB356" s="505"/>
      <c r="AC356" s="505"/>
      <c r="AD356" s="505"/>
      <c r="AE356" s="505"/>
      <c r="AF356" s="505"/>
      <c r="AG356" s="505"/>
      <c r="AH356" s="505"/>
      <c r="AI356" s="505"/>
      <c r="AJ356" s="505"/>
      <c r="AK356" s="505"/>
      <c r="AL356" s="505"/>
      <c r="AM356" s="505"/>
      <c r="AN356" s="505"/>
      <c r="AO356" s="505"/>
      <c r="AP356" s="505"/>
      <c r="AQ356" s="505"/>
      <c r="AR356" s="505"/>
      <c r="AS356" s="505"/>
      <c r="AT356" s="505"/>
      <c r="AU356" s="505"/>
      <c r="AV356" s="505"/>
      <c r="AW356" s="505"/>
      <c r="AX356" s="505"/>
      <c r="AY356" s="505"/>
      <c r="AZ356" s="505"/>
      <c r="BA356" s="505"/>
      <c r="BB356" s="505"/>
      <c r="BC356" s="505"/>
      <c r="BD356" s="505"/>
      <c r="BE356" s="505"/>
      <c r="BF356" s="505"/>
      <c r="BG356" s="505"/>
      <c r="BH356" s="505"/>
      <c r="BI356" s="505"/>
      <c r="BJ356" s="505"/>
      <c r="BK356" s="505"/>
      <c r="BL356" s="505"/>
      <c r="BM356" s="505"/>
      <c r="BN356" s="505"/>
      <c r="BO356" s="505"/>
      <c r="BP356" s="505"/>
      <c r="BQ356" s="505"/>
      <c r="BR356" s="505"/>
      <c r="BS356" s="505"/>
      <c r="BT356" s="505"/>
      <c r="BU356" s="505"/>
      <c r="BV356" s="505"/>
      <c r="BW356" s="505"/>
      <c r="BX356" s="505"/>
      <c r="BY356" s="505"/>
      <c r="BZ356" s="505"/>
      <c r="CA356" s="505"/>
      <c r="CB356" s="505"/>
      <c r="CC356" s="505"/>
      <c r="CD356" s="505"/>
      <c r="CE356" s="505"/>
      <c r="CF356" s="505"/>
      <c r="CG356" s="505"/>
      <c r="CH356" s="505"/>
      <c r="CI356" s="505"/>
      <c r="CJ356" s="505"/>
      <c r="CK356" s="505"/>
      <c r="CL356" s="505"/>
      <c r="CM356" s="505"/>
      <c r="CN356" s="505"/>
      <c r="CO356" s="505"/>
      <c r="CP356" s="505"/>
      <c r="CQ356" s="505"/>
      <c r="CR356" s="505"/>
      <c r="CS356" s="505"/>
      <c r="CT356" s="505"/>
      <c r="CU356" s="505"/>
      <c r="CV356" s="505"/>
      <c r="CW356" s="505"/>
      <c r="CX356" s="505"/>
      <c r="CY356" s="505"/>
      <c r="CZ356" s="505"/>
      <c r="DA356" s="505"/>
      <c r="DB356" s="505"/>
      <c r="DC356" s="505"/>
      <c r="DD356" s="505"/>
      <c r="DE356" s="505"/>
      <c r="DF356" s="505"/>
      <c r="DG356" s="505"/>
      <c r="DH356" s="505"/>
      <c r="DI356" s="505"/>
      <c r="DJ356" s="505"/>
      <c r="DK356" s="505"/>
      <c r="DL356" s="505"/>
      <c r="DM356" s="505"/>
      <c r="DN356" s="505"/>
      <c r="DO356" s="505"/>
      <c r="DP356" s="505"/>
    </row>
    <row r="357" spans="1:120" hidden="1" outlineLevel="1" x14ac:dyDescent="0.2">
      <c r="A357" s="517">
        <f t="shared" si="55"/>
        <v>38991</v>
      </c>
      <c r="B357" s="517" t="str">
        <f t="shared" si="52"/>
        <v>4Q06</v>
      </c>
      <c r="C357" s="517" t="str">
        <f t="shared" si="56"/>
        <v>4Q06</v>
      </c>
      <c r="D357" s="518">
        <f t="shared" si="57"/>
        <v>39052</v>
      </c>
      <c r="E357" s="518">
        <f t="shared" si="57"/>
        <v>38992</v>
      </c>
      <c r="F357" s="520">
        <v>2.5459999999999998</v>
      </c>
      <c r="G357" s="521">
        <f t="shared" si="53"/>
        <v>0.28000000000000008</v>
      </c>
      <c r="H357" s="521">
        <f t="shared" si="54"/>
        <v>0.28000000000000008</v>
      </c>
      <c r="I357" s="505"/>
      <c r="J357" s="505"/>
      <c r="K357" s="505"/>
      <c r="L357" s="505"/>
      <c r="M357" s="528"/>
      <c r="N357" s="505"/>
      <c r="O357" s="505"/>
      <c r="P357" s="505"/>
      <c r="Q357" s="505"/>
      <c r="R357" s="505"/>
      <c r="S357" s="505"/>
      <c r="T357" s="505"/>
      <c r="U357" s="505"/>
      <c r="V357" s="505"/>
      <c r="W357" s="505"/>
      <c r="X357" s="505"/>
      <c r="Y357" s="505"/>
      <c r="Z357" s="505"/>
      <c r="AA357" s="505"/>
      <c r="AB357" s="505"/>
      <c r="AC357" s="505"/>
      <c r="AD357" s="505"/>
      <c r="AE357" s="505"/>
      <c r="AF357" s="505"/>
      <c r="AG357" s="505"/>
      <c r="AH357" s="505"/>
      <c r="AI357" s="505"/>
      <c r="AJ357" s="505"/>
      <c r="AK357" s="505"/>
      <c r="AL357" s="505"/>
      <c r="AM357" s="505"/>
      <c r="AN357" s="505"/>
      <c r="AO357" s="505"/>
      <c r="AP357" s="505"/>
      <c r="AQ357" s="505"/>
      <c r="AR357" s="505"/>
      <c r="AS357" s="505"/>
      <c r="AT357" s="505"/>
      <c r="AU357" s="505"/>
      <c r="AV357" s="505"/>
      <c r="AW357" s="505"/>
      <c r="AX357" s="505"/>
      <c r="AY357" s="505"/>
      <c r="AZ357" s="505"/>
      <c r="BA357" s="505"/>
      <c r="BB357" s="505"/>
      <c r="BC357" s="505"/>
      <c r="BD357" s="505"/>
      <c r="BE357" s="505"/>
      <c r="BF357" s="505"/>
      <c r="BG357" s="505"/>
      <c r="BH357" s="505"/>
      <c r="BI357" s="505"/>
      <c r="BJ357" s="505"/>
      <c r="BK357" s="505"/>
      <c r="BL357" s="505"/>
      <c r="BM357" s="505"/>
      <c r="BN357" s="505"/>
      <c r="BO357" s="505"/>
      <c r="BP357" s="505"/>
      <c r="BQ357" s="505"/>
      <c r="BR357" s="505"/>
      <c r="BS357" s="505"/>
      <c r="BT357" s="505"/>
      <c r="BU357" s="505"/>
      <c r="BV357" s="505"/>
      <c r="BW357" s="505"/>
      <c r="BX357" s="505"/>
      <c r="BY357" s="505"/>
      <c r="BZ357" s="505"/>
      <c r="CA357" s="505"/>
      <c r="CB357" s="505"/>
      <c r="CC357" s="505"/>
      <c r="CD357" s="505"/>
      <c r="CE357" s="505"/>
      <c r="CF357" s="505"/>
      <c r="CG357" s="505"/>
      <c r="CH357" s="505"/>
      <c r="CI357" s="505"/>
      <c r="CJ357" s="505"/>
      <c r="CK357" s="505"/>
      <c r="CL357" s="505"/>
      <c r="CM357" s="505"/>
      <c r="CN357" s="505"/>
      <c r="CO357" s="505"/>
      <c r="CP357" s="505"/>
      <c r="CQ357" s="505"/>
      <c r="CR357" s="505"/>
      <c r="CS357" s="505"/>
      <c r="CT357" s="505"/>
      <c r="CU357" s="505"/>
      <c r="CV357" s="505"/>
      <c r="CW357" s="505"/>
      <c r="CX357" s="505"/>
      <c r="CY357" s="505"/>
      <c r="CZ357" s="505"/>
      <c r="DA357" s="505"/>
      <c r="DB357" s="505"/>
      <c r="DC357" s="505"/>
      <c r="DD357" s="505"/>
      <c r="DE357" s="505"/>
      <c r="DF357" s="505"/>
      <c r="DG357" s="505"/>
      <c r="DH357" s="505"/>
      <c r="DI357" s="505"/>
      <c r="DJ357" s="505"/>
      <c r="DK357" s="505"/>
      <c r="DL357" s="505"/>
      <c r="DM357" s="505"/>
      <c r="DN357" s="505"/>
      <c r="DO357" s="505"/>
      <c r="DP357" s="505"/>
    </row>
    <row r="358" spans="1:120" hidden="1" outlineLevel="1" x14ac:dyDescent="0.2">
      <c r="A358" s="517">
        <f t="shared" si="55"/>
        <v>38991</v>
      </c>
      <c r="B358" s="517" t="str">
        <f t="shared" si="52"/>
        <v>4Q06</v>
      </c>
      <c r="C358" s="517" t="str">
        <f t="shared" si="56"/>
        <v>4Q06</v>
      </c>
      <c r="D358" s="518">
        <f t="shared" si="57"/>
        <v>39059</v>
      </c>
      <c r="E358" s="518">
        <f t="shared" si="57"/>
        <v>38999</v>
      </c>
      <c r="F358" s="520">
        <v>2.5059999999999998</v>
      </c>
      <c r="G358" s="521">
        <f t="shared" si="53"/>
        <v>0.28000000000000008</v>
      </c>
      <c r="H358" s="521">
        <f t="shared" si="54"/>
        <v>0.28000000000000008</v>
      </c>
      <c r="I358" s="505"/>
      <c r="J358" s="505"/>
      <c r="K358" s="505"/>
      <c r="L358" s="505"/>
      <c r="M358" s="528"/>
      <c r="N358" s="505"/>
      <c r="O358" s="505"/>
      <c r="P358" s="505"/>
      <c r="Q358" s="505"/>
      <c r="R358" s="505"/>
      <c r="S358" s="505"/>
      <c r="T358" s="505"/>
      <c r="U358" s="505"/>
      <c r="V358" s="505"/>
      <c r="W358" s="505"/>
      <c r="X358" s="505"/>
      <c r="Y358" s="505"/>
      <c r="Z358" s="505"/>
      <c r="AA358" s="505"/>
      <c r="AB358" s="505"/>
      <c r="AC358" s="505"/>
      <c r="AD358" s="505"/>
      <c r="AE358" s="505"/>
      <c r="AF358" s="505"/>
      <c r="AG358" s="505"/>
      <c r="AH358" s="505"/>
      <c r="AI358" s="505"/>
      <c r="AJ358" s="505"/>
      <c r="AK358" s="505"/>
      <c r="AL358" s="505"/>
      <c r="AM358" s="505"/>
      <c r="AN358" s="505"/>
      <c r="AO358" s="505"/>
      <c r="AP358" s="505"/>
      <c r="AQ358" s="505"/>
      <c r="AR358" s="505"/>
      <c r="AS358" s="505"/>
      <c r="AT358" s="505"/>
      <c r="AU358" s="505"/>
      <c r="AV358" s="505"/>
      <c r="AW358" s="505"/>
      <c r="AX358" s="505"/>
      <c r="AY358" s="505"/>
      <c r="AZ358" s="505"/>
      <c r="BA358" s="505"/>
      <c r="BB358" s="505"/>
      <c r="BC358" s="505"/>
      <c r="BD358" s="505"/>
      <c r="BE358" s="505"/>
      <c r="BF358" s="505"/>
      <c r="BG358" s="505"/>
      <c r="BH358" s="505"/>
      <c r="BI358" s="505"/>
      <c r="BJ358" s="505"/>
      <c r="BK358" s="505"/>
      <c r="BL358" s="505"/>
      <c r="BM358" s="505"/>
      <c r="BN358" s="505"/>
      <c r="BO358" s="505"/>
      <c r="BP358" s="505"/>
      <c r="BQ358" s="505"/>
      <c r="BR358" s="505"/>
      <c r="BS358" s="505"/>
      <c r="BT358" s="505"/>
      <c r="BU358" s="505"/>
      <c r="BV358" s="505"/>
      <c r="BW358" s="505"/>
      <c r="BX358" s="505"/>
      <c r="BY358" s="505"/>
      <c r="BZ358" s="505"/>
      <c r="CA358" s="505"/>
      <c r="CB358" s="505"/>
      <c r="CC358" s="505"/>
      <c r="CD358" s="505"/>
      <c r="CE358" s="505"/>
      <c r="CF358" s="505"/>
      <c r="CG358" s="505"/>
      <c r="CH358" s="505"/>
      <c r="CI358" s="505"/>
      <c r="CJ358" s="505"/>
      <c r="CK358" s="505"/>
      <c r="CL358" s="505"/>
      <c r="CM358" s="505"/>
      <c r="CN358" s="505"/>
      <c r="CO358" s="505"/>
      <c r="CP358" s="505"/>
      <c r="CQ358" s="505"/>
      <c r="CR358" s="505"/>
      <c r="CS358" s="505"/>
      <c r="CT358" s="505"/>
      <c r="CU358" s="505"/>
      <c r="CV358" s="505"/>
      <c r="CW358" s="505"/>
      <c r="CX358" s="505"/>
      <c r="CY358" s="505"/>
      <c r="CZ358" s="505"/>
      <c r="DA358" s="505"/>
      <c r="DB358" s="505"/>
      <c r="DC358" s="505"/>
      <c r="DD358" s="505"/>
      <c r="DE358" s="505"/>
      <c r="DF358" s="505"/>
      <c r="DG358" s="505"/>
      <c r="DH358" s="505"/>
      <c r="DI358" s="505"/>
      <c r="DJ358" s="505"/>
      <c r="DK358" s="505"/>
      <c r="DL358" s="505"/>
      <c r="DM358" s="505"/>
      <c r="DN358" s="505"/>
      <c r="DO358" s="505"/>
      <c r="DP358" s="505"/>
    </row>
    <row r="359" spans="1:120" hidden="1" outlineLevel="1" x14ac:dyDescent="0.2">
      <c r="A359" s="517">
        <f t="shared" si="55"/>
        <v>38991</v>
      </c>
      <c r="B359" s="517" t="str">
        <f t="shared" si="52"/>
        <v>4Q06</v>
      </c>
      <c r="C359" s="517" t="str">
        <f t="shared" si="56"/>
        <v>4Q06</v>
      </c>
      <c r="D359" s="518">
        <f t="shared" si="57"/>
        <v>39066</v>
      </c>
      <c r="E359" s="518">
        <f t="shared" si="57"/>
        <v>39006</v>
      </c>
      <c r="F359" s="520">
        <v>2.5030000000000001</v>
      </c>
      <c r="G359" s="521">
        <f t="shared" si="53"/>
        <v>0.28000000000000008</v>
      </c>
      <c r="H359" s="521">
        <f t="shared" si="54"/>
        <v>0.28000000000000008</v>
      </c>
      <c r="I359" s="505"/>
      <c r="J359" s="505"/>
      <c r="K359" s="505"/>
      <c r="L359" s="505"/>
      <c r="M359" s="528"/>
      <c r="N359" s="505"/>
      <c r="O359" s="505"/>
      <c r="P359" s="505"/>
      <c r="Q359" s="505"/>
      <c r="R359" s="505"/>
      <c r="S359" s="505"/>
      <c r="T359" s="505"/>
      <c r="U359" s="505"/>
      <c r="V359" s="505"/>
      <c r="W359" s="505"/>
      <c r="X359" s="505"/>
      <c r="Y359" s="505"/>
      <c r="Z359" s="505"/>
      <c r="AA359" s="505"/>
      <c r="AB359" s="505"/>
      <c r="AC359" s="505"/>
      <c r="AD359" s="505"/>
      <c r="AE359" s="505"/>
      <c r="AF359" s="505"/>
      <c r="AG359" s="505"/>
      <c r="AH359" s="505"/>
      <c r="AI359" s="505"/>
      <c r="AJ359" s="505"/>
      <c r="AK359" s="505"/>
      <c r="AL359" s="505"/>
      <c r="AM359" s="505"/>
      <c r="AN359" s="505"/>
      <c r="AO359" s="505"/>
      <c r="AP359" s="505"/>
      <c r="AQ359" s="505"/>
      <c r="AR359" s="505"/>
      <c r="AS359" s="505"/>
      <c r="AT359" s="505"/>
      <c r="AU359" s="505"/>
      <c r="AV359" s="505"/>
      <c r="AW359" s="505"/>
      <c r="AX359" s="505"/>
      <c r="AY359" s="505"/>
      <c r="AZ359" s="505"/>
      <c r="BA359" s="505"/>
      <c r="BB359" s="505"/>
      <c r="BC359" s="505"/>
      <c r="BD359" s="505"/>
      <c r="BE359" s="505"/>
      <c r="BF359" s="505"/>
      <c r="BG359" s="505"/>
      <c r="BH359" s="505"/>
      <c r="BI359" s="505"/>
      <c r="BJ359" s="505"/>
      <c r="BK359" s="505"/>
      <c r="BL359" s="505"/>
      <c r="BM359" s="505"/>
      <c r="BN359" s="505"/>
      <c r="BO359" s="505"/>
      <c r="BP359" s="505"/>
      <c r="BQ359" s="505"/>
      <c r="BR359" s="505"/>
      <c r="BS359" s="505"/>
      <c r="BT359" s="505"/>
      <c r="BU359" s="505"/>
      <c r="BV359" s="505"/>
      <c r="BW359" s="505"/>
      <c r="BX359" s="505"/>
      <c r="BY359" s="505"/>
      <c r="BZ359" s="505"/>
      <c r="CA359" s="505"/>
      <c r="CB359" s="505"/>
      <c r="CC359" s="505"/>
      <c r="CD359" s="505"/>
      <c r="CE359" s="505"/>
      <c r="CF359" s="505"/>
      <c r="CG359" s="505"/>
      <c r="CH359" s="505"/>
      <c r="CI359" s="505"/>
      <c r="CJ359" s="505"/>
      <c r="CK359" s="505"/>
      <c r="CL359" s="505"/>
      <c r="CM359" s="505"/>
      <c r="CN359" s="505"/>
      <c r="CO359" s="505"/>
      <c r="CP359" s="505"/>
      <c r="CQ359" s="505"/>
      <c r="CR359" s="505"/>
      <c r="CS359" s="505"/>
      <c r="CT359" s="505"/>
      <c r="CU359" s="505"/>
      <c r="CV359" s="505"/>
      <c r="CW359" s="505"/>
      <c r="CX359" s="505"/>
      <c r="CY359" s="505"/>
      <c r="CZ359" s="505"/>
      <c r="DA359" s="505"/>
      <c r="DB359" s="505"/>
      <c r="DC359" s="505"/>
      <c r="DD359" s="505"/>
      <c r="DE359" s="505"/>
      <c r="DF359" s="505"/>
      <c r="DG359" s="505"/>
      <c r="DH359" s="505"/>
      <c r="DI359" s="505"/>
      <c r="DJ359" s="505"/>
      <c r="DK359" s="505"/>
      <c r="DL359" s="505"/>
      <c r="DM359" s="505"/>
      <c r="DN359" s="505"/>
      <c r="DO359" s="505"/>
      <c r="DP359" s="505"/>
    </row>
    <row r="360" spans="1:120" hidden="1" outlineLevel="1" x14ac:dyDescent="0.2">
      <c r="A360" s="517">
        <f t="shared" si="55"/>
        <v>38991</v>
      </c>
      <c r="B360" s="517" t="str">
        <f t="shared" si="52"/>
        <v>4Q06</v>
      </c>
      <c r="C360" s="517" t="str">
        <f t="shared" si="56"/>
        <v>4Q06</v>
      </c>
      <c r="D360" s="518">
        <f t="shared" si="57"/>
        <v>39073</v>
      </c>
      <c r="E360" s="518">
        <f t="shared" si="57"/>
        <v>39013</v>
      </c>
      <c r="F360" s="520">
        <v>2.524</v>
      </c>
      <c r="G360" s="521">
        <f t="shared" si="53"/>
        <v>0.28000000000000008</v>
      </c>
      <c r="H360" s="521">
        <f t="shared" si="54"/>
        <v>0.28000000000000008</v>
      </c>
      <c r="I360" s="505"/>
      <c r="J360" s="505"/>
      <c r="K360" s="505"/>
      <c r="L360" s="505"/>
      <c r="M360" s="528"/>
      <c r="N360" s="505"/>
      <c r="O360" s="505"/>
      <c r="P360" s="505"/>
      <c r="Q360" s="505"/>
      <c r="R360" s="505"/>
      <c r="S360" s="505"/>
      <c r="T360" s="505"/>
      <c r="U360" s="505"/>
      <c r="V360" s="505"/>
      <c r="W360" s="505"/>
      <c r="X360" s="505"/>
      <c r="Y360" s="505"/>
      <c r="Z360" s="505"/>
      <c r="AA360" s="505"/>
      <c r="AB360" s="505"/>
      <c r="AC360" s="505"/>
      <c r="AD360" s="505"/>
      <c r="AE360" s="505"/>
      <c r="AF360" s="505"/>
      <c r="AG360" s="505"/>
      <c r="AH360" s="505"/>
      <c r="AI360" s="505"/>
      <c r="AJ360" s="505"/>
      <c r="AK360" s="505"/>
      <c r="AL360" s="505"/>
      <c r="AM360" s="505"/>
      <c r="AN360" s="505"/>
      <c r="AO360" s="505"/>
      <c r="AP360" s="505"/>
      <c r="AQ360" s="505"/>
      <c r="AR360" s="505"/>
      <c r="AS360" s="505"/>
      <c r="AT360" s="505"/>
      <c r="AU360" s="505"/>
      <c r="AV360" s="505"/>
      <c r="AW360" s="505"/>
      <c r="AX360" s="505"/>
      <c r="AY360" s="505"/>
      <c r="AZ360" s="505"/>
      <c r="BA360" s="505"/>
      <c r="BB360" s="505"/>
      <c r="BC360" s="505"/>
      <c r="BD360" s="505"/>
      <c r="BE360" s="505"/>
      <c r="BF360" s="505"/>
      <c r="BG360" s="505"/>
      <c r="BH360" s="505"/>
      <c r="BI360" s="505"/>
      <c r="BJ360" s="505"/>
      <c r="BK360" s="505"/>
      <c r="BL360" s="505"/>
      <c r="BM360" s="505"/>
      <c r="BN360" s="505"/>
      <c r="BO360" s="505"/>
      <c r="BP360" s="505"/>
      <c r="BQ360" s="505"/>
      <c r="BR360" s="505"/>
      <c r="BS360" s="505"/>
      <c r="BT360" s="505"/>
      <c r="BU360" s="505"/>
      <c r="BV360" s="505"/>
      <c r="BW360" s="505"/>
      <c r="BX360" s="505"/>
      <c r="BY360" s="505"/>
      <c r="BZ360" s="505"/>
      <c r="CA360" s="505"/>
      <c r="CB360" s="505"/>
      <c r="CC360" s="505"/>
      <c r="CD360" s="505"/>
      <c r="CE360" s="505"/>
      <c r="CF360" s="505"/>
      <c r="CG360" s="505"/>
      <c r="CH360" s="505"/>
      <c r="CI360" s="505"/>
      <c r="CJ360" s="505"/>
      <c r="CK360" s="505"/>
      <c r="CL360" s="505"/>
      <c r="CM360" s="505"/>
      <c r="CN360" s="505"/>
      <c r="CO360" s="505"/>
      <c r="CP360" s="505"/>
      <c r="CQ360" s="505"/>
      <c r="CR360" s="505"/>
      <c r="CS360" s="505"/>
      <c r="CT360" s="505"/>
      <c r="CU360" s="505"/>
      <c r="CV360" s="505"/>
      <c r="CW360" s="505"/>
      <c r="CX360" s="505"/>
      <c r="CY360" s="505"/>
      <c r="CZ360" s="505"/>
      <c r="DA360" s="505"/>
      <c r="DB360" s="505"/>
      <c r="DC360" s="505"/>
      <c r="DD360" s="505"/>
      <c r="DE360" s="505"/>
      <c r="DF360" s="505"/>
      <c r="DG360" s="505"/>
      <c r="DH360" s="505"/>
      <c r="DI360" s="505"/>
      <c r="DJ360" s="505"/>
      <c r="DK360" s="505"/>
      <c r="DL360" s="505"/>
      <c r="DM360" s="505"/>
      <c r="DN360" s="505"/>
      <c r="DO360" s="505"/>
      <c r="DP360" s="505"/>
    </row>
    <row r="361" spans="1:120" hidden="1" outlineLevel="1" x14ac:dyDescent="0.2">
      <c r="A361" s="517">
        <f t="shared" si="55"/>
        <v>38991</v>
      </c>
      <c r="B361" s="517" t="str">
        <f t="shared" si="52"/>
        <v>4Q06</v>
      </c>
      <c r="C361" s="517" t="str">
        <f t="shared" si="56"/>
        <v>4Q06</v>
      </c>
      <c r="D361" s="518">
        <f t="shared" si="57"/>
        <v>39080</v>
      </c>
      <c r="E361" s="518">
        <f t="shared" si="57"/>
        <v>39020</v>
      </c>
      <c r="F361" s="520">
        <v>2.5169999999999999</v>
      </c>
      <c r="G361" s="521">
        <f t="shared" si="53"/>
        <v>0.28000000000000008</v>
      </c>
      <c r="H361" s="521">
        <f t="shared" si="54"/>
        <v>0.28000000000000008</v>
      </c>
      <c r="I361" s="505"/>
      <c r="J361" s="505"/>
      <c r="K361" s="505"/>
      <c r="L361" s="505"/>
      <c r="M361" s="528"/>
      <c r="N361" s="505"/>
      <c r="O361" s="505"/>
      <c r="P361" s="505"/>
      <c r="Q361" s="505"/>
      <c r="R361" s="505"/>
      <c r="S361" s="505"/>
      <c r="T361" s="505"/>
      <c r="U361" s="505"/>
      <c r="V361" s="505"/>
      <c r="W361" s="505"/>
      <c r="X361" s="505"/>
      <c r="Y361" s="505"/>
      <c r="Z361" s="505"/>
      <c r="AA361" s="505"/>
      <c r="AB361" s="505"/>
      <c r="AC361" s="505"/>
      <c r="AD361" s="505"/>
      <c r="AE361" s="505"/>
      <c r="AF361" s="505"/>
      <c r="AG361" s="505"/>
      <c r="AH361" s="505"/>
      <c r="AI361" s="505"/>
      <c r="AJ361" s="505"/>
      <c r="AK361" s="505"/>
      <c r="AL361" s="505"/>
      <c r="AM361" s="505"/>
      <c r="AN361" s="505"/>
      <c r="AO361" s="505"/>
      <c r="AP361" s="505"/>
      <c r="AQ361" s="505"/>
      <c r="AR361" s="505"/>
      <c r="AS361" s="505"/>
      <c r="AT361" s="505"/>
      <c r="AU361" s="505"/>
      <c r="AV361" s="505"/>
      <c r="AW361" s="505"/>
      <c r="AX361" s="505"/>
      <c r="AY361" s="505"/>
      <c r="AZ361" s="505"/>
      <c r="BA361" s="505"/>
      <c r="BB361" s="505"/>
      <c r="BC361" s="505"/>
      <c r="BD361" s="505"/>
      <c r="BE361" s="505"/>
      <c r="BF361" s="505"/>
      <c r="BG361" s="505"/>
      <c r="BH361" s="505"/>
      <c r="BI361" s="505"/>
      <c r="BJ361" s="505"/>
      <c r="BK361" s="505"/>
      <c r="BL361" s="505"/>
      <c r="BM361" s="505"/>
      <c r="BN361" s="505"/>
      <c r="BO361" s="505"/>
      <c r="BP361" s="505"/>
      <c r="BQ361" s="505"/>
      <c r="BR361" s="505"/>
      <c r="BS361" s="505"/>
      <c r="BT361" s="505"/>
      <c r="BU361" s="505"/>
      <c r="BV361" s="505"/>
      <c r="BW361" s="505"/>
      <c r="BX361" s="505"/>
      <c r="BY361" s="505"/>
      <c r="BZ361" s="505"/>
      <c r="CA361" s="505"/>
      <c r="CB361" s="505"/>
      <c r="CC361" s="505"/>
      <c r="CD361" s="505"/>
      <c r="CE361" s="505"/>
      <c r="CF361" s="505"/>
      <c r="CG361" s="505"/>
      <c r="CH361" s="505"/>
      <c r="CI361" s="505"/>
      <c r="CJ361" s="505"/>
      <c r="CK361" s="505"/>
      <c r="CL361" s="505"/>
      <c r="CM361" s="505"/>
      <c r="CN361" s="505"/>
      <c r="CO361" s="505"/>
      <c r="CP361" s="505"/>
      <c r="CQ361" s="505"/>
      <c r="CR361" s="505"/>
      <c r="CS361" s="505"/>
      <c r="CT361" s="505"/>
      <c r="CU361" s="505"/>
      <c r="CV361" s="505"/>
      <c r="CW361" s="505"/>
      <c r="CX361" s="505"/>
      <c r="CY361" s="505"/>
      <c r="CZ361" s="505"/>
      <c r="DA361" s="505"/>
      <c r="DB361" s="505"/>
      <c r="DC361" s="505"/>
      <c r="DD361" s="505"/>
      <c r="DE361" s="505"/>
      <c r="DF361" s="505"/>
      <c r="DG361" s="505"/>
      <c r="DH361" s="505"/>
      <c r="DI361" s="505"/>
      <c r="DJ361" s="505"/>
      <c r="DK361" s="505"/>
      <c r="DL361" s="505"/>
      <c r="DM361" s="505"/>
      <c r="DN361" s="505"/>
      <c r="DO361" s="505"/>
      <c r="DP361" s="505"/>
    </row>
    <row r="362" spans="1:120" hidden="1" outlineLevel="1" x14ac:dyDescent="0.2">
      <c r="A362" s="517">
        <f t="shared" si="55"/>
        <v>39022</v>
      </c>
      <c r="B362" s="517" t="str">
        <f t="shared" si="52"/>
        <v>4Q06</v>
      </c>
      <c r="C362" s="517" t="str">
        <f t="shared" si="56"/>
        <v>1Q07</v>
      </c>
      <c r="D362" s="518">
        <f t="shared" si="57"/>
        <v>39087</v>
      </c>
      <c r="E362" s="518">
        <f t="shared" si="57"/>
        <v>39027</v>
      </c>
      <c r="F362" s="520">
        <v>2.5059999999999998</v>
      </c>
      <c r="G362" s="521">
        <f t="shared" si="53"/>
        <v>0.28000000000000008</v>
      </c>
      <c r="H362" s="521">
        <f t="shared" si="54"/>
        <v>0.29000000000000009</v>
      </c>
      <c r="I362" s="505"/>
      <c r="J362" s="505"/>
      <c r="K362" s="505"/>
      <c r="L362" s="505"/>
      <c r="M362" s="528"/>
      <c r="N362" s="505"/>
      <c r="O362" s="505"/>
      <c r="P362" s="505"/>
      <c r="Q362" s="505"/>
      <c r="R362" s="505"/>
      <c r="S362" s="505"/>
      <c r="T362" s="505"/>
      <c r="U362" s="505"/>
      <c r="V362" s="505"/>
      <c r="W362" s="505"/>
      <c r="X362" s="505"/>
      <c r="Y362" s="505"/>
      <c r="Z362" s="505"/>
      <c r="AA362" s="505"/>
      <c r="AB362" s="505"/>
      <c r="AC362" s="505"/>
      <c r="AD362" s="505"/>
      <c r="AE362" s="505"/>
      <c r="AF362" s="505"/>
      <c r="AG362" s="505"/>
      <c r="AH362" s="505"/>
      <c r="AI362" s="505"/>
      <c r="AJ362" s="505"/>
      <c r="AK362" s="505"/>
      <c r="AL362" s="505"/>
      <c r="AM362" s="505"/>
      <c r="AN362" s="505"/>
      <c r="AO362" s="505"/>
      <c r="AP362" s="505"/>
      <c r="AQ362" s="505"/>
      <c r="AR362" s="505"/>
      <c r="AS362" s="505"/>
      <c r="AT362" s="505"/>
      <c r="AU362" s="505"/>
      <c r="AV362" s="505"/>
      <c r="AW362" s="505"/>
      <c r="AX362" s="505"/>
      <c r="AY362" s="505"/>
      <c r="AZ362" s="505"/>
      <c r="BA362" s="505"/>
      <c r="BB362" s="505"/>
      <c r="BC362" s="505"/>
      <c r="BD362" s="505"/>
      <c r="BE362" s="505"/>
      <c r="BF362" s="505"/>
      <c r="BG362" s="505"/>
      <c r="BH362" s="505"/>
      <c r="BI362" s="505"/>
      <c r="BJ362" s="505"/>
      <c r="BK362" s="505"/>
      <c r="BL362" s="505"/>
      <c r="BM362" s="505"/>
      <c r="BN362" s="505"/>
      <c r="BO362" s="505"/>
      <c r="BP362" s="505"/>
      <c r="BQ362" s="505"/>
      <c r="BR362" s="505"/>
      <c r="BS362" s="505"/>
      <c r="BT362" s="505"/>
      <c r="BU362" s="505"/>
      <c r="BV362" s="505"/>
      <c r="BW362" s="505"/>
      <c r="BX362" s="505"/>
      <c r="BY362" s="505"/>
      <c r="BZ362" s="505"/>
      <c r="CA362" s="505"/>
      <c r="CB362" s="505"/>
      <c r="CC362" s="505"/>
      <c r="CD362" s="505"/>
      <c r="CE362" s="505"/>
      <c r="CF362" s="505"/>
      <c r="CG362" s="505"/>
      <c r="CH362" s="505"/>
      <c r="CI362" s="505"/>
      <c r="CJ362" s="505"/>
      <c r="CK362" s="505"/>
      <c r="CL362" s="505"/>
      <c r="CM362" s="505"/>
      <c r="CN362" s="505"/>
      <c r="CO362" s="505"/>
      <c r="CP362" s="505"/>
      <c r="CQ362" s="505"/>
      <c r="CR362" s="505"/>
      <c r="CS362" s="505"/>
      <c r="CT362" s="505"/>
      <c r="CU362" s="505"/>
      <c r="CV362" s="505"/>
      <c r="CW362" s="505"/>
      <c r="CX362" s="505"/>
      <c r="CY362" s="505"/>
      <c r="CZ362" s="505"/>
      <c r="DA362" s="505"/>
      <c r="DB362" s="505"/>
      <c r="DC362" s="505"/>
      <c r="DD362" s="505"/>
      <c r="DE362" s="505"/>
      <c r="DF362" s="505"/>
      <c r="DG362" s="505"/>
      <c r="DH362" s="505"/>
      <c r="DI362" s="505"/>
      <c r="DJ362" s="505"/>
      <c r="DK362" s="505"/>
      <c r="DL362" s="505"/>
      <c r="DM362" s="505"/>
      <c r="DN362" s="505"/>
      <c r="DO362" s="505"/>
      <c r="DP362" s="505"/>
    </row>
    <row r="363" spans="1:120" hidden="1" outlineLevel="1" x14ac:dyDescent="0.2">
      <c r="A363" s="517">
        <f t="shared" si="55"/>
        <v>39022</v>
      </c>
      <c r="B363" s="517" t="str">
        <f t="shared" si="52"/>
        <v>4Q06</v>
      </c>
      <c r="C363" s="517" t="str">
        <f t="shared" si="56"/>
        <v>1Q07</v>
      </c>
      <c r="D363" s="518">
        <f t="shared" si="57"/>
        <v>39094</v>
      </c>
      <c r="E363" s="518">
        <f t="shared" si="57"/>
        <v>39034</v>
      </c>
      <c r="F363" s="520">
        <v>2.552</v>
      </c>
      <c r="G363" s="521">
        <f t="shared" si="53"/>
        <v>0.29000000000000009</v>
      </c>
      <c r="H363" s="521">
        <f t="shared" si="54"/>
        <v>0.29000000000000009</v>
      </c>
      <c r="I363" s="505"/>
      <c r="J363" s="505"/>
      <c r="K363" s="505"/>
      <c r="L363" s="505"/>
      <c r="M363" s="528"/>
      <c r="N363" s="505"/>
      <c r="O363" s="505"/>
      <c r="P363" s="505"/>
      <c r="Q363" s="505"/>
      <c r="R363" s="505"/>
      <c r="S363" s="505"/>
      <c r="T363" s="505"/>
      <c r="U363" s="505"/>
      <c r="V363" s="505"/>
      <c r="W363" s="505"/>
      <c r="X363" s="505"/>
      <c r="Y363" s="505"/>
      <c r="Z363" s="505"/>
      <c r="AA363" s="505"/>
      <c r="AB363" s="505"/>
      <c r="AC363" s="505"/>
      <c r="AD363" s="505"/>
      <c r="AE363" s="505"/>
      <c r="AF363" s="505"/>
      <c r="AG363" s="505"/>
      <c r="AH363" s="505"/>
      <c r="AI363" s="505"/>
      <c r="AJ363" s="505"/>
      <c r="AK363" s="505"/>
      <c r="AL363" s="505"/>
      <c r="AM363" s="505"/>
      <c r="AN363" s="505"/>
      <c r="AO363" s="505"/>
      <c r="AP363" s="505"/>
      <c r="AQ363" s="505"/>
      <c r="AR363" s="505"/>
      <c r="AS363" s="505"/>
      <c r="AT363" s="505"/>
      <c r="AU363" s="505"/>
      <c r="AV363" s="505"/>
      <c r="AW363" s="505"/>
      <c r="AX363" s="505"/>
      <c r="AY363" s="505"/>
      <c r="AZ363" s="505"/>
      <c r="BA363" s="505"/>
      <c r="BB363" s="505"/>
      <c r="BC363" s="505"/>
      <c r="BD363" s="505"/>
      <c r="BE363" s="505"/>
      <c r="BF363" s="505"/>
      <c r="BG363" s="505"/>
      <c r="BH363" s="505"/>
      <c r="BI363" s="505"/>
      <c r="BJ363" s="505"/>
      <c r="BK363" s="505"/>
      <c r="BL363" s="505"/>
      <c r="BM363" s="505"/>
      <c r="BN363" s="505"/>
      <c r="BO363" s="505"/>
      <c r="BP363" s="505"/>
      <c r="BQ363" s="505"/>
      <c r="BR363" s="505"/>
      <c r="BS363" s="505"/>
      <c r="BT363" s="505"/>
      <c r="BU363" s="505"/>
      <c r="BV363" s="505"/>
      <c r="BW363" s="505"/>
      <c r="BX363" s="505"/>
      <c r="BY363" s="505"/>
      <c r="BZ363" s="505"/>
      <c r="CA363" s="505"/>
      <c r="CB363" s="505"/>
      <c r="CC363" s="505"/>
      <c r="CD363" s="505"/>
      <c r="CE363" s="505"/>
      <c r="CF363" s="505"/>
      <c r="CG363" s="505"/>
      <c r="CH363" s="505"/>
      <c r="CI363" s="505"/>
      <c r="CJ363" s="505"/>
      <c r="CK363" s="505"/>
      <c r="CL363" s="505"/>
      <c r="CM363" s="505"/>
      <c r="CN363" s="505"/>
      <c r="CO363" s="505"/>
      <c r="CP363" s="505"/>
      <c r="CQ363" s="505"/>
      <c r="CR363" s="505"/>
      <c r="CS363" s="505"/>
      <c r="CT363" s="505"/>
      <c r="CU363" s="505"/>
      <c r="CV363" s="505"/>
      <c r="CW363" s="505"/>
      <c r="CX363" s="505"/>
      <c r="CY363" s="505"/>
      <c r="CZ363" s="505"/>
      <c r="DA363" s="505"/>
      <c r="DB363" s="505"/>
      <c r="DC363" s="505"/>
      <c r="DD363" s="505"/>
      <c r="DE363" s="505"/>
      <c r="DF363" s="505"/>
      <c r="DG363" s="505"/>
      <c r="DH363" s="505"/>
      <c r="DI363" s="505"/>
      <c r="DJ363" s="505"/>
      <c r="DK363" s="505"/>
      <c r="DL363" s="505"/>
      <c r="DM363" s="505"/>
      <c r="DN363" s="505"/>
      <c r="DO363" s="505"/>
      <c r="DP363" s="505"/>
    </row>
    <row r="364" spans="1:120" hidden="1" outlineLevel="1" x14ac:dyDescent="0.2">
      <c r="A364" s="517">
        <f t="shared" si="55"/>
        <v>39022</v>
      </c>
      <c r="B364" s="517" t="str">
        <f t="shared" si="52"/>
        <v>4Q06</v>
      </c>
      <c r="C364" s="517" t="str">
        <f t="shared" si="56"/>
        <v>1Q07</v>
      </c>
      <c r="D364" s="518">
        <f t="shared" si="57"/>
        <v>39101</v>
      </c>
      <c r="E364" s="518">
        <f t="shared" si="57"/>
        <v>39041</v>
      </c>
      <c r="F364" s="520">
        <v>2.5529999999999999</v>
      </c>
      <c r="G364" s="521">
        <f t="shared" si="53"/>
        <v>0.29000000000000009</v>
      </c>
      <c r="H364" s="521">
        <f t="shared" si="54"/>
        <v>0.29000000000000009</v>
      </c>
      <c r="I364" s="505"/>
      <c r="J364" s="505"/>
      <c r="K364" s="505"/>
      <c r="L364" s="505"/>
      <c r="M364" s="528"/>
      <c r="N364" s="505"/>
      <c r="O364" s="505"/>
      <c r="P364" s="505"/>
      <c r="Q364" s="505"/>
      <c r="R364" s="505"/>
      <c r="S364" s="505"/>
      <c r="T364" s="505"/>
      <c r="U364" s="505"/>
      <c r="V364" s="505"/>
      <c r="W364" s="505"/>
      <c r="X364" s="505"/>
      <c r="Y364" s="505"/>
      <c r="Z364" s="505"/>
      <c r="AA364" s="505"/>
      <c r="AB364" s="505"/>
      <c r="AC364" s="505"/>
      <c r="AD364" s="505"/>
      <c r="AE364" s="505"/>
      <c r="AF364" s="505"/>
      <c r="AG364" s="505"/>
      <c r="AH364" s="505"/>
      <c r="AI364" s="505"/>
      <c r="AJ364" s="505"/>
      <c r="AK364" s="505"/>
      <c r="AL364" s="505"/>
      <c r="AM364" s="505"/>
      <c r="AN364" s="505"/>
      <c r="AO364" s="505"/>
      <c r="AP364" s="505"/>
      <c r="AQ364" s="505"/>
      <c r="AR364" s="505"/>
      <c r="AS364" s="505"/>
      <c r="AT364" s="505"/>
      <c r="AU364" s="505"/>
      <c r="AV364" s="505"/>
      <c r="AW364" s="505"/>
      <c r="AX364" s="505"/>
      <c r="AY364" s="505"/>
      <c r="AZ364" s="505"/>
      <c r="BA364" s="505"/>
      <c r="BB364" s="505"/>
      <c r="BC364" s="505"/>
      <c r="BD364" s="505"/>
      <c r="BE364" s="505"/>
      <c r="BF364" s="505"/>
      <c r="BG364" s="505"/>
      <c r="BH364" s="505"/>
      <c r="BI364" s="505"/>
      <c r="BJ364" s="505"/>
      <c r="BK364" s="505"/>
      <c r="BL364" s="505"/>
      <c r="BM364" s="505"/>
      <c r="BN364" s="505"/>
      <c r="BO364" s="505"/>
      <c r="BP364" s="505"/>
      <c r="BQ364" s="505"/>
      <c r="BR364" s="505"/>
      <c r="BS364" s="505"/>
      <c r="BT364" s="505"/>
      <c r="BU364" s="505"/>
      <c r="BV364" s="505"/>
      <c r="BW364" s="505"/>
      <c r="BX364" s="505"/>
      <c r="BY364" s="505"/>
      <c r="BZ364" s="505"/>
      <c r="CA364" s="505"/>
      <c r="CB364" s="505"/>
      <c r="CC364" s="505"/>
      <c r="CD364" s="505"/>
      <c r="CE364" s="505"/>
      <c r="CF364" s="505"/>
      <c r="CG364" s="505"/>
      <c r="CH364" s="505"/>
      <c r="CI364" s="505"/>
      <c r="CJ364" s="505"/>
      <c r="CK364" s="505"/>
      <c r="CL364" s="505"/>
      <c r="CM364" s="505"/>
      <c r="CN364" s="505"/>
      <c r="CO364" s="505"/>
      <c r="CP364" s="505"/>
      <c r="CQ364" s="505"/>
      <c r="CR364" s="505"/>
      <c r="CS364" s="505"/>
      <c r="CT364" s="505"/>
      <c r="CU364" s="505"/>
      <c r="CV364" s="505"/>
      <c r="CW364" s="505"/>
      <c r="CX364" s="505"/>
      <c r="CY364" s="505"/>
      <c r="CZ364" s="505"/>
      <c r="DA364" s="505"/>
      <c r="DB364" s="505"/>
      <c r="DC364" s="505"/>
      <c r="DD364" s="505"/>
      <c r="DE364" s="505"/>
      <c r="DF364" s="505"/>
      <c r="DG364" s="505"/>
      <c r="DH364" s="505"/>
      <c r="DI364" s="505"/>
      <c r="DJ364" s="505"/>
      <c r="DK364" s="505"/>
      <c r="DL364" s="505"/>
      <c r="DM364" s="505"/>
      <c r="DN364" s="505"/>
      <c r="DO364" s="505"/>
      <c r="DP364" s="505"/>
    </row>
    <row r="365" spans="1:120" hidden="1" outlineLevel="1" x14ac:dyDescent="0.2">
      <c r="A365" s="517">
        <f t="shared" si="55"/>
        <v>39022</v>
      </c>
      <c r="B365" s="517" t="str">
        <f t="shared" si="52"/>
        <v>4Q06</v>
      </c>
      <c r="C365" s="517" t="str">
        <f t="shared" si="56"/>
        <v>1Q07</v>
      </c>
      <c r="D365" s="518">
        <f t="shared" si="57"/>
        <v>39108</v>
      </c>
      <c r="E365" s="518">
        <f t="shared" si="57"/>
        <v>39048</v>
      </c>
      <c r="F365" s="520">
        <v>2.5670000000000002</v>
      </c>
      <c r="G365" s="521">
        <f t="shared" si="53"/>
        <v>0.29000000000000009</v>
      </c>
      <c r="H365" s="521">
        <f t="shared" si="54"/>
        <v>0.3000000000000001</v>
      </c>
      <c r="I365" s="505"/>
      <c r="J365" s="505"/>
      <c r="K365" s="505"/>
      <c r="L365" s="505"/>
      <c r="M365" s="528"/>
      <c r="N365" s="505"/>
      <c r="O365" s="505"/>
      <c r="P365" s="505"/>
      <c r="Q365" s="505"/>
      <c r="R365" s="505"/>
      <c r="S365" s="505"/>
      <c r="T365" s="505"/>
      <c r="U365" s="505"/>
      <c r="V365" s="505"/>
      <c r="W365" s="505"/>
      <c r="X365" s="505"/>
      <c r="Y365" s="505"/>
      <c r="Z365" s="505"/>
      <c r="AA365" s="505"/>
      <c r="AB365" s="505"/>
      <c r="AC365" s="505"/>
      <c r="AD365" s="505"/>
      <c r="AE365" s="505"/>
      <c r="AF365" s="505"/>
      <c r="AG365" s="505"/>
      <c r="AH365" s="505"/>
      <c r="AI365" s="505"/>
      <c r="AJ365" s="505"/>
      <c r="AK365" s="505"/>
      <c r="AL365" s="505"/>
      <c r="AM365" s="505"/>
      <c r="AN365" s="505"/>
      <c r="AO365" s="505"/>
      <c r="AP365" s="505"/>
      <c r="AQ365" s="505"/>
      <c r="AR365" s="505"/>
      <c r="AS365" s="505"/>
      <c r="AT365" s="505"/>
      <c r="AU365" s="505"/>
      <c r="AV365" s="505"/>
      <c r="AW365" s="505"/>
      <c r="AX365" s="505"/>
      <c r="AY365" s="505"/>
      <c r="AZ365" s="505"/>
      <c r="BA365" s="505"/>
      <c r="BB365" s="505"/>
      <c r="BC365" s="505"/>
      <c r="BD365" s="505"/>
      <c r="BE365" s="505"/>
      <c r="BF365" s="505"/>
      <c r="BG365" s="505"/>
      <c r="BH365" s="505"/>
      <c r="BI365" s="505"/>
      <c r="BJ365" s="505"/>
      <c r="BK365" s="505"/>
      <c r="BL365" s="505"/>
      <c r="BM365" s="505"/>
      <c r="BN365" s="505"/>
      <c r="BO365" s="505"/>
      <c r="BP365" s="505"/>
      <c r="BQ365" s="505"/>
      <c r="BR365" s="505"/>
      <c r="BS365" s="505"/>
      <c r="BT365" s="505"/>
      <c r="BU365" s="505"/>
      <c r="BV365" s="505"/>
      <c r="BW365" s="505"/>
      <c r="BX365" s="505"/>
      <c r="BY365" s="505"/>
      <c r="BZ365" s="505"/>
      <c r="CA365" s="505"/>
      <c r="CB365" s="505"/>
      <c r="CC365" s="505"/>
      <c r="CD365" s="505"/>
      <c r="CE365" s="505"/>
      <c r="CF365" s="505"/>
      <c r="CG365" s="505"/>
      <c r="CH365" s="505"/>
      <c r="CI365" s="505"/>
      <c r="CJ365" s="505"/>
      <c r="CK365" s="505"/>
      <c r="CL365" s="505"/>
      <c r="CM365" s="505"/>
      <c r="CN365" s="505"/>
      <c r="CO365" s="505"/>
      <c r="CP365" s="505"/>
      <c r="CQ365" s="505"/>
      <c r="CR365" s="505"/>
      <c r="CS365" s="505"/>
      <c r="CT365" s="505"/>
      <c r="CU365" s="505"/>
      <c r="CV365" s="505"/>
      <c r="CW365" s="505"/>
      <c r="CX365" s="505"/>
      <c r="CY365" s="505"/>
      <c r="CZ365" s="505"/>
      <c r="DA365" s="505"/>
      <c r="DB365" s="505"/>
      <c r="DC365" s="505"/>
      <c r="DD365" s="505"/>
      <c r="DE365" s="505"/>
      <c r="DF365" s="505"/>
      <c r="DG365" s="505"/>
      <c r="DH365" s="505"/>
      <c r="DI365" s="505"/>
      <c r="DJ365" s="505"/>
      <c r="DK365" s="505"/>
      <c r="DL365" s="505"/>
      <c r="DM365" s="505"/>
      <c r="DN365" s="505"/>
      <c r="DO365" s="505"/>
      <c r="DP365" s="505"/>
    </row>
    <row r="366" spans="1:120" hidden="1" outlineLevel="1" x14ac:dyDescent="0.2">
      <c r="A366" s="517">
        <f t="shared" si="55"/>
        <v>39052</v>
      </c>
      <c r="B366" s="517" t="str">
        <f t="shared" si="52"/>
        <v>4Q06</v>
      </c>
      <c r="C366" s="517" t="str">
        <f t="shared" si="56"/>
        <v>1Q07</v>
      </c>
      <c r="D366" s="518">
        <f t="shared" si="57"/>
        <v>39115</v>
      </c>
      <c r="E366" s="518">
        <f t="shared" si="57"/>
        <v>39055</v>
      </c>
      <c r="F366" s="520">
        <v>2.6179999999999999</v>
      </c>
      <c r="G366" s="521">
        <f t="shared" si="53"/>
        <v>0.3000000000000001</v>
      </c>
      <c r="H366" s="521">
        <f t="shared" si="54"/>
        <v>0.3000000000000001</v>
      </c>
      <c r="I366" s="505"/>
      <c r="J366" s="505"/>
      <c r="K366" s="505"/>
      <c r="L366" s="505"/>
      <c r="M366" s="528"/>
      <c r="N366" s="505"/>
      <c r="O366" s="505"/>
      <c r="P366" s="505"/>
      <c r="Q366" s="505"/>
      <c r="R366" s="505"/>
      <c r="S366" s="505"/>
      <c r="T366" s="505"/>
      <c r="U366" s="505"/>
      <c r="V366" s="505"/>
      <c r="W366" s="505"/>
      <c r="X366" s="505"/>
      <c r="Y366" s="505"/>
      <c r="Z366" s="505"/>
      <c r="AA366" s="505"/>
      <c r="AB366" s="505"/>
      <c r="AC366" s="505"/>
      <c r="AD366" s="505"/>
      <c r="AE366" s="505"/>
      <c r="AF366" s="505"/>
      <c r="AG366" s="505"/>
      <c r="AH366" s="505"/>
      <c r="AI366" s="505"/>
      <c r="AJ366" s="505"/>
      <c r="AK366" s="505"/>
      <c r="AL366" s="505"/>
      <c r="AM366" s="505"/>
      <c r="AN366" s="505"/>
      <c r="AO366" s="505"/>
      <c r="AP366" s="505"/>
      <c r="AQ366" s="505"/>
      <c r="AR366" s="505"/>
      <c r="AS366" s="505"/>
      <c r="AT366" s="505"/>
      <c r="AU366" s="505"/>
      <c r="AV366" s="505"/>
      <c r="AW366" s="505"/>
      <c r="AX366" s="505"/>
      <c r="AY366" s="505"/>
      <c r="AZ366" s="505"/>
      <c r="BA366" s="505"/>
      <c r="BB366" s="505"/>
      <c r="BC366" s="505"/>
      <c r="BD366" s="505"/>
      <c r="BE366" s="505"/>
      <c r="BF366" s="505"/>
      <c r="BG366" s="505"/>
      <c r="BH366" s="505"/>
      <c r="BI366" s="505"/>
      <c r="BJ366" s="505"/>
      <c r="BK366" s="505"/>
      <c r="BL366" s="505"/>
      <c r="BM366" s="505"/>
      <c r="BN366" s="505"/>
      <c r="BO366" s="505"/>
      <c r="BP366" s="505"/>
      <c r="BQ366" s="505"/>
      <c r="BR366" s="505"/>
      <c r="BS366" s="505"/>
      <c r="BT366" s="505"/>
      <c r="BU366" s="505"/>
      <c r="BV366" s="505"/>
      <c r="BW366" s="505"/>
      <c r="BX366" s="505"/>
      <c r="BY366" s="505"/>
      <c r="BZ366" s="505"/>
      <c r="CA366" s="505"/>
      <c r="CB366" s="505"/>
      <c r="CC366" s="505"/>
      <c r="CD366" s="505"/>
      <c r="CE366" s="505"/>
      <c r="CF366" s="505"/>
      <c r="CG366" s="505"/>
      <c r="CH366" s="505"/>
      <c r="CI366" s="505"/>
      <c r="CJ366" s="505"/>
      <c r="CK366" s="505"/>
      <c r="CL366" s="505"/>
      <c r="CM366" s="505"/>
      <c r="CN366" s="505"/>
      <c r="CO366" s="505"/>
      <c r="CP366" s="505"/>
      <c r="CQ366" s="505"/>
      <c r="CR366" s="505"/>
      <c r="CS366" s="505"/>
      <c r="CT366" s="505"/>
      <c r="CU366" s="505"/>
      <c r="CV366" s="505"/>
      <c r="CW366" s="505"/>
      <c r="CX366" s="505"/>
      <c r="CY366" s="505"/>
      <c r="CZ366" s="505"/>
      <c r="DA366" s="505"/>
      <c r="DB366" s="505"/>
      <c r="DC366" s="505"/>
      <c r="DD366" s="505"/>
      <c r="DE366" s="505"/>
      <c r="DF366" s="505"/>
      <c r="DG366" s="505"/>
      <c r="DH366" s="505"/>
      <c r="DI366" s="505"/>
      <c r="DJ366" s="505"/>
      <c r="DK366" s="505"/>
      <c r="DL366" s="505"/>
      <c r="DM366" s="505"/>
      <c r="DN366" s="505"/>
      <c r="DO366" s="505"/>
      <c r="DP366" s="505"/>
    </row>
    <row r="367" spans="1:120" hidden="1" outlineLevel="1" x14ac:dyDescent="0.2">
      <c r="A367" s="517">
        <f t="shared" si="55"/>
        <v>39052</v>
      </c>
      <c r="B367" s="517" t="str">
        <f t="shared" si="52"/>
        <v>4Q06</v>
      </c>
      <c r="C367" s="517" t="str">
        <f t="shared" si="56"/>
        <v>1Q07</v>
      </c>
      <c r="D367" s="518">
        <f t="shared" si="57"/>
        <v>39122</v>
      </c>
      <c r="E367" s="518">
        <f t="shared" si="57"/>
        <v>39062</v>
      </c>
      <c r="F367" s="520">
        <v>2.621</v>
      </c>
      <c r="G367" s="521">
        <f t="shared" si="53"/>
        <v>0.3000000000000001</v>
      </c>
      <c r="H367" s="521">
        <f t="shared" si="54"/>
        <v>0.3000000000000001</v>
      </c>
      <c r="I367" s="505"/>
      <c r="J367" s="505"/>
      <c r="K367" s="505"/>
      <c r="L367" s="505"/>
      <c r="M367" s="528"/>
      <c r="N367" s="505"/>
      <c r="O367" s="505"/>
      <c r="P367" s="505"/>
      <c r="Q367" s="505"/>
      <c r="R367" s="505"/>
      <c r="S367" s="505"/>
      <c r="T367" s="505"/>
      <c r="U367" s="505"/>
      <c r="V367" s="505"/>
      <c r="W367" s="505"/>
      <c r="X367" s="505"/>
      <c r="Y367" s="505"/>
      <c r="Z367" s="505"/>
      <c r="AA367" s="505"/>
      <c r="AB367" s="505"/>
      <c r="AC367" s="505"/>
      <c r="AD367" s="505"/>
      <c r="AE367" s="505"/>
      <c r="AF367" s="505"/>
      <c r="AG367" s="505"/>
      <c r="AH367" s="505"/>
      <c r="AI367" s="505"/>
      <c r="AJ367" s="505"/>
      <c r="AK367" s="505"/>
      <c r="AL367" s="505"/>
      <c r="AM367" s="505"/>
      <c r="AN367" s="505"/>
      <c r="AO367" s="505"/>
      <c r="AP367" s="505"/>
      <c r="AQ367" s="505"/>
      <c r="AR367" s="505"/>
      <c r="AS367" s="505"/>
      <c r="AT367" s="505"/>
      <c r="AU367" s="505"/>
      <c r="AV367" s="505"/>
      <c r="AW367" s="505"/>
      <c r="AX367" s="505"/>
      <c r="AY367" s="505"/>
      <c r="AZ367" s="505"/>
      <c r="BA367" s="505"/>
      <c r="BB367" s="505"/>
      <c r="BC367" s="505"/>
      <c r="BD367" s="505"/>
      <c r="BE367" s="505"/>
      <c r="BF367" s="505"/>
      <c r="BG367" s="505"/>
      <c r="BH367" s="505"/>
      <c r="BI367" s="505"/>
      <c r="BJ367" s="505"/>
      <c r="BK367" s="505"/>
      <c r="BL367" s="505"/>
      <c r="BM367" s="505"/>
      <c r="BN367" s="505"/>
      <c r="BO367" s="505"/>
      <c r="BP367" s="505"/>
      <c r="BQ367" s="505"/>
      <c r="BR367" s="505"/>
      <c r="BS367" s="505"/>
      <c r="BT367" s="505"/>
      <c r="BU367" s="505"/>
      <c r="BV367" s="505"/>
      <c r="BW367" s="505"/>
      <c r="BX367" s="505"/>
      <c r="BY367" s="505"/>
      <c r="BZ367" s="505"/>
      <c r="CA367" s="505"/>
      <c r="CB367" s="505"/>
      <c r="CC367" s="505"/>
      <c r="CD367" s="505"/>
      <c r="CE367" s="505"/>
      <c r="CF367" s="505"/>
      <c r="CG367" s="505"/>
      <c r="CH367" s="505"/>
      <c r="CI367" s="505"/>
      <c r="CJ367" s="505"/>
      <c r="CK367" s="505"/>
      <c r="CL367" s="505"/>
      <c r="CM367" s="505"/>
      <c r="CN367" s="505"/>
      <c r="CO367" s="505"/>
      <c r="CP367" s="505"/>
      <c r="CQ367" s="505"/>
      <c r="CR367" s="505"/>
      <c r="CS367" s="505"/>
      <c r="CT367" s="505"/>
      <c r="CU367" s="505"/>
      <c r="CV367" s="505"/>
      <c r="CW367" s="505"/>
      <c r="CX367" s="505"/>
      <c r="CY367" s="505"/>
      <c r="CZ367" s="505"/>
      <c r="DA367" s="505"/>
      <c r="DB367" s="505"/>
      <c r="DC367" s="505"/>
      <c r="DD367" s="505"/>
      <c r="DE367" s="505"/>
      <c r="DF367" s="505"/>
      <c r="DG367" s="505"/>
      <c r="DH367" s="505"/>
      <c r="DI367" s="505"/>
      <c r="DJ367" s="505"/>
      <c r="DK367" s="505"/>
      <c r="DL367" s="505"/>
      <c r="DM367" s="505"/>
      <c r="DN367" s="505"/>
      <c r="DO367" s="505"/>
      <c r="DP367" s="505"/>
    </row>
    <row r="368" spans="1:120" hidden="1" outlineLevel="1" x14ac:dyDescent="0.2">
      <c r="A368" s="517">
        <f t="shared" si="55"/>
        <v>39052</v>
      </c>
      <c r="B368" s="517" t="str">
        <f t="shared" si="52"/>
        <v>4Q06</v>
      </c>
      <c r="C368" s="517" t="str">
        <f t="shared" si="56"/>
        <v>1Q07</v>
      </c>
      <c r="D368" s="518">
        <f t="shared" si="57"/>
        <v>39129</v>
      </c>
      <c r="E368" s="518">
        <f t="shared" si="57"/>
        <v>39069</v>
      </c>
      <c r="F368" s="520">
        <v>2.6059999999999999</v>
      </c>
      <c r="G368" s="521">
        <f t="shared" si="53"/>
        <v>0.3000000000000001</v>
      </c>
      <c r="H368" s="521">
        <f t="shared" si="54"/>
        <v>0.29000000000000009</v>
      </c>
      <c r="I368" s="505"/>
      <c r="J368" s="505"/>
      <c r="K368" s="505"/>
      <c r="L368" s="505"/>
      <c r="M368" s="528"/>
      <c r="N368" s="505"/>
      <c r="O368" s="505"/>
      <c r="P368" s="505"/>
      <c r="Q368" s="505"/>
      <c r="R368" s="505"/>
      <c r="S368" s="505"/>
      <c r="T368" s="505"/>
      <c r="U368" s="505"/>
      <c r="V368" s="505"/>
      <c r="W368" s="505"/>
      <c r="X368" s="505"/>
      <c r="Y368" s="505"/>
      <c r="Z368" s="505"/>
      <c r="AA368" s="505"/>
      <c r="AB368" s="505"/>
      <c r="AC368" s="505"/>
      <c r="AD368" s="505"/>
      <c r="AE368" s="505"/>
      <c r="AF368" s="505"/>
      <c r="AG368" s="505"/>
      <c r="AH368" s="505"/>
      <c r="AI368" s="505"/>
      <c r="AJ368" s="505"/>
      <c r="AK368" s="505"/>
      <c r="AL368" s="505"/>
      <c r="AM368" s="505"/>
      <c r="AN368" s="505"/>
      <c r="AO368" s="505"/>
      <c r="AP368" s="505"/>
      <c r="AQ368" s="505"/>
      <c r="AR368" s="505"/>
      <c r="AS368" s="505"/>
      <c r="AT368" s="505"/>
      <c r="AU368" s="505"/>
      <c r="AV368" s="505"/>
      <c r="AW368" s="505"/>
      <c r="AX368" s="505"/>
      <c r="AY368" s="505"/>
      <c r="AZ368" s="505"/>
      <c r="BA368" s="505"/>
      <c r="BB368" s="505"/>
      <c r="BC368" s="505"/>
      <c r="BD368" s="505"/>
      <c r="BE368" s="505"/>
      <c r="BF368" s="505"/>
      <c r="BG368" s="505"/>
      <c r="BH368" s="505"/>
      <c r="BI368" s="505"/>
      <c r="BJ368" s="505"/>
      <c r="BK368" s="505"/>
      <c r="BL368" s="505"/>
      <c r="BM368" s="505"/>
      <c r="BN368" s="505"/>
      <c r="BO368" s="505"/>
      <c r="BP368" s="505"/>
      <c r="BQ368" s="505"/>
      <c r="BR368" s="505"/>
      <c r="BS368" s="505"/>
      <c r="BT368" s="505"/>
      <c r="BU368" s="505"/>
      <c r="BV368" s="505"/>
      <c r="BW368" s="505"/>
      <c r="BX368" s="505"/>
      <c r="BY368" s="505"/>
      <c r="BZ368" s="505"/>
      <c r="CA368" s="505"/>
      <c r="CB368" s="505"/>
      <c r="CC368" s="505"/>
      <c r="CD368" s="505"/>
      <c r="CE368" s="505"/>
      <c r="CF368" s="505"/>
      <c r="CG368" s="505"/>
      <c r="CH368" s="505"/>
      <c r="CI368" s="505"/>
      <c r="CJ368" s="505"/>
      <c r="CK368" s="505"/>
      <c r="CL368" s="505"/>
      <c r="CM368" s="505"/>
      <c r="CN368" s="505"/>
      <c r="CO368" s="505"/>
      <c r="CP368" s="505"/>
      <c r="CQ368" s="505"/>
      <c r="CR368" s="505"/>
      <c r="CS368" s="505"/>
      <c r="CT368" s="505"/>
      <c r="CU368" s="505"/>
      <c r="CV368" s="505"/>
      <c r="CW368" s="505"/>
      <c r="CX368" s="505"/>
      <c r="CY368" s="505"/>
      <c r="CZ368" s="505"/>
      <c r="DA368" s="505"/>
      <c r="DB368" s="505"/>
      <c r="DC368" s="505"/>
      <c r="DD368" s="505"/>
      <c r="DE368" s="505"/>
      <c r="DF368" s="505"/>
      <c r="DG368" s="505"/>
      <c r="DH368" s="505"/>
      <c r="DI368" s="505"/>
      <c r="DJ368" s="505"/>
      <c r="DK368" s="505"/>
      <c r="DL368" s="505"/>
      <c r="DM368" s="505"/>
      <c r="DN368" s="505"/>
      <c r="DO368" s="505"/>
      <c r="DP368" s="505"/>
    </row>
    <row r="369" spans="1:120" hidden="1" outlineLevel="1" x14ac:dyDescent="0.2">
      <c r="A369" s="517">
        <f t="shared" si="55"/>
        <v>39052</v>
      </c>
      <c r="B369" s="517" t="str">
        <f t="shared" si="52"/>
        <v>4Q06</v>
      </c>
      <c r="C369" s="517" t="str">
        <f t="shared" si="56"/>
        <v>1Q07</v>
      </c>
      <c r="D369" s="518">
        <f t="shared" si="57"/>
        <v>39136</v>
      </c>
      <c r="E369" s="518">
        <f t="shared" si="57"/>
        <v>39076</v>
      </c>
      <c r="F369" s="520">
        <v>2.5960000000000001</v>
      </c>
      <c r="G369" s="521">
        <f t="shared" si="53"/>
        <v>0.29000000000000009</v>
      </c>
      <c r="H369" s="521">
        <f t="shared" si="54"/>
        <v>0.29000000000000009</v>
      </c>
      <c r="I369" s="505"/>
      <c r="J369" s="505"/>
      <c r="K369" s="505"/>
      <c r="L369" s="505"/>
      <c r="M369" s="528"/>
      <c r="N369" s="505"/>
      <c r="O369" s="505"/>
      <c r="P369" s="505"/>
      <c r="Q369" s="505"/>
      <c r="R369" s="505"/>
      <c r="S369" s="505"/>
      <c r="T369" s="505"/>
      <c r="U369" s="505"/>
      <c r="V369" s="505"/>
      <c r="W369" s="505"/>
      <c r="X369" s="505"/>
      <c r="Y369" s="505"/>
      <c r="Z369" s="505"/>
      <c r="AA369" s="505"/>
      <c r="AB369" s="505"/>
      <c r="AC369" s="505"/>
      <c r="AD369" s="505"/>
      <c r="AE369" s="505"/>
      <c r="AF369" s="505"/>
      <c r="AG369" s="505"/>
      <c r="AH369" s="505"/>
      <c r="AI369" s="505"/>
      <c r="AJ369" s="505"/>
      <c r="AK369" s="505"/>
      <c r="AL369" s="505"/>
      <c r="AM369" s="505"/>
      <c r="AN369" s="505"/>
      <c r="AO369" s="505"/>
      <c r="AP369" s="505"/>
      <c r="AQ369" s="505"/>
      <c r="AR369" s="505"/>
      <c r="AS369" s="505"/>
      <c r="AT369" s="505"/>
      <c r="AU369" s="505"/>
      <c r="AV369" s="505"/>
      <c r="AW369" s="505"/>
      <c r="AX369" s="505"/>
      <c r="AY369" s="505"/>
      <c r="AZ369" s="505"/>
      <c r="BA369" s="505"/>
      <c r="BB369" s="505"/>
      <c r="BC369" s="505"/>
      <c r="BD369" s="505"/>
      <c r="BE369" s="505"/>
      <c r="BF369" s="505"/>
      <c r="BG369" s="505"/>
      <c r="BH369" s="505"/>
      <c r="BI369" s="505"/>
      <c r="BJ369" s="505"/>
      <c r="BK369" s="505"/>
      <c r="BL369" s="505"/>
      <c r="BM369" s="505"/>
      <c r="BN369" s="505"/>
      <c r="BO369" s="505"/>
      <c r="BP369" s="505"/>
      <c r="BQ369" s="505"/>
      <c r="BR369" s="505"/>
      <c r="BS369" s="505"/>
      <c r="BT369" s="505"/>
      <c r="BU369" s="505"/>
      <c r="BV369" s="505"/>
      <c r="BW369" s="505"/>
      <c r="BX369" s="505"/>
      <c r="BY369" s="505"/>
      <c r="BZ369" s="505"/>
      <c r="CA369" s="505"/>
      <c r="CB369" s="505"/>
      <c r="CC369" s="505"/>
      <c r="CD369" s="505"/>
      <c r="CE369" s="505"/>
      <c r="CF369" s="505"/>
      <c r="CG369" s="505"/>
      <c r="CH369" s="505"/>
      <c r="CI369" s="505"/>
      <c r="CJ369" s="505"/>
      <c r="CK369" s="505"/>
      <c r="CL369" s="505"/>
      <c r="CM369" s="505"/>
      <c r="CN369" s="505"/>
      <c r="CO369" s="505"/>
      <c r="CP369" s="505"/>
      <c r="CQ369" s="505"/>
      <c r="CR369" s="505"/>
      <c r="CS369" s="505"/>
      <c r="CT369" s="505"/>
      <c r="CU369" s="505"/>
      <c r="CV369" s="505"/>
      <c r="CW369" s="505"/>
      <c r="CX369" s="505"/>
      <c r="CY369" s="505"/>
      <c r="CZ369" s="505"/>
      <c r="DA369" s="505"/>
      <c r="DB369" s="505"/>
      <c r="DC369" s="505"/>
      <c r="DD369" s="505"/>
      <c r="DE369" s="505"/>
      <c r="DF369" s="505"/>
      <c r="DG369" s="505"/>
      <c r="DH369" s="505"/>
      <c r="DI369" s="505"/>
      <c r="DJ369" s="505"/>
      <c r="DK369" s="505"/>
      <c r="DL369" s="505"/>
      <c r="DM369" s="505"/>
      <c r="DN369" s="505"/>
      <c r="DO369" s="505"/>
      <c r="DP369" s="505"/>
    </row>
    <row r="370" spans="1:120" hidden="1" outlineLevel="1" x14ac:dyDescent="0.2">
      <c r="A370" s="517">
        <f t="shared" si="55"/>
        <v>39083</v>
      </c>
      <c r="B370" s="517" t="str">
        <f t="shared" si="52"/>
        <v>1Q07</v>
      </c>
      <c r="C370" s="517" t="str">
        <f t="shared" si="56"/>
        <v>1Q07</v>
      </c>
      <c r="D370" s="518">
        <f t="shared" si="57"/>
        <v>39143</v>
      </c>
      <c r="E370" s="518">
        <f t="shared" si="57"/>
        <v>39083</v>
      </c>
      <c r="F370" s="520">
        <v>2.58</v>
      </c>
      <c r="G370" s="521">
        <f t="shared" si="53"/>
        <v>0.29000000000000009</v>
      </c>
      <c r="H370" s="521">
        <f t="shared" si="54"/>
        <v>0.28000000000000008</v>
      </c>
      <c r="I370" s="505"/>
      <c r="J370" s="505"/>
      <c r="K370" s="505"/>
      <c r="L370" s="505"/>
      <c r="M370" s="528"/>
      <c r="N370" s="505"/>
      <c r="O370" s="505"/>
      <c r="P370" s="505"/>
      <c r="Q370" s="505"/>
      <c r="R370" s="505"/>
      <c r="S370" s="505"/>
      <c r="T370" s="505"/>
      <c r="U370" s="505"/>
      <c r="V370" s="505"/>
      <c r="W370" s="505"/>
      <c r="X370" s="505"/>
      <c r="Y370" s="505"/>
      <c r="Z370" s="505"/>
      <c r="AA370" s="505"/>
      <c r="AB370" s="505"/>
      <c r="AC370" s="505"/>
      <c r="AD370" s="505"/>
      <c r="AE370" s="505"/>
      <c r="AF370" s="505"/>
      <c r="AG370" s="505"/>
      <c r="AH370" s="505"/>
      <c r="AI370" s="505"/>
      <c r="AJ370" s="505"/>
      <c r="AK370" s="505"/>
      <c r="AL370" s="505"/>
      <c r="AM370" s="505"/>
      <c r="AN370" s="505"/>
      <c r="AO370" s="505"/>
      <c r="AP370" s="505"/>
      <c r="AQ370" s="505"/>
      <c r="AR370" s="505"/>
      <c r="AS370" s="505"/>
      <c r="AT370" s="505"/>
      <c r="AU370" s="505"/>
      <c r="AV370" s="505"/>
      <c r="AW370" s="505"/>
      <c r="AX370" s="505"/>
      <c r="AY370" s="505"/>
      <c r="AZ370" s="505"/>
      <c r="BA370" s="505"/>
      <c r="BB370" s="505"/>
      <c r="BC370" s="505"/>
      <c r="BD370" s="505"/>
      <c r="BE370" s="505"/>
      <c r="BF370" s="505"/>
      <c r="BG370" s="505"/>
      <c r="BH370" s="505"/>
      <c r="BI370" s="505"/>
      <c r="BJ370" s="505"/>
      <c r="BK370" s="505"/>
      <c r="BL370" s="505"/>
      <c r="BM370" s="505"/>
      <c r="BN370" s="505"/>
      <c r="BO370" s="505"/>
      <c r="BP370" s="505"/>
      <c r="BQ370" s="505"/>
      <c r="BR370" s="505"/>
      <c r="BS370" s="505"/>
      <c r="BT370" s="505"/>
      <c r="BU370" s="505"/>
      <c r="BV370" s="505"/>
      <c r="BW370" s="505"/>
      <c r="BX370" s="505"/>
      <c r="BY370" s="505"/>
      <c r="BZ370" s="505"/>
      <c r="CA370" s="505"/>
      <c r="CB370" s="505"/>
      <c r="CC370" s="505"/>
      <c r="CD370" s="505"/>
      <c r="CE370" s="505"/>
      <c r="CF370" s="505"/>
      <c r="CG370" s="505"/>
      <c r="CH370" s="505"/>
      <c r="CI370" s="505"/>
      <c r="CJ370" s="505"/>
      <c r="CK370" s="505"/>
      <c r="CL370" s="505"/>
      <c r="CM370" s="505"/>
      <c r="CN370" s="505"/>
      <c r="CO370" s="505"/>
      <c r="CP370" s="505"/>
      <c r="CQ370" s="505"/>
      <c r="CR370" s="505"/>
      <c r="CS370" s="505"/>
      <c r="CT370" s="505"/>
      <c r="CU370" s="505"/>
      <c r="CV370" s="505"/>
      <c r="CW370" s="505"/>
      <c r="CX370" s="505"/>
      <c r="CY370" s="505"/>
      <c r="CZ370" s="505"/>
      <c r="DA370" s="505"/>
      <c r="DB370" s="505"/>
      <c r="DC370" s="505"/>
      <c r="DD370" s="505"/>
      <c r="DE370" s="505"/>
      <c r="DF370" s="505"/>
      <c r="DG370" s="505"/>
      <c r="DH370" s="505"/>
      <c r="DI370" s="505"/>
      <c r="DJ370" s="505"/>
      <c r="DK370" s="505"/>
      <c r="DL370" s="505"/>
      <c r="DM370" s="505"/>
      <c r="DN370" s="505"/>
      <c r="DO370" s="505"/>
      <c r="DP370" s="505"/>
    </row>
    <row r="371" spans="1:120" hidden="1" outlineLevel="1" x14ac:dyDescent="0.2">
      <c r="A371" s="517">
        <f t="shared" si="55"/>
        <v>39083</v>
      </c>
      <c r="B371" s="517" t="str">
        <f t="shared" si="52"/>
        <v>1Q07</v>
      </c>
      <c r="C371" s="517" t="str">
        <f t="shared" si="56"/>
        <v>1Q07</v>
      </c>
      <c r="D371" s="518">
        <f t="shared" si="57"/>
        <v>39150</v>
      </c>
      <c r="E371" s="518">
        <f t="shared" si="57"/>
        <v>39090</v>
      </c>
      <c r="F371" s="520">
        <v>2.5369999999999999</v>
      </c>
      <c r="G371" s="521">
        <f t="shared" si="53"/>
        <v>0.28000000000000008</v>
      </c>
      <c r="H371" s="521">
        <f t="shared" si="54"/>
        <v>0.27000000000000007</v>
      </c>
      <c r="I371" s="505"/>
      <c r="J371" s="505"/>
      <c r="K371" s="505"/>
      <c r="L371" s="505"/>
      <c r="M371" s="528"/>
      <c r="N371" s="505"/>
      <c r="O371" s="505"/>
      <c r="P371" s="505"/>
      <c r="Q371" s="505"/>
      <c r="R371" s="505"/>
      <c r="S371" s="505"/>
      <c r="T371" s="505"/>
      <c r="U371" s="505"/>
      <c r="V371" s="505"/>
      <c r="W371" s="505"/>
      <c r="X371" s="505"/>
      <c r="Y371" s="505"/>
      <c r="Z371" s="505"/>
      <c r="AA371" s="505"/>
      <c r="AB371" s="505"/>
      <c r="AC371" s="505"/>
      <c r="AD371" s="505"/>
      <c r="AE371" s="505"/>
      <c r="AF371" s="505"/>
      <c r="AG371" s="505"/>
      <c r="AH371" s="505"/>
      <c r="AI371" s="505"/>
      <c r="AJ371" s="505"/>
      <c r="AK371" s="505"/>
      <c r="AL371" s="505"/>
      <c r="AM371" s="505"/>
      <c r="AN371" s="505"/>
      <c r="AO371" s="505"/>
      <c r="AP371" s="505"/>
      <c r="AQ371" s="505"/>
      <c r="AR371" s="505"/>
      <c r="AS371" s="505"/>
      <c r="AT371" s="505"/>
      <c r="AU371" s="505"/>
      <c r="AV371" s="505"/>
      <c r="AW371" s="505"/>
      <c r="AX371" s="505"/>
      <c r="AY371" s="505"/>
      <c r="AZ371" s="505"/>
      <c r="BA371" s="505"/>
      <c r="BB371" s="505"/>
      <c r="BC371" s="505"/>
      <c r="BD371" s="505"/>
      <c r="BE371" s="505"/>
      <c r="BF371" s="505"/>
      <c r="BG371" s="505"/>
      <c r="BH371" s="505"/>
      <c r="BI371" s="505"/>
      <c r="BJ371" s="505"/>
      <c r="BK371" s="505"/>
      <c r="BL371" s="505"/>
      <c r="BM371" s="505"/>
      <c r="BN371" s="505"/>
      <c r="BO371" s="505"/>
      <c r="BP371" s="505"/>
      <c r="BQ371" s="505"/>
      <c r="BR371" s="505"/>
      <c r="BS371" s="505"/>
      <c r="BT371" s="505"/>
      <c r="BU371" s="505"/>
      <c r="BV371" s="505"/>
      <c r="BW371" s="505"/>
      <c r="BX371" s="505"/>
      <c r="BY371" s="505"/>
      <c r="BZ371" s="505"/>
      <c r="CA371" s="505"/>
      <c r="CB371" s="505"/>
      <c r="CC371" s="505"/>
      <c r="CD371" s="505"/>
      <c r="CE371" s="505"/>
      <c r="CF371" s="505"/>
      <c r="CG371" s="505"/>
      <c r="CH371" s="505"/>
      <c r="CI371" s="505"/>
      <c r="CJ371" s="505"/>
      <c r="CK371" s="505"/>
      <c r="CL371" s="505"/>
      <c r="CM371" s="505"/>
      <c r="CN371" s="505"/>
      <c r="CO371" s="505"/>
      <c r="CP371" s="505"/>
      <c r="CQ371" s="505"/>
      <c r="CR371" s="505"/>
      <c r="CS371" s="505"/>
      <c r="CT371" s="505"/>
      <c r="CU371" s="505"/>
      <c r="CV371" s="505"/>
      <c r="CW371" s="505"/>
      <c r="CX371" s="505"/>
      <c r="CY371" s="505"/>
      <c r="CZ371" s="505"/>
      <c r="DA371" s="505"/>
      <c r="DB371" s="505"/>
      <c r="DC371" s="505"/>
      <c r="DD371" s="505"/>
      <c r="DE371" s="505"/>
      <c r="DF371" s="505"/>
      <c r="DG371" s="505"/>
      <c r="DH371" s="505"/>
      <c r="DI371" s="505"/>
      <c r="DJ371" s="505"/>
      <c r="DK371" s="505"/>
      <c r="DL371" s="505"/>
      <c r="DM371" s="505"/>
      <c r="DN371" s="505"/>
      <c r="DO371" s="505"/>
      <c r="DP371" s="505"/>
    </row>
    <row r="372" spans="1:120" hidden="1" outlineLevel="1" x14ac:dyDescent="0.2">
      <c r="A372" s="517">
        <f t="shared" si="55"/>
        <v>39083</v>
      </c>
      <c r="B372" s="517" t="str">
        <f t="shared" si="52"/>
        <v>1Q07</v>
      </c>
      <c r="C372" s="517" t="str">
        <f t="shared" si="56"/>
        <v>1Q07</v>
      </c>
      <c r="D372" s="518">
        <f t="shared" si="57"/>
        <v>39157</v>
      </c>
      <c r="E372" s="518">
        <f t="shared" si="57"/>
        <v>39097</v>
      </c>
      <c r="F372" s="520">
        <v>2.4630000000000001</v>
      </c>
      <c r="G372" s="521">
        <f t="shared" si="53"/>
        <v>0.27000000000000007</v>
      </c>
      <c r="H372" s="521">
        <f t="shared" si="54"/>
        <v>0.26000000000000006</v>
      </c>
      <c r="I372" s="505"/>
      <c r="J372" s="505"/>
      <c r="K372" s="505"/>
      <c r="L372" s="505"/>
      <c r="M372" s="528"/>
      <c r="N372" s="505"/>
      <c r="O372" s="505"/>
      <c r="P372" s="505"/>
      <c r="Q372" s="505"/>
      <c r="R372" s="505"/>
      <c r="S372" s="505"/>
      <c r="T372" s="505"/>
      <c r="U372" s="505"/>
      <c r="V372" s="505"/>
      <c r="W372" s="505"/>
      <c r="X372" s="505"/>
      <c r="Y372" s="505"/>
      <c r="Z372" s="505"/>
      <c r="AA372" s="505"/>
      <c r="AB372" s="505"/>
      <c r="AC372" s="505"/>
      <c r="AD372" s="505"/>
      <c r="AE372" s="505"/>
      <c r="AF372" s="505"/>
      <c r="AG372" s="505"/>
      <c r="AH372" s="505"/>
      <c r="AI372" s="505"/>
      <c r="AJ372" s="505"/>
      <c r="AK372" s="505"/>
      <c r="AL372" s="505"/>
      <c r="AM372" s="505"/>
      <c r="AN372" s="505"/>
      <c r="AO372" s="505"/>
      <c r="AP372" s="505"/>
      <c r="AQ372" s="505"/>
      <c r="AR372" s="505"/>
      <c r="AS372" s="505"/>
      <c r="AT372" s="505"/>
      <c r="AU372" s="505"/>
      <c r="AV372" s="505"/>
      <c r="AW372" s="505"/>
      <c r="AX372" s="505"/>
      <c r="AY372" s="505"/>
      <c r="AZ372" s="505"/>
      <c r="BA372" s="505"/>
      <c r="BB372" s="505"/>
      <c r="BC372" s="505"/>
      <c r="BD372" s="505"/>
      <c r="BE372" s="505"/>
      <c r="BF372" s="505"/>
      <c r="BG372" s="505"/>
      <c r="BH372" s="505"/>
      <c r="BI372" s="505"/>
      <c r="BJ372" s="505"/>
      <c r="BK372" s="505"/>
      <c r="BL372" s="505"/>
      <c r="BM372" s="505"/>
      <c r="BN372" s="505"/>
      <c r="BO372" s="505"/>
      <c r="BP372" s="505"/>
      <c r="BQ372" s="505"/>
      <c r="BR372" s="505"/>
      <c r="BS372" s="505"/>
      <c r="BT372" s="505"/>
      <c r="BU372" s="505"/>
      <c r="BV372" s="505"/>
      <c r="BW372" s="505"/>
      <c r="BX372" s="505"/>
      <c r="BY372" s="505"/>
      <c r="BZ372" s="505"/>
      <c r="CA372" s="505"/>
      <c r="CB372" s="505"/>
      <c r="CC372" s="505"/>
      <c r="CD372" s="505"/>
      <c r="CE372" s="505"/>
      <c r="CF372" s="505"/>
      <c r="CG372" s="505"/>
      <c r="CH372" s="505"/>
      <c r="CI372" s="505"/>
      <c r="CJ372" s="505"/>
      <c r="CK372" s="505"/>
      <c r="CL372" s="505"/>
      <c r="CM372" s="505"/>
      <c r="CN372" s="505"/>
      <c r="CO372" s="505"/>
      <c r="CP372" s="505"/>
      <c r="CQ372" s="505"/>
      <c r="CR372" s="505"/>
      <c r="CS372" s="505"/>
      <c r="CT372" s="505"/>
      <c r="CU372" s="505"/>
      <c r="CV372" s="505"/>
      <c r="CW372" s="505"/>
      <c r="CX372" s="505"/>
      <c r="CY372" s="505"/>
      <c r="CZ372" s="505"/>
      <c r="DA372" s="505"/>
      <c r="DB372" s="505"/>
      <c r="DC372" s="505"/>
      <c r="DD372" s="505"/>
      <c r="DE372" s="505"/>
      <c r="DF372" s="505"/>
      <c r="DG372" s="505"/>
      <c r="DH372" s="505"/>
      <c r="DI372" s="505"/>
      <c r="DJ372" s="505"/>
      <c r="DK372" s="505"/>
      <c r="DL372" s="505"/>
      <c r="DM372" s="505"/>
      <c r="DN372" s="505"/>
      <c r="DO372" s="505"/>
      <c r="DP372" s="505"/>
    </row>
    <row r="373" spans="1:120" hidden="1" outlineLevel="1" x14ac:dyDescent="0.2">
      <c r="A373" s="517">
        <f t="shared" si="55"/>
        <v>39083</v>
      </c>
      <c r="B373" s="517" t="str">
        <f t="shared" si="52"/>
        <v>1Q07</v>
      </c>
      <c r="C373" s="517" t="str">
        <f t="shared" si="56"/>
        <v>1Q07</v>
      </c>
      <c r="D373" s="518">
        <f t="shared" si="57"/>
        <v>39164</v>
      </c>
      <c r="E373" s="518">
        <f t="shared" si="57"/>
        <v>39104</v>
      </c>
      <c r="F373" s="520">
        <v>2.4300000000000002</v>
      </c>
      <c r="G373" s="521">
        <f t="shared" si="53"/>
        <v>0.26000000000000006</v>
      </c>
      <c r="H373" s="521">
        <f t="shared" si="54"/>
        <v>0.26000000000000006</v>
      </c>
      <c r="I373" s="505"/>
      <c r="J373" s="505"/>
      <c r="K373" s="505"/>
      <c r="L373" s="505"/>
      <c r="M373" s="528"/>
      <c r="N373" s="505"/>
      <c r="O373" s="505"/>
      <c r="P373" s="505"/>
      <c r="Q373" s="505"/>
      <c r="R373" s="505"/>
      <c r="S373" s="505"/>
      <c r="T373" s="505"/>
      <c r="U373" s="505"/>
      <c r="V373" s="505"/>
      <c r="W373" s="505"/>
      <c r="X373" s="505"/>
      <c r="Y373" s="505"/>
      <c r="Z373" s="505"/>
      <c r="AA373" s="505"/>
      <c r="AB373" s="505"/>
      <c r="AC373" s="505"/>
      <c r="AD373" s="505"/>
      <c r="AE373" s="505"/>
      <c r="AF373" s="505"/>
      <c r="AG373" s="505"/>
      <c r="AH373" s="505"/>
      <c r="AI373" s="505"/>
      <c r="AJ373" s="505"/>
      <c r="AK373" s="505"/>
      <c r="AL373" s="505"/>
      <c r="AM373" s="505"/>
      <c r="AN373" s="505"/>
      <c r="AO373" s="505"/>
      <c r="AP373" s="505"/>
      <c r="AQ373" s="505"/>
      <c r="AR373" s="505"/>
      <c r="AS373" s="505"/>
      <c r="AT373" s="505"/>
      <c r="AU373" s="505"/>
      <c r="AV373" s="505"/>
      <c r="AW373" s="505"/>
      <c r="AX373" s="505"/>
      <c r="AY373" s="505"/>
      <c r="AZ373" s="505"/>
      <c r="BA373" s="505"/>
      <c r="BB373" s="505"/>
      <c r="BC373" s="505"/>
      <c r="BD373" s="505"/>
      <c r="BE373" s="505"/>
      <c r="BF373" s="505"/>
      <c r="BG373" s="505"/>
      <c r="BH373" s="505"/>
      <c r="BI373" s="505"/>
      <c r="BJ373" s="505"/>
      <c r="BK373" s="505"/>
      <c r="BL373" s="505"/>
      <c r="BM373" s="505"/>
      <c r="BN373" s="505"/>
      <c r="BO373" s="505"/>
      <c r="BP373" s="505"/>
      <c r="BQ373" s="505"/>
      <c r="BR373" s="505"/>
      <c r="BS373" s="505"/>
      <c r="BT373" s="505"/>
      <c r="BU373" s="505"/>
      <c r="BV373" s="505"/>
      <c r="BW373" s="505"/>
      <c r="BX373" s="505"/>
      <c r="BY373" s="505"/>
      <c r="BZ373" s="505"/>
      <c r="CA373" s="505"/>
      <c r="CB373" s="505"/>
      <c r="CC373" s="505"/>
      <c r="CD373" s="505"/>
      <c r="CE373" s="505"/>
      <c r="CF373" s="505"/>
      <c r="CG373" s="505"/>
      <c r="CH373" s="505"/>
      <c r="CI373" s="505"/>
      <c r="CJ373" s="505"/>
      <c r="CK373" s="505"/>
      <c r="CL373" s="505"/>
      <c r="CM373" s="505"/>
      <c r="CN373" s="505"/>
      <c r="CO373" s="505"/>
      <c r="CP373" s="505"/>
      <c r="CQ373" s="505"/>
      <c r="CR373" s="505"/>
      <c r="CS373" s="505"/>
      <c r="CT373" s="505"/>
      <c r="CU373" s="505"/>
      <c r="CV373" s="505"/>
      <c r="CW373" s="505"/>
      <c r="CX373" s="505"/>
      <c r="CY373" s="505"/>
      <c r="CZ373" s="505"/>
      <c r="DA373" s="505"/>
      <c r="DB373" s="505"/>
      <c r="DC373" s="505"/>
      <c r="DD373" s="505"/>
      <c r="DE373" s="505"/>
      <c r="DF373" s="505"/>
      <c r="DG373" s="505"/>
      <c r="DH373" s="505"/>
      <c r="DI373" s="505"/>
      <c r="DJ373" s="505"/>
      <c r="DK373" s="505"/>
      <c r="DL373" s="505"/>
      <c r="DM373" s="505"/>
      <c r="DN373" s="505"/>
      <c r="DO373" s="505"/>
      <c r="DP373" s="505"/>
    </row>
    <row r="374" spans="1:120" hidden="1" outlineLevel="1" x14ac:dyDescent="0.2">
      <c r="A374" s="517">
        <f t="shared" si="55"/>
        <v>39083</v>
      </c>
      <c r="B374" s="517" t="str">
        <f t="shared" si="52"/>
        <v>1Q07</v>
      </c>
      <c r="C374" s="517" t="str">
        <f t="shared" si="56"/>
        <v>1Q07</v>
      </c>
      <c r="D374" s="518">
        <f t="shared" si="57"/>
        <v>39171</v>
      </c>
      <c r="E374" s="518">
        <f t="shared" si="57"/>
        <v>39111</v>
      </c>
      <c r="F374" s="520">
        <v>2.4129999999999998</v>
      </c>
      <c r="G374" s="521">
        <f t="shared" si="53"/>
        <v>0.26000000000000006</v>
      </c>
      <c r="H374" s="521">
        <f t="shared" si="54"/>
        <v>0.26000000000000006</v>
      </c>
      <c r="I374" s="505"/>
      <c r="J374" s="505"/>
      <c r="K374" s="505"/>
      <c r="L374" s="505"/>
      <c r="M374" s="528"/>
      <c r="N374" s="505"/>
      <c r="O374" s="505"/>
      <c r="P374" s="505"/>
      <c r="Q374" s="505"/>
      <c r="R374" s="505"/>
      <c r="S374" s="505"/>
      <c r="T374" s="505"/>
      <c r="U374" s="505"/>
      <c r="V374" s="505"/>
      <c r="W374" s="505"/>
      <c r="X374" s="505"/>
      <c r="Y374" s="505"/>
      <c r="Z374" s="505"/>
      <c r="AA374" s="505"/>
      <c r="AB374" s="505"/>
      <c r="AC374" s="505"/>
      <c r="AD374" s="505"/>
      <c r="AE374" s="505"/>
      <c r="AF374" s="505"/>
      <c r="AG374" s="505"/>
      <c r="AH374" s="505"/>
      <c r="AI374" s="505"/>
      <c r="AJ374" s="505"/>
      <c r="AK374" s="505"/>
      <c r="AL374" s="505"/>
      <c r="AM374" s="505"/>
      <c r="AN374" s="505"/>
      <c r="AO374" s="505"/>
      <c r="AP374" s="505"/>
      <c r="AQ374" s="505"/>
      <c r="AR374" s="505"/>
      <c r="AS374" s="505"/>
      <c r="AT374" s="505"/>
      <c r="AU374" s="505"/>
      <c r="AV374" s="505"/>
      <c r="AW374" s="505"/>
      <c r="AX374" s="505"/>
      <c r="AY374" s="505"/>
      <c r="AZ374" s="505"/>
      <c r="BA374" s="505"/>
      <c r="BB374" s="505"/>
      <c r="BC374" s="505"/>
      <c r="BD374" s="505"/>
      <c r="BE374" s="505"/>
      <c r="BF374" s="505"/>
      <c r="BG374" s="505"/>
      <c r="BH374" s="505"/>
      <c r="BI374" s="505"/>
      <c r="BJ374" s="505"/>
      <c r="BK374" s="505"/>
      <c r="BL374" s="505"/>
      <c r="BM374" s="505"/>
      <c r="BN374" s="505"/>
      <c r="BO374" s="505"/>
      <c r="BP374" s="505"/>
      <c r="BQ374" s="505"/>
      <c r="BR374" s="505"/>
      <c r="BS374" s="505"/>
      <c r="BT374" s="505"/>
      <c r="BU374" s="505"/>
      <c r="BV374" s="505"/>
      <c r="BW374" s="505"/>
      <c r="BX374" s="505"/>
      <c r="BY374" s="505"/>
      <c r="BZ374" s="505"/>
      <c r="CA374" s="505"/>
      <c r="CB374" s="505"/>
      <c r="CC374" s="505"/>
      <c r="CD374" s="505"/>
      <c r="CE374" s="505"/>
      <c r="CF374" s="505"/>
      <c r="CG374" s="505"/>
      <c r="CH374" s="505"/>
      <c r="CI374" s="505"/>
      <c r="CJ374" s="505"/>
      <c r="CK374" s="505"/>
      <c r="CL374" s="505"/>
      <c r="CM374" s="505"/>
      <c r="CN374" s="505"/>
      <c r="CO374" s="505"/>
      <c r="CP374" s="505"/>
      <c r="CQ374" s="505"/>
      <c r="CR374" s="505"/>
      <c r="CS374" s="505"/>
      <c r="CT374" s="505"/>
      <c r="CU374" s="505"/>
      <c r="CV374" s="505"/>
      <c r="CW374" s="505"/>
      <c r="CX374" s="505"/>
      <c r="CY374" s="505"/>
      <c r="CZ374" s="505"/>
      <c r="DA374" s="505"/>
      <c r="DB374" s="505"/>
      <c r="DC374" s="505"/>
      <c r="DD374" s="505"/>
      <c r="DE374" s="505"/>
      <c r="DF374" s="505"/>
      <c r="DG374" s="505"/>
      <c r="DH374" s="505"/>
      <c r="DI374" s="505"/>
      <c r="DJ374" s="505"/>
      <c r="DK374" s="505"/>
      <c r="DL374" s="505"/>
      <c r="DM374" s="505"/>
      <c r="DN374" s="505"/>
      <c r="DO374" s="505"/>
      <c r="DP374" s="505"/>
    </row>
    <row r="375" spans="1:120" hidden="1" outlineLevel="1" x14ac:dyDescent="0.2">
      <c r="A375" s="517">
        <f t="shared" si="55"/>
        <v>39114</v>
      </c>
      <c r="B375" s="517" t="str">
        <f t="shared" si="52"/>
        <v>1Q07</v>
      </c>
      <c r="C375" s="517" t="str">
        <f t="shared" si="56"/>
        <v>2Q07</v>
      </c>
      <c r="D375" s="518">
        <f t="shared" si="57"/>
        <v>39178</v>
      </c>
      <c r="E375" s="518">
        <f t="shared" si="57"/>
        <v>39118</v>
      </c>
      <c r="F375" s="520">
        <v>2.4350000000000001</v>
      </c>
      <c r="G375" s="521">
        <f t="shared" si="53"/>
        <v>0.26000000000000006</v>
      </c>
      <c r="H375" s="521">
        <f t="shared" si="54"/>
        <v>0.27000000000000007</v>
      </c>
      <c r="I375" s="505"/>
      <c r="J375" s="505"/>
      <c r="K375" s="505"/>
      <c r="L375" s="505"/>
      <c r="M375" s="528"/>
      <c r="N375" s="505"/>
      <c r="O375" s="505"/>
      <c r="P375" s="505"/>
      <c r="Q375" s="505"/>
      <c r="R375" s="505"/>
      <c r="S375" s="505"/>
      <c r="T375" s="505"/>
      <c r="U375" s="505"/>
      <c r="V375" s="505"/>
      <c r="W375" s="505"/>
      <c r="X375" s="505"/>
      <c r="Y375" s="505"/>
      <c r="Z375" s="505"/>
      <c r="AA375" s="505"/>
      <c r="AB375" s="505"/>
      <c r="AC375" s="505"/>
      <c r="AD375" s="505"/>
      <c r="AE375" s="505"/>
      <c r="AF375" s="505"/>
      <c r="AG375" s="505"/>
      <c r="AH375" s="505"/>
      <c r="AI375" s="505"/>
      <c r="AJ375" s="505"/>
      <c r="AK375" s="505"/>
      <c r="AL375" s="505"/>
      <c r="AM375" s="505"/>
      <c r="AN375" s="505"/>
      <c r="AO375" s="505"/>
      <c r="AP375" s="505"/>
      <c r="AQ375" s="505"/>
      <c r="AR375" s="505"/>
      <c r="AS375" s="505"/>
      <c r="AT375" s="505"/>
      <c r="AU375" s="505"/>
      <c r="AV375" s="505"/>
      <c r="AW375" s="505"/>
      <c r="AX375" s="505"/>
      <c r="AY375" s="505"/>
      <c r="AZ375" s="505"/>
      <c r="BA375" s="505"/>
      <c r="BB375" s="505"/>
      <c r="BC375" s="505"/>
      <c r="BD375" s="505"/>
      <c r="BE375" s="505"/>
      <c r="BF375" s="505"/>
      <c r="BG375" s="505"/>
      <c r="BH375" s="505"/>
      <c r="BI375" s="505"/>
      <c r="BJ375" s="505"/>
      <c r="BK375" s="505"/>
      <c r="BL375" s="505"/>
      <c r="BM375" s="505"/>
      <c r="BN375" s="505"/>
      <c r="BO375" s="505"/>
      <c r="BP375" s="505"/>
      <c r="BQ375" s="505"/>
      <c r="BR375" s="505"/>
      <c r="BS375" s="505"/>
      <c r="BT375" s="505"/>
      <c r="BU375" s="505"/>
      <c r="BV375" s="505"/>
      <c r="BW375" s="505"/>
      <c r="BX375" s="505"/>
      <c r="BY375" s="505"/>
      <c r="BZ375" s="505"/>
      <c r="CA375" s="505"/>
      <c r="CB375" s="505"/>
      <c r="CC375" s="505"/>
      <c r="CD375" s="505"/>
      <c r="CE375" s="505"/>
      <c r="CF375" s="505"/>
      <c r="CG375" s="505"/>
      <c r="CH375" s="505"/>
      <c r="CI375" s="505"/>
      <c r="CJ375" s="505"/>
      <c r="CK375" s="505"/>
      <c r="CL375" s="505"/>
      <c r="CM375" s="505"/>
      <c r="CN375" s="505"/>
      <c r="CO375" s="505"/>
      <c r="CP375" s="505"/>
      <c r="CQ375" s="505"/>
      <c r="CR375" s="505"/>
      <c r="CS375" s="505"/>
      <c r="CT375" s="505"/>
      <c r="CU375" s="505"/>
      <c r="CV375" s="505"/>
      <c r="CW375" s="505"/>
      <c r="CX375" s="505"/>
      <c r="CY375" s="505"/>
      <c r="CZ375" s="505"/>
      <c r="DA375" s="505"/>
      <c r="DB375" s="505"/>
      <c r="DC375" s="505"/>
      <c r="DD375" s="505"/>
      <c r="DE375" s="505"/>
      <c r="DF375" s="505"/>
      <c r="DG375" s="505"/>
      <c r="DH375" s="505"/>
      <c r="DI375" s="505"/>
      <c r="DJ375" s="505"/>
      <c r="DK375" s="505"/>
      <c r="DL375" s="505"/>
      <c r="DM375" s="505"/>
      <c r="DN375" s="505"/>
      <c r="DO375" s="505"/>
      <c r="DP375" s="505"/>
    </row>
    <row r="376" spans="1:120" hidden="1" outlineLevel="1" x14ac:dyDescent="0.2">
      <c r="A376" s="517">
        <f t="shared" si="55"/>
        <v>39114</v>
      </c>
      <c r="B376" s="517" t="str">
        <f t="shared" si="52"/>
        <v>1Q07</v>
      </c>
      <c r="C376" s="517" t="str">
        <f t="shared" si="56"/>
        <v>2Q07</v>
      </c>
      <c r="D376" s="518">
        <f t="shared" si="57"/>
        <v>39185</v>
      </c>
      <c r="E376" s="518">
        <f t="shared" si="57"/>
        <v>39125</v>
      </c>
      <c r="F376" s="520">
        <v>2.476</v>
      </c>
      <c r="G376" s="521">
        <f t="shared" si="53"/>
        <v>0.27000000000000007</v>
      </c>
      <c r="H376" s="521">
        <f t="shared" si="54"/>
        <v>0.27000000000000007</v>
      </c>
      <c r="I376" s="505"/>
      <c r="J376" s="505"/>
      <c r="K376" s="505"/>
      <c r="L376" s="505"/>
      <c r="M376" s="528"/>
      <c r="N376" s="505"/>
      <c r="O376" s="505"/>
      <c r="P376" s="505"/>
      <c r="Q376" s="505"/>
      <c r="R376" s="505"/>
      <c r="S376" s="505"/>
      <c r="T376" s="505"/>
      <c r="U376" s="505"/>
      <c r="V376" s="505"/>
      <c r="W376" s="505"/>
      <c r="X376" s="505"/>
      <c r="Y376" s="505"/>
      <c r="Z376" s="505"/>
      <c r="AA376" s="505"/>
      <c r="AB376" s="505"/>
      <c r="AC376" s="505"/>
      <c r="AD376" s="505"/>
      <c r="AE376" s="505"/>
      <c r="AF376" s="505"/>
      <c r="AG376" s="505"/>
      <c r="AH376" s="505"/>
      <c r="AI376" s="505"/>
      <c r="AJ376" s="505"/>
      <c r="AK376" s="505"/>
      <c r="AL376" s="505"/>
      <c r="AM376" s="505"/>
      <c r="AN376" s="505"/>
      <c r="AO376" s="505"/>
      <c r="AP376" s="505"/>
      <c r="AQ376" s="505"/>
      <c r="AR376" s="505"/>
      <c r="AS376" s="505"/>
      <c r="AT376" s="505"/>
      <c r="AU376" s="505"/>
      <c r="AV376" s="505"/>
      <c r="AW376" s="505"/>
      <c r="AX376" s="505"/>
      <c r="AY376" s="505"/>
      <c r="AZ376" s="505"/>
      <c r="BA376" s="505"/>
      <c r="BB376" s="505"/>
      <c r="BC376" s="505"/>
      <c r="BD376" s="505"/>
      <c r="BE376" s="505"/>
      <c r="BF376" s="505"/>
      <c r="BG376" s="505"/>
      <c r="BH376" s="505"/>
      <c r="BI376" s="505"/>
      <c r="BJ376" s="505"/>
      <c r="BK376" s="505"/>
      <c r="BL376" s="505"/>
      <c r="BM376" s="505"/>
      <c r="BN376" s="505"/>
      <c r="BO376" s="505"/>
      <c r="BP376" s="505"/>
      <c r="BQ376" s="505"/>
      <c r="BR376" s="505"/>
      <c r="BS376" s="505"/>
      <c r="BT376" s="505"/>
      <c r="BU376" s="505"/>
      <c r="BV376" s="505"/>
      <c r="BW376" s="505"/>
      <c r="BX376" s="505"/>
      <c r="BY376" s="505"/>
      <c r="BZ376" s="505"/>
      <c r="CA376" s="505"/>
      <c r="CB376" s="505"/>
      <c r="CC376" s="505"/>
      <c r="CD376" s="505"/>
      <c r="CE376" s="505"/>
      <c r="CF376" s="505"/>
      <c r="CG376" s="505"/>
      <c r="CH376" s="505"/>
      <c r="CI376" s="505"/>
      <c r="CJ376" s="505"/>
      <c r="CK376" s="505"/>
      <c r="CL376" s="505"/>
      <c r="CM376" s="505"/>
      <c r="CN376" s="505"/>
      <c r="CO376" s="505"/>
      <c r="CP376" s="505"/>
      <c r="CQ376" s="505"/>
      <c r="CR376" s="505"/>
      <c r="CS376" s="505"/>
      <c r="CT376" s="505"/>
      <c r="CU376" s="505"/>
      <c r="CV376" s="505"/>
      <c r="CW376" s="505"/>
      <c r="CX376" s="505"/>
      <c r="CY376" s="505"/>
      <c r="CZ376" s="505"/>
      <c r="DA376" s="505"/>
      <c r="DB376" s="505"/>
      <c r="DC376" s="505"/>
      <c r="DD376" s="505"/>
      <c r="DE376" s="505"/>
      <c r="DF376" s="505"/>
      <c r="DG376" s="505"/>
      <c r="DH376" s="505"/>
      <c r="DI376" s="505"/>
      <c r="DJ376" s="505"/>
      <c r="DK376" s="505"/>
      <c r="DL376" s="505"/>
      <c r="DM376" s="505"/>
      <c r="DN376" s="505"/>
      <c r="DO376" s="505"/>
      <c r="DP376" s="505"/>
    </row>
    <row r="377" spans="1:120" hidden="1" outlineLevel="1" x14ac:dyDescent="0.2">
      <c r="A377" s="517">
        <f t="shared" si="55"/>
        <v>39114</v>
      </c>
      <c r="B377" s="517" t="str">
        <f t="shared" si="52"/>
        <v>1Q07</v>
      </c>
      <c r="C377" s="517" t="str">
        <f t="shared" si="56"/>
        <v>2Q07</v>
      </c>
      <c r="D377" s="518">
        <f t="shared" si="57"/>
        <v>39192</v>
      </c>
      <c r="E377" s="518">
        <f t="shared" si="57"/>
        <v>39132</v>
      </c>
      <c r="F377" s="520">
        <v>2.4910000000000001</v>
      </c>
      <c r="G377" s="521">
        <f t="shared" si="53"/>
        <v>0.27000000000000007</v>
      </c>
      <c r="H377" s="521">
        <f t="shared" si="54"/>
        <v>0.29000000000000009</v>
      </c>
      <c r="I377" s="505"/>
      <c r="J377" s="505"/>
      <c r="K377" s="505"/>
      <c r="L377" s="505"/>
      <c r="M377" s="528"/>
      <c r="N377" s="505"/>
      <c r="O377" s="505"/>
      <c r="P377" s="505"/>
      <c r="Q377" s="505"/>
      <c r="R377" s="505"/>
      <c r="S377" s="505"/>
      <c r="T377" s="505"/>
      <c r="U377" s="505"/>
      <c r="V377" s="505"/>
      <c r="W377" s="505"/>
      <c r="X377" s="505"/>
      <c r="Y377" s="505"/>
      <c r="Z377" s="505"/>
      <c r="AA377" s="505"/>
      <c r="AB377" s="505"/>
      <c r="AC377" s="505"/>
      <c r="AD377" s="505"/>
      <c r="AE377" s="505"/>
      <c r="AF377" s="505"/>
      <c r="AG377" s="505"/>
      <c r="AH377" s="505"/>
      <c r="AI377" s="505"/>
      <c r="AJ377" s="505"/>
      <c r="AK377" s="505"/>
      <c r="AL377" s="505"/>
      <c r="AM377" s="505"/>
      <c r="AN377" s="505"/>
      <c r="AO377" s="505"/>
      <c r="AP377" s="505"/>
      <c r="AQ377" s="505"/>
      <c r="AR377" s="505"/>
      <c r="AS377" s="505"/>
      <c r="AT377" s="505"/>
      <c r="AU377" s="505"/>
      <c r="AV377" s="505"/>
      <c r="AW377" s="505"/>
      <c r="AX377" s="505"/>
      <c r="AY377" s="505"/>
      <c r="AZ377" s="505"/>
      <c r="BA377" s="505"/>
      <c r="BB377" s="505"/>
      <c r="BC377" s="505"/>
      <c r="BD377" s="505"/>
      <c r="BE377" s="505"/>
      <c r="BF377" s="505"/>
      <c r="BG377" s="505"/>
      <c r="BH377" s="505"/>
      <c r="BI377" s="505"/>
      <c r="BJ377" s="505"/>
      <c r="BK377" s="505"/>
      <c r="BL377" s="505"/>
      <c r="BM377" s="505"/>
      <c r="BN377" s="505"/>
      <c r="BO377" s="505"/>
      <c r="BP377" s="505"/>
      <c r="BQ377" s="505"/>
      <c r="BR377" s="505"/>
      <c r="BS377" s="505"/>
      <c r="BT377" s="505"/>
      <c r="BU377" s="505"/>
      <c r="BV377" s="505"/>
      <c r="BW377" s="505"/>
      <c r="BX377" s="505"/>
      <c r="BY377" s="505"/>
      <c r="BZ377" s="505"/>
      <c r="CA377" s="505"/>
      <c r="CB377" s="505"/>
      <c r="CC377" s="505"/>
      <c r="CD377" s="505"/>
      <c r="CE377" s="505"/>
      <c r="CF377" s="505"/>
      <c r="CG377" s="505"/>
      <c r="CH377" s="505"/>
      <c r="CI377" s="505"/>
      <c r="CJ377" s="505"/>
      <c r="CK377" s="505"/>
      <c r="CL377" s="505"/>
      <c r="CM377" s="505"/>
      <c r="CN377" s="505"/>
      <c r="CO377" s="505"/>
      <c r="CP377" s="505"/>
      <c r="CQ377" s="505"/>
      <c r="CR377" s="505"/>
      <c r="CS377" s="505"/>
      <c r="CT377" s="505"/>
      <c r="CU377" s="505"/>
      <c r="CV377" s="505"/>
      <c r="CW377" s="505"/>
      <c r="CX377" s="505"/>
      <c r="CY377" s="505"/>
      <c r="CZ377" s="505"/>
      <c r="DA377" s="505"/>
      <c r="DB377" s="505"/>
      <c r="DC377" s="505"/>
      <c r="DD377" s="505"/>
      <c r="DE377" s="505"/>
      <c r="DF377" s="505"/>
      <c r="DG377" s="505"/>
      <c r="DH377" s="505"/>
      <c r="DI377" s="505"/>
      <c r="DJ377" s="505"/>
      <c r="DK377" s="505"/>
      <c r="DL377" s="505"/>
      <c r="DM377" s="505"/>
      <c r="DN377" s="505"/>
      <c r="DO377" s="505"/>
      <c r="DP377" s="505"/>
    </row>
    <row r="378" spans="1:120" hidden="1" outlineLevel="1" x14ac:dyDescent="0.2">
      <c r="A378" s="517">
        <f t="shared" si="55"/>
        <v>39114</v>
      </c>
      <c r="B378" s="517" t="str">
        <f t="shared" si="52"/>
        <v>1Q07</v>
      </c>
      <c r="C378" s="517" t="str">
        <f t="shared" si="56"/>
        <v>2Q07</v>
      </c>
      <c r="D378" s="518">
        <f t="shared" si="57"/>
        <v>39199</v>
      </c>
      <c r="E378" s="518">
        <f t="shared" si="57"/>
        <v>39139</v>
      </c>
      <c r="F378" s="520">
        <v>2.5510000000000002</v>
      </c>
      <c r="G378" s="521">
        <f t="shared" si="53"/>
        <v>0.29000000000000009</v>
      </c>
      <c r="H378" s="521">
        <f t="shared" si="54"/>
        <v>0.3000000000000001</v>
      </c>
      <c r="I378" s="505"/>
      <c r="J378" s="505"/>
      <c r="K378" s="505"/>
      <c r="L378" s="505"/>
      <c r="M378" s="528"/>
      <c r="N378" s="505"/>
      <c r="O378" s="505"/>
      <c r="P378" s="505"/>
      <c r="Q378" s="505"/>
      <c r="R378" s="505"/>
      <c r="S378" s="505"/>
      <c r="T378" s="505"/>
      <c r="U378" s="505"/>
      <c r="V378" s="505"/>
      <c r="W378" s="505"/>
      <c r="X378" s="505"/>
      <c r="Y378" s="505"/>
      <c r="Z378" s="505"/>
      <c r="AA378" s="505"/>
      <c r="AB378" s="505"/>
      <c r="AC378" s="505"/>
      <c r="AD378" s="505"/>
      <c r="AE378" s="505"/>
      <c r="AF378" s="505"/>
      <c r="AG378" s="505"/>
      <c r="AH378" s="505"/>
      <c r="AI378" s="505"/>
      <c r="AJ378" s="505"/>
      <c r="AK378" s="505"/>
      <c r="AL378" s="505"/>
      <c r="AM378" s="505"/>
      <c r="AN378" s="505"/>
      <c r="AO378" s="505"/>
      <c r="AP378" s="505"/>
      <c r="AQ378" s="505"/>
      <c r="AR378" s="505"/>
      <c r="AS378" s="505"/>
      <c r="AT378" s="505"/>
      <c r="AU378" s="505"/>
      <c r="AV378" s="505"/>
      <c r="AW378" s="505"/>
      <c r="AX378" s="505"/>
      <c r="AY378" s="505"/>
      <c r="AZ378" s="505"/>
      <c r="BA378" s="505"/>
      <c r="BB378" s="505"/>
      <c r="BC378" s="505"/>
      <c r="BD378" s="505"/>
      <c r="BE378" s="505"/>
      <c r="BF378" s="505"/>
      <c r="BG378" s="505"/>
      <c r="BH378" s="505"/>
      <c r="BI378" s="505"/>
      <c r="BJ378" s="505"/>
      <c r="BK378" s="505"/>
      <c r="BL378" s="505"/>
      <c r="BM378" s="505"/>
      <c r="BN378" s="505"/>
      <c r="BO378" s="505"/>
      <c r="BP378" s="505"/>
      <c r="BQ378" s="505"/>
      <c r="BR378" s="505"/>
      <c r="BS378" s="505"/>
      <c r="BT378" s="505"/>
      <c r="BU378" s="505"/>
      <c r="BV378" s="505"/>
      <c r="BW378" s="505"/>
      <c r="BX378" s="505"/>
      <c r="BY378" s="505"/>
      <c r="BZ378" s="505"/>
      <c r="CA378" s="505"/>
      <c r="CB378" s="505"/>
      <c r="CC378" s="505"/>
      <c r="CD378" s="505"/>
      <c r="CE378" s="505"/>
      <c r="CF378" s="505"/>
      <c r="CG378" s="505"/>
      <c r="CH378" s="505"/>
      <c r="CI378" s="505"/>
      <c r="CJ378" s="505"/>
      <c r="CK378" s="505"/>
      <c r="CL378" s="505"/>
      <c r="CM378" s="505"/>
      <c r="CN378" s="505"/>
      <c r="CO378" s="505"/>
      <c r="CP378" s="505"/>
      <c r="CQ378" s="505"/>
      <c r="CR378" s="505"/>
      <c r="CS378" s="505"/>
      <c r="CT378" s="505"/>
      <c r="CU378" s="505"/>
      <c r="CV378" s="505"/>
      <c r="CW378" s="505"/>
      <c r="CX378" s="505"/>
      <c r="CY378" s="505"/>
      <c r="CZ378" s="505"/>
      <c r="DA378" s="505"/>
      <c r="DB378" s="505"/>
      <c r="DC378" s="505"/>
      <c r="DD378" s="505"/>
      <c r="DE378" s="505"/>
      <c r="DF378" s="505"/>
      <c r="DG378" s="505"/>
      <c r="DH378" s="505"/>
      <c r="DI378" s="505"/>
      <c r="DJ378" s="505"/>
      <c r="DK378" s="505"/>
      <c r="DL378" s="505"/>
      <c r="DM378" s="505"/>
      <c r="DN378" s="505"/>
      <c r="DO378" s="505"/>
      <c r="DP378" s="505"/>
    </row>
    <row r="379" spans="1:120" hidden="1" outlineLevel="1" x14ac:dyDescent="0.2">
      <c r="A379" s="517">
        <f t="shared" si="55"/>
        <v>39142</v>
      </c>
      <c r="B379" s="517" t="str">
        <f t="shared" si="52"/>
        <v>1Q07</v>
      </c>
      <c r="C379" s="517" t="str">
        <f t="shared" si="56"/>
        <v>2Q07</v>
      </c>
      <c r="D379" s="518">
        <f t="shared" si="57"/>
        <v>39206</v>
      </c>
      <c r="E379" s="518">
        <f t="shared" si="57"/>
        <v>39146</v>
      </c>
      <c r="F379" s="520">
        <v>2.6259999999999999</v>
      </c>
      <c r="G379" s="521">
        <f t="shared" si="53"/>
        <v>0.3000000000000001</v>
      </c>
      <c r="H379" s="521">
        <f t="shared" si="54"/>
        <v>0.31000000000000011</v>
      </c>
      <c r="I379" s="505"/>
      <c r="J379" s="505"/>
      <c r="K379" s="505"/>
      <c r="L379" s="505"/>
      <c r="M379" s="528"/>
      <c r="N379" s="505"/>
      <c r="O379" s="505"/>
      <c r="P379" s="505"/>
      <c r="Q379" s="505"/>
      <c r="R379" s="505"/>
      <c r="S379" s="505"/>
      <c r="T379" s="505"/>
      <c r="U379" s="505"/>
      <c r="V379" s="505"/>
      <c r="W379" s="505"/>
      <c r="X379" s="505"/>
      <c r="Y379" s="505"/>
      <c r="Z379" s="505"/>
      <c r="AA379" s="505"/>
      <c r="AB379" s="505"/>
      <c r="AC379" s="505"/>
      <c r="AD379" s="505"/>
      <c r="AE379" s="505"/>
      <c r="AF379" s="505"/>
      <c r="AG379" s="505"/>
      <c r="AH379" s="505"/>
      <c r="AI379" s="505"/>
      <c r="AJ379" s="505"/>
      <c r="AK379" s="505"/>
      <c r="AL379" s="505"/>
      <c r="AM379" s="505"/>
      <c r="AN379" s="505"/>
      <c r="AO379" s="505"/>
      <c r="AP379" s="505"/>
      <c r="AQ379" s="505"/>
      <c r="AR379" s="505"/>
      <c r="AS379" s="505"/>
      <c r="AT379" s="505"/>
      <c r="AU379" s="505"/>
      <c r="AV379" s="505"/>
      <c r="AW379" s="505"/>
      <c r="AX379" s="505"/>
      <c r="AY379" s="505"/>
      <c r="AZ379" s="505"/>
      <c r="BA379" s="505"/>
      <c r="BB379" s="505"/>
      <c r="BC379" s="505"/>
      <c r="BD379" s="505"/>
      <c r="BE379" s="505"/>
      <c r="BF379" s="505"/>
      <c r="BG379" s="505"/>
      <c r="BH379" s="505"/>
      <c r="BI379" s="505"/>
      <c r="BJ379" s="505"/>
      <c r="BK379" s="505"/>
      <c r="BL379" s="505"/>
      <c r="BM379" s="505"/>
      <c r="BN379" s="505"/>
      <c r="BO379" s="505"/>
      <c r="BP379" s="505"/>
      <c r="BQ379" s="505"/>
      <c r="BR379" s="505"/>
      <c r="BS379" s="505"/>
      <c r="BT379" s="505"/>
      <c r="BU379" s="505"/>
      <c r="BV379" s="505"/>
      <c r="BW379" s="505"/>
      <c r="BX379" s="505"/>
      <c r="BY379" s="505"/>
      <c r="BZ379" s="505"/>
      <c r="CA379" s="505"/>
      <c r="CB379" s="505"/>
      <c r="CC379" s="505"/>
      <c r="CD379" s="505"/>
      <c r="CE379" s="505"/>
      <c r="CF379" s="505"/>
      <c r="CG379" s="505"/>
      <c r="CH379" s="505"/>
      <c r="CI379" s="505"/>
      <c r="CJ379" s="505"/>
      <c r="CK379" s="505"/>
      <c r="CL379" s="505"/>
      <c r="CM379" s="505"/>
      <c r="CN379" s="505"/>
      <c r="CO379" s="505"/>
      <c r="CP379" s="505"/>
      <c r="CQ379" s="505"/>
      <c r="CR379" s="505"/>
      <c r="CS379" s="505"/>
      <c r="CT379" s="505"/>
      <c r="CU379" s="505"/>
      <c r="CV379" s="505"/>
      <c r="CW379" s="505"/>
      <c r="CX379" s="505"/>
      <c r="CY379" s="505"/>
      <c r="CZ379" s="505"/>
      <c r="DA379" s="505"/>
      <c r="DB379" s="505"/>
      <c r="DC379" s="505"/>
      <c r="DD379" s="505"/>
      <c r="DE379" s="505"/>
      <c r="DF379" s="505"/>
      <c r="DG379" s="505"/>
      <c r="DH379" s="505"/>
      <c r="DI379" s="505"/>
      <c r="DJ379" s="505"/>
      <c r="DK379" s="505"/>
      <c r="DL379" s="505"/>
      <c r="DM379" s="505"/>
      <c r="DN379" s="505"/>
      <c r="DO379" s="505"/>
      <c r="DP379" s="505"/>
    </row>
    <row r="380" spans="1:120" hidden="1" outlineLevel="1" x14ac:dyDescent="0.2">
      <c r="A380" s="517">
        <f t="shared" si="55"/>
        <v>39142</v>
      </c>
      <c r="B380" s="517" t="str">
        <f t="shared" si="52"/>
        <v>1Q07</v>
      </c>
      <c r="C380" s="517" t="str">
        <f t="shared" si="56"/>
        <v>2Q07</v>
      </c>
      <c r="D380" s="518">
        <f t="shared" si="57"/>
        <v>39213</v>
      </c>
      <c r="E380" s="518">
        <f t="shared" si="57"/>
        <v>39153</v>
      </c>
      <c r="F380" s="520">
        <v>2.6850000000000001</v>
      </c>
      <c r="G380" s="521">
        <f t="shared" si="53"/>
        <v>0.31000000000000011</v>
      </c>
      <c r="H380" s="521">
        <f t="shared" si="54"/>
        <v>0.31000000000000011</v>
      </c>
      <c r="I380" s="505"/>
      <c r="J380" s="505"/>
      <c r="K380" s="505"/>
      <c r="L380" s="505"/>
      <c r="M380" s="528"/>
      <c r="N380" s="505"/>
      <c r="O380" s="505"/>
      <c r="P380" s="505"/>
      <c r="Q380" s="505"/>
      <c r="R380" s="505"/>
      <c r="S380" s="505"/>
      <c r="T380" s="505"/>
      <c r="U380" s="505"/>
      <c r="V380" s="505"/>
      <c r="W380" s="505"/>
      <c r="X380" s="505"/>
      <c r="Y380" s="505"/>
      <c r="Z380" s="505"/>
      <c r="AA380" s="505"/>
      <c r="AB380" s="505"/>
      <c r="AC380" s="505"/>
      <c r="AD380" s="505"/>
      <c r="AE380" s="505"/>
      <c r="AF380" s="505"/>
      <c r="AG380" s="505"/>
      <c r="AH380" s="505"/>
      <c r="AI380" s="505"/>
      <c r="AJ380" s="505"/>
      <c r="AK380" s="505"/>
      <c r="AL380" s="505"/>
      <c r="AM380" s="505"/>
      <c r="AN380" s="505"/>
      <c r="AO380" s="505"/>
      <c r="AP380" s="505"/>
      <c r="AQ380" s="505"/>
      <c r="AR380" s="505"/>
      <c r="AS380" s="505"/>
      <c r="AT380" s="505"/>
      <c r="AU380" s="505"/>
      <c r="AV380" s="505"/>
      <c r="AW380" s="505"/>
      <c r="AX380" s="505"/>
      <c r="AY380" s="505"/>
      <c r="AZ380" s="505"/>
      <c r="BA380" s="505"/>
      <c r="BB380" s="505"/>
      <c r="BC380" s="505"/>
      <c r="BD380" s="505"/>
      <c r="BE380" s="505"/>
      <c r="BF380" s="505"/>
      <c r="BG380" s="505"/>
      <c r="BH380" s="505"/>
      <c r="BI380" s="505"/>
      <c r="BJ380" s="505"/>
      <c r="BK380" s="505"/>
      <c r="BL380" s="505"/>
      <c r="BM380" s="505"/>
      <c r="BN380" s="505"/>
      <c r="BO380" s="505"/>
      <c r="BP380" s="505"/>
      <c r="BQ380" s="505"/>
      <c r="BR380" s="505"/>
      <c r="BS380" s="505"/>
      <c r="BT380" s="505"/>
      <c r="BU380" s="505"/>
      <c r="BV380" s="505"/>
      <c r="BW380" s="505"/>
      <c r="BX380" s="505"/>
      <c r="BY380" s="505"/>
      <c r="BZ380" s="505"/>
      <c r="CA380" s="505"/>
      <c r="CB380" s="505"/>
      <c r="CC380" s="505"/>
      <c r="CD380" s="505"/>
      <c r="CE380" s="505"/>
      <c r="CF380" s="505"/>
      <c r="CG380" s="505"/>
      <c r="CH380" s="505"/>
      <c r="CI380" s="505"/>
      <c r="CJ380" s="505"/>
      <c r="CK380" s="505"/>
      <c r="CL380" s="505"/>
      <c r="CM380" s="505"/>
      <c r="CN380" s="505"/>
      <c r="CO380" s="505"/>
      <c r="CP380" s="505"/>
      <c r="CQ380" s="505"/>
      <c r="CR380" s="505"/>
      <c r="CS380" s="505"/>
      <c r="CT380" s="505"/>
      <c r="CU380" s="505"/>
      <c r="CV380" s="505"/>
      <c r="CW380" s="505"/>
      <c r="CX380" s="505"/>
      <c r="CY380" s="505"/>
      <c r="CZ380" s="505"/>
      <c r="DA380" s="505"/>
      <c r="DB380" s="505"/>
      <c r="DC380" s="505"/>
      <c r="DD380" s="505"/>
      <c r="DE380" s="505"/>
      <c r="DF380" s="505"/>
      <c r="DG380" s="505"/>
      <c r="DH380" s="505"/>
      <c r="DI380" s="505"/>
      <c r="DJ380" s="505"/>
      <c r="DK380" s="505"/>
      <c r="DL380" s="505"/>
      <c r="DM380" s="505"/>
      <c r="DN380" s="505"/>
      <c r="DO380" s="505"/>
      <c r="DP380" s="505"/>
    </row>
    <row r="381" spans="1:120" hidden="1" outlineLevel="1" x14ac:dyDescent="0.2">
      <c r="A381" s="517">
        <f t="shared" si="55"/>
        <v>39142</v>
      </c>
      <c r="B381" s="517" t="str">
        <f t="shared" si="52"/>
        <v>1Q07</v>
      </c>
      <c r="C381" s="517" t="str">
        <f t="shared" si="56"/>
        <v>2Q07</v>
      </c>
      <c r="D381" s="518">
        <f t="shared" si="57"/>
        <v>39220</v>
      </c>
      <c r="E381" s="518">
        <f t="shared" si="57"/>
        <v>39160</v>
      </c>
      <c r="F381" s="520">
        <v>2.681</v>
      </c>
      <c r="G381" s="521">
        <f t="shared" si="53"/>
        <v>0.31000000000000011</v>
      </c>
      <c r="H381" s="521">
        <f t="shared" si="54"/>
        <v>0.31000000000000011</v>
      </c>
      <c r="I381" s="505"/>
      <c r="J381" s="505"/>
      <c r="K381" s="505"/>
      <c r="L381" s="505"/>
      <c r="M381" s="528"/>
      <c r="N381" s="505"/>
      <c r="O381" s="505"/>
      <c r="P381" s="505"/>
      <c r="Q381" s="505"/>
      <c r="R381" s="505"/>
      <c r="S381" s="505"/>
      <c r="T381" s="505"/>
      <c r="U381" s="505"/>
      <c r="V381" s="505"/>
      <c r="W381" s="505"/>
      <c r="X381" s="505"/>
      <c r="Y381" s="505"/>
      <c r="Z381" s="505"/>
      <c r="AA381" s="505"/>
      <c r="AB381" s="505"/>
      <c r="AC381" s="505"/>
      <c r="AD381" s="505"/>
      <c r="AE381" s="505"/>
      <c r="AF381" s="505"/>
      <c r="AG381" s="505"/>
      <c r="AH381" s="505"/>
      <c r="AI381" s="505"/>
      <c r="AJ381" s="505"/>
      <c r="AK381" s="505"/>
      <c r="AL381" s="505"/>
      <c r="AM381" s="505"/>
      <c r="AN381" s="505"/>
      <c r="AO381" s="505"/>
      <c r="AP381" s="505"/>
      <c r="AQ381" s="505"/>
      <c r="AR381" s="505"/>
      <c r="AS381" s="505"/>
      <c r="AT381" s="505"/>
      <c r="AU381" s="505"/>
      <c r="AV381" s="505"/>
      <c r="AW381" s="505"/>
      <c r="AX381" s="505"/>
      <c r="AY381" s="505"/>
      <c r="AZ381" s="505"/>
      <c r="BA381" s="505"/>
      <c r="BB381" s="505"/>
      <c r="BC381" s="505"/>
      <c r="BD381" s="505"/>
      <c r="BE381" s="505"/>
      <c r="BF381" s="505"/>
      <c r="BG381" s="505"/>
      <c r="BH381" s="505"/>
      <c r="BI381" s="505"/>
      <c r="BJ381" s="505"/>
      <c r="BK381" s="505"/>
      <c r="BL381" s="505"/>
      <c r="BM381" s="505"/>
      <c r="BN381" s="505"/>
      <c r="BO381" s="505"/>
      <c r="BP381" s="505"/>
      <c r="BQ381" s="505"/>
      <c r="BR381" s="505"/>
      <c r="BS381" s="505"/>
      <c r="BT381" s="505"/>
      <c r="BU381" s="505"/>
      <c r="BV381" s="505"/>
      <c r="BW381" s="505"/>
      <c r="BX381" s="505"/>
      <c r="BY381" s="505"/>
      <c r="BZ381" s="505"/>
      <c r="CA381" s="505"/>
      <c r="CB381" s="505"/>
      <c r="CC381" s="505"/>
      <c r="CD381" s="505"/>
      <c r="CE381" s="505"/>
      <c r="CF381" s="505"/>
      <c r="CG381" s="505"/>
      <c r="CH381" s="505"/>
      <c r="CI381" s="505"/>
      <c r="CJ381" s="505"/>
      <c r="CK381" s="505"/>
      <c r="CL381" s="505"/>
      <c r="CM381" s="505"/>
      <c r="CN381" s="505"/>
      <c r="CO381" s="505"/>
      <c r="CP381" s="505"/>
      <c r="CQ381" s="505"/>
      <c r="CR381" s="505"/>
      <c r="CS381" s="505"/>
      <c r="CT381" s="505"/>
      <c r="CU381" s="505"/>
      <c r="CV381" s="505"/>
      <c r="CW381" s="505"/>
      <c r="CX381" s="505"/>
      <c r="CY381" s="505"/>
      <c r="CZ381" s="505"/>
      <c r="DA381" s="505"/>
      <c r="DB381" s="505"/>
      <c r="DC381" s="505"/>
      <c r="DD381" s="505"/>
      <c r="DE381" s="505"/>
      <c r="DF381" s="505"/>
      <c r="DG381" s="505"/>
      <c r="DH381" s="505"/>
      <c r="DI381" s="505"/>
      <c r="DJ381" s="505"/>
      <c r="DK381" s="505"/>
      <c r="DL381" s="505"/>
      <c r="DM381" s="505"/>
      <c r="DN381" s="505"/>
      <c r="DO381" s="505"/>
      <c r="DP381" s="505"/>
    </row>
    <row r="382" spans="1:120" hidden="1" outlineLevel="1" x14ac:dyDescent="0.2">
      <c r="A382" s="517">
        <f t="shared" si="55"/>
        <v>39142</v>
      </c>
      <c r="B382" s="517" t="str">
        <f t="shared" si="52"/>
        <v>1Q07</v>
      </c>
      <c r="C382" s="517" t="str">
        <f t="shared" si="56"/>
        <v>2Q07</v>
      </c>
      <c r="D382" s="518">
        <f t="shared" si="57"/>
        <v>39227</v>
      </c>
      <c r="E382" s="518">
        <f t="shared" si="57"/>
        <v>39167</v>
      </c>
      <c r="F382" s="520">
        <v>2.6760000000000002</v>
      </c>
      <c r="G382" s="521">
        <f t="shared" si="53"/>
        <v>0.31000000000000011</v>
      </c>
      <c r="H382" s="521">
        <f t="shared" si="54"/>
        <v>0.33000000000000013</v>
      </c>
      <c r="I382" s="505"/>
      <c r="J382" s="505"/>
      <c r="K382" s="505"/>
      <c r="L382" s="505"/>
      <c r="M382" s="528"/>
      <c r="N382" s="505"/>
      <c r="O382" s="505"/>
      <c r="P382" s="505"/>
      <c r="Q382" s="505"/>
      <c r="R382" s="505"/>
      <c r="S382" s="505"/>
      <c r="T382" s="505"/>
      <c r="U382" s="505"/>
      <c r="V382" s="505"/>
      <c r="W382" s="505"/>
      <c r="X382" s="505"/>
      <c r="Y382" s="505"/>
      <c r="Z382" s="505"/>
      <c r="AA382" s="505"/>
      <c r="AB382" s="505"/>
      <c r="AC382" s="505"/>
      <c r="AD382" s="505"/>
      <c r="AE382" s="505"/>
      <c r="AF382" s="505"/>
      <c r="AG382" s="505"/>
      <c r="AH382" s="505"/>
      <c r="AI382" s="505"/>
      <c r="AJ382" s="505"/>
      <c r="AK382" s="505"/>
      <c r="AL382" s="505"/>
      <c r="AM382" s="505"/>
      <c r="AN382" s="505"/>
      <c r="AO382" s="505"/>
      <c r="AP382" s="505"/>
      <c r="AQ382" s="505"/>
      <c r="AR382" s="505"/>
      <c r="AS382" s="505"/>
      <c r="AT382" s="505"/>
      <c r="AU382" s="505"/>
      <c r="AV382" s="505"/>
      <c r="AW382" s="505"/>
      <c r="AX382" s="505"/>
      <c r="AY382" s="505"/>
      <c r="AZ382" s="505"/>
      <c r="BA382" s="505"/>
      <c r="BB382" s="505"/>
      <c r="BC382" s="505"/>
      <c r="BD382" s="505"/>
      <c r="BE382" s="505"/>
      <c r="BF382" s="505"/>
      <c r="BG382" s="505"/>
      <c r="BH382" s="505"/>
      <c r="BI382" s="505"/>
      <c r="BJ382" s="505"/>
      <c r="BK382" s="505"/>
      <c r="BL382" s="505"/>
      <c r="BM382" s="505"/>
      <c r="BN382" s="505"/>
      <c r="BO382" s="505"/>
      <c r="BP382" s="505"/>
      <c r="BQ382" s="505"/>
      <c r="BR382" s="505"/>
      <c r="BS382" s="505"/>
      <c r="BT382" s="505"/>
      <c r="BU382" s="505"/>
      <c r="BV382" s="505"/>
      <c r="BW382" s="505"/>
      <c r="BX382" s="505"/>
      <c r="BY382" s="505"/>
      <c r="BZ382" s="505"/>
      <c r="CA382" s="505"/>
      <c r="CB382" s="505"/>
      <c r="CC382" s="505"/>
      <c r="CD382" s="505"/>
      <c r="CE382" s="505"/>
      <c r="CF382" s="505"/>
      <c r="CG382" s="505"/>
      <c r="CH382" s="505"/>
      <c r="CI382" s="505"/>
      <c r="CJ382" s="505"/>
      <c r="CK382" s="505"/>
      <c r="CL382" s="505"/>
      <c r="CM382" s="505"/>
      <c r="CN382" s="505"/>
      <c r="CO382" s="505"/>
      <c r="CP382" s="505"/>
      <c r="CQ382" s="505"/>
      <c r="CR382" s="505"/>
      <c r="CS382" s="505"/>
      <c r="CT382" s="505"/>
      <c r="CU382" s="505"/>
      <c r="CV382" s="505"/>
      <c r="CW382" s="505"/>
      <c r="CX382" s="505"/>
      <c r="CY382" s="505"/>
      <c r="CZ382" s="505"/>
      <c r="DA382" s="505"/>
      <c r="DB382" s="505"/>
      <c r="DC382" s="505"/>
      <c r="DD382" s="505"/>
      <c r="DE382" s="505"/>
      <c r="DF382" s="505"/>
      <c r="DG382" s="505"/>
      <c r="DH382" s="505"/>
      <c r="DI382" s="505"/>
      <c r="DJ382" s="505"/>
      <c r="DK382" s="505"/>
      <c r="DL382" s="505"/>
      <c r="DM382" s="505"/>
      <c r="DN382" s="505"/>
      <c r="DO382" s="505"/>
      <c r="DP382" s="505"/>
    </row>
    <row r="383" spans="1:120" hidden="1" outlineLevel="1" x14ac:dyDescent="0.2">
      <c r="A383" s="517">
        <f t="shared" si="55"/>
        <v>39173</v>
      </c>
      <c r="B383" s="517" t="str">
        <f t="shared" si="52"/>
        <v>2Q07</v>
      </c>
      <c r="C383" s="517" t="str">
        <f t="shared" si="56"/>
        <v>2Q07</v>
      </c>
      <c r="D383" s="518">
        <f t="shared" si="57"/>
        <v>39234</v>
      </c>
      <c r="E383" s="518">
        <f t="shared" si="57"/>
        <v>39174</v>
      </c>
      <c r="F383" s="520">
        <v>2.79</v>
      </c>
      <c r="G383" s="521">
        <f t="shared" si="53"/>
        <v>0.33000000000000013</v>
      </c>
      <c r="H383" s="521">
        <f t="shared" si="54"/>
        <v>0.34000000000000014</v>
      </c>
      <c r="I383" s="505"/>
      <c r="J383" s="505"/>
      <c r="K383" s="505"/>
      <c r="L383" s="505"/>
      <c r="M383" s="528"/>
      <c r="N383" s="505"/>
      <c r="O383" s="505"/>
      <c r="P383" s="505"/>
      <c r="Q383" s="505"/>
      <c r="R383" s="505"/>
      <c r="S383" s="505"/>
      <c r="T383" s="505"/>
      <c r="U383" s="505"/>
      <c r="V383" s="505"/>
      <c r="W383" s="505"/>
      <c r="X383" s="505"/>
      <c r="Y383" s="505"/>
      <c r="Z383" s="505"/>
      <c r="AA383" s="505"/>
      <c r="AB383" s="505"/>
      <c r="AC383" s="505"/>
      <c r="AD383" s="505"/>
      <c r="AE383" s="505"/>
      <c r="AF383" s="505"/>
      <c r="AG383" s="505"/>
      <c r="AH383" s="505"/>
      <c r="AI383" s="505"/>
      <c r="AJ383" s="505"/>
      <c r="AK383" s="505"/>
      <c r="AL383" s="505"/>
      <c r="AM383" s="505"/>
      <c r="AN383" s="505"/>
      <c r="AO383" s="505"/>
      <c r="AP383" s="505"/>
      <c r="AQ383" s="505"/>
      <c r="AR383" s="505"/>
      <c r="AS383" s="505"/>
      <c r="AT383" s="505"/>
      <c r="AU383" s="505"/>
      <c r="AV383" s="505"/>
      <c r="AW383" s="505"/>
      <c r="AX383" s="505"/>
      <c r="AY383" s="505"/>
      <c r="AZ383" s="505"/>
      <c r="BA383" s="505"/>
      <c r="BB383" s="505"/>
      <c r="BC383" s="505"/>
      <c r="BD383" s="505"/>
      <c r="BE383" s="505"/>
      <c r="BF383" s="505"/>
      <c r="BG383" s="505"/>
      <c r="BH383" s="505"/>
      <c r="BI383" s="505"/>
      <c r="BJ383" s="505"/>
      <c r="BK383" s="505"/>
      <c r="BL383" s="505"/>
      <c r="BM383" s="505"/>
      <c r="BN383" s="505"/>
      <c r="BO383" s="505"/>
      <c r="BP383" s="505"/>
      <c r="BQ383" s="505"/>
      <c r="BR383" s="505"/>
      <c r="BS383" s="505"/>
      <c r="BT383" s="505"/>
      <c r="BU383" s="505"/>
      <c r="BV383" s="505"/>
      <c r="BW383" s="505"/>
      <c r="BX383" s="505"/>
      <c r="BY383" s="505"/>
      <c r="BZ383" s="505"/>
      <c r="CA383" s="505"/>
      <c r="CB383" s="505"/>
      <c r="CC383" s="505"/>
      <c r="CD383" s="505"/>
      <c r="CE383" s="505"/>
      <c r="CF383" s="505"/>
      <c r="CG383" s="505"/>
      <c r="CH383" s="505"/>
      <c r="CI383" s="505"/>
      <c r="CJ383" s="505"/>
      <c r="CK383" s="505"/>
      <c r="CL383" s="505"/>
      <c r="CM383" s="505"/>
      <c r="CN383" s="505"/>
      <c r="CO383" s="505"/>
      <c r="CP383" s="505"/>
      <c r="CQ383" s="505"/>
      <c r="CR383" s="505"/>
      <c r="CS383" s="505"/>
      <c r="CT383" s="505"/>
      <c r="CU383" s="505"/>
      <c r="CV383" s="505"/>
      <c r="CW383" s="505"/>
      <c r="CX383" s="505"/>
      <c r="CY383" s="505"/>
      <c r="CZ383" s="505"/>
      <c r="DA383" s="505"/>
      <c r="DB383" s="505"/>
      <c r="DC383" s="505"/>
      <c r="DD383" s="505"/>
      <c r="DE383" s="505"/>
      <c r="DF383" s="505"/>
      <c r="DG383" s="505"/>
      <c r="DH383" s="505"/>
      <c r="DI383" s="505"/>
      <c r="DJ383" s="505"/>
      <c r="DK383" s="505"/>
      <c r="DL383" s="505"/>
      <c r="DM383" s="505"/>
      <c r="DN383" s="505"/>
      <c r="DO383" s="505"/>
      <c r="DP383" s="505"/>
    </row>
    <row r="384" spans="1:120" hidden="1" outlineLevel="1" x14ac:dyDescent="0.2">
      <c r="A384" s="517">
        <f t="shared" si="55"/>
        <v>39173</v>
      </c>
      <c r="B384" s="517" t="str">
        <f t="shared" si="52"/>
        <v>2Q07</v>
      </c>
      <c r="C384" s="517" t="str">
        <f t="shared" si="56"/>
        <v>2Q07</v>
      </c>
      <c r="D384" s="518">
        <f t="shared" si="57"/>
        <v>39241</v>
      </c>
      <c r="E384" s="518">
        <f t="shared" si="57"/>
        <v>39181</v>
      </c>
      <c r="F384" s="520">
        <v>2.84</v>
      </c>
      <c r="G384" s="521">
        <f t="shared" si="53"/>
        <v>0.34000000000000014</v>
      </c>
      <c r="H384" s="521">
        <f t="shared" si="54"/>
        <v>0.35000000000000014</v>
      </c>
      <c r="I384" s="505"/>
      <c r="J384" s="505"/>
      <c r="K384" s="505"/>
      <c r="L384" s="505"/>
      <c r="M384" s="528"/>
      <c r="N384" s="505"/>
      <c r="O384" s="505"/>
      <c r="P384" s="505"/>
      <c r="Q384" s="505"/>
      <c r="R384" s="505"/>
      <c r="S384" s="505"/>
      <c r="T384" s="505"/>
      <c r="U384" s="505"/>
      <c r="V384" s="505"/>
      <c r="W384" s="505"/>
      <c r="X384" s="505"/>
      <c r="Y384" s="505"/>
      <c r="Z384" s="505"/>
      <c r="AA384" s="505"/>
      <c r="AB384" s="505"/>
      <c r="AC384" s="505"/>
      <c r="AD384" s="505"/>
      <c r="AE384" s="505"/>
      <c r="AF384" s="505"/>
      <c r="AG384" s="505"/>
      <c r="AH384" s="505"/>
      <c r="AI384" s="505"/>
      <c r="AJ384" s="505"/>
      <c r="AK384" s="505"/>
      <c r="AL384" s="505"/>
      <c r="AM384" s="505"/>
      <c r="AN384" s="505"/>
      <c r="AO384" s="505"/>
      <c r="AP384" s="505"/>
      <c r="AQ384" s="505"/>
      <c r="AR384" s="505"/>
      <c r="AS384" s="505"/>
      <c r="AT384" s="505"/>
      <c r="AU384" s="505"/>
      <c r="AV384" s="505"/>
      <c r="AW384" s="505"/>
      <c r="AX384" s="505"/>
      <c r="AY384" s="505"/>
      <c r="AZ384" s="505"/>
      <c r="BA384" s="505"/>
      <c r="BB384" s="505"/>
      <c r="BC384" s="505"/>
      <c r="BD384" s="505"/>
      <c r="BE384" s="505"/>
      <c r="BF384" s="505"/>
      <c r="BG384" s="505"/>
      <c r="BH384" s="505"/>
      <c r="BI384" s="505"/>
      <c r="BJ384" s="505"/>
      <c r="BK384" s="505"/>
      <c r="BL384" s="505"/>
      <c r="BM384" s="505"/>
      <c r="BN384" s="505"/>
      <c r="BO384" s="505"/>
      <c r="BP384" s="505"/>
      <c r="BQ384" s="505"/>
      <c r="BR384" s="505"/>
      <c r="BS384" s="505"/>
      <c r="BT384" s="505"/>
      <c r="BU384" s="505"/>
      <c r="BV384" s="505"/>
      <c r="BW384" s="505"/>
      <c r="BX384" s="505"/>
      <c r="BY384" s="505"/>
      <c r="BZ384" s="505"/>
      <c r="CA384" s="505"/>
      <c r="CB384" s="505"/>
      <c r="CC384" s="505"/>
      <c r="CD384" s="505"/>
      <c r="CE384" s="505"/>
      <c r="CF384" s="505"/>
      <c r="CG384" s="505"/>
      <c r="CH384" s="505"/>
      <c r="CI384" s="505"/>
      <c r="CJ384" s="505"/>
      <c r="CK384" s="505"/>
      <c r="CL384" s="505"/>
      <c r="CM384" s="505"/>
      <c r="CN384" s="505"/>
      <c r="CO384" s="505"/>
      <c r="CP384" s="505"/>
      <c r="CQ384" s="505"/>
      <c r="CR384" s="505"/>
      <c r="CS384" s="505"/>
      <c r="CT384" s="505"/>
      <c r="CU384" s="505"/>
      <c r="CV384" s="505"/>
      <c r="CW384" s="505"/>
      <c r="CX384" s="505"/>
      <c r="CY384" s="505"/>
      <c r="CZ384" s="505"/>
      <c r="DA384" s="505"/>
      <c r="DB384" s="505"/>
      <c r="DC384" s="505"/>
      <c r="DD384" s="505"/>
      <c r="DE384" s="505"/>
      <c r="DF384" s="505"/>
      <c r="DG384" s="505"/>
      <c r="DH384" s="505"/>
      <c r="DI384" s="505"/>
      <c r="DJ384" s="505"/>
      <c r="DK384" s="505"/>
      <c r="DL384" s="505"/>
      <c r="DM384" s="505"/>
      <c r="DN384" s="505"/>
      <c r="DO384" s="505"/>
      <c r="DP384" s="505"/>
    </row>
    <row r="385" spans="1:120" hidden="1" outlineLevel="1" x14ac:dyDescent="0.2">
      <c r="A385" s="517">
        <f t="shared" si="55"/>
        <v>39173</v>
      </c>
      <c r="B385" s="517" t="str">
        <f t="shared" si="52"/>
        <v>2Q07</v>
      </c>
      <c r="C385" s="517" t="str">
        <f t="shared" si="56"/>
        <v>2Q07</v>
      </c>
      <c r="D385" s="518">
        <f t="shared" si="57"/>
        <v>39248</v>
      </c>
      <c r="E385" s="518">
        <f t="shared" si="57"/>
        <v>39188</v>
      </c>
      <c r="F385" s="520">
        <v>2.8769999999999998</v>
      </c>
      <c r="G385" s="521">
        <f t="shared" si="53"/>
        <v>0.35000000000000014</v>
      </c>
      <c r="H385" s="521">
        <f t="shared" si="54"/>
        <v>0.35000000000000014</v>
      </c>
      <c r="I385" s="505"/>
      <c r="J385" s="505"/>
      <c r="K385" s="505"/>
      <c r="L385" s="505"/>
      <c r="M385" s="528"/>
      <c r="N385" s="505"/>
      <c r="O385" s="505"/>
      <c r="P385" s="505"/>
      <c r="Q385" s="505"/>
      <c r="R385" s="505"/>
      <c r="S385" s="505"/>
      <c r="T385" s="505"/>
      <c r="U385" s="505"/>
      <c r="V385" s="505"/>
      <c r="W385" s="505"/>
      <c r="X385" s="505"/>
      <c r="Y385" s="505"/>
      <c r="Z385" s="505"/>
      <c r="AA385" s="505"/>
      <c r="AB385" s="505"/>
      <c r="AC385" s="505"/>
      <c r="AD385" s="505"/>
      <c r="AE385" s="505"/>
      <c r="AF385" s="505"/>
      <c r="AG385" s="505"/>
      <c r="AH385" s="505"/>
      <c r="AI385" s="505"/>
      <c r="AJ385" s="505"/>
      <c r="AK385" s="505"/>
      <c r="AL385" s="505"/>
      <c r="AM385" s="505"/>
      <c r="AN385" s="505"/>
      <c r="AO385" s="505"/>
      <c r="AP385" s="505"/>
      <c r="AQ385" s="505"/>
      <c r="AR385" s="505"/>
      <c r="AS385" s="505"/>
      <c r="AT385" s="505"/>
      <c r="AU385" s="505"/>
      <c r="AV385" s="505"/>
      <c r="AW385" s="505"/>
      <c r="AX385" s="505"/>
      <c r="AY385" s="505"/>
      <c r="AZ385" s="505"/>
      <c r="BA385" s="505"/>
      <c r="BB385" s="505"/>
      <c r="BC385" s="505"/>
      <c r="BD385" s="505"/>
      <c r="BE385" s="505"/>
      <c r="BF385" s="505"/>
      <c r="BG385" s="505"/>
      <c r="BH385" s="505"/>
      <c r="BI385" s="505"/>
      <c r="BJ385" s="505"/>
      <c r="BK385" s="505"/>
      <c r="BL385" s="505"/>
      <c r="BM385" s="505"/>
      <c r="BN385" s="505"/>
      <c r="BO385" s="505"/>
      <c r="BP385" s="505"/>
      <c r="BQ385" s="505"/>
      <c r="BR385" s="505"/>
      <c r="BS385" s="505"/>
      <c r="BT385" s="505"/>
      <c r="BU385" s="505"/>
      <c r="BV385" s="505"/>
      <c r="BW385" s="505"/>
      <c r="BX385" s="505"/>
      <c r="BY385" s="505"/>
      <c r="BZ385" s="505"/>
      <c r="CA385" s="505"/>
      <c r="CB385" s="505"/>
      <c r="CC385" s="505"/>
      <c r="CD385" s="505"/>
      <c r="CE385" s="505"/>
      <c r="CF385" s="505"/>
      <c r="CG385" s="505"/>
      <c r="CH385" s="505"/>
      <c r="CI385" s="505"/>
      <c r="CJ385" s="505"/>
      <c r="CK385" s="505"/>
      <c r="CL385" s="505"/>
      <c r="CM385" s="505"/>
      <c r="CN385" s="505"/>
      <c r="CO385" s="505"/>
      <c r="CP385" s="505"/>
      <c r="CQ385" s="505"/>
      <c r="CR385" s="505"/>
      <c r="CS385" s="505"/>
      <c r="CT385" s="505"/>
      <c r="CU385" s="505"/>
      <c r="CV385" s="505"/>
      <c r="CW385" s="505"/>
      <c r="CX385" s="505"/>
      <c r="CY385" s="505"/>
      <c r="CZ385" s="505"/>
      <c r="DA385" s="505"/>
      <c r="DB385" s="505"/>
      <c r="DC385" s="505"/>
      <c r="DD385" s="505"/>
      <c r="DE385" s="505"/>
      <c r="DF385" s="505"/>
      <c r="DG385" s="505"/>
      <c r="DH385" s="505"/>
      <c r="DI385" s="505"/>
      <c r="DJ385" s="505"/>
      <c r="DK385" s="505"/>
      <c r="DL385" s="505"/>
      <c r="DM385" s="505"/>
      <c r="DN385" s="505"/>
      <c r="DO385" s="505"/>
      <c r="DP385" s="505"/>
    </row>
    <row r="386" spans="1:120" hidden="1" outlineLevel="1" x14ac:dyDescent="0.2">
      <c r="A386" s="517">
        <f t="shared" si="55"/>
        <v>39173</v>
      </c>
      <c r="B386" s="517" t="str">
        <f t="shared" si="52"/>
        <v>2Q07</v>
      </c>
      <c r="C386" s="517" t="str">
        <f t="shared" si="56"/>
        <v>2Q07</v>
      </c>
      <c r="D386" s="518">
        <f t="shared" si="57"/>
        <v>39255</v>
      </c>
      <c r="E386" s="518">
        <f t="shared" si="57"/>
        <v>39195</v>
      </c>
      <c r="F386" s="520">
        <v>2.851</v>
      </c>
      <c r="G386" s="521">
        <f t="shared" si="53"/>
        <v>0.35000000000000014</v>
      </c>
      <c r="H386" s="521">
        <f t="shared" si="54"/>
        <v>0.34000000000000014</v>
      </c>
      <c r="I386" s="505"/>
      <c r="J386" s="505"/>
      <c r="K386" s="505"/>
      <c r="L386" s="505"/>
      <c r="M386" s="528"/>
      <c r="N386" s="505"/>
      <c r="O386" s="505"/>
      <c r="P386" s="505"/>
      <c r="Q386" s="505"/>
      <c r="R386" s="505"/>
      <c r="S386" s="505"/>
      <c r="T386" s="505"/>
      <c r="U386" s="505"/>
      <c r="V386" s="505"/>
      <c r="W386" s="505"/>
      <c r="X386" s="505"/>
      <c r="Y386" s="505"/>
      <c r="Z386" s="505"/>
      <c r="AA386" s="505"/>
      <c r="AB386" s="505"/>
      <c r="AC386" s="505"/>
      <c r="AD386" s="505"/>
      <c r="AE386" s="505"/>
      <c r="AF386" s="505"/>
      <c r="AG386" s="505"/>
      <c r="AH386" s="505"/>
      <c r="AI386" s="505"/>
      <c r="AJ386" s="505"/>
      <c r="AK386" s="505"/>
      <c r="AL386" s="505"/>
      <c r="AM386" s="505"/>
      <c r="AN386" s="505"/>
      <c r="AO386" s="505"/>
      <c r="AP386" s="505"/>
      <c r="AQ386" s="505"/>
      <c r="AR386" s="505"/>
      <c r="AS386" s="505"/>
      <c r="AT386" s="505"/>
      <c r="AU386" s="505"/>
      <c r="AV386" s="505"/>
      <c r="AW386" s="505"/>
      <c r="AX386" s="505"/>
      <c r="AY386" s="505"/>
      <c r="AZ386" s="505"/>
      <c r="BA386" s="505"/>
      <c r="BB386" s="505"/>
      <c r="BC386" s="505"/>
      <c r="BD386" s="505"/>
      <c r="BE386" s="505"/>
      <c r="BF386" s="505"/>
      <c r="BG386" s="505"/>
      <c r="BH386" s="505"/>
      <c r="BI386" s="505"/>
      <c r="BJ386" s="505"/>
      <c r="BK386" s="505"/>
      <c r="BL386" s="505"/>
      <c r="BM386" s="505"/>
      <c r="BN386" s="505"/>
      <c r="BO386" s="505"/>
      <c r="BP386" s="505"/>
      <c r="BQ386" s="505"/>
      <c r="BR386" s="505"/>
      <c r="BS386" s="505"/>
      <c r="BT386" s="505"/>
      <c r="BU386" s="505"/>
      <c r="BV386" s="505"/>
      <c r="BW386" s="505"/>
      <c r="BX386" s="505"/>
      <c r="BY386" s="505"/>
      <c r="BZ386" s="505"/>
      <c r="CA386" s="505"/>
      <c r="CB386" s="505"/>
      <c r="CC386" s="505"/>
      <c r="CD386" s="505"/>
      <c r="CE386" s="505"/>
      <c r="CF386" s="505"/>
      <c r="CG386" s="505"/>
      <c r="CH386" s="505"/>
      <c r="CI386" s="505"/>
      <c r="CJ386" s="505"/>
      <c r="CK386" s="505"/>
      <c r="CL386" s="505"/>
      <c r="CM386" s="505"/>
      <c r="CN386" s="505"/>
      <c r="CO386" s="505"/>
      <c r="CP386" s="505"/>
      <c r="CQ386" s="505"/>
      <c r="CR386" s="505"/>
      <c r="CS386" s="505"/>
      <c r="CT386" s="505"/>
      <c r="CU386" s="505"/>
      <c r="CV386" s="505"/>
      <c r="CW386" s="505"/>
      <c r="CX386" s="505"/>
      <c r="CY386" s="505"/>
      <c r="CZ386" s="505"/>
      <c r="DA386" s="505"/>
      <c r="DB386" s="505"/>
      <c r="DC386" s="505"/>
      <c r="DD386" s="505"/>
      <c r="DE386" s="505"/>
      <c r="DF386" s="505"/>
      <c r="DG386" s="505"/>
      <c r="DH386" s="505"/>
      <c r="DI386" s="505"/>
      <c r="DJ386" s="505"/>
      <c r="DK386" s="505"/>
      <c r="DL386" s="505"/>
      <c r="DM386" s="505"/>
      <c r="DN386" s="505"/>
      <c r="DO386" s="505"/>
      <c r="DP386" s="505"/>
    </row>
    <row r="387" spans="1:120" hidden="1" outlineLevel="1" x14ac:dyDescent="0.2">
      <c r="A387" s="517">
        <f t="shared" si="55"/>
        <v>39173</v>
      </c>
      <c r="B387" s="517" t="str">
        <f t="shared" si="52"/>
        <v>2Q07</v>
      </c>
      <c r="C387" s="517" t="str">
        <f t="shared" si="56"/>
        <v>2Q07</v>
      </c>
      <c r="D387" s="518">
        <f t="shared" si="57"/>
        <v>39262</v>
      </c>
      <c r="E387" s="518">
        <f t="shared" si="57"/>
        <v>39202</v>
      </c>
      <c r="F387" s="520">
        <v>2.8109999999999999</v>
      </c>
      <c r="G387" s="521">
        <f t="shared" si="53"/>
        <v>0.34000000000000014</v>
      </c>
      <c r="H387" s="521">
        <f t="shared" si="54"/>
        <v>0.33000000000000013</v>
      </c>
      <c r="I387" s="505"/>
      <c r="J387" s="505"/>
      <c r="K387" s="505"/>
      <c r="L387" s="505"/>
      <c r="M387" s="528"/>
      <c r="N387" s="505"/>
      <c r="O387" s="505"/>
      <c r="P387" s="505"/>
      <c r="Q387" s="505"/>
      <c r="R387" s="505"/>
      <c r="S387" s="505"/>
      <c r="T387" s="505"/>
      <c r="U387" s="505"/>
      <c r="V387" s="505"/>
      <c r="W387" s="505"/>
      <c r="X387" s="505"/>
      <c r="Y387" s="505"/>
      <c r="Z387" s="505"/>
      <c r="AA387" s="505"/>
      <c r="AB387" s="505"/>
      <c r="AC387" s="505"/>
      <c r="AD387" s="505"/>
      <c r="AE387" s="505"/>
      <c r="AF387" s="505"/>
      <c r="AG387" s="505"/>
      <c r="AH387" s="505"/>
      <c r="AI387" s="505"/>
      <c r="AJ387" s="505"/>
      <c r="AK387" s="505"/>
      <c r="AL387" s="505"/>
      <c r="AM387" s="505"/>
      <c r="AN387" s="505"/>
      <c r="AO387" s="505"/>
      <c r="AP387" s="505"/>
      <c r="AQ387" s="505"/>
      <c r="AR387" s="505"/>
      <c r="AS387" s="505"/>
      <c r="AT387" s="505"/>
      <c r="AU387" s="505"/>
      <c r="AV387" s="505"/>
      <c r="AW387" s="505"/>
      <c r="AX387" s="505"/>
      <c r="AY387" s="505"/>
      <c r="AZ387" s="505"/>
      <c r="BA387" s="505"/>
      <c r="BB387" s="505"/>
      <c r="BC387" s="505"/>
      <c r="BD387" s="505"/>
      <c r="BE387" s="505"/>
      <c r="BF387" s="505"/>
      <c r="BG387" s="505"/>
      <c r="BH387" s="505"/>
      <c r="BI387" s="505"/>
      <c r="BJ387" s="505"/>
      <c r="BK387" s="505"/>
      <c r="BL387" s="505"/>
      <c r="BM387" s="505"/>
      <c r="BN387" s="505"/>
      <c r="BO387" s="505"/>
      <c r="BP387" s="505"/>
      <c r="BQ387" s="505"/>
      <c r="BR387" s="505"/>
      <c r="BS387" s="505"/>
      <c r="BT387" s="505"/>
      <c r="BU387" s="505"/>
      <c r="BV387" s="505"/>
      <c r="BW387" s="505"/>
      <c r="BX387" s="505"/>
      <c r="BY387" s="505"/>
      <c r="BZ387" s="505"/>
      <c r="CA387" s="505"/>
      <c r="CB387" s="505"/>
      <c r="CC387" s="505"/>
      <c r="CD387" s="505"/>
      <c r="CE387" s="505"/>
      <c r="CF387" s="505"/>
      <c r="CG387" s="505"/>
      <c r="CH387" s="505"/>
      <c r="CI387" s="505"/>
      <c r="CJ387" s="505"/>
      <c r="CK387" s="505"/>
      <c r="CL387" s="505"/>
      <c r="CM387" s="505"/>
      <c r="CN387" s="505"/>
      <c r="CO387" s="505"/>
      <c r="CP387" s="505"/>
      <c r="CQ387" s="505"/>
      <c r="CR387" s="505"/>
      <c r="CS387" s="505"/>
      <c r="CT387" s="505"/>
      <c r="CU387" s="505"/>
      <c r="CV387" s="505"/>
      <c r="CW387" s="505"/>
      <c r="CX387" s="505"/>
      <c r="CY387" s="505"/>
      <c r="CZ387" s="505"/>
      <c r="DA387" s="505"/>
      <c r="DB387" s="505"/>
      <c r="DC387" s="505"/>
      <c r="DD387" s="505"/>
      <c r="DE387" s="505"/>
      <c r="DF387" s="505"/>
      <c r="DG387" s="505"/>
      <c r="DH387" s="505"/>
      <c r="DI387" s="505"/>
      <c r="DJ387" s="505"/>
      <c r="DK387" s="505"/>
      <c r="DL387" s="505"/>
      <c r="DM387" s="505"/>
      <c r="DN387" s="505"/>
      <c r="DO387" s="505"/>
      <c r="DP387" s="505"/>
    </row>
    <row r="388" spans="1:120" hidden="1" outlineLevel="1" x14ac:dyDescent="0.2">
      <c r="A388" s="517">
        <f t="shared" si="55"/>
        <v>39203</v>
      </c>
      <c r="B388" s="517" t="str">
        <f t="shared" ref="B388:B451" si="58">VLOOKUP(MONTH(A388),$N$4:$O$16,2,FALSE) &amp; "Q" &amp; RIGHT(YEAR(A388),2)</f>
        <v>2Q07</v>
      </c>
      <c r="C388" s="517" t="str">
        <f t="shared" si="56"/>
        <v>3Q07</v>
      </c>
      <c r="D388" s="518">
        <f t="shared" si="57"/>
        <v>39269</v>
      </c>
      <c r="E388" s="518">
        <f t="shared" si="57"/>
        <v>39209</v>
      </c>
      <c r="F388" s="520">
        <v>2.7919999999999998</v>
      </c>
      <c r="G388" s="521">
        <f t="shared" ref="G388:G451" si="59">INDEX($I$4:$K$153,MATCH(F388,$I$4:$I$153,1),3)</f>
        <v>0.33000000000000013</v>
      </c>
      <c r="H388" s="521">
        <f t="shared" ref="H388:H451" si="60">G389</f>
        <v>0.33000000000000013</v>
      </c>
      <c r="I388" s="505"/>
      <c r="J388" s="505"/>
      <c r="K388" s="505"/>
      <c r="L388" s="505"/>
      <c r="M388" s="528"/>
      <c r="N388" s="505"/>
      <c r="O388" s="505"/>
      <c r="P388" s="505"/>
      <c r="Q388" s="505"/>
      <c r="R388" s="505"/>
      <c r="S388" s="505"/>
      <c r="T388" s="505"/>
      <c r="U388" s="505"/>
      <c r="V388" s="505"/>
      <c r="W388" s="505"/>
      <c r="X388" s="505"/>
      <c r="Y388" s="505"/>
      <c r="Z388" s="505"/>
      <c r="AA388" s="505"/>
      <c r="AB388" s="505"/>
      <c r="AC388" s="505"/>
      <c r="AD388" s="505"/>
      <c r="AE388" s="505"/>
      <c r="AF388" s="505"/>
      <c r="AG388" s="505"/>
      <c r="AH388" s="505"/>
      <c r="AI388" s="505"/>
      <c r="AJ388" s="505"/>
      <c r="AK388" s="505"/>
      <c r="AL388" s="505"/>
      <c r="AM388" s="505"/>
      <c r="AN388" s="505"/>
      <c r="AO388" s="505"/>
      <c r="AP388" s="505"/>
      <c r="AQ388" s="505"/>
      <c r="AR388" s="505"/>
      <c r="AS388" s="505"/>
      <c r="AT388" s="505"/>
      <c r="AU388" s="505"/>
      <c r="AV388" s="505"/>
      <c r="AW388" s="505"/>
      <c r="AX388" s="505"/>
      <c r="AY388" s="505"/>
      <c r="AZ388" s="505"/>
      <c r="BA388" s="505"/>
      <c r="BB388" s="505"/>
      <c r="BC388" s="505"/>
      <c r="BD388" s="505"/>
      <c r="BE388" s="505"/>
      <c r="BF388" s="505"/>
      <c r="BG388" s="505"/>
      <c r="BH388" s="505"/>
      <c r="BI388" s="505"/>
      <c r="BJ388" s="505"/>
      <c r="BK388" s="505"/>
      <c r="BL388" s="505"/>
      <c r="BM388" s="505"/>
      <c r="BN388" s="505"/>
      <c r="BO388" s="505"/>
      <c r="BP388" s="505"/>
      <c r="BQ388" s="505"/>
      <c r="BR388" s="505"/>
      <c r="BS388" s="505"/>
      <c r="BT388" s="505"/>
      <c r="BU388" s="505"/>
      <c r="BV388" s="505"/>
      <c r="BW388" s="505"/>
      <c r="BX388" s="505"/>
      <c r="BY388" s="505"/>
      <c r="BZ388" s="505"/>
      <c r="CA388" s="505"/>
      <c r="CB388" s="505"/>
      <c r="CC388" s="505"/>
      <c r="CD388" s="505"/>
      <c r="CE388" s="505"/>
      <c r="CF388" s="505"/>
      <c r="CG388" s="505"/>
      <c r="CH388" s="505"/>
      <c r="CI388" s="505"/>
      <c r="CJ388" s="505"/>
      <c r="CK388" s="505"/>
      <c r="CL388" s="505"/>
      <c r="CM388" s="505"/>
      <c r="CN388" s="505"/>
      <c r="CO388" s="505"/>
      <c r="CP388" s="505"/>
      <c r="CQ388" s="505"/>
      <c r="CR388" s="505"/>
      <c r="CS388" s="505"/>
      <c r="CT388" s="505"/>
      <c r="CU388" s="505"/>
      <c r="CV388" s="505"/>
      <c r="CW388" s="505"/>
      <c r="CX388" s="505"/>
      <c r="CY388" s="505"/>
      <c r="CZ388" s="505"/>
      <c r="DA388" s="505"/>
      <c r="DB388" s="505"/>
      <c r="DC388" s="505"/>
      <c r="DD388" s="505"/>
      <c r="DE388" s="505"/>
      <c r="DF388" s="505"/>
      <c r="DG388" s="505"/>
      <c r="DH388" s="505"/>
      <c r="DI388" s="505"/>
      <c r="DJ388" s="505"/>
      <c r="DK388" s="505"/>
      <c r="DL388" s="505"/>
      <c r="DM388" s="505"/>
      <c r="DN388" s="505"/>
      <c r="DO388" s="505"/>
      <c r="DP388" s="505"/>
    </row>
    <row r="389" spans="1:120" hidden="1" outlineLevel="1" x14ac:dyDescent="0.2">
      <c r="A389" s="517">
        <f t="shared" ref="A389:A452" si="61">DATE(YEAR(E389),MONTH(E389),1)</f>
        <v>39203</v>
      </c>
      <c r="B389" s="517" t="str">
        <f t="shared" si="58"/>
        <v>2Q07</v>
      </c>
      <c r="C389" s="517" t="str">
        <f t="shared" ref="C389:C452" si="62">VLOOKUP(MONTH(D389),$N$4:$O$16,2,FALSE) &amp; "Q" &amp; RIGHT(YEAR(D389),2)</f>
        <v>3Q07</v>
      </c>
      <c r="D389" s="518">
        <f t="shared" ref="D389:E452" si="63">D388+7</f>
        <v>39276</v>
      </c>
      <c r="E389" s="518">
        <f t="shared" si="63"/>
        <v>39216</v>
      </c>
      <c r="F389" s="520">
        <v>2.7730000000000001</v>
      </c>
      <c r="G389" s="521">
        <f t="shared" si="59"/>
        <v>0.33000000000000013</v>
      </c>
      <c r="H389" s="521">
        <f t="shared" si="60"/>
        <v>0.34000000000000014</v>
      </c>
      <c r="I389" s="505"/>
      <c r="J389" s="505"/>
      <c r="K389" s="505"/>
      <c r="L389" s="505"/>
      <c r="M389" s="528"/>
      <c r="N389" s="505"/>
      <c r="O389" s="505"/>
      <c r="P389" s="505"/>
      <c r="Q389" s="505"/>
      <c r="R389" s="505"/>
      <c r="S389" s="505"/>
      <c r="T389" s="505"/>
      <c r="U389" s="505"/>
      <c r="V389" s="505"/>
      <c r="W389" s="505"/>
      <c r="X389" s="505"/>
      <c r="Y389" s="505"/>
      <c r="Z389" s="505"/>
      <c r="AA389" s="505"/>
      <c r="AB389" s="505"/>
      <c r="AC389" s="505"/>
      <c r="AD389" s="505"/>
      <c r="AE389" s="505"/>
      <c r="AF389" s="505"/>
      <c r="AG389" s="505"/>
      <c r="AH389" s="505"/>
      <c r="AI389" s="505"/>
      <c r="AJ389" s="505"/>
      <c r="AK389" s="505"/>
      <c r="AL389" s="505"/>
      <c r="AM389" s="505"/>
      <c r="AN389" s="505"/>
      <c r="AO389" s="505"/>
      <c r="AP389" s="505"/>
      <c r="AQ389" s="505"/>
      <c r="AR389" s="505"/>
      <c r="AS389" s="505"/>
      <c r="AT389" s="505"/>
      <c r="AU389" s="505"/>
      <c r="AV389" s="505"/>
      <c r="AW389" s="505"/>
      <c r="AX389" s="505"/>
      <c r="AY389" s="505"/>
      <c r="AZ389" s="505"/>
      <c r="BA389" s="505"/>
      <c r="BB389" s="505"/>
      <c r="BC389" s="505"/>
      <c r="BD389" s="505"/>
      <c r="BE389" s="505"/>
      <c r="BF389" s="505"/>
      <c r="BG389" s="505"/>
      <c r="BH389" s="505"/>
      <c r="BI389" s="505"/>
      <c r="BJ389" s="505"/>
      <c r="BK389" s="505"/>
      <c r="BL389" s="505"/>
      <c r="BM389" s="505"/>
      <c r="BN389" s="505"/>
      <c r="BO389" s="505"/>
      <c r="BP389" s="505"/>
      <c r="BQ389" s="505"/>
      <c r="BR389" s="505"/>
      <c r="BS389" s="505"/>
      <c r="BT389" s="505"/>
      <c r="BU389" s="505"/>
      <c r="BV389" s="505"/>
      <c r="BW389" s="505"/>
      <c r="BX389" s="505"/>
      <c r="BY389" s="505"/>
      <c r="BZ389" s="505"/>
      <c r="CA389" s="505"/>
      <c r="CB389" s="505"/>
      <c r="CC389" s="505"/>
      <c r="CD389" s="505"/>
      <c r="CE389" s="505"/>
      <c r="CF389" s="505"/>
      <c r="CG389" s="505"/>
      <c r="CH389" s="505"/>
      <c r="CI389" s="505"/>
      <c r="CJ389" s="505"/>
      <c r="CK389" s="505"/>
      <c r="CL389" s="505"/>
      <c r="CM389" s="505"/>
      <c r="CN389" s="505"/>
      <c r="CO389" s="505"/>
      <c r="CP389" s="505"/>
      <c r="CQ389" s="505"/>
      <c r="CR389" s="505"/>
      <c r="CS389" s="505"/>
      <c r="CT389" s="505"/>
      <c r="CU389" s="505"/>
      <c r="CV389" s="505"/>
      <c r="CW389" s="505"/>
      <c r="CX389" s="505"/>
      <c r="CY389" s="505"/>
      <c r="CZ389" s="505"/>
      <c r="DA389" s="505"/>
      <c r="DB389" s="505"/>
      <c r="DC389" s="505"/>
      <c r="DD389" s="505"/>
      <c r="DE389" s="505"/>
      <c r="DF389" s="505"/>
      <c r="DG389" s="505"/>
      <c r="DH389" s="505"/>
      <c r="DI389" s="505"/>
      <c r="DJ389" s="505"/>
      <c r="DK389" s="505"/>
      <c r="DL389" s="505"/>
      <c r="DM389" s="505"/>
      <c r="DN389" s="505"/>
      <c r="DO389" s="505"/>
      <c r="DP389" s="505"/>
    </row>
    <row r="390" spans="1:120" hidden="1" outlineLevel="1" x14ac:dyDescent="0.2">
      <c r="A390" s="517">
        <f t="shared" si="61"/>
        <v>39203</v>
      </c>
      <c r="B390" s="517" t="str">
        <f t="shared" si="58"/>
        <v>2Q07</v>
      </c>
      <c r="C390" s="517" t="str">
        <f t="shared" si="62"/>
        <v>3Q07</v>
      </c>
      <c r="D390" s="518">
        <f t="shared" si="63"/>
        <v>39283</v>
      </c>
      <c r="E390" s="518">
        <f t="shared" si="63"/>
        <v>39223</v>
      </c>
      <c r="F390" s="520">
        <v>2.8029999999999999</v>
      </c>
      <c r="G390" s="521">
        <f t="shared" si="59"/>
        <v>0.34000000000000014</v>
      </c>
      <c r="H390" s="521">
        <f t="shared" si="60"/>
        <v>0.34000000000000014</v>
      </c>
      <c r="I390" s="505"/>
      <c r="J390" s="505"/>
      <c r="K390" s="505"/>
      <c r="L390" s="505"/>
      <c r="M390" s="528"/>
      <c r="N390" s="505"/>
      <c r="O390" s="505"/>
      <c r="P390" s="505"/>
      <c r="Q390" s="505"/>
      <c r="R390" s="505"/>
      <c r="S390" s="505"/>
      <c r="T390" s="505"/>
      <c r="U390" s="505"/>
      <c r="V390" s="505"/>
      <c r="W390" s="505"/>
      <c r="X390" s="505"/>
      <c r="Y390" s="505"/>
      <c r="Z390" s="505"/>
      <c r="AA390" s="505"/>
      <c r="AB390" s="505"/>
      <c r="AC390" s="505"/>
      <c r="AD390" s="505"/>
      <c r="AE390" s="505"/>
      <c r="AF390" s="505"/>
      <c r="AG390" s="505"/>
      <c r="AH390" s="505"/>
      <c r="AI390" s="505"/>
      <c r="AJ390" s="505"/>
      <c r="AK390" s="505"/>
      <c r="AL390" s="505"/>
      <c r="AM390" s="505"/>
      <c r="AN390" s="505"/>
      <c r="AO390" s="505"/>
      <c r="AP390" s="505"/>
      <c r="AQ390" s="505"/>
      <c r="AR390" s="505"/>
      <c r="AS390" s="505"/>
      <c r="AT390" s="505"/>
      <c r="AU390" s="505"/>
      <c r="AV390" s="505"/>
      <c r="AW390" s="505"/>
      <c r="AX390" s="505"/>
      <c r="AY390" s="505"/>
      <c r="AZ390" s="505"/>
      <c r="BA390" s="505"/>
      <c r="BB390" s="505"/>
      <c r="BC390" s="505"/>
      <c r="BD390" s="505"/>
      <c r="BE390" s="505"/>
      <c r="BF390" s="505"/>
      <c r="BG390" s="505"/>
      <c r="BH390" s="505"/>
      <c r="BI390" s="505"/>
      <c r="BJ390" s="505"/>
      <c r="BK390" s="505"/>
      <c r="BL390" s="505"/>
      <c r="BM390" s="505"/>
      <c r="BN390" s="505"/>
      <c r="BO390" s="505"/>
      <c r="BP390" s="505"/>
      <c r="BQ390" s="505"/>
      <c r="BR390" s="505"/>
      <c r="BS390" s="505"/>
      <c r="BT390" s="505"/>
      <c r="BU390" s="505"/>
      <c r="BV390" s="505"/>
      <c r="BW390" s="505"/>
      <c r="BX390" s="505"/>
      <c r="BY390" s="505"/>
      <c r="BZ390" s="505"/>
      <c r="CA390" s="505"/>
      <c r="CB390" s="505"/>
      <c r="CC390" s="505"/>
      <c r="CD390" s="505"/>
      <c r="CE390" s="505"/>
      <c r="CF390" s="505"/>
      <c r="CG390" s="505"/>
      <c r="CH390" s="505"/>
      <c r="CI390" s="505"/>
      <c r="CJ390" s="505"/>
      <c r="CK390" s="505"/>
      <c r="CL390" s="505"/>
      <c r="CM390" s="505"/>
      <c r="CN390" s="505"/>
      <c r="CO390" s="505"/>
      <c r="CP390" s="505"/>
      <c r="CQ390" s="505"/>
      <c r="CR390" s="505"/>
      <c r="CS390" s="505"/>
      <c r="CT390" s="505"/>
      <c r="CU390" s="505"/>
      <c r="CV390" s="505"/>
      <c r="CW390" s="505"/>
      <c r="CX390" s="505"/>
      <c r="CY390" s="505"/>
      <c r="CZ390" s="505"/>
      <c r="DA390" s="505"/>
      <c r="DB390" s="505"/>
      <c r="DC390" s="505"/>
      <c r="DD390" s="505"/>
      <c r="DE390" s="505"/>
      <c r="DF390" s="505"/>
      <c r="DG390" s="505"/>
      <c r="DH390" s="505"/>
      <c r="DI390" s="505"/>
      <c r="DJ390" s="505"/>
      <c r="DK390" s="505"/>
      <c r="DL390" s="505"/>
      <c r="DM390" s="505"/>
      <c r="DN390" s="505"/>
      <c r="DO390" s="505"/>
      <c r="DP390" s="505"/>
    </row>
    <row r="391" spans="1:120" hidden="1" outlineLevel="1" x14ac:dyDescent="0.2">
      <c r="A391" s="517">
        <f t="shared" si="61"/>
        <v>39203</v>
      </c>
      <c r="B391" s="517" t="str">
        <f t="shared" si="58"/>
        <v>2Q07</v>
      </c>
      <c r="C391" s="517" t="str">
        <f t="shared" si="62"/>
        <v>3Q07</v>
      </c>
      <c r="D391" s="518">
        <f t="shared" si="63"/>
        <v>39290</v>
      </c>
      <c r="E391" s="518">
        <f t="shared" si="63"/>
        <v>39230</v>
      </c>
      <c r="F391" s="520">
        <v>2.8170000000000002</v>
      </c>
      <c r="G391" s="521">
        <f t="shared" si="59"/>
        <v>0.34000000000000014</v>
      </c>
      <c r="H391" s="521">
        <f t="shared" si="60"/>
        <v>0.33000000000000013</v>
      </c>
      <c r="I391" s="505"/>
      <c r="J391" s="505"/>
      <c r="K391" s="505"/>
      <c r="L391" s="505"/>
      <c r="M391" s="528"/>
      <c r="N391" s="505"/>
      <c r="O391" s="505"/>
      <c r="P391" s="505"/>
      <c r="Q391" s="505"/>
      <c r="R391" s="505"/>
      <c r="S391" s="505"/>
      <c r="T391" s="505"/>
      <c r="U391" s="505"/>
      <c r="V391" s="505"/>
      <c r="W391" s="505"/>
      <c r="X391" s="505"/>
      <c r="Y391" s="505"/>
      <c r="Z391" s="505"/>
      <c r="AA391" s="505"/>
      <c r="AB391" s="505"/>
      <c r="AC391" s="505"/>
      <c r="AD391" s="505"/>
      <c r="AE391" s="505"/>
      <c r="AF391" s="505"/>
      <c r="AG391" s="505"/>
      <c r="AH391" s="505"/>
      <c r="AI391" s="505"/>
      <c r="AJ391" s="505"/>
      <c r="AK391" s="505"/>
      <c r="AL391" s="505"/>
      <c r="AM391" s="505"/>
      <c r="AN391" s="505"/>
      <c r="AO391" s="505"/>
      <c r="AP391" s="505"/>
      <c r="AQ391" s="505"/>
      <c r="AR391" s="505"/>
      <c r="AS391" s="505"/>
      <c r="AT391" s="505"/>
      <c r="AU391" s="505"/>
      <c r="AV391" s="505"/>
      <c r="AW391" s="505"/>
      <c r="AX391" s="505"/>
      <c r="AY391" s="505"/>
      <c r="AZ391" s="505"/>
      <c r="BA391" s="505"/>
      <c r="BB391" s="505"/>
      <c r="BC391" s="505"/>
      <c r="BD391" s="505"/>
      <c r="BE391" s="505"/>
      <c r="BF391" s="505"/>
      <c r="BG391" s="505"/>
      <c r="BH391" s="505"/>
      <c r="BI391" s="505"/>
      <c r="BJ391" s="505"/>
      <c r="BK391" s="505"/>
      <c r="BL391" s="505"/>
      <c r="BM391" s="505"/>
      <c r="BN391" s="505"/>
      <c r="BO391" s="505"/>
      <c r="BP391" s="505"/>
      <c r="BQ391" s="505"/>
      <c r="BR391" s="505"/>
      <c r="BS391" s="505"/>
      <c r="BT391" s="505"/>
      <c r="BU391" s="505"/>
      <c r="BV391" s="505"/>
      <c r="BW391" s="505"/>
      <c r="BX391" s="505"/>
      <c r="BY391" s="505"/>
      <c r="BZ391" s="505"/>
      <c r="CA391" s="505"/>
      <c r="CB391" s="505"/>
      <c r="CC391" s="505"/>
      <c r="CD391" s="505"/>
      <c r="CE391" s="505"/>
      <c r="CF391" s="505"/>
      <c r="CG391" s="505"/>
      <c r="CH391" s="505"/>
      <c r="CI391" s="505"/>
      <c r="CJ391" s="505"/>
      <c r="CK391" s="505"/>
      <c r="CL391" s="505"/>
      <c r="CM391" s="505"/>
      <c r="CN391" s="505"/>
      <c r="CO391" s="505"/>
      <c r="CP391" s="505"/>
      <c r="CQ391" s="505"/>
      <c r="CR391" s="505"/>
      <c r="CS391" s="505"/>
      <c r="CT391" s="505"/>
      <c r="CU391" s="505"/>
      <c r="CV391" s="505"/>
      <c r="CW391" s="505"/>
      <c r="CX391" s="505"/>
      <c r="CY391" s="505"/>
      <c r="CZ391" s="505"/>
      <c r="DA391" s="505"/>
      <c r="DB391" s="505"/>
      <c r="DC391" s="505"/>
      <c r="DD391" s="505"/>
      <c r="DE391" s="505"/>
      <c r="DF391" s="505"/>
      <c r="DG391" s="505"/>
      <c r="DH391" s="505"/>
      <c r="DI391" s="505"/>
      <c r="DJ391" s="505"/>
      <c r="DK391" s="505"/>
      <c r="DL391" s="505"/>
      <c r="DM391" s="505"/>
      <c r="DN391" s="505"/>
      <c r="DO391" s="505"/>
      <c r="DP391" s="505"/>
    </row>
    <row r="392" spans="1:120" hidden="1" outlineLevel="1" x14ac:dyDescent="0.2">
      <c r="A392" s="517">
        <f t="shared" si="61"/>
        <v>39234</v>
      </c>
      <c r="B392" s="517" t="str">
        <f t="shared" si="58"/>
        <v>2Q07</v>
      </c>
      <c r="C392" s="517" t="str">
        <f t="shared" si="62"/>
        <v>3Q07</v>
      </c>
      <c r="D392" s="518">
        <f t="shared" si="63"/>
        <v>39297</v>
      </c>
      <c r="E392" s="518">
        <f t="shared" si="63"/>
        <v>39237</v>
      </c>
      <c r="F392" s="520">
        <v>2.7989999999999999</v>
      </c>
      <c r="G392" s="521">
        <f t="shared" si="59"/>
        <v>0.33000000000000013</v>
      </c>
      <c r="H392" s="521">
        <f t="shared" si="60"/>
        <v>0.33000000000000013</v>
      </c>
      <c r="I392" s="505"/>
      <c r="J392" s="505"/>
      <c r="K392" s="505"/>
      <c r="L392" s="505"/>
      <c r="M392" s="528"/>
      <c r="N392" s="505"/>
      <c r="O392" s="505"/>
      <c r="P392" s="505"/>
      <c r="Q392" s="505"/>
      <c r="R392" s="505"/>
      <c r="S392" s="505"/>
      <c r="T392" s="505"/>
      <c r="U392" s="505"/>
      <c r="V392" s="505"/>
      <c r="W392" s="505"/>
      <c r="X392" s="505"/>
      <c r="Y392" s="505"/>
      <c r="Z392" s="505"/>
      <c r="AA392" s="505"/>
      <c r="AB392" s="505"/>
      <c r="AC392" s="505"/>
      <c r="AD392" s="505"/>
      <c r="AE392" s="505"/>
      <c r="AF392" s="505"/>
      <c r="AG392" s="505"/>
      <c r="AH392" s="505"/>
      <c r="AI392" s="505"/>
      <c r="AJ392" s="505"/>
      <c r="AK392" s="505"/>
      <c r="AL392" s="505"/>
      <c r="AM392" s="505"/>
      <c r="AN392" s="505"/>
      <c r="AO392" s="505"/>
      <c r="AP392" s="505"/>
      <c r="AQ392" s="505"/>
      <c r="AR392" s="505"/>
      <c r="AS392" s="505"/>
      <c r="AT392" s="505"/>
      <c r="AU392" s="505"/>
      <c r="AV392" s="505"/>
      <c r="AW392" s="505"/>
      <c r="AX392" s="505"/>
      <c r="AY392" s="505"/>
      <c r="AZ392" s="505"/>
      <c r="BA392" s="505"/>
      <c r="BB392" s="505"/>
      <c r="BC392" s="505"/>
      <c r="BD392" s="505"/>
      <c r="BE392" s="505"/>
      <c r="BF392" s="505"/>
      <c r="BG392" s="505"/>
      <c r="BH392" s="505"/>
      <c r="BI392" s="505"/>
      <c r="BJ392" s="505"/>
      <c r="BK392" s="505"/>
      <c r="BL392" s="505"/>
      <c r="BM392" s="505"/>
      <c r="BN392" s="505"/>
      <c r="BO392" s="505"/>
      <c r="BP392" s="505"/>
      <c r="BQ392" s="505"/>
      <c r="BR392" s="505"/>
      <c r="BS392" s="505"/>
      <c r="BT392" s="505"/>
      <c r="BU392" s="505"/>
      <c r="BV392" s="505"/>
      <c r="BW392" s="505"/>
      <c r="BX392" s="505"/>
      <c r="BY392" s="505"/>
      <c r="BZ392" s="505"/>
      <c r="CA392" s="505"/>
      <c r="CB392" s="505"/>
      <c r="CC392" s="505"/>
      <c r="CD392" s="505"/>
      <c r="CE392" s="505"/>
      <c r="CF392" s="505"/>
      <c r="CG392" s="505"/>
      <c r="CH392" s="505"/>
      <c r="CI392" s="505"/>
      <c r="CJ392" s="505"/>
      <c r="CK392" s="505"/>
      <c r="CL392" s="505"/>
      <c r="CM392" s="505"/>
      <c r="CN392" s="505"/>
      <c r="CO392" s="505"/>
      <c r="CP392" s="505"/>
      <c r="CQ392" s="505"/>
      <c r="CR392" s="505"/>
      <c r="CS392" s="505"/>
      <c r="CT392" s="505"/>
      <c r="CU392" s="505"/>
      <c r="CV392" s="505"/>
      <c r="CW392" s="505"/>
      <c r="CX392" s="505"/>
      <c r="CY392" s="505"/>
      <c r="CZ392" s="505"/>
      <c r="DA392" s="505"/>
      <c r="DB392" s="505"/>
      <c r="DC392" s="505"/>
      <c r="DD392" s="505"/>
      <c r="DE392" s="505"/>
      <c r="DF392" s="505"/>
      <c r="DG392" s="505"/>
      <c r="DH392" s="505"/>
      <c r="DI392" s="505"/>
      <c r="DJ392" s="505"/>
      <c r="DK392" s="505"/>
      <c r="DL392" s="505"/>
      <c r="DM392" s="505"/>
      <c r="DN392" s="505"/>
      <c r="DO392" s="505"/>
      <c r="DP392" s="505"/>
    </row>
    <row r="393" spans="1:120" hidden="1" outlineLevel="1" x14ac:dyDescent="0.2">
      <c r="A393" s="517">
        <f t="shared" si="61"/>
        <v>39234</v>
      </c>
      <c r="B393" s="517" t="str">
        <f t="shared" si="58"/>
        <v>2Q07</v>
      </c>
      <c r="C393" s="517" t="str">
        <f t="shared" si="62"/>
        <v>3Q07</v>
      </c>
      <c r="D393" s="518">
        <f t="shared" si="63"/>
        <v>39304</v>
      </c>
      <c r="E393" s="518">
        <f t="shared" si="63"/>
        <v>39244</v>
      </c>
      <c r="F393" s="520">
        <v>2.7919999999999998</v>
      </c>
      <c r="G393" s="521">
        <f t="shared" si="59"/>
        <v>0.33000000000000013</v>
      </c>
      <c r="H393" s="521">
        <f t="shared" si="60"/>
        <v>0.34000000000000014</v>
      </c>
      <c r="I393" s="505"/>
      <c r="J393" s="505"/>
      <c r="K393" s="505"/>
      <c r="L393" s="505"/>
      <c r="M393" s="528"/>
      <c r="N393" s="505"/>
      <c r="O393" s="505"/>
      <c r="P393" s="505"/>
      <c r="Q393" s="505"/>
      <c r="R393" s="505"/>
      <c r="S393" s="505"/>
      <c r="T393" s="505"/>
      <c r="U393" s="505"/>
      <c r="V393" s="505"/>
      <c r="W393" s="505"/>
      <c r="X393" s="505"/>
      <c r="Y393" s="505"/>
      <c r="Z393" s="505"/>
      <c r="AA393" s="505"/>
      <c r="AB393" s="505"/>
      <c r="AC393" s="505"/>
      <c r="AD393" s="505"/>
      <c r="AE393" s="505"/>
      <c r="AF393" s="505"/>
      <c r="AG393" s="505"/>
      <c r="AH393" s="505"/>
      <c r="AI393" s="505"/>
      <c r="AJ393" s="505"/>
      <c r="AK393" s="505"/>
      <c r="AL393" s="505"/>
      <c r="AM393" s="505"/>
      <c r="AN393" s="505"/>
      <c r="AO393" s="505"/>
      <c r="AP393" s="505"/>
      <c r="AQ393" s="505"/>
      <c r="AR393" s="505"/>
      <c r="AS393" s="505"/>
      <c r="AT393" s="505"/>
      <c r="AU393" s="505"/>
      <c r="AV393" s="505"/>
      <c r="AW393" s="505"/>
      <c r="AX393" s="505"/>
      <c r="AY393" s="505"/>
      <c r="AZ393" s="505"/>
      <c r="BA393" s="505"/>
      <c r="BB393" s="505"/>
      <c r="BC393" s="505"/>
      <c r="BD393" s="505"/>
      <c r="BE393" s="505"/>
      <c r="BF393" s="505"/>
      <c r="BG393" s="505"/>
      <c r="BH393" s="505"/>
      <c r="BI393" s="505"/>
      <c r="BJ393" s="505"/>
      <c r="BK393" s="505"/>
      <c r="BL393" s="505"/>
      <c r="BM393" s="505"/>
      <c r="BN393" s="505"/>
      <c r="BO393" s="505"/>
      <c r="BP393" s="505"/>
      <c r="BQ393" s="505"/>
      <c r="BR393" s="505"/>
      <c r="BS393" s="505"/>
      <c r="BT393" s="505"/>
      <c r="BU393" s="505"/>
      <c r="BV393" s="505"/>
      <c r="BW393" s="505"/>
      <c r="BX393" s="505"/>
      <c r="BY393" s="505"/>
      <c r="BZ393" s="505"/>
      <c r="CA393" s="505"/>
      <c r="CB393" s="505"/>
      <c r="CC393" s="505"/>
      <c r="CD393" s="505"/>
      <c r="CE393" s="505"/>
      <c r="CF393" s="505"/>
      <c r="CG393" s="505"/>
      <c r="CH393" s="505"/>
      <c r="CI393" s="505"/>
      <c r="CJ393" s="505"/>
      <c r="CK393" s="505"/>
      <c r="CL393" s="505"/>
      <c r="CM393" s="505"/>
      <c r="CN393" s="505"/>
      <c r="CO393" s="505"/>
      <c r="CP393" s="505"/>
      <c r="CQ393" s="505"/>
      <c r="CR393" s="505"/>
      <c r="CS393" s="505"/>
      <c r="CT393" s="505"/>
      <c r="CU393" s="505"/>
      <c r="CV393" s="505"/>
      <c r="CW393" s="505"/>
      <c r="CX393" s="505"/>
      <c r="CY393" s="505"/>
      <c r="CZ393" s="505"/>
      <c r="DA393" s="505"/>
      <c r="DB393" s="505"/>
      <c r="DC393" s="505"/>
      <c r="DD393" s="505"/>
      <c r="DE393" s="505"/>
      <c r="DF393" s="505"/>
      <c r="DG393" s="505"/>
      <c r="DH393" s="505"/>
      <c r="DI393" s="505"/>
      <c r="DJ393" s="505"/>
      <c r="DK393" s="505"/>
      <c r="DL393" s="505"/>
      <c r="DM393" s="505"/>
      <c r="DN393" s="505"/>
      <c r="DO393" s="505"/>
      <c r="DP393" s="505"/>
    </row>
    <row r="394" spans="1:120" hidden="1" outlineLevel="1" x14ac:dyDescent="0.2">
      <c r="A394" s="517">
        <f t="shared" si="61"/>
        <v>39234</v>
      </c>
      <c r="B394" s="517" t="str">
        <f t="shared" si="58"/>
        <v>2Q07</v>
      </c>
      <c r="C394" s="517" t="str">
        <f t="shared" si="62"/>
        <v>3Q07</v>
      </c>
      <c r="D394" s="518">
        <f t="shared" si="63"/>
        <v>39311</v>
      </c>
      <c r="E394" s="518">
        <f t="shared" si="63"/>
        <v>39251</v>
      </c>
      <c r="F394" s="520">
        <v>2.8050000000000002</v>
      </c>
      <c r="G394" s="521">
        <f t="shared" si="59"/>
        <v>0.34000000000000014</v>
      </c>
      <c r="H394" s="521">
        <f t="shared" si="60"/>
        <v>0.34000000000000014</v>
      </c>
      <c r="I394" s="505"/>
      <c r="J394" s="505"/>
      <c r="K394" s="505"/>
      <c r="L394" s="505"/>
      <c r="M394" s="528"/>
      <c r="N394" s="505"/>
      <c r="O394" s="505"/>
      <c r="P394" s="505"/>
      <c r="Q394" s="505"/>
      <c r="R394" s="505"/>
      <c r="S394" s="505"/>
      <c r="T394" s="505"/>
      <c r="U394" s="505"/>
      <c r="V394" s="505"/>
      <c r="W394" s="505"/>
      <c r="X394" s="505"/>
      <c r="Y394" s="505"/>
      <c r="Z394" s="505"/>
      <c r="AA394" s="505"/>
      <c r="AB394" s="505"/>
      <c r="AC394" s="505"/>
      <c r="AD394" s="505"/>
      <c r="AE394" s="505"/>
      <c r="AF394" s="505"/>
      <c r="AG394" s="505"/>
      <c r="AH394" s="505"/>
      <c r="AI394" s="505"/>
      <c r="AJ394" s="505"/>
      <c r="AK394" s="505"/>
      <c r="AL394" s="505"/>
      <c r="AM394" s="505"/>
      <c r="AN394" s="505"/>
      <c r="AO394" s="505"/>
      <c r="AP394" s="505"/>
      <c r="AQ394" s="505"/>
      <c r="AR394" s="505"/>
      <c r="AS394" s="505"/>
      <c r="AT394" s="505"/>
      <c r="AU394" s="505"/>
      <c r="AV394" s="505"/>
      <c r="AW394" s="505"/>
      <c r="AX394" s="505"/>
      <c r="AY394" s="505"/>
      <c r="AZ394" s="505"/>
      <c r="BA394" s="505"/>
      <c r="BB394" s="505"/>
      <c r="BC394" s="505"/>
      <c r="BD394" s="505"/>
      <c r="BE394" s="505"/>
      <c r="BF394" s="505"/>
      <c r="BG394" s="505"/>
      <c r="BH394" s="505"/>
      <c r="BI394" s="505"/>
      <c r="BJ394" s="505"/>
      <c r="BK394" s="505"/>
      <c r="BL394" s="505"/>
      <c r="BM394" s="505"/>
      <c r="BN394" s="505"/>
      <c r="BO394" s="505"/>
      <c r="BP394" s="505"/>
      <c r="BQ394" s="505"/>
      <c r="BR394" s="505"/>
      <c r="BS394" s="505"/>
      <c r="BT394" s="505"/>
      <c r="BU394" s="505"/>
      <c r="BV394" s="505"/>
      <c r="BW394" s="505"/>
      <c r="BX394" s="505"/>
      <c r="BY394" s="505"/>
      <c r="BZ394" s="505"/>
      <c r="CA394" s="505"/>
      <c r="CB394" s="505"/>
      <c r="CC394" s="505"/>
      <c r="CD394" s="505"/>
      <c r="CE394" s="505"/>
      <c r="CF394" s="505"/>
      <c r="CG394" s="505"/>
      <c r="CH394" s="505"/>
      <c r="CI394" s="505"/>
      <c r="CJ394" s="505"/>
      <c r="CK394" s="505"/>
      <c r="CL394" s="505"/>
      <c r="CM394" s="505"/>
      <c r="CN394" s="505"/>
      <c r="CO394" s="505"/>
      <c r="CP394" s="505"/>
      <c r="CQ394" s="505"/>
      <c r="CR394" s="505"/>
      <c r="CS394" s="505"/>
      <c r="CT394" s="505"/>
      <c r="CU394" s="505"/>
      <c r="CV394" s="505"/>
      <c r="CW394" s="505"/>
      <c r="CX394" s="505"/>
      <c r="CY394" s="505"/>
      <c r="CZ394" s="505"/>
      <c r="DA394" s="505"/>
      <c r="DB394" s="505"/>
      <c r="DC394" s="505"/>
      <c r="DD394" s="505"/>
      <c r="DE394" s="505"/>
      <c r="DF394" s="505"/>
      <c r="DG394" s="505"/>
      <c r="DH394" s="505"/>
      <c r="DI394" s="505"/>
      <c r="DJ394" s="505"/>
      <c r="DK394" s="505"/>
      <c r="DL394" s="505"/>
      <c r="DM394" s="505"/>
      <c r="DN394" s="505"/>
      <c r="DO394" s="505"/>
      <c r="DP394" s="505"/>
    </row>
    <row r="395" spans="1:120" hidden="1" outlineLevel="1" x14ac:dyDescent="0.2">
      <c r="A395" s="517">
        <f t="shared" si="61"/>
        <v>39234</v>
      </c>
      <c r="B395" s="517" t="str">
        <f t="shared" si="58"/>
        <v>2Q07</v>
      </c>
      <c r="C395" s="517" t="str">
        <f t="shared" si="62"/>
        <v>3Q07</v>
      </c>
      <c r="D395" s="518">
        <f t="shared" si="63"/>
        <v>39318</v>
      </c>
      <c r="E395" s="518">
        <f t="shared" si="63"/>
        <v>39258</v>
      </c>
      <c r="F395" s="520">
        <v>2.835</v>
      </c>
      <c r="G395" s="521">
        <f t="shared" si="59"/>
        <v>0.34000000000000014</v>
      </c>
      <c r="H395" s="521">
        <f t="shared" si="60"/>
        <v>0.34000000000000014</v>
      </c>
      <c r="I395" s="505"/>
      <c r="J395" s="505"/>
      <c r="K395" s="505"/>
      <c r="L395" s="505"/>
      <c r="M395" s="528"/>
      <c r="N395" s="505"/>
      <c r="O395" s="505"/>
      <c r="P395" s="505"/>
      <c r="Q395" s="505"/>
      <c r="R395" s="505"/>
      <c r="S395" s="505"/>
      <c r="T395" s="505"/>
      <c r="U395" s="505"/>
      <c r="V395" s="505"/>
      <c r="W395" s="505"/>
      <c r="X395" s="505"/>
      <c r="Y395" s="505"/>
      <c r="Z395" s="505"/>
      <c r="AA395" s="505"/>
      <c r="AB395" s="505"/>
      <c r="AC395" s="505"/>
      <c r="AD395" s="505"/>
      <c r="AE395" s="505"/>
      <c r="AF395" s="505"/>
      <c r="AG395" s="505"/>
      <c r="AH395" s="505"/>
      <c r="AI395" s="505"/>
      <c r="AJ395" s="505"/>
      <c r="AK395" s="505"/>
      <c r="AL395" s="505"/>
      <c r="AM395" s="505"/>
      <c r="AN395" s="505"/>
      <c r="AO395" s="505"/>
      <c r="AP395" s="505"/>
      <c r="AQ395" s="505"/>
      <c r="AR395" s="505"/>
      <c r="AS395" s="505"/>
      <c r="AT395" s="505"/>
      <c r="AU395" s="505"/>
      <c r="AV395" s="505"/>
      <c r="AW395" s="505"/>
      <c r="AX395" s="505"/>
      <c r="AY395" s="505"/>
      <c r="AZ395" s="505"/>
      <c r="BA395" s="505"/>
      <c r="BB395" s="505"/>
      <c r="BC395" s="505"/>
      <c r="BD395" s="505"/>
      <c r="BE395" s="505"/>
      <c r="BF395" s="505"/>
      <c r="BG395" s="505"/>
      <c r="BH395" s="505"/>
      <c r="BI395" s="505"/>
      <c r="BJ395" s="505"/>
      <c r="BK395" s="505"/>
      <c r="BL395" s="505"/>
      <c r="BM395" s="505"/>
      <c r="BN395" s="505"/>
      <c r="BO395" s="505"/>
      <c r="BP395" s="505"/>
      <c r="BQ395" s="505"/>
      <c r="BR395" s="505"/>
      <c r="BS395" s="505"/>
      <c r="BT395" s="505"/>
      <c r="BU395" s="505"/>
      <c r="BV395" s="505"/>
      <c r="BW395" s="505"/>
      <c r="BX395" s="505"/>
      <c r="BY395" s="505"/>
      <c r="BZ395" s="505"/>
      <c r="CA395" s="505"/>
      <c r="CB395" s="505"/>
      <c r="CC395" s="505"/>
      <c r="CD395" s="505"/>
      <c r="CE395" s="505"/>
      <c r="CF395" s="505"/>
      <c r="CG395" s="505"/>
      <c r="CH395" s="505"/>
      <c r="CI395" s="505"/>
      <c r="CJ395" s="505"/>
      <c r="CK395" s="505"/>
      <c r="CL395" s="505"/>
      <c r="CM395" s="505"/>
      <c r="CN395" s="505"/>
      <c r="CO395" s="505"/>
      <c r="CP395" s="505"/>
      <c r="CQ395" s="505"/>
      <c r="CR395" s="505"/>
      <c r="CS395" s="505"/>
      <c r="CT395" s="505"/>
      <c r="CU395" s="505"/>
      <c r="CV395" s="505"/>
      <c r="CW395" s="505"/>
      <c r="CX395" s="505"/>
      <c r="CY395" s="505"/>
      <c r="CZ395" s="505"/>
      <c r="DA395" s="505"/>
      <c r="DB395" s="505"/>
      <c r="DC395" s="505"/>
      <c r="DD395" s="505"/>
      <c r="DE395" s="505"/>
      <c r="DF395" s="505"/>
      <c r="DG395" s="505"/>
      <c r="DH395" s="505"/>
      <c r="DI395" s="505"/>
      <c r="DJ395" s="505"/>
      <c r="DK395" s="505"/>
      <c r="DL395" s="505"/>
      <c r="DM395" s="505"/>
      <c r="DN395" s="505"/>
      <c r="DO395" s="505"/>
      <c r="DP395" s="505"/>
    </row>
    <row r="396" spans="1:120" hidden="1" outlineLevel="1" x14ac:dyDescent="0.2">
      <c r="A396" s="517">
        <f t="shared" si="61"/>
        <v>39264</v>
      </c>
      <c r="B396" s="517" t="str">
        <f t="shared" si="58"/>
        <v>3Q07</v>
      </c>
      <c r="C396" s="517" t="str">
        <f t="shared" si="62"/>
        <v>3Q07</v>
      </c>
      <c r="D396" s="518">
        <f t="shared" si="63"/>
        <v>39325</v>
      </c>
      <c r="E396" s="518">
        <f t="shared" si="63"/>
        <v>39265</v>
      </c>
      <c r="F396" s="520">
        <v>2.8290000000000002</v>
      </c>
      <c r="G396" s="521">
        <f t="shared" si="59"/>
        <v>0.34000000000000014</v>
      </c>
      <c r="H396" s="521">
        <f t="shared" si="60"/>
        <v>0.34000000000000014</v>
      </c>
      <c r="I396" s="505"/>
      <c r="J396" s="505"/>
      <c r="K396" s="505"/>
      <c r="L396" s="505"/>
      <c r="M396" s="528"/>
      <c r="N396" s="505"/>
      <c r="O396" s="505"/>
      <c r="P396" s="505"/>
      <c r="Q396" s="505"/>
      <c r="R396" s="505"/>
      <c r="S396" s="505"/>
      <c r="T396" s="505"/>
      <c r="U396" s="505"/>
      <c r="V396" s="505"/>
      <c r="W396" s="505"/>
      <c r="X396" s="505"/>
      <c r="Y396" s="505"/>
      <c r="Z396" s="505"/>
      <c r="AA396" s="505"/>
      <c r="AB396" s="505"/>
      <c r="AC396" s="505"/>
      <c r="AD396" s="505"/>
      <c r="AE396" s="505"/>
      <c r="AF396" s="505"/>
      <c r="AG396" s="505"/>
      <c r="AH396" s="505"/>
      <c r="AI396" s="505"/>
      <c r="AJ396" s="505"/>
      <c r="AK396" s="505"/>
      <c r="AL396" s="505"/>
      <c r="AM396" s="505"/>
      <c r="AN396" s="505"/>
      <c r="AO396" s="505"/>
      <c r="AP396" s="505"/>
      <c r="AQ396" s="505"/>
      <c r="AR396" s="505"/>
      <c r="AS396" s="505"/>
      <c r="AT396" s="505"/>
      <c r="AU396" s="505"/>
      <c r="AV396" s="505"/>
      <c r="AW396" s="505"/>
      <c r="AX396" s="505"/>
      <c r="AY396" s="505"/>
      <c r="AZ396" s="505"/>
      <c r="BA396" s="505"/>
      <c r="BB396" s="505"/>
      <c r="BC396" s="505"/>
      <c r="BD396" s="505"/>
      <c r="BE396" s="505"/>
      <c r="BF396" s="505"/>
      <c r="BG396" s="505"/>
      <c r="BH396" s="505"/>
      <c r="BI396" s="505"/>
      <c r="BJ396" s="505"/>
      <c r="BK396" s="505"/>
      <c r="BL396" s="505"/>
      <c r="BM396" s="505"/>
      <c r="BN396" s="505"/>
      <c r="BO396" s="505"/>
      <c r="BP396" s="505"/>
      <c r="BQ396" s="505"/>
      <c r="BR396" s="505"/>
      <c r="BS396" s="505"/>
      <c r="BT396" s="505"/>
      <c r="BU396" s="505"/>
      <c r="BV396" s="505"/>
      <c r="BW396" s="505"/>
      <c r="BX396" s="505"/>
      <c r="BY396" s="505"/>
      <c r="BZ396" s="505"/>
      <c r="CA396" s="505"/>
      <c r="CB396" s="505"/>
      <c r="CC396" s="505"/>
      <c r="CD396" s="505"/>
      <c r="CE396" s="505"/>
      <c r="CF396" s="505"/>
      <c r="CG396" s="505"/>
      <c r="CH396" s="505"/>
      <c r="CI396" s="505"/>
      <c r="CJ396" s="505"/>
      <c r="CK396" s="505"/>
      <c r="CL396" s="505"/>
      <c r="CM396" s="505"/>
      <c r="CN396" s="505"/>
      <c r="CO396" s="505"/>
      <c r="CP396" s="505"/>
      <c r="CQ396" s="505"/>
      <c r="CR396" s="505"/>
      <c r="CS396" s="505"/>
      <c r="CT396" s="505"/>
      <c r="CU396" s="505"/>
      <c r="CV396" s="505"/>
      <c r="CW396" s="505"/>
      <c r="CX396" s="505"/>
      <c r="CY396" s="505"/>
      <c r="CZ396" s="505"/>
      <c r="DA396" s="505"/>
      <c r="DB396" s="505"/>
      <c r="DC396" s="505"/>
      <c r="DD396" s="505"/>
      <c r="DE396" s="505"/>
      <c r="DF396" s="505"/>
      <c r="DG396" s="505"/>
      <c r="DH396" s="505"/>
      <c r="DI396" s="505"/>
      <c r="DJ396" s="505"/>
      <c r="DK396" s="505"/>
      <c r="DL396" s="505"/>
      <c r="DM396" s="505"/>
      <c r="DN396" s="505"/>
      <c r="DO396" s="505"/>
      <c r="DP396" s="505"/>
    </row>
    <row r="397" spans="1:120" hidden="1" outlineLevel="1" x14ac:dyDescent="0.2">
      <c r="A397" s="517">
        <f t="shared" si="61"/>
        <v>39264</v>
      </c>
      <c r="B397" s="517" t="str">
        <f t="shared" si="58"/>
        <v>3Q07</v>
      </c>
      <c r="C397" s="517" t="str">
        <f t="shared" si="62"/>
        <v>3Q07</v>
      </c>
      <c r="D397" s="518">
        <f t="shared" si="63"/>
        <v>39332</v>
      </c>
      <c r="E397" s="518">
        <f t="shared" si="63"/>
        <v>39272</v>
      </c>
      <c r="F397" s="520">
        <v>2.8490000000000002</v>
      </c>
      <c r="G397" s="521">
        <f t="shared" si="59"/>
        <v>0.34000000000000014</v>
      </c>
      <c r="H397" s="521">
        <f t="shared" si="60"/>
        <v>0.35000000000000014</v>
      </c>
      <c r="I397" s="505"/>
      <c r="J397" s="505"/>
      <c r="K397" s="505"/>
      <c r="L397" s="505"/>
      <c r="M397" s="528"/>
      <c r="N397" s="505"/>
      <c r="O397" s="505"/>
      <c r="P397" s="505"/>
      <c r="Q397" s="505"/>
      <c r="R397" s="505"/>
      <c r="S397" s="505"/>
      <c r="T397" s="505"/>
      <c r="U397" s="505"/>
      <c r="V397" s="505"/>
      <c r="W397" s="505"/>
      <c r="X397" s="505"/>
      <c r="Y397" s="505"/>
      <c r="Z397" s="505"/>
      <c r="AA397" s="505"/>
      <c r="AB397" s="505"/>
      <c r="AC397" s="505"/>
      <c r="AD397" s="505"/>
      <c r="AE397" s="505"/>
      <c r="AF397" s="505"/>
      <c r="AG397" s="505"/>
      <c r="AH397" s="505"/>
      <c r="AI397" s="505"/>
      <c r="AJ397" s="505"/>
      <c r="AK397" s="505"/>
      <c r="AL397" s="505"/>
      <c r="AM397" s="505"/>
      <c r="AN397" s="505"/>
      <c r="AO397" s="505"/>
      <c r="AP397" s="505"/>
      <c r="AQ397" s="505"/>
      <c r="AR397" s="505"/>
      <c r="AS397" s="505"/>
      <c r="AT397" s="505"/>
      <c r="AU397" s="505"/>
      <c r="AV397" s="505"/>
      <c r="AW397" s="505"/>
      <c r="AX397" s="505"/>
      <c r="AY397" s="505"/>
      <c r="AZ397" s="505"/>
      <c r="BA397" s="505"/>
      <c r="BB397" s="505"/>
      <c r="BC397" s="505"/>
      <c r="BD397" s="505"/>
      <c r="BE397" s="505"/>
      <c r="BF397" s="505"/>
      <c r="BG397" s="505"/>
      <c r="BH397" s="505"/>
      <c r="BI397" s="505"/>
      <c r="BJ397" s="505"/>
      <c r="BK397" s="505"/>
      <c r="BL397" s="505"/>
      <c r="BM397" s="505"/>
      <c r="BN397" s="505"/>
      <c r="BO397" s="505"/>
      <c r="BP397" s="505"/>
      <c r="BQ397" s="505"/>
      <c r="BR397" s="505"/>
      <c r="BS397" s="505"/>
      <c r="BT397" s="505"/>
      <c r="BU397" s="505"/>
      <c r="BV397" s="505"/>
      <c r="BW397" s="505"/>
      <c r="BX397" s="505"/>
      <c r="BY397" s="505"/>
      <c r="BZ397" s="505"/>
      <c r="CA397" s="505"/>
      <c r="CB397" s="505"/>
      <c r="CC397" s="505"/>
      <c r="CD397" s="505"/>
      <c r="CE397" s="505"/>
      <c r="CF397" s="505"/>
      <c r="CG397" s="505"/>
      <c r="CH397" s="505"/>
      <c r="CI397" s="505"/>
      <c r="CJ397" s="505"/>
      <c r="CK397" s="505"/>
      <c r="CL397" s="505"/>
      <c r="CM397" s="505"/>
      <c r="CN397" s="505"/>
      <c r="CO397" s="505"/>
      <c r="CP397" s="505"/>
      <c r="CQ397" s="505"/>
      <c r="CR397" s="505"/>
      <c r="CS397" s="505"/>
      <c r="CT397" s="505"/>
      <c r="CU397" s="505"/>
      <c r="CV397" s="505"/>
      <c r="CW397" s="505"/>
      <c r="CX397" s="505"/>
      <c r="CY397" s="505"/>
      <c r="CZ397" s="505"/>
      <c r="DA397" s="505"/>
      <c r="DB397" s="505"/>
      <c r="DC397" s="505"/>
      <c r="DD397" s="505"/>
      <c r="DE397" s="505"/>
      <c r="DF397" s="505"/>
      <c r="DG397" s="505"/>
      <c r="DH397" s="505"/>
      <c r="DI397" s="505"/>
      <c r="DJ397" s="505"/>
      <c r="DK397" s="505"/>
      <c r="DL397" s="505"/>
      <c r="DM397" s="505"/>
      <c r="DN397" s="505"/>
      <c r="DO397" s="505"/>
      <c r="DP397" s="505"/>
    </row>
    <row r="398" spans="1:120" hidden="1" outlineLevel="1" x14ac:dyDescent="0.2">
      <c r="A398" s="517">
        <f t="shared" si="61"/>
        <v>39264</v>
      </c>
      <c r="B398" s="517" t="str">
        <f t="shared" si="58"/>
        <v>3Q07</v>
      </c>
      <c r="C398" s="517" t="str">
        <f t="shared" si="62"/>
        <v>3Q07</v>
      </c>
      <c r="D398" s="518">
        <f t="shared" si="63"/>
        <v>39339</v>
      </c>
      <c r="E398" s="518">
        <f t="shared" si="63"/>
        <v>39279</v>
      </c>
      <c r="F398" s="520">
        <v>2.8889999999999998</v>
      </c>
      <c r="G398" s="521">
        <f t="shared" si="59"/>
        <v>0.35000000000000014</v>
      </c>
      <c r="H398" s="521">
        <f t="shared" si="60"/>
        <v>0.35000000000000014</v>
      </c>
      <c r="I398" s="505"/>
      <c r="J398" s="505"/>
      <c r="K398" s="505"/>
      <c r="L398" s="505"/>
      <c r="M398" s="528"/>
      <c r="N398" s="505"/>
      <c r="O398" s="505"/>
      <c r="P398" s="505"/>
      <c r="Q398" s="505"/>
      <c r="R398" s="505"/>
      <c r="S398" s="505"/>
      <c r="T398" s="505"/>
      <c r="U398" s="505"/>
      <c r="V398" s="505"/>
      <c r="W398" s="505"/>
      <c r="X398" s="505"/>
      <c r="Y398" s="505"/>
      <c r="Z398" s="505"/>
      <c r="AA398" s="505"/>
      <c r="AB398" s="505"/>
      <c r="AC398" s="505"/>
      <c r="AD398" s="505"/>
      <c r="AE398" s="505"/>
      <c r="AF398" s="505"/>
      <c r="AG398" s="505"/>
      <c r="AH398" s="505"/>
      <c r="AI398" s="505"/>
      <c r="AJ398" s="505"/>
      <c r="AK398" s="505"/>
      <c r="AL398" s="505"/>
      <c r="AM398" s="505"/>
      <c r="AN398" s="505"/>
      <c r="AO398" s="505"/>
      <c r="AP398" s="505"/>
      <c r="AQ398" s="505"/>
      <c r="AR398" s="505"/>
      <c r="AS398" s="505"/>
      <c r="AT398" s="505"/>
      <c r="AU398" s="505"/>
      <c r="AV398" s="505"/>
      <c r="AW398" s="505"/>
      <c r="AX398" s="505"/>
      <c r="AY398" s="505"/>
      <c r="AZ398" s="505"/>
      <c r="BA398" s="505"/>
      <c r="BB398" s="505"/>
      <c r="BC398" s="505"/>
      <c r="BD398" s="505"/>
      <c r="BE398" s="505"/>
      <c r="BF398" s="505"/>
      <c r="BG398" s="505"/>
      <c r="BH398" s="505"/>
      <c r="BI398" s="505"/>
      <c r="BJ398" s="505"/>
      <c r="BK398" s="505"/>
      <c r="BL398" s="505"/>
      <c r="BM398" s="505"/>
      <c r="BN398" s="505"/>
      <c r="BO398" s="505"/>
      <c r="BP398" s="505"/>
      <c r="BQ398" s="505"/>
      <c r="BR398" s="505"/>
      <c r="BS398" s="505"/>
      <c r="BT398" s="505"/>
      <c r="BU398" s="505"/>
      <c r="BV398" s="505"/>
      <c r="BW398" s="505"/>
      <c r="BX398" s="505"/>
      <c r="BY398" s="505"/>
      <c r="BZ398" s="505"/>
      <c r="CA398" s="505"/>
      <c r="CB398" s="505"/>
      <c r="CC398" s="505"/>
      <c r="CD398" s="505"/>
      <c r="CE398" s="505"/>
      <c r="CF398" s="505"/>
      <c r="CG398" s="505"/>
      <c r="CH398" s="505"/>
      <c r="CI398" s="505"/>
      <c r="CJ398" s="505"/>
      <c r="CK398" s="505"/>
      <c r="CL398" s="505"/>
      <c r="CM398" s="505"/>
      <c r="CN398" s="505"/>
      <c r="CO398" s="505"/>
      <c r="CP398" s="505"/>
      <c r="CQ398" s="505"/>
      <c r="CR398" s="505"/>
      <c r="CS398" s="505"/>
      <c r="CT398" s="505"/>
      <c r="CU398" s="505"/>
      <c r="CV398" s="505"/>
      <c r="CW398" s="505"/>
      <c r="CX398" s="505"/>
      <c r="CY398" s="505"/>
      <c r="CZ398" s="505"/>
      <c r="DA398" s="505"/>
      <c r="DB398" s="505"/>
      <c r="DC398" s="505"/>
      <c r="DD398" s="505"/>
      <c r="DE398" s="505"/>
      <c r="DF398" s="505"/>
      <c r="DG398" s="505"/>
      <c r="DH398" s="505"/>
      <c r="DI398" s="505"/>
      <c r="DJ398" s="505"/>
      <c r="DK398" s="505"/>
      <c r="DL398" s="505"/>
      <c r="DM398" s="505"/>
      <c r="DN398" s="505"/>
      <c r="DO398" s="505"/>
      <c r="DP398" s="505"/>
    </row>
    <row r="399" spans="1:120" hidden="1" outlineLevel="1" x14ac:dyDescent="0.2">
      <c r="A399" s="517">
        <f t="shared" si="61"/>
        <v>39264</v>
      </c>
      <c r="B399" s="517" t="str">
        <f t="shared" si="58"/>
        <v>3Q07</v>
      </c>
      <c r="C399" s="517" t="str">
        <f t="shared" si="62"/>
        <v>3Q07</v>
      </c>
      <c r="D399" s="518">
        <f t="shared" si="63"/>
        <v>39346</v>
      </c>
      <c r="E399" s="518">
        <f t="shared" si="63"/>
        <v>39286</v>
      </c>
      <c r="F399" s="520">
        <v>2.8889999999999998</v>
      </c>
      <c r="G399" s="521">
        <f t="shared" si="59"/>
        <v>0.35000000000000014</v>
      </c>
      <c r="H399" s="521">
        <f t="shared" si="60"/>
        <v>0.35000000000000014</v>
      </c>
      <c r="I399" s="505"/>
      <c r="J399" s="505"/>
      <c r="K399" s="505"/>
      <c r="L399" s="505"/>
      <c r="M399" s="528"/>
      <c r="N399" s="505"/>
      <c r="O399" s="505"/>
      <c r="P399" s="505"/>
      <c r="Q399" s="505"/>
      <c r="R399" s="505"/>
      <c r="S399" s="505"/>
      <c r="T399" s="505"/>
      <c r="U399" s="505"/>
      <c r="V399" s="505"/>
      <c r="W399" s="505"/>
      <c r="X399" s="505"/>
      <c r="Y399" s="505"/>
      <c r="Z399" s="505"/>
      <c r="AA399" s="505"/>
      <c r="AB399" s="505"/>
      <c r="AC399" s="505"/>
      <c r="AD399" s="505"/>
      <c r="AE399" s="505"/>
      <c r="AF399" s="505"/>
      <c r="AG399" s="505"/>
      <c r="AH399" s="505"/>
      <c r="AI399" s="505"/>
      <c r="AJ399" s="505"/>
      <c r="AK399" s="505"/>
      <c r="AL399" s="505"/>
      <c r="AM399" s="505"/>
      <c r="AN399" s="505"/>
      <c r="AO399" s="505"/>
      <c r="AP399" s="505"/>
      <c r="AQ399" s="505"/>
      <c r="AR399" s="505"/>
      <c r="AS399" s="505"/>
      <c r="AT399" s="505"/>
      <c r="AU399" s="505"/>
      <c r="AV399" s="505"/>
      <c r="AW399" s="505"/>
      <c r="AX399" s="505"/>
      <c r="AY399" s="505"/>
      <c r="AZ399" s="505"/>
      <c r="BA399" s="505"/>
      <c r="BB399" s="505"/>
      <c r="BC399" s="505"/>
      <c r="BD399" s="505"/>
      <c r="BE399" s="505"/>
      <c r="BF399" s="505"/>
      <c r="BG399" s="505"/>
      <c r="BH399" s="505"/>
      <c r="BI399" s="505"/>
      <c r="BJ399" s="505"/>
      <c r="BK399" s="505"/>
      <c r="BL399" s="505"/>
      <c r="BM399" s="505"/>
      <c r="BN399" s="505"/>
      <c r="BO399" s="505"/>
      <c r="BP399" s="505"/>
      <c r="BQ399" s="505"/>
      <c r="BR399" s="505"/>
      <c r="BS399" s="505"/>
      <c r="BT399" s="505"/>
      <c r="BU399" s="505"/>
      <c r="BV399" s="505"/>
      <c r="BW399" s="505"/>
      <c r="BX399" s="505"/>
      <c r="BY399" s="505"/>
      <c r="BZ399" s="505"/>
      <c r="CA399" s="505"/>
      <c r="CB399" s="505"/>
      <c r="CC399" s="505"/>
      <c r="CD399" s="505"/>
      <c r="CE399" s="505"/>
      <c r="CF399" s="505"/>
      <c r="CG399" s="505"/>
      <c r="CH399" s="505"/>
      <c r="CI399" s="505"/>
      <c r="CJ399" s="505"/>
      <c r="CK399" s="505"/>
      <c r="CL399" s="505"/>
      <c r="CM399" s="505"/>
      <c r="CN399" s="505"/>
      <c r="CO399" s="505"/>
      <c r="CP399" s="505"/>
      <c r="CQ399" s="505"/>
      <c r="CR399" s="505"/>
      <c r="CS399" s="505"/>
      <c r="CT399" s="505"/>
      <c r="CU399" s="505"/>
      <c r="CV399" s="505"/>
      <c r="CW399" s="505"/>
      <c r="CX399" s="505"/>
      <c r="CY399" s="505"/>
      <c r="CZ399" s="505"/>
      <c r="DA399" s="505"/>
      <c r="DB399" s="505"/>
      <c r="DC399" s="505"/>
      <c r="DD399" s="505"/>
      <c r="DE399" s="505"/>
      <c r="DF399" s="505"/>
      <c r="DG399" s="505"/>
      <c r="DH399" s="505"/>
      <c r="DI399" s="505"/>
      <c r="DJ399" s="505"/>
      <c r="DK399" s="505"/>
      <c r="DL399" s="505"/>
      <c r="DM399" s="505"/>
      <c r="DN399" s="505"/>
      <c r="DO399" s="505"/>
      <c r="DP399" s="505"/>
    </row>
    <row r="400" spans="1:120" hidden="1" outlineLevel="1" x14ac:dyDescent="0.2">
      <c r="A400" s="517">
        <f t="shared" si="61"/>
        <v>39264</v>
      </c>
      <c r="B400" s="517" t="str">
        <f t="shared" si="58"/>
        <v>3Q07</v>
      </c>
      <c r="C400" s="517" t="str">
        <f t="shared" si="62"/>
        <v>3Q07</v>
      </c>
      <c r="D400" s="518">
        <f t="shared" si="63"/>
        <v>39353</v>
      </c>
      <c r="E400" s="518">
        <f t="shared" si="63"/>
        <v>39293</v>
      </c>
      <c r="F400" s="520">
        <v>2.8860000000000001</v>
      </c>
      <c r="G400" s="521">
        <f t="shared" si="59"/>
        <v>0.35000000000000014</v>
      </c>
      <c r="H400" s="521">
        <f t="shared" si="60"/>
        <v>0.35000000000000014</v>
      </c>
      <c r="I400" s="505"/>
      <c r="J400" s="505"/>
      <c r="K400" s="505"/>
      <c r="L400" s="505"/>
      <c r="M400" s="528"/>
      <c r="N400" s="505"/>
      <c r="O400" s="505"/>
      <c r="P400" s="505"/>
      <c r="Q400" s="505"/>
      <c r="R400" s="505"/>
      <c r="S400" s="505"/>
      <c r="T400" s="505"/>
      <c r="U400" s="505"/>
      <c r="V400" s="505"/>
      <c r="W400" s="505"/>
      <c r="X400" s="505"/>
      <c r="Y400" s="505"/>
      <c r="Z400" s="505"/>
      <c r="AA400" s="505"/>
      <c r="AB400" s="505"/>
      <c r="AC400" s="505"/>
      <c r="AD400" s="505"/>
      <c r="AE400" s="505"/>
      <c r="AF400" s="505"/>
      <c r="AG400" s="505"/>
      <c r="AH400" s="505"/>
      <c r="AI400" s="505"/>
      <c r="AJ400" s="505"/>
      <c r="AK400" s="505"/>
      <c r="AL400" s="505"/>
      <c r="AM400" s="505"/>
      <c r="AN400" s="505"/>
      <c r="AO400" s="505"/>
      <c r="AP400" s="505"/>
      <c r="AQ400" s="505"/>
      <c r="AR400" s="505"/>
      <c r="AS400" s="505"/>
      <c r="AT400" s="505"/>
      <c r="AU400" s="505"/>
      <c r="AV400" s="505"/>
      <c r="AW400" s="505"/>
      <c r="AX400" s="505"/>
      <c r="AY400" s="505"/>
      <c r="AZ400" s="505"/>
      <c r="BA400" s="505"/>
      <c r="BB400" s="505"/>
      <c r="BC400" s="505"/>
      <c r="BD400" s="505"/>
      <c r="BE400" s="505"/>
      <c r="BF400" s="505"/>
      <c r="BG400" s="505"/>
      <c r="BH400" s="505"/>
      <c r="BI400" s="505"/>
      <c r="BJ400" s="505"/>
      <c r="BK400" s="505"/>
      <c r="BL400" s="505"/>
      <c r="BM400" s="505"/>
      <c r="BN400" s="505"/>
      <c r="BO400" s="505"/>
      <c r="BP400" s="505"/>
      <c r="BQ400" s="505"/>
      <c r="BR400" s="505"/>
      <c r="BS400" s="505"/>
      <c r="BT400" s="505"/>
      <c r="BU400" s="505"/>
      <c r="BV400" s="505"/>
      <c r="BW400" s="505"/>
      <c r="BX400" s="505"/>
      <c r="BY400" s="505"/>
      <c r="BZ400" s="505"/>
      <c r="CA400" s="505"/>
      <c r="CB400" s="505"/>
      <c r="CC400" s="505"/>
      <c r="CD400" s="505"/>
      <c r="CE400" s="505"/>
      <c r="CF400" s="505"/>
      <c r="CG400" s="505"/>
      <c r="CH400" s="505"/>
      <c r="CI400" s="505"/>
      <c r="CJ400" s="505"/>
      <c r="CK400" s="505"/>
      <c r="CL400" s="505"/>
      <c r="CM400" s="505"/>
      <c r="CN400" s="505"/>
      <c r="CO400" s="505"/>
      <c r="CP400" s="505"/>
      <c r="CQ400" s="505"/>
      <c r="CR400" s="505"/>
      <c r="CS400" s="505"/>
      <c r="CT400" s="505"/>
      <c r="CU400" s="505"/>
      <c r="CV400" s="505"/>
      <c r="CW400" s="505"/>
      <c r="CX400" s="505"/>
      <c r="CY400" s="505"/>
      <c r="CZ400" s="505"/>
      <c r="DA400" s="505"/>
      <c r="DB400" s="505"/>
      <c r="DC400" s="505"/>
      <c r="DD400" s="505"/>
      <c r="DE400" s="505"/>
      <c r="DF400" s="505"/>
      <c r="DG400" s="505"/>
      <c r="DH400" s="505"/>
      <c r="DI400" s="505"/>
      <c r="DJ400" s="505"/>
      <c r="DK400" s="505"/>
      <c r="DL400" s="505"/>
      <c r="DM400" s="505"/>
      <c r="DN400" s="505"/>
      <c r="DO400" s="505"/>
      <c r="DP400" s="505"/>
    </row>
    <row r="401" spans="1:120" hidden="1" outlineLevel="1" x14ac:dyDescent="0.2">
      <c r="A401" s="517">
        <f t="shared" si="61"/>
        <v>39295</v>
      </c>
      <c r="B401" s="517" t="str">
        <f t="shared" si="58"/>
        <v>3Q07</v>
      </c>
      <c r="C401" s="517" t="str">
        <f t="shared" si="62"/>
        <v>4Q07</v>
      </c>
      <c r="D401" s="518">
        <f t="shared" si="63"/>
        <v>39360</v>
      </c>
      <c r="E401" s="518">
        <f t="shared" si="63"/>
        <v>39300</v>
      </c>
      <c r="F401" s="520">
        <v>2.8980000000000001</v>
      </c>
      <c r="G401" s="521">
        <f t="shared" si="59"/>
        <v>0.35000000000000014</v>
      </c>
      <c r="H401" s="521">
        <f t="shared" si="60"/>
        <v>0.34000000000000014</v>
      </c>
      <c r="I401" s="505"/>
      <c r="J401" s="505"/>
      <c r="K401" s="505"/>
      <c r="L401" s="505"/>
      <c r="M401" s="528"/>
      <c r="N401" s="505"/>
      <c r="O401" s="505"/>
      <c r="P401" s="505"/>
      <c r="Q401" s="505"/>
      <c r="R401" s="505"/>
      <c r="S401" s="505"/>
      <c r="T401" s="505"/>
      <c r="U401" s="505"/>
      <c r="V401" s="505"/>
      <c r="W401" s="505"/>
      <c r="X401" s="505"/>
      <c r="Y401" s="505"/>
      <c r="Z401" s="505"/>
      <c r="AA401" s="505"/>
      <c r="AB401" s="505"/>
      <c r="AC401" s="505"/>
      <c r="AD401" s="505"/>
      <c r="AE401" s="505"/>
      <c r="AF401" s="505"/>
      <c r="AG401" s="505"/>
      <c r="AH401" s="505"/>
      <c r="AI401" s="505"/>
      <c r="AJ401" s="505"/>
      <c r="AK401" s="505"/>
      <c r="AL401" s="505"/>
      <c r="AM401" s="505"/>
      <c r="AN401" s="505"/>
      <c r="AO401" s="505"/>
      <c r="AP401" s="505"/>
      <c r="AQ401" s="505"/>
      <c r="AR401" s="505"/>
      <c r="AS401" s="505"/>
      <c r="AT401" s="505"/>
      <c r="AU401" s="505"/>
      <c r="AV401" s="505"/>
      <c r="AW401" s="505"/>
      <c r="AX401" s="505"/>
      <c r="AY401" s="505"/>
      <c r="AZ401" s="505"/>
      <c r="BA401" s="505"/>
      <c r="BB401" s="505"/>
      <c r="BC401" s="505"/>
      <c r="BD401" s="505"/>
      <c r="BE401" s="505"/>
      <c r="BF401" s="505"/>
      <c r="BG401" s="505"/>
      <c r="BH401" s="505"/>
      <c r="BI401" s="505"/>
      <c r="BJ401" s="505"/>
      <c r="BK401" s="505"/>
      <c r="BL401" s="505"/>
      <c r="BM401" s="505"/>
      <c r="BN401" s="505"/>
      <c r="BO401" s="505"/>
      <c r="BP401" s="505"/>
      <c r="BQ401" s="505"/>
      <c r="BR401" s="505"/>
      <c r="BS401" s="505"/>
      <c r="BT401" s="505"/>
      <c r="BU401" s="505"/>
      <c r="BV401" s="505"/>
      <c r="BW401" s="505"/>
      <c r="BX401" s="505"/>
      <c r="BY401" s="505"/>
      <c r="BZ401" s="505"/>
      <c r="CA401" s="505"/>
      <c r="CB401" s="505"/>
      <c r="CC401" s="505"/>
      <c r="CD401" s="505"/>
      <c r="CE401" s="505"/>
      <c r="CF401" s="505"/>
      <c r="CG401" s="505"/>
      <c r="CH401" s="505"/>
      <c r="CI401" s="505"/>
      <c r="CJ401" s="505"/>
      <c r="CK401" s="505"/>
      <c r="CL401" s="505"/>
      <c r="CM401" s="505"/>
      <c r="CN401" s="505"/>
      <c r="CO401" s="505"/>
      <c r="CP401" s="505"/>
      <c r="CQ401" s="505"/>
      <c r="CR401" s="505"/>
      <c r="CS401" s="505"/>
      <c r="CT401" s="505"/>
      <c r="CU401" s="505"/>
      <c r="CV401" s="505"/>
      <c r="CW401" s="505"/>
      <c r="CX401" s="505"/>
      <c r="CY401" s="505"/>
      <c r="CZ401" s="505"/>
      <c r="DA401" s="505"/>
      <c r="DB401" s="505"/>
      <c r="DC401" s="505"/>
      <c r="DD401" s="505"/>
      <c r="DE401" s="505"/>
      <c r="DF401" s="505"/>
      <c r="DG401" s="505"/>
      <c r="DH401" s="505"/>
      <c r="DI401" s="505"/>
      <c r="DJ401" s="505"/>
      <c r="DK401" s="505"/>
      <c r="DL401" s="505"/>
      <c r="DM401" s="505"/>
      <c r="DN401" s="505"/>
      <c r="DO401" s="505"/>
      <c r="DP401" s="505"/>
    </row>
    <row r="402" spans="1:120" hidden="1" outlineLevel="1" x14ac:dyDescent="0.2">
      <c r="A402" s="517">
        <f t="shared" si="61"/>
        <v>39295</v>
      </c>
      <c r="B402" s="517" t="str">
        <f t="shared" si="58"/>
        <v>3Q07</v>
      </c>
      <c r="C402" s="517" t="str">
        <f t="shared" si="62"/>
        <v>4Q07</v>
      </c>
      <c r="D402" s="518">
        <f t="shared" si="63"/>
        <v>39367</v>
      </c>
      <c r="E402" s="518">
        <f t="shared" si="63"/>
        <v>39307</v>
      </c>
      <c r="F402" s="520">
        <v>2.847</v>
      </c>
      <c r="G402" s="521">
        <f t="shared" si="59"/>
        <v>0.34000000000000014</v>
      </c>
      <c r="H402" s="521">
        <f t="shared" si="60"/>
        <v>0.35000000000000014</v>
      </c>
      <c r="I402" s="505"/>
      <c r="J402" s="505"/>
      <c r="K402" s="505"/>
      <c r="L402" s="505"/>
      <c r="M402" s="528"/>
      <c r="N402" s="505"/>
      <c r="O402" s="505"/>
      <c r="P402" s="505"/>
      <c r="Q402" s="505"/>
      <c r="R402" s="505"/>
      <c r="S402" s="505"/>
      <c r="T402" s="505"/>
      <c r="U402" s="505"/>
      <c r="V402" s="505"/>
      <c r="W402" s="505"/>
      <c r="X402" s="505"/>
      <c r="Y402" s="505"/>
      <c r="Z402" s="505"/>
      <c r="AA402" s="505"/>
      <c r="AB402" s="505"/>
      <c r="AC402" s="505"/>
      <c r="AD402" s="505"/>
      <c r="AE402" s="505"/>
      <c r="AF402" s="505"/>
      <c r="AG402" s="505"/>
      <c r="AH402" s="505"/>
      <c r="AI402" s="505"/>
      <c r="AJ402" s="505"/>
      <c r="AK402" s="505"/>
      <c r="AL402" s="505"/>
      <c r="AM402" s="505"/>
      <c r="AN402" s="505"/>
      <c r="AO402" s="505"/>
      <c r="AP402" s="505"/>
      <c r="AQ402" s="505"/>
      <c r="AR402" s="505"/>
      <c r="AS402" s="505"/>
      <c r="AT402" s="505"/>
      <c r="AU402" s="505"/>
      <c r="AV402" s="505"/>
      <c r="AW402" s="505"/>
      <c r="AX402" s="505"/>
      <c r="AY402" s="505"/>
      <c r="AZ402" s="505"/>
      <c r="BA402" s="505"/>
      <c r="BB402" s="505"/>
      <c r="BC402" s="505"/>
      <c r="BD402" s="505"/>
      <c r="BE402" s="505"/>
      <c r="BF402" s="505"/>
      <c r="BG402" s="505"/>
      <c r="BH402" s="505"/>
      <c r="BI402" s="505"/>
      <c r="BJ402" s="505"/>
      <c r="BK402" s="505"/>
      <c r="BL402" s="505"/>
      <c r="BM402" s="505"/>
      <c r="BN402" s="505"/>
      <c r="BO402" s="505"/>
      <c r="BP402" s="505"/>
      <c r="BQ402" s="505"/>
      <c r="BR402" s="505"/>
      <c r="BS402" s="505"/>
      <c r="BT402" s="505"/>
      <c r="BU402" s="505"/>
      <c r="BV402" s="505"/>
      <c r="BW402" s="505"/>
      <c r="BX402" s="505"/>
      <c r="BY402" s="505"/>
      <c r="BZ402" s="505"/>
      <c r="CA402" s="505"/>
      <c r="CB402" s="505"/>
      <c r="CC402" s="505"/>
      <c r="CD402" s="505"/>
      <c r="CE402" s="505"/>
      <c r="CF402" s="505"/>
      <c r="CG402" s="505"/>
      <c r="CH402" s="505"/>
      <c r="CI402" s="505"/>
      <c r="CJ402" s="505"/>
      <c r="CK402" s="505"/>
      <c r="CL402" s="505"/>
      <c r="CM402" s="505"/>
      <c r="CN402" s="505"/>
      <c r="CO402" s="505"/>
      <c r="CP402" s="505"/>
      <c r="CQ402" s="505"/>
      <c r="CR402" s="505"/>
      <c r="CS402" s="505"/>
      <c r="CT402" s="505"/>
      <c r="CU402" s="505"/>
      <c r="CV402" s="505"/>
      <c r="CW402" s="505"/>
      <c r="CX402" s="505"/>
      <c r="CY402" s="505"/>
      <c r="CZ402" s="505"/>
      <c r="DA402" s="505"/>
      <c r="DB402" s="505"/>
      <c r="DC402" s="505"/>
      <c r="DD402" s="505"/>
      <c r="DE402" s="505"/>
      <c r="DF402" s="505"/>
      <c r="DG402" s="505"/>
      <c r="DH402" s="505"/>
      <c r="DI402" s="505"/>
      <c r="DJ402" s="505"/>
      <c r="DK402" s="505"/>
      <c r="DL402" s="505"/>
      <c r="DM402" s="505"/>
      <c r="DN402" s="505"/>
      <c r="DO402" s="505"/>
      <c r="DP402" s="505"/>
    </row>
    <row r="403" spans="1:120" hidden="1" outlineLevel="1" x14ac:dyDescent="0.2">
      <c r="A403" s="517">
        <f t="shared" si="61"/>
        <v>39295</v>
      </c>
      <c r="B403" s="517" t="str">
        <f t="shared" si="58"/>
        <v>3Q07</v>
      </c>
      <c r="C403" s="517" t="str">
        <f t="shared" si="62"/>
        <v>4Q07</v>
      </c>
      <c r="D403" s="518">
        <f t="shared" si="63"/>
        <v>39374</v>
      </c>
      <c r="E403" s="518">
        <f t="shared" si="63"/>
        <v>39314</v>
      </c>
      <c r="F403" s="520">
        <v>2.8679999999999999</v>
      </c>
      <c r="G403" s="521">
        <f t="shared" si="59"/>
        <v>0.35000000000000014</v>
      </c>
      <c r="H403" s="521">
        <f t="shared" si="60"/>
        <v>0.35000000000000014</v>
      </c>
      <c r="I403" s="505"/>
      <c r="J403" s="505"/>
      <c r="K403" s="505"/>
      <c r="L403" s="505"/>
      <c r="M403" s="528"/>
      <c r="N403" s="505"/>
      <c r="O403" s="505"/>
      <c r="P403" s="505"/>
      <c r="Q403" s="505"/>
      <c r="R403" s="505"/>
      <c r="S403" s="505"/>
      <c r="T403" s="505"/>
      <c r="U403" s="505"/>
      <c r="V403" s="505"/>
      <c r="W403" s="505"/>
      <c r="X403" s="505"/>
      <c r="Y403" s="505"/>
      <c r="Z403" s="505"/>
      <c r="AA403" s="505"/>
      <c r="AB403" s="505"/>
      <c r="AC403" s="505"/>
      <c r="AD403" s="505"/>
      <c r="AE403" s="505"/>
      <c r="AF403" s="505"/>
      <c r="AG403" s="505"/>
      <c r="AH403" s="505"/>
      <c r="AI403" s="505"/>
      <c r="AJ403" s="505"/>
      <c r="AK403" s="505"/>
      <c r="AL403" s="505"/>
      <c r="AM403" s="505"/>
      <c r="AN403" s="505"/>
      <c r="AO403" s="505"/>
      <c r="AP403" s="505"/>
      <c r="AQ403" s="505"/>
      <c r="AR403" s="505"/>
      <c r="AS403" s="505"/>
      <c r="AT403" s="505"/>
      <c r="AU403" s="505"/>
      <c r="AV403" s="505"/>
      <c r="AW403" s="505"/>
      <c r="AX403" s="505"/>
      <c r="AY403" s="505"/>
      <c r="AZ403" s="505"/>
      <c r="BA403" s="505"/>
      <c r="BB403" s="505"/>
      <c r="BC403" s="505"/>
      <c r="BD403" s="505"/>
      <c r="BE403" s="505"/>
      <c r="BF403" s="505"/>
      <c r="BG403" s="505"/>
      <c r="BH403" s="505"/>
      <c r="BI403" s="505"/>
      <c r="BJ403" s="505"/>
      <c r="BK403" s="505"/>
      <c r="BL403" s="505"/>
      <c r="BM403" s="505"/>
      <c r="BN403" s="505"/>
      <c r="BO403" s="505"/>
      <c r="BP403" s="505"/>
      <c r="BQ403" s="505"/>
      <c r="BR403" s="505"/>
      <c r="BS403" s="505"/>
      <c r="BT403" s="505"/>
      <c r="BU403" s="505"/>
      <c r="BV403" s="505"/>
      <c r="BW403" s="505"/>
      <c r="BX403" s="505"/>
      <c r="BY403" s="505"/>
      <c r="BZ403" s="505"/>
      <c r="CA403" s="505"/>
      <c r="CB403" s="505"/>
      <c r="CC403" s="505"/>
      <c r="CD403" s="505"/>
      <c r="CE403" s="505"/>
      <c r="CF403" s="505"/>
      <c r="CG403" s="505"/>
      <c r="CH403" s="505"/>
      <c r="CI403" s="505"/>
      <c r="CJ403" s="505"/>
      <c r="CK403" s="505"/>
      <c r="CL403" s="505"/>
      <c r="CM403" s="505"/>
      <c r="CN403" s="505"/>
      <c r="CO403" s="505"/>
      <c r="CP403" s="505"/>
      <c r="CQ403" s="505"/>
      <c r="CR403" s="505"/>
      <c r="CS403" s="505"/>
      <c r="CT403" s="505"/>
      <c r="CU403" s="505"/>
      <c r="CV403" s="505"/>
      <c r="CW403" s="505"/>
      <c r="CX403" s="505"/>
      <c r="CY403" s="505"/>
      <c r="CZ403" s="505"/>
      <c r="DA403" s="505"/>
      <c r="DB403" s="505"/>
      <c r="DC403" s="505"/>
      <c r="DD403" s="505"/>
      <c r="DE403" s="505"/>
      <c r="DF403" s="505"/>
      <c r="DG403" s="505"/>
      <c r="DH403" s="505"/>
      <c r="DI403" s="505"/>
      <c r="DJ403" s="505"/>
      <c r="DK403" s="505"/>
      <c r="DL403" s="505"/>
      <c r="DM403" s="505"/>
      <c r="DN403" s="505"/>
      <c r="DO403" s="505"/>
      <c r="DP403" s="505"/>
    </row>
    <row r="404" spans="1:120" hidden="1" outlineLevel="1" x14ac:dyDescent="0.2">
      <c r="A404" s="517">
        <f t="shared" si="61"/>
        <v>39295</v>
      </c>
      <c r="B404" s="517" t="str">
        <f t="shared" si="58"/>
        <v>3Q07</v>
      </c>
      <c r="C404" s="517" t="str">
        <f t="shared" si="62"/>
        <v>4Q07</v>
      </c>
      <c r="D404" s="518">
        <f t="shared" si="63"/>
        <v>39381</v>
      </c>
      <c r="E404" s="518">
        <f t="shared" si="63"/>
        <v>39321</v>
      </c>
      <c r="F404" s="520">
        <v>2.863</v>
      </c>
      <c r="G404" s="521">
        <f t="shared" si="59"/>
        <v>0.35000000000000014</v>
      </c>
      <c r="H404" s="521">
        <f t="shared" si="60"/>
        <v>0.35000000000000014</v>
      </c>
      <c r="I404" s="505"/>
      <c r="J404" s="505"/>
      <c r="K404" s="505"/>
      <c r="L404" s="505"/>
      <c r="M404" s="528"/>
      <c r="N404" s="505"/>
      <c r="O404" s="505"/>
      <c r="P404" s="505"/>
      <c r="Q404" s="505"/>
      <c r="R404" s="505"/>
      <c r="S404" s="505"/>
      <c r="T404" s="505"/>
      <c r="U404" s="505"/>
      <c r="V404" s="505"/>
      <c r="W404" s="505"/>
      <c r="X404" s="505"/>
      <c r="Y404" s="505"/>
      <c r="Z404" s="505"/>
      <c r="AA404" s="505"/>
      <c r="AB404" s="505"/>
      <c r="AC404" s="505"/>
      <c r="AD404" s="505"/>
      <c r="AE404" s="505"/>
      <c r="AF404" s="505"/>
      <c r="AG404" s="505"/>
      <c r="AH404" s="505"/>
      <c r="AI404" s="505"/>
      <c r="AJ404" s="505"/>
      <c r="AK404" s="505"/>
      <c r="AL404" s="505"/>
      <c r="AM404" s="505"/>
      <c r="AN404" s="505"/>
      <c r="AO404" s="505"/>
      <c r="AP404" s="505"/>
      <c r="AQ404" s="505"/>
      <c r="AR404" s="505"/>
      <c r="AS404" s="505"/>
      <c r="AT404" s="505"/>
      <c r="AU404" s="505"/>
      <c r="AV404" s="505"/>
      <c r="AW404" s="505"/>
      <c r="AX404" s="505"/>
      <c r="AY404" s="505"/>
      <c r="AZ404" s="505"/>
      <c r="BA404" s="505"/>
      <c r="BB404" s="505"/>
      <c r="BC404" s="505"/>
      <c r="BD404" s="505"/>
      <c r="BE404" s="505"/>
      <c r="BF404" s="505"/>
      <c r="BG404" s="505"/>
      <c r="BH404" s="505"/>
      <c r="BI404" s="505"/>
      <c r="BJ404" s="505"/>
      <c r="BK404" s="505"/>
      <c r="BL404" s="505"/>
      <c r="BM404" s="505"/>
      <c r="BN404" s="505"/>
      <c r="BO404" s="505"/>
      <c r="BP404" s="505"/>
      <c r="BQ404" s="505"/>
      <c r="BR404" s="505"/>
      <c r="BS404" s="505"/>
      <c r="BT404" s="505"/>
      <c r="BU404" s="505"/>
      <c r="BV404" s="505"/>
      <c r="BW404" s="505"/>
      <c r="BX404" s="505"/>
      <c r="BY404" s="505"/>
      <c r="BZ404" s="505"/>
      <c r="CA404" s="505"/>
      <c r="CB404" s="505"/>
      <c r="CC404" s="505"/>
      <c r="CD404" s="505"/>
      <c r="CE404" s="505"/>
      <c r="CF404" s="505"/>
      <c r="CG404" s="505"/>
      <c r="CH404" s="505"/>
      <c r="CI404" s="505"/>
      <c r="CJ404" s="505"/>
      <c r="CK404" s="505"/>
      <c r="CL404" s="505"/>
      <c r="CM404" s="505"/>
      <c r="CN404" s="505"/>
      <c r="CO404" s="505"/>
      <c r="CP404" s="505"/>
      <c r="CQ404" s="505"/>
      <c r="CR404" s="505"/>
      <c r="CS404" s="505"/>
      <c r="CT404" s="505"/>
      <c r="CU404" s="505"/>
      <c r="CV404" s="505"/>
      <c r="CW404" s="505"/>
      <c r="CX404" s="505"/>
      <c r="CY404" s="505"/>
      <c r="CZ404" s="505"/>
      <c r="DA404" s="505"/>
      <c r="DB404" s="505"/>
      <c r="DC404" s="505"/>
      <c r="DD404" s="505"/>
      <c r="DE404" s="505"/>
      <c r="DF404" s="505"/>
      <c r="DG404" s="505"/>
      <c r="DH404" s="505"/>
      <c r="DI404" s="505"/>
      <c r="DJ404" s="505"/>
      <c r="DK404" s="505"/>
      <c r="DL404" s="505"/>
      <c r="DM404" s="505"/>
      <c r="DN404" s="505"/>
      <c r="DO404" s="505"/>
      <c r="DP404" s="505"/>
    </row>
    <row r="405" spans="1:120" hidden="1" outlineLevel="1" x14ac:dyDescent="0.2">
      <c r="A405" s="517">
        <f t="shared" si="61"/>
        <v>39326</v>
      </c>
      <c r="B405" s="517" t="str">
        <f t="shared" si="58"/>
        <v>3Q07</v>
      </c>
      <c r="C405" s="517" t="str">
        <f t="shared" si="62"/>
        <v>4Q07</v>
      </c>
      <c r="D405" s="518">
        <f t="shared" si="63"/>
        <v>39388</v>
      </c>
      <c r="E405" s="518">
        <f t="shared" si="63"/>
        <v>39328</v>
      </c>
      <c r="F405" s="520">
        <v>2.8929999999999998</v>
      </c>
      <c r="G405" s="521">
        <f t="shared" si="59"/>
        <v>0.35000000000000014</v>
      </c>
      <c r="H405" s="521">
        <f t="shared" si="60"/>
        <v>0.36000000000000015</v>
      </c>
      <c r="I405" s="505"/>
      <c r="J405" s="505"/>
      <c r="K405" s="505"/>
      <c r="L405" s="505"/>
      <c r="M405" s="528"/>
      <c r="N405" s="505"/>
      <c r="O405" s="505"/>
      <c r="P405" s="505"/>
      <c r="Q405" s="505"/>
      <c r="R405" s="505"/>
      <c r="S405" s="505"/>
      <c r="T405" s="505"/>
      <c r="U405" s="505"/>
      <c r="V405" s="505"/>
      <c r="W405" s="505"/>
      <c r="X405" s="505"/>
      <c r="Y405" s="505"/>
      <c r="Z405" s="505"/>
      <c r="AA405" s="505"/>
      <c r="AB405" s="505"/>
      <c r="AC405" s="505"/>
      <c r="AD405" s="505"/>
      <c r="AE405" s="505"/>
      <c r="AF405" s="505"/>
      <c r="AG405" s="505"/>
      <c r="AH405" s="505"/>
      <c r="AI405" s="505"/>
      <c r="AJ405" s="505"/>
      <c r="AK405" s="505"/>
      <c r="AL405" s="505"/>
      <c r="AM405" s="505"/>
      <c r="AN405" s="505"/>
      <c r="AO405" s="505"/>
      <c r="AP405" s="505"/>
      <c r="AQ405" s="505"/>
      <c r="AR405" s="505"/>
      <c r="AS405" s="505"/>
      <c r="AT405" s="505"/>
      <c r="AU405" s="505"/>
      <c r="AV405" s="505"/>
      <c r="AW405" s="505"/>
      <c r="AX405" s="505"/>
      <c r="AY405" s="505"/>
      <c r="AZ405" s="505"/>
      <c r="BA405" s="505"/>
      <c r="BB405" s="505"/>
      <c r="BC405" s="505"/>
      <c r="BD405" s="505"/>
      <c r="BE405" s="505"/>
      <c r="BF405" s="505"/>
      <c r="BG405" s="505"/>
      <c r="BH405" s="505"/>
      <c r="BI405" s="505"/>
      <c r="BJ405" s="505"/>
      <c r="BK405" s="505"/>
      <c r="BL405" s="505"/>
      <c r="BM405" s="505"/>
      <c r="BN405" s="505"/>
      <c r="BO405" s="505"/>
      <c r="BP405" s="505"/>
      <c r="BQ405" s="505"/>
      <c r="BR405" s="505"/>
      <c r="BS405" s="505"/>
      <c r="BT405" s="505"/>
      <c r="BU405" s="505"/>
      <c r="BV405" s="505"/>
      <c r="BW405" s="505"/>
      <c r="BX405" s="505"/>
      <c r="BY405" s="505"/>
      <c r="BZ405" s="505"/>
      <c r="CA405" s="505"/>
      <c r="CB405" s="505"/>
      <c r="CC405" s="505"/>
      <c r="CD405" s="505"/>
      <c r="CE405" s="505"/>
      <c r="CF405" s="505"/>
      <c r="CG405" s="505"/>
      <c r="CH405" s="505"/>
      <c r="CI405" s="505"/>
      <c r="CJ405" s="505"/>
      <c r="CK405" s="505"/>
      <c r="CL405" s="505"/>
      <c r="CM405" s="505"/>
      <c r="CN405" s="505"/>
      <c r="CO405" s="505"/>
      <c r="CP405" s="505"/>
      <c r="CQ405" s="505"/>
      <c r="CR405" s="505"/>
      <c r="CS405" s="505"/>
      <c r="CT405" s="505"/>
      <c r="CU405" s="505"/>
      <c r="CV405" s="505"/>
      <c r="CW405" s="505"/>
      <c r="CX405" s="505"/>
      <c r="CY405" s="505"/>
      <c r="CZ405" s="505"/>
      <c r="DA405" s="505"/>
      <c r="DB405" s="505"/>
      <c r="DC405" s="505"/>
      <c r="DD405" s="505"/>
      <c r="DE405" s="505"/>
      <c r="DF405" s="505"/>
      <c r="DG405" s="505"/>
      <c r="DH405" s="505"/>
      <c r="DI405" s="505"/>
      <c r="DJ405" s="505"/>
      <c r="DK405" s="505"/>
      <c r="DL405" s="505"/>
      <c r="DM405" s="505"/>
      <c r="DN405" s="505"/>
      <c r="DO405" s="505"/>
      <c r="DP405" s="505"/>
    </row>
    <row r="406" spans="1:120" hidden="1" outlineLevel="1" x14ac:dyDescent="0.2">
      <c r="A406" s="517">
        <f t="shared" si="61"/>
        <v>39326</v>
      </c>
      <c r="B406" s="517" t="str">
        <f t="shared" si="58"/>
        <v>3Q07</v>
      </c>
      <c r="C406" s="517" t="str">
        <f t="shared" si="62"/>
        <v>4Q07</v>
      </c>
      <c r="D406" s="518">
        <f t="shared" si="63"/>
        <v>39395</v>
      </c>
      <c r="E406" s="518">
        <f t="shared" si="63"/>
        <v>39335</v>
      </c>
      <c r="F406" s="520">
        <v>2.9239999999999999</v>
      </c>
      <c r="G406" s="521">
        <f t="shared" si="59"/>
        <v>0.36000000000000015</v>
      </c>
      <c r="H406" s="521">
        <f t="shared" si="60"/>
        <v>0.37000000000000016</v>
      </c>
      <c r="I406" s="505"/>
      <c r="J406" s="505"/>
      <c r="K406" s="505"/>
      <c r="L406" s="505"/>
      <c r="M406" s="528"/>
      <c r="N406" s="505"/>
      <c r="O406" s="505"/>
      <c r="P406" s="505"/>
      <c r="Q406" s="505"/>
      <c r="R406" s="505"/>
      <c r="S406" s="505"/>
      <c r="T406" s="505"/>
      <c r="U406" s="505"/>
      <c r="V406" s="505"/>
      <c r="W406" s="505"/>
      <c r="X406" s="505"/>
      <c r="Y406" s="505"/>
      <c r="Z406" s="505"/>
      <c r="AA406" s="505"/>
      <c r="AB406" s="505"/>
      <c r="AC406" s="505"/>
      <c r="AD406" s="505"/>
      <c r="AE406" s="505"/>
      <c r="AF406" s="505"/>
      <c r="AG406" s="505"/>
      <c r="AH406" s="505"/>
      <c r="AI406" s="505"/>
      <c r="AJ406" s="505"/>
      <c r="AK406" s="505"/>
      <c r="AL406" s="505"/>
      <c r="AM406" s="505"/>
      <c r="AN406" s="505"/>
      <c r="AO406" s="505"/>
      <c r="AP406" s="505"/>
      <c r="AQ406" s="505"/>
      <c r="AR406" s="505"/>
      <c r="AS406" s="505"/>
      <c r="AT406" s="505"/>
      <c r="AU406" s="505"/>
      <c r="AV406" s="505"/>
      <c r="AW406" s="505"/>
      <c r="AX406" s="505"/>
      <c r="AY406" s="505"/>
      <c r="AZ406" s="505"/>
      <c r="BA406" s="505"/>
      <c r="BB406" s="505"/>
      <c r="BC406" s="505"/>
      <c r="BD406" s="505"/>
      <c r="BE406" s="505"/>
      <c r="BF406" s="505"/>
      <c r="BG406" s="505"/>
      <c r="BH406" s="505"/>
      <c r="BI406" s="505"/>
      <c r="BJ406" s="505"/>
      <c r="BK406" s="505"/>
      <c r="BL406" s="505"/>
      <c r="BM406" s="505"/>
      <c r="BN406" s="505"/>
      <c r="BO406" s="505"/>
      <c r="BP406" s="505"/>
      <c r="BQ406" s="505"/>
      <c r="BR406" s="505"/>
      <c r="BS406" s="505"/>
      <c r="BT406" s="505"/>
      <c r="BU406" s="505"/>
      <c r="BV406" s="505"/>
      <c r="BW406" s="505"/>
      <c r="BX406" s="505"/>
      <c r="BY406" s="505"/>
      <c r="BZ406" s="505"/>
      <c r="CA406" s="505"/>
      <c r="CB406" s="505"/>
      <c r="CC406" s="505"/>
      <c r="CD406" s="505"/>
      <c r="CE406" s="505"/>
      <c r="CF406" s="505"/>
      <c r="CG406" s="505"/>
      <c r="CH406" s="505"/>
      <c r="CI406" s="505"/>
      <c r="CJ406" s="505"/>
      <c r="CK406" s="505"/>
      <c r="CL406" s="505"/>
      <c r="CM406" s="505"/>
      <c r="CN406" s="505"/>
      <c r="CO406" s="505"/>
      <c r="CP406" s="505"/>
      <c r="CQ406" s="505"/>
      <c r="CR406" s="505"/>
      <c r="CS406" s="505"/>
      <c r="CT406" s="505"/>
      <c r="CU406" s="505"/>
      <c r="CV406" s="505"/>
      <c r="CW406" s="505"/>
      <c r="CX406" s="505"/>
      <c r="CY406" s="505"/>
      <c r="CZ406" s="505"/>
      <c r="DA406" s="505"/>
      <c r="DB406" s="505"/>
      <c r="DC406" s="505"/>
      <c r="DD406" s="505"/>
      <c r="DE406" s="505"/>
      <c r="DF406" s="505"/>
      <c r="DG406" s="505"/>
      <c r="DH406" s="505"/>
      <c r="DI406" s="505"/>
      <c r="DJ406" s="505"/>
      <c r="DK406" s="505"/>
      <c r="DL406" s="505"/>
      <c r="DM406" s="505"/>
      <c r="DN406" s="505"/>
      <c r="DO406" s="505"/>
      <c r="DP406" s="505"/>
    </row>
    <row r="407" spans="1:120" hidden="1" outlineLevel="1" x14ac:dyDescent="0.2">
      <c r="A407" s="517">
        <f t="shared" si="61"/>
        <v>39326</v>
      </c>
      <c r="B407" s="517" t="str">
        <f t="shared" si="58"/>
        <v>3Q07</v>
      </c>
      <c r="C407" s="517" t="str">
        <f t="shared" si="62"/>
        <v>4Q07</v>
      </c>
      <c r="D407" s="518">
        <f t="shared" si="63"/>
        <v>39402</v>
      </c>
      <c r="E407" s="518">
        <f t="shared" si="63"/>
        <v>39342</v>
      </c>
      <c r="F407" s="520">
        <v>2.964</v>
      </c>
      <c r="G407" s="521">
        <f t="shared" si="59"/>
        <v>0.37000000000000016</v>
      </c>
      <c r="H407" s="521">
        <f t="shared" si="60"/>
        <v>0.38000000000000017</v>
      </c>
      <c r="I407" s="505"/>
      <c r="J407" s="505"/>
      <c r="K407" s="505"/>
      <c r="L407" s="505"/>
      <c r="M407" s="528"/>
      <c r="N407" s="505"/>
      <c r="O407" s="505"/>
      <c r="P407" s="505"/>
      <c r="Q407" s="505"/>
      <c r="R407" s="505"/>
      <c r="S407" s="505"/>
      <c r="T407" s="505"/>
      <c r="U407" s="505"/>
      <c r="V407" s="505"/>
      <c r="W407" s="505"/>
      <c r="X407" s="505"/>
      <c r="Y407" s="505"/>
      <c r="Z407" s="505"/>
      <c r="AA407" s="505"/>
      <c r="AB407" s="505"/>
      <c r="AC407" s="505"/>
      <c r="AD407" s="505"/>
      <c r="AE407" s="505"/>
      <c r="AF407" s="505"/>
      <c r="AG407" s="505"/>
      <c r="AH407" s="505"/>
      <c r="AI407" s="505"/>
      <c r="AJ407" s="505"/>
      <c r="AK407" s="505"/>
      <c r="AL407" s="505"/>
      <c r="AM407" s="505"/>
      <c r="AN407" s="505"/>
      <c r="AO407" s="505"/>
      <c r="AP407" s="505"/>
      <c r="AQ407" s="505"/>
      <c r="AR407" s="505"/>
      <c r="AS407" s="505"/>
      <c r="AT407" s="505"/>
      <c r="AU407" s="505"/>
      <c r="AV407" s="505"/>
      <c r="AW407" s="505"/>
      <c r="AX407" s="505"/>
      <c r="AY407" s="505"/>
      <c r="AZ407" s="505"/>
      <c r="BA407" s="505"/>
      <c r="BB407" s="505"/>
      <c r="BC407" s="505"/>
      <c r="BD407" s="505"/>
      <c r="BE407" s="505"/>
      <c r="BF407" s="505"/>
      <c r="BG407" s="505"/>
      <c r="BH407" s="505"/>
      <c r="BI407" s="505"/>
      <c r="BJ407" s="505"/>
      <c r="BK407" s="505"/>
      <c r="BL407" s="505"/>
      <c r="BM407" s="505"/>
      <c r="BN407" s="505"/>
      <c r="BO407" s="505"/>
      <c r="BP407" s="505"/>
      <c r="BQ407" s="505"/>
      <c r="BR407" s="505"/>
      <c r="BS407" s="505"/>
      <c r="BT407" s="505"/>
      <c r="BU407" s="505"/>
      <c r="BV407" s="505"/>
      <c r="BW407" s="505"/>
      <c r="BX407" s="505"/>
      <c r="BY407" s="505"/>
      <c r="BZ407" s="505"/>
      <c r="CA407" s="505"/>
      <c r="CB407" s="505"/>
      <c r="CC407" s="505"/>
      <c r="CD407" s="505"/>
      <c r="CE407" s="505"/>
      <c r="CF407" s="505"/>
      <c r="CG407" s="505"/>
      <c r="CH407" s="505"/>
      <c r="CI407" s="505"/>
      <c r="CJ407" s="505"/>
      <c r="CK407" s="505"/>
      <c r="CL407" s="505"/>
      <c r="CM407" s="505"/>
      <c r="CN407" s="505"/>
      <c r="CO407" s="505"/>
      <c r="CP407" s="505"/>
      <c r="CQ407" s="505"/>
      <c r="CR407" s="505"/>
      <c r="CS407" s="505"/>
      <c r="CT407" s="505"/>
      <c r="CU407" s="505"/>
      <c r="CV407" s="505"/>
      <c r="CW407" s="505"/>
      <c r="CX407" s="505"/>
      <c r="CY407" s="505"/>
      <c r="CZ407" s="505"/>
      <c r="DA407" s="505"/>
      <c r="DB407" s="505"/>
      <c r="DC407" s="505"/>
      <c r="DD407" s="505"/>
      <c r="DE407" s="505"/>
      <c r="DF407" s="505"/>
      <c r="DG407" s="505"/>
      <c r="DH407" s="505"/>
      <c r="DI407" s="505"/>
      <c r="DJ407" s="505"/>
      <c r="DK407" s="505"/>
      <c r="DL407" s="505"/>
      <c r="DM407" s="505"/>
      <c r="DN407" s="505"/>
      <c r="DO407" s="505"/>
      <c r="DP407" s="505"/>
    </row>
    <row r="408" spans="1:120" hidden="1" outlineLevel="1" x14ac:dyDescent="0.2">
      <c r="A408" s="517">
        <f t="shared" si="61"/>
        <v>39326</v>
      </c>
      <c r="B408" s="517" t="str">
        <f t="shared" si="58"/>
        <v>3Q07</v>
      </c>
      <c r="C408" s="517" t="str">
        <f t="shared" si="62"/>
        <v>4Q07</v>
      </c>
      <c r="D408" s="518">
        <f t="shared" si="63"/>
        <v>39409</v>
      </c>
      <c r="E408" s="518">
        <f t="shared" si="63"/>
        <v>39349</v>
      </c>
      <c r="F408" s="520">
        <v>3.032</v>
      </c>
      <c r="G408" s="521">
        <f t="shared" si="59"/>
        <v>0.38000000000000017</v>
      </c>
      <c r="H408" s="521">
        <f t="shared" si="60"/>
        <v>0.38000000000000017</v>
      </c>
      <c r="I408" s="505"/>
      <c r="J408" s="505"/>
      <c r="K408" s="505"/>
      <c r="L408" s="505"/>
      <c r="M408" s="528"/>
      <c r="N408" s="505"/>
      <c r="O408" s="505"/>
      <c r="P408" s="505"/>
      <c r="Q408" s="505"/>
      <c r="R408" s="505"/>
      <c r="S408" s="505"/>
      <c r="T408" s="505"/>
      <c r="U408" s="505"/>
      <c r="V408" s="505"/>
      <c r="W408" s="505"/>
      <c r="X408" s="505"/>
      <c r="Y408" s="505"/>
      <c r="Z408" s="505"/>
      <c r="AA408" s="505"/>
      <c r="AB408" s="505"/>
      <c r="AC408" s="505"/>
      <c r="AD408" s="505"/>
      <c r="AE408" s="505"/>
      <c r="AF408" s="505"/>
      <c r="AG408" s="505"/>
      <c r="AH408" s="505"/>
      <c r="AI408" s="505"/>
      <c r="AJ408" s="505"/>
      <c r="AK408" s="505"/>
      <c r="AL408" s="505"/>
      <c r="AM408" s="505"/>
      <c r="AN408" s="505"/>
      <c r="AO408" s="505"/>
      <c r="AP408" s="505"/>
      <c r="AQ408" s="505"/>
      <c r="AR408" s="505"/>
      <c r="AS408" s="505"/>
      <c r="AT408" s="505"/>
      <c r="AU408" s="505"/>
      <c r="AV408" s="505"/>
      <c r="AW408" s="505"/>
      <c r="AX408" s="505"/>
      <c r="AY408" s="505"/>
      <c r="AZ408" s="505"/>
      <c r="BA408" s="505"/>
      <c r="BB408" s="505"/>
      <c r="BC408" s="505"/>
      <c r="BD408" s="505"/>
      <c r="BE408" s="505"/>
      <c r="BF408" s="505"/>
      <c r="BG408" s="505"/>
      <c r="BH408" s="505"/>
      <c r="BI408" s="505"/>
      <c r="BJ408" s="505"/>
      <c r="BK408" s="505"/>
      <c r="BL408" s="505"/>
      <c r="BM408" s="505"/>
      <c r="BN408" s="505"/>
      <c r="BO408" s="505"/>
      <c r="BP408" s="505"/>
      <c r="BQ408" s="505"/>
      <c r="BR408" s="505"/>
      <c r="BS408" s="505"/>
      <c r="BT408" s="505"/>
      <c r="BU408" s="505"/>
      <c r="BV408" s="505"/>
      <c r="BW408" s="505"/>
      <c r="BX408" s="505"/>
      <c r="BY408" s="505"/>
      <c r="BZ408" s="505"/>
      <c r="CA408" s="505"/>
      <c r="CB408" s="505"/>
      <c r="CC408" s="505"/>
      <c r="CD408" s="505"/>
      <c r="CE408" s="505"/>
      <c r="CF408" s="505"/>
      <c r="CG408" s="505"/>
      <c r="CH408" s="505"/>
      <c r="CI408" s="505"/>
      <c r="CJ408" s="505"/>
      <c r="CK408" s="505"/>
      <c r="CL408" s="505"/>
      <c r="CM408" s="505"/>
      <c r="CN408" s="505"/>
      <c r="CO408" s="505"/>
      <c r="CP408" s="505"/>
      <c r="CQ408" s="505"/>
      <c r="CR408" s="505"/>
      <c r="CS408" s="505"/>
      <c r="CT408" s="505"/>
      <c r="CU408" s="505"/>
      <c r="CV408" s="505"/>
      <c r="CW408" s="505"/>
      <c r="CX408" s="505"/>
      <c r="CY408" s="505"/>
      <c r="CZ408" s="505"/>
      <c r="DA408" s="505"/>
      <c r="DB408" s="505"/>
      <c r="DC408" s="505"/>
      <c r="DD408" s="505"/>
      <c r="DE408" s="505"/>
      <c r="DF408" s="505"/>
      <c r="DG408" s="505"/>
      <c r="DH408" s="505"/>
      <c r="DI408" s="505"/>
      <c r="DJ408" s="505"/>
      <c r="DK408" s="505"/>
      <c r="DL408" s="505"/>
      <c r="DM408" s="505"/>
      <c r="DN408" s="505"/>
      <c r="DO408" s="505"/>
      <c r="DP408" s="505"/>
    </row>
    <row r="409" spans="1:120" hidden="1" outlineLevel="1" x14ac:dyDescent="0.2">
      <c r="A409" s="517">
        <f t="shared" si="61"/>
        <v>39356</v>
      </c>
      <c r="B409" s="517" t="str">
        <f t="shared" si="58"/>
        <v>4Q07</v>
      </c>
      <c r="C409" s="517" t="str">
        <f t="shared" si="62"/>
        <v>4Q07</v>
      </c>
      <c r="D409" s="518">
        <f t="shared" si="63"/>
        <v>39416</v>
      </c>
      <c r="E409" s="518">
        <f t="shared" si="63"/>
        <v>39356</v>
      </c>
      <c r="F409" s="520">
        <v>3.048</v>
      </c>
      <c r="G409" s="521">
        <f t="shared" si="59"/>
        <v>0.38000000000000017</v>
      </c>
      <c r="H409" s="521">
        <f t="shared" si="60"/>
        <v>0.38000000000000017</v>
      </c>
      <c r="I409" s="505"/>
      <c r="J409" s="505"/>
      <c r="K409" s="505"/>
      <c r="L409" s="505"/>
      <c r="M409" s="528"/>
      <c r="N409" s="505"/>
      <c r="O409" s="505"/>
      <c r="P409" s="505"/>
      <c r="Q409" s="505"/>
      <c r="R409" s="505"/>
      <c r="S409" s="505"/>
      <c r="T409" s="505"/>
      <c r="U409" s="505"/>
      <c r="V409" s="505"/>
      <c r="W409" s="505"/>
      <c r="X409" s="505"/>
      <c r="Y409" s="505"/>
      <c r="Z409" s="505"/>
      <c r="AA409" s="505"/>
      <c r="AB409" s="505"/>
      <c r="AC409" s="505"/>
      <c r="AD409" s="505"/>
      <c r="AE409" s="505"/>
      <c r="AF409" s="505"/>
      <c r="AG409" s="505"/>
      <c r="AH409" s="505"/>
      <c r="AI409" s="505"/>
      <c r="AJ409" s="505"/>
      <c r="AK409" s="505"/>
      <c r="AL409" s="505"/>
      <c r="AM409" s="505"/>
      <c r="AN409" s="505"/>
      <c r="AO409" s="505"/>
      <c r="AP409" s="505"/>
      <c r="AQ409" s="505"/>
      <c r="AR409" s="505"/>
      <c r="AS409" s="505"/>
      <c r="AT409" s="505"/>
      <c r="AU409" s="505"/>
      <c r="AV409" s="505"/>
      <c r="AW409" s="505"/>
      <c r="AX409" s="505"/>
      <c r="AY409" s="505"/>
      <c r="AZ409" s="505"/>
      <c r="BA409" s="505"/>
      <c r="BB409" s="505"/>
      <c r="BC409" s="505"/>
      <c r="BD409" s="505"/>
      <c r="BE409" s="505"/>
      <c r="BF409" s="505"/>
      <c r="BG409" s="505"/>
      <c r="BH409" s="505"/>
      <c r="BI409" s="505"/>
      <c r="BJ409" s="505"/>
      <c r="BK409" s="505"/>
      <c r="BL409" s="505"/>
      <c r="BM409" s="505"/>
      <c r="BN409" s="505"/>
      <c r="BO409" s="505"/>
      <c r="BP409" s="505"/>
      <c r="BQ409" s="505"/>
      <c r="BR409" s="505"/>
      <c r="BS409" s="505"/>
      <c r="BT409" s="505"/>
      <c r="BU409" s="505"/>
      <c r="BV409" s="505"/>
      <c r="BW409" s="505"/>
      <c r="BX409" s="505"/>
      <c r="BY409" s="505"/>
      <c r="BZ409" s="505"/>
      <c r="CA409" s="505"/>
      <c r="CB409" s="505"/>
      <c r="CC409" s="505"/>
      <c r="CD409" s="505"/>
      <c r="CE409" s="505"/>
      <c r="CF409" s="505"/>
      <c r="CG409" s="505"/>
      <c r="CH409" s="505"/>
      <c r="CI409" s="505"/>
      <c r="CJ409" s="505"/>
      <c r="CK409" s="505"/>
      <c r="CL409" s="505"/>
      <c r="CM409" s="505"/>
      <c r="CN409" s="505"/>
      <c r="CO409" s="505"/>
      <c r="CP409" s="505"/>
      <c r="CQ409" s="505"/>
      <c r="CR409" s="505"/>
      <c r="CS409" s="505"/>
      <c r="CT409" s="505"/>
      <c r="CU409" s="505"/>
      <c r="CV409" s="505"/>
      <c r="CW409" s="505"/>
      <c r="CX409" s="505"/>
      <c r="CY409" s="505"/>
      <c r="CZ409" s="505"/>
      <c r="DA409" s="505"/>
      <c r="DB409" s="505"/>
      <c r="DC409" s="505"/>
      <c r="DD409" s="505"/>
      <c r="DE409" s="505"/>
      <c r="DF409" s="505"/>
      <c r="DG409" s="505"/>
      <c r="DH409" s="505"/>
      <c r="DI409" s="505"/>
      <c r="DJ409" s="505"/>
      <c r="DK409" s="505"/>
      <c r="DL409" s="505"/>
      <c r="DM409" s="505"/>
      <c r="DN409" s="505"/>
      <c r="DO409" s="505"/>
      <c r="DP409" s="505"/>
    </row>
    <row r="410" spans="1:120" hidden="1" outlineLevel="1" x14ac:dyDescent="0.2">
      <c r="A410" s="517">
        <f t="shared" si="61"/>
        <v>39356</v>
      </c>
      <c r="B410" s="517" t="str">
        <f t="shared" si="58"/>
        <v>4Q07</v>
      </c>
      <c r="C410" s="517" t="str">
        <f t="shared" si="62"/>
        <v>4Q07</v>
      </c>
      <c r="D410" s="518">
        <f t="shared" si="63"/>
        <v>39423</v>
      </c>
      <c r="E410" s="518">
        <f t="shared" si="63"/>
        <v>39363</v>
      </c>
      <c r="F410" s="520">
        <v>3.0350000000000001</v>
      </c>
      <c r="G410" s="521">
        <f t="shared" si="59"/>
        <v>0.38000000000000017</v>
      </c>
      <c r="H410" s="521">
        <f t="shared" si="60"/>
        <v>0.38000000000000017</v>
      </c>
      <c r="I410" s="505"/>
      <c r="J410" s="505"/>
      <c r="K410" s="505"/>
      <c r="L410" s="505"/>
      <c r="M410" s="528"/>
      <c r="N410" s="505"/>
      <c r="O410" s="505"/>
      <c r="P410" s="505"/>
      <c r="Q410" s="505"/>
      <c r="R410" s="505"/>
      <c r="S410" s="505"/>
      <c r="T410" s="505"/>
      <c r="U410" s="505"/>
      <c r="V410" s="505"/>
      <c r="W410" s="505"/>
      <c r="X410" s="505"/>
      <c r="Y410" s="505"/>
      <c r="Z410" s="505"/>
      <c r="AA410" s="505"/>
      <c r="AB410" s="505"/>
      <c r="AC410" s="505"/>
      <c r="AD410" s="505"/>
      <c r="AE410" s="505"/>
      <c r="AF410" s="505"/>
      <c r="AG410" s="505"/>
      <c r="AH410" s="505"/>
      <c r="AI410" s="505"/>
      <c r="AJ410" s="505"/>
      <c r="AK410" s="505"/>
      <c r="AL410" s="505"/>
      <c r="AM410" s="505"/>
      <c r="AN410" s="505"/>
      <c r="AO410" s="505"/>
      <c r="AP410" s="505"/>
      <c r="AQ410" s="505"/>
      <c r="AR410" s="505"/>
      <c r="AS410" s="505"/>
      <c r="AT410" s="505"/>
      <c r="AU410" s="505"/>
      <c r="AV410" s="505"/>
      <c r="AW410" s="505"/>
      <c r="AX410" s="505"/>
      <c r="AY410" s="505"/>
      <c r="AZ410" s="505"/>
      <c r="BA410" s="505"/>
      <c r="BB410" s="505"/>
      <c r="BC410" s="505"/>
      <c r="BD410" s="505"/>
      <c r="BE410" s="505"/>
      <c r="BF410" s="505"/>
      <c r="BG410" s="505"/>
      <c r="BH410" s="505"/>
      <c r="BI410" s="505"/>
      <c r="BJ410" s="505"/>
      <c r="BK410" s="505"/>
      <c r="BL410" s="505"/>
      <c r="BM410" s="505"/>
      <c r="BN410" s="505"/>
      <c r="BO410" s="505"/>
      <c r="BP410" s="505"/>
      <c r="BQ410" s="505"/>
      <c r="BR410" s="505"/>
      <c r="BS410" s="505"/>
      <c r="BT410" s="505"/>
      <c r="BU410" s="505"/>
      <c r="BV410" s="505"/>
      <c r="BW410" s="505"/>
      <c r="BX410" s="505"/>
      <c r="BY410" s="505"/>
      <c r="BZ410" s="505"/>
      <c r="CA410" s="505"/>
      <c r="CB410" s="505"/>
      <c r="CC410" s="505"/>
      <c r="CD410" s="505"/>
      <c r="CE410" s="505"/>
      <c r="CF410" s="505"/>
      <c r="CG410" s="505"/>
      <c r="CH410" s="505"/>
      <c r="CI410" s="505"/>
      <c r="CJ410" s="505"/>
      <c r="CK410" s="505"/>
      <c r="CL410" s="505"/>
      <c r="CM410" s="505"/>
      <c r="CN410" s="505"/>
      <c r="CO410" s="505"/>
      <c r="CP410" s="505"/>
      <c r="CQ410" s="505"/>
      <c r="CR410" s="505"/>
      <c r="CS410" s="505"/>
      <c r="CT410" s="505"/>
      <c r="CU410" s="505"/>
      <c r="CV410" s="505"/>
      <c r="CW410" s="505"/>
      <c r="CX410" s="505"/>
      <c r="CY410" s="505"/>
      <c r="CZ410" s="505"/>
      <c r="DA410" s="505"/>
      <c r="DB410" s="505"/>
      <c r="DC410" s="505"/>
      <c r="DD410" s="505"/>
      <c r="DE410" s="505"/>
      <c r="DF410" s="505"/>
      <c r="DG410" s="505"/>
      <c r="DH410" s="505"/>
      <c r="DI410" s="505"/>
      <c r="DJ410" s="505"/>
      <c r="DK410" s="505"/>
      <c r="DL410" s="505"/>
      <c r="DM410" s="505"/>
      <c r="DN410" s="505"/>
      <c r="DO410" s="505"/>
      <c r="DP410" s="505"/>
    </row>
    <row r="411" spans="1:120" hidden="1" outlineLevel="1" x14ac:dyDescent="0.2">
      <c r="A411" s="517">
        <f t="shared" si="61"/>
        <v>39356</v>
      </c>
      <c r="B411" s="517" t="str">
        <f t="shared" si="58"/>
        <v>4Q07</v>
      </c>
      <c r="C411" s="517" t="str">
        <f t="shared" si="62"/>
        <v>4Q07</v>
      </c>
      <c r="D411" s="518">
        <f t="shared" si="63"/>
        <v>39430</v>
      </c>
      <c r="E411" s="518">
        <f t="shared" si="63"/>
        <v>39370</v>
      </c>
      <c r="F411" s="520">
        <v>3.0390000000000001</v>
      </c>
      <c r="G411" s="521">
        <f t="shared" si="59"/>
        <v>0.38000000000000017</v>
      </c>
      <c r="H411" s="521">
        <f t="shared" si="60"/>
        <v>0.39000000000000018</v>
      </c>
      <c r="I411" s="505"/>
      <c r="J411" s="505"/>
      <c r="K411" s="505"/>
      <c r="L411" s="505"/>
      <c r="M411" s="528"/>
      <c r="N411" s="505"/>
      <c r="O411" s="505"/>
      <c r="P411" s="505"/>
      <c r="Q411" s="505"/>
      <c r="R411" s="505"/>
      <c r="S411" s="505"/>
      <c r="T411" s="505"/>
      <c r="U411" s="505"/>
      <c r="V411" s="505"/>
      <c r="W411" s="505"/>
      <c r="X411" s="505"/>
      <c r="Y411" s="505"/>
      <c r="Z411" s="505"/>
      <c r="AA411" s="505"/>
      <c r="AB411" s="505"/>
      <c r="AC411" s="505"/>
      <c r="AD411" s="505"/>
      <c r="AE411" s="505"/>
      <c r="AF411" s="505"/>
      <c r="AG411" s="505"/>
      <c r="AH411" s="505"/>
      <c r="AI411" s="505"/>
      <c r="AJ411" s="505"/>
      <c r="AK411" s="505"/>
      <c r="AL411" s="505"/>
      <c r="AM411" s="505"/>
      <c r="AN411" s="505"/>
      <c r="AO411" s="505"/>
      <c r="AP411" s="505"/>
      <c r="AQ411" s="505"/>
      <c r="AR411" s="505"/>
      <c r="AS411" s="505"/>
      <c r="AT411" s="505"/>
      <c r="AU411" s="505"/>
      <c r="AV411" s="505"/>
      <c r="AW411" s="505"/>
      <c r="AX411" s="505"/>
      <c r="AY411" s="505"/>
      <c r="AZ411" s="505"/>
      <c r="BA411" s="505"/>
      <c r="BB411" s="505"/>
      <c r="BC411" s="505"/>
      <c r="BD411" s="505"/>
      <c r="BE411" s="505"/>
      <c r="BF411" s="505"/>
      <c r="BG411" s="505"/>
      <c r="BH411" s="505"/>
      <c r="BI411" s="505"/>
      <c r="BJ411" s="505"/>
      <c r="BK411" s="505"/>
      <c r="BL411" s="505"/>
      <c r="BM411" s="505"/>
      <c r="BN411" s="505"/>
      <c r="BO411" s="505"/>
      <c r="BP411" s="505"/>
      <c r="BQ411" s="505"/>
      <c r="BR411" s="505"/>
      <c r="BS411" s="505"/>
      <c r="BT411" s="505"/>
      <c r="BU411" s="505"/>
      <c r="BV411" s="505"/>
      <c r="BW411" s="505"/>
      <c r="BX411" s="505"/>
      <c r="BY411" s="505"/>
      <c r="BZ411" s="505"/>
      <c r="CA411" s="505"/>
      <c r="CB411" s="505"/>
      <c r="CC411" s="505"/>
      <c r="CD411" s="505"/>
      <c r="CE411" s="505"/>
      <c r="CF411" s="505"/>
      <c r="CG411" s="505"/>
      <c r="CH411" s="505"/>
      <c r="CI411" s="505"/>
      <c r="CJ411" s="505"/>
      <c r="CK411" s="505"/>
      <c r="CL411" s="505"/>
      <c r="CM411" s="505"/>
      <c r="CN411" s="505"/>
      <c r="CO411" s="505"/>
      <c r="CP411" s="505"/>
      <c r="CQ411" s="505"/>
      <c r="CR411" s="505"/>
      <c r="CS411" s="505"/>
      <c r="CT411" s="505"/>
      <c r="CU411" s="505"/>
      <c r="CV411" s="505"/>
      <c r="CW411" s="505"/>
      <c r="CX411" s="505"/>
      <c r="CY411" s="505"/>
      <c r="CZ411" s="505"/>
      <c r="DA411" s="505"/>
      <c r="DB411" s="505"/>
      <c r="DC411" s="505"/>
      <c r="DD411" s="505"/>
      <c r="DE411" s="505"/>
      <c r="DF411" s="505"/>
      <c r="DG411" s="505"/>
      <c r="DH411" s="505"/>
      <c r="DI411" s="505"/>
      <c r="DJ411" s="505"/>
      <c r="DK411" s="505"/>
      <c r="DL411" s="505"/>
      <c r="DM411" s="505"/>
      <c r="DN411" s="505"/>
      <c r="DO411" s="505"/>
      <c r="DP411" s="505"/>
    </row>
    <row r="412" spans="1:120" hidden="1" outlineLevel="1" x14ac:dyDescent="0.2">
      <c r="A412" s="517">
        <f t="shared" si="61"/>
        <v>39356</v>
      </c>
      <c r="B412" s="517" t="str">
        <f t="shared" si="58"/>
        <v>4Q07</v>
      </c>
      <c r="C412" s="517" t="str">
        <f t="shared" si="62"/>
        <v>4Q07</v>
      </c>
      <c r="D412" s="518">
        <f t="shared" si="63"/>
        <v>39437</v>
      </c>
      <c r="E412" s="518">
        <f t="shared" si="63"/>
        <v>39377</v>
      </c>
      <c r="F412" s="520">
        <v>3.0939999999999999</v>
      </c>
      <c r="G412" s="521">
        <f t="shared" si="59"/>
        <v>0.39000000000000018</v>
      </c>
      <c r="H412" s="521">
        <f t="shared" si="60"/>
        <v>0.4100000000000002</v>
      </c>
      <c r="I412" s="505"/>
      <c r="J412" s="505"/>
      <c r="K412" s="505"/>
      <c r="L412" s="505"/>
      <c r="M412" s="528"/>
      <c r="N412" s="505"/>
      <c r="O412" s="505"/>
      <c r="P412" s="505"/>
      <c r="Q412" s="505"/>
      <c r="R412" s="505"/>
      <c r="S412" s="505"/>
      <c r="T412" s="505"/>
      <c r="U412" s="505"/>
      <c r="V412" s="505"/>
      <c r="W412" s="505"/>
      <c r="X412" s="505"/>
      <c r="Y412" s="505"/>
      <c r="Z412" s="505"/>
      <c r="AA412" s="505"/>
      <c r="AB412" s="505"/>
      <c r="AC412" s="505"/>
      <c r="AD412" s="505"/>
      <c r="AE412" s="505"/>
      <c r="AF412" s="505"/>
      <c r="AG412" s="505"/>
      <c r="AH412" s="505"/>
      <c r="AI412" s="505"/>
      <c r="AJ412" s="505"/>
      <c r="AK412" s="505"/>
      <c r="AL412" s="505"/>
      <c r="AM412" s="505"/>
      <c r="AN412" s="505"/>
      <c r="AO412" s="505"/>
      <c r="AP412" s="505"/>
      <c r="AQ412" s="505"/>
      <c r="AR412" s="505"/>
      <c r="AS412" s="505"/>
      <c r="AT412" s="505"/>
      <c r="AU412" s="505"/>
      <c r="AV412" s="505"/>
      <c r="AW412" s="505"/>
      <c r="AX412" s="505"/>
      <c r="AY412" s="505"/>
      <c r="AZ412" s="505"/>
      <c r="BA412" s="505"/>
      <c r="BB412" s="505"/>
      <c r="BC412" s="505"/>
      <c r="BD412" s="505"/>
      <c r="BE412" s="505"/>
      <c r="BF412" s="505"/>
      <c r="BG412" s="505"/>
      <c r="BH412" s="505"/>
      <c r="BI412" s="505"/>
      <c r="BJ412" s="505"/>
      <c r="BK412" s="505"/>
      <c r="BL412" s="505"/>
      <c r="BM412" s="505"/>
      <c r="BN412" s="505"/>
      <c r="BO412" s="505"/>
      <c r="BP412" s="505"/>
      <c r="BQ412" s="505"/>
      <c r="BR412" s="505"/>
      <c r="BS412" s="505"/>
      <c r="BT412" s="505"/>
      <c r="BU412" s="505"/>
      <c r="BV412" s="505"/>
      <c r="BW412" s="505"/>
      <c r="BX412" s="505"/>
      <c r="BY412" s="505"/>
      <c r="BZ412" s="505"/>
      <c r="CA412" s="505"/>
      <c r="CB412" s="505"/>
      <c r="CC412" s="505"/>
      <c r="CD412" s="505"/>
      <c r="CE412" s="505"/>
      <c r="CF412" s="505"/>
      <c r="CG412" s="505"/>
      <c r="CH412" s="505"/>
      <c r="CI412" s="505"/>
      <c r="CJ412" s="505"/>
      <c r="CK412" s="505"/>
      <c r="CL412" s="505"/>
      <c r="CM412" s="505"/>
      <c r="CN412" s="505"/>
      <c r="CO412" s="505"/>
      <c r="CP412" s="505"/>
      <c r="CQ412" s="505"/>
      <c r="CR412" s="505"/>
      <c r="CS412" s="505"/>
      <c r="CT412" s="505"/>
      <c r="CU412" s="505"/>
      <c r="CV412" s="505"/>
      <c r="CW412" s="505"/>
      <c r="CX412" s="505"/>
      <c r="CY412" s="505"/>
      <c r="CZ412" s="505"/>
      <c r="DA412" s="505"/>
      <c r="DB412" s="505"/>
      <c r="DC412" s="505"/>
      <c r="DD412" s="505"/>
      <c r="DE412" s="505"/>
      <c r="DF412" s="505"/>
      <c r="DG412" s="505"/>
      <c r="DH412" s="505"/>
      <c r="DI412" s="505"/>
      <c r="DJ412" s="505"/>
      <c r="DK412" s="505"/>
      <c r="DL412" s="505"/>
      <c r="DM412" s="505"/>
      <c r="DN412" s="505"/>
      <c r="DO412" s="505"/>
      <c r="DP412" s="505"/>
    </row>
    <row r="413" spans="1:120" hidden="1" outlineLevel="1" x14ac:dyDescent="0.2">
      <c r="A413" s="517">
        <f t="shared" si="61"/>
        <v>39356</v>
      </c>
      <c r="B413" s="517" t="str">
        <f t="shared" si="58"/>
        <v>4Q07</v>
      </c>
      <c r="C413" s="517" t="str">
        <f t="shared" si="62"/>
        <v>4Q07</v>
      </c>
      <c r="D413" s="518">
        <f t="shared" si="63"/>
        <v>39444</v>
      </c>
      <c r="E413" s="518">
        <f t="shared" si="63"/>
        <v>39384</v>
      </c>
      <c r="F413" s="520">
        <v>3.157</v>
      </c>
      <c r="G413" s="521">
        <f t="shared" si="59"/>
        <v>0.4100000000000002</v>
      </c>
      <c r="H413" s="521">
        <f t="shared" si="60"/>
        <v>0.44000000000000022</v>
      </c>
      <c r="I413" s="505"/>
      <c r="J413" s="505"/>
      <c r="K413" s="505"/>
      <c r="L413" s="505"/>
      <c r="M413" s="528"/>
      <c r="N413" s="505"/>
      <c r="O413" s="505"/>
      <c r="P413" s="505"/>
      <c r="Q413" s="505"/>
      <c r="R413" s="505"/>
      <c r="S413" s="505"/>
      <c r="T413" s="505"/>
      <c r="U413" s="505"/>
      <c r="V413" s="505"/>
      <c r="W413" s="505"/>
      <c r="X413" s="505"/>
      <c r="Y413" s="505"/>
      <c r="Z413" s="505"/>
      <c r="AA413" s="505"/>
      <c r="AB413" s="505"/>
      <c r="AC413" s="505"/>
      <c r="AD413" s="505"/>
      <c r="AE413" s="505"/>
      <c r="AF413" s="505"/>
      <c r="AG413" s="505"/>
      <c r="AH413" s="505"/>
      <c r="AI413" s="505"/>
      <c r="AJ413" s="505"/>
      <c r="AK413" s="505"/>
      <c r="AL413" s="505"/>
      <c r="AM413" s="505"/>
      <c r="AN413" s="505"/>
      <c r="AO413" s="505"/>
      <c r="AP413" s="505"/>
      <c r="AQ413" s="505"/>
      <c r="AR413" s="505"/>
      <c r="AS413" s="505"/>
      <c r="AT413" s="505"/>
      <c r="AU413" s="505"/>
      <c r="AV413" s="505"/>
      <c r="AW413" s="505"/>
      <c r="AX413" s="505"/>
      <c r="AY413" s="505"/>
      <c r="AZ413" s="505"/>
      <c r="BA413" s="505"/>
      <c r="BB413" s="505"/>
      <c r="BC413" s="505"/>
      <c r="BD413" s="505"/>
      <c r="BE413" s="505"/>
      <c r="BF413" s="505"/>
      <c r="BG413" s="505"/>
      <c r="BH413" s="505"/>
      <c r="BI413" s="505"/>
      <c r="BJ413" s="505"/>
      <c r="BK413" s="505"/>
      <c r="BL413" s="505"/>
      <c r="BM413" s="505"/>
      <c r="BN413" s="505"/>
      <c r="BO413" s="505"/>
      <c r="BP413" s="505"/>
      <c r="BQ413" s="505"/>
      <c r="BR413" s="505"/>
      <c r="BS413" s="505"/>
      <c r="BT413" s="505"/>
      <c r="BU413" s="505"/>
      <c r="BV413" s="505"/>
      <c r="BW413" s="505"/>
      <c r="BX413" s="505"/>
      <c r="BY413" s="505"/>
      <c r="BZ413" s="505"/>
      <c r="CA413" s="505"/>
      <c r="CB413" s="505"/>
      <c r="CC413" s="505"/>
      <c r="CD413" s="505"/>
      <c r="CE413" s="505"/>
      <c r="CF413" s="505"/>
      <c r="CG413" s="505"/>
      <c r="CH413" s="505"/>
      <c r="CI413" s="505"/>
      <c r="CJ413" s="505"/>
      <c r="CK413" s="505"/>
      <c r="CL413" s="505"/>
      <c r="CM413" s="505"/>
      <c r="CN413" s="505"/>
      <c r="CO413" s="505"/>
      <c r="CP413" s="505"/>
      <c r="CQ413" s="505"/>
      <c r="CR413" s="505"/>
      <c r="CS413" s="505"/>
      <c r="CT413" s="505"/>
      <c r="CU413" s="505"/>
      <c r="CV413" s="505"/>
      <c r="CW413" s="505"/>
      <c r="CX413" s="505"/>
      <c r="CY413" s="505"/>
      <c r="CZ413" s="505"/>
      <c r="DA413" s="505"/>
      <c r="DB413" s="505"/>
      <c r="DC413" s="505"/>
      <c r="DD413" s="505"/>
      <c r="DE413" s="505"/>
      <c r="DF413" s="505"/>
      <c r="DG413" s="505"/>
      <c r="DH413" s="505"/>
      <c r="DI413" s="505"/>
      <c r="DJ413" s="505"/>
      <c r="DK413" s="505"/>
      <c r="DL413" s="505"/>
      <c r="DM413" s="505"/>
      <c r="DN413" s="505"/>
      <c r="DO413" s="505"/>
      <c r="DP413" s="505"/>
    </row>
    <row r="414" spans="1:120" hidden="1" outlineLevel="1" x14ac:dyDescent="0.2">
      <c r="A414" s="517">
        <f t="shared" si="61"/>
        <v>39387</v>
      </c>
      <c r="B414" s="517" t="str">
        <f t="shared" si="58"/>
        <v>4Q07</v>
      </c>
      <c r="C414" s="517" t="str">
        <f t="shared" si="62"/>
        <v>1Q08</v>
      </c>
      <c r="D414" s="518">
        <f t="shared" si="63"/>
        <v>39451</v>
      </c>
      <c r="E414" s="518">
        <f t="shared" si="63"/>
        <v>39391</v>
      </c>
      <c r="F414" s="520">
        <v>3.3029999999999999</v>
      </c>
      <c r="G414" s="521">
        <f t="shared" si="59"/>
        <v>0.44000000000000022</v>
      </c>
      <c r="H414" s="521">
        <f t="shared" si="60"/>
        <v>0.46000000000000024</v>
      </c>
      <c r="I414" s="505"/>
      <c r="J414" s="505"/>
      <c r="K414" s="505"/>
      <c r="L414" s="505"/>
      <c r="M414" s="528"/>
      <c r="N414" s="505"/>
      <c r="O414" s="505"/>
      <c r="P414" s="505"/>
      <c r="Q414" s="505"/>
      <c r="R414" s="505"/>
      <c r="S414" s="505"/>
      <c r="T414" s="505"/>
      <c r="U414" s="505"/>
      <c r="V414" s="505"/>
      <c r="W414" s="505"/>
      <c r="X414" s="505"/>
      <c r="Y414" s="505"/>
      <c r="Z414" s="505"/>
      <c r="AA414" s="505"/>
      <c r="AB414" s="505"/>
      <c r="AC414" s="505"/>
      <c r="AD414" s="505"/>
      <c r="AE414" s="505"/>
      <c r="AF414" s="505"/>
      <c r="AG414" s="505"/>
      <c r="AH414" s="505"/>
      <c r="AI414" s="505"/>
      <c r="AJ414" s="505"/>
      <c r="AK414" s="505"/>
      <c r="AL414" s="505"/>
      <c r="AM414" s="505"/>
      <c r="AN414" s="505"/>
      <c r="AO414" s="505"/>
      <c r="AP414" s="505"/>
      <c r="AQ414" s="505"/>
      <c r="AR414" s="505"/>
      <c r="AS414" s="505"/>
      <c r="AT414" s="505"/>
      <c r="AU414" s="505"/>
      <c r="AV414" s="505"/>
      <c r="AW414" s="505"/>
      <c r="AX414" s="505"/>
      <c r="AY414" s="505"/>
      <c r="AZ414" s="505"/>
      <c r="BA414" s="505"/>
      <c r="BB414" s="505"/>
      <c r="BC414" s="505"/>
      <c r="BD414" s="505"/>
      <c r="BE414" s="505"/>
      <c r="BF414" s="505"/>
      <c r="BG414" s="505"/>
      <c r="BH414" s="505"/>
      <c r="BI414" s="505"/>
      <c r="BJ414" s="505"/>
      <c r="BK414" s="505"/>
      <c r="BL414" s="505"/>
      <c r="BM414" s="505"/>
      <c r="BN414" s="505"/>
      <c r="BO414" s="505"/>
      <c r="BP414" s="505"/>
      <c r="BQ414" s="505"/>
      <c r="BR414" s="505"/>
      <c r="BS414" s="505"/>
      <c r="BT414" s="505"/>
      <c r="BU414" s="505"/>
      <c r="BV414" s="505"/>
      <c r="BW414" s="505"/>
      <c r="BX414" s="505"/>
      <c r="BY414" s="505"/>
      <c r="BZ414" s="505"/>
      <c r="CA414" s="505"/>
      <c r="CB414" s="505"/>
      <c r="CC414" s="505"/>
      <c r="CD414" s="505"/>
      <c r="CE414" s="505"/>
      <c r="CF414" s="505"/>
      <c r="CG414" s="505"/>
      <c r="CH414" s="505"/>
      <c r="CI414" s="505"/>
      <c r="CJ414" s="505"/>
      <c r="CK414" s="505"/>
      <c r="CL414" s="505"/>
      <c r="CM414" s="505"/>
      <c r="CN414" s="505"/>
      <c r="CO414" s="505"/>
      <c r="CP414" s="505"/>
      <c r="CQ414" s="505"/>
      <c r="CR414" s="505"/>
      <c r="CS414" s="505"/>
      <c r="CT414" s="505"/>
      <c r="CU414" s="505"/>
      <c r="CV414" s="505"/>
      <c r="CW414" s="505"/>
      <c r="CX414" s="505"/>
      <c r="CY414" s="505"/>
      <c r="CZ414" s="505"/>
      <c r="DA414" s="505"/>
      <c r="DB414" s="505"/>
      <c r="DC414" s="505"/>
      <c r="DD414" s="505"/>
      <c r="DE414" s="505"/>
      <c r="DF414" s="505"/>
      <c r="DG414" s="505"/>
      <c r="DH414" s="505"/>
      <c r="DI414" s="505"/>
      <c r="DJ414" s="505"/>
      <c r="DK414" s="505"/>
      <c r="DL414" s="505"/>
      <c r="DM414" s="505"/>
      <c r="DN414" s="505"/>
      <c r="DO414" s="505"/>
      <c r="DP414" s="505"/>
    </row>
    <row r="415" spans="1:120" hidden="1" outlineLevel="1" x14ac:dyDescent="0.2">
      <c r="A415" s="517">
        <f t="shared" si="61"/>
        <v>39387</v>
      </c>
      <c r="B415" s="517" t="str">
        <f t="shared" si="58"/>
        <v>4Q07</v>
      </c>
      <c r="C415" s="517" t="str">
        <f t="shared" si="62"/>
        <v>1Q08</v>
      </c>
      <c r="D415" s="518">
        <f t="shared" si="63"/>
        <v>39458</v>
      </c>
      <c r="E415" s="518">
        <f t="shared" si="63"/>
        <v>39398</v>
      </c>
      <c r="F415" s="520">
        <v>3.4249999999999998</v>
      </c>
      <c r="G415" s="521">
        <f t="shared" si="59"/>
        <v>0.46000000000000024</v>
      </c>
      <c r="H415" s="521">
        <f t="shared" si="60"/>
        <v>0.46000000000000024</v>
      </c>
      <c r="I415" s="505"/>
      <c r="J415" s="505"/>
      <c r="K415" s="505"/>
      <c r="L415" s="505"/>
      <c r="M415" s="528"/>
      <c r="N415" s="505"/>
      <c r="O415" s="505"/>
      <c r="P415" s="505"/>
      <c r="Q415" s="505"/>
      <c r="R415" s="505"/>
      <c r="S415" s="505"/>
      <c r="T415" s="505"/>
      <c r="U415" s="505"/>
      <c r="V415" s="505"/>
      <c r="W415" s="505"/>
      <c r="X415" s="505"/>
      <c r="Y415" s="505"/>
      <c r="Z415" s="505"/>
      <c r="AA415" s="505"/>
      <c r="AB415" s="505"/>
      <c r="AC415" s="505"/>
      <c r="AD415" s="505"/>
      <c r="AE415" s="505"/>
      <c r="AF415" s="505"/>
      <c r="AG415" s="505"/>
      <c r="AH415" s="505"/>
      <c r="AI415" s="505"/>
      <c r="AJ415" s="505"/>
      <c r="AK415" s="505"/>
      <c r="AL415" s="505"/>
      <c r="AM415" s="505"/>
      <c r="AN415" s="505"/>
      <c r="AO415" s="505"/>
      <c r="AP415" s="505"/>
      <c r="AQ415" s="505"/>
      <c r="AR415" s="505"/>
      <c r="AS415" s="505"/>
      <c r="AT415" s="505"/>
      <c r="AU415" s="505"/>
      <c r="AV415" s="505"/>
      <c r="AW415" s="505"/>
      <c r="AX415" s="505"/>
      <c r="AY415" s="505"/>
      <c r="AZ415" s="505"/>
      <c r="BA415" s="505"/>
      <c r="BB415" s="505"/>
      <c r="BC415" s="505"/>
      <c r="BD415" s="505"/>
      <c r="BE415" s="505"/>
      <c r="BF415" s="505"/>
      <c r="BG415" s="505"/>
      <c r="BH415" s="505"/>
      <c r="BI415" s="505"/>
      <c r="BJ415" s="505"/>
      <c r="BK415" s="505"/>
      <c r="BL415" s="505"/>
      <c r="BM415" s="505"/>
      <c r="BN415" s="505"/>
      <c r="BO415" s="505"/>
      <c r="BP415" s="505"/>
      <c r="BQ415" s="505"/>
      <c r="BR415" s="505"/>
      <c r="BS415" s="505"/>
      <c r="BT415" s="505"/>
      <c r="BU415" s="505"/>
      <c r="BV415" s="505"/>
      <c r="BW415" s="505"/>
      <c r="BX415" s="505"/>
      <c r="BY415" s="505"/>
      <c r="BZ415" s="505"/>
      <c r="CA415" s="505"/>
      <c r="CB415" s="505"/>
      <c r="CC415" s="505"/>
      <c r="CD415" s="505"/>
      <c r="CE415" s="505"/>
      <c r="CF415" s="505"/>
      <c r="CG415" s="505"/>
      <c r="CH415" s="505"/>
      <c r="CI415" s="505"/>
      <c r="CJ415" s="505"/>
      <c r="CK415" s="505"/>
      <c r="CL415" s="505"/>
      <c r="CM415" s="505"/>
      <c r="CN415" s="505"/>
      <c r="CO415" s="505"/>
      <c r="CP415" s="505"/>
      <c r="CQ415" s="505"/>
      <c r="CR415" s="505"/>
      <c r="CS415" s="505"/>
      <c r="CT415" s="505"/>
      <c r="CU415" s="505"/>
      <c r="CV415" s="505"/>
      <c r="CW415" s="505"/>
      <c r="CX415" s="505"/>
      <c r="CY415" s="505"/>
      <c r="CZ415" s="505"/>
      <c r="DA415" s="505"/>
      <c r="DB415" s="505"/>
      <c r="DC415" s="505"/>
      <c r="DD415" s="505"/>
      <c r="DE415" s="505"/>
      <c r="DF415" s="505"/>
      <c r="DG415" s="505"/>
      <c r="DH415" s="505"/>
      <c r="DI415" s="505"/>
      <c r="DJ415" s="505"/>
      <c r="DK415" s="505"/>
      <c r="DL415" s="505"/>
      <c r="DM415" s="505"/>
      <c r="DN415" s="505"/>
      <c r="DO415" s="505"/>
      <c r="DP415" s="505"/>
    </row>
    <row r="416" spans="1:120" hidden="1" outlineLevel="1" x14ac:dyDescent="0.2">
      <c r="A416" s="517">
        <f t="shared" si="61"/>
        <v>39387</v>
      </c>
      <c r="B416" s="517" t="str">
        <f t="shared" si="58"/>
        <v>4Q07</v>
      </c>
      <c r="C416" s="517" t="str">
        <f t="shared" si="62"/>
        <v>1Q08</v>
      </c>
      <c r="D416" s="518">
        <f t="shared" si="63"/>
        <v>39465</v>
      </c>
      <c r="E416" s="518">
        <f t="shared" si="63"/>
        <v>39405</v>
      </c>
      <c r="F416" s="520">
        <v>3.41</v>
      </c>
      <c r="G416" s="521">
        <f t="shared" si="59"/>
        <v>0.46000000000000024</v>
      </c>
      <c r="H416" s="521">
        <f t="shared" si="60"/>
        <v>0.46000000000000024</v>
      </c>
      <c r="I416" s="505"/>
      <c r="J416" s="505"/>
      <c r="K416" s="505"/>
      <c r="L416" s="505"/>
      <c r="M416" s="528"/>
      <c r="N416" s="505"/>
      <c r="O416" s="505"/>
      <c r="P416" s="505"/>
      <c r="Q416" s="505"/>
      <c r="R416" s="505"/>
      <c r="S416" s="505"/>
      <c r="T416" s="505"/>
      <c r="U416" s="505"/>
      <c r="V416" s="505"/>
      <c r="W416" s="505"/>
      <c r="X416" s="505"/>
      <c r="Y416" s="505"/>
      <c r="Z416" s="505"/>
      <c r="AA416" s="505"/>
      <c r="AB416" s="505"/>
      <c r="AC416" s="505"/>
      <c r="AD416" s="505"/>
      <c r="AE416" s="505"/>
      <c r="AF416" s="505"/>
      <c r="AG416" s="505"/>
      <c r="AH416" s="505"/>
      <c r="AI416" s="505"/>
      <c r="AJ416" s="505"/>
      <c r="AK416" s="505"/>
      <c r="AL416" s="505"/>
      <c r="AM416" s="505"/>
      <c r="AN416" s="505"/>
      <c r="AO416" s="505"/>
      <c r="AP416" s="505"/>
      <c r="AQ416" s="505"/>
      <c r="AR416" s="505"/>
      <c r="AS416" s="505"/>
      <c r="AT416" s="505"/>
      <c r="AU416" s="505"/>
      <c r="AV416" s="505"/>
      <c r="AW416" s="505"/>
      <c r="AX416" s="505"/>
      <c r="AY416" s="505"/>
      <c r="AZ416" s="505"/>
      <c r="BA416" s="505"/>
      <c r="BB416" s="505"/>
      <c r="BC416" s="505"/>
      <c r="BD416" s="505"/>
      <c r="BE416" s="505"/>
      <c r="BF416" s="505"/>
      <c r="BG416" s="505"/>
      <c r="BH416" s="505"/>
      <c r="BI416" s="505"/>
      <c r="BJ416" s="505"/>
      <c r="BK416" s="505"/>
      <c r="BL416" s="505"/>
      <c r="BM416" s="505"/>
      <c r="BN416" s="505"/>
      <c r="BO416" s="505"/>
      <c r="BP416" s="505"/>
      <c r="BQ416" s="505"/>
      <c r="BR416" s="505"/>
      <c r="BS416" s="505"/>
      <c r="BT416" s="505"/>
      <c r="BU416" s="505"/>
      <c r="BV416" s="505"/>
      <c r="BW416" s="505"/>
      <c r="BX416" s="505"/>
      <c r="BY416" s="505"/>
      <c r="BZ416" s="505"/>
      <c r="CA416" s="505"/>
      <c r="CB416" s="505"/>
      <c r="CC416" s="505"/>
      <c r="CD416" s="505"/>
      <c r="CE416" s="505"/>
      <c r="CF416" s="505"/>
      <c r="CG416" s="505"/>
      <c r="CH416" s="505"/>
      <c r="CI416" s="505"/>
      <c r="CJ416" s="505"/>
      <c r="CK416" s="505"/>
      <c r="CL416" s="505"/>
      <c r="CM416" s="505"/>
      <c r="CN416" s="505"/>
      <c r="CO416" s="505"/>
      <c r="CP416" s="505"/>
      <c r="CQ416" s="505"/>
      <c r="CR416" s="505"/>
      <c r="CS416" s="505"/>
      <c r="CT416" s="505"/>
      <c r="CU416" s="505"/>
      <c r="CV416" s="505"/>
      <c r="CW416" s="505"/>
      <c r="CX416" s="505"/>
      <c r="CY416" s="505"/>
      <c r="CZ416" s="505"/>
      <c r="DA416" s="505"/>
      <c r="DB416" s="505"/>
      <c r="DC416" s="505"/>
      <c r="DD416" s="505"/>
      <c r="DE416" s="505"/>
      <c r="DF416" s="505"/>
      <c r="DG416" s="505"/>
      <c r="DH416" s="505"/>
      <c r="DI416" s="505"/>
      <c r="DJ416" s="505"/>
      <c r="DK416" s="505"/>
      <c r="DL416" s="505"/>
      <c r="DM416" s="505"/>
      <c r="DN416" s="505"/>
      <c r="DO416" s="505"/>
      <c r="DP416" s="505"/>
    </row>
    <row r="417" spans="1:120" hidden="1" outlineLevel="1" x14ac:dyDescent="0.2">
      <c r="A417" s="517">
        <f t="shared" si="61"/>
        <v>39387</v>
      </c>
      <c r="B417" s="517" t="str">
        <f t="shared" si="58"/>
        <v>4Q07</v>
      </c>
      <c r="C417" s="517" t="str">
        <f t="shared" si="62"/>
        <v>1Q08</v>
      </c>
      <c r="D417" s="518">
        <f t="shared" si="63"/>
        <v>39472</v>
      </c>
      <c r="E417" s="518">
        <f t="shared" si="63"/>
        <v>39412</v>
      </c>
      <c r="F417" s="520">
        <v>3.444</v>
      </c>
      <c r="G417" s="521">
        <f t="shared" si="59"/>
        <v>0.46000000000000024</v>
      </c>
      <c r="H417" s="521">
        <f t="shared" si="60"/>
        <v>0.46000000000000024</v>
      </c>
      <c r="I417" s="505"/>
      <c r="J417" s="505"/>
      <c r="K417" s="505"/>
      <c r="L417" s="505"/>
      <c r="M417" s="528"/>
      <c r="N417" s="505"/>
      <c r="O417" s="505"/>
      <c r="P417" s="505"/>
      <c r="Q417" s="505"/>
      <c r="R417" s="505"/>
      <c r="S417" s="505"/>
      <c r="T417" s="505"/>
      <c r="U417" s="505"/>
      <c r="V417" s="505"/>
      <c r="W417" s="505"/>
      <c r="X417" s="505"/>
      <c r="Y417" s="505"/>
      <c r="Z417" s="505"/>
      <c r="AA417" s="505"/>
      <c r="AB417" s="505"/>
      <c r="AC417" s="505"/>
      <c r="AD417" s="505"/>
      <c r="AE417" s="505"/>
      <c r="AF417" s="505"/>
      <c r="AG417" s="505"/>
      <c r="AH417" s="505"/>
      <c r="AI417" s="505"/>
      <c r="AJ417" s="505"/>
      <c r="AK417" s="505"/>
      <c r="AL417" s="505"/>
      <c r="AM417" s="505"/>
      <c r="AN417" s="505"/>
      <c r="AO417" s="505"/>
      <c r="AP417" s="505"/>
      <c r="AQ417" s="505"/>
      <c r="AR417" s="505"/>
      <c r="AS417" s="505"/>
      <c r="AT417" s="505"/>
      <c r="AU417" s="505"/>
      <c r="AV417" s="505"/>
      <c r="AW417" s="505"/>
      <c r="AX417" s="505"/>
      <c r="AY417" s="505"/>
      <c r="AZ417" s="505"/>
      <c r="BA417" s="505"/>
      <c r="BB417" s="505"/>
      <c r="BC417" s="505"/>
      <c r="BD417" s="505"/>
      <c r="BE417" s="505"/>
      <c r="BF417" s="505"/>
      <c r="BG417" s="505"/>
      <c r="BH417" s="505"/>
      <c r="BI417" s="505"/>
      <c r="BJ417" s="505"/>
      <c r="BK417" s="505"/>
      <c r="BL417" s="505"/>
      <c r="BM417" s="505"/>
      <c r="BN417" s="505"/>
      <c r="BO417" s="505"/>
      <c r="BP417" s="505"/>
      <c r="BQ417" s="505"/>
      <c r="BR417" s="505"/>
      <c r="BS417" s="505"/>
      <c r="BT417" s="505"/>
      <c r="BU417" s="505"/>
      <c r="BV417" s="505"/>
      <c r="BW417" s="505"/>
      <c r="BX417" s="505"/>
      <c r="BY417" s="505"/>
      <c r="BZ417" s="505"/>
      <c r="CA417" s="505"/>
      <c r="CB417" s="505"/>
      <c r="CC417" s="505"/>
      <c r="CD417" s="505"/>
      <c r="CE417" s="505"/>
      <c r="CF417" s="505"/>
      <c r="CG417" s="505"/>
      <c r="CH417" s="505"/>
      <c r="CI417" s="505"/>
      <c r="CJ417" s="505"/>
      <c r="CK417" s="505"/>
      <c r="CL417" s="505"/>
      <c r="CM417" s="505"/>
      <c r="CN417" s="505"/>
      <c r="CO417" s="505"/>
      <c r="CP417" s="505"/>
      <c r="CQ417" s="505"/>
      <c r="CR417" s="505"/>
      <c r="CS417" s="505"/>
      <c r="CT417" s="505"/>
      <c r="CU417" s="505"/>
      <c r="CV417" s="505"/>
      <c r="CW417" s="505"/>
      <c r="CX417" s="505"/>
      <c r="CY417" s="505"/>
      <c r="CZ417" s="505"/>
      <c r="DA417" s="505"/>
      <c r="DB417" s="505"/>
      <c r="DC417" s="505"/>
      <c r="DD417" s="505"/>
      <c r="DE417" s="505"/>
      <c r="DF417" s="505"/>
      <c r="DG417" s="505"/>
      <c r="DH417" s="505"/>
      <c r="DI417" s="505"/>
      <c r="DJ417" s="505"/>
      <c r="DK417" s="505"/>
      <c r="DL417" s="505"/>
      <c r="DM417" s="505"/>
      <c r="DN417" s="505"/>
      <c r="DO417" s="505"/>
      <c r="DP417" s="505"/>
    </row>
    <row r="418" spans="1:120" hidden="1" outlineLevel="1" x14ac:dyDescent="0.2">
      <c r="A418" s="517">
        <f t="shared" si="61"/>
        <v>39417</v>
      </c>
      <c r="B418" s="517" t="str">
        <f t="shared" si="58"/>
        <v>4Q07</v>
      </c>
      <c r="C418" s="517" t="str">
        <f t="shared" si="62"/>
        <v>1Q08</v>
      </c>
      <c r="D418" s="518">
        <f t="shared" si="63"/>
        <v>39479</v>
      </c>
      <c r="E418" s="518">
        <f t="shared" si="63"/>
        <v>39419</v>
      </c>
      <c r="F418" s="520">
        <v>3.4159999999999999</v>
      </c>
      <c r="G418" s="521">
        <f t="shared" si="59"/>
        <v>0.46000000000000024</v>
      </c>
      <c r="H418" s="521">
        <f t="shared" si="60"/>
        <v>0.44000000000000022</v>
      </c>
      <c r="I418" s="505"/>
      <c r="J418" s="505"/>
      <c r="K418" s="505"/>
      <c r="L418" s="505"/>
      <c r="M418" s="528"/>
      <c r="N418" s="505"/>
      <c r="O418" s="505"/>
      <c r="P418" s="505"/>
      <c r="Q418" s="505"/>
      <c r="R418" s="505"/>
      <c r="S418" s="505"/>
      <c r="T418" s="505"/>
      <c r="U418" s="505"/>
      <c r="V418" s="505"/>
      <c r="W418" s="505"/>
      <c r="X418" s="505"/>
      <c r="Y418" s="505"/>
      <c r="Z418" s="505"/>
      <c r="AA418" s="505"/>
      <c r="AB418" s="505"/>
      <c r="AC418" s="505"/>
      <c r="AD418" s="505"/>
      <c r="AE418" s="505"/>
      <c r="AF418" s="505"/>
      <c r="AG418" s="505"/>
      <c r="AH418" s="505"/>
      <c r="AI418" s="505"/>
      <c r="AJ418" s="505"/>
      <c r="AK418" s="505"/>
      <c r="AL418" s="505"/>
      <c r="AM418" s="505"/>
      <c r="AN418" s="505"/>
      <c r="AO418" s="505"/>
      <c r="AP418" s="505"/>
      <c r="AQ418" s="505"/>
      <c r="AR418" s="505"/>
      <c r="AS418" s="505"/>
      <c r="AT418" s="505"/>
      <c r="AU418" s="505"/>
      <c r="AV418" s="505"/>
      <c r="AW418" s="505"/>
      <c r="AX418" s="505"/>
      <c r="AY418" s="505"/>
      <c r="AZ418" s="505"/>
      <c r="BA418" s="505"/>
      <c r="BB418" s="505"/>
      <c r="BC418" s="505"/>
      <c r="BD418" s="505"/>
      <c r="BE418" s="505"/>
      <c r="BF418" s="505"/>
      <c r="BG418" s="505"/>
      <c r="BH418" s="505"/>
      <c r="BI418" s="505"/>
      <c r="BJ418" s="505"/>
      <c r="BK418" s="505"/>
      <c r="BL418" s="505"/>
      <c r="BM418" s="505"/>
      <c r="BN418" s="505"/>
      <c r="BO418" s="505"/>
      <c r="BP418" s="505"/>
      <c r="BQ418" s="505"/>
      <c r="BR418" s="505"/>
      <c r="BS418" s="505"/>
      <c r="BT418" s="505"/>
      <c r="BU418" s="505"/>
      <c r="BV418" s="505"/>
      <c r="BW418" s="505"/>
      <c r="BX418" s="505"/>
      <c r="BY418" s="505"/>
      <c r="BZ418" s="505"/>
      <c r="CA418" s="505"/>
      <c r="CB418" s="505"/>
      <c r="CC418" s="505"/>
      <c r="CD418" s="505"/>
      <c r="CE418" s="505"/>
      <c r="CF418" s="505"/>
      <c r="CG418" s="505"/>
      <c r="CH418" s="505"/>
      <c r="CI418" s="505"/>
      <c r="CJ418" s="505"/>
      <c r="CK418" s="505"/>
      <c r="CL418" s="505"/>
      <c r="CM418" s="505"/>
      <c r="CN418" s="505"/>
      <c r="CO418" s="505"/>
      <c r="CP418" s="505"/>
      <c r="CQ418" s="505"/>
      <c r="CR418" s="505"/>
      <c r="CS418" s="505"/>
      <c r="CT418" s="505"/>
      <c r="CU418" s="505"/>
      <c r="CV418" s="505"/>
      <c r="CW418" s="505"/>
      <c r="CX418" s="505"/>
      <c r="CY418" s="505"/>
      <c r="CZ418" s="505"/>
      <c r="DA418" s="505"/>
      <c r="DB418" s="505"/>
      <c r="DC418" s="505"/>
      <c r="DD418" s="505"/>
      <c r="DE418" s="505"/>
      <c r="DF418" s="505"/>
      <c r="DG418" s="505"/>
      <c r="DH418" s="505"/>
      <c r="DI418" s="505"/>
      <c r="DJ418" s="505"/>
      <c r="DK418" s="505"/>
      <c r="DL418" s="505"/>
      <c r="DM418" s="505"/>
      <c r="DN418" s="505"/>
      <c r="DO418" s="505"/>
      <c r="DP418" s="505"/>
    </row>
    <row r="419" spans="1:120" hidden="1" outlineLevel="1" x14ac:dyDescent="0.2">
      <c r="A419" s="517">
        <f t="shared" si="61"/>
        <v>39417</v>
      </c>
      <c r="B419" s="517" t="str">
        <f t="shared" si="58"/>
        <v>4Q07</v>
      </c>
      <c r="C419" s="517" t="str">
        <f t="shared" si="62"/>
        <v>1Q08</v>
      </c>
      <c r="D419" s="518">
        <f t="shared" si="63"/>
        <v>39486</v>
      </c>
      <c r="E419" s="518">
        <f t="shared" si="63"/>
        <v>39426</v>
      </c>
      <c r="F419" s="520">
        <v>3.3250000000000002</v>
      </c>
      <c r="G419" s="521">
        <f t="shared" si="59"/>
        <v>0.44000000000000022</v>
      </c>
      <c r="H419" s="521">
        <f t="shared" si="60"/>
        <v>0.44000000000000022</v>
      </c>
      <c r="I419" s="505"/>
      <c r="J419" s="505"/>
      <c r="K419" s="505"/>
      <c r="L419" s="505"/>
      <c r="M419" s="528"/>
      <c r="N419" s="505"/>
      <c r="O419" s="505"/>
      <c r="P419" s="505"/>
      <c r="Q419" s="505"/>
      <c r="R419" s="505"/>
      <c r="S419" s="505"/>
      <c r="T419" s="505"/>
      <c r="U419" s="505"/>
      <c r="V419" s="505"/>
      <c r="W419" s="505"/>
      <c r="X419" s="505"/>
      <c r="Y419" s="505"/>
      <c r="Z419" s="505"/>
      <c r="AA419" s="505"/>
      <c r="AB419" s="505"/>
      <c r="AC419" s="505"/>
      <c r="AD419" s="505"/>
      <c r="AE419" s="505"/>
      <c r="AF419" s="505"/>
      <c r="AG419" s="505"/>
      <c r="AH419" s="505"/>
      <c r="AI419" s="505"/>
      <c r="AJ419" s="505"/>
      <c r="AK419" s="505"/>
      <c r="AL419" s="505"/>
      <c r="AM419" s="505"/>
      <c r="AN419" s="505"/>
      <c r="AO419" s="505"/>
      <c r="AP419" s="505"/>
      <c r="AQ419" s="505"/>
      <c r="AR419" s="505"/>
      <c r="AS419" s="505"/>
      <c r="AT419" s="505"/>
      <c r="AU419" s="505"/>
      <c r="AV419" s="505"/>
      <c r="AW419" s="505"/>
      <c r="AX419" s="505"/>
      <c r="AY419" s="505"/>
      <c r="AZ419" s="505"/>
      <c r="BA419" s="505"/>
      <c r="BB419" s="505"/>
      <c r="BC419" s="505"/>
      <c r="BD419" s="505"/>
      <c r="BE419" s="505"/>
      <c r="BF419" s="505"/>
      <c r="BG419" s="505"/>
      <c r="BH419" s="505"/>
      <c r="BI419" s="505"/>
      <c r="BJ419" s="505"/>
      <c r="BK419" s="505"/>
      <c r="BL419" s="505"/>
      <c r="BM419" s="505"/>
      <c r="BN419" s="505"/>
      <c r="BO419" s="505"/>
      <c r="BP419" s="505"/>
      <c r="BQ419" s="505"/>
      <c r="BR419" s="505"/>
      <c r="BS419" s="505"/>
      <c r="BT419" s="505"/>
      <c r="BU419" s="505"/>
      <c r="BV419" s="505"/>
      <c r="BW419" s="505"/>
      <c r="BX419" s="505"/>
      <c r="BY419" s="505"/>
      <c r="BZ419" s="505"/>
      <c r="CA419" s="505"/>
      <c r="CB419" s="505"/>
      <c r="CC419" s="505"/>
      <c r="CD419" s="505"/>
      <c r="CE419" s="505"/>
      <c r="CF419" s="505"/>
      <c r="CG419" s="505"/>
      <c r="CH419" s="505"/>
      <c r="CI419" s="505"/>
      <c r="CJ419" s="505"/>
      <c r="CK419" s="505"/>
      <c r="CL419" s="505"/>
      <c r="CM419" s="505"/>
      <c r="CN419" s="505"/>
      <c r="CO419" s="505"/>
      <c r="CP419" s="505"/>
      <c r="CQ419" s="505"/>
      <c r="CR419" s="505"/>
      <c r="CS419" s="505"/>
      <c r="CT419" s="505"/>
      <c r="CU419" s="505"/>
      <c r="CV419" s="505"/>
      <c r="CW419" s="505"/>
      <c r="CX419" s="505"/>
      <c r="CY419" s="505"/>
      <c r="CZ419" s="505"/>
      <c r="DA419" s="505"/>
      <c r="DB419" s="505"/>
      <c r="DC419" s="505"/>
      <c r="DD419" s="505"/>
      <c r="DE419" s="505"/>
      <c r="DF419" s="505"/>
      <c r="DG419" s="505"/>
      <c r="DH419" s="505"/>
      <c r="DI419" s="505"/>
      <c r="DJ419" s="505"/>
      <c r="DK419" s="505"/>
      <c r="DL419" s="505"/>
      <c r="DM419" s="505"/>
      <c r="DN419" s="505"/>
      <c r="DO419" s="505"/>
      <c r="DP419" s="505"/>
    </row>
    <row r="420" spans="1:120" hidden="1" outlineLevel="1" x14ac:dyDescent="0.2">
      <c r="A420" s="517">
        <f t="shared" si="61"/>
        <v>39417</v>
      </c>
      <c r="B420" s="517" t="str">
        <f t="shared" si="58"/>
        <v>4Q07</v>
      </c>
      <c r="C420" s="517" t="str">
        <f t="shared" si="62"/>
        <v>1Q08</v>
      </c>
      <c r="D420" s="518">
        <f t="shared" si="63"/>
        <v>39493</v>
      </c>
      <c r="E420" s="518">
        <f t="shared" si="63"/>
        <v>39433</v>
      </c>
      <c r="F420" s="520">
        <v>3.3090000000000002</v>
      </c>
      <c r="G420" s="521">
        <f t="shared" si="59"/>
        <v>0.44000000000000022</v>
      </c>
      <c r="H420" s="521">
        <f t="shared" si="60"/>
        <v>0.44000000000000022</v>
      </c>
      <c r="I420" s="505"/>
      <c r="J420" s="505"/>
      <c r="K420" s="505"/>
      <c r="L420" s="505"/>
      <c r="M420" s="528"/>
      <c r="N420" s="505"/>
      <c r="O420" s="505"/>
      <c r="P420" s="505"/>
      <c r="Q420" s="505"/>
      <c r="R420" s="505"/>
      <c r="S420" s="505"/>
      <c r="T420" s="505"/>
      <c r="U420" s="505"/>
      <c r="V420" s="505"/>
      <c r="W420" s="505"/>
      <c r="X420" s="505"/>
      <c r="Y420" s="505"/>
      <c r="Z420" s="505"/>
      <c r="AA420" s="505"/>
      <c r="AB420" s="505"/>
      <c r="AC420" s="505"/>
      <c r="AD420" s="505"/>
      <c r="AE420" s="505"/>
      <c r="AF420" s="505"/>
      <c r="AG420" s="505"/>
      <c r="AH420" s="505"/>
      <c r="AI420" s="505"/>
      <c r="AJ420" s="505"/>
      <c r="AK420" s="505"/>
      <c r="AL420" s="505"/>
      <c r="AM420" s="505"/>
      <c r="AN420" s="505"/>
      <c r="AO420" s="505"/>
      <c r="AP420" s="505"/>
      <c r="AQ420" s="505"/>
      <c r="AR420" s="505"/>
      <c r="AS420" s="505"/>
      <c r="AT420" s="505"/>
      <c r="AU420" s="505"/>
      <c r="AV420" s="505"/>
      <c r="AW420" s="505"/>
      <c r="AX420" s="505"/>
      <c r="AY420" s="505"/>
      <c r="AZ420" s="505"/>
      <c r="BA420" s="505"/>
      <c r="BB420" s="505"/>
      <c r="BC420" s="505"/>
      <c r="BD420" s="505"/>
      <c r="BE420" s="505"/>
      <c r="BF420" s="505"/>
      <c r="BG420" s="505"/>
      <c r="BH420" s="505"/>
      <c r="BI420" s="505"/>
      <c r="BJ420" s="505"/>
      <c r="BK420" s="505"/>
      <c r="BL420" s="505"/>
      <c r="BM420" s="505"/>
      <c r="BN420" s="505"/>
      <c r="BO420" s="505"/>
      <c r="BP420" s="505"/>
      <c r="BQ420" s="505"/>
      <c r="BR420" s="505"/>
      <c r="BS420" s="505"/>
      <c r="BT420" s="505"/>
      <c r="BU420" s="505"/>
      <c r="BV420" s="505"/>
      <c r="BW420" s="505"/>
      <c r="BX420" s="505"/>
      <c r="BY420" s="505"/>
      <c r="BZ420" s="505"/>
      <c r="CA420" s="505"/>
      <c r="CB420" s="505"/>
      <c r="CC420" s="505"/>
      <c r="CD420" s="505"/>
      <c r="CE420" s="505"/>
      <c r="CF420" s="505"/>
      <c r="CG420" s="505"/>
      <c r="CH420" s="505"/>
      <c r="CI420" s="505"/>
      <c r="CJ420" s="505"/>
      <c r="CK420" s="505"/>
      <c r="CL420" s="505"/>
      <c r="CM420" s="505"/>
      <c r="CN420" s="505"/>
      <c r="CO420" s="505"/>
      <c r="CP420" s="505"/>
      <c r="CQ420" s="505"/>
      <c r="CR420" s="505"/>
      <c r="CS420" s="505"/>
      <c r="CT420" s="505"/>
      <c r="CU420" s="505"/>
      <c r="CV420" s="505"/>
      <c r="CW420" s="505"/>
      <c r="CX420" s="505"/>
      <c r="CY420" s="505"/>
      <c r="CZ420" s="505"/>
      <c r="DA420" s="505"/>
      <c r="DB420" s="505"/>
      <c r="DC420" s="505"/>
      <c r="DD420" s="505"/>
      <c r="DE420" s="505"/>
      <c r="DF420" s="505"/>
      <c r="DG420" s="505"/>
      <c r="DH420" s="505"/>
      <c r="DI420" s="505"/>
      <c r="DJ420" s="505"/>
      <c r="DK420" s="505"/>
      <c r="DL420" s="505"/>
      <c r="DM420" s="505"/>
      <c r="DN420" s="505"/>
      <c r="DO420" s="505"/>
      <c r="DP420" s="505"/>
    </row>
    <row r="421" spans="1:120" hidden="1" outlineLevel="1" x14ac:dyDescent="0.2">
      <c r="A421" s="517">
        <f t="shared" si="61"/>
        <v>39417</v>
      </c>
      <c r="B421" s="517" t="str">
        <f t="shared" si="58"/>
        <v>4Q07</v>
      </c>
      <c r="C421" s="517" t="str">
        <f t="shared" si="62"/>
        <v>1Q08</v>
      </c>
      <c r="D421" s="518">
        <f t="shared" si="63"/>
        <v>39500</v>
      </c>
      <c r="E421" s="518">
        <f t="shared" si="63"/>
        <v>39440</v>
      </c>
      <c r="F421" s="520">
        <v>3.3079999999999998</v>
      </c>
      <c r="G421" s="521">
        <f t="shared" si="59"/>
        <v>0.44000000000000022</v>
      </c>
      <c r="H421" s="521">
        <f t="shared" si="60"/>
        <v>0.44000000000000022</v>
      </c>
      <c r="I421" s="505"/>
      <c r="J421" s="505"/>
      <c r="K421" s="505"/>
      <c r="L421" s="505"/>
      <c r="M421" s="528"/>
      <c r="N421" s="505"/>
      <c r="O421" s="505"/>
      <c r="P421" s="505"/>
      <c r="Q421" s="505"/>
      <c r="R421" s="505"/>
      <c r="S421" s="505"/>
      <c r="T421" s="505"/>
      <c r="U421" s="505"/>
      <c r="V421" s="505"/>
      <c r="W421" s="505"/>
      <c r="X421" s="505"/>
      <c r="Y421" s="505"/>
      <c r="Z421" s="505"/>
      <c r="AA421" s="505"/>
      <c r="AB421" s="505"/>
      <c r="AC421" s="505"/>
      <c r="AD421" s="505"/>
      <c r="AE421" s="505"/>
      <c r="AF421" s="505"/>
      <c r="AG421" s="505"/>
      <c r="AH421" s="505"/>
      <c r="AI421" s="505"/>
      <c r="AJ421" s="505"/>
      <c r="AK421" s="505"/>
      <c r="AL421" s="505"/>
      <c r="AM421" s="505"/>
      <c r="AN421" s="505"/>
      <c r="AO421" s="505"/>
      <c r="AP421" s="505"/>
      <c r="AQ421" s="505"/>
      <c r="AR421" s="505"/>
      <c r="AS421" s="505"/>
      <c r="AT421" s="505"/>
      <c r="AU421" s="505"/>
      <c r="AV421" s="505"/>
      <c r="AW421" s="505"/>
      <c r="AX421" s="505"/>
      <c r="AY421" s="505"/>
      <c r="AZ421" s="505"/>
      <c r="BA421" s="505"/>
      <c r="BB421" s="505"/>
      <c r="BC421" s="505"/>
      <c r="BD421" s="505"/>
      <c r="BE421" s="505"/>
      <c r="BF421" s="505"/>
      <c r="BG421" s="505"/>
      <c r="BH421" s="505"/>
      <c r="BI421" s="505"/>
      <c r="BJ421" s="505"/>
      <c r="BK421" s="505"/>
      <c r="BL421" s="505"/>
      <c r="BM421" s="505"/>
      <c r="BN421" s="505"/>
      <c r="BO421" s="505"/>
      <c r="BP421" s="505"/>
      <c r="BQ421" s="505"/>
      <c r="BR421" s="505"/>
      <c r="BS421" s="505"/>
      <c r="BT421" s="505"/>
      <c r="BU421" s="505"/>
      <c r="BV421" s="505"/>
      <c r="BW421" s="505"/>
      <c r="BX421" s="505"/>
      <c r="BY421" s="505"/>
      <c r="BZ421" s="505"/>
      <c r="CA421" s="505"/>
      <c r="CB421" s="505"/>
      <c r="CC421" s="505"/>
      <c r="CD421" s="505"/>
      <c r="CE421" s="505"/>
      <c r="CF421" s="505"/>
      <c r="CG421" s="505"/>
      <c r="CH421" s="505"/>
      <c r="CI421" s="505"/>
      <c r="CJ421" s="505"/>
      <c r="CK421" s="505"/>
      <c r="CL421" s="505"/>
      <c r="CM421" s="505"/>
      <c r="CN421" s="505"/>
      <c r="CO421" s="505"/>
      <c r="CP421" s="505"/>
      <c r="CQ421" s="505"/>
      <c r="CR421" s="505"/>
      <c r="CS421" s="505"/>
      <c r="CT421" s="505"/>
      <c r="CU421" s="505"/>
      <c r="CV421" s="505"/>
      <c r="CW421" s="505"/>
      <c r="CX421" s="505"/>
      <c r="CY421" s="505"/>
      <c r="CZ421" s="505"/>
      <c r="DA421" s="505"/>
      <c r="DB421" s="505"/>
      <c r="DC421" s="505"/>
      <c r="DD421" s="505"/>
      <c r="DE421" s="505"/>
      <c r="DF421" s="505"/>
      <c r="DG421" s="505"/>
      <c r="DH421" s="505"/>
      <c r="DI421" s="505"/>
      <c r="DJ421" s="505"/>
      <c r="DK421" s="505"/>
      <c r="DL421" s="505"/>
      <c r="DM421" s="505"/>
      <c r="DN421" s="505"/>
      <c r="DO421" s="505"/>
      <c r="DP421" s="505"/>
    </row>
    <row r="422" spans="1:120" hidden="1" outlineLevel="1" x14ac:dyDescent="0.2">
      <c r="A422" s="517">
        <f t="shared" si="61"/>
        <v>39417</v>
      </c>
      <c r="B422" s="517" t="str">
        <f t="shared" si="58"/>
        <v>4Q07</v>
      </c>
      <c r="C422" s="517" t="str">
        <f t="shared" si="62"/>
        <v>1Q08</v>
      </c>
      <c r="D422" s="518">
        <f t="shared" si="63"/>
        <v>39507</v>
      </c>
      <c r="E422" s="518">
        <f t="shared" si="63"/>
        <v>39447</v>
      </c>
      <c r="F422" s="520">
        <v>3.3450000000000002</v>
      </c>
      <c r="G422" s="521">
        <f t="shared" si="59"/>
        <v>0.44000000000000022</v>
      </c>
      <c r="H422" s="521">
        <f t="shared" si="60"/>
        <v>0.45000000000000023</v>
      </c>
      <c r="I422" s="505"/>
      <c r="J422" s="505"/>
      <c r="K422" s="505"/>
      <c r="L422" s="505"/>
      <c r="M422" s="528"/>
      <c r="N422" s="505"/>
      <c r="O422" s="505"/>
      <c r="P422" s="505"/>
      <c r="Q422" s="505"/>
      <c r="R422" s="505"/>
      <c r="S422" s="505"/>
      <c r="T422" s="505"/>
      <c r="U422" s="505"/>
      <c r="V422" s="505"/>
      <c r="W422" s="505"/>
      <c r="X422" s="505"/>
      <c r="Y422" s="505"/>
      <c r="Z422" s="505"/>
      <c r="AA422" s="505"/>
      <c r="AB422" s="505"/>
      <c r="AC422" s="505"/>
      <c r="AD422" s="505"/>
      <c r="AE422" s="505"/>
      <c r="AF422" s="505"/>
      <c r="AG422" s="505"/>
      <c r="AH422" s="505"/>
      <c r="AI422" s="505"/>
      <c r="AJ422" s="505"/>
      <c r="AK422" s="505"/>
      <c r="AL422" s="505"/>
      <c r="AM422" s="505"/>
      <c r="AN422" s="505"/>
      <c r="AO422" s="505"/>
      <c r="AP422" s="505"/>
      <c r="AQ422" s="505"/>
      <c r="AR422" s="505"/>
      <c r="AS422" s="505"/>
      <c r="AT422" s="505"/>
      <c r="AU422" s="505"/>
      <c r="AV422" s="505"/>
      <c r="AW422" s="505"/>
      <c r="AX422" s="505"/>
      <c r="AY422" s="505"/>
      <c r="AZ422" s="505"/>
      <c r="BA422" s="505"/>
      <c r="BB422" s="505"/>
      <c r="BC422" s="505"/>
      <c r="BD422" s="505"/>
      <c r="BE422" s="505"/>
      <c r="BF422" s="505"/>
      <c r="BG422" s="505"/>
      <c r="BH422" s="505"/>
      <c r="BI422" s="505"/>
      <c r="BJ422" s="505"/>
      <c r="BK422" s="505"/>
      <c r="BL422" s="505"/>
      <c r="BM422" s="505"/>
      <c r="BN422" s="505"/>
      <c r="BO422" s="505"/>
      <c r="BP422" s="505"/>
      <c r="BQ422" s="505"/>
      <c r="BR422" s="505"/>
      <c r="BS422" s="505"/>
      <c r="BT422" s="505"/>
      <c r="BU422" s="505"/>
      <c r="BV422" s="505"/>
      <c r="BW422" s="505"/>
      <c r="BX422" s="505"/>
      <c r="BY422" s="505"/>
      <c r="BZ422" s="505"/>
      <c r="CA422" s="505"/>
      <c r="CB422" s="505"/>
      <c r="CC422" s="505"/>
      <c r="CD422" s="505"/>
      <c r="CE422" s="505"/>
      <c r="CF422" s="505"/>
      <c r="CG422" s="505"/>
      <c r="CH422" s="505"/>
      <c r="CI422" s="505"/>
      <c r="CJ422" s="505"/>
      <c r="CK422" s="505"/>
      <c r="CL422" s="505"/>
      <c r="CM422" s="505"/>
      <c r="CN422" s="505"/>
      <c r="CO422" s="505"/>
      <c r="CP422" s="505"/>
      <c r="CQ422" s="505"/>
      <c r="CR422" s="505"/>
      <c r="CS422" s="505"/>
      <c r="CT422" s="505"/>
      <c r="CU422" s="505"/>
      <c r="CV422" s="505"/>
      <c r="CW422" s="505"/>
      <c r="CX422" s="505"/>
      <c r="CY422" s="505"/>
      <c r="CZ422" s="505"/>
      <c r="DA422" s="505"/>
      <c r="DB422" s="505"/>
      <c r="DC422" s="505"/>
      <c r="DD422" s="505"/>
      <c r="DE422" s="505"/>
      <c r="DF422" s="505"/>
      <c r="DG422" s="505"/>
      <c r="DH422" s="505"/>
      <c r="DI422" s="505"/>
      <c r="DJ422" s="505"/>
      <c r="DK422" s="505"/>
      <c r="DL422" s="505"/>
      <c r="DM422" s="505"/>
      <c r="DN422" s="505"/>
      <c r="DO422" s="505"/>
      <c r="DP422" s="505"/>
    </row>
    <row r="423" spans="1:120" hidden="1" outlineLevel="1" x14ac:dyDescent="0.2">
      <c r="A423" s="517">
        <f t="shared" si="61"/>
        <v>39448</v>
      </c>
      <c r="B423" s="517" t="str">
        <f t="shared" si="58"/>
        <v>1Q08</v>
      </c>
      <c r="C423" s="517" t="str">
        <f t="shared" si="62"/>
        <v>1Q08</v>
      </c>
      <c r="D423" s="518">
        <f t="shared" si="63"/>
        <v>39514</v>
      </c>
      <c r="E423" s="518">
        <f t="shared" si="63"/>
        <v>39454</v>
      </c>
      <c r="F423" s="520">
        <v>3.3759999999999999</v>
      </c>
      <c r="G423" s="521">
        <f t="shared" si="59"/>
        <v>0.45000000000000023</v>
      </c>
      <c r="H423" s="521">
        <f t="shared" si="60"/>
        <v>0.44000000000000022</v>
      </c>
      <c r="I423" s="505"/>
      <c r="J423" s="505"/>
      <c r="K423" s="505"/>
      <c r="L423" s="505"/>
      <c r="M423" s="528"/>
      <c r="N423" s="505"/>
      <c r="O423" s="505"/>
      <c r="P423" s="505"/>
      <c r="Q423" s="505"/>
      <c r="R423" s="505"/>
      <c r="S423" s="505"/>
      <c r="T423" s="505"/>
      <c r="U423" s="505"/>
      <c r="V423" s="505"/>
      <c r="W423" s="505"/>
      <c r="X423" s="505"/>
      <c r="Y423" s="505"/>
      <c r="Z423" s="505"/>
      <c r="AA423" s="505"/>
      <c r="AB423" s="505"/>
      <c r="AC423" s="505"/>
      <c r="AD423" s="505"/>
      <c r="AE423" s="505"/>
      <c r="AF423" s="505"/>
      <c r="AG423" s="505"/>
      <c r="AH423" s="505"/>
      <c r="AI423" s="505"/>
      <c r="AJ423" s="505"/>
      <c r="AK423" s="505"/>
      <c r="AL423" s="505"/>
      <c r="AM423" s="505"/>
      <c r="AN423" s="505"/>
      <c r="AO423" s="505"/>
      <c r="AP423" s="505"/>
      <c r="AQ423" s="505"/>
      <c r="AR423" s="505"/>
      <c r="AS423" s="505"/>
      <c r="AT423" s="505"/>
      <c r="AU423" s="505"/>
      <c r="AV423" s="505"/>
      <c r="AW423" s="505"/>
      <c r="AX423" s="505"/>
      <c r="AY423" s="505"/>
      <c r="AZ423" s="505"/>
      <c r="BA423" s="505"/>
      <c r="BB423" s="505"/>
      <c r="BC423" s="505"/>
      <c r="BD423" s="505"/>
      <c r="BE423" s="505"/>
      <c r="BF423" s="505"/>
      <c r="BG423" s="505"/>
      <c r="BH423" s="505"/>
      <c r="BI423" s="505"/>
      <c r="BJ423" s="505"/>
      <c r="BK423" s="505"/>
      <c r="BL423" s="505"/>
      <c r="BM423" s="505"/>
      <c r="BN423" s="505"/>
      <c r="BO423" s="505"/>
      <c r="BP423" s="505"/>
      <c r="BQ423" s="505"/>
      <c r="BR423" s="505"/>
      <c r="BS423" s="505"/>
      <c r="BT423" s="505"/>
      <c r="BU423" s="505"/>
      <c r="BV423" s="505"/>
      <c r="BW423" s="505"/>
      <c r="BX423" s="505"/>
      <c r="BY423" s="505"/>
      <c r="BZ423" s="505"/>
      <c r="CA423" s="505"/>
      <c r="CB423" s="505"/>
      <c r="CC423" s="505"/>
      <c r="CD423" s="505"/>
      <c r="CE423" s="505"/>
      <c r="CF423" s="505"/>
      <c r="CG423" s="505"/>
      <c r="CH423" s="505"/>
      <c r="CI423" s="505"/>
      <c r="CJ423" s="505"/>
      <c r="CK423" s="505"/>
      <c r="CL423" s="505"/>
      <c r="CM423" s="505"/>
      <c r="CN423" s="505"/>
      <c r="CO423" s="505"/>
      <c r="CP423" s="505"/>
      <c r="CQ423" s="505"/>
      <c r="CR423" s="505"/>
      <c r="CS423" s="505"/>
      <c r="CT423" s="505"/>
      <c r="CU423" s="505"/>
      <c r="CV423" s="505"/>
      <c r="CW423" s="505"/>
      <c r="CX423" s="505"/>
      <c r="CY423" s="505"/>
      <c r="CZ423" s="505"/>
      <c r="DA423" s="505"/>
      <c r="DB423" s="505"/>
      <c r="DC423" s="505"/>
      <c r="DD423" s="505"/>
      <c r="DE423" s="505"/>
      <c r="DF423" s="505"/>
      <c r="DG423" s="505"/>
      <c r="DH423" s="505"/>
      <c r="DI423" s="505"/>
      <c r="DJ423" s="505"/>
      <c r="DK423" s="505"/>
      <c r="DL423" s="505"/>
      <c r="DM423" s="505"/>
      <c r="DN423" s="505"/>
      <c r="DO423" s="505"/>
      <c r="DP423" s="505"/>
    </row>
    <row r="424" spans="1:120" hidden="1" outlineLevel="1" x14ac:dyDescent="0.2">
      <c r="A424" s="517">
        <f t="shared" si="61"/>
        <v>39448</v>
      </c>
      <c r="B424" s="517" t="str">
        <f t="shared" si="58"/>
        <v>1Q08</v>
      </c>
      <c r="C424" s="517" t="str">
        <f t="shared" si="62"/>
        <v>1Q08</v>
      </c>
      <c r="D424" s="518">
        <f t="shared" si="63"/>
        <v>39521</v>
      </c>
      <c r="E424" s="518">
        <f t="shared" si="63"/>
        <v>39461</v>
      </c>
      <c r="F424" s="520">
        <v>3.3260000000000001</v>
      </c>
      <c r="G424" s="521">
        <f t="shared" si="59"/>
        <v>0.44000000000000022</v>
      </c>
      <c r="H424" s="521">
        <f t="shared" si="60"/>
        <v>0.43000000000000022</v>
      </c>
      <c r="I424" s="505"/>
      <c r="J424" s="505"/>
      <c r="K424" s="505"/>
      <c r="L424" s="505"/>
      <c r="M424" s="528"/>
      <c r="N424" s="505"/>
      <c r="O424" s="505"/>
      <c r="P424" s="505"/>
      <c r="Q424" s="505"/>
      <c r="R424" s="505"/>
      <c r="S424" s="505"/>
      <c r="T424" s="505"/>
      <c r="U424" s="505"/>
      <c r="V424" s="505"/>
      <c r="W424" s="505"/>
      <c r="X424" s="505"/>
      <c r="Y424" s="505"/>
      <c r="Z424" s="505"/>
      <c r="AA424" s="505"/>
      <c r="AB424" s="505"/>
      <c r="AC424" s="505"/>
      <c r="AD424" s="505"/>
      <c r="AE424" s="505"/>
      <c r="AF424" s="505"/>
      <c r="AG424" s="505"/>
      <c r="AH424" s="505"/>
      <c r="AI424" s="505"/>
      <c r="AJ424" s="505"/>
      <c r="AK424" s="505"/>
      <c r="AL424" s="505"/>
      <c r="AM424" s="505"/>
      <c r="AN424" s="505"/>
      <c r="AO424" s="505"/>
      <c r="AP424" s="505"/>
      <c r="AQ424" s="505"/>
      <c r="AR424" s="505"/>
      <c r="AS424" s="505"/>
      <c r="AT424" s="505"/>
      <c r="AU424" s="505"/>
      <c r="AV424" s="505"/>
      <c r="AW424" s="505"/>
      <c r="AX424" s="505"/>
      <c r="AY424" s="505"/>
      <c r="AZ424" s="505"/>
      <c r="BA424" s="505"/>
      <c r="BB424" s="505"/>
      <c r="BC424" s="505"/>
      <c r="BD424" s="505"/>
      <c r="BE424" s="505"/>
      <c r="BF424" s="505"/>
      <c r="BG424" s="505"/>
      <c r="BH424" s="505"/>
      <c r="BI424" s="505"/>
      <c r="BJ424" s="505"/>
      <c r="BK424" s="505"/>
      <c r="BL424" s="505"/>
      <c r="BM424" s="505"/>
      <c r="BN424" s="505"/>
      <c r="BO424" s="505"/>
      <c r="BP424" s="505"/>
      <c r="BQ424" s="505"/>
      <c r="BR424" s="505"/>
      <c r="BS424" s="505"/>
      <c r="BT424" s="505"/>
      <c r="BU424" s="505"/>
      <c r="BV424" s="505"/>
      <c r="BW424" s="505"/>
      <c r="BX424" s="505"/>
      <c r="BY424" s="505"/>
      <c r="BZ424" s="505"/>
      <c r="CA424" s="505"/>
      <c r="CB424" s="505"/>
      <c r="CC424" s="505"/>
      <c r="CD424" s="505"/>
      <c r="CE424" s="505"/>
      <c r="CF424" s="505"/>
      <c r="CG424" s="505"/>
      <c r="CH424" s="505"/>
      <c r="CI424" s="505"/>
      <c r="CJ424" s="505"/>
      <c r="CK424" s="505"/>
      <c r="CL424" s="505"/>
      <c r="CM424" s="505"/>
      <c r="CN424" s="505"/>
      <c r="CO424" s="505"/>
      <c r="CP424" s="505"/>
      <c r="CQ424" s="505"/>
      <c r="CR424" s="505"/>
      <c r="CS424" s="505"/>
      <c r="CT424" s="505"/>
      <c r="CU424" s="505"/>
      <c r="CV424" s="505"/>
      <c r="CW424" s="505"/>
      <c r="CX424" s="505"/>
      <c r="CY424" s="505"/>
      <c r="CZ424" s="505"/>
      <c r="DA424" s="505"/>
      <c r="DB424" s="505"/>
      <c r="DC424" s="505"/>
      <c r="DD424" s="505"/>
      <c r="DE424" s="505"/>
      <c r="DF424" s="505"/>
      <c r="DG424" s="505"/>
      <c r="DH424" s="505"/>
      <c r="DI424" s="505"/>
      <c r="DJ424" s="505"/>
      <c r="DK424" s="505"/>
      <c r="DL424" s="505"/>
      <c r="DM424" s="505"/>
      <c r="DN424" s="505"/>
      <c r="DO424" s="505"/>
      <c r="DP424" s="505"/>
    </row>
    <row r="425" spans="1:120" hidden="1" outlineLevel="1" x14ac:dyDescent="0.2">
      <c r="A425" s="517">
        <f t="shared" si="61"/>
        <v>39448</v>
      </c>
      <c r="B425" s="517" t="str">
        <f t="shared" si="58"/>
        <v>1Q08</v>
      </c>
      <c r="C425" s="517" t="str">
        <f t="shared" si="62"/>
        <v>1Q08</v>
      </c>
      <c r="D425" s="518">
        <f t="shared" si="63"/>
        <v>39528</v>
      </c>
      <c r="E425" s="518">
        <f t="shared" si="63"/>
        <v>39468</v>
      </c>
      <c r="F425" s="520">
        <v>3.27</v>
      </c>
      <c r="G425" s="521">
        <f t="shared" si="59"/>
        <v>0.43000000000000022</v>
      </c>
      <c r="H425" s="521">
        <f t="shared" si="60"/>
        <v>0.43000000000000022</v>
      </c>
      <c r="I425" s="505"/>
      <c r="J425" s="505"/>
      <c r="K425" s="505"/>
      <c r="L425" s="505"/>
      <c r="M425" s="528"/>
      <c r="N425" s="505"/>
      <c r="O425" s="505"/>
      <c r="P425" s="505"/>
      <c r="Q425" s="505"/>
      <c r="R425" s="505"/>
      <c r="S425" s="505"/>
      <c r="T425" s="505"/>
      <c r="U425" s="505"/>
      <c r="V425" s="505"/>
      <c r="W425" s="505"/>
      <c r="X425" s="505"/>
      <c r="Y425" s="505"/>
      <c r="Z425" s="505"/>
      <c r="AA425" s="505"/>
      <c r="AB425" s="505"/>
      <c r="AC425" s="505"/>
      <c r="AD425" s="505"/>
      <c r="AE425" s="505"/>
      <c r="AF425" s="505"/>
      <c r="AG425" s="505"/>
      <c r="AH425" s="505"/>
      <c r="AI425" s="505"/>
      <c r="AJ425" s="505"/>
      <c r="AK425" s="505"/>
      <c r="AL425" s="505"/>
      <c r="AM425" s="505"/>
      <c r="AN425" s="505"/>
      <c r="AO425" s="505"/>
      <c r="AP425" s="505"/>
      <c r="AQ425" s="505"/>
      <c r="AR425" s="505"/>
      <c r="AS425" s="505"/>
      <c r="AT425" s="505"/>
      <c r="AU425" s="505"/>
      <c r="AV425" s="505"/>
      <c r="AW425" s="505"/>
      <c r="AX425" s="505"/>
      <c r="AY425" s="505"/>
      <c r="AZ425" s="505"/>
      <c r="BA425" s="505"/>
      <c r="BB425" s="505"/>
      <c r="BC425" s="505"/>
      <c r="BD425" s="505"/>
      <c r="BE425" s="505"/>
      <c r="BF425" s="505"/>
      <c r="BG425" s="505"/>
      <c r="BH425" s="505"/>
      <c r="BI425" s="505"/>
      <c r="BJ425" s="505"/>
      <c r="BK425" s="505"/>
      <c r="BL425" s="505"/>
      <c r="BM425" s="505"/>
      <c r="BN425" s="505"/>
      <c r="BO425" s="505"/>
      <c r="BP425" s="505"/>
      <c r="BQ425" s="505"/>
      <c r="BR425" s="505"/>
      <c r="BS425" s="505"/>
      <c r="BT425" s="505"/>
      <c r="BU425" s="505"/>
      <c r="BV425" s="505"/>
      <c r="BW425" s="505"/>
      <c r="BX425" s="505"/>
      <c r="BY425" s="505"/>
      <c r="BZ425" s="505"/>
      <c r="CA425" s="505"/>
      <c r="CB425" s="505"/>
      <c r="CC425" s="505"/>
      <c r="CD425" s="505"/>
      <c r="CE425" s="505"/>
      <c r="CF425" s="505"/>
      <c r="CG425" s="505"/>
      <c r="CH425" s="505"/>
      <c r="CI425" s="505"/>
      <c r="CJ425" s="505"/>
      <c r="CK425" s="505"/>
      <c r="CL425" s="505"/>
      <c r="CM425" s="505"/>
      <c r="CN425" s="505"/>
      <c r="CO425" s="505"/>
      <c r="CP425" s="505"/>
      <c r="CQ425" s="505"/>
      <c r="CR425" s="505"/>
      <c r="CS425" s="505"/>
      <c r="CT425" s="505"/>
      <c r="CU425" s="505"/>
      <c r="CV425" s="505"/>
      <c r="CW425" s="505"/>
      <c r="CX425" s="505"/>
      <c r="CY425" s="505"/>
      <c r="CZ425" s="505"/>
      <c r="DA425" s="505"/>
      <c r="DB425" s="505"/>
      <c r="DC425" s="505"/>
      <c r="DD425" s="505"/>
      <c r="DE425" s="505"/>
      <c r="DF425" s="505"/>
      <c r="DG425" s="505"/>
      <c r="DH425" s="505"/>
      <c r="DI425" s="505"/>
      <c r="DJ425" s="505"/>
      <c r="DK425" s="505"/>
      <c r="DL425" s="505"/>
      <c r="DM425" s="505"/>
      <c r="DN425" s="505"/>
      <c r="DO425" s="505"/>
      <c r="DP425" s="505"/>
    </row>
    <row r="426" spans="1:120" hidden="1" outlineLevel="1" x14ac:dyDescent="0.2">
      <c r="A426" s="517">
        <f t="shared" si="61"/>
        <v>39448</v>
      </c>
      <c r="B426" s="517" t="str">
        <f t="shared" si="58"/>
        <v>1Q08</v>
      </c>
      <c r="C426" s="517" t="str">
        <f t="shared" si="62"/>
        <v>1Q08</v>
      </c>
      <c r="D426" s="518">
        <f t="shared" si="63"/>
        <v>39535</v>
      </c>
      <c r="E426" s="518">
        <f t="shared" si="63"/>
        <v>39475</v>
      </c>
      <c r="F426" s="520">
        <v>3.2589999999999999</v>
      </c>
      <c r="G426" s="521">
        <f t="shared" si="59"/>
        <v>0.43000000000000022</v>
      </c>
      <c r="H426" s="521">
        <f t="shared" si="60"/>
        <v>0.43000000000000022</v>
      </c>
      <c r="I426" s="505"/>
      <c r="J426" s="505"/>
      <c r="K426" s="505"/>
      <c r="L426" s="505"/>
      <c r="M426" s="528"/>
      <c r="N426" s="505"/>
      <c r="O426" s="505"/>
      <c r="P426" s="505"/>
      <c r="Q426" s="505"/>
      <c r="R426" s="505"/>
      <c r="S426" s="505"/>
      <c r="T426" s="505"/>
      <c r="U426" s="505"/>
      <c r="V426" s="505"/>
      <c r="W426" s="505"/>
      <c r="X426" s="505"/>
      <c r="Y426" s="505"/>
      <c r="Z426" s="505"/>
      <c r="AA426" s="505"/>
      <c r="AB426" s="505"/>
      <c r="AC426" s="505"/>
      <c r="AD426" s="505"/>
      <c r="AE426" s="505"/>
      <c r="AF426" s="505"/>
      <c r="AG426" s="505"/>
      <c r="AH426" s="505"/>
      <c r="AI426" s="505"/>
      <c r="AJ426" s="505"/>
      <c r="AK426" s="505"/>
      <c r="AL426" s="505"/>
      <c r="AM426" s="505"/>
      <c r="AN426" s="505"/>
      <c r="AO426" s="505"/>
      <c r="AP426" s="505"/>
      <c r="AQ426" s="505"/>
      <c r="AR426" s="505"/>
      <c r="AS426" s="505"/>
      <c r="AT426" s="505"/>
      <c r="AU426" s="505"/>
      <c r="AV426" s="505"/>
      <c r="AW426" s="505"/>
      <c r="AX426" s="505"/>
      <c r="AY426" s="505"/>
      <c r="AZ426" s="505"/>
      <c r="BA426" s="505"/>
      <c r="BB426" s="505"/>
      <c r="BC426" s="505"/>
      <c r="BD426" s="505"/>
      <c r="BE426" s="505"/>
      <c r="BF426" s="505"/>
      <c r="BG426" s="505"/>
      <c r="BH426" s="505"/>
      <c r="BI426" s="505"/>
      <c r="BJ426" s="505"/>
      <c r="BK426" s="505"/>
      <c r="BL426" s="505"/>
      <c r="BM426" s="505"/>
      <c r="BN426" s="505"/>
      <c r="BO426" s="505"/>
      <c r="BP426" s="505"/>
      <c r="BQ426" s="505"/>
      <c r="BR426" s="505"/>
      <c r="BS426" s="505"/>
      <c r="BT426" s="505"/>
      <c r="BU426" s="505"/>
      <c r="BV426" s="505"/>
      <c r="BW426" s="505"/>
      <c r="BX426" s="505"/>
      <c r="BY426" s="505"/>
      <c r="BZ426" s="505"/>
      <c r="CA426" s="505"/>
      <c r="CB426" s="505"/>
      <c r="CC426" s="505"/>
      <c r="CD426" s="505"/>
      <c r="CE426" s="505"/>
      <c r="CF426" s="505"/>
      <c r="CG426" s="505"/>
      <c r="CH426" s="505"/>
      <c r="CI426" s="505"/>
      <c r="CJ426" s="505"/>
      <c r="CK426" s="505"/>
      <c r="CL426" s="505"/>
      <c r="CM426" s="505"/>
      <c r="CN426" s="505"/>
      <c r="CO426" s="505"/>
      <c r="CP426" s="505"/>
      <c r="CQ426" s="505"/>
      <c r="CR426" s="505"/>
      <c r="CS426" s="505"/>
      <c r="CT426" s="505"/>
      <c r="CU426" s="505"/>
      <c r="CV426" s="505"/>
      <c r="CW426" s="505"/>
      <c r="CX426" s="505"/>
      <c r="CY426" s="505"/>
      <c r="CZ426" s="505"/>
      <c r="DA426" s="505"/>
      <c r="DB426" s="505"/>
      <c r="DC426" s="505"/>
      <c r="DD426" s="505"/>
      <c r="DE426" s="505"/>
      <c r="DF426" s="505"/>
      <c r="DG426" s="505"/>
      <c r="DH426" s="505"/>
      <c r="DI426" s="505"/>
      <c r="DJ426" s="505"/>
      <c r="DK426" s="505"/>
      <c r="DL426" s="505"/>
      <c r="DM426" s="505"/>
      <c r="DN426" s="505"/>
      <c r="DO426" s="505"/>
      <c r="DP426" s="505"/>
    </row>
    <row r="427" spans="1:120" hidden="1" outlineLevel="1" x14ac:dyDescent="0.2">
      <c r="A427" s="517">
        <f t="shared" si="61"/>
        <v>39479</v>
      </c>
      <c r="B427" s="517" t="str">
        <f t="shared" si="58"/>
        <v>1Q08</v>
      </c>
      <c r="C427" s="517" t="str">
        <f t="shared" si="62"/>
        <v>2Q08</v>
      </c>
      <c r="D427" s="518">
        <f t="shared" si="63"/>
        <v>39542</v>
      </c>
      <c r="E427" s="518">
        <f t="shared" si="63"/>
        <v>39482</v>
      </c>
      <c r="F427" s="520">
        <v>3.28</v>
      </c>
      <c r="G427" s="521">
        <f t="shared" si="59"/>
        <v>0.43000000000000022</v>
      </c>
      <c r="H427" s="521">
        <f t="shared" si="60"/>
        <v>0.43000000000000022</v>
      </c>
      <c r="I427" s="505"/>
      <c r="J427" s="505"/>
      <c r="K427" s="505"/>
      <c r="L427" s="505"/>
      <c r="M427" s="528"/>
      <c r="N427" s="505"/>
      <c r="O427" s="505"/>
      <c r="P427" s="505"/>
      <c r="Q427" s="505"/>
      <c r="R427" s="505"/>
      <c r="S427" s="505"/>
      <c r="T427" s="505"/>
      <c r="U427" s="505"/>
      <c r="V427" s="505"/>
      <c r="W427" s="505"/>
      <c r="X427" s="505"/>
      <c r="Y427" s="505"/>
      <c r="Z427" s="505"/>
      <c r="AA427" s="505"/>
      <c r="AB427" s="505"/>
      <c r="AC427" s="505"/>
      <c r="AD427" s="505"/>
      <c r="AE427" s="505"/>
      <c r="AF427" s="505"/>
      <c r="AG427" s="505"/>
      <c r="AH427" s="505"/>
      <c r="AI427" s="505"/>
      <c r="AJ427" s="505"/>
      <c r="AK427" s="505"/>
      <c r="AL427" s="505"/>
      <c r="AM427" s="505"/>
      <c r="AN427" s="505"/>
      <c r="AO427" s="505"/>
      <c r="AP427" s="505"/>
      <c r="AQ427" s="505"/>
      <c r="AR427" s="505"/>
      <c r="AS427" s="505"/>
      <c r="AT427" s="505"/>
      <c r="AU427" s="505"/>
      <c r="AV427" s="505"/>
      <c r="AW427" s="505"/>
      <c r="AX427" s="505"/>
      <c r="AY427" s="505"/>
      <c r="AZ427" s="505"/>
      <c r="BA427" s="505"/>
      <c r="BB427" s="505"/>
      <c r="BC427" s="505"/>
      <c r="BD427" s="505"/>
      <c r="BE427" s="505"/>
      <c r="BF427" s="505"/>
      <c r="BG427" s="505"/>
      <c r="BH427" s="505"/>
      <c r="BI427" s="505"/>
      <c r="BJ427" s="505"/>
      <c r="BK427" s="505"/>
      <c r="BL427" s="505"/>
      <c r="BM427" s="505"/>
      <c r="BN427" s="505"/>
      <c r="BO427" s="505"/>
      <c r="BP427" s="505"/>
      <c r="BQ427" s="505"/>
      <c r="BR427" s="505"/>
      <c r="BS427" s="505"/>
      <c r="BT427" s="505"/>
      <c r="BU427" s="505"/>
      <c r="BV427" s="505"/>
      <c r="BW427" s="505"/>
      <c r="BX427" s="505"/>
      <c r="BY427" s="505"/>
      <c r="BZ427" s="505"/>
      <c r="CA427" s="505"/>
      <c r="CB427" s="505"/>
      <c r="CC427" s="505"/>
      <c r="CD427" s="505"/>
      <c r="CE427" s="505"/>
      <c r="CF427" s="505"/>
      <c r="CG427" s="505"/>
      <c r="CH427" s="505"/>
      <c r="CI427" s="505"/>
      <c r="CJ427" s="505"/>
      <c r="CK427" s="505"/>
      <c r="CL427" s="505"/>
      <c r="CM427" s="505"/>
      <c r="CN427" s="505"/>
      <c r="CO427" s="505"/>
      <c r="CP427" s="505"/>
      <c r="CQ427" s="505"/>
      <c r="CR427" s="505"/>
      <c r="CS427" s="505"/>
      <c r="CT427" s="505"/>
      <c r="CU427" s="505"/>
      <c r="CV427" s="505"/>
      <c r="CW427" s="505"/>
      <c r="CX427" s="505"/>
      <c r="CY427" s="505"/>
      <c r="CZ427" s="505"/>
      <c r="DA427" s="505"/>
      <c r="DB427" s="505"/>
      <c r="DC427" s="505"/>
      <c r="DD427" s="505"/>
      <c r="DE427" s="505"/>
      <c r="DF427" s="505"/>
      <c r="DG427" s="505"/>
      <c r="DH427" s="505"/>
      <c r="DI427" s="505"/>
      <c r="DJ427" s="505"/>
      <c r="DK427" s="505"/>
      <c r="DL427" s="505"/>
      <c r="DM427" s="505"/>
      <c r="DN427" s="505"/>
      <c r="DO427" s="505"/>
      <c r="DP427" s="505"/>
    </row>
    <row r="428" spans="1:120" hidden="1" outlineLevel="1" x14ac:dyDescent="0.2">
      <c r="A428" s="517">
        <f t="shared" si="61"/>
        <v>39479</v>
      </c>
      <c r="B428" s="517" t="str">
        <f t="shared" si="58"/>
        <v>1Q08</v>
      </c>
      <c r="C428" s="517" t="str">
        <f t="shared" si="62"/>
        <v>2Q08</v>
      </c>
      <c r="D428" s="518">
        <f t="shared" si="63"/>
        <v>39549</v>
      </c>
      <c r="E428" s="518">
        <f t="shared" si="63"/>
        <v>39489</v>
      </c>
      <c r="F428" s="520">
        <v>3.28</v>
      </c>
      <c r="G428" s="521">
        <f t="shared" si="59"/>
        <v>0.43000000000000022</v>
      </c>
      <c r="H428" s="521">
        <f t="shared" si="60"/>
        <v>0.45000000000000023</v>
      </c>
      <c r="I428" s="505"/>
      <c r="J428" s="505"/>
      <c r="K428" s="505"/>
      <c r="L428" s="505"/>
      <c r="M428" s="528"/>
      <c r="N428" s="505"/>
      <c r="O428" s="505"/>
      <c r="P428" s="505"/>
      <c r="Q428" s="505"/>
      <c r="R428" s="505"/>
      <c r="S428" s="505"/>
      <c r="T428" s="505"/>
      <c r="U428" s="505"/>
      <c r="V428" s="505"/>
      <c r="W428" s="505"/>
      <c r="X428" s="505"/>
      <c r="Y428" s="505"/>
      <c r="Z428" s="505"/>
      <c r="AA428" s="505"/>
      <c r="AB428" s="505"/>
      <c r="AC428" s="505"/>
      <c r="AD428" s="505"/>
      <c r="AE428" s="505"/>
      <c r="AF428" s="505"/>
      <c r="AG428" s="505"/>
      <c r="AH428" s="505"/>
      <c r="AI428" s="505"/>
      <c r="AJ428" s="505"/>
      <c r="AK428" s="505"/>
      <c r="AL428" s="505"/>
      <c r="AM428" s="505"/>
      <c r="AN428" s="505"/>
      <c r="AO428" s="505"/>
      <c r="AP428" s="505"/>
      <c r="AQ428" s="505"/>
      <c r="AR428" s="505"/>
      <c r="AS428" s="505"/>
      <c r="AT428" s="505"/>
      <c r="AU428" s="505"/>
      <c r="AV428" s="505"/>
      <c r="AW428" s="505"/>
      <c r="AX428" s="505"/>
      <c r="AY428" s="505"/>
      <c r="AZ428" s="505"/>
      <c r="BA428" s="505"/>
      <c r="BB428" s="505"/>
      <c r="BC428" s="505"/>
      <c r="BD428" s="505"/>
      <c r="BE428" s="505"/>
      <c r="BF428" s="505"/>
      <c r="BG428" s="505"/>
      <c r="BH428" s="505"/>
      <c r="BI428" s="505"/>
      <c r="BJ428" s="505"/>
      <c r="BK428" s="505"/>
      <c r="BL428" s="505"/>
      <c r="BM428" s="505"/>
      <c r="BN428" s="505"/>
      <c r="BO428" s="505"/>
      <c r="BP428" s="505"/>
      <c r="BQ428" s="505"/>
      <c r="BR428" s="505"/>
      <c r="BS428" s="505"/>
      <c r="BT428" s="505"/>
      <c r="BU428" s="505"/>
      <c r="BV428" s="505"/>
      <c r="BW428" s="505"/>
      <c r="BX428" s="505"/>
      <c r="BY428" s="505"/>
      <c r="BZ428" s="505"/>
      <c r="CA428" s="505"/>
      <c r="CB428" s="505"/>
      <c r="CC428" s="505"/>
      <c r="CD428" s="505"/>
      <c r="CE428" s="505"/>
      <c r="CF428" s="505"/>
      <c r="CG428" s="505"/>
      <c r="CH428" s="505"/>
      <c r="CI428" s="505"/>
      <c r="CJ428" s="505"/>
      <c r="CK428" s="505"/>
      <c r="CL428" s="505"/>
      <c r="CM428" s="505"/>
      <c r="CN428" s="505"/>
      <c r="CO428" s="505"/>
      <c r="CP428" s="505"/>
      <c r="CQ428" s="505"/>
      <c r="CR428" s="505"/>
      <c r="CS428" s="505"/>
      <c r="CT428" s="505"/>
      <c r="CU428" s="505"/>
      <c r="CV428" s="505"/>
      <c r="CW428" s="505"/>
      <c r="CX428" s="505"/>
      <c r="CY428" s="505"/>
      <c r="CZ428" s="505"/>
      <c r="DA428" s="505"/>
      <c r="DB428" s="505"/>
      <c r="DC428" s="505"/>
      <c r="DD428" s="505"/>
      <c r="DE428" s="505"/>
      <c r="DF428" s="505"/>
      <c r="DG428" s="505"/>
      <c r="DH428" s="505"/>
      <c r="DI428" s="505"/>
      <c r="DJ428" s="505"/>
      <c r="DK428" s="505"/>
      <c r="DL428" s="505"/>
      <c r="DM428" s="505"/>
      <c r="DN428" s="505"/>
      <c r="DO428" s="505"/>
      <c r="DP428" s="505"/>
    </row>
    <row r="429" spans="1:120" hidden="1" outlineLevel="1" x14ac:dyDescent="0.2">
      <c r="A429" s="517">
        <f t="shared" si="61"/>
        <v>39479</v>
      </c>
      <c r="B429" s="517" t="str">
        <f t="shared" si="58"/>
        <v>1Q08</v>
      </c>
      <c r="C429" s="517" t="str">
        <f t="shared" si="62"/>
        <v>2Q08</v>
      </c>
      <c r="D429" s="518">
        <f t="shared" si="63"/>
        <v>39556</v>
      </c>
      <c r="E429" s="518">
        <f t="shared" si="63"/>
        <v>39496</v>
      </c>
      <c r="F429" s="520">
        <v>3.3959999999999999</v>
      </c>
      <c r="G429" s="521">
        <f t="shared" si="59"/>
        <v>0.45000000000000023</v>
      </c>
      <c r="H429" s="521">
        <f t="shared" si="60"/>
        <v>0.49000000000000027</v>
      </c>
      <c r="I429" s="505"/>
      <c r="J429" s="505"/>
      <c r="K429" s="505"/>
      <c r="L429" s="505"/>
      <c r="M429" s="528"/>
      <c r="N429" s="505"/>
      <c r="O429" s="505"/>
      <c r="P429" s="505"/>
      <c r="Q429" s="505"/>
      <c r="R429" s="505"/>
      <c r="S429" s="505"/>
      <c r="T429" s="505"/>
      <c r="U429" s="505"/>
      <c r="V429" s="505"/>
      <c r="W429" s="505"/>
      <c r="X429" s="505"/>
      <c r="Y429" s="505"/>
      <c r="Z429" s="505"/>
      <c r="AA429" s="505"/>
      <c r="AB429" s="505"/>
      <c r="AC429" s="505"/>
      <c r="AD429" s="505"/>
      <c r="AE429" s="505"/>
      <c r="AF429" s="505"/>
      <c r="AG429" s="505"/>
      <c r="AH429" s="505"/>
      <c r="AI429" s="505"/>
      <c r="AJ429" s="505"/>
      <c r="AK429" s="505"/>
      <c r="AL429" s="505"/>
      <c r="AM429" s="505"/>
      <c r="AN429" s="505"/>
      <c r="AO429" s="505"/>
      <c r="AP429" s="505"/>
      <c r="AQ429" s="505"/>
      <c r="AR429" s="505"/>
      <c r="AS429" s="505"/>
      <c r="AT429" s="505"/>
      <c r="AU429" s="505"/>
      <c r="AV429" s="505"/>
      <c r="AW429" s="505"/>
      <c r="AX429" s="505"/>
      <c r="AY429" s="505"/>
      <c r="AZ429" s="505"/>
      <c r="BA429" s="505"/>
      <c r="BB429" s="505"/>
      <c r="BC429" s="505"/>
      <c r="BD429" s="505"/>
      <c r="BE429" s="505"/>
      <c r="BF429" s="505"/>
      <c r="BG429" s="505"/>
      <c r="BH429" s="505"/>
      <c r="BI429" s="505"/>
      <c r="BJ429" s="505"/>
      <c r="BK429" s="505"/>
      <c r="BL429" s="505"/>
      <c r="BM429" s="505"/>
      <c r="BN429" s="505"/>
      <c r="BO429" s="505"/>
      <c r="BP429" s="505"/>
      <c r="BQ429" s="505"/>
      <c r="BR429" s="505"/>
      <c r="BS429" s="505"/>
      <c r="BT429" s="505"/>
      <c r="BU429" s="505"/>
      <c r="BV429" s="505"/>
      <c r="BW429" s="505"/>
      <c r="BX429" s="505"/>
      <c r="BY429" s="505"/>
      <c r="BZ429" s="505"/>
      <c r="CA429" s="505"/>
      <c r="CB429" s="505"/>
      <c r="CC429" s="505"/>
      <c r="CD429" s="505"/>
      <c r="CE429" s="505"/>
      <c r="CF429" s="505"/>
      <c r="CG429" s="505"/>
      <c r="CH429" s="505"/>
      <c r="CI429" s="505"/>
      <c r="CJ429" s="505"/>
      <c r="CK429" s="505"/>
      <c r="CL429" s="505"/>
      <c r="CM429" s="505"/>
      <c r="CN429" s="505"/>
      <c r="CO429" s="505"/>
      <c r="CP429" s="505"/>
      <c r="CQ429" s="505"/>
      <c r="CR429" s="505"/>
      <c r="CS429" s="505"/>
      <c r="CT429" s="505"/>
      <c r="CU429" s="505"/>
      <c r="CV429" s="505"/>
      <c r="CW429" s="505"/>
      <c r="CX429" s="505"/>
      <c r="CY429" s="505"/>
      <c r="CZ429" s="505"/>
      <c r="DA429" s="505"/>
      <c r="DB429" s="505"/>
      <c r="DC429" s="505"/>
      <c r="DD429" s="505"/>
      <c r="DE429" s="505"/>
      <c r="DF429" s="505"/>
      <c r="DG429" s="505"/>
      <c r="DH429" s="505"/>
      <c r="DI429" s="505"/>
      <c r="DJ429" s="505"/>
      <c r="DK429" s="505"/>
      <c r="DL429" s="505"/>
      <c r="DM429" s="505"/>
      <c r="DN429" s="505"/>
      <c r="DO429" s="505"/>
      <c r="DP429" s="505"/>
    </row>
    <row r="430" spans="1:120" hidden="1" outlineLevel="1" x14ac:dyDescent="0.2">
      <c r="A430" s="517">
        <f t="shared" si="61"/>
        <v>39479</v>
      </c>
      <c r="B430" s="517" t="str">
        <f t="shared" si="58"/>
        <v>1Q08</v>
      </c>
      <c r="C430" s="517" t="str">
        <f t="shared" si="62"/>
        <v>2Q08</v>
      </c>
      <c r="D430" s="518">
        <f t="shared" si="63"/>
        <v>39563</v>
      </c>
      <c r="E430" s="518">
        <f t="shared" si="63"/>
        <v>39503</v>
      </c>
      <c r="F430" s="520">
        <v>3.552</v>
      </c>
      <c r="G430" s="521">
        <f t="shared" si="59"/>
        <v>0.49000000000000027</v>
      </c>
      <c r="H430" s="521">
        <f t="shared" si="60"/>
        <v>0.51000000000000023</v>
      </c>
      <c r="I430" s="505"/>
      <c r="J430" s="505"/>
      <c r="K430" s="505"/>
      <c r="L430" s="505"/>
      <c r="M430" s="528"/>
      <c r="N430" s="505"/>
      <c r="O430" s="505"/>
      <c r="P430" s="505"/>
      <c r="Q430" s="505"/>
      <c r="R430" s="505"/>
      <c r="S430" s="505"/>
      <c r="T430" s="505"/>
      <c r="U430" s="505"/>
      <c r="V430" s="505"/>
      <c r="W430" s="505"/>
      <c r="X430" s="505"/>
      <c r="Y430" s="505"/>
      <c r="Z430" s="505"/>
      <c r="AA430" s="505"/>
      <c r="AB430" s="505"/>
      <c r="AC430" s="505"/>
      <c r="AD430" s="505"/>
      <c r="AE430" s="505"/>
      <c r="AF430" s="505"/>
      <c r="AG430" s="505"/>
      <c r="AH430" s="505"/>
      <c r="AI430" s="505"/>
      <c r="AJ430" s="505"/>
      <c r="AK430" s="505"/>
      <c r="AL430" s="505"/>
      <c r="AM430" s="505"/>
      <c r="AN430" s="505"/>
      <c r="AO430" s="505"/>
      <c r="AP430" s="505"/>
      <c r="AQ430" s="505"/>
      <c r="AR430" s="505"/>
      <c r="AS430" s="505"/>
      <c r="AT430" s="505"/>
      <c r="AU430" s="505"/>
      <c r="AV430" s="505"/>
      <c r="AW430" s="505"/>
      <c r="AX430" s="505"/>
      <c r="AY430" s="505"/>
      <c r="AZ430" s="505"/>
      <c r="BA430" s="505"/>
      <c r="BB430" s="505"/>
      <c r="BC430" s="505"/>
      <c r="BD430" s="505"/>
      <c r="BE430" s="505"/>
      <c r="BF430" s="505"/>
      <c r="BG430" s="505"/>
      <c r="BH430" s="505"/>
      <c r="BI430" s="505"/>
      <c r="BJ430" s="505"/>
      <c r="BK430" s="505"/>
      <c r="BL430" s="505"/>
      <c r="BM430" s="505"/>
      <c r="BN430" s="505"/>
      <c r="BO430" s="505"/>
      <c r="BP430" s="505"/>
      <c r="BQ430" s="505"/>
      <c r="BR430" s="505"/>
      <c r="BS430" s="505"/>
      <c r="BT430" s="505"/>
      <c r="BU430" s="505"/>
      <c r="BV430" s="505"/>
      <c r="BW430" s="505"/>
      <c r="BX430" s="505"/>
      <c r="BY430" s="505"/>
      <c r="BZ430" s="505"/>
      <c r="CA430" s="505"/>
      <c r="CB430" s="505"/>
      <c r="CC430" s="505"/>
      <c r="CD430" s="505"/>
      <c r="CE430" s="505"/>
      <c r="CF430" s="505"/>
      <c r="CG430" s="505"/>
      <c r="CH430" s="505"/>
      <c r="CI430" s="505"/>
      <c r="CJ430" s="505"/>
      <c r="CK430" s="505"/>
      <c r="CL430" s="505"/>
      <c r="CM430" s="505"/>
      <c r="CN430" s="505"/>
      <c r="CO430" s="505"/>
      <c r="CP430" s="505"/>
      <c r="CQ430" s="505"/>
      <c r="CR430" s="505"/>
      <c r="CS430" s="505"/>
      <c r="CT430" s="505"/>
      <c r="CU430" s="505"/>
      <c r="CV430" s="505"/>
      <c r="CW430" s="505"/>
      <c r="CX430" s="505"/>
      <c r="CY430" s="505"/>
      <c r="CZ430" s="505"/>
      <c r="DA430" s="505"/>
      <c r="DB430" s="505"/>
      <c r="DC430" s="505"/>
      <c r="DD430" s="505"/>
      <c r="DE430" s="505"/>
      <c r="DF430" s="505"/>
      <c r="DG430" s="505"/>
      <c r="DH430" s="505"/>
      <c r="DI430" s="505"/>
      <c r="DJ430" s="505"/>
      <c r="DK430" s="505"/>
      <c r="DL430" s="505"/>
      <c r="DM430" s="505"/>
      <c r="DN430" s="505"/>
      <c r="DO430" s="505"/>
      <c r="DP430" s="505"/>
    </row>
    <row r="431" spans="1:120" hidden="1" outlineLevel="1" x14ac:dyDescent="0.2">
      <c r="A431" s="517">
        <f t="shared" si="61"/>
        <v>39508</v>
      </c>
      <c r="B431" s="517" t="str">
        <f t="shared" si="58"/>
        <v>1Q08</v>
      </c>
      <c r="C431" s="517" t="str">
        <f t="shared" si="62"/>
        <v>2Q08</v>
      </c>
      <c r="D431" s="518">
        <f t="shared" si="63"/>
        <v>39570</v>
      </c>
      <c r="E431" s="518">
        <f t="shared" si="63"/>
        <v>39510</v>
      </c>
      <c r="F431" s="520">
        <v>3.6579999999999999</v>
      </c>
      <c r="G431" s="521">
        <f t="shared" si="59"/>
        <v>0.51000000000000023</v>
      </c>
      <c r="H431" s="521">
        <f t="shared" si="60"/>
        <v>0.54000000000000026</v>
      </c>
      <c r="I431" s="505"/>
      <c r="J431" s="505"/>
      <c r="K431" s="505"/>
      <c r="L431" s="505"/>
      <c r="M431" s="528"/>
      <c r="N431" s="505"/>
      <c r="O431" s="505"/>
      <c r="P431" s="505"/>
      <c r="Q431" s="505"/>
      <c r="R431" s="505"/>
      <c r="S431" s="505"/>
      <c r="T431" s="505"/>
      <c r="U431" s="505"/>
      <c r="V431" s="505"/>
      <c r="W431" s="505"/>
      <c r="X431" s="505"/>
      <c r="Y431" s="505"/>
      <c r="Z431" s="505"/>
      <c r="AA431" s="505"/>
      <c r="AB431" s="505"/>
      <c r="AC431" s="505"/>
      <c r="AD431" s="505"/>
      <c r="AE431" s="505"/>
      <c r="AF431" s="505"/>
      <c r="AG431" s="505"/>
      <c r="AH431" s="505"/>
      <c r="AI431" s="505"/>
      <c r="AJ431" s="505"/>
      <c r="AK431" s="505"/>
      <c r="AL431" s="505"/>
      <c r="AM431" s="505"/>
      <c r="AN431" s="505"/>
      <c r="AO431" s="505"/>
      <c r="AP431" s="505"/>
      <c r="AQ431" s="505"/>
      <c r="AR431" s="505"/>
      <c r="AS431" s="505"/>
      <c r="AT431" s="505"/>
      <c r="AU431" s="505"/>
      <c r="AV431" s="505"/>
      <c r="AW431" s="505"/>
      <c r="AX431" s="505"/>
      <c r="AY431" s="505"/>
      <c r="AZ431" s="505"/>
      <c r="BA431" s="505"/>
      <c r="BB431" s="505"/>
      <c r="BC431" s="505"/>
      <c r="BD431" s="505"/>
      <c r="BE431" s="505"/>
      <c r="BF431" s="505"/>
      <c r="BG431" s="505"/>
      <c r="BH431" s="505"/>
      <c r="BI431" s="505"/>
      <c r="BJ431" s="505"/>
      <c r="BK431" s="505"/>
      <c r="BL431" s="505"/>
      <c r="BM431" s="505"/>
      <c r="BN431" s="505"/>
      <c r="BO431" s="505"/>
      <c r="BP431" s="505"/>
      <c r="BQ431" s="505"/>
      <c r="BR431" s="505"/>
      <c r="BS431" s="505"/>
      <c r="BT431" s="505"/>
      <c r="BU431" s="505"/>
      <c r="BV431" s="505"/>
      <c r="BW431" s="505"/>
      <c r="BX431" s="505"/>
      <c r="BY431" s="505"/>
      <c r="BZ431" s="505"/>
      <c r="CA431" s="505"/>
      <c r="CB431" s="505"/>
      <c r="CC431" s="505"/>
      <c r="CD431" s="505"/>
      <c r="CE431" s="505"/>
      <c r="CF431" s="505"/>
      <c r="CG431" s="505"/>
      <c r="CH431" s="505"/>
      <c r="CI431" s="505"/>
      <c r="CJ431" s="505"/>
      <c r="CK431" s="505"/>
      <c r="CL431" s="505"/>
      <c r="CM431" s="505"/>
      <c r="CN431" s="505"/>
      <c r="CO431" s="505"/>
      <c r="CP431" s="505"/>
      <c r="CQ431" s="505"/>
      <c r="CR431" s="505"/>
      <c r="CS431" s="505"/>
      <c r="CT431" s="505"/>
      <c r="CU431" s="505"/>
      <c r="CV431" s="505"/>
      <c r="CW431" s="505"/>
      <c r="CX431" s="505"/>
      <c r="CY431" s="505"/>
      <c r="CZ431" s="505"/>
      <c r="DA431" s="505"/>
      <c r="DB431" s="505"/>
      <c r="DC431" s="505"/>
      <c r="DD431" s="505"/>
      <c r="DE431" s="505"/>
      <c r="DF431" s="505"/>
      <c r="DG431" s="505"/>
      <c r="DH431" s="505"/>
      <c r="DI431" s="505"/>
      <c r="DJ431" s="505"/>
      <c r="DK431" s="505"/>
      <c r="DL431" s="505"/>
      <c r="DM431" s="505"/>
      <c r="DN431" s="505"/>
      <c r="DO431" s="505"/>
      <c r="DP431" s="505"/>
    </row>
    <row r="432" spans="1:120" hidden="1" outlineLevel="1" x14ac:dyDescent="0.2">
      <c r="A432" s="517">
        <f t="shared" si="61"/>
        <v>39508</v>
      </c>
      <c r="B432" s="517" t="str">
        <f t="shared" si="58"/>
        <v>1Q08</v>
      </c>
      <c r="C432" s="517" t="str">
        <f t="shared" si="62"/>
        <v>2Q08</v>
      </c>
      <c r="D432" s="518">
        <f t="shared" si="63"/>
        <v>39577</v>
      </c>
      <c r="E432" s="518">
        <f t="shared" si="63"/>
        <v>39517</v>
      </c>
      <c r="F432" s="520">
        <v>3.819</v>
      </c>
      <c r="G432" s="521">
        <f t="shared" si="59"/>
        <v>0.54000000000000026</v>
      </c>
      <c r="H432" s="521">
        <f t="shared" si="60"/>
        <v>0.57000000000000028</v>
      </c>
      <c r="I432" s="505"/>
      <c r="J432" s="505"/>
      <c r="K432" s="505"/>
      <c r="L432" s="505"/>
      <c r="M432" s="528"/>
      <c r="N432" s="505"/>
      <c r="O432" s="505"/>
      <c r="P432" s="505"/>
      <c r="Q432" s="505"/>
      <c r="R432" s="505"/>
      <c r="S432" s="505"/>
      <c r="T432" s="505"/>
      <c r="U432" s="505"/>
      <c r="V432" s="505"/>
      <c r="W432" s="505"/>
      <c r="X432" s="505"/>
      <c r="Y432" s="505"/>
      <c r="Z432" s="505"/>
      <c r="AA432" s="505"/>
      <c r="AB432" s="505"/>
      <c r="AC432" s="505"/>
      <c r="AD432" s="505"/>
      <c r="AE432" s="505"/>
      <c r="AF432" s="505"/>
      <c r="AG432" s="505"/>
      <c r="AH432" s="505"/>
      <c r="AI432" s="505"/>
      <c r="AJ432" s="505"/>
      <c r="AK432" s="505"/>
      <c r="AL432" s="505"/>
      <c r="AM432" s="505"/>
      <c r="AN432" s="505"/>
      <c r="AO432" s="505"/>
      <c r="AP432" s="505"/>
      <c r="AQ432" s="505"/>
      <c r="AR432" s="505"/>
      <c r="AS432" s="505"/>
      <c r="AT432" s="505"/>
      <c r="AU432" s="505"/>
      <c r="AV432" s="505"/>
      <c r="AW432" s="505"/>
      <c r="AX432" s="505"/>
      <c r="AY432" s="505"/>
      <c r="AZ432" s="505"/>
      <c r="BA432" s="505"/>
      <c r="BB432" s="505"/>
      <c r="BC432" s="505"/>
      <c r="BD432" s="505"/>
      <c r="BE432" s="505"/>
      <c r="BF432" s="505"/>
      <c r="BG432" s="505"/>
      <c r="BH432" s="505"/>
      <c r="BI432" s="505"/>
      <c r="BJ432" s="505"/>
      <c r="BK432" s="505"/>
      <c r="BL432" s="505"/>
      <c r="BM432" s="505"/>
      <c r="BN432" s="505"/>
      <c r="BO432" s="505"/>
      <c r="BP432" s="505"/>
      <c r="BQ432" s="505"/>
      <c r="BR432" s="505"/>
      <c r="BS432" s="505"/>
      <c r="BT432" s="505"/>
      <c r="BU432" s="505"/>
      <c r="BV432" s="505"/>
      <c r="BW432" s="505"/>
      <c r="BX432" s="505"/>
      <c r="BY432" s="505"/>
      <c r="BZ432" s="505"/>
      <c r="CA432" s="505"/>
      <c r="CB432" s="505"/>
      <c r="CC432" s="505"/>
      <c r="CD432" s="505"/>
      <c r="CE432" s="505"/>
      <c r="CF432" s="505"/>
      <c r="CG432" s="505"/>
      <c r="CH432" s="505"/>
      <c r="CI432" s="505"/>
      <c r="CJ432" s="505"/>
      <c r="CK432" s="505"/>
      <c r="CL432" s="505"/>
      <c r="CM432" s="505"/>
      <c r="CN432" s="505"/>
      <c r="CO432" s="505"/>
      <c r="CP432" s="505"/>
      <c r="CQ432" s="505"/>
      <c r="CR432" s="505"/>
      <c r="CS432" s="505"/>
      <c r="CT432" s="505"/>
      <c r="CU432" s="505"/>
      <c r="CV432" s="505"/>
      <c r="CW432" s="505"/>
      <c r="CX432" s="505"/>
      <c r="CY432" s="505"/>
      <c r="CZ432" s="505"/>
      <c r="DA432" s="505"/>
      <c r="DB432" s="505"/>
      <c r="DC432" s="505"/>
      <c r="DD432" s="505"/>
      <c r="DE432" s="505"/>
      <c r="DF432" s="505"/>
      <c r="DG432" s="505"/>
      <c r="DH432" s="505"/>
      <c r="DI432" s="505"/>
      <c r="DJ432" s="505"/>
      <c r="DK432" s="505"/>
      <c r="DL432" s="505"/>
      <c r="DM432" s="505"/>
      <c r="DN432" s="505"/>
      <c r="DO432" s="505"/>
      <c r="DP432" s="505"/>
    </row>
    <row r="433" spans="1:120" hidden="1" outlineLevel="1" x14ac:dyDescent="0.2">
      <c r="A433" s="517">
        <f t="shared" si="61"/>
        <v>39508</v>
      </c>
      <c r="B433" s="517" t="str">
        <f t="shared" si="58"/>
        <v>1Q08</v>
      </c>
      <c r="C433" s="517" t="str">
        <f t="shared" si="62"/>
        <v>2Q08</v>
      </c>
      <c r="D433" s="518">
        <f t="shared" si="63"/>
        <v>39584</v>
      </c>
      <c r="E433" s="518">
        <f t="shared" si="63"/>
        <v>39524</v>
      </c>
      <c r="F433" s="520">
        <v>3.9740000000000002</v>
      </c>
      <c r="G433" s="521">
        <f t="shared" si="59"/>
        <v>0.57000000000000028</v>
      </c>
      <c r="H433" s="521">
        <f t="shared" si="60"/>
        <v>0.57000000000000028</v>
      </c>
      <c r="I433" s="505"/>
      <c r="J433" s="505"/>
      <c r="K433" s="505"/>
      <c r="L433" s="505"/>
      <c r="M433" s="528"/>
      <c r="N433" s="505"/>
      <c r="O433" s="505"/>
      <c r="P433" s="505"/>
      <c r="Q433" s="505"/>
      <c r="R433" s="505"/>
      <c r="S433" s="505"/>
      <c r="T433" s="505"/>
      <c r="U433" s="505"/>
      <c r="V433" s="505"/>
      <c r="W433" s="505"/>
      <c r="X433" s="505"/>
      <c r="Y433" s="505"/>
      <c r="Z433" s="505"/>
      <c r="AA433" s="505"/>
      <c r="AB433" s="505"/>
      <c r="AC433" s="505"/>
      <c r="AD433" s="505"/>
      <c r="AE433" s="505"/>
      <c r="AF433" s="505"/>
      <c r="AG433" s="505"/>
      <c r="AH433" s="505"/>
      <c r="AI433" s="505"/>
      <c r="AJ433" s="505"/>
      <c r="AK433" s="505"/>
      <c r="AL433" s="505"/>
      <c r="AM433" s="505"/>
      <c r="AN433" s="505"/>
      <c r="AO433" s="505"/>
      <c r="AP433" s="505"/>
      <c r="AQ433" s="505"/>
      <c r="AR433" s="505"/>
      <c r="AS433" s="505"/>
      <c r="AT433" s="505"/>
      <c r="AU433" s="505"/>
      <c r="AV433" s="505"/>
      <c r="AW433" s="505"/>
      <c r="AX433" s="505"/>
      <c r="AY433" s="505"/>
      <c r="AZ433" s="505"/>
      <c r="BA433" s="505"/>
      <c r="BB433" s="505"/>
      <c r="BC433" s="505"/>
      <c r="BD433" s="505"/>
      <c r="BE433" s="505"/>
      <c r="BF433" s="505"/>
      <c r="BG433" s="505"/>
      <c r="BH433" s="505"/>
      <c r="BI433" s="505"/>
      <c r="BJ433" s="505"/>
      <c r="BK433" s="505"/>
      <c r="BL433" s="505"/>
      <c r="BM433" s="505"/>
      <c r="BN433" s="505"/>
      <c r="BO433" s="505"/>
      <c r="BP433" s="505"/>
      <c r="BQ433" s="505"/>
      <c r="BR433" s="505"/>
      <c r="BS433" s="505"/>
      <c r="BT433" s="505"/>
      <c r="BU433" s="505"/>
      <c r="BV433" s="505"/>
      <c r="BW433" s="505"/>
      <c r="BX433" s="505"/>
      <c r="BY433" s="505"/>
      <c r="BZ433" s="505"/>
      <c r="CA433" s="505"/>
      <c r="CB433" s="505"/>
      <c r="CC433" s="505"/>
      <c r="CD433" s="505"/>
      <c r="CE433" s="505"/>
      <c r="CF433" s="505"/>
      <c r="CG433" s="505"/>
      <c r="CH433" s="505"/>
      <c r="CI433" s="505"/>
      <c r="CJ433" s="505"/>
      <c r="CK433" s="505"/>
      <c r="CL433" s="505"/>
      <c r="CM433" s="505"/>
      <c r="CN433" s="505"/>
      <c r="CO433" s="505"/>
      <c r="CP433" s="505"/>
      <c r="CQ433" s="505"/>
      <c r="CR433" s="505"/>
      <c r="CS433" s="505"/>
      <c r="CT433" s="505"/>
      <c r="CU433" s="505"/>
      <c r="CV433" s="505"/>
      <c r="CW433" s="505"/>
      <c r="CX433" s="505"/>
      <c r="CY433" s="505"/>
      <c r="CZ433" s="505"/>
      <c r="DA433" s="505"/>
      <c r="DB433" s="505"/>
      <c r="DC433" s="505"/>
      <c r="DD433" s="505"/>
      <c r="DE433" s="505"/>
      <c r="DF433" s="505"/>
      <c r="DG433" s="505"/>
      <c r="DH433" s="505"/>
      <c r="DI433" s="505"/>
      <c r="DJ433" s="505"/>
      <c r="DK433" s="505"/>
      <c r="DL433" s="505"/>
      <c r="DM433" s="505"/>
      <c r="DN433" s="505"/>
      <c r="DO433" s="505"/>
      <c r="DP433" s="505"/>
    </row>
    <row r="434" spans="1:120" hidden="1" outlineLevel="1" x14ac:dyDescent="0.2">
      <c r="A434" s="517">
        <f t="shared" si="61"/>
        <v>39508</v>
      </c>
      <c r="B434" s="517" t="str">
        <f t="shared" si="58"/>
        <v>1Q08</v>
      </c>
      <c r="C434" s="517" t="str">
        <f t="shared" si="62"/>
        <v>2Q08</v>
      </c>
      <c r="D434" s="518">
        <f t="shared" si="63"/>
        <v>39591</v>
      </c>
      <c r="E434" s="518">
        <f t="shared" si="63"/>
        <v>39531</v>
      </c>
      <c r="F434" s="520">
        <v>3.9889999999999999</v>
      </c>
      <c r="G434" s="521">
        <f t="shared" si="59"/>
        <v>0.57000000000000028</v>
      </c>
      <c r="H434" s="521">
        <f t="shared" si="60"/>
        <v>0.57000000000000028</v>
      </c>
      <c r="I434" s="505"/>
      <c r="J434" s="505"/>
      <c r="K434" s="505"/>
      <c r="L434" s="505"/>
      <c r="M434" s="528"/>
      <c r="N434" s="505"/>
      <c r="O434" s="505"/>
      <c r="P434" s="505"/>
      <c r="Q434" s="505"/>
      <c r="R434" s="505"/>
      <c r="S434" s="505"/>
      <c r="T434" s="505"/>
      <c r="U434" s="505"/>
      <c r="V434" s="505"/>
      <c r="W434" s="505"/>
      <c r="X434" s="505"/>
      <c r="Y434" s="505"/>
      <c r="Z434" s="505"/>
      <c r="AA434" s="505"/>
      <c r="AB434" s="505"/>
      <c r="AC434" s="505"/>
      <c r="AD434" s="505"/>
      <c r="AE434" s="505"/>
      <c r="AF434" s="505"/>
      <c r="AG434" s="505"/>
      <c r="AH434" s="505"/>
      <c r="AI434" s="505"/>
      <c r="AJ434" s="505"/>
      <c r="AK434" s="505"/>
      <c r="AL434" s="505"/>
      <c r="AM434" s="505"/>
      <c r="AN434" s="505"/>
      <c r="AO434" s="505"/>
      <c r="AP434" s="505"/>
      <c r="AQ434" s="505"/>
      <c r="AR434" s="505"/>
      <c r="AS434" s="505"/>
      <c r="AT434" s="505"/>
      <c r="AU434" s="505"/>
      <c r="AV434" s="505"/>
      <c r="AW434" s="505"/>
      <c r="AX434" s="505"/>
      <c r="AY434" s="505"/>
      <c r="AZ434" s="505"/>
      <c r="BA434" s="505"/>
      <c r="BB434" s="505"/>
      <c r="BC434" s="505"/>
      <c r="BD434" s="505"/>
      <c r="BE434" s="505"/>
      <c r="BF434" s="505"/>
      <c r="BG434" s="505"/>
      <c r="BH434" s="505"/>
      <c r="BI434" s="505"/>
      <c r="BJ434" s="505"/>
      <c r="BK434" s="505"/>
      <c r="BL434" s="505"/>
      <c r="BM434" s="505"/>
      <c r="BN434" s="505"/>
      <c r="BO434" s="505"/>
      <c r="BP434" s="505"/>
      <c r="BQ434" s="505"/>
      <c r="BR434" s="505"/>
      <c r="BS434" s="505"/>
      <c r="BT434" s="505"/>
      <c r="BU434" s="505"/>
      <c r="BV434" s="505"/>
      <c r="BW434" s="505"/>
      <c r="BX434" s="505"/>
      <c r="BY434" s="505"/>
      <c r="BZ434" s="505"/>
      <c r="CA434" s="505"/>
      <c r="CB434" s="505"/>
      <c r="CC434" s="505"/>
      <c r="CD434" s="505"/>
      <c r="CE434" s="505"/>
      <c r="CF434" s="505"/>
      <c r="CG434" s="505"/>
      <c r="CH434" s="505"/>
      <c r="CI434" s="505"/>
      <c r="CJ434" s="505"/>
      <c r="CK434" s="505"/>
      <c r="CL434" s="505"/>
      <c r="CM434" s="505"/>
      <c r="CN434" s="505"/>
      <c r="CO434" s="505"/>
      <c r="CP434" s="505"/>
      <c r="CQ434" s="505"/>
      <c r="CR434" s="505"/>
      <c r="CS434" s="505"/>
      <c r="CT434" s="505"/>
      <c r="CU434" s="505"/>
      <c r="CV434" s="505"/>
      <c r="CW434" s="505"/>
      <c r="CX434" s="505"/>
      <c r="CY434" s="505"/>
      <c r="CZ434" s="505"/>
      <c r="DA434" s="505"/>
      <c r="DB434" s="505"/>
      <c r="DC434" s="505"/>
      <c r="DD434" s="505"/>
      <c r="DE434" s="505"/>
      <c r="DF434" s="505"/>
      <c r="DG434" s="505"/>
      <c r="DH434" s="505"/>
      <c r="DI434" s="505"/>
      <c r="DJ434" s="505"/>
      <c r="DK434" s="505"/>
      <c r="DL434" s="505"/>
      <c r="DM434" s="505"/>
      <c r="DN434" s="505"/>
      <c r="DO434" s="505"/>
      <c r="DP434" s="505"/>
    </row>
    <row r="435" spans="1:120" hidden="1" outlineLevel="1" x14ac:dyDescent="0.2">
      <c r="A435" s="517">
        <f t="shared" si="61"/>
        <v>39508</v>
      </c>
      <c r="B435" s="517" t="str">
        <f t="shared" si="58"/>
        <v>1Q08</v>
      </c>
      <c r="C435" s="517" t="str">
        <f t="shared" si="62"/>
        <v>2Q08</v>
      </c>
      <c r="D435" s="518">
        <f t="shared" si="63"/>
        <v>39598</v>
      </c>
      <c r="E435" s="518">
        <f t="shared" si="63"/>
        <v>39538</v>
      </c>
      <c r="F435" s="520">
        <v>3.964</v>
      </c>
      <c r="G435" s="521">
        <f t="shared" si="59"/>
        <v>0.57000000000000028</v>
      </c>
      <c r="H435" s="521">
        <f t="shared" si="60"/>
        <v>0.57000000000000028</v>
      </c>
      <c r="I435" s="505"/>
      <c r="J435" s="505"/>
      <c r="K435" s="505"/>
      <c r="L435" s="505"/>
      <c r="M435" s="528"/>
      <c r="N435" s="505"/>
      <c r="O435" s="505"/>
      <c r="P435" s="505"/>
      <c r="Q435" s="505"/>
      <c r="R435" s="505"/>
      <c r="S435" s="505"/>
      <c r="T435" s="505"/>
      <c r="U435" s="505"/>
      <c r="V435" s="505"/>
      <c r="W435" s="505"/>
      <c r="X435" s="505"/>
      <c r="Y435" s="505"/>
      <c r="Z435" s="505"/>
      <c r="AA435" s="505"/>
      <c r="AB435" s="505"/>
      <c r="AC435" s="505"/>
      <c r="AD435" s="505"/>
      <c r="AE435" s="505"/>
      <c r="AF435" s="505"/>
      <c r="AG435" s="505"/>
      <c r="AH435" s="505"/>
      <c r="AI435" s="505"/>
      <c r="AJ435" s="505"/>
      <c r="AK435" s="505"/>
      <c r="AL435" s="505"/>
      <c r="AM435" s="505"/>
      <c r="AN435" s="505"/>
      <c r="AO435" s="505"/>
      <c r="AP435" s="505"/>
      <c r="AQ435" s="505"/>
      <c r="AR435" s="505"/>
      <c r="AS435" s="505"/>
      <c r="AT435" s="505"/>
      <c r="AU435" s="505"/>
      <c r="AV435" s="505"/>
      <c r="AW435" s="505"/>
      <c r="AX435" s="505"/>
      <c r="AY435" s="505"/>
      <c r="AZ435" s="505"/>
      <c r="BA435" s="505"/>
      <c r="BB435" s="505"/>
      <c r="BC435" s="505"/>
      <c r="BD435" s="505"/>
      <c r="BE435" s="505"/>
      <c r="BF435" s="505"/>
      <c r="BG435" s="505"/>
      <c r="BH435" s="505"/>
      <c r="BI435" s="505"/>
      <c r="BJ435" s="505"/>
      <c r="BK435" s="505"/>
      <c r="BL435" s="505"/>
      <c r="BM435" s="505"/>
      <c r="BN435" s="505"/>
      <c r="BO435" s="505"/>
      <c r="BP435" s="505"/>
      <c r="BQ435" s="505"/>
      <c r="BR435" s="505"/>
      <c r="BS435" s="505"/>
      <c r="BT435" s="505"/>
      <c r="BU435" s="505"/>
      <c r="BV435" s="505"/>
      <c r="BW435" s="505"/>
      <c r="BX435" s="505"/>
      <c r="BY435" s="505"/>
      <c r="BZ435" s="505"/>
      <c r="CA435" s="505"/>
      <c r="CB435" s="505"/>
      <c r="CC435" s="505"/>
      <c r="CD435" s="505"/>
      <c r="CE435" s="505"/>
      <c r="CF435" s="505"/>
      <c r="CG435" s="505"/>
      <c r="CH435" s="505"/>
      <c r="CI435" s="505"/>
      <c r="CJ435" s="505"/>
      <c r="CK435" s="505"/>
      <c r="CL435" s="505"/>
      <c r="CM435" s="505"/>
      <c r="CN435" s="505"/>
      <c r="CO435" s="505"/>
      <c r="CP435" s="505"/>
      <c r="CQ435" s="505"/>
      <c r="CR435" s="505"/>
      <c r="CS435" s="505"/>
      <c r="CT435" s="505"/>
      <c r="CU435" s="505"/>
      <c r="CV435" s="505"/>
      <c r="CW435" s="505"/>
      <c r="CX435" s="505"/>
      <c r="CY435" s="505"/>
      <c r="CZ435" s="505"/>
      <c r="DA435" s="505"/>
      <c r="DB435" s="505"/>
      <c r="DC435" s="505"/>
      <c r="DD435" s="505"/>
      <c r="DE435" s="505"/>
      <c r="DF435" s="505"/>
      <c r="DG435" s="505"/>
      <c r="DH435" s="505"/>
      <c r="DI435" s="505"/>
      <c r="DJ435" s="505"/>
      <c r="DK435" s="505"/>
      <c r="DL435" s="505"/>
      <c r="DM435" s="505"/>
      <c r="DN435" s="505"/>
      <c r="DO435" s="505"/>
      <c r="DP435" s="505"/>
    </row>
    <row r="436" spans="1:120" hidden="1" outlineLevel="1" x14ac:dyDescent="0.2">
      <c r="A436" s="517">
        <f t="shared" si="61"/>
        <v>39539</v>
      </c>
      <c r="B436" s="517" t="str">
        <f t="shared" si="58"/>
        <v>2Q08</v>
      </c>
      <c r="C436" s="517" t="str">
        <f t="shared" si="62"/>
        <v>2Q08</v>
      </c>
      <c r="D436" s="518">
        <f t="shared" si="63"/>
        <v>39605</v>
      </c>
      <c r="E436" s="518">
        <f t="shared" si="63"/>
        <v>39545</v>
      </c>
      <c r="F436" s="520">
        <v>3.9550000000000001</v>
      </c>
      <c r="G436" s="521">
        <f t="shared" si="59"/>
        <v>0.57000000000000028</v>
      </c>
      <c r="H436" s="521">
        <f t="shared" si="60"/>
        <v>0.5900000000000003</v>
      </c>
      <c r="I436" s="505"/>
      <c r="J436" s="505"/>
      <c r="K436" s="505"/>
      <c r="L436" s="505"/>
      <c r="M436" s="528"/>
      <c r="N436" s="505"/>
      <c r="O436" s="505"/>
      <c r="P436" s="505"/>
      <c r="Q436" s="505"/>
      <c r="R436" s="505"/>
      <c r="S436" s="505"/>
      <c r="T436" s="505"/>
      <c r="U436" s="505"/>
      <c r="V436" s="505"/>
      <c r="W436" s="505"/>
      <c r="X436" s="505"/>
      <c r="Y436" s="505"/>
      <c r="Z436" s="505"/>
      <c r="AA436" s="505"/>
      <c r="AB436" s="505"/>
      <c r="AC436" s="505"/>
      <c r="AD436" s="505"/>
      <c r="AE436" s="505"/>
      <c r="AF436" s="505"/>
      <c r="AG436" s="505"/>
      <c r="AH436" s="505"/>
      <c r="AI436" s="505"/>
      <c r="AJ436" s="505"/>
      <c r="AK436" s="505"/>
      <c r="AL436" s="505"/>
      <c r="AM436" s="505"/>
      <c r="AN436" s="505"/>
      <c r="AO436" s="505"/>
      <c r="AP436" s="505"/>
      <c r="AQ436" s="505"/>
      <c r="AR436" s="505"/>
      <c r="AS436" s="505"/>
      <c r="AT436" s="505"/>
      <c r="AU436" s="505"/>
      <c r="AV436" s="505"/>
      <c r="AW436" s="505"/>
      <c r="AX436" s="505"/>
      <c r="AY436" s="505"/>
      <c r="AZ436" s="505"/>
      <c r="BA436" s="505"/>
      <c r="BB436" s="505"/>
      <c r="BC436" s="505"/>
      <c r="BD436" s="505"/>
      <c r="BE436" s="505"/>
      <c r="BF436" s="505"/>
      <c r="BG436" s="505"/>
      <c r="BH436" s="505"/>
      <c r="BI436" s="505"/>
      <c r="BJ436" s="505"/>
      <c r="BK436" s="505"/>
      <c r="BL436" s="505"/>
      <c r="BM436" s="505"/>
      <c r="BN436" s="505"/>
      <c r="BO436" s="505"/>
      <c r="BP436" s="505"/>
      <c r="BQ436" s="505"/>
      <c r="BR436" s="505"/>
      <c r="BS436" s="505"/>
      <c r="BT436" s="505"/>
      <c r="BU436" s="505"/>
      <c r="BV436" s="505"/>
      <c r="BW436" s="505"/>
      <c r="BX436" s="505"/>
      <c r="BY436" s="505"/>
      <c r="BZ436" s="505"/>
      <c r="CA436" s="505"/>
      <c r="CB436" s="505"/>
      <c r="CC436" s="505"/>
      <c r="CD436" s="505"/>
      <c r="CE436" s="505"/>
      <c r="CF436" s="505"/>
      <c r="CG436" s="505"/>
      <c r="CH436" s="505"/>
      <c r="CI436" s="505"/>
      <c r="CJ436" s="505"/>
      <c r="CK436" s="505"/>
      <c r="CL436" s="505"/>
      <c r="CM436" s="505"/>
      <c r="CN436" s="505"/>
      <c r="CO436" s="505"/>
      <c r="CP436" s="505"/>
      <c r="CQ436" s="505"/>
      <c r="CR436" s="505"/>
      <c r="CS436" s="505"/>
      <c r="CT436" s="505"/>
      <c r="CU436" s="505"/>
      <c r="CV436" s="505"/>
      <c r="CW436" s="505"/>
      <c r="CX436" s="505"/>
      <c r="CY436" s="505"/>
      <c r="CZ436" s="505"/>
      <c r="DA436" s="505"/>
      <c r="DB436" s="505"/>
      <c r="DC436" s="505"/>
      <c r="DD436" s="505"/>
      <c r="DE436" s="505"/>
      <c r="DF436" s="505"/>
      <c r="DG436" s="505"/>
      <c r="DH436" s="505"/>
      <c r="DI436" s="505"/>
      <c r="DJ436" s="505"/>
      <c r="DK436" s="505"/>
      <c r="DL436" s="505"/>
      <c r="DM436" s="505"/>
      <c r="DN436" s="505"/>
      <c r="DO436" s="505"/>
      <c r="DP436" s="505"/>
    </row>
    <row r="437" spans="1:120" hidden="1" outlineLevel="1" x14ac:dyDescent="0.2">
      <c r="A437" s="517">
        <f t="shared" si="61"/>
        <v>39539</v>
      </c>
      <c r="B437" s="517" t="str">
        <f t="shared" si="58"/>
        <v>2Q08</v>
      </c>
      <c r="C437" s="517" t="str">
        <f t="shared" si="62"/>
        <v>2Q08</v>
      </c>
      <c r="D437" s="518">
        <f t="shared" si="63"/>
        <v>39612</v>
      </c>
      <c r="E437" s="518">
        <f t="shared" si="63"/>
        <v>39552</v>
      </c>
      <c r="F437" s="520">
        <v>4.0590000000000002</v>
      </c>
      <c r="G437" s="521">
        <f t="shared" si="59"/>
        <v>0.5900000000000003</v>
      </c>
      <c r="H437" s="521">
        <f t="shared" si="60"/>
        <v>0.60000000000000031</v>
      </c>
      <c r="I437" s="505"/>
      <c r="J437" s="505"/>
      <c r="K437" s="505"/>
      <c r="L437" s="505"/>
      <c r="M437" s="528"/>
      <c r="N437" s="505"/>
      <c r="O437" s="505"/>
      <c r="P437" s="505"/>
      <c r="Q437" s="505"/>
      <c r="R437" s="505"/>
      <c r="S437" s="505"/>
      <c r="T437" s="505"/>
      <c r="U437" s="505"/>
      <c r="V437" s="505"/>
      <c r="W437" s="505"/>
      <c r="X437" s="505"/>
      <c r="Y437" s="505"/>
      <c r="Z437" s="505"/>
      <c r="AA437" s="505"/>
      <c r="AB437" s="505"/>
      <c r="AC437" s="505"/>
      <c r="AD437" s="505"/>
      <c r="AE437" s="505"/>
      <c r="AF437" s="505"/>
      <c r="AG437" s="505"/>
      <c r="AH437" s="505"/>
      <c r="AI437" s="505"/>
      <c r="AJ437" s="505"/>
      <c r="AK437" s="505"/>
      <c r="AL437" s="505"/>
      <c r="AM437" s="505"/>
      <c r="AN437" s="505"/>
      <c r="AO437" s="505"/>
      <c r="AP437" s="505"/>
      <c r="AQ437" s="505"/>
      <c r="AR437" s="505"/>
      <c r="AS437" s="505"/>
      <c r="AT437" s="505"/>
      <c r="AU437" s="505"/>
      <c r="AV437" s="505"/>
      <c r="AW437" s="505"/>
      <c r="AX437" s="505"/>
      <c r="AY437" s="505"/>
      <c r="AZ437" s="505"/>
      <c r="BA437" s="505"/>
      <c r="BB437" s="505"/>
      <c r="BC437" s="505"/>
      <c r="BD437" s="505"/>
      <c r="BE437" s="505"/>
      <c r="BF437" s="505"/>
      <c r="BG437" s="505"/>
      <c r="BH437" s="505"/>
      <c r="BI437" s="505"/>
      <c r="BJ437" s="505"/>
      <c r="BK437" s="505"/>
      <c r="BL437" s="505"/>
      <c r="BM437" s="505"/>
      <c r="BN437" s="505"/>
      <c r="BO437" s="505"/>
      <c r="BP437" s="505"/>
      <c r="BQ437" s="505"/>
      <c r="BR437" s="505"/>
      <c r="BS437" s="505"/>
      <c r="BT437" s="505"/>
      <c r="BU437" s="505"/>
      <c r="BV437" s="505"/>
      <c r="BW437" s="505"/>
      <c r="BX437" s="505"/>
      <c r="BY437" s="505"/>
      <c r="BZ437" s="505"/>
      <c r="CA437" s="505"/>
      <c r="CB437" s="505"/>
      <c r="CC437" s="505"/>
      <c r="CD437" s="505"/>
      <c r="CE437" s="505"/>
      <c r="CF437" s="505"/>
      <c r="CG437" s="505"/>
      <c r="CH437" s="505"/>
      <c r="CI437" s="505"/>
      <c r="CJ437" s="505"/>
      <c r="CK437" s="505"/>
      <c r="CL437" s="505"/>
      <c r="CM437" s="505"/>
      <c r="CN437" s="505"/>
      <c r="CO437" s="505"/>
      <c r="CP437" s="505"/>
      <c r="CQ437" s="505"/>
      <c r="CR437" s="505"/>
      <c r="CS437" s="505"/>
      <c r="CT437" s="505"/>
      <c r="CU437" s="505"/>
      <c r="CV437" s="505"/>
      <c r="CW437" s="505"/>
      <c r="CX437" s="505"/>
      <c r="CY437" s="505"/>
      <c r="CZ437" s="505"/>
      <c r="DA437" s="505"/>
      <c r="DB437" s="505"/>
      <c r="DC437" s="505"/>
      <c r="DD437" s="505"/>
      <c r="DE437" s="505"/>
      <c r="DF437" s="505"/>
      <c r="DG437" s="505"/>
      <c r="DH437" s="505"/>
      <c r="DI437" s="505"/>
      <c r="DJ437" s="505"/>
      <c r="DK437" s="505"/>
      <c r="DL437" s="505"/>
      <c r="DM437" s="505"/>
      <c r="DN437" s="505"/>
      <c r="DO437" s="505"/>
      <c r="DP437" s="505"/>
    </row>
    <row r="438" spans="1:120" hidden="1" outlineLevel="1" x14ac:dyDescent="0.2">
      <c r="A438" s="517">
        <f t="shared" si="61"/>
        <v>39539</v>
      </c>
      <c r="B438" s="517" t="str">
        <f t="shared" si="58"/>
        <v>2Q08</v>
      </c>
      <c r="C438" s="517" t="str">
        <f t="shared" si="62"/>
        <v>2Q08</v>
      </c>
      <c r="D438" s="518">
        <f t="shared" si="63"/>
        <v>39619</v>
      </c>
      <c r="E438" s="518">
        <f t="shared" si="63"/>
        <v>39559</v>
      </c>
      <c r="F438" s="520">
        <v>4.1429999999999998</v>
      </c>
      <c r="G438" s="521">
        <f t="shared" si="59"/>
        <v>0.60000000000000031</v>
      </c>
      <c r="H438" s="521">
        <f t="shared" si="60"/>
        <v>0.61000000000000032</v>
      </c>
      <c r="I438" s="505"/>
      <c r="J438" s="505"/>
      <c r="K438" s="505"/>
      <c r="L438" s="505"/>
      <c r="M438" s="528"/>
      <c r="N438" s="505"/>
      <c r="O438" s="505"/>
      <c r="P438" s="505"/>
      <c r="Q438" s="505"/>
      <c r="R438" s="505"/>
      <c r="S438" s="505"/>
      <c r="T438" s="505"/>
      <c r="U438" s="505"/>
      <c r="V438" s="505"/>
      <c r="W438" s="505"/>
      <c r="X438" s="505"/>
      <c r="Y438" s="505"/>
      <c r="Z438" s="505"/>
      <c r="AA438" s="505"/>
      <c r="AB438" s="505"/>
      <c r="AC438" s="505"/>
      <c r="AD438" s="505"/>
      <c r="AE438" s="505"/>
      <c r="AF438" s="505"/>
      <c r="AG438" s="505"/>
      <c r="AH438" s="505"/>
      <c r="AI438" s="505"/>
      <c r="AJ438" s="505"/>
      <c r="AK438" s="505"/>
      <c r="AL438" s="505"/>
      <c r="AM438" s="505"/>
      <c r="AN438" s="505"/>
      <c r="AO438" s="505"/>
      <c r="AP438" s="505"/>
      <c r="AQ438" s="505"/>
      <c r="AR438" s="505"/>
      <c r="AS438" s="505"/>
      <c r="AT438" s="505"/>
      <c r="AU438" s="505"/>
      <c r="AV438" s="505"/>
      <c r="AW438" s="505"/>
      <c r="AX438" s="505"/>
      <c r="AY438" s="505"/>
      <c r="AZ438" s="505"/>
      <c r="BA438" s="505"/>
      <c r="BB438" s="505"/>
      <c r="BC438" s="505"/>
      <c r="BD438" s="505"/>
      <c r="BE438" s="505"/>
      <c r="BF438" s="505"/>
      <c r="BG438" s="505"/>
      <c r="BH438" s="505"/>
      <c r="BI438" s="505"/>
      <c r="BJ438" s="505"/>
      <c r="BK438" s="505"/>
      <c r="BL438" s="505"/>
      <c r="BM438" s="505"/>
      <c r="BN438" s="505"/>
      <c r="BO438" s="505"/>
      <c r="BP438" s="505"/>
      <c r="BQ438" s="505"/>
      <c r="BR438" s="505"/>
      <c r="BS438" s="505"/>
      <c r="BT438" s="505"/>
      <c r="BU438" s="505"/>
      <c r="BV438" s="505"/>
      <c r="BW438" s="505"/>
      <c r="BX438" s="505"/>
      <c r="BY438" s="505"/>
      <c r="BZ438" s="505"/>
      <c r="CA438" s="505"/>
      <c r="CB438" s="505"/>
      <c r="CC438" s="505"/>
      <c r="CD438" s="505"/>
      <c r="CE438" s="505"/>
      <c r="CF438" s="505"/>
      <c r="CG438" s="505"/>
      <c r="CH438" s="505"/>
      <c r="CI438" s="505"/>
      <c r="CJ438" s="505"/>
      <c r="CK438" s="505"/>
      <c r="CL438" s="505"/>
      <c r="CM438" s="505"/>
      <c r="CN438" s="505"/>
      <c r="CO438" s="505"/>
      <c r="CP438" s="505"/>
      <c r="CQ438" s="505"/>
      <c r="CR438" s="505"/>
      <c r="CS438" s="505"/>
      <c r="CT438" s="505"/>
      <c r="CU438" s="505"/>
      <c r="CV438" s="505"/>
      <c r="CW438" s="505"/>
      <c r="CX438" s="505"/>
      <c r="CY438" s="505"/>
      <c r="CZ438" s="505"/>
      <c r="DA438" s="505"/>
      <c r="DB438" s="505"/>
      <c r="DC438" s="505"/>
      <c r="DD438" s="505"/>
      <c r="DE438" s="505"/>
      <c r="DF438" s="505"/>
      <c r="DG438" s="505"/>
      <c r="DH438" s="505"/>
      <c r="DI438" s="505"/>
      <c r="DJ438" s="505"/>
      <c r="DK438" s="505"/>
      <c r="DL438" s="505"/>
      <c r="DM438" s="505"/>
      <c r="DN438" s="505"/>
      <c r="DO438" s="505"/>
      <c r="DP438" s="505"/>
    </row>
    <row r="439" spans="1:120" hidden="1" outlineLevel="1" x14ac:dyDescent="0.2">
      <c r="A439" s="517">
        <f t="shared" si="61"/>
        <v>39539</v>
      </c>
      <c r="B439" s="517" t="str">
        <f t="shared" si="58"/>
        <v>2Q08</v>
      </c>
      <c r="C439" s="517" t="str">
        <f t="shared" si="62"/>
        <v>2Q08</v>
      </c>
      <c r="D439" s="518">
        <f t="shared" si="63"/>
        <v>39626</v>
      </c>
      <c r="E439" s="518">
        <f t="shared" si="63"/>
        <v>39566</v>
      </c>
      <c r="F439" s="520">
        <v>4.1769999999999996</v>
      </c>
      <c r="G439" s="521">
        <f t="shared" si="59"/>
        <v>0.61000000000000032</v>
      </c>
      <c r="H439" s="521">
        <f t="shared" si="60"/>
        <v>0.60000000000000031</v>
      </c>
      <c r="I439" s="505"/>
      <c r="J439" s="505"/>
      <c r="K439" s="505"/>
      <c r="L439" s="505"/>
      <c r="M439" s="528"/>
      <c r="N439" s="505"/>
      <c r="O439" s="505"/>
      <c r="P439" s="505"/>
      <c r="Q439" s="505"/>
      <c r="R439" s="505"/>
      <c r="S439" s="505"/>
      <c r="T439" s="505"/>
      <c r="U439" s="505"/>
      <c r="V439" s="505"/>
      <c r="W439" s="505"/>
      <c r="X439" s="505"/>
      <c r="Y439" s="505"/>
      <c r="Z439" s="505"/>
      <c r="AA439" s="505"/>
      <c r="AB439" s="505"/>
      <c r="AC439" s="505"/>
      <c r="AD439" s="505"/>
      <c r="AE439" s="505"/>
      <c r="AF439" s="505"/>
      <c r="AG439" s="505"/>
      <c r="AH439" s="505"/>
      <c r="AI439" s="505"/>
      <c r="AJ439" s="505"/>
      <c r="AK439" s="505"/>
      <c r="AL439" s="505"/>
      <c r="AM439" s="505"/>
      <c r="AN439" s="505"/>
      <c r="AO439" s="505"/>
      <c r="AP439" s="505"/>
      <c r="AQ439" s="505"/>
      <c r="AR439" s="505"/>
      <c r="AS439" s="505"/>
      <c r="AT439" s="505"/>
      <c r="AU439" s="505"/>
      <c r="AV439" s="505"/>
      <c r="AW439" s="505"/>
      <c r="AX439" s="505"/>
      <c r="AY439" s="505"/>
      <c r="AZ439" s="505"/>
      <c r="BA439" s="505"/>
      <c r="BB439" s="505"/>
      <c r="BC439" s="505"/>
      <c r="BD439" s="505"/>
      <c r="BE439" s="505"/>
      <c r="BF439" s="505"/>
      <c r="BG439" s="505"/>
      <c r="BH439" s="505"/>
      <c r="BI439" s="505"/>
      <c r="BJ439" s="505"/>
      <c r="BK439" s="505"/>
      <c r="BL439" s="505"/>
      <c r="BM439" s="505"/>
      <c r="BN439" s="505"/>
      <c r="BO439" s="505"/>
      <c r="BP439" s="505"/>
      <c r="BQ439" s="505"/>
      <c r="BR439" s="505"/>
      <c r="BS439" s="505"/>
      <c r="BT439" s="505"/>
      <c r="BU439" s="505"/>
      <c r="BV439" s="505"/>
      <c r="BW439" s="505"/>
      <c r="BX439" s="505"/>
      <c r="BY439" s="505"/>
      <c r="BZ439" s="505"/>
      <c r="CA439" s="505"/>
      <c r="CB439" s="505"/>
      <c r="CC439" s="505"/>
      <c r="CD439" s="505"/>
      <c r="CE439" s="505"/>
      <c r="CF439" s="505"/>
      <c r="CG439" s="505"/>
      <c r="CH439" s="505"/>
      <c r="CI439" s="505"/>
      <c r="CJ439" s="505"/>
      <c r="CK439" s="505"/>
      <c r="CL439" s="505"/>
      <c r="CM439" s="505"/>
      <c r="CN439" s="505"/>
      <c r="CO439" s="505"/>
      <c r="CP439" s="505"/>
      <c r="CQ439" s="505"/>
      <c r="CR439" s="505"/>
      <c r="CS439" s="505"/>
      <c r="CT439" s="505"/>
      <c r="CU439" s="505"/>
      <c r="CV439" s="505"/>
      <c r="CW439" s="505"/>
      <c r="CX439" s="505"/>
      <c r="CY439" s="505"/>
      <c r="CZ439" s="505"/>
      <c r="DA439" s="505"/>
      <c r="DB439" s="505"/>
      <c r="DC439" s="505"/>
      <c r="DD439" s="505"/>
      <c r="DE439" s="505"/>
      <c r="DF439" s="505"/>
      <c r="DG439" s="505"/>
      <c r="DH439" s="505"/>
      <c r="DI439" s="505"/>
      <c r="DJ439" s="505"/>
      <c r="DK439" s="505"/>
      <c r="DL439" s="505"/>
      <c r="DM439" s="505"/>
      <c r="DN439" s="505"/>
      <c r="DO439" s="505"/>
      <c r="DP439" s="505"/>
    </row>
    <row r="440" spans="1:120" hidden="1" outlineLevel="1" x14ac:dyDescent="0.2">
      <c r="A440" s="517">
        <f t="shared" si="61"/>
        <v>39569</v>
      </c>
      <c r="B440" s="517" t="str">
        <f t="shared" si="58"/>
        <v>2Q08</v>
      </c>
      <c r="C440" s="517" t="str">
        <f t="shared" si="62"/>
        <v>3Q08</v>
      </c>
      <c r="D440" s="518">
        <f t="shared" si="63"/>
        <v>39633</v>
      </c>
      <c r="E440" s="518">
        <f t="shared" si="63"/>
        <v>39573</v>
      </c>
      <c r="F440" s="520">
        <v>4.149</v>
      </c>
      <c r="G440" s="521">
        <f t="shared" si="59"/>
        <v>0.60000000000000031</v>
      </c>
      <c r="H440" s="521">
        <f t="shared" si="60"/>
        <v>0.64000000000000035</v>
      </c>
      <c r="I440" s="505"/>
      <c r="J440" s="505"/>
      <c r="K440" s="505"/>
      <c r="L440" s="505"/>
      <c r="M440" s="528"/>
      <c r="N440" s="505"/>
      <c r="O440" s="505"/>
      <c r="P440" s="505"/>
      <c r="Q440" s="505"/>
      <c r="R440" s="505"/>
      <c r="S440" s="505"/>
      <c r="T440" s="505"/>
      <c r="U440" s="505"/>
      <c r="V440" s="505"/>
      <c r="W440" s="505"/>
      <c r="X440" s="505"/>
      <c r="Y440" s="505"/>
      <c r="Z440" s="505"/>
      <c r="AA440" s="505"/>
      <c r="AB440" s="505"/>
      <c r="AC440" s="505"/>
      <c r="AD440" s="505"/>
      <c r="AE440" s="505"/>
      <c r="AF440" s="505"/>
      <c r="AG440" s="505"/>
      <c r="AH440" s="505"/>
      <c r="AI440" s="505"/>
      <c r="AJ440" s="505"/>
      <c r="AK440" s="505"/>
      <c r="AL440" s="505"/>
      <c r="AM440" s="505"/>
      <c r="AN440" s="505"/>
      <c r="AO440" s="505"/>
      <c r="AP440" s="505"/>
      <c r="AQ440" s="505"/>
      <c r="AR440" s="505"/>
      <c r="AS440" s="505"/>
      <c r="AT440" s="505"/>
      <c r="AU440" s="505"/>
      <c r="AV440" s="505"/>
      <c r="AW440" s="505"/>
      <c r="AX440" s="505"/>
      <c r="AY440" s="505"/>
      <c r="AZ440" s="505"/>
      <c r="BA440" s="505"/>
      <c r="BB440" s="505"/>
      <c r="BC440" s="505"/>
      <c r="BD440" s="505"/>
      <c r="BE440" s="505"/>
      <c r="BF440" s="505"/>
      <c r="BG440" s="505"/>
      <c r="BH440" s="505"/>
      <c r="BI440" s="505"/>
      <c r="BJ440" s="505"/>
      <c r="BK440" s="505"/>
      <c r="BL440" s="505"/>
      <c r="BM440" s="505"/>
      <c r="BN440" s="505"/>
      <c r="BO440" s="505"/>
      <c r="BP440" s="505"/>
      <c r="BQ440" s="505"/>
      <c r="BR440" s="505"/>
      <c r="BS440" s="505"/>
      <c r="BT440" s="505"/>
      <c r="BU440" s="505"/>
      <c r="BV440" s="505"/>
      <c r="BW440" s="505"/>
      <c r="BX440" s="505"/>
      <c r="BY440" s="505"/>
      <c r="BZ440" s="505"/>
      <c r="CA440" s="505"/>
      <c r="CB440" s="505"/>
      <c r="CC440" s="505"/>
      <c r="CD440" s="505"/>
      <c r="CE440" s="505"/>
      <c r="CF440" s="505"/>
      <c r="CG440" s="505"/>
      <c r="CH440" s="505"/>
      <c r="CI440" s="505"/>
      <c r="CJ440" s="505"/>
      <c r="CK440" s="505"/>
      <c r="CL440" s="505"/>
      <c r="CM440" s="505"/>
      <c r="CN440" s="505"/>
      <c r="CO440" s="505"/>
      <c r="CP440" s="505"/>
      <c r="CQ440" s="505"/>
      <c r="CR440" s="505"/>
      <c r="CS440" s="505"/>
      <c r="CT440" s="505"/>
      <c r="CU440" s="505"/>
      <c r="CV440" s="505"/>
      <c r="CW440" s="505"/>
      <c r="CX440" s="505"/>
      <c r="CY440" s="505"/>
      <c r="CZ440" s="505"/>
      <c r="DA440" s="505"/>
      <c r="DB440" s="505"/>
      <c r="DC440" s="505"/>
      <c r="DD440" s="505"/>
      <c r="DE440" s="505"/>
      <c r="DF440" s="505"/>
      <c r="DG440" s="505"/>
      <c r="DH440" s="505"/>
      <c r="DI440" s="505"/>
      <c r="DJ440" s="505"/>
      <c r="DK440" s="505"/>
      <c r="DL440" s="505"/>
      <c r="DM440" s="505"/>
      <c r="DN440" s="505"/>
      <c r="DO440" s="505"/>
      <c r="DP440" s="505"/>
    </row>
    <row r="441" spans="1:120" hidden="1" outlineLevel="1" x14ac:dyDescent="0.2">
      <c r="A441" s="517">
        <f t="shared" si="61"/>
        <v>39569</v>
      </c>
      <c r="B441" s="517" t="str">
        <f t="shared" si="58"/>
        <v>2Q08</v>
      </c>
      <c r="C441" s="517" t="str">
        <f t="shared" si="62"/>
        <v>3Q08</v>
      </c>
      <c r="D441" s="518">
        <f t="shared" si="63"/>
        <v>39640</v>
      </c>
      <c r="E441" s="518">
        <f t="shared" si="63"/>
        <v>39580</v>
      </c>
      <c r="F441" s="520">
        <v>4.3310000000000004</v>
      </c>
      <c r="G441" s="521">
        <f t="shared" si="59"/>
        <v>0.64000000000000035</v>
      </c>
      <c r="H441" s="521">
        <f t="shared" si="60"/>
        <v>0.67000000000000037</v>
      </c>
      <c r="I441" s="505"/>
      <c r="J441" s="505"/>
      <c r="K441" s="505"/>
      <c r="L441" s="505"/>
      <c r="M441" s="528"/>
      <c r="N441" s="505"/>
      <c r="O441" s="505"/>
      <c r="P441" s="505"/>
      <c r="Q441" s="505"/>
      <c r="R441" s="505"/>
      <c r="S441" s="505"/>
      <c r="T441" s="505"/>
      <c r="U441" s="505"/>
      <c r="V441" s="505"/>
      <c r="W441" s="505"/>
      <c r="X441" s="505"/>
      <c r="Y441" s="505"/>
      <c r="Z441" s="505"/>
      <c r="AA441" s="505"/>
      <c r="AB441" s="505"/>
      <c r="AC441" s="505"/>
      <c r="AD441" s="505"/>
      <c r="AE441" s="505"/>
      <c r="AF441" s="505"/>
      <c r="AG441" s="505"/>
      <c r="AH441" s="505"/>
      <c r="AI441" s="505"/>
      <c r="AJ441" s="505"/>
      <c r="AK441" s="505"/>
      <c r="AL441" s="505"/>
      <c r="AM441" s="505"/>
      <c r="AN441" s="505"/>
      <c r="AO441" s="505"/>
      <c r="AP441" s="505"/>
      <c r="AQ441" s="505"/>
      <c r="AR441" s="505"/>
      <c r="AS441" s="505"/>
      <c r="AT441" s="505"/>
      <c r="AU441" s="505"/>
      <c r="AV441" s="505"/>
      <c r="AW441" s="505"/>
      <c r="AX441" s="505"/>
      <c r="AY441" s="505"/>
      <c r="AZ441" s="505"/>
      <c r="BA441" s="505"/>
      <c r="BB441" s="505"/>
      <c r="BC441" s="505"/>
      <c r="BD441" s="505"/>
      <c r="BE441" s="505"/>
      <c r="BF441" s="505"/>
      <c r="BG441" s="505"/>
      <c r="BH441" s="505"/>
      <c r="BI441" s="505"/>
      <c r="BJ441" s="505"/>
      <c r="BK441" s="505"/>
      <c r="BL441" s="505"/>
      <c r="BM441" s="505"/>
      <c r="BN441" s="505"/>
      <c r="BO441" s="505"/>
      <c r="BP441" s="505"/>
      <c r="BQ441" s="505"/>
      <c r="BR441" s="505"/>
      <c r="BS441" s="505"/>
      <c r="BT441" s="505"/>
      <c r="BU441" s="505"/>
      <c r="BV441" s="505"/>
      <c r="BW441" s="505"/>
      <c r="BX441" s="505"/>
      <c r="BY441" s="505"/>
      <c r="BZ441" s="505"/>
      <c r="CA441" s="505"/>
      <c r="CB441" s="505"/>
      <c r="CC441" s="505"/>
      <c r="CD441" s="505"/>
      <c r="CE441" s="505"/>
      <c r="CF441" s="505"/>
      <c r="CG441" s="505"/>
      <c r="CH441" s="505"/>
      <c r="CI441" s="505"/>
      <c r="CJ441" s="505"/>
      <c r="CK441" s="505"/>
      <c r="CL441" s="505"/>
      <c r="CM441" s="505"/>
      <c r="CN441" s="505"/>
      <c r="CO441" s="505"/>
      <c r="CP441" s="505"/>
      <c r="CQ441" s="505"/>
      <c r="CR441" s="505"/>
      <c r="CS441" s="505"/>
      <c r="CT441" s="505"/>
      <c r="CU441" s="505"/>
      <c r="CV441" s="505"/>
      <c r="CW441" s="505"/>
      <c r="CX441" s="505"/>
      <c r="CY441" s="505"/>
      <c r="CZ441" s="505"/>
      <c r="DA441" s="505"/>
      <c r="DB441" s="505"/>
      <c r="DC441" s="505"/>
      <c r="DD441" s="505"/>
      <c r="DE441" s="505"/>
      <c r="DF441" s="505"/>
      <c r="DG441" s="505"/>
      <c r="DH441" s="505"/>
      <c r="DI441" s="505"/>
      <c r="DJ441" s="505"/>
      <c r="DK441" s="505"/>
      <c r="DL441" s="505"/>
      <c r="DM441" s="505"/>
      <c r="DN441" s="505"/>
      <c r="DO441" s="505"/>
      <c r="DP441" s="505"/>
    </row>
    <row r="442" spans="1:120" hidden="1" outlineLevel="1" x14ac:dyDescent="0.2">
      <c r="A442" s="517">
        <f t="shared" si="61"/>
        <v>39569</v>
      </c>
      <c r="B442" s="517" t="str">
        <f t="shared" si="58"/>
        <v>2Q08</v>
      </c>
      <c r="C442" s="517" t="str">
        <f t="shared" si="62"/>
        <v>3Q08</v>
      </c>
      <c r="D442" s="518">
        <f t="shared" si="63"/>
        <v>39647</v>
      </c>
      <c r="E442" s="518">
        <f t="shared" si="63"/>
        <v>39587</v>
      </c>
      <c r="F442" s="520">
        <v>4.4969999999999999</v>
      </c>
      <c r="G442" s="521">
        <f t="shared" si="59"/>
        <v>0.67000000000000037</v>
      </c>
      <c r="H442" s="521">
        <f t="shared" si="60"/>
        <v>0.72000000000000042</v>
      </c>
      <c r="I442" s="505"/>
      <c r="J442" s="505"/>
      <c r="K442" s="505"/>
      <c r="L442" s="505"/>
      <c r="M442" s="528"/>
      <c r="N442" s="505"/>
      <c r="O442" s="505"/>
      <c r="P442" s="505"/>
      <c r="Q442" s="505"/>
      <c r="R442" s="505"/>
      <c r="S442" s="505"/>
      <c r="T442" s="505"/>
      <c r="U442" s="505"/>
      <c r="V442" s="505"/>
      <c r="W442" s="505"/>
      <c r="X442" s="505"/>
      <c r="Y442" s="505"/>
      <c r="Z442" s="505"/>
      <c r="AA442" s="505"/>
      <c r="AB442" s="505"/>
      <c r="AC442" s="505"/>
      <c r="AD442" s="505"/>
      <c r="AE442" s="505"/>
      <c r="AF442" s="505"/>
      <c r="AG442" s="505"/>
      <c r="AH442" s="505"/>
      <c r="AI442" s="505"/>
      <c r="AJ442" s="505"/>
      <c r="AK442" s="505"/>
      <c r="AL442" s="505"/>
      <c r="AM442" s="505"/>
      <c r="AN442" s="505"/>
      <c r="AO442" s="505"/>
      <c r="AP442" s="505"/>
      <c r="AQ442" s="505"/>
      <c r="AR442" s="505"/>
      <c r="AS442" s="505"/>
      <c r="AT442" s="505"/>
      <c r="AU442" s="505"/>
      <c r="AV442" s="505"/>
      <c r="AW442" s="505"/>
      <c r="AX442" s="505"/>
      <c r="AY442" s="505"/>
      <c r="AZ442" s="505"/>
      <c r="BA442" s="505"/>
      <c r="BB442" s="505"/>
      <c r="BC442" s="505"/>
      <c r="BD442" s="505"/>
      <c r="BE442" s="505"/>
      <c r="BF442" s="505"/>
      <c r="BG442" s="505"/>
      <c r="BH442" s="505"/>
      <c r="BI442" s="505"/>
      <c r="BJ442" s="505"/>
      <c r="BK442" s="505"/>
      <c r="BL442" s="505"/>
      <c r="BM442" s="505"/>
      <c r="BN442" s="505"/>
      <c r="BO442" s="505"/>
      <c r="BP442" s="505"/>
      <c r="BQ442" s="505"/>
      <c r="BR442" s="505"/>
      <c r="BS442" s="505"/>
      <c r="BT442" s="505"/>
      <c r="BU442" s="505"/>
      <c r="BV442" s="505"/>
      <c r="BW442" s="505"/>
      <c r="BX442" s="505"/>
      <c r="BY442" s="505"/>
      <c r="BZ442" s="505"/>
      <c r="CA442" s="505"/>
      <c r="CB442" s="505"/>
      <c r="CC442" s="505"/>
      <c r="CD442" s="505"/>
      <c r="CE442" s="505"/>
      <c r="CF442" s="505"/>
      <c r="CG442" s="505"/>
      <c r="CH442" s="505"/>
      <c r="CI442" s="505"/>
      <c r="CJ442" s="505"/>
      <c r="CK442" s="505"/>
      <c r="CL442" s="505"/>
      <c r="CM442" s="505"/>
      <c r="CN442" s="505"/>
      <c r="CO442" s="505"/>
      <c r="CP442" s="505"/>
      <c r="CQ442" s="505"/>
      <c r="CR442" s="505"/>
      <c r="CS442" s="505"/>
      <c r="CT442" s="505"/>
      <c r="CU442" s="505"/>
      <c r="CV442" s="505"/>
      <c r="CW442" s="505"/>
      <c r="CX442" s="505"/>
      <c r="CY442" s="505"/>
      <c r="CZ442" s="505"/>
      <c r="DA442" s="505"/>
      <c r="DB442" s="505"/>
      <c r="DC442" s="505"/>
      <c r="DD442" s="505"/>
      <c r="DE442" s="505"/>
      <c r="DF442" s="505"/>
      <c r="DG442" s="505"/>
      <c r="DH442" s="505"/>
      <c r="DI442" s="505"/>
      <c r="DJ442" s="505"/>
      <c r="DK442" s="505"/>
      <c r="DL442" s="505"/>
      <c r="DM442" s="505"/>
      <c r="DN442" s="505"/>
      <c r="DO442" s="505"/>
      <c r="DP442" s="505"/>
    </row>
    <row r="443" spans="1:120" hidden="1" outlineLevel="1" x14ac:dyDescent="0.2">
      <c r="A443" s="517">
        <f t="shared" si="61"/>
        <v>39569</v>
      </c>
      <c r="B443" s="517" t="str">
        <f t="shared" si="58"/>
        <v>2Q08</v>
      </c>
      <c r="C443" s="517" t="str">
        <f t="shared" si="62"/>
        <v>3Q08</v>
      </c>
      <c r="D443" s="518">
        <f t="shared" si="63"/>
        <v>39654</v>
      </c>
      <c r="E443" s="518">
        <f t="shared" si="63"/>
        <v>39594</v>
      </c>
      <c r="F443" s="520">
        <v>4.7229999999999999</v>
      </c>
      <c r="G443" s="521">
        <f t="shared" si="59"/>
        <v>0.72000000000000042</v>
      </c>
      <c r="H443" s="521">
        <f t="shared" si="60"/>
        <v>0.72000000000000042</v>
      </c>
      <c r="I443" s="505"/>
      <c r="J443" s="505"/>
      <c r="K443" s="505"/>
      <c r="L443" s="505"/>
      <c r="M443" s="528"/>
      <c r="N443" s="505"/>
      <c r="O443" s="505"/>
      <c r="P443" s="505"/>
      <c r="Q443" s="505"/>
      <c r="R443" s="505"/>
      <c r="S443" s="505"/>
      <c r="T443" s="505"/>
      <c r="U443" s="505"/>
      <c r="V443" s="505"/>
      <c r="W443" s="505"/>
      <c r="X443" s="505"/>
      <c r="Y443" s="505"/>
      <c r="Z443" s="505"/>
      <c r="AA443" s="505"/>
      <c r="AB443" s="505"/>
      <c r="AC443" s="505"/>
      <c r="AD443" s="505"/>
      <c r="AE443" s="505"/>
      <c r="AF443" s="505"/>
      <c r="AG443" s="505"/>
      <c r="AH443" s="505"/>
      <c r="AI443" s="505"/>
      <c r="AJ443" s="505"/>
      <c r="AK443" s="505"/>
      <c r="AL443" s="505"/>
      <c r="AM443" s="505"/>
      <c r="AN443" s="505"/>
      <c r="AO443" s="505"/>
      <c r="AP443" s="505"/>
      <c r="AQ443" s="505"/>
      <c r="AR443" s="505"/>
      <c r="AS443" s="505"/>
      <c r="AT443" s="505"/>
      <c r="AU443" s="505"/>
      <c r="AV443" s="505"/>
      <c r="AW443" s="505"/>
      <c r="AX443" s="505"/>
      <c r="AY443" s="505"/>
      <c r="AZ443" s="505"/>
      <c r="BA443" s="505"/>
      <c r="BB443" s="505"/>
      <c r="BC443" s="505"/>
      <c r="BD443" s="505"/>
      <c r="BE443" s="505"/>
      <c r="BF443" s="505"/>
      <c r="BG443" s="505"/>
      <c r="BH443" s="505"/>
      <c r="BI443" s="505"/>
      <c r="BJ443" s="505"/>
      <c r="BK443" s="505"/>
      <c r="BL443" s="505"/>
      <c r="BM443" s="505"/>
      <c r="BN443" s="505"/>
      <c r="BO443" s="505"/>
      <c r="BP443" s="505"/>
      <c r="BQ443" s="505"/>
      <c r="BR443" s="505"/>
      <c r="BS443" s="505"/>
      <c r="BT443" s="505"/>
      <c r="BU443" s="505"/>
      <c r="BV443" s="505"/>
      <c r="BW443" s="505"/>
      <c r="BX443" s="505"/>
      <c r="BY443" s="505"/>
      <c r="BZ443" s="505"/>
      <c r="CA443" s="505"/>
      <c r="CB443" s="505"/>
      <c r="CC443" s="505"/>
      <c r="CD443" s="505"/>
      <c r="CE443" s="505"/>
      <c r="CF443" s="505"/>
      <c r="CG443" s="505"/>
      <c r="CH443" s="505"/>
      <c r="CI443" s="505"/>
      <c r="CJ443" s="505"/>
      <c r="CK443" s="505"/>
      <c r="CL443" s="505"/>
      <c r="CM443" s="505"/>
      <c r="CN443" s="505"/>
      <c r="CO443" s="505"/>
      <c r="CP443" s="505"/>
      <c r="CQ443" s="505"/>
      <c r="CR443" s="505"/>
      <c r="CS443" s="505"/>
      <c r="CT443" s="505"/>
      <c r="CU443" s="505"/>
      <c r="CV443" s="505"/>
      <c r="CW443" s="505"/>
      <c r="CX443" s="505"/>
      <c r="CY443" s="505"/>
      <c r="CZ443" s="505"/>
      <c r="DA443" s="505"/>
      <c r="DB443" s="505"/>
      <c r="DC443" s="505"/>
      <c r="DD443" s="505"/>
      <c r="DE443" s="505"/>
      <c r="DF443" s="505"/>
      <c r="DG443" s="505"/>
      <c r="DH443" s="505"/>
      <c r="DI443" s="505"/>
      <c r="DJ443" s="505"/>
      <c r="DK443" s="505"/>
      <c r="DL443" s="505"/>
      <c r="DM443" s="505"/>
      <c r="DN443" s="505"/>
      <c r="DO443" s="505"/>
      <c r="DP443" s="505"/>
    </row>
    <row r="444" spans="1:120" hidden="1" outlineLevel="1" x14ac:dyDescent="0.2">
      <c r="A444" s="517">
        <f t="shared" si="61"/>
        <v>39600</v>
      </c>
      <c r="B444" s="517" t="str">
        <f t="shared" si="58"/>
        <v>2Q08</v>
      </c>
      <c r="C444" s="517" t="str">
        <f t="shared" si="62"/>
        <v>3Q08</v>
      </c>
      <c r="D444" s="518">
        <f t="shared" si="63"/>
        <v>39661</v>
      </c>
      <c r="E444" s="518">
        <f t="shared" si="63"/>
        <v>39601</v>
      </c>
      <c r="F444" s="520">
        <v>4.7069999999999999</v>
      </c>
      <c r="G444" s="521">
        <f t="shared" si="59"/>
        <v>0.72000000000000042</v>
      </c>
      <c r="H444" s="521">
        <f t="shared" si="60"/>
        <v>0.71000000000000041</v>
      </c>
      <c r="I444" s="505"/>
      <c r="J444" s="505"/>
      <c r="K444" s="505"/>
      <c r="L444" s="505"/>
      <c r="M444" s="528"/>
      <c r="N444" s="505"/>
      <c r="O444" s="505"/>
      <c r="P444" s="505"/>
      <c r="Q444" s="505"/>
      <c r="R444" s="505"/>
      <c r="S444" s="505"/>
      <c r="T444" s="505"/>
      <c r="U444" s="505"/>
      <c r="V444" s="505"/>
      <c r="W444" s="505"/>
      <c r="X444" s="505"/>
      <c r="Y444" s="505"/>
      <c r="Z444" s="505"/>
      <c r="AA444" s="505"/>
      <c r="AB444" s="505"/>
      <c r="AC444" s="505"/>
      <c r="AD444" s="505"/>
      <c r="AE444" s="505"/>
      <c r="AF444" s="505"/>
      <c r="AG444" s="505"/>
      <c r="AH444" s="505"/>
      <c r="AI444" s="505"/>
      <c r="AJ444" s="505"/>
      <c r="AK444" s="505"/>
      <c r="AL444" s="505"/>
      <c r="AM444" s="505"/>
      <c r="AN444" s="505"/>
      <c r="AO444" s="505"/>
      <c r="AP444" s="505"/>
      <c r="AQ444" s="505"/>
      <c r="AR444" s="505"/>
      <c r="AS444" s="505"/>
      <c r="AT444" s="505"/>
      <c r="AU444" s="505"/>
      <c r="AV444" s="505"/>
      <c r="AW444" s="505"/>
      <c r="AX444" s="505"/>
      <c r="AY444" s="505"/>
      <c r="AZ444" s="505"/>
      <c r="BA444" s="505"/>
      <c r="BB444" s="505"/>
      <c r="BC444" s="505"/>
      <c r="BD444" s="505"/>
      <c r="BE444" s="505"/>
      <c r="BF444" s="505"/>
      <c r="BG444" s="505"/>
      <c r="BH444" s="505"/>
      <c r="BI444" s="505"/>
      <c r="BJ444" s="505"/>
      <c r="BK444" s="505"/>
      <c r="BL444" s="505"/>
      <c r="BM444" s="505"/>
      <c r="BN444" s="505"/>
      <c r="BO444" s="505"/>
      <c r="BP444" s="505"/>
      <c r="BQ444" s="505"/>
      <c r="BR444" s="505"/>
      <c r="BS444" s="505"/>
      <c r="BT444" s="505"/>
      <c r="BU444" s="505"/>
      <c r="BV444" s="505"/>
      <c r="BW444" s="505"/>
      <c r="BX444" s="505"/>
      <c r="BY444" s="505"/>
      <c r="BZ444" s="505"/>
      <c r="CA444" s="505"/>
      <c r="CB444" s="505"/>
      <c r="CC444" s="505"/>
      <c r="CD444" s="505"/>
      <c r="CE444" s="505"/>
      <c r="CF444" s="505"/>
      <c r="CG444" s="505"/>
      <c r="CH444" s="505"/>
      <c r="CI444" s="505"/>
      <c r="CJ444" s="505"/>
      <c r="CK444" s="505"/>
      <c r="CL444" s="505"/>
      <c r="CM444" s="505"/>
      <c r="CN444" s="505"/>
      <c r="CO444" s="505"/>
      <c r="CP444" s="505"/>
      <c r="CQ444" s="505"/>
      <c r="CR444" s="505"/>
      <c r="CS444" s="505"/>
      <c r="CT444" s="505"/>
      <c r="CU444" s="505"/>
      <c r="CV444" s="505"/>
      <c r="CW444" s="505"/>
      <c r="CX444" s="505"/>
      <c r="CY444" s="505"/>
      <c r="CZ444" s="505"/>
      <c r="DA444" s="505"/>
      <c r="DB444" s="505"/>
      <c r="DC444" s="505"/>
      <c r="DD444" s="505"/>
      <c r="DE444" s="505"/>
      <c r="DF444" s="505"/>
      <c r="DG444" s="505"/>
      <c r="DH444" s="505"/>
      <c r="DI444" s="505"/>
      <c r="DJ444" s="505"/>
      <c r="DK444" s="505"/>
      <c r="DL444" s="505"/>
      <c r="DM444" s="505"/>
      <c r="DN444" s="505"/>
      <c r="DO444" s="505"/>
      <c r="DP444" s="505"/>
    </row>
    <row r="445" spans="1:120" hidden="1" outlineLevel="1" x14ac:dyDescent="0.2">
      <c r="A445" s="517">
        <f t="shared" si="61"/>
        <v>39600</v>
      </c>
      <c r="B445" s="517" t="str">
        <f t="shared" si="58"/>
        <v>2Q08</v>
      </c>
      <c r="C445" s="517" t="str">
        <f t="shared" si="62"/>
        <v>3Q08</v>
      </c>
      <c r="D445" s="518">
        <f t="shared" si="63"/>
        <v>39668</v>
      </c>
      <c r="E445" s="518">
        <f t="shared" si="63"/>
        <v>39608</v>
      </c>
      <c r="F445" s="520">
        <v>4.6920000000000002</v>
      </c>
      <c r="G445" s="521">
        <f t="shared" si="59"/>
        <v>0.71000000000000041</v>
      </c>
      <c r="H445" s="521">
        <f t="shared" si="60"/>
        <v>0.71000000000000041</v>
      </c>
      <c r="I445" s="505"/>
      <c r="J445" s="505"/>
      <c r="K445" s="505"/>
      <c r="L445" s="505"/>
      <c r="M445" s="528"/>
      <c r="N445" s="505"/>
      <c r="O445" s="505"/>
      <c r="P445" s="505"/>
      <c r="Q445" s="505"/>
      <c r="R445" s="505"/>
      <c r="S445" s="505"/>
      <c r="T445" s="505"/>
      <c r="U445" s="505"/>
      <c r="V445" s="505"/>
      <c r="W445" s="505"/>
      <c r="X445" s="505"/>
      <c r="Y445" s="505"/>
      <c r="Z445" s="505"/>
      <c r="AA445" s="505"/>
      <c r="AB445" s="505"/>
      <c r="AC445" s="505"/>
      <c r="AD445" s="505"/>
      <c r="AE445" s="505"/>
      <c r="AF445" s="505"/>
      <c r="AG445" s="505"/>
      <c r="AH445" s="505"/>
      <c r="AI445" s="505"/>
      <c r="AJ445" s="505"/>
      <c r="AK445" s="505"/>
      <c r="AL445" s="505"/>
      <c r="AM445" s="505"/>
      <c r="AN445" s="505"/>
      <c r="AO445" s="505"/>
      <c r="AP445" s="505"/>
      <c r="AQ445" s="505"/>
      <c r="AR445" s="505"/>
      <c r="AS445" s="505"/>
      <c r="AT445" s="505"/>
      <c r="AU445" s="505"/>
      <c r="AV445" s="505"/>
      <c r="AW445" s="505"/>
      <c r="AX445" s="505"/>
      <c r="AY445" s="505"/>
      <c r="AZ445" s="505"/>
      <c r="BA445" s="505"/>
      <c r="BB445" s="505"/>
      <c r="BC445" s="505"/>
      <c r="BD445" s="505"/>
      <c r="BE445" s="505"/>
      <c r="BF445" s="505"/>
      <c r="BG445" s="505"/>
      <c r="BH445" s="505"/>
      <c r="BI445" s="505"/>
      <c r="BJ445" s="505"/>
      <c r="BK445" s="505"/>
      <c r="BL445" s="505"/>
      <c r="BM445" s="505"/>
      <c r="BN445" s="505"/>
      <c r="BO445" s="505"/>
      <c r="BP445" s="505"/>
      <c r="BQ445" s="505"/>
      <c r="BR445" s="505"/>
      <c r="BS445" s="505"/>
      <c r="BT445" s="505"/>
      <c r="BU445" s="505"/>
      <c r="BV445" s="505"/>
      <c r="BW445" s="505"/>
      <c r="BX445" s="505"/>
      <c r="BY445" s="505"/>
      <c r="BZ445" s="505"/>
      <c r="CA445" s="505"/>
      <c r="CB445" s="505"/>
      <c r="CC445" s="505"/>
      <c r="CD445" s="505"/>
      <c r="CE445" s="505"/>
      <c r="CF445" s="505"/>
      <c r="CG445" s="505"/>
      <c r="CH445" s="505"/>
      <c r="CI445" s="505"/>
      <c r="CJ445" s="505"/>
      <c r="CK445" s="505"/>
      <c r="CL445" s="505"/>
      <c r="CM445" s="505"/>
      <c r="CN445" s="505"/>
      <c r="CO445" s="505"/>
      <c r="CP445" s="505"/>
      <c r="CQ445" s="505"/>
      <c r="CR445" s="505"/>
      <c r="CS445" s="505"/>
      <c r="CT445" s="505"/>
      <c r="CU445" s="505"/>
      <c r="CV445" s="505"/>
      <c r="CW445" s="505"/>
      <c r="CX445" s="505"/>
      <c r="CY445" s="505"/>
      <c r="CZ445" s="505"/>
      <c r="DA445" s="505"/>
      <c r="DB445" s="505"/>
      <c r="DC445" s="505"/>
      <c r="DD445" s="505"/>
      <c r="DE445" s="505"/>
      <c r="DF445" s="505"/>
      <c r="DG445" s="505"/>
      <c r="DH445" s="505"/>
      <c r="DI445" s="505"/>
      <c r="DJ445" s="505"/>
      <c r="DK445" s="505"/>
      <c r="DL445" s="505"/>
      <c r="DM445" s="505"/>
      <c r="DN445" s="505"/>
      <c r="DO445" s="505"/>
      <c r="DP445" s="505"/>
    </row>
    <row r="446" spans="1:120" hidden="1" outlineLevel="1" x14ac:dyDescent="0.2">
      <c r="A446" s="517">
        <f t="shared" si="61"/>
        <v>39600</v>
      </c>
      <c r="B446" s="517" t="str">
        <f t="shared" si="58"/>
        <v>2Q08</v>
      </c>
      <c r="C446" s="517" t="str">
        <f t="shared" si="62"/>
        <v>3Q08</v>
      </c>
      <c r="D446" s="518">
        <f t="shared" si="63"/>
        <v>39675</v>
      </c>
      <c r="E446" s="518">
        <f t="shared" si="63"/>
        <v>39615</v>
      </c>
      <c r="F446" s="520">
        <v>4.6920000000000002</v>
      </c>
      <c r="G446" s="521">
        <f t="shared" si="59"/>
        <v>0.71000000000000041</v>
      </c>
      <c r="H446" s="521">
        <f t="shared" si="60"/>
        <v>0.7000000000000004</v>
      </c>
      <c r="I446" s="505"/>
      <c r="J446" s="505"/>
      <c r="K446" s="505"/>
      <c r="L446" s="505"/>
      <c r="M446" s="528"/>
      <c r="N446" s="505"/>
      <c r="O446" s="505"/>
      <c r="P446" s="505"/>
      <c r="Q446" s="505"/>
      <c r="R446" s="505"/>
      <c r="S446" s="505"/>
      <c r="T446" s="505"/>
      <c r="U446" s="505"/>
      <c r="V446" s="505"/>
      <c r="W446" s="505"/>
      <c r="X446" s="505"/>
      <c r="Y446" s="505"/>
      <c r="Z446" s="505"/>
      <c r="AA446" s="505"/>
      <c r="AB446" s="505"/>
      <c r="AC446" s="505"/>
      <c r="AD446" s="505"/>
      <c r="AE446" s="505"/>
      <c r="AF446" s="505"/>
      <c r="AG446" s="505"/>
      <c r="AH446" s="505"/>
      <c r="AI446" s="505"/>
      <c r="AJ446" s="505"/>
      <c r="AK446" s="505"/>
      <c r="AL446" s="505"/>
      <c r="AM446" s="505"/>
      <c r="AN446" s="505"/>
      <c r="AO446" s="505"/>
      <c r="AP446" s="505"/>
      <c r="AQ446" s="505"/>
      <c r="AR446" s="505"/>
      <c r="AS446" s="505"/>
      <c r="AT446" s="505"/>
      <c r="AU446" s="505"/>
      <c r="AV446" s="505"/>
      <c r="AW446" s="505"/>
      <c r="AX446" s="505"/>
      <c r="AY446" s="505"/>
      <c r="AZ446" s="505"/>
      <c r="BA446" s="505"/>
      <c r="BB446" s="505"/>
      <c r="BC446" s="505"/>
      <c r="BD446" s="505"/>
      <c r="BE446" s="505"/>
      <c r="BF446" s="505"/>
      <c r="BG446" s="505"/>
      <c r="BH446" s="505"/>
      <c r="BI446" s="505"/>
      <c r="BJ446" s="505"/>
      <c r="BK446" s="505"/>
      <c r="BL446" s="505"/>
      <c r="BM446" s="505"/>
      <c r="BN446" s="505"/>
      <c r="BO446" s="505"/>
      <c r="BP446" s="505"/>
      <c r="BQ446" s="505"/>
      <c r="BR446" s="505"/>
      <c r="BS446" s="505"/>
      <c r="BT446" s="505"/>
      <c r="BU446" s="505"/>
      <c r="BV446" s="505"/>
      <c r="BW446" s="505"/>
      <c r="BX446" s="505"/>
      <c r="BY446" s="505"/>
      <c r="BZ446" s="505"/>
      <c r="CA446" s="505"/>
      <c r="CB446" s="505"/>
      <c r="CC446" s="505"/>
      <c r="CD446" s="505"/>
      <c r="CE446" s="505"/>
      <c r="CF446" s="505"/>
      <c r="CG446" s="505"/>
      <c r="CH446" s="505"/>
      <c r="CI446" s="505"/>
      <c r="CJ446" s="505"/>
      <c r="CK446" s="505"/>
      <c r="CL446" s="505"/>
      <c r="CM446" s="505"/>
      <c r="CN446" s="505"/>
      <c r="CO446" s="505"/>
      <c r="CP446" s="505"/>
      <c r="CQ446" s="505"/>
      <c r="CR446" s="505"/>
      <c r="CS446" s="505"/>
      <c r="CT446" s="505"/>
      <c r="CU446" s="505"/>
      <c r="CV446" s="505"/>
      <c r="CW446" s="505"/>
      <c r="CX446" s="505"/>
      <c r="CY446" s="505"/>
      <c r="CZ446" s="505"/>
      <c r="DA446" s="505"/>
      <c r="DB446" s="505"/>
      <c r="DC446" s="505"/>
      <c r="DD446" s="505"/>
      <c r="DE446" s="505"/>
      <c r="DF446" s="505"/>
      <c r="DG446" s="505"/>
      <c r="DH446" s="505"/>
      <c r="DI446" s="505"/>
      <c r="DJ446" s="505"/>
      <c r="DK446" s="505"/>
      <c r="DL446" s="505"/>
      <c r="DM446" s="505"/>
      <c r="DN446" s="505"/>
      <c r="DO446" s="505"/>
      <c r="DP446" s="505"/>
    </row>
    <row r="447" spans="1:120" hidden="1" outlineLevel="1" x14ac:dyDescent="0.2">
      <c r="A447" s="517">
        <f t="shared" si="61"/>
        <v>39600</v>
      </c>
      <c r="B447" s="517" t="str">
        <f t="shared" si="58"/>
        <v>2Q08</v>
      </c>
      <c r="C447" s="517" t="str">
        <f t="shared" si="62"/>
        <v>3Q08</v>
      </c>
      <c r="D447" s="518">
        <f t="shared" si="63"/>
        <v>39682</v>
      </c>
      <c r="E447" s="518">
        <f t="shared" si="63"/>
        <v>39622</v>
      </c>
      <c r="F447" s="520">
        <v>4.6479999999999997</v>
      </c>
      <c r="G447" s="521">
        <f t="shared" si="59"/>
        <v>0.7000000000000004</v>
      </c>
      <c r="H447" s="521">
        <f t="shared" si="60"/>
        <v>0.7000000000000004</v>
      </c>
      <c r="I447" s="505"/>
      <c r="J447" s="505"/>
      <c r="K447" s="505"/>
      <c r="L447" s="505"/>
      <c r="M447" s="528"/>
      <c r="N447" s="505"/>
      <c r="O447" s="505"/>
      <c r="P447" s="505"/>
      <c r="Q447" s="505"/>
      <c r="R447" s="505"/>
      <c r="S447" s="505"/>
      <c r="T447" s="505"/>
      <c r="U447" s="505"/>
      <c r="V447" s="505"/>
      <c r="W447" s="505"/>
      <c r="X447" s="505"/>
      <c r="Y447" s="505"/>
      <c r="Z447" s="505"/>
      <c r="AA447" s="505"/>
      <c r="AB447" s="505"/>
      <c r="AC447" s="505"/>
      <c r="AD447" s="505"/>
      <c r="AE447" s="505"/>
      <c r="AF447" s="505"/>
      <c r="AG447" s="505"/>
      <c r="AH447" s="505"/>
      <c r="AI447" s="505"/>
      <c r="AJ447" s="505"/>
      <c r="AK447" s="505"/>
      <c r="AL447" s="505"/>
      <c r="AM447" s="505"/>
      <c r="AN447" s="505"/>
      <c r="AO447" s="505"/>
      <c r="AP447" s="505"/>
      <c r="AQ447" s="505"/>
      <c r="AR447" s="505"/>
      <c r="AS447" s="505"/>
      <c r="AT447" s="505"/>
      <c r="AU447" s="505"/>
      <c r="AV447" s="505"/>
      <c r="AW447" s="505"/>
      <c r="AX447" s="505"/>
      <c r="AY447" s="505"/>
      <c r="AZ447" s="505"/>
      <c r="BA447" s="505"/>
      <c r="BB447" s="505"/>
      <c r="BC447" s="505"/>
      <c r="BD447" s="505"/>
      <c r="BE447" s="505"/>
      <c r="BF447" s="505"/>
      <c r="BG447" s="505"/>
      <c r="BH447" s="505"/>
      <c r="BI447" s="505"/>
      <c r="BJ447" s="505"/>
      <c r="BK447" s="505"/>
      <c r="BL447" s="505"/>
      <c r="BM447" s="505"/>
      <c r="BN447" s="505"/>
      <c r="BO447" s="505"/>
      <c r="BP447" s="505"/>
      <c r="BQ447" s="505"/>
      <c r="BR447" s="505"/>
      <c r="BS447" s="505"/>
      <c r="BT447" s="505"/>
      <c r="BU447" s="505"/>
      <c r="BV447" s="505"/>
      <c r="BW447" s="505"/>
      <c r="BX447" s="505"/>
      <c r="BY447" s="505"/>
      <c r="BZ447" s="505"/>
      <c r="CA447" s="505"/>
      <c r="CB447" s="505"/>
      <c r="CC447" s="505"/>
      <c r="CD447" s="505"/>
      <c r="CE447" s="505"/>
      <c r="CF447" s="505"/>
      <c r="CG447" s="505"/>
      <c r="CH447" s="505"/>
      <c r="CI447" s="505"/>
      <c r="CJ447" s="505"/>
      <c r="CK447" s="505"/>
      <c r="CL447" s="505"/>
      <c r="CM447" s="505"/>
      <c r="CN447" s="505"/>
      <c r="CO447" s="505"/>
      <c r="CP447" s="505"/>
      <c r="CQ447" s="505"/>
      <c r="CR447" s="505"/>
      <c r="CS447" s="505"/>
      <c r="CT447" s="505"/>
      <c r="CU447" s="505"/>
      <c r="CV447" s="505"/>
      <c r="CW447" s="505"/>
      <c r="CX447" s="505"/>
      <c r="CY447" s="505"/>
      <c r="CZ447" s="505"/>
      <c r="DA447" s="505"/>
      <c r="DB447" s="505"/>
      <c r="DC447" s="505"/>
      <c r="DD447" s="505"/>
      <c r="DE447" s="505"/>
      <c r="DF447" s="505"/>
      <c r="DG447" s="505"/>
      <c r="DH447" s="505"/>
      <c r="DI447" s="505"/>
      <c r="DJ447" s="505"/>
      <c r="DK447" s="505"/>
      <c r="DL447" s="505"/>
      <c r="DM447" s="505"/>
      <c r="DN447" s="505"/>
      <c r="DO447" s="505"/>
      <c r="DP447" s="505"/>
    </row>
    <row r="448" spans="1:120" hidden="1" outlineLevel="1" x14ac:dyDescent="0.2">
      <c r="A448" s="517">
        <f t="shared" si="61"/>
        <v>39600</v>
      </c>
      <c r="B448" s="517" t="str">
        <f t="shared" si="58"/>
        <v>2Q08</v>
      </c>
      <c r="C448" s="517" t="str">
        <f t="shared" si="62"/>
        <v>3Q08</v>
      </c>
      <c r="D448" s="518">
        <f t="shared" si="63"/>
        <v>39689</v>
      </c>
      <c r="E448" s="518">
        <f t="shared" si="63"/>
        <v>39629</v>
      </c>
      <c r="F448" s="520">
        <v>4.6449999999999996</v>
      </c>
      <c r="G448" s="521">
        <f t="shared" si="59"/>
        <v>0.7000000000000004</v>
      </c>
      <c r="H448" s="521">
        <f t="shared" si="60"/>
        <v>0.72000000000000042</v>
      </c>
      <c r="I448" s="505"/>
      <c r="J448" s="505"/>
      <c r="K448" s="505"/>
      <c r="L448" s="505"/>
      <c r="M448" s="528"/>
      <c r="N448" s="505"/>
      <c r="O448" s="505"/>
      <c r="P448" s="505"/>
      <c r="Q448" s="505"/>
      <c r="R448" s="505"/>
      <c r="S448" s="505"/>
      <c r="T448" s="505"/>
      <c r="U448" s="505"/>
      <c r="V448" s="505"/>
      <c r="W448" s="505"/>
      <c r="X448" s="505"/>
      <c r="Y448" s="505"/>
      <c r="Z448" s="505"/>
      <c r="AA448" s="505"/>
      <c r="AB448" s="505"/>
      <c r="AC448" s="505"/>
      <c r="AD448" s="505"/>
      <c r="AE448" s="505"/>
      <c r="AF448" s="505"/>
      <c r="AG448" s="505"/>
      <c r="AH448" s="505"/>
      <c r="AI448" s="505"/>
      <c r="AJ448" s="505"/>
      <c r="AK448" s="505"/>
      <c r="AL448" s="505"/>
      <c r="AM448" s="505"/>
      <c r="AN448" s="505"/>
      <c r="AO448" s="505"/>
      <c r="AP448" s="505"/>
      <c r="AQ448" s="505"/>
      <c r="AR448" s="505"/>
      <c r="AS448" s="505"/>
      <c r="AT448" s="505"/>
      <c r="AU448" s="505"/>
      <c r="AV448" s="505"/>
      <c r="AW448" s="505"/>
      <c r="AX448" s="505"/>
      <c r="AY448" s="505"/>
      <c r="AZ448" s="505"/>
      <c r="BA448" s="505"/>
      <c r="BB448" s="505"/>
      <c r="BC448" s="505"/>
      <c r="BD448" s="505"/>
      <c r="BE448" s="505"/>
      <c r="BF448" s="505"/>
      <c r="BG448" s="505"/>
      <c r="BH448" s="505"/>
      <c r="BI448" s="505"/>
      <c r="BJ448" s="505"/>
      <c r="BK448" s="505"/>
      <c r="BL448" s="505"/>
      <c r="BM448" s="505"/>
      <c r="BN448" s="505"/>
      <c r="BO448" s="505"/>
      <c r="BP448" s="505"/>
      <c r="BQ448" s="505"/>
      <c r="BR448" s="505"/>
      <c r="BS448" s="505"/>
      <c r="BT448" s="505"/>
      <c r="BU448" s="505"/>
      <c r="BV448" s="505"/>
      <c r="BW448" s="505"/>
      <c r="BX448" s="505"/>
      <c r="BY448" s="505"/>
      <c r="BZ448" s="505"/>
      <c r="CA448" s="505"/>
      <c r="CB448" s="505"/>
      <c r="CC448" s="505"/>
      <c r="CD448" s="505"/>
      <c r="CE448" s="505"/>
      <c r="CF448" s="505"/>
      <c r="CG448" s="505"/>
      <c r="CH448" s="505"/>
      <c r="CI448" s="505"/>
      <c r="CJ448" s="505"/>
      <c r="CK448" s="505"/>
      <c r="CL448" s="505"/>
      <c r="CM448" s="505"/>
      <c r="CN448" s="505"/>
      <c r="CO448" s="505"/>
      <c r="CP448" s="505"/>
      <c r="CQ448" s="505"/>
      <c r="CR448" s="505"/>
      <c r="CS448" s="505"/>
      <c r="CT448" s="505"/>
      <c r="CU448" s="505"/>
      <c r="CV448" s="505"/>
      <c r="CW448" s="505"/>
      <c r="CX448" s="505"/>
      <c r="CY448" s="505"/>
      <c r="CZ448" s="505"/>
      <c r="DA448" s="505"/>
      <c r="DB448" s="505"/>
      <c r="DC448" s="505"/>
      <c r="DD448" s="505"/>
      <c r="DE448" s="505"/>
      <c r="DF448" s="505"/>
      <c r="DG448" s="505"/>
      <c r="DH448" s="505"/>
      <c r="DI448" s="505"/>
      <c r="DJ448" s="505"/>
      <c r="DK448" s="505"/>
      <c r="DL448" s="505"/>
      <c r="DM448" s="505"/>
      <c r="DN448" s="505"/>
      <c r="DO448" s="505"/>
      <c r="DP448" s="505"/>
    </row>
    <row r="449" spans="1:120" hidden="1" outlineLevel="1" x14ac:dyDescent="0.2">
      <c r="A449" s="517">
        <f t="shared" si="61"/>
        <v>39630</v>
      </c>
      <c r="B449" s="517" t="str">
        <f t="shared" si="58"/>
        <v>3Q08</v>
      </c>
      <c r="C449" s="517" t="str">
        <f t="shared" si="62"/>
        <v>3Q08</v>
      </c>
      <c r="D449" s="518">
        <f t="shared" si="63"/>
        <v>39696</v>
      </c>
      <c r="E449" s="518">
        <f t="shared" si="63"/>
        <v>39636</v>
      </c>
      <c r="F449" s="520">
        <v>4.7270000000000003</v>
      </c>
      <c r="G449" s="521">
        <f t="shared" si="59"/>
        <v>0.72000000000000042</v>
      </c>
      <c r="H449" s="521">
        <f t="shared" si="60"/>
        <v>0.73000000000000043</v>
      </c>
      <c r="I449" s="505"/>
      <c r="J449" s="505"/>
      <c r="K449" s="505"/>
      <c r="L449" s="505"/>
      <c r="M449" s="528"/>
      <c r="N449" s="505"/>
      <c r="O449" s="505"/>
      <c r="P449" s="505"/>
      <c r="Q449" s="505"/>
      <c r="R449" s="505"/>
      <c r="S449" s="505"/>
      <c r="T449" s="505"/>
      <c r="U449" s="505"/>
      <c r="V449" s="505"/>
      <c r="W449" s="505"/>
      <c r="X449" s="505"/>
      <c r="Y449" s="505"/>
      <c r="Z449" s="505"/>
      <c r="AA449" s="505"/>
      <c r="AB449" s="505"/>
      <c r="AC449" s="505"/>
      <c r="AD449" s="505"/>
      <c r="AE449" s="505"/>
      <c r="AF449" s="505"/>
      <c r="AG449" s="505"/>
      <c r="AH449" s="505"/>
      <c r="AI449" s="505"/>
      <c r="AJ449" s="505"/>
      <c r="AK449" s="505"/>
      <c r="AL449" s="505"/>
      <c r="AM449" s="505"/>
      <c r="AN449" s="505"/>
      <c r="AO449" s="505"/>
      <c r="AP449" s="505"/>
      <c r="AQ449" s="505"/>
      <c r="AR449" s="505"/>
      <c r="AS449" s="505"/>
      <c r="AT449" s="505"/>
      <c r="AU449" s="505"/>
      <c r="AV449" s="505"/>
      <c r="AW449" s="505"/>
      <c r="AX449" s="505"/>
      <c r="AY449" s="505"/>
      <c r="AZ449" s="505"/>
      <c r="BA449" s="505"/>
      <c r="BB449" s="505"/>
      <c r="BC449" s="505"/>
      <c r="BD449" s="505"/>
      <c r="BE449" s="505"/>
      <c r="BF449" s="505"/>
      <c r="BG449" s="505"/>
      <c r="BH449" s="505"/>
      <c r="BI449" s="505"/>
      <c r="BJ449" s="505"/>
      <c r="BK449" s="505"/>
      <c r="BL449" s="505"/>
      <c r="BM449" s="505"/>
      <c r="BN449" s="505"/>
      <c r="BO449" s="505"/>
      <c r="BP449" s="505"/>
      <c r="BQ449" s="505"/>
      <c r="BR449" s="505"/>
      <c r="BS449" s="505"/>
      <c r="BT449" s="505"/>
      <c r="BU449" s="505"/>
      <c r="BV449" s="505"/>
      <c r="BW449" s="505"/>
      <c r="BX449" s="505"/>
      <c r="BY449" s="505"/>
      <c r="BZ449" s="505"/>
      <c r="CA449" s="505"/>
      <c r="CB449" s="505"/>
      <c r="CC449" s="505"/>
      <c r="CD449" s="505"/>
      <c r="CE449" s="505"/>
      <c r="CF449" s="505"/>
      <c r="CG449" s="505"/>
      <c r="CH449" s="505"/>
      <c r="CI449" s="505"/>
      <c r="CJ449" s="505"/>
      <c r="CK449" s="505"/>
      <c r="CL449" s="505"/>
      <c r="CM449" s="505"/>
      <c r="CN449" s="505"/>
      <c r="CO449" s="505"/>
      <c r="CP449" s="505"/>
      <c r="CQ449" s="505"/>
      <c r="CR449" s="505"/>
      <c r="CS449" s="505"/>
      <c r="CT449" s="505"/>
      <c r="CU449" s="505"/>
      <c r="CV449" s="505"/>
      <c r="CW449" s="505"/>
      <c r="CX449" s="505"/>
      <c r="CY449" s="505"/>
      <c r="CZ449" s="505"/>
      <c r="DA449" s="505"/>
      <c r="DB449" s="505"/>
      <c r="DC449" s="505"/>
      <c r="DD449" s="505"/>
      <c r="DE449" s="505"/>
      <c r="DF449" s="505"/>
      <c r="DG449" s="505"/>
      <c r="DH449" s="505"/>
      <c r="DI449" s="505"/>
      <c r="DJ449" s="505"/>
      <c r="DK449" s="505"/>
      <c r="DL449" s="505"/>
      <c r="DM449" s="505"/>
      <c r="DN449" s="505"/>
      <c r="DO449" s="505"/>
      <c r="DP449" s="505"/>
    </row>
    <row r="450" spans="1:120" hidden="1" outlineLevel="1" x14ac:dyDescent="0.2">
      <c r="A450" s="517">
        <f t="shared" si="61"/>
        <v>39630</v>
      </c>
      <c r="B450" s="517" t="str">
        <f t="shared" si="58"/>
        <v>3Q08</v>
      </c>
      <c r="C450" s="517" t="str">
        <f t="shared" si="62"/>
        <v>3Q08</v>
      </c>
      <c r="D450" s="518">
        <f t="shared" si="63"/>
        <v>39703</v>
      </c>
      <c r="E450" s="518">
        <f t="shared" si="63"/>
        <v>39643</v>
      </c>
      <c r="F450" s="520">
        <v>4.7640000000000002</v>
      </c>
      <c r="G450" s="521">
        <f t="shared" si="59"/>
        <v>0.73000000000000043</v>
      </c>
      <c r="H450" s="521">
        <f t="shared" si="60"/>
        <v>0.72000000000000042</v>
      </c>
      <c r="I450" s="505"/>
      <c r="J450" s="505"/>
      <c r="K450" s="505"/>
      <c r="L450" s="505"/>
      <c r="M450" s="528"/>
      <c r="N450" s="505"/>
      <c r="O450" s="505"/>
      <c r="P450" s="505"/>
      <c r="Q450" s="505"/>
      <c r="R450" s="505"/>
      <c r="S450" s="505"/>
      <c r="T450" s="505"/>
      <c r="U450" s="505"/>
      <c r="V450" s="505"/>
      <c r="W450" s="505"/>
      <c r="X450" s="505"/>
      <c r="Y450" s="505"/>
      <c r="Z450" s="505"/>
      <c r="AA450" s="505"/>
      <c r="AB450" s="505"/>
      <c r="AC450" s="505"/>
      <c r="AD450" s="505"/>
      <c r="AE450" s="505"/>
      <c r="AF450" s="505"/>
      <c r="AG450" s="505"/>
      <c r="AH450" s="505"/>
      <c r="AI450" s="505"/>
      <c r="AJ450" s="505"/>
      <c r="AK450" s="505"/>
      <c r="AL450" s="505"/>
      <c r="AM450" s="505"/>
      <c r="AN450" s="505"/>
      <c r="AO450" s="505"/>
      <c r="AP450" s="505"/>
      <c r="AQ450" s="505"/>
      <c r="AR450" s="505"/>
      <c r="AS450" s="505"/>
      <c r="AT450" s="505"/>
      <c r="AU450" s="505"/>
      <c r="AV450" s="505"/>
      <c r="AW450" s="505"/>
      <c r="AX450" s="505"/>
      <c r="AY450" s="505"/>
      <c r="AZ450" s="505"/>
      <c r="BA450" s="505"/>
      <c r="BB450" s="505"/>
      <c r="BC450" s="505"/>
      <c r="BD450" s="505"/>
      <c r="BE450" s="505"/>
      <c r="BF450" s="505"/>
      <c r="BG450" s="505"/>
      <c r="BH450" s="505"/>
      <c r="BI450" s="505"/>
      <c r="BJ450" s="505"/>
      <c r="BK450" s="505"/>
      <c r="BL450" s="505"/>
      <c r="BM450" s="505"/>
      <c r="BN450" s="505"/>
      <c r="BO450" s="505"/>
      <c r="BP450" s="505"/>
      <c r="BQ450" s="505"/>
      <c r="BR450" s="505"/>
      <c r="BS450" s="505"/>
      <c r="BT450" s="505"/>
      <c r="BU450" s="505"/>
      <c r="BV450" s="505"/>
      <c r="BW450" s="505"/>
      <c r="BX450" s="505"/>
      <c r="BY450" s="505"/>
      <c r="BZ450" s="505"/>
      <c r="CA450" s="505"/>
      <c r="CB450" s="505"/>
      <c r="CC450" s="505"/>
      <c r="CD450" s="505"/>
      <c r="CE450" s="505"/>
      <c r="CF450" s="505"/>
      <c r="CG450" s="505"/>
      <c r="CH450" s="505"/>
      <c r="CI450" s="505"/>
      <c r="CJ450" s="505"/>
      <c r="CK450" s="505"/>
      <c r="CL450" s="505"/>
      <c r="CM450" s="505"/>
      <c r="CN450" s="505"/>
      <c r="CO450" s="505"/>
      <c r="CP450" s="505"/>
      <c r="CQ450" s="505"/>
      <c r="CR450" s="505"/>
      <c r="CS450" s="505"/>
      <c r="CT450" s="505"/>
      <c r="CU450" s="505"/>
      <c r="CV450" s="505"/>
      <c r="CW450" s="505"/>
      <c r="CX450" s="505"/>
      <c r="CY450" s="505"/>
      <c r="CZ450" s="505"/>
      <c r="DA450" s="505"/>
      <c r="DB450" s="505"/>
      <c r="DC450" s="505"/>
      <c r="DD450" s="505"/>
      <c r="DE450" s="505"/>
      <c r="DF450" s="505"/>
      <c r="DG450" s="505"/>
      <c r="DH450" s="505"/>
      <c r="DI450" s="505"/>
      <c r="DJ450" s="505"/>
      <c r="DK450" s="505"/>
      <c r="DL450" s="505"/>
      <c r="DM450" s="505"/>
      <c r="DN450" s="505"/>
      <c r="DO450" s="505"/>
      <c r="DP450" s="505"/>
    </row>
    <row r="451" spans="1:120" hidden="1" outlineLevel="1" x14ac:dyDescent="0.2">
      <c r="A451" s="517">
        <f t="shared" si="61"/>
        <v>39630</v>
      </c>
      <c r="B451" s="517" t="str">
        <f t="shared" si="58"/>
        <v>3Q08</v>
      </c>
      <c r="C451" s="517" t="str">
        <f t="shared" si="62"/>
        <v>3Q08</v>
      </c>
      <c r="D451" s="518">
        <f t="shared" si="63"/>
        <v>39710</v>
      </c>
      <c r="E451" s="518">
        <f t="shared" si="63"/>
        <v>39650</v>
      </c>
      <c r="F451" s="520">
        <v>4.718</v>
      </c>
      <c r="G451" s="521">
        <f t="shared" si="59"/>
        <v>0.72000000000000042</v>
      </c>
      <c r="H451" s="521">
        <f t="shared" si="60"/>
        <v>0.7000000000000004</v>
      </c>
      <c r="I451" s="505"/>
      <c r="J451" s="505"/>
      <c r="K451" s="505"/>
      <c r="L451" s="505"/>
      <c r="M451" s="528"/>
      <c r="N451" s="505"/>
      <c r="O451" s="505"/>
      <c r="P451" s="505"/>
      <c r="Q451" s="505"/>
      <c r="R451" s="505"/>
      <c r="S451" s="505"/>
      <c r="T451" s="505"/>
      <c r="U451" s="505"/>
      <c r="V451" s="505"/>
      <c r="W451" s="505"/>
      <c r="X451" s="505"/>
      <c r="Y451" s="505"/>
      <c r="Z451" s="505"/>
      <c r="AA451" s="505"/>
      <c r="AB451" s="505"/>
      <c r="AC451" s="505"/>
      <c r="AD451" s="505"/>
      <c r="AE451" s="505"/>
      <c r="AF451" s="505"/>
      <c r="AG451" s="505"/>
      <c r="AH451" s="505"/>
      <c r="AI451" s="505"/>
      <c r="AJ451" s="505"/>
      <c r="AK451" s="505"/>
      <c r="AL451" s="505"/>
      <c r="AM451" s="505"/>
      <c r="AN451" s="505"/>
      <c r="AO451" s="505"/>
      <c r="AP451" s="505"/>
      <c r="AQ451" s="505"/>
      <c r="AR451" s="505"/>
      <c r="AS451" s="505"/>
      <c r="AT451" s="505"/>
      <c r="AU451" s="505"/>
      <c r="AV451" s="505"/>
      <c r="AW451" s="505"/>
      <c r="AX451" s="505"/>
      <c r="AY451" s="505"/>
      <c r="AZ451" s="505"/>
      <c r="BA451" s="505"/>
      <c r="BB451" s="505"/>
      <c r="BC451" s="505"/>
      <c r="BD451" s="505"/>
      <c r="BE451" s="505"/>
      <c r="BF451" s="505"/>
      <c r="BG451" s="505"/>
      <c r="BH451" s="505"/>
      <c r="BI451" s="505"/>
      <c r="BJ451" s="505"/>
      <c r="BK451" s="505"/>
      <c r="BL451" s="505"/>
      <c r="BM451" s="505"/>
      <c r="BN451" s="505"/>
      <c r="BO451" s="505"/>
      <c r="BP451" s="505"/>
      <c r="BQ451" s="505"/>
      <c r="BR451" s="505"/>
      <c r="BS451" s="505"/>
      <c r="BT451" s="505"/>
      <c r="BU451" s="505"/>
      <c r="BV451" s="505"/>
      <c r="BW451" s="505"/>
      <c r="BX451" s="505"/>
      <c r="BY451" s="505"/>
      <c r="BZ451" s="505"/>
      <c r="CA451" s="505"/>
      <c r="CB451" s="505"/>
      <c r="CC451" s="505"/>
      <c r="CD451" s="505"/>
      <c r="CE451" s="505"/>
      <c r="CF451" s="505"/>
      <c r="CG451" s="505"/>
      <c r="CH451" s="505"/>
      <c r="CI451" s="505"/>
      <c r="CJ451" s="505"/>
      <c r="CK451" s="505"/>
      <c r="CL451" s="505"/>
      <c r="CM451" s="505"/>
      <c r="CN451" s="505"/>
      <c r="CO451" s="505"/>
      <c r="CP451" s="505"/>
      <c r="CQ451" s="505"/>
      <c r="CR451" s="505"/>
      <c r="CS451" s="505"/>
      <c r="CT451" s="505"/>
      <c r="CU451" s="505"/>
      <c r="CV451" s="505"/>
      <c r="CW451" s="505"/>
      <c r="CX451" s="505"/>
      <c r="CY451" s="505"/>
      <c r="CZ451" s="505"/>
      <c r="DA451" s="505"/>
      <c r="DB451" s="505"/>
      <c r="DC451" s="505"/>
      <c r="DD451" s="505"/>
      <c r="DE451" s="505"/>
      <c r="DF451" s="505"/>
      <c r="DG451" s="505"/>
      <c r="DH451" s="505"/>
      <c r="DI451" s="505"/>
      <c r="DJ451" s="505"/>
      <c r="DK451" s="505"/>
      <c r="DL451" s="505"/>
      <c r="DM451" s="505"/>
      <c r="DN451" s="505"/>
      <c r="DO451" s="505"/>
      <c r="DP451" s="505"/>
    </row>
    <row r="452" spans="1:120" hidden="1" outlineLevel="1" x14ac:dyDescent="0.2">
      <c r="A452" s="517">
        <f t="shared" si="61"/>
        <v>39630</v>
      </c>
      <c r="B452" s="517" t="str">
        <f t="shared" ref="B452:B515" si="64">VLOOKUP(MONTH(A452),$N$4:$O$16,2,FALSE) &amp; "Q" &amp; RIGHT(YEAR(A452),2)</f>
        <v>3Q08</v>
      </c>
      <c r="C452" s="517" t="str">
        <f t="shared" si="62"/>
        <v>3Q08</v>
      </c>
      <c r="D452" s="518">
        <f t="shared" si="63"/>
        <v>39717</v>
      </c>
      <c r="E452" s="518">
        <f t="shared" si="63"/>
        <v>39657</v>
      </c>
      <c r="F452" s="520">
        <v>4.6029999999999998</v>
      </c>
      <c r="G452" s="521">
        <f t="shared" ref="G452:G515" si="65">INDEX($I$4:$K$153,MATCH(F452,$I$4:$I$153,1),3)</f>
        <v>0.7000000000000004</v>
      </c>
      <c r="H452" s="521">
        <f t="shared" ref="H452:H515" si="66">G453</f>
        <v>0.68000000000000038</v>
      </c>
      <c r="I452" s="505"/>
      <c r="J452" s="505"/>
      <c r="K452" s="505"/>
      <c r="L452" s="505"/>
      <c r="M452" s="528"/>
      <c r="N452" s="505"/>
      <c r="O452" s="505"/>
      <c r="P452" s="505"/>
      <c r="Q452" s="505"/>
      <c r="R452" s="505"/>
      <c r="S452" s="505"/>
      <c r="T452" s="505"/>
      <c r="U452" s="505"/>
      <c r="V452" s="505"/>
      <c r="W452" s="505"/>
      <c r="X452" s="505"/>
      <c r="Y452" s="505"/>
      <c r="Z452" s="505"/>
      <c r="AA452" s="505"/>
      <c r="AB452" s="505"/>
      <c r="AC452" s="505"/>
      <c r="AD452" s="505"/>
      <c r="AE452" s="505"/>
      <c r="AF452" s="505"/>
      <c r="AG452" s="505"/>
      <c r="AH452" s="505"/>
      <c r="AI452" s="505"/>
      <c r="AJ452" s="505"/>
      <c r="AK452" s="505"/>
      <c r="AL452" s="505"/>
      <c r="AM452" s="505"/>
      <c r="AN452" s="505"/>
      <c r="AO452" s="505"/>
      <c r="AP452" s="505"/>
      <c r="AQ452" s="505"/>
      <c r="AR452" s="505"/>
      <c r="AS452" s="505"/>
      <c r="AT452" s="505"/>
      <c r="AU452" s="505"/>
      <c r="AV452" s="505"/>
      <c r="AW452" s="505"/>
      <c r="AX452" s="505"/>
      <c r="AY452" s="505"/>
      <c r="AZ452" s="505"/>
      <c r="BA452" s="505"/>
      <c r="BB452" s="505"/>
      <c r="BC452" s="505"/>
      <c r="BD452" s="505"/>
      <c r="BE452" s="505"/>
      <c r="BF452" s="505"/>
      <c r="BG452" s="505"/>
      <c r="BH452" s="505"/>
      <c r="BI452" s="505"/>
      <c r="BJ452" s="505"/>
      <c r="BK452" s="505"/>
      <c r="BL452" s="505"/>
      <c r="BM452" s="505"/>
      <c r="BN452" s="505"/>
      <c r="BO452" s="505"/>
      <c r="BP452" s="505"/>
      <c r="BQ452" s="505"/>
      <c r="BR452" s="505"/>
      <c r="BS452" s="505"/>
      <c r="BT452" s="505"/>
      <c r="BU452" s="505"/>
      <c r="BV452" s="505"/>
      <c r="BW452" s="505"/>
      <c r="BX452" s="505"/>
      <c r="BY452" s="505"/>
      <c r="BZ452" s="505"/>
      <c r="CA452" s="505"/>
      <c r="CB452" s="505"/>
      <c r="CC452" s="505"/>
      <c r="CD452" s="505"/>
      <c r="CE452" s="505"/>
      <c r="CF452" s="505"/>
      <c r="CG452" s="505"/>
      <c r="CH452" s="505"/>
      <c r="CI452" s="505"/>
      <c r="CJ452" s="505"/>
      <c r="CK452" s="505"/>
      <c r="CL452" s="505"/>
      <c r="CM452" s="505"/>
      <c r="CN452" s="505"/>
      <c r="CO452" s="505"/>
      <c r="CP452" s="505"/>
      <c r="CQ452" s="505"/>
      <c r="CR452" s="505"/>
      <c r="CS452" s="505"/>
      <c r="CT452" s="505"/>
      <c r="CU452" s="505"/>
      <c r="CV452" s="505"/>
      <c r="CW452" s="505"/>
      <c r="CX452" s="505"/>
      <c r="CY452" s="505"/>
      <c r="CZ452" s="505"/>
      <c r="DA452" s="505"/>
      <c r="DB452" s="505"/>
      <c r="DC452" s="505"/>
      <c r="DD452" s="505"/>
      <c r="DE452" s="505"/>
      <c r="DF452" s="505"/>
      <c r="DG452" s="505"/>
      <c r="DH452" s="505"/>
      <c r="DI452" s="505"/>
      <c r="DJ452" s="505"/>
      <c r="DK452" s="505"/>
      <c r="DL452" s="505"/>
      <c r="DM452" s="505"/>
      <c r="DN452" s="505"/>
      <c r="DO452" s="505"/>
      <c r="DP452" s="505"/>
    </row>
    <row r="453" spans="1:120" hidden="1" outlineLevel="1" x14ac:dyDescent="0.2">
      <c r="A453" s="517">
        <f t="shared" ref="A453:A516" si="67">DATE(YEAR(E453),MONTH(E453),1)</f>
        <v>39661</v>
      </c>
      <c r="B453" s="517" t="str">
        <f t="shared" si="64"/>
        <v>3Q08</v>
      </c>
      <c r="C453" s="517" t="str">
        <f t="shared" ref="C453:C516" si="68">VLOOKUP(MONTH(D453),$N$4:$O$16,2,FALSE) &amp; "Q" &amp; RIGHT(YEAR(D453),2)</f>
        <v>4Q08</v>
      </c>
      <c r="D453" s="518">
        <f t="shared" ref="D453:E516" si="69">D452+7</f>
        <v>39724</v>
      </c>
      <c r="E453" s="518">
        <f t="shared" si="69"/>
        <v>39664</v>
      </c>
      <c r="F453" s="520">
        <v>4.5019999999999998</v>
      </c>
      <c r="G453" s="521">
        <f t="shared" si="65"/>
        <v>0.68000000000000038</v>
      </c>
      <c r="H453" s="521">
        <f t="shared" si="66"/>
        <v>0.65000000000000036</v>
      </c>
      <c r="I453" s="505"/>
      <c r="J453" s="505"/>
      <c r="K453" s="505"/>
      <c r="L453" s="505"/>
      <c r="M453" s="528"/>
      <c r="N453" s="505"/>
      <c r="O453" s="505"/>
      <c r="P453" s="505"/>
      <c r="Q453" s="505"/>
      <c r="R453" s="505"/>
      <c r="S453" s="505"/>
      <c r="T453" s="505"/>
      <c r="U453" s="505"/>
      <c r="V453" s="505"/>
      <c r="W453" s="505"/>
      <c r="X453" s="505"/>
      <c r="Y453" s="505"/>
      <c r="Z453" s="505"/>
      <c r="AA453" s="505"/>
      <c r="AB453" s="505"/>
      <c r="AC453" s="505"/>
      <c r="AD453" s="505"/>
      <c r="AE453" s="505"/>
      <c r="AF453" s="505"/>
      <c r="AG453" s="505"/>
      <c r="AH453" s="505"/>
      <c r="AI453" s="505"/>
      <c r="AJ453" s="505"/>
      <c r="AK453" s="505"/>
      <c r="AL453" s="505"/>
      <c r="AM453" s="505"/>
      <c r="AN453" s="505"/>
      <c r="AO453" s="505"/>
      <c r="AP453" s="505"/>
      <c r="AQ453" s="505"/>
      <c r="AR453" s="505"/>
      <c r="AS453" s="505"/>
      <c r="AT453" s="505"/>
      <c r="AU453" s="505"/>
      <c r="AV453" s="505"/>
      <c r="AW453" s="505"/>
      <c r="AX453" s="505"/>
      <c r="AY453" s="505"/>
      <c r="AZ453" s="505"/>
      <c r="BA453" s="505"/>
      <c r="BB453" s="505"/>
      <c r="BC453" s="505"/>
      <c r="BD453" s="505"/>
      <c r="BE453" s="505"/>
      <c r="BF453" s="505"/>
      <c r="BG453" s="505"/>
      <c r="BH453" s="505"/>
      <c r="BI453" s="505"/>
      <c r="BJ453" s="505"/>
      <c r="BK453" s="505"/>
      <c r="BL453" s="505"/>
      <c r="BM453" s="505"/>
      <c r="BN453" s="505"/>
      <c r="BO453" s="505"/>
      <c r="BP453" s="505"/>
      <c r="BQ453" s="505"/>
      <c r="BR453" s="505"/>
      <c r="BS453" s="505"/>
      <c r="BT453" s="505"/>
      <c r="BU453" s="505"/>
      <c r="BV453" s="505"/>
      <c r="BW453" s="505"/>
      <c r="BX453" s="505"/>
      <c r="BY453" s="505"/>
      <c r="BZ453" s="505"/>
      <c r="CA453" s="505"/>
      <c r="CB453" s="505"/>
      <c r="CC453" s="505"/>
      <c r="CD453" s="505"/>
      <c r="CE453" s="505"/>
      <c r="CF453" s="505"/>
      <c r="CG453" s="505"/>
      <c r="CH453" s="505"/>
      <c r="CI453" s="505"/>
      <c r="CJ453" s="505"/>
      <c r="CK453" s="505"/>
      <c r="CL453" s="505"/>
      <c r="CM453" s="505"/>
      <c r="CN453" s="505"/>
      <c r="CO453" s="505"/>
      <c r="CP453" s="505"/>
      <c r="CQ453" s="505"/>
      <c r="CR453" s="505"/>
      <c r="CS453" s="505"/>
      <c r="CT453" s="505"/>
      <c r="CU453" s="505"/>
      <c r="CV453" s="505"/>
      <c r="CW453" s="505"/>
      <c r="CX453" s="505"/>
      <c r="CY453" s="505"/>
      <c r="CZ453" s="505"/>
      <c r="DA453" s="505"/>
      <c r="DB453" s="505"/>
      <c r="DC453" s="505"/>
      <c r="DD453" s="505"/>
      <c r="DE453" s="505"/>
      <c r="DF453" s="505"/>
      <c r="DG453" s="505"/>
      <c r="DH453" s="505"/>
      <c r="DI453" s="505"/>
      <c r="DJ453" s="505"/>
      <c r="DK453" s="505"/>
      <c r="DL453" s="505"/>
      <c r="DM453" s="505"/>
      <c r="DN453" s="505"/>
      <c r="DO453" s="505"/>
      <c r="DP453" s="505"/>
    </row>
    <row r="454" spans="1:120" hidden="1" outlineLevel="1" x14ac:dyDescent="0.2">
      <c r="A454" s="517">
        <f t="shared" si="67"/>
        <v>39661</v>
      </c>
      <c r="B454" s="517" t="str">
        <f t="shared" si="64"/>
        <v>3Q08</v>
      </c>
      <c r="C454" s="517" t="str">
        <f t="shared" si="68"/>
        <v>4Q08</v>
      </c>
      <c r="D454" s="518">
        <f t="shared" si="69"/>
        <v>39731</v>
      </c>
      <c r="E454" s="518">
        <f t="shared" si="69"/>
        <v>39671</v>
      </c>
      <c r="F454" s="520">
        <v>4.3529999999999998</v>
      </c>
      <c r="G454" s="521">
        <f t="shared" si="65"/>
        <v>0.65000000000000036</v>
      </c>
      <c r="H454" s="521">
        <f t="shared" si="66"/>
        <v>0.62000000000000033</v>
      </c>
      <c r="I454" s="505"/>
      <c r="J454" s="505"/>
      <c r="K454" s="505"/>
      <c r="L454" s="505"/>
      <c r="M454" s="528"/>
      <c r="N454" s="505"/>
      <c r="O454" s="505"/>
      <c r="P454" s="505"/>
      <c r="Q454" s="505"/>
      <c r="R454" s="505"/>
      <c r="S454" s="505"/>
      <c r="T454" s="505"/>
      <c r="U454" s="505"/>
      <c r="V454" s="505"/>
      <c r="W454" s="505"/>
      <c r="X454" s="505"/>
      <c r="Y454" s="505"/>
      <c r="Z454" s="505"/>
      <c r="AA454" s="505"/>
      <c r="AB454" s="505"/>
      <c r="AC454" s="505"/>
      <c r="AD454" s="505"/>
      <c r="AE454" s="505"/>
      <c r="AF454" s="505"/>
      <c r="AG454" s="505"/>
      <c r="AH454" s="505"/>
      <c r="AI454" s="505"/>
      <c r="AJ454" s="505"/>
      <c r="AK454" s="505"/>
      <c r="AL454" s="505"/>
      <c r="AM454" s="505"/>
      <c r="AN454" s="505"/>
      <c r="AO454" s="505"/>
      <c r="AP454" s="505"/>
      <c r="AQ454" s="505"/>
      <c r="AR454" s="505"/>
      <c r="AS454" s="505"/>
      <c r="AT454" s="505"/>
      <c r="AU454" s="505"/>
      <c r="AV454" s="505"/>
      <c r="AW454" s="505"/>
      <c r="AX454" s="505"/>
      <c r="AY454" s="505"/>
      <c r="AZ454" s="505"/>
      <c r="BA454" s="505"/>
      <c r="BB454" s="505"/>
      <c r="BC454" s="505"/>
      <c r="BD454" s="505"/>
      <c r="BE454" s="505"/>
      <c r="BF454" s="505"/>
      <c r="BG454" s="505"/>
      <c r="BH454" s="505"/>
      <c r="BI454" s="505"/>
      <c r="BJ454" s="505"/>
      <c r="BK454" s="505"/>
      <c r="BL454" s="505"/>
      <c r="BM454" s="505"/>
      <c r="BN454" s="505"/>
      <c r="BO454" s="505"/>
      <c r="BP454" s="505"/>
      <c r="BQ454" s="505"/>
      <c r="BR454" s="505"/>
      <c r="BS454" s="505"/>
      <c r="BT454" s="505"/>
      <c r="BU454" s="505"/>
      <c r="BV454" s="505"/>
      <c r="BW454" s="505"/>
      <c r="BX454" s="505"/>
      <c r="BY454" s="505"/>
      <c r="BZ454" s="505"/>
      <c r="CA454" s="505"/>
      <c r="CB454" s="505"/>
      <c r="CC454" s="505"/>
      <c r="CD454" s="505"/>
      <c r="CE454" s="505"/>
      <c r="CF454" s="505"/>
      <c r="CG454" s="505"/>
      <c r="CH454" s="505"/>
      <c r="CI454" s="505"/>
      <c r="CJ454" s="505"/>
      <c r="CK454" s="505"/>
      <c r="CL454" s="505"/>
      <c r="CM454" s="505"/>
      <c r="CN454" s="505"/>
      <c r="CO454" s="505"/>
      <c r="CP454" s="505"/>
      <c r="CQ454" s="505"/>
      <c r="CR454" s="505"/>
      <c r="CS454" s="505"/>
      <c r="CT454" s="505"/>
      <c r="CU454" s="505"/>
      <c r="CV454" s="505"/>
      <c r="CW454" s="505"/>
      <c r="CX454" s="505"/>
      <c r="CY454" s="505"/>
      <c r="CZ454" s="505"/>
      <c r="DA454" s="505"/>
      <c r="DB454" s="505"/>
      <c r="DC454" s="505"/>
      <c r="DD454" s="505"/>
      <c r="DE454" s="505"/>
      <c r="DF454" s="505"/>
      <c r="DG454" s="505"/>
      <c r="DH454" s="505"/>
      <c r="DI454" s="505"/>
      <c r="DJ454" s="505"/>
      <c r="DK454" s="505"/>
      <c r="DL454" s="505"/>
      <c r="DM454" s="505"/>
      <c r="DN454" s="505"/>
      <c r="DO454" s="505"/>
      <c r="DP454" s="505"/>
    </row>
    <row r="455" spans="1:120" hidden="1" outlineLevel="1" x14ac:dyDescent="0.2">
      <c r="A455" s="517">
        <f t="shared" si="67"/>
        <v>39661</v>
      </c>
      <c r="B455" s="517" t="str">
        <f t="shared" si="64"/>
        <v>3Q08</v>
      </c>
      <c r="C455" s="517" t="str">
        <f t="shared" si="68"/>
        <v>4Q08</v>
      </c>
      <c r="D455" s="518">
        <f t="shared" si="69"/>
        <v>39738</v>
      </c>
      <c r="E455" s="518">
        <f t="shared" si="69"/>
        <v>39678</v>
      </c>
      <c r="F455" s="520">
        <v>4.2069999999999999</v>
      </c>
      <c r="G455" s="521">
        <f t="shared" si="65"/>
        <v>0.62000000000000033</v>
      </c>
      <c r="H455" s="521">
        <f t="shared" si="66"/>
        <v>0.60000000000000031</v>
      </c>
      <c r="I455" s="505"/>
      <c r="J455" s="505"/>
      <c r="K455" s="505"/>
      <c r="L455" s="505"/>
      <c r="M455" s="528"/>
      <c r="N455" s="505"/>
      <c r="O455" s="505"/>
      <c r="P455" s="505"/>
      <c r="Q455" s="505"/>
      <c r="R455" s="505"/>
      <c r="S455" s="505"/>
      <c r="T455" s="505"/>
      <c r="U455" s="505"/>
      <c r="V455" s="505"/>
      <c r="W455" s="505"/>
      <c r="X455" s="505"/>
      <c r="Y455" s="505"/>
      <c r="Z455" s="505"/>
      <c r="AA455" s="505"/>
      <c r="AB455" s="505"/>
      <c r="AC455" s="505"/>
      <c r="AD455" s="505"/>
      <c r="AE455" s="505"/>
      <c r="AF455" s="505"/>
      <c r="AG455" s="505"/>
      <c r="AH455" s="505"/>
      <c r="AI455" s="505"/>
      <c r="AJ455" s="505"/>
      <c r="AK455" s="505"/>
      <c r="AL455" s="505"/>
      <c r="AM455" s="505"/>
      <c r="AN455" s="505"/>
      <c r="AO455" s="505"/>
      <c r="AP455" s="505"/>
      <c r="AQ455" s="505"/>
      <c r="AR455" s="505"/>
      <c r="AS455" s="505"/>
      <c r="AT455" s="505"/>
      <c r="AU455" s="505"/>
      <c r="AV455" s="505"/>
      <c r="AW455" s="505"/>
      <c r="AX455" s="505"/>
      <c r="AY455" s="505"/>
      <c r="AZ455" s="505"/>
      <c r="BA455" s="505"/>
      <c r="BB455" s="505"/>
      <c r="BC455" s="505"/>
      <c r="BD455" s="505"/>
      <c r="BE455" s="505"/>
      <c r="BF455" s="505"/>
      <c r="BG455" s="505"/>
      <c r="BH455" s="505"/>
      <c r="BI455" s="505"/>
      <c r="BJ455" s="505"/>
      <c r="BK455" s="505"/>
      <c r="BL455" s="505"/>
      <c r="BM455" s="505"/>
      <c r="BN455" s="505"/>
      <c r="BO455" s="505"/>
      <c r="BP455" s="505"/>
      <c r="BQ455" s="505"/>
      <c r="BR455" s="505"/>
      <c r="BS455" s="505"/>
      <c r="BT455" s="505"/>
      <c r="BU455" s="505"/>
      <c r="BV455" s="505"/>
      <c r="BW455" s="505"/>
      <c r="BX455" s="505"/>
      <c r="BY455" s="505"/>
      <c r="BZ455" s="505"/>
      <c r="CA455" s="505"/>
      <c r="CB455" s="505"/>
      <c r="CC455" s="505"/>
      <c r="CD455" s="505"/>
      <c r="CE455" s="505"/>
      <c r="CF455" s="505"/>
      <c r="CG455" s="505"/>
      <c r="CH455" s="505"/>
      <c r="CI455" s="505"/>
      <c r="CJ455" s="505"/>
      <c r="CK455" s="505"/>
      <c r="CL455" s="505"/>
      <c r="CM455" s="505"/>
      <c r="CN455" s="505"/>
      <c r="CO455" s="505"/>
      <c r="CP455" s="505"/>
      <c r="CQ455" s="505"/>
      <c r="CR455" s="505"/>
      <c r="CS455" s="505"/>
      <c r="CT455" s="505"/>
      <c r="CU455" s="505"/>
      <c r="CV455" s="505"/>
      <c r="CW455" s="505"/>
      <c r="CX455" s="505"/>
      <c r="CY455" s="505"/>
      <c r="CZ455" s="505"/>
      <c r="DA455" s="505"/>
      <c r="DB455" s="505"/>
      <c r="DC455" s="505"/>
      <c r="DD455" s="505"/>
      <c r="DE455" s="505"/>
      <c r="DF455" s="505"/>
      <c r="DG455" s="505"/>
      <c r="DH455" s="505"/>
      <c r="DI455" s="505"/>
      <c r="DJ455" s="505"/>
      <c r="DK455" s="505"/>
      <c r="DL455" s="505"/>
      <c r="DM455" s="505"/>
      <c r="DN455" s="505"/>
      <c r="DO455" s="505"/>
      <c r="DP455" s="505"/>
    </row>
    <row r="456" spans="1:120" hidden="1" outlineLevel="1" x14ac:dyDescent="0.2">
      <c r="A456" s="517">
        <f t="shared" si="67"/>
        <v>39661</v>
      </c>
      <c r="B456" s="517" t="str">
        <f t="shared" si="64"/>
        <v>3Q08</v>
      </c>
      <c r="C456" s="517" t="str">
        <f t="shared" si="68"/>
        <v>4Q08</v>
      </c>
      <c r="D456" s="518">
        <f t="shared" si="69"/>
        <v>39745</v>
      </c>
      <c r="E456" s="518">
        <f t="shared" si="69"/>
        <v>39685</v>
      </c>
      <c r="F456" s="520">
        <v>4.1449999999999996</v>
      </c>
      <c r="G456" s="521">
        <f t="shared" si="65"/>
        <v>0.60000000000000031</v>
      </c>
      <c r="H456" s="521">
        <f t="shared" si="66"/>
        <v>0.60000000000000031</v>
      </c>
      <c r="I456" s="505"/>
      <c r="J456" s="505"/>
      <c r="K456" s="505"/>
      <c r="L456" s="505"/>
      <c r="M456" s="528"/>
      <c r="N456" s="505"/>
      <c r="O456" s="505"/>
      <c r="P456" s="505"/>
      <c r="Q456" s="505"/>
      <c r="R456" s="505"/>
      <c r="S456" s="505"/>
      <c r="T456" s="505"/>
      <c r="U456" s="505"/>
      <c r="V456" s="505"/>
      <c r="W456" s="505"/>
      <c r="X456" s="505"/>
      <c r="Y456" s="505"/>
      <c r="Z456" s="505"/>
      <c r="AA456" s="505"/>
      <c r="AB456" s="505"/>
      <c r="AC456" s="505"/>
      <c r="AD456" s="505"/>
      <c r="AE456" s="505"/>
      <c r="AF456" s="505"/>
      <c r="AG456" s="505"/>
      <c r="AH456" s="505"/>
      <c r="AI456" s="505"/>
      <c r="AJ456" s="505"/>
      <c r="AK456" s="505"/>
      <c r="AL456" s="505"/>
      <c r="AM456" s="505"/>
      <c r="AN456" s="505"/>
      <c r="AO456" s="505"/>
      <c r="AP456" s="505"/>
      <c r="AQ456" s="505"/>
      <c r="AR456" s="505"/>
      <c r="AS456" s="505"/>
      <c r="AT456" s="505"/>
      <c r="AU456" s="505"/>
      <c r="AV456" s="505"/>
      <c r="AW456" s="505"/>
      <c r="AX456" s="505"/>
      <c r="AY456" s="505"/>
      <c r="AZ456" s="505"/>
      <c r="BA456" s="505"/>
      <c r="BB456" s="505"/>
      <c r="BC456" s="505"/>
      <c r="BD456" s="505"/>
      <c r="BE456" s="505"/>
      <c r="BF456" s="505"/>
      <c r="BG456" s="505"/>
      <c r="BH456" s="505"/>
      <c r="BI456" s="505"/>
      <c r="BJ456" s="505"/>
      <c r="BK456" s="505"/>
      <c r="BL456" s="505"/>
      <c r="BM456" s="505"/>
      <c r="BN456" s="505"/>
      <c r="BO456" s="505"/>
      <c r="BP456" s="505"/>
      <c r="BQ456" s="505"/>
      <c r="BR456" s="505"/>
      <c r="BS456" s="505"/>
      <c r="BT456" s="505"/>
      <c r="BU456" s="505"/>
      <c r="BV456" s="505"/>
      <c r="BW456" s="505"/>
      <c r="BX456" s="505"/>
      <c r="BY456" s="505"/>
      <c r="BZ456" s="505"/>
      <c r="CA456" s="505"/>
      <c r="CB456" s="505"/>
      <c r="CC456" s="505"/>
      <c r="CD456" s="505"/>
      <c r="CE456" s="505"/>
      <c r="CF456" s="505"/>
      <c r="CG456" s="505"/>
      <c r="CH456" s="505"/>
      <c r="CI456" s="505"/>
      <c r="CJ456" s="505"/>
      <c r="CK456" s="505"/>
      <c r="CL456" s="505"/>
      <c r="CM456" s="505"/>
      <c r="CN456" s="505"/>
      <c r="CO456" s="505"/>
      <c r="CP456" s="505"/>
      <c r="CQ456" s="505"/>
      <c r="CR456" s="505"/>
      <c r="CS456" s="505"/>
      <c r="CT456" s="505"/>
      <c r="CU456" s="505"/>
      <c r="CV456" s="505"/>
      <c r="CW456" s="505"/>
      <c r="CX456" s="505"/>
      <c r="CY456" s="505"/>
      <c r="CZ456" s="505"/>
      <c r="DA456" s="505"/>
      <c r="DB456" s="505"/>
      <c r="DC456" s="505"/>
      <c r="DD456" s="505"/>
      <c r="DE456" s="505"/>
      <c r="DF456" s="505"/>
      <c r="DG456" s="505"/>
      <c r="DH456" s="505"/>
      <c r="DI456" s="505"/>
      <c r="DJ456" s="505"/>
      <c r="DK456" s="505"/>
      <c r="DL456" s="505"/>
      <c r="DM456" s="505"/>
      <c r="DN456" s="505"/>
      <c r="DO456" s="505"/>
      <c r="DP456" s="505"/>
    </row>
    <row r="457" spans="1:120" hidden="1" outlineLevel="1" x14ac:dyDescent="0.2">
      <c r="A457" s="517">
        <f t="shared" si="67"/>
        <v>39692</v>
      </c>
      <c r="B457" s="517" t="str">
        <f t="shared" si="64"/>
        <v>3Q08</v>
      </c>
      <c r="C457" s="517" t="str">
        <f t="shared" si="68"/>
        <v>4Q08</v>
      </c>
      <c r="D457" s="518">
        <f t="shared" si="69"/>
        <v>39752</v>
      </c>
      <c r="E457" s="518">
        <f t="shared" si="69"/>
        <v>39692</v>
      </c>
      <c r="F457" s="520">
        <v>4.1210000000000004</v>
      </c>
      <c r="G457" s="521">
        <f t="shared" si="65"/>
        <v>0.60000000000000031</v>
      </c>
      <c r="H457" s="521">
        <f t="shared" si="66"/>
        <v>0.5900000000000003</v>
      </c>
      <c r="I457" s="505"/>
      <c r="J457" s="505"/>
      <c r="K457" s="505"/>
      <c r="L457" s="505"/>
      <c r="M457" s="528"/>
      <c r="N457" s="505"/>
      <c r="O457" s="505"/>
      <c r="P457" s="505"/>
      <c r="Q457" s="505"/>
      <c r="R457" s="505"/>
      <c r="S457" s="505"/>
      <c r="T457" s="505"/>
      <c r="U457" s="505"/>
      <c r="V457" s="505"/>
      <c r="W457" s="505"/>
      <c r="X457" s="505"/>
      <c r="Y457" s="505"/>
      <c r="Z457" s="505"/>
      <c r="AA457" s="505"/>
      <c r="AB457" s="505"/>
      <c r="AC457" s="505"/>
      <c r="AD457" s="505"/>
      <c r="AE457" s="505"/>
      <c r="AF457" s="505"/>
      <c r="AG457" s="505"/>
      <c r="AH457" s="505"/>
      <c r="AI457" s="505"/>
      <c r="AJ457" s="505"/>
      <c r="AK457" s="505"/>
      <c r="AL457" s="505"/>
      <c r="AM457" s="505"/>
      <c r="AN457" s="505"/>
      <c r="AO457" s="505"/>
      <c r="AP457" s="505"/>
      <c r="AQ457" s="505"/>
      <c r="AR457" s="505"/>
      <c r="AS457" s="505"/>
      <c r="AT457" s="505"/>
      <c r="AU457" s="505"/>
      <c r="AV457" s="505"/>
      <c r="AW457" s="505"/>
      <c r="AX457" s="505"/>
      <c r="AY457" s="505"/>
      <c r="AZ457" s="505"/>
      <c r="BA457" s="505"/>
      <c r="BB457" s="505"/>
      <c r="BC457" s="505"/>
      <c r="BD457" s="505"/>
      <c r="BE457" s="505"/>
      <c r="BF457" s="505"/>
      <c r="BG457" s="505"/>
      <c r="BH457" s="505"/>
      <c r="BI457" s="505"/>
      <c r="BJ457" s="505"/>
      <c r="BK457" s="505"/>
      <c r="BL457" s="505"/>
      <c r="BM457" s="505"/>
      <c r="BN457" s="505"/>
      <c r="BO457" s="505"/>
      <c r="BP457" s="505"/>
      <c r="BQ457" s="505"/>
      <c r="BR457" s="505"/>
      <c r="BS457" s="505"/>
      <c r="BT457" s="505"/>
      <c r="BU457" s="505"/>
      <c r="BV457" s="505"/>
      <c r="BW457" s="505"/>
      <c r="BX457" s="505"/>
      <c r="BY457" s="505"/>
      <c r="BZ457" s="505"/>
      <c r="CA457" s="505"/>
      <c r="CB457" s="505"/>
      <c r="CC457" s="505"/>
      <c r="CD457" s="505"/>
      <c r="CE457" s="505"/>
      <c r="CF457" s="505"/>
      <c r="CG457" s="505"/>
      <c r="CH457" s="505"/>
      <c r="CI457" s="505"/>
      <c r="CJ457" s="505"/>
      <c r="CK457" s="505"/>
      <c r="CL457" s="505"/>
      <c r="CM457" s="505"/>
      <c r="CN457" s="505"/>
      <c r="CO457" s="505"/>
      <c r="CP457" s="505"/>
      <c r="CQ457" s="505"/>
      <c r="CR457" s="505"/>
      <c r="CS457" s="505"/>
      <c r="CT457" s="505"/>
      <c r="CU457" s="505"/>
      <c r="CV457" s="505"/>
      <c r="CW457" s="505"/>
      <c r="CX457" s="505"/>
      <c r="CY457" s="505"/>
      <c r="CZ457" s="505"/>
      <c r="DA457" s="505"/>
      <c r="DB457" s="505"/>
      <c r="DC457" s="505"/>
      <c r="DD457" s="505"/>
      <c r="DE457" s="505"/>
      <c r="DF457" s="505"/>
      <c r="DG457" s="505"/>
      <c r="DH457" s="505"/>
      <c r="DI457" s="505"/>
      <c r="DJ457" s="505"/>
      <c r="DK457" s="505"/>
      <c r="DL457" s="505"/>
      <c r="DM457" s="505"/>
      <c r="DN457" s="505"/>
      <c r="DO457" s="505"/>
      <c r="DP457" s="505"/>
    </row>
    <row r="458" spans="1:120" hidden="1" outlineLevel="1" x14ac:dyDescent="0.2">
      <c r="A458" s="517">
        <f t="shared" si="67"/>
        <v>39692</v>
      </c>
      <c r="B458" s="517" t="str">
        <f t="shared" si="64"/>
        <v>3Q08</v>
      </c>
      <c r="C458" s="517" t="str">
        <f t="shared" si="68"/>
        <v>4Q08</v>
      </c>
      <c r="D458" s="518">
        <f t="shared" si="69"/>
        <v>39759</v>
      </c>
      <c r="E458" s="518">
        <f t="shared" si="69"/>
        <v>39699</v>
      </c>
      <c r="F458" s="520">
        <v>4.0590000000000002</v>
      </c>
      <c r="G458" s="521">
        <f t="shared" si="65"/>
        <v>0.5900000000000003</v>
      </c>
      <c r="H458" s="521">
        <f t="shared" si="66"/>
        <v>0.58000000000000029</v>
      </c>
      <c r="I458" s="505"/>
      <c r="J458" s="505"/>
      <c r="K458" s="505"/>
      <c r="L458" s="505"/>
      <c r="M458" s="528"/>
      <c r="N458" s="505"/>
      <c r="O458" s="505"/>
      <c r="P458" s="505"/>
      <c r="Q458" s="505"/>
      <c r="R458" s="505"/>
      <c r="S458" s="505"/>
      <c r="T458" s="505"/>
      <c r="U458" s="505"/>
      <c r="V458" s="505"/>
      <c r="W458" s="505"/>
      <c r="X458" s="505"/>
      <c r="Y458" s="505"/>
      <c r="Z458" s="505"/>
      <c r="AA458" s="505"/>
      <c r="AB458" s="505"/>
      <c r="AC458" s="505"/>
      <c r="AD458" s="505"/>
      <c r="AE458" s="505"/>
      <c r="AF458" s="505"/>
      <c r="AG458" s="505"/>
      <c r="AH458" s="505"/>
      <c r="AI458" s="505"/>
      <c r="AJ458" s="505"/>
      <c r="AK458" s="505"/>
      <c r="AL458" s="505"/>
      <c r="AM458" s="505"/>
      <c r="AN458" s="505"/>
      <c r="AO458" s="505"/>
      <c r="AP458" s="505"/>
      <c r="AQ458" s="505"/>
      <c r="AR458" s="505"/>
      <c r="AS458" s="505"/>
      <c r="AT458" s="505"/>
      <c r="AU458" s="505"/>
      <c r="AV458" s="505"/>
      <c r="AW458" s="505"/>
      <c r="AX458" s="505"/>
      <c r="AY458" s="505"/>
      <c r="AZ458" s="505"/>
      <c r="BA458" s="505"/>
      <c r="BB458" s="505"/>
      <c r="BC458" s="505"/>
      <c r="BD458" s="505"/>
      <c r="BE458" s="505"/>
      <c r="BF458" s="505"/>
      <c r="BG458" s="505"/>
      <c r="BH458" s="505"/>
      <c r="BI458" s="505"/>
      <c r="BJ458" s="505"/>
      <c r="BK458" s="505"/>
      <c r="BL458" s="505"/>
      <c r="BM458" s="505"/>
      <c r="BN458" s="505"/>
      <c r="BO458" s="505"/>
      <c r="BP458" s="505"/>
      <c r="BQ458" s="505"/>
      <c r="BR458" s="505"/>
      <c r="BS458" s="505"/>
      <c r="BT458" s="505"/>
      <c r="BU458" s="505"/>
      <c r="BV458" s="505"/>
      <c r="BW458" s="505"/>
      <c r="BX458" s="505"/>
      <c r="BY458" s="505"/>
      <c r="BZ458" s="505"/>
      <c r="CA458" s="505"/>
      <c r="CB458" s="505"/>
      <c r="CC458" s="505"/>
      <c r="CD458" s="505"/>
      <c r="CE458" s="505"/>
      <c r="CF458" s="505"/>
      <c r="CG458" s="505"/>
      <c r="CH458" s="505"/>
      <c r="CI458" s="505"/>
      <c r="CJ458" s="505"/>
      <c r="CK458" s="505"/>
      <c r="CL458" s="505"/>
      <c r="CM458" s="505"/>
      <c r="CN458" s="505"/>
      <c r="CO458" s="505"/>
      <c r="CP458" s="505"/>
      <c r="CQ458" s="505"/>
      <c r="CR458" s="505"/>
      <c r="CS458" s="505"/>
      <c r="CT458" s="505"/>
      <c r="CU458" s="505"/>
      <c r="CV458" s="505"/>
      <c r="CW458" s="505"/>
      <c r="CX458" s="505"/>
      <c r="CY458" s="505"/>
      <c r="CZ458" s="505"/>
      <c r="DA458" s="505"/>
      <c r="DB458" s="505"/>
      <c r="DC458" s="505"/>
      <c r="DD458" s="505"/>
      <c r="DE458" s="505"/>
      <c r="DF458" s="505"/>
      <c r="DG458" s="505"/>
      <c r="DH458" s="505"/>
      <c r="DI458" s="505"/>
      <c r="DJ458" s="505"/>
      <c r="DK458" s="505"/>
      <c r="DL458" s="505"/>
      <c r="DM458" s="505"/>
      <c r="DN458" s="505"/>
      <c r="DO458" s="505"/>
      <c r="DP458" s="505"/>
    </row>
    <row r="459" spans="1:120" hidden="1" outlineLevel="1" x14ac:dyDescent="0.2">
      <c r="A459" s="517">
        <f t="shared" si="67"/>
        <v>39692</v>
      </c>
      <c r="B459" s="517" t="str">
        <f t="shared" si="64"/>
        <v>3Q08</v>
      </c>
      <c r="C459" s="517" t="str">
        <f t="shared" si="68"/>
        <v>4Q08</v>
      </c>
      <c r="D459" s="518">
        <f t="shared" si="69"/>
        <v>39766</v>
      </c>
      <c r="E459" s="518">
        <f t="shared" si="69"/>
        <v>39706</v>
      </c>
      <c r="F459" s="520">
        <v>4.0229999999999997</v>
      </c>
      <c r="G459" s="521">
        <f t="shared" si="65"/>
        <v>0.58000000000000029</v>
      </c>
      <c r="H459" s="521">
        <f t="shared" si="66"/>
        <v>0.57000000000000028</v>
      </c>
      <c r="I459" s="505"/>
      <c r="J459" s="505"/>
      <c r="K459" s="505"/>
      <c r="L459" s="505"/>
      <c r="M459" s="528"/>
      <c r="N459" s="505"/>
      <c r="O459" s="505"/>
      <c r="P459" s="505"/>
      <c r="Q459" s="505"/>
      <c r="R459" s="505"/>
      <c r="S459" s="505"/>
      <c r="T459" s="505"/>
      <c r="U459" s="505"/>
      <c r="V459" s="505"/>
      <c r="W459" s="505"/>
      <c r="X459" s="505"/>
      <c r="Y459" s="505"/>
      <c r="Z459" s="505"/>
      <c r="AA459" s="505"/>
      <c r="AB459" s="505"/>
      <c r="AC459" s="505"/>
      <c r="AD459" s="505"/>
      <c r="AE459" s="505"/>
      <c r="AF459" s="505"/>
      <c r="AG459" s="505"/>
      <c r="AH459" s="505"/>
      <c r="AI459" s="505"/>
      <c r="AJ459" s="505"/>
      <c r="AK459" s="505"/>
      <c r="AL459" s="505"/>
      <c r="AM459" s="505"/>
      <c r="AN459" s="505"/>
      <c r="AO459" s="505"/>
      <c r="AP459" s="505"/>
      <c r="AQ459" s="505"/>
      <c r="AR459" s="505"/>
      <c r="AS459" s="505"/>
      <c r="AT459" s="505"/>
      <c r="AU459" s="505"/>
      <c r="AV459" s="505"/>
      <c r="AW459" s="505"/>
      <c r="AX459" s="505"/>
      <c r="AY459" s="505"/>
      <c r="AZ459" s="505"/>
      <c r="BA459" s="505"/>
      <c r="BB459" s="505"/>
      <c r="BC459" s="505"/>
      <c r="BD459" s="505"/>
      <c r="BE459" s="505"/>
      <c r="BF459" s="505"/>
      <c r="BG459" s="505"/>
      <c r="BH459" s="505"/>
      <c r="BI459" s="505"/>
      <c r="BJ459" s="505"/>
      <c r="BK459" s="505"/>
      <c r="BL459" s="505"/>
      <c r="BM459" s="505"/>
      <c r="BN459" s="505"/>
      <c r="BO459" s="505"/>
      <c r="BP459" s="505"/>
      <c r="BQ459" s="505"/>
      <c r="BR459" s="505"/>
      <c r="BS459" s="505"/>
      <c r="BT459" s="505"/>
      <c r="BU459" s="505"/>
      <c r="BV459" s="505"/>
      <c r="BW459" s="505"/>
      <c r="BX459" s="505"/>
      <c r="BY459" s="505"/>
      <c r="BZ459" s="505"/>
      <c r="CA459" s="505"/>
      <c r="CB459" s="505"/>
      <c r="CC459" s="505"/>
      <c r="CD459" s="505"/>
      <c r="CE459" s="505"/>
      <c r="CF459" s="505"/>
      <c r="CG459" s="505"/>
      <c r="CH459" s="505"/>
      <c r="CI459" s="505"/>
      <c r="CJ459" s="505"/>
      <c r="CK459" s="505"/>
      <c r="CL459" s="505"/>
      <c r="CM459" s="505"/>
      <c r="CN459" s="505"/>
      <c r="CO459" s="505"/>
      <c r="CP459" s="505"/>
      <c r="CQ459" s="505"/>
      <c r="CR459" s="505"/>
      <c r="CS459" s="505"/>
      <c r="CT459" s="505"/>
      <c r="CU459" s="505"/>
      <c r="CV459" s="505"/>
      <c r="CW459" s="505"/>
      <c r="CX459" s="505"/>
      <c r="CY459" s="505"/>
      <c r="CZ459" s="505"/>
      <c r="DA459" s="505"/>
      <c r="DB459" s="505"/>
      <c r="DC459" s="505"/>
      <c r="DD459" s="505"/>
      <c r="DE459" s="505"/>
      <c r="DF459" s="505"/>
      <c r="DG459" s="505"/>
      <c r="DH459" s="505"/>
      <c r="DI459" s="505"/>
      <c r="DJ459" s="505"/>
      <c r="DK459" s="505"/>
      <c r="DL459" s="505"/>
      <c r="DM459" s="505"/>
      <c r="DN459" s="505"/>
      <c r="DO459" s="505"/>
      <c r="DP459" s="505"/>
    </row>
    <row r="460" spans="1:120" hidden="1" outlineLevel="1" x14ac:dyDescent="0.2">
      <c r="A460" s="517">
        <f t="shared" si="67"/>
        <v>39692</v>
      </c>
      <c r="B460" s="517" t="str">
        <f t="shared" si="64"/>
        <v>3Q08</v>
      </c>
      <c r="C460" s="517" t="str">
        <f t="shared" si="68"/>
        <v>4Q08</v>
      </c>
      <c r="D460" s="518">
        <f t="shared" si="69"/>
        <v>39773</v>
      </c>
      <c r="E460" s="518">
        <f t="shared" si="69"/>
        <v>39713</v>
      </c>
      <c r="F460" s="520">
        <v>3.9580000000000002</v>
      </c>
      <c r="G460" s="521">
        <f t="shared" si="65"/>
        <v>0.57000000000000028</v>
      </c>
      <c r="H460" s="521">
        <f t="shared" si="66"/>
        <v>0.57000000000000028</v>
      </c>
      <c r="I460" s="505"/>
      <c r="J460" s="505"/>
      <c r="K460" s="505"/>
      <c r="L460" s="505"/>
      <c r="M460" s="528"/>
      <c r="N460" s="505"/>
      <c r="O460" s="505"/>
      <c r="P460" s="505"/>
      <c r="Q460" s="505"/>
      <c r="R460" s="505"/>
      <c r="S460" s="505"/>
      <c r="T460" s="505"/>
      <c r="U460" s="505"/>
      <c r="V460" s="505"/>
      <c r="W460" s="505"/>
      <c r="X460" s="505"/>
      <c r="Y460" s="505"/>
      <c r="Z460" s="505"/>
      <c r="AA460" s="505"/>
      <c r="AB460" s="505"/>
      <c r="AC460" s="505"/>
      <c r="AD460" s="505"/>
      <c r="AE460" s="505"/>
      <c r="AF460" s="505"/>
      <c r="AG460" s="505"/>
      <c r="AH460" s="505"/>
      <c r="AI460" s="505"/>
      <c r="AJ460" s="505"/>
      <c r="AK460" s="505"/>
      <c r="AL460" s="505"/>
      <c r="AM460" s="505"/>
      <c r="AN460" s="505"/>
      <c r="AO460" s="505"/>
      <c r="AP460" s="505"/>
      <c r="AQ460" s="505"/>
      <c r="AR460" s="505"/>
      <c r="AS460" s="505"/>
      <c r="AT460" s="505"/>
      <c r="AU460" s="505"/>
      <c r="AV460" s="505"/>
      <c r="AW460" s="505"/>
      <c r="AX460" s="505"/>
      <c r="AY460" s="505"/>
      <c r="AZ460" s="505"/>
      <c r="BA460" s="505"/>
      <c r="BB460" s="505"/>
      <c r="BC460" s="505"/>
      <c r="BD460" s="505"/>
      <c r="BE460" s="505"/>
      <c r="BF460" s="505"/>
      <c r="BG460" s="505"/>
      <c r="BH460" s="505"/>
      <c r="BI460" s="505"/>
      <c r="BJ460" s="505"/>
      <c r="BK460" s="505"/>
      <c r="BL460" s="505"/>
      <c r="BM460" s="505"/>
      <c r="BN460" s="505"/>
      <c r="BO460" s="505"/>
      <c r="BP460" s="505"/>
      <c r="BQ460" s="505"/>
      <c r="BR460" s="505"/>
      <c r="BS460" s="505"/>
      <c r="BT460" s="505"/>
      <c r="BU460" s="505"/>
      <c r="BV460" s="505"/>
      <c r="BW460" s="505"/>
      <c r="BX460" s="505"/>
      <c r="BY460" s="505"/>
      <c r="BZ460" s="505"/>
      <c r="CA460" s="505"/>
      <c r="CB460" s="505"/>
      <c r="CC460" s="505"/>
      <c r="CD460" s="505"/>
      <c r="CE460" s="505"/>
      <c r="CF460" s="505"/>
      <c r="CG460" s="505"/>
      <c r="CH460" s="505"/>
      <c r="CI460" s="505"/>
      <c r="CJ460" s="505"/>
      <c r="CK460" s="505"/>
      <c r="CL460" s="505"/>
      <c r="CM460" s="505"/>
      <c r="CN460" s="505"/>
      <c r="CO460" s="505"/>
      <c r="CP460" s="505"/>
      <c r="CQ460" s="505"/>
      <c r="CR460" s="505"/>
      <c r="CS460" s="505"/>
      <c r="CT460" s="505"/>
      <c r="CU460" s="505"/>
      <c r="CV460" s="505"/>
      <c r="CW460" s="505"/>
      <c r="CX460" s="505"/>
      <c r="CY460" s="505"/>
      <c r="CZ460" s="505"/>
      <c r="DA460" s="505"/>
      <c r="DB460" s="505"/>
      <c r="DC460" s="505"/>
      <c r="DD460" s="505"/>
      <c r="DE460" s="505"/>
      <c r="DF460" s="505"/>
      <c r="DG460" s="505"/>
      <c r="DH460" s="505"/>
      <c r="DI460" s="505"/>
      <c r="DJ460" s="505"/>
      <c r="DK460" s="505"/>
      <c r="DL460" s="505"/>
      <c r="DM460" s="505"/>
      <c r="DN460" s="505"/>
      <c r="DO460" s="505"/>
      <c r="DP460" s="505"/>
    </row>
    <row r="461" spans="1:120" hidden="1" outlineLevel="1" x14ac:dyDescent="0.2">
      <c r="A461" s="517">
        <f t="shared" si="67"/>
        <v>39692</v>
      </c>
      <c r="B461" s="517" t="str">
        <f t="shared" si="64"/>
        <v>3Q08</v>
      </c>
      <c r="C461" s="517" t="str">
        <f t="shared" si="68"/>
        <v>4Q08</v>
      </c>
      <c r="D461" s="518">
        <f t="shared" si="69"/>
        <v>39780</v>
      </c>
      <c r="E461" s="518">
        <f t="shared" si="69"/>
        <v>39720</v>
      </c>
      <c r="F461" s="520">
        <v>3.9590000000000001</v>
      </c>
      <c r="G461" s="521">
        <f t="shared" si="65"/>
        <v>0.57000000000000028</v>
      </c>
      <c r="H461" s="521">
        <f t="shared" si="66"/>
        <v>0.55000000000000027</v>
      </c>
      <c r="I461" s="505"/>
      <c r="J461" s="505"/>
      <c r="K461" s="505"/>
      <c r="L461" s="505"/>
      <c r="M461" s="528"/>
      <c r="N461" s="505"/>
      <c r="O461" s="505"/>
      <c r="P461" s="505"/>
      <c r="Q461" s="505"/>
      <c r="R461" s="505"/>
      <c r="S461" s="505"/>
      <c r="T461" s="505"/>
      <c r="U461" s="505"/>
      <c r="V461" s="505"/>
      <c r="W461" s="505"/>
      <c r="X461" s="505"/>
      <c r="Y461" s="505"/>
      <c r="Z461" s="505"/>
      <c r="AA461" s="505"/>
      <c r="AB461" s="505"/>
      <c r="AC461" s="505"/>
      <c r="AD461" s="505"/>
      <c r="AE461" s="505"/>
      <c r="AF461" s="505"/>
      <c r="AG461" s="505"/>
      <c r="AH461" s="505"/>
      <c r="AI461" s="505"/>
      <c r="AJ461" s="505"/>
      <c r="AK461" s="505"/>
      <c r="AL461" s="505"/>
      <c r="AM461" s="505"/>
      <c r="AN461" s="505"/>
      <c r="AO461" s="505"/>
      <c r="AP461" s="505"/>
      <c r="AQ461" s="505"/>
      <c r="AR461" s="505"/>
      <c r="AS461" s="505"/>
      <c r="AT461" s="505"/>
      <c r="AU461" s="505"/>
      <c r="AV461" s="505"/>
      <c r="AW461" s="505"/>
      <c r="AX461" s="505"/>
      <c r="AY461" s="505"/>
      <c r="AZ461" s="505"/>
      <c r="BA461" s="505"/>
      <c r="BB461" s="505"/>
      <c r="BC461" s="505"/>
      <c r="BD461" s="505"/>
      <c r="BE461" s="505"/>
      <c r="BF461" s="505"/>
      <c r="BG461" s="505"/>
      <c r="BH461" s="505"/>
      <c r="BI461" s="505"/>
      <c r="BJ461" s="505"/>
      <c r="BK461" s="505"/>
      <c r="BL461" s="505"/>
      <c r="BM461" s="505"/>
      <c r="BN461" s="505"/>
      <c r="BO461" s="505"/>
      <c r="BP461" s="505"/>
      <c r="BQ461" s="505"/>
      <c r="BR461" s="505"/>
      <c r="BS461" s="505"/>
      <c r="BT461" s="505"/>
      <c r="BU461" s="505"/>
      <c r="BV461" s="505"/>
      <c r="BW461" s="505"/>
      <c r="BX461" s="505"/>
      <c r="BY461" s="505"/>
      <c r="BZ461" s="505"/>
      <c r="CA461" s="505"/>
      <c r="CB461" s="505"/>
      <c r="CC461" s="505"/>
      <c r="CD461" s="505"/>
      <c r="CE461" s="505"/>
      <c r="CF461" s="505"/>
      <c r="CG461" s="505"/>
      <c r="CH461" s="505"/>
      <c r="CI461" s="505"/>
      <c r="CJ461" s="505"/>
      <c r="CK461" s="505"/>
      <c r="CL461" s="505"/>
      <c r="CM461" s="505"/>
      <c r="CN461" s="505"/>
      <c r="CO461" s="505"/>
      <c r="CP461" s="505"/>
      <c r="CQ461" s="505"/>
      <c r="CR461" s="505"/>
      <c r="CS461" s="505"/>
      <c r="CT461" s="505"/>
      <c r="CU461" s="505"/>
      <c r="CV461" s="505"/>
      <c r="CW461" s="505"/>
      <c r="CX461" s="505"/>
      <c r="CY461" s="505"/>
      <c r="CZ461" s="505"/>
      <c r="DA461" s="505"/>
      <c r="DB461" s="505"/>
      <c r="DC461" s="505"/>
      <c r="DD461" s="505"/>
      <c r="DE461" s="505"/>
      <c r="DF461" s="505"/>
      <c r="DG461" s="505"/>
      <c r="DH461" s="505"/>
      <c r="DI461" s="505"/>
      <c r="DJ461" s="505"/>
      <c r="DK461" s="505"/>
      <c r="DL461" s="505"/>
      <c r="DM461" s="505"/>
      <c r="DN461" s="505"/>
      <c r="DO461" s="505"/>
      <c r="DP461" s="505"/>
    </row>
    <row r="462" spans="1:120" hidden="1" outlineLevel="1" x14ac:dyDescent="0.2">
      <c r="A462" s="517">
        <f t="shared" si="67"/>
        <v>39722</v>
      </c>
      <c r="B462" s="517" t="str">
        <f t="shared" si="64"/>
        <v>4Q08</v>
      </c>
      <c r="C462" s="517" t="str">
        <f t="shared" si="68"/>
        <v>4Q08</v>
      </c>
      <c r="D462" s="518">
        <f t="shared" si="69"/>
        <v>39787</v>
      </c>
      <c r="E462" s="518">
        <f t="shared" si="69"/>
        <v>39727</v>
      </c>
      <c r="F462" s="520">
        <v>3.875</v>
      </c>
      <c r="G462" s="521">
        <f t="shared" si="65"/>
        <v>0.55000000000000027</v>
      </c>
      <c r="H462" s="521">
        <f t="shared" si="66"/>
        <v>0.51000000000000023</v>
      </c>
      <c r="I462" s="505"/>
      <c r="J462" s="505"/>
      <c r="K462" s="505"/>
      <c r="L462" s="505"/>
      <c r="M462" s="528"/>
      <c r="N462" s="505"/>
      <c r="O462" s="505"/>
      <c r="P462" s="505"/>
      <c r="Q462" s="505"/>
      <c r="R462" s="505"/>
      <c r="S462" s="505"/>
      <c r="T462" s="505"/>
      <c r="U462" s="505"/>
      <c r="V462" s="505"/>
      <c r="W462" s="505"/>
      <c r="X462" s="505"/>
      <c r="Y462" s="505"/>
      <c r="Z462" s="505"/>
      <c r="AA462" s="505"/>
      <c r="AB462" s="505"/>
      <c r="AC462" s="505"/>
      <c r="AD462" s="505"/>
      <c r="AE462" s="505"/>
      <c r="AF462" s="505"/>
      <c r="AG462" s="505"/>
      <c r="AH462" s="505"/>
      <c r="AI462" s="505"/>
      <c r="AJ462" s="505"/>
      <c r="AK462" s="505"/>
      <c r="AL462" s="505"/>
      <c r="AM462" s="505"/>
      <c r="AN462" s="505"/>
      <c r="AO462" s="505"/>
      <c r="AP462" s="505"/>
      <c r="AQ462" s="505"/>
      <c r="AR462" s="505"/>
      <c r="AS462" s="505"/>
      <c r="AT462" s="505"/>
      <c r="AU462" s="505"/>
      <c r="AV462" s="505"/>
      <c r="AW462" s="505"/>
      <c r="AX462" s="505"/>
      <c r="AY462" s="505"/>
      <c r="AZ462" s="505"/>
      <c r="BA462" s="505"/>
      <c r="BB462" s="505"/>
      <c r="BC462" s="505"/>
      <c r="BD462" s="505"/>
      <c r="BE462" s="505"/>
      <c r="BF462" s="505"/>
      <c r="BG462" s="505"/>
      <c r="BH462" s="505"/>
      <c r="BI462" s="505"/>
      <c r="BJ462" s="505"/>
      <c r="BK462" s="505"/>
      <c r="BL462" s="505"/>
      <c r="BM462" s="505"/>
      <c r="BN462" s="505"/>
      <c r="BO462" s="505"/>
      <c r="BP462" s="505"/>
      <c r="BQ462" s="505"/>
      <c r="BR462" s="505"/>
      <c r="BS462" s="505"/>
      <c r="BT462" s="505"/>
      <c r="BU462" s="505"/>
      <c r="BV462" s="505"/>
      <c r="BW462" s="505"/>
      <c r="BX462" s="505"/>
      <c r="BY462" s="505"/>
      <c r="BZ462" s="505"/>
      <c r="CA462" s="505"/>
      <c r="CB462" s="505"/>
      <c r="CC462" s="505"/>
      <c r="CD462" s="505"/>
      <c r="CE462" s="505"/>
      <c r="CF462" s="505"/>
      <c r="CG462" s="505"/>
      <c r="CH462" s="505"/>
      <c r="CI462" s="505"/>
      <c r="CJ462" s="505"/>
      <c r="CK462" s="505"/>
      <c r="CL462" s="505"/>
      <c r="CM462" s="505"/>
      <c r="CN462" s="505"/>
      <c r="CO462" s="505"/>
      <c r="CP462" s="505"/>
      <c r="CQ462" s="505"/>
      <c r="CR462" s="505"/>
      <c r="CS462" s="505"/>
      <c r="CT462" s="505"/>
      <c r="CU462" s="505"/>
      <c r="CV462" s="505"/>
      <c r="CW462" s="505"/>
      <c r="CX462" s="505"/>
      <c r="CY462" s="505"/>
      <c r="CZ462" s="505"/>
      <c r="DA462" s="505"/>
      <c r="DB462" s="505"/>
      <c r="DC462" s="505"/>
      <c r="DD462" s="505"/>
      <c r="DE462" s="505"/>
      <c r="DF462" s="505"/>
      <c r="DG462" s="505"/>
      <c r="DH462" s="505"/>
      <c r="DI462" s="505"/>
      <c r="DJ462" s="505"/>
      <c r="DK462" s="505"/>
      <c r="DL462" s="505"/>
      <c r="DM462" s="505"/>
      <c r="DN462" s="505"/>
      <c r="DO462" s="505"/>
      <c r="DP462" s="505"/>
    </row>
    <row r="463" spans="1:120" hidden="1" outlineLevel="1" x14ac:dyDescent="0.2">
      <c r="A463" s="517">
        <f t="shared" si="67"/>
        <v>39722</v>
      </c>
      <c r="B463" s="517" t="str">
        <f t="shared" si="64"/>
        <v>4Q08</v>
      </c>
      <c r="C463" s="517" t="str">
        <f t="shared" si="68"/>
        <v>4Q08</v>
      </c>
      <c r="D463" s="518">
        <f t="shared" si="69"/>
        <v>39794</v>
      </c>
      <c r="E463" s="518">
        <f t="shared" si="69"/>
        <v>39734</v>
      </c>
      <c r="F463" s="520">
        <v>3.6589999999999998</v>
      </c>
      <c r="G463" s="521">
        <f t="shared" si="65"/>
        <v>0.51000000000000023</v>
      </c>
      <c r="H463" s="521">
        <f t="shared" si="66"/>
        <v>0.47000000000000025</v>
      </c>
      <c r="I463" s="505"/>
      <c r="J463" s="505"/>
      <c r="K463" s="505"/>
      <c r="L463" s="505"/>
      <c r="M463" s="528"/>
      <c r="N463" s="505"/>
      <c r="O463" s="505"/>
      <c r="P463" s="505"/>
      <c r="Q463" s="505"/>
      <c r="R463" s="505"/>
      <c r="S463" s="505"/>
      <c r="T463" s="505"/>
      <c r="U463" s="505"/>
      <c r="V463" s="505"/>
      <c r="W463" s="505"/>
      <c r="X463" s="505"/>
      <c r="Y463" s="505"/>
      <c r="Z463" s="505"/>
      <c r="AA463" s="505"/>
      <c r="AB463" s="505"/>
      <c r="AC463" s="505"/>
      <c r="AD463" s="505"/>
      <c r="AE463" s="505"/>
      <c r="AF463" s="505"/>
      <c r="AG463" s="505"/>
      <c r="AH463" s="505"/>
      <c r="AI463" s="505"/>
      <c r="AJ463" s="505"/>
      <c r="AK463" s="505"/>
      <c r="AL463" s="505"/>
      <c r="AM463" s="505"/>
      <c r="AN463" s="505"/>
      <c r="AO463" s="505"/>
      <c r="AP463" s="505"/>
      <c r="AQ463" s="505"/>
      <c r="AR463" s="505"/>
      <c r="AS463" s="505"/>
      <c r="AT463" s="505"/>
      <c r="AU463" s="505"/>
      <c r="AV463" s="505"/>
      <c r="AW463" s="505"/>
      <c r="AX463" s="505"/>
      <c r="AY463" s="505"/>
      <c r="AZ463" s="505"/>
      <c r="BA463" s="505"/>
      <c r="BB463" s="505"/>
      <c r="BC463" s="505"/>
      <c r="BD463" s="505"/>
      <c r="BE463" s="505"/>
      <c r="BF463" s="505"/>
      <c r="BG463" s="505"/>
      <c r="BH463" s="505"/>
      <c r="BI463" s="505"/>
      <c r="BJ463" s="505"/>
      <c r="BK463" s="505"/>
      <c r="BL463" s="505"/>
      <c r="BM463" s="505"/>
      <c r="BN463" s="505"/>
      <c r="BO463" s="505"/>
      <c r="BP463" s="505"/>
      <c r="BQ463" s="505"/>
      <c r="BR463" s="505"/>
      <c r="BS463" s="505"/>
      <c r="BT463" s="505"/>
      <c r="BU463" s="505"/>
      <c r="BV463" s="505"/>
      <c r="BW463" s="505"/>
      <c r="BX463" s="505"/>
      <c r="BY463" s="505"/>
      <c r="BZ463" s="505"/>
      <c r="CA463" s="505"/>
      <c r="CB463" s="505"/>
      <c r="CC463" s="505"/>
      <c r="CD463" s="505"/>
      <c r="CE463" s="505"/>
      <c r="CF463" s="505"/>
      <c r="CG463" s="505"/>
      <c r="CH463" s="505"/>
      <c r="CI463" s="505"/>
      <c r="CJ463" s="505"/>
      <c r="CK463" s="505"/>
      <c r="CL463" s="505"/>
      <c r="CM463" s="505"/>
      <c r="CN463" s="505"/>
      <c r="CO463" s="505"/>
      <c r="CP463" s="505"/>
      <c r="CQ463" s="505"/>
      <c r="CR463" s="505"/>
      <c r="CS463" s="505"/>
      <c r="CT463" s="505"/>
      <c r="CU463" s="505"/>
      <c r="CV463" s="505"/>
      <c r="CW463" s="505"/>
      <c r="CX463" s="505"/>
      <c r="CY463" s="505"/>
      <c r="CZ463" s="505"/>
      <c r="DA463" s="505"/>
      <c r="DB463" s="505"/>
      <c r="DC463" s="505"/>
      <c r="DD463" s="505"/>
      <c r="DE463" s="505"/>
      <c r="DF463" s="505"/>
      <c r="DG463" s="505"/>
      <c r="DH463" s="505"/>
      <c r="DI463" s="505"/>
      <c r="DJ463" s="505"/>
      <c r="DK463" s="505"/>
      <c r="DL463" s="505"/>
      <c r="DM463" s="505"/>
      <c r="DN463" s="505"/>
      <c r="DO463" s="505"/>
      <c r="DP463" s="505"/>
    </row>
    <row r="464" spans="1:120" hidden="1" outlineLevel="1" x14ac:dyDescent="0.2">
      <c r="A464" s="517">
        <f t="shared" si="67"/>
        <v>39722</v>
      </c>
      <c r="B464" s="517" t="str">
        <f t="shared" si="64"/>
        <v>4Q08</v>
      </c>
      <c r="C464" s="517" t="str">
        <f t="shared" si="68"/>
        <v>4Q08</v>
      </c>
      <c r="D464" s="518">
        <f t="shared" si="69"/>
        <v>39801</v>
      </c>
      <c r="E464" s="518">
        <f t="shared" si="69"/>
        <v>39741</v>
      </c>
      <c r="F464" s="520">
        <v>3.4820000000000002</v>
      </c>
      <c r="G464" s="521">
        <f t="shared" si="65"/>
        <v>0.47000000000000025</v>
      </c>
      <c r="H464" s="521">
        <f t="shared" si="66"/>
        <v>0.43000000000000022</v>
      </c>
      <c r="I464" s="505"/>
      <c r="J464" s="505"/>
      <c r="K464" s="505"/>
      <c r="L464" s="505"/>
      <c r="M464" s="528"/>
      <c r="N464" s="505"/>
      <c r="O464" s="505"/>
      <c r="P464" s="505"/>
      <c r="Q464" s="505"/>
      <c r="R464" s="505"/>
      <c r="S464" s="505"/>
      <c r="T464" s="505"/>
      <c r="U464" s="505"/>
      <c r="V464" s="505"/>
      <c r="W464" s="505"/>
      <c r="X464" s="505"/>
      <c r="Y464" s="505"/>
      <c r="Z464" s="505"/>
      <c r="AA464" s="505"/>
      <c r="AB464" s="505"/>
      <c r="AC464" s="505"/>
      <c r="AD464" s="505"/>
      <c r="AE464" s="505"/>
      <c r="AF464" s="505"/>
      <c r="AG464" s="505"/>
      <c r="AH464" s="505"/>
      <c r="AI464" s="505"/>
      <c r="AJ464" s="505"/>
      <c r="AK464" s="505"/>
      <c r="AL464" s="505"/>
      <c r="AM464" s="505"/>
      <c r="AN464" s="505"/>
      <c r="AO464" s="505"/>
      <c r="AP464" s="505"/>
      <c r="AQ464" s="505"/>
      <c r="AR464" s="505"/>
      <c r="AS464" s="505"/>
      <c r="AT464" s="505"/>
      <c r="AU464" s="505"/>
      <c r="AV464" s="505"/>
      <c r="AW464" s="505"/>
      <c r="AX464" s="505"/>
      <c r="AY464" s="505"/>
      <c r="AZ464" s="505"/>
      <c r="BA464" s="505"/>
      <c r="BB464" s="505"/>
      <c r="BC464" s="505"/>
      <c r="BD464" s="505"/>
      <c r="BE464" s="505"/>
      <c r="BF464" s="505"/>
      <c r="BG464" s="505"/>
      <c r="BH464" s="505"/>
      <c r="BI464" s="505"/>
      <c r="BJ464" s="505"/>
      <c r="BK464" s="505"/>
      <c r="BL464" s="505"/>
      <c r="BM464" s="505"/>
      <c r="BN464" s="505"/>
      <c r="BO464" s="505"/>
      <c r="BP464" s="505"/>
      <c r="BQ464" s="505"/>
      <c r="BR464" s="505"/>
      <c r="BS464" s="505"/>
      <c r="BT464" s="505"/>
      <c r="BU464" s="505"/>
      <c r="BV464" s="505"/>
      <c r="BW464" s="505"/>
      <c r="BX464" s="505"/>
      <c r="BY464" s="505"/>
      <c r="BZ464" s="505"/>
      <c r="CA464" s="505"/>
      <c r="CB464" s="505"/>
      <c r="CC464" s="505"/>
      <c r="CD464" s="505"/>
      <c r="CE464" s="505"/>
      <c r="CF464" s="505"/>
      <c r="CG464" s="505"/>
      <c r="CH464" s="505"/>
      <c r="CI464" s="505"/>
      <c r="CJ464" s="505"/>
      <c r="CK464" s="505"/>
      <c r="CL464" s="505"/>
      <c r="CM464" s="505"/>
      <c r="CN464" s="505"/>
      <c r="CO464" s="505"/>
      <c r="CP464" s="505"/>
      <c r="CQ464" s="505"/>
      <c r="CR464" s="505"/>
      <c r="CS464" s="505"/>
      <c r="CT464" s="505"/>
      <c r="CU464" s="505"/>
      <c r="CV464" s="505"/>
      <c r="CW464" s="505"/>
      <c r="CX464" s="505"/>
      <c r="CY464" s="505"/>
      <c r="CZ464" s="505"/>
      <c r="DA464" s="505"/>
      <c r="DB464" s="505"/>
      <c r="DC464" s="505"/>
      <c r="DD464" s="505"/>
      <c r="DE464" s="505"/>
      <c r="DF464" s="505"/>
      <c r="DG464" s="505"/>
      <c r="DH464" s="505"/>
      <c r="DI464" s="505"/>
      <c r="DJ464" s="505"/>
      <c r="DK464" s="505"/>
      <c r="DL464" s="505"/>
      <c r="DM464" s="505"/>
      <c r="DN464" s="505"/>
      <c r="DO464" s="505"/>
      <c r="DP464" s="505"/>
    </row>
    <row r="465" spans="1:120" hidden="1" outlineLevel="1" x14ac:dyDescent="0.2">
      <c r="A465" s="517">
        <f t="shared" si="67"/>
        <v>39722</v>
      </c>
      <c r="B465" s="517" t="str">
        <f t="shared" si="64"/>
        <v>4Q08</v>
      </c>
      <c r="C465" s="517" t="str">
        <f t="shared" si="68"/>
        <v>4Q08</v>
      </c>
      <c r="D465" s="518">
        <f t="shared" si="69"/>
        <v>39808</v>
      </c>
      <c r="E465" s="518">
        <f t="shared" si="69"/>
        <v>39748</v>
      </c>
      <c r="F465" s="520">
        <v>3.2879999999999998</v>
      </c>
      <c r="G465" s="521">
        <f t="shared" si="65"/>
        <v>0.43000000000000022</v>
      </c>
      <c r="H465" s="521">
        <f t="shared" si="66"/>
        <v>0.39000000000000018</v>
      </c>
      <c r="I465" s="505"/>
      <c r="J465" s="505"/>
      <c r="K465" s="505"/>
      <c r="L465" s="505"/>
      <c r="M465" s="528"/>
      <c r="N465" s="505"/>
      <c r="O465" s="505"/>
      <c r="P465" s="505"/>
      <c r="Q465" s="505"/>
      <c r="R465" s="505"/>
      <c r="S465" s="505"/>
      <c r="T465" s="505"/>
      <c r="U465" s="505"/>
      <c r="V465" s="505"/>
      <c r="W465" s="505"/>
      <c r="X465" s="505"/>
      <c r="Y465" s="505"/>
      <c r="Z465" s="505"/>
      <c r="AA465" s="505"/>
      <c r="AB465" s="505"/>
      <c r="AC465" s="505"/>
      <c r="AD465" s="505"/>
      <c r="AE465" s="505"/>
      <c r="AF465" s="505"/>
      <c r="AG465" s="505"/>
      <c r="AH465" s="505"/>
      <c r="AI465" s="505"/>
      <c r="AJ465" s="505"/>
      <c r="AK465" s="505"/>
      <c r="AL465" s="505"/>
      <c r="AM465" s="505"/>
      <c r="AN465" s="505"/>
      <c r="AO465" s="505"/>
      <c r="AP465" s="505"/>
      <c r="AQ465" s="505"/>
      <c r="AR465" s="505"/>
      <c r="AS465" s="505"/>
      <c r="AT465" s="505"/>
      <c r="AU465" s="505"/>
      <c r="AV465" s="505"/>
      <c r="AW465" s="505"/>
      <c r="AX465" s="505"/>
      <c r="AY465" s="505"/>
      <c r="AZ465" s="505"/>
      <c r="BA465" s="505"/>
      <c r="BB465" s="505"/>
      <c r="BC465" s="505"/>
      <c r="BD465" s="505"/>
      <c r="BE465" s="505"/>
      <c r="BF465" s="505"/>
      <c r="BG465" s="505"/>
      <c r="BH465" s="505"/>
      <c r="BI465" s="505"/>
      <c r="BJ465" s="505"/>
      <c r="BK465" s="505"/>
      <c r="BL465" s="505"/>
      <c r="BM465" s="505"/>
      <c r="BN465" s="505"/>
      <c r="BO465" s="505"/>
      <c r="BP465" s="505"/>
      <c r="BQ465" s="505"/>
      <c r="BR465" s="505"/>
      <c r="BS465" s="505"/>
      <c r="BT465" s="505"/>
      <c r="BU465" s="505"/>
      <c r="BV465" s="505"/>
      <c r="BW465" s="505"/>
      <c r="BX465" s="505"/>
      <c r="BY465" s="505"/>
      <c r="BZ465" s="505"/>
      <c r="CA465" s="505"/>
      <c r="CB465" s="505"/>
      <c r="CC465" s="505"/>
      <c r="CD465" s="505"/>
      <c r="CE465" s="505"/>
      <c r="CF465" s="505"/>
      <c r="CG465" s="505"/>
      <c r="CH465" s="505"/>
      <c r="CI465" s="505"/>
      <c r="CJ465" s="505"/>
      <c r="CK465" s="505"/>
      <c r="CL465" s="505"/>
      <c r="CM465" s="505"/>
      <c r="CN465" s="505"/>
      <c r="CO465" s="505"/>
      <c r="CP465" s="505"/>
      <c r="CQ465" s="505"/>
      <c r="CR465" s="505"/>
      <c r="CS465" s="505"/>
      <c r="CT465" s="505"/>
      <c r="CU465" s="505"/>
      <c r="CV465" s="505"/>
      <c r="CW465" s="505"/>
      <c r="CX465" s="505"/>
      <c r="CY465" s="505"/>
      <c r="CZ465" s="505"/>
      <c r="DA465" s="505"/>
      <c r="DB465" s="505"/>
      <c r="DC465" s="505"/>
      <c r="DD465" s="505"/>
      <c r="DE465" s="505"/>
      <c r="DF465" s="505"/>
      <c r="DG465" s="505"/>
      <c r="DH465" s="505"/>
      <c r="DI465" s="505"/>
      <c r="DJ465" s="505"/>
      <c r="DK465" s="505"/>
      <c r="DL465" s="505"/>
      <c r="DM465" s="505"/>
      <c r="DN465" s="505"/>
      <c r="DO465" s="505"/>
      <c r="DP465" s="505"/>
    </row>
    <row r="466" spans="1:120" hidden="1" outlineLevel="1" x14ac:dyDescent="0.2">
      <c r="A466" s="517">
        <f t="shared" si="67"/>
        <v>39753</v>
      </c>
      <c r="B466" s="517" t="str">
        <f t="shared" si="64"/>
        <v>4Q08</v>
      </c>
      <c r="C466" s="517" t="str">
        <f t="shared" si="68"/>
        <v>1Q09</v>
      </c>
      <c r="D466" s="518">
        <f t="shared" si="69"/>
        <v>39815</v>
      </c>
      <c r="E466" s="518">
        <f t="shared" si="69"/>
        <v>39755</v>
      </c>
      <c r="F466" s="520">
        <v>3.0880000000000001</v>
      </c>
      <c r="G466" s="521">
        <f t="shared" si="65"/>
        <v>0.39000000000000018</v>
      </c>
      <c r="H466" s="521">
        <f t="shared" si="66"/>
        <v>0.36000000000000015</v>
      </c>
      <c r="I466" s="505"/>
      <c r="J466" s="505"/>
      <c r="K466" s="505"/>
      <c r="L466" s="505"/>
      <c r="M466" s="528"/>
      <c r="N466" s="505"/>
      <c r="O466" s="505"/>
      <c r="P466" s="505"/>
      <c r="Q466" s="505"/>
      <c r="R466" s="505"/>
      <c r="S466" s="505"/>
      <c r="T466" s="505"/>
      <c r="U466" s="505"/>
      <c r="V466" s="505"/>
      <c r="W466" s="505"/>
      <c r="X466" s="505"/>
      <c r="Y466" s="505"/>
      <c r="Z466" s="505"/>
      <c r="AA466" s="505"/>
      <c r="AB466" s="505"/>
      <c r="AC466" s="505"/>
      <c r="AD466" s="505"/>
      <c r="AE466" s="505"/>
      <c r="AF466" s="505"/>
      <c r="AG466" s="505"/>
      <c r="AH466" s="505"/>
      <c r="AI466" s="505"/>
      <c r="AJ466" s="505"/>
      <c r="AK466" s="505"/>
      <c r="AL466" s="505"/>
      <c r="AM466" s="505"/>
      <c r="AN466" s="505"/>
      <c r="AO466" s="505"/>
      <c r="AP466" s="505"/>
      <c r="AQ466" s="505"/>
      <c r="AR466" s="505"/>
      <c r="AS466" s="505"/>
      <c r="AT466" s="505"/>
      <c r="AU466" s="505"/>
      <c r="AV466" s="505"/>
      <c r="AW466" s="505"/>
      <c r="AX466" s="505"/>
      <c r="AY466" s="505"/>
      <c r="AZ466" s="505"/>
      <c r="BA466" s="505"/>
      <c r="BB466" s="505"/>
      <c r="BC466" s="505"/>
      <c r="BD466" s="505"/>
      <c r="BE466" s="505"/>
      <c r="BF466" s="505"/>
      <c r="BG466" s="505"/>
      <c r="BH466" s="505"/>
      <c r="BI466" s="505"/>
      <c r="BJ466" s="505"/>
      <c r="BK466" s="505"/>
      <c r="BL466" s="505"/>
      <c r="BM466" s="505"/>
      <c r="BN466" s="505"/>
      <c r="BO466" s="505"/>
      <c r="BP466" s="505"/>
      <c r="BQ466" s="505"/>
      <c r="BR466" s="505"/>
      <c r="BS466" s="505"/>
      <c r="BT466" s="505"/>
      <c r="BU466" s="505"/>
      <c r="BV466" s="505"/>
      <c r="BW466" s="505"/>
      <c r="BX466" s="505"/>
      <c r="BY466" s="505"/>
      <c r="BZ466" s="505"/>
      <c r="CA466" s="505"/>
      <c r="CB466" s="505"/>
      <c r="CC466" s="505"/>
      <c r="CD466" s="505"/>
      <c r="CE466" s="505"/>
      <c r="CF466" s="505"/>
      <c r="CG466" s="505"/>
      <c r="CH466" s="505"/>
      <c r="CI466" s="505"/>
      <c r="CJ466" s="505"/>
      <c r="CK466" s="505"/>
      <c r="CL466" s="505"/>
      <c r="CM466" s="505"/>
      <c r="CN466" s="505"/>
      <c r="CO466" s="505"/>
      <c r="CP466" s="505"/>
      <c r="CQ466" s="505"/>
      <c r="CR466" s="505"/>
      <c r="CS466" s="505"/>
      <c r="CT466" s="505"/>
      <c r="CU466" s="505"/>
      <c r="CV466" s="505"/>
      <c r="CW466" s="505"/>
      <c r="CX466" s="505"/>
      <c r="CY466" s="505"/>
      <c r="CZ466" s="505"/>
      <c r="DA466" s="505"/>
      <c r="DB466" s="505"/>
      <c r="DC466" s="505"/>
      <c r="DD466" s="505"/>
      <c r="DE466" s="505"/>
      <c r="DF466" s="505"/>
      <c r="DG466" s="505"/>
      <c r="DH466" s="505"/>
      <c r="DI466" s="505"/>
      <c r="DJ466" s="505"/>
      <c r="DK466" s="505"/>
      <c r="DL466" s="505"/>
      <c r="DM466" s="505"/>
      <c r="DN466" s="505"/>
      <c r="DO466" s="505"/>
      <c r="DP466" s="505"/>
    </row>
    <row r="467" spans="1:120" hidden="1" outlineLevel="1" x14ac:dyDescent="0.2">
      <c r="A467" s="517">
        <f t="shared" si="67"/>
        <v>39753</v>
      </c>
      <c r="B467" s="517" t="str">
        <f t="shared" si="64"/>
        <v>4Q08</v>
      </c>
      <c r="C467" s="517" t="str">
        <f t="shared" si="68"/>
        <v>1Q09</v>
      </c>
      <c r="D467" s="518">
        <f t="shared" si="69"/>
        <v>39822</v>
      </c>
      <c r="E467" s="518">
        <f t="shared" si="69"/>
        <v>39762</v>
      </c>
      <c r="F467" s="520">
        <v>2.944</v>
      </c>
      <c r="G467" s="521">
        <f t="shared" si="65"/>
        <v>0.36000000000000015</v>
      </c>
      <c r="H467" s="521">
        <f t="shared" si="66"/>
        <v>0.34000000000000014</v>
      </c>
      <c r="I467" s="505"/>
      <c r="J467" s="505"/>
      <c r="K467" s="505"/>
      <c r="L467" s="505"/>
      <c r="M467" s="528"/>
      <c r="N467" s="505"/>
      <c r="O467" s="505"/>
      <c r="P467" s="505"/>
      <c r="Q467" s="505"/>
      <c r="R467" s="505"/>
      <c r="S467" s="505"/>
      <c r="T467" s="505"/>
      <c r="U467" s="505"/>
      <c r="V467" s="505"/>
      <c r="W467" s="505"/>
      <c r="X467" s="505"/>
      <c r="Y467" s="505"/>
      <c r="Z467" s="505"/>
      <c r="AA467" s="505"/>
      <c r="AB467" s="505"/>
      <c r="AC467" s="505"/>
      <c r="AD467" s="505"/>
      <c r="AE467" s="505"/>
      <c r="AF467" s="505"/>
      <c r="AG467" s="505"/>
      <c r="AH467" s="505"/>
      <c r="AI467" s="505"/>
      <c r="AJ467" s="505"/>
      <c r="AK467" s="505"/>
      <c r="AL467" s="505"/>
      <c r="AM467" s="505"/>
      <c r="AN467" s="505"/>
      <c r="AO467" s="505"/>
      <c r="AP467" s="505"/>
      <c r="AQ467" s="505"/>
      <c r="AR467" s="505"/>
      <c r="AS467" s="505"/>
      <c r="AT467" s="505"/>
      <c r="AU467" s="505"/>
      <c r="AV467" s="505"/>
      <c r="AW467" s="505"/>
      <c r="AX467" s="505"/>
      <c r="AY467" s="505"/>
      <c r="AZ467" s="505"/>
      <c r="BA467" s="505"/>
      <c r="BB467" s="505"/>
      <c r="BC467" s="505"/>
      <c r="BD467" s="505"/>
      <c r="BE467" s="505"/>
      <c r="BF467" s="505"/>
      <c r="BG467" s="505"/>
      <c r="BH467" s="505"/>
      <c r="BI467" s="505"/>
      <c r="BJ467" s="505"/>
      <c r="BK467" s="505"/>
      <c r="BL467" s="505"/>
      <c r="BM467" s="505"/>
      <c r="BN467" s="505"/>
      <c r="BO467" s="505"/>
      <c r="BP467" s="505"/>
      <c r="BQ467" s="505"/>
      <c r="BR467" s="505"/>
      <c r="BS467" s="505"/>
      <c r="BT467" s="505"/>
      <c r="BU467" s="505"/>
      <c r="BV467" s="505"/>
      <c r="BW467" s="505"/>
      <c r="BX467" s="505"/>
      <c r="BY467" s="505"/>
      <c r="BZ467" s="505"/>
      <c r="CA467" s="505"/>
      <c r="CB467" s="505"/>
      <c r="CC467" s="505"/>
      <c r="CD467" s="505"/>
      <c r="CE467" s="505"/>
      <c r="CF467" s="505"/>
      <c r="CG467" s="505"/>
      <c r="CH467" s="505"/>
      <c r="CI467" s="505"/>
      <c r="CJ467" s="505"/>
      <c r="CK467" s="505"/>
      <c r="CL467" s="505"/>
      <c r="CM467" s="505"/>
      <c r="CN467" s="505"/>
      <c r="CO467" s="505"/>
      <c r="CP467" s="505"/>
      <c r="CQ467" s="505"/>
      <c r="CR467" s="505"/>
      <c r="CS467" s="505"/>
      <c r="CT467" s="505"/>
      <c r="CU467" s="505"/>
      <c r="CV467" s="505"/>
      <c r="CW467" s="505"/>
      <c r="CX467" s="505"/>
      <c r="CY467" s="505"/>
      <c r="CZ467" s="505"/>
      <c r="DA467" s="505"/>
      <c r="DB467" s="505"/>
      <c r="DC467" s="505"/>
      <c r="DD467" s="505"/>
      <c r="DE467" s="505"/>
      <c r="DF467" s="505"/>
      <c r="DG467" s="505"/>
      <c r="DH467" s="505"/>
      <c r="DI467" s="505"/>
      <c r="DJ467" s="505"/>
      <c r="DK467" s="505"/>
      <c r="DL467" s="505"/>
      <c r="DM467" s="505"/>
      <c r="DN467" s="505"/>
      <c r="DO467" s="505"/>
      <c r="DP467" s="505"/>
    </row>
    <row r="468" spans="1:120" hidden="1" outlineLevel="1" x14ac:dyDescent="0.2">
      <c r="A468" s="517">
        <f t="shared" si="67"/>
        <v>39753</v>
      </c>
      <c r="B468" s="517" t="str">
        <f t="shared" si="64"/>
        <v>4Q08</v>
      </c>
      <c r="C468" s="517" t="str">
        <f t="shared" si="68"/>
        <v>1Q09</v>
      </c>
      <c r="D468" s="518">
        <f t="shared" si="69"/>
        <v>39829</v>
      </c>
      <c r="E468" s="518">
        <f t="shared" si="69"/>
        <v>39769</v>
      </c>
      <c r="F468" s="520">
        <v>2.8090000000000002</v>
      </c>
      <c r="G468" s="521">
        <f t="shared" si="65"/>
        <v>0.34000000000000014</v>
      </c>
      <c r="H468" s="521">
        <f t="shared" si="66"/>
        <v>0.31000000000000011</v>
      </c>
      <c r="I468" s="505"/>
      <c r="J468" s="505"/>
      <c r="K468" s="505"/>
      <c r="L468" s="505"/>
      <c r="M468" s="528"/>
      <c r="N468" s="505"/>
      <c r="O468" s="505"/>
      <c r="P468" s="505"/>
      <c r="Q468" s="505"/>
      <c r="R468" s="505"/>
      <c r="S468" s="505"/>
      <c r="T468" s="505"/>
      <c r="U468" s="505"/>
      <c r="V468" s="505"/>
      <c r="W468" s="505"/>
      <c r="X468" s="505"/>
      <c r="Y468" s="505"/>
      <c r="Z468" s="505"/>
      <c r="AA468" s="505"/>
      <c r="AB468" s="505"/>
      <c r="AC468" s="505"/>
      <c r="AD468" s="505"/>
      <c r="AE468" s="505"/>
      <c r="AF468" s="505"/>
      <c r="AG468" s="505"/>
      <c r="AH468" s="505"/>
      <c r="AI468" s="505"/>
      <c r="AJ468" s="505"/>
      <c r="AK468" s="505"/>
      <c r="AL468" s="505"/>
      <c r="AM468" s="505"/>
      <c r="AN468" s="505"/>
      <c r="AO468" s="505"/>
      <c r="AP468" s="505"/>
      <c r="AQ468" s="505"/>
      <c r="AR468" s="505"/>
      <c r="AS468" s="505"/>
      <c r="AT468" s="505"/>
      <c r="AU468" s="505"/>
      <c r="AV468" s="505"/>
      <c r="AW468" s="505"/>
      <c r="AX468" s="505"/>
      <c r="AY468" s="505"/>
      <c r="AZ468" s="505"/>
      <c r="BA468" s="505"/>
      <c r="BB468" s="505"/>
      <c r="BC468" s="505"/>
      <c r="BD468" s="505"/>
      <c r="BE468" s="505"/>
      <c r="BF468" s="505"/>
      <c r="BG468" s="505"/>
      <c r="BH468" s="505"/>
      <c r="BI468" s="505"/>
      <c r="BJ468" s="505"/>
      <c r="BK468" s="505"/>
      <c r="BL468" s="505"/>
      <c r="BM468" s="505"/>
      <c r="BN468" s="505"/>
      <c r="BO468" s="505"/>
      <c r="BP468" s="505"/>
      <c r="BQ468" s="505"/>
      <c r="BR468" s="505"/>
      <c r="BS468" s="505"/>
      <c r="BT468" s="505"/>
      <c r="BU468" s="505"/>
      <c r="BV468" s="505"/>
      <c r="BW468" s="505"/>
      <c r="BX468" s="505"/>
      <c r="BY468" s="505"/>
      <c r="BZ468" s="505"/>
      <c r="CA468" s="505"/>
      <c r="CB468" s="505"/>
      <c r="CC468" s="505"/>
      <c r="CD468" s="505"/>
      <c r="CE468" s="505"/>
      <c r="CF468" s="505"/>
      <c r="CG468" s="505"/>
      <c r="CH468" s="505"/>
      <c r="CI468" s="505"/>
      <c r="CJ468" s="505"/>
      <c r="CK468" s="505"/>
      <c r="CL468" s="505"/>
      <c r="CM468" s="505"/>
      <c r="CN468" s="505"/>
      <c r="CO468" s="505"/>
      <c r="CP468" s="505"/>
      <c r="CQ468" s="505"/>
      <c r="CR468" s="505"/>
      <c r="CS468" s="505"/>
      <c r="CT468" s="505"/>
      <c r="CU468" s="505"/>
      <c r="CV468" s="505"/>
      <c r="CW468" s="505"/>
      <c r="CX468" s="505"/>
      <c r="CY468" s="505"/>
      <c r="CZ468" s="505"/>
      <c r="DA468" s="505"/>
      <c r="DB468" s="505"/>
      <c r="DC468" s="505"/>
      <c r="DD468" s="505"/>
      <c r="DE468" s="505"/>
      <c r="DF468" s="505"/>
      <c r="DG468" s="505"/>
      <c r="DH468" s="505"/>
      <c r="DI468" s="505"/>
      <c r="DJ468" s="505"/>
      <c r="DK468" s="505"/>
      <c r="DL468" s="505"/>
      <c r="DM468" s="505"/>
      <c r="DN468" s="505"/>
      <c r="DO468" s="505"/>
      <c r="DP468" s="505"/>
    </row>
    <row r="469" spans="1:120" hidden="1" outlineLevel="1" x14ac:dyDescent="0.2">
      <c r="A469" s="517">
        <f t="shared" si="67"/>
        <v>39753</v>
      </c>
      <c r="B469" s="517" t="str">
        <f t="shared" si="64"/>
        <v>4Q08</v>
      </c>
      <c r="C469" s="517" t="str">
        <f t="shared" si="68"/>
        <v>1Q09</v>
      </c>
      <c r="D469" s="518">
        <f t="shared" si="69"/>
        <v>39836</v>
      </c>
      <c r="E469" s="518">
        <f t="shared" si="69"/>
        <v>39776</v>
      </c>
      <c r="F469" s="520">
        <v>2.6640000000000001</v>
      </c>
      <c r="G469" s="521">
        <f t="shared" si="65"/>
        <v>0.31000000000000011</v>
      </c>
      <c r="H469" s="521">
        <f t="shared" si="66"/>
        <v>0.3000000000000001</v>
      </c>
      <c r="I469" s="505"/>
      <c r="J469" s="505"/>
      <c r="K469" s="505"/>
      <c r="L469" s="505"/>
      <c r="M469" s="528"/>
      <c r="N469" s="505"/>
      <c r="O469" s="505"/>
      <c r="P469" s="505"/>
      <c r="Q469" s="505"/>
      <c r="R469" s="505"/>
      <c r="S469" s="505"/>
      <c r="T469" s="505"/>
      <c r="U469" s="505"/>
      <c r="V469" s="505"/>
      <c r="W469" s="505"/>
      <c r="X469" s="505"/>
      <c r="Y469" s="505"/>
      <c r="Z469" s="505"/>
      <c r="AA469" s="505"/>
      <c r="AB469" s="505"/>
      <c r="AC469" s="505"/>
      <c r="AD469" s="505"/>
      <c r="AE469" s="505"/>
      <c r="AF469" s="505"/>
      <c r="AG469" s="505"/>
      <c r="AH469" s="505"/>
      <c r="AI469" s="505"/>
      <c r="AJ469" s="505"/>
      <c r="AK469" s="505"/>
      <c r="AL469" s="505"/>
      <c r="AM469" s="505"/>
      <c r="AN469" s="505"/>
      <c r="AO469" s="505"/>
      <c r="AP469" s="505"/>
      <c r="AQ469" s="505"/>
      <c r="AR469" s="505"/>
      <c r="AS469" s="505"/>
      <c r="AT469" s="505"/>
      <c r="AU469" s="505"/>
      <c r="AV469" s="505"/>
      <c r="AW469" s="505"/>
      <c r="AX469" s="505"/>
      <c r="AY469" s="505"/>
      <c r="AZ469" s="505"/>
      <c r="BA469" s="505"/>
      <c r="BB469" s="505"/>
      <c r="BC469" s="505"/>
      <c r="BD469" s="505"/>
      <c r="BE469" s="505"/>
      <c r="BF469" s="505"/>
      <c r="BG469" s="505"/>
      <c r="BH469" s="505"/>
      <c r="BI469" s="505"/>
      <c r="BJ469" s="505"/>
      <c r="BK469" s="505"/>
      <c r="BL469" s="505"/>
      <c r="BM469" s="505"/>
      <c r="BN469" s="505"/>
      <c r="BO469" s="505"/>
      <c r="BP469" s="505"/>
      <c r="BQ469" s="505"/>
      <c r="BR469" s="505"/>
      <c r="BS469" s="505"/>
      <c r="BT469" s="505"/>
      <c r="BU469" s="505"/>
      <c r="BV469" s="505"/>
      <c r="BW469" s="505"/>
      <c r="BX469" s="505"/>
      <c r="BY469" s="505"/>
      <c r="BZ469" s="505"/>
      <c r="CA469" s="505"/>
      <c r="CB469" s="505"/>
      <c r="CC469" s="505"/>
      <c r="CD469" s="505"/>
      <c r="CE469" s="505"/>
      <c r="CF469" s="505"/>
      <c r="CG469" s="505"/>
      <c r="CH469" s="505"/>
      <c r="CI469" s="505"/>
      <c r="CJ469" s="505"/>
      <c r="CK469" s="505"/>
      <c r="CL469" s="505"/>
      <c r="CM469" s="505"/>
      <c r="CN469" s="505"/>
      <c r="CO469" s="505"/>
      <c r="CP469" s="505"/>
      <c r="CQ469" s="505"/>
      <c r="CR469" s="505"/>
      <c r="CS469" s="505"/>
      <c r="CT469" s="505"/>
      <c r="CU469" s="505"/>
      <c r="CV469" s="505"/>
      <c r="CW469" s="505"/>
      <c r="CX469" s="505"/>
      <c r="CY469" s="505"/>
      <c r="CZ469" s="505"/>
      <c r="DA469" s="505"/>
      <c r="DB469" s="505"/>
      <c r="DC469" s="505"/>
      <c r="DD469" s="505"/>
      <c r="DE469" s="505"/>
      <c r="DF469" s="505"/>
      <c r="DG469" s="505"/>
      <c r="DH469" s="505"/>
      <c r="DI469" s="505"/>
      <c r="DJ469" s="505"/>
      <c r="DK469" s="505"/>
      <c r="DL469" s="505"/>
      <c r="DM469" s="505"/>
      <c r="DN469" s="505"/>
      <c r="DO469" s="505"/>
      <c r="DP469" s="505"/>
    </row>
    <row r="470" spans="1:120" hidden="1" outlineLevel="1" x14ac:dyDescent="0.2">
      <c r="A470" s="517">
        <f t="shared" si="67"/>
        <v>39783</v>
      </c>
      <c r="B470" s="517" t="str">
        <f t="shared" si="64"/>
        <v>4Q08</v>
      </c>
      <c r="C470" s="517" t="str">
        <f t="shared" si="68"/>
        <v>1Q09</v>
      </c>
      <c r="D470" s="518">
        <f t="shared" si="69"/>
        <v>39843</v>
      </c>
      <c r="E470" s="518">
        <f t="shared" si="69"/>
        <v>39783</v>
      </c>
      <c r="F470" s="520">
        <v>2.6150000000000002</v>
      </c>
      <c r="G470" s="521">
        <f t="shared" si="65"/>
        <v>0.3000000000000001</v>
      </c>
      <c r="H470" s="521">
        <f t="shared" si="66"/>
        <v>0.28000000000000008</v>
      </c>
      <c r="I470" s="505"/>
      <c r="J470" s="505"/>
      <c r="K470" s="505"/>
      <c r="L470" s="505"/>
      <c r="M470" s="528"/>
      <c r="N470" s="505"/>
      <c r="O470" s="505"/>
      <c r="P470" s="505"/>
      <c r="Q470" s="505"/>
      <c r="R470" s="505"/>
      <c r="S470" s="505"/>
      <c r="T470" s="505"/>
      <c r="U470" s="505"/>
      <c r="V470" s="505"/>
      <c r="W470" s="505"/>
      <c r="X470" s="505"/>
      <c r="Y470" s="505"/>
      <c r="Z470" s="505"/>
      <c r="AA470" s="505"/>
      <c r="AB470" s="505"/>
      <c r="AC470" s="505"/>
      <c r="AD470" s="505"/>
      <c r="AE470" s="505"/>
      <c r="AF470" s="505"/>
      <c r="AG470" s="505"/>
      <c r="AH470" s="505"/>
      <c r="AI470" s="505"/>
      <c r="AJ470" s="505"/>
      <c r="AK470" s="505"/>
      <c r="AL470" s="505"/>
      <c r="AM470" s="505"/>
      <c r="AN470" s="505"/>
      <c r="AO470" s="505"/>
      <c r="AP470" s="505"/>
      <c r="AQ470" s="505"/>
      <c r="AR470" s="505"/>
      <c r="AS470" s="505"/>
      <c r="AT470" s="505"/>
      <c r="AU470" s="505"/>
      <c r="AV470" s="505"/>
      <c r="AW470" s="505"/>
      <c r="AX470" s="505"/>
      <c r="AY470" s="505"/>
      <c r="AZ470" s="505"/>
      <c r="BA470" s="505"/>
      <c r="BB470" s="505"/>
      <c r="BC470" s="505"/>
      <c r="BD470" s="505"/>
      <c r="BE470" s="505"/>
      <c r="BF470" s="505"/>
      <c r="BG470" s="505"/>
      <c r="BH470" s="505"/>
      <c r="BI470" s="505"/>
      <c r="BJ470" s="505"/>
      <c r="BK470" s="505"/>
      <c r="BL470" s="505"/>
      <c r="BM470" s="505"/>
      <c r="BN470" s="505"/>
      <c r="BO470" s="505"/>
      <c r="BP470" s="505"/>
      <c r="BQ470" s="505"/>
      <c r="BR470" s="505"/>
      <c r="BS470" s="505"/>
      <c r="BT470" s="505"/>
      <c r="BU470" s="505"/>
      <c r="BV470" s="505"/>
      <c r="BW470" s="505"/>
      <c r="BX470" s="505"/>
      <c r="BY470" s="505"/>
      <c r="BZ470" s="505"/>
      <c r="CA470" s="505"/>
      <c r="CB470" s="505"/>
      <c r="CC470" s="505"/>
      <c r="CD470" s="505"/>
      <c r="CE470" s="505"/>
      <c r="CF470" s="505"/>
      <c r="CG470" s="505"/>
      <c r="CH470" s="505"/>
      <c r="CI470" s="505"/>
      <c r="CJ470" s="505"/>
      <c r="CK470" s="505"/>
      <c r="CL470" s="505"/>
      <c r="CM470" s="505"/>
      <c r="CN470" s="505"/>
      <c r="CO470" s="505"/>
      <c r="CP470" s="505"/>
      <c r="CQ470" s="505"/>
      <c r="CR470" s="505"/>
      <c r="CS470" s="505"/>
      <c r="CT470" s="505"/>
      <c r="CU470" s="505"/>
      <c r="CV470" s="505"/>
      <c r="CW470" s="505"/>
      <c r="CX470" s="505"/>
      <c r="CY470" s="505"/>
      <c r="CZ470" s="505"/>
      <c r="DA470" s="505"/>
      <c r="DB470" s="505"/>
      <c r="DC470" s="505"/>
      <c r="DD470" s="505"/>
      <c r="DE470" s="505"/>
      <c r="DF470" s="505"/>
      <c r="DG470" s="505"/>
      <c r="DH470" s="505"/>
      <c r="DI470" s="505"/>
      <c r="DJ470" s="505"/>
      <c r="DK470" s="505"/>
      <c r="DL470" s="505"/>
      <c r="DM470" s="505"/>
      <c r="DN470" s="505"/>
      <c r="DO470" s="505"/>
      <c r="DP470" s="505"/>
    </row>
    <row r="471" spans="1:120" hidden="1" outlineLevel="1" x14ac:dyDescent="0.2">
      <c r="A471" s="517">
        <f t="shared" si="67"/>
        <v>39783</v>
      </c>
      <c r="B471" s="517" t="str">
        <f t="shared" si="64"/>
        <v>4Q08</v>
      </c>
      <c r="C471" s="517" t="str">
        <f t="shared" si="68"/>
        <v>1Q09</v>
      </c>
      <c r="D471" s="518">
        <f t="shared" si="69"/>
        <v>39850</v>
      </c>
      <c r="E471" s="518">
        <f t="shared" si="69"/>
        <v>39790</v>
      </c>
      <c r="F471" s="520">
        <v>2.5150000000000001</v>
      </c>
      <c r="G471" s="521">
        <f t="shared" si="65"/>
        <v>0.28000000000000008</v>
      </c>
      <c r="H471" s="521">
        <f t="shared" si="66"/>
        <v>0.26000000000000006</v>
      </c>
      <c r="I471" s="505"/>
      <c r="J471" s="505"/>
      <c r="K471" s="505"/>
      <c r="L471" s="505"/>
      <c r="M471" s="528"/>
      <c r="N471" s="505"/>
      <c r="O471" s="505"/>
      <c r="P471" s="505"/>
      <c r="Q471" s="505"/>
      <c r="R471" s="505"/>
      <c r="S471" s="505"/>
      <c r="T471" s="505"/>
      <c r="U471" s="505"/>
      <c r="V471" s="505"/>
      <c r="W471" s="505"/>
      <c r="X471" s="505"/>
      <c r="Y471" s="505"/>
      <c r="Z471" s="505"/>
      <c r="AA471" s="505"/>
      <c r="AB471" s="505"/>
      <c r="AC471" s="505"/>
      <c r="AD471" s="505"/>
      <c r="AE471" s="505"/>
      <c r="AF471" s="505"/>
      <c r="AG471" s="505"/>
      <c r="AH471" s="505"/>
      <c r="AI471" s="505"/>
      <c r="AJ471" s="505"/>
      <c r="AK471" s="505"/>
      <c r="AL471" s="505"/>
      <c r="AM471" s="505"/>
      <c r="AN471" s="505"/>
      <c r="AO471" s="505"/>
      <c r="AP471" s="505"/>
      <c r="AQ471" s="505"/>
      <c r="AR471" s="505"/>
      <c r="AS471" s="505"/>
      <c r="AT471" s="505"/>
      <c r="AU471" s="505"/>
      <c r="AV471" s="505"/>
      <c r="AW471" s="505"/>
      <c r="AX471" s="505"/>
      <c r="AY471" s="505"/>
      <c r="AZ471" s="505"/>
      <c r="BA471" s="505"/>
      <c r="BB471" s="505"/>
      <c r="BC471" s="505"/>
      <c r="BD471" s="505"/>
      <c r="BE471" s="505"/>
      <c r="BF471" s="505"/>
      <c r="BG471" s="505"/>
      <c r="BH471" s="505"/>
      <c r="BI471" s="505"/>
      <c r="BJ471" s="505"/>
      <c r="BK471" s="505"/>
      <c r="BL471" s="505"/>
      <c r="BM471" s="505"/>
      <c r="BN471" s="505"/>
      <c r="BO471" s="505"/>
      <c r="BP471" s="505"/>
      <c r="BQ471" s="505"/>
      <c r="BR471" s="505"/>
      <c r="BS471" s="505"/>
      <c r="BT471" s="505"/>
      <c r="BU471" s="505"/>
      <c r="BV471" s="505"/>
      <c r="BW471" s="505"/>
      <c r="BX471" s="505"/>
      <c r="BY471" s="505"/>
      <c r="BZ471" s="505"/>
      <c r="CA471" s="505"/>
      <c r="CB471" s="505"/>
      <c r="CC471" s="505"/>
      <c r="CD471" s="505"/>
      <c r="CE471" s="505"/>
      <c r="CF471" s="505"/>
      <c r="CG471" s="505"/>
      <c r="CH471" s="505"/>
      <c r="CI471" s="505"/>
      <c r="CJ471" s="505"/>
      <c r="CK471" s="505"/>
      <c r="CL471" s="505"/>
      <c r="CM471" s="505"/>
      <c r="CN471" s="505"/>
      <c r="CO471" s="505"/>
      <c r="CP471" s="505"/>
      <c r="CQ471" s="505"/>
      <c r="CR471" s="505"/>
      <c r="CS471" s="505"/>
      <c r="CT471" s="505"/>
      <c r="CU471" s="505"/>
      <c r="CV471" s="505"/>
      <c r="CW471" s="505"/>
      <c r="CX471" s="505"/>
      <c r="CY471" s="505"/>
      <c r="CZ471" s="505"/>
      <c r="DA471" s="505"/>
      <c r="DB471" s="505"/>
      <c r="DC471" s="505"/>
      <c r="DD471" s="505"/>
      <c r="DE471" s="505"/>
      <c r="DF471" s="505"/>
      <c r="DG471" s="505"/>
      <c r="DH471" s="505"/>
      <c r="DI471" s="505"/>
      <c r="DJ471" s="505"/>
      <c r="DK471" s="505"/>
      <c r="DL471" s="505"/>
      <c r="DM471" s="505"/>
      <c r="DN471" s="505"/>
      <c r="DO471" s="505"/>
      <c r="DP471" s="505"/>
    </row>
    <row r="472" spans="1:120" hidden="1" outlineLevel="1" x14ac:dyDescent="0.2">
      <c r="A472" s="517">
        <f t="shared" si="67"/>
        <v>39783</v>
      </c>
      <c r="B472" s="517" t="str">
        <f t="shared" si="64"/>
        <v>4Q08</v>
      </c>
      <c r="C472" s="517" t="str">
        <f t="shared" si="68"/>
        <v>1Q09</v>
      </c>
      <c r="D472" s="518">
        <f t="shared" si="69"/>
        <v>39857</v>
      </c>
      <c r="E472" s="518">
        <f t="shared" si="69"/>
        <v>39797</v>
      </c>
      <c r="F472" s="520">
        <v>2.4220000000000002</v>
      </c>
      <c r="G472" s="521">
        <f t="shared" si="65"/>
        <v>0.26000000000000006</v>
      </c>
      <c r="H472" s="521">
        <f t="shared" si="66"/>
        <v>0.25000000000000006</v>
      </c>
      <c r="I472" s="505"/>
      <c r="J472" s="505"/>
      <c r="K472" s="505"/>
      <c r="L472" s="505"/>
      <c r="M472" s="528"/>
      <c r="N472" s="505"/>
      <c r="O472" s="505"/>
      <c r="P472" s="505"/>
      <c r="Q472" s="505"/>
      <c r="R472" s="505"/>
      <c r="S472" s="505"/>
      <c r="T472" s="505"/>
      <c r="U472" s="505"/>
      <c r="V472" s="505"/>
      <c r="W472" s="505"/>
      <c r="X472" s="505"/>
      <c r="Y472" s="505"/>
      <c r="Z472" s="505"/>
      <c r="AA472" s="505"/>
      <c r="AB472" s="505"/>
      <c r="AC472" s="505"/>
      <c r="AD472" s="505"/>
      <c r="AE472" s="505"/>
      <c r="AF472" s="505"/>
      <c r="AG472" s="505"/>
      <c r="AH472" s="505"/>
      <c r="AI472" s="505"/>
      <c r="AJ472" s="505"/>
      <c r="AK472" s="505"/>
      <c r="AL472" s="505"/>
      <c r="AM472" s="505"/>
      <c r="AN472" s="505"/>
      <c r="AO472" s="505"/>
      <c r="AP472" s="505"/>
      <c r="AQ472" s="505"/>
      <c r="AR472" s="505"/>
      <c r="AS472" s="505"/>
      <c r="AT472" s="505"/>
      <c r="AU472" s="505"/>
      <c r="AV472" s="505"/>
      <c r="AW472" s="505"/>
      <c r="AX472" s="505"/>
      <c r="AY472" s="505"/>
      <c r="AZ472" s="505"/>
      <c r="BA472" s="505"/>
      <c r="BB472" s="505"/>
      <c r="BC472" s="505"/>
      <c r="BD472" s="505"/>
      <c r="BE472" s="505"/>
      <c r="BF472" s="505"/>
      <c r="BG472" s="505"/>
      <c r="BH472" s="505"/>
      <c r="BI472" s="505"/>
      <c r="BJ472" s="505"/>
      <c r="BK472" s="505"/>
      <c r="BL472" s="505"/>
      <c r="BM472" s="505"/>
      <c r="BN472" s="505"/>
      <c r="BO472" s="505"/>
      <c r="BP472" s="505"/>
      <c r="BQ472" s="505"/>
      <c r="BR472" s="505"/>
      <c r="BS472" s="505"/>
      <c r="BT472" s="505"/>
      <c r="BU472" s="505"/>
      <c r="BV472" s="505"/>
      <c r="BW472" s="505"/>
      <c r="BX472" s="505"/>
      <c r="BY472" s="505"/>
      <c r="BZ472" s="505"/>
      <c r="CA472" s="505"/>
      <c r="CB472" s="505"/>
      <c r="CC472" s="505"/>
      <c r="CD472" s="505"/>
      <c r="CE472" s="505"/>
      <c r="CF472" s="505"/>
      <c r="CG472" s="505"/>
      <c r="CH472" s="505"/>
      <c r="CI472" s="505"/>
      <c r="CJ472" s="505"/>
      <c r="CK472" s="505"/>
      <c r="CL472" s="505"/>
      <c r="CM472" s="505"/>
      <c r="CN472" s="505"/>
      <c r="CO472" s="505"/>
      <c r="CP472" s="505"/>
      <c r="CQ472" s="505"/>
      <c r="CR472" s="505"/>
      <c r="CS472" s="505"/>
      <c r="CT472" s="505"/>
      <c r="CU472" s="505"/>
      <c r="CV472" s="505"/>
      <c r="CW472" s="505"/>
      <c r="CX472" s="505"/>
      <c r="CY472" s="505"/>
      <c r="CZ472" s="505"/>
      <c r="DA472" s="505"/>
      <c r="DB472" s="505"/>
      <c r="DC472" s="505"/>
      <c r="DD472" s="505"/>
      <c r="DE472" s="505"/>
      <c r="DF472" s="505"/>
      <c r="DG472" s="505"/>
      <c r="DH472" s="505"/>
      <c r="DI472" s="505"/>
      <c r="DJ472" s="505"/>
      <c r="DK472" s="505"/>
      <c r="DL472" s="505"/>
      <c r="DM472" s="505"/>
      <c r="DN472" s="505"/>
      <c r="DO472" s="505"/>
      <c r="DP472" s="505"/>
    </row>
    <row r="473" spans="1:120" hidden="1" outlineLevel="1" x14ac:dyDescent="0.2">
      <c r="A473" s="517">
        <f t="shared" si="67"/>
        <v>39783</v>
      </c>
      <c r="B473" s="517" t="str">
        <f t="shared" si="64"/>
        <v>4Q08</v>
      </c>
      <c r="C473" s="517" t="str">
        <f t="shared" si="68"/>
        <v>1Q09</v>
      </c>
      <c r="D473" s="518">
        <f t="shared" si="69"/>
        <v>39864</v>
      </c>
      <c r="E473" s="518">
        <f t="shared" si="69"/>
        <v>39804</v>
      </c>
      <c r="F473" s="520">
        <v>2.3660000000000001</v>
      </c>
      <c r="G473" s="521">
        <f t="shared" si="65"/>
        <v>0.25000000000000006</v>
      </c>
      <c r="H473" s="521">
        <f t="shared" si="66"/>
        <v>0.24000000000000007</v>
      </c>
      <c r="I473" s="505"/>
      <c r="J473" s="505"/>
      <c r="K473" s="505"/>
      <c r="L473" s="505"/>
      <c r="M473" s="528"/>
      <c r="N473" s="505"/>
      <c r="O473" s="505"/>
      <c r="P473" s="505"/>
      <c r="Q473" s="505"/>
      <c r="R473" s="505"/>
      <c r="S473" s="505"/>
      <c r="T473" s="505"/>
      <c r="U473" s="505"/>
      <c r="V473" s="505"/>
      <c r="W473" s="505"/>
      <c r="X473" s="505"/>
      <c r="Y473" s="505"/>
      <c r="Z473" s="505"/>
      <c r="AA473" s="505"/>
      <c r="AB473" s="505"/>
      <c r="AC473" s="505"/>
      <c r="AD473" s="505"/>
      <c r="AE473" s="505"/>
      <c r="AF473" s="505"/>
      <c r="AG473" s="505"/>
      <c r="AH473" s="505"/>
      <c r="AI473" s="505"/>
      <c r="AJ473" s="505"/>
      <c r="AK473" s="505"/>
      <c r="AL473" s="505"/>
      <c r="AM473" s="505"/>
      <c r="AN473" s="505"/>
      <c r="AO473" s="505"/>
      <c r="AP473" s="505"/>
      <c r="AQ473" s="505"/>
      <c r="AR473" s="505"/>
      <c r="AS473" s="505"/>
      <c r="AT473" s="505"/>
      <c r="AU473" s="505"/>
      <c r="AV473" s="505"/>
      <c r="AW473" s="505"/>
      <c r="AX473" s="505"/>
      <c r="AY473" s="505"/>
      <c r="AZ473" s="505"/>
      <c r="BA473" s="505"/>
      <c r="BB473" s="505"/>
      <c r="BC473" s="505"/>
      <c r="BD473" s="505"/>
      <c r="BE473" s="505"/>
      <c r="BF473" s="505"/>
      <c r="BG473" s="505"/>
      <c r="BH473" s="505"/>
      <c r="BI473" s="505"/>
      <c r="BJ473" s="505"/>
      <c r="BK473" s="505"/>
      <c r="BL473" s="505"/>
      <c r="BM473" s="505"/>
      <c r="BN473" s="505"/>
      <c r="BO473" s="505"/>
      <c r="BP473" s="505"/>
      <c r="BQ473" s="505"/>
      <c r="BR473" s="505"/>
      <c r="BS473" s="505"/>
      <c r="BT473" s="505"/>
      <c r="BU473" s="505"/>
      <c r="BV473" s="505"/>
      <c r="BW473" s="505"/>
      <c r="BX473" s="505"/>
      <c r="BY473" s="505"/>
      <c r="BZ473" s="505"/>
      <c r="CA473" s="505"/>
      <c r="CB473" s="505"/>
      <c r="CC473" s="505"/>
      <c r="CD473" s="505"/>
      <c r="CE473" s="505"/>
      <c r="CF473" s="505"/>
      <c r="CG473" s="505"/>
      <c r="CH473" s="505"/>
      <c r="CI473" s="505"/>
      <c r="CJ473" s="505"/>
      <c r="CK473" s="505"/>
      <c r="CL473" s="505"/>
      <c r="CM473" s="505"/>
      <c r="CN473" s="505"/>
      <c r="CO473" s="505"/>
      <c r="CP473" s="505"/>
      <c r="CQ473" s="505"/>
      <c r="CR473" s="505"/>
      <c r="CS473" s="505"/>
      <c r="CT473" s="505"/>
      <c r="CU473" s="505"/>
      <c r="CV473" s="505"/>
      <c r="CW473" s="505"/>
      <c r="CX473" s="505"/>
      <c r="CY473" s="505"/>
      <c r="CZ473" s="505"/>
      <c r="DA473" s="505"/>
      <c r="DB473" s="505"/>
      <c r="DC473" s="505"/>
      <c r="DD473" s="505"/>
      <c r="DE473" s="505"/>
      <c r="DF473" s="505"/>
      <c r="DG473" s="505"/>
      <c r="DH473" s="505"/>
      <c r="DI473" s="505"/>
      <c r="DJ473" s="505"/>
      <c r="DK473" s="505"/>
      <c r="DL473" s="505"/>
      <c r="DM473" s="505"/>
      <c r="DN473" s="505"/>
      <c r="DO473" s="505"/>
      <c r="DP473" s="505"/>
    </row>
    <row r="474" spans="1:120" hidden="1" outlineLevel="1" x14ac:dyDescent="0.2">
      <c r="A474" s="517">
        <f t="shared" si="67"/>
        <v>39783</v>
      </c>
      <c r="B474" s="517" t="str">
        <f t="shared" si="64"/>
        <v>4Q08</v>
      </c>
      <c r="C474" s="517" t="str">
        <f t="shared" si="68"/>
        <v>1Q09</v>
      </c>
      <c r="D474" s="518">
        <f t="shared" si="69"/>
        <v>39871</v>
      </c>
      <c r="E474" s="518">
        <f t="shared" si="69"/>
        <v>39811</v>
      </c>
      <c r="F474" s="520">
        <v>2.327</v>
      </c>
      <c r="G474" s="521">
        <f t="shared" si="65"/>
        <v>0.24000000000000007</v>
      </c>
      <c r="H474" s="521">
        <f t="shared" si="66"/>
        <v>0.23000000000000007</v>
      </c>
      <c r="I474" s="505"/>
      <c r="J474" s="505"/>
      <c r="K474" s="505"/>
      <c r="L474" s="505"/>
      <c r="M474" s="528"/>
      <c r="N474" s="505"/>
      <c r="O474" s="505"/>
      <c r="P474" s="505"/>
      <c r="Q474" s="505"/>
      <c r="R474" s="505"/>
      <c r="S474" s="505"/>
      <c r="T474" s="505"/>
      <c r="U474" s="505"/>
      <c r="V474" s="505"/>
      <c r="W474" s="505"/>
      <c r="X474" s="505"/>
      <c r="Y474" s="505"/>
      <c r="Z474" s="505"/>
      <c r="AA474" s="505"/>
      <c r="AB474" s="505"/>
      <c r="AC474" s="505"/>
      <c r="AD474" s="505"/>
      <c r="AE474" s="505"/>
      <c r="AF474" s="505"/>
      <c r="AG474" s="505"/>
      <c r="AH474" s="505"/>
      <c r="AI474" s="505"/>
      <c r="AJ474" s="505"/>
      <c r="AK474" s="505"/>
      <c r="AL474" s="505"/>
      <c r="AM474" s="505"/>
      <c r="AN474" s="505"/>
      <c r="AO474" s="505"/>
      <c r="AP474" s="505"/>
      <c r="AQ474" s="505"/>
      <c r="AR474" s="505"/>
      <c r="AS474" s="505"/>
      <c r="AT474" s="505"/>
      <c r="AU474" s="505"/>
      <c r="AV474" s="505"/>
      <c r="AW474" s="505"/>
      <c r="AX474" s="505"/>
      <c r="AY474" s="505"/>
      <c r="AZ474" s="505"/>
      <c r="BA474" s="505"/>
      <c r="BB474" s="505"/>
      <c r="BC474" s="505"/>
      <c r="BD474" s="505"/>
      <c r="BE474" s="505"/>
      <c r="BF474" s="505"/>
      <c r="BG474" s="505"/>
      <c r="BH474" s="505"/>
      <c r="BI474" s="505"/>
      <c r="BJ474" s="505"/>
      <c r="BK474" s="505"/>
      <c r="BL474" s="505"/>
      <c r="BM474" s="505"/>
      <c r="BN474" s="505"/>
      <c r="BO474" s="505"/>
      <c r="BP474" s="505"/>
      <c r="BQ474" s="505"/>
      <c r="BR474" s="505"/>
      <c r="BS474" s="505"/>
      <c r="BT474" s="505"/>
      <c r="BU474" s="505"/>
      <c r="BV474" s="505"/>
      <c r="BW474" s="505"/>
      <c r="BX474" s="505"/>
      <c r="BY474" s="505"/>
      <c r="BZ474" s="505"/>
      <c r="CA474" s="505"/>
      <c r="CB474" s="505"/>
      <c r="CC474" s="505"/>
      <c r="CD474" s="505"/>
      <c r="CE474" s="505"/>
      <c r="CF474" s="505"/>
      <c r="CG474" s="505"/>
      <c r="CH474" s="505"/>
      <c r="CI474" s="505"/>
      <c r="CJ474" s="505"/>
      <c r="CK474" s="505"/>
      <c r="CL474" s="505"/>
      <c r="CM474" s="505"/>
      <c r="CN474" s="505"/>
      <c r="CO474" s="505"/>
      <c r="CP474" s="505"/>
      <c r="CQ474" s="505"/>
      <c r="CR474" s="505"/>
      <c r="CS474" s="505"/>
      <c r="CT474" s="505"/>
      <c r="CU474" s="505"/>
      <c r="CV474" s="505"/>
      <c r="CW474" s="505"/>
      <c r="CX474" s="505"/>
      <c r="CY474" s="505"/>
      <c r="CZ474" s="505"/>
      <c r="DA474" s="505"/>
      <c r="DB474" s="505"/>
      <c r="DC474" s="505"/>
      <c r="DD474" s="505"/>
      <c r="DE474" s="505"/>
      <c r="DF474" s="505"/>
      <c r="DG474" s="505"/>
      <c r="DH474" s="505"/>
      <c r="DI474" s="505"/>
      <c r="DJ474" s="505"/>
      <c r="DK474" s="505"/>
      <c r="DL474" s="505"/>
      <c r="DM474" s="505"/>
      <c r="DN474" s="505"/>
      <c r="DO474" s="505"/>
      <c r="DP474" s="505"/>
    </row>
    <row r="475" spans="1:120" hidden="1" outlineLevel="1" x14ac:dyDescent="0.2">
      <c r="A475" s="517">
        <f t="shared" si="67"/>
        <v>39814</v>
      </c>
      <c r="B475" s="517" t="str">
        <f t="shared" si="64"/>
        <v>1Q09</v>
      </c>
      <c r="C475" s="517" t="str">
        <f t="shared" si="68"/>
        <v>1Q09</v>
      </c>
      <c r="D475" s="518">
        <f t="shared" si="69"/>
        <v>39878</v>
      </c>
      <c r="E475" s="518">
        <f t="shared" si="69"/>
        <v>39818</v>
      </c>
      <c r="F475" s="520">
        <v>2.2909999999999999</v>
      </c>
      <c r="G475" s="521">
        <f t="shared" si="65"/>
        <v>0.23000000000000007</v>
      </c>
      <c r="H475" s="521">
        <f t="shared" si="66"/>
        <v>0.24000000000000007</v>
      </c>
      <c r="I475" s="505"/>
      <c r="J475" s="505"/>
      <c r="K475" s="505"/>
      <c r="L475" s="505"/>
      <c r="M475" s="528"/>
      <c r="N475" s="505"/>
      <c r="O475" s="505"/>
      <c r="P475" s="505"/>
      <c r="Q475" s="505"/>
      <c r="R475" s="505"/>
      <c r="S475" s="505"/>
      <c r="T475" s="505"/>
      <c r="U475" s="505"/>
      <c r="V475" s="505"/>
      <c r="W475" s="505"/>
      <c r="X475" s="505"/>
      <c r="Y475" s="505"/>
      <c r="Z475" s="505"/>
      <c r="AA475" s="505"/>
      <c r="AB475" s="505"/>
      <c r="AC475" s="505"/>
      <c r="AD475" s="505"/>
      <c r="AE475" s="505"/>
      <c r="AF475" s="505"/>
      <c r="AG475" s="505"/>
      <c r="AH475" s="505"/>
      <c r="AI475" s="505"/>
      <c r="AJ475" s="505"/>
      <c r="AK475" s="505"/>
      <c r="AL475" s="505"/>
      <c r="AM475" s="505"/>
      <c r="AN475" s="505"/>
      <c r="AO475" s="505"/>
      <c r="AP475" s="505"/>
      <c r="AQ475" s="505"/>
      <c r="AR475" s="505"/>
      <c r="AS475" s="505"/>
      <c r="AT475" s="505"/>
      <c r="AU475" s="505"/>
      <c r="AV475" s="505"/>
      <c r="AW475" s="505"/>
      <c r="AX475" s="505"/>
      <c r="AY475" s="505"/>
      <c r="AZ475" s="505"/>
      <c r="BA475" s="505"/>
      <c r="BB475" s="505"/>
      <c r="BC475" s="505"/>
      <c r="BD475" s="505"/>
      <c r="BE475" s="505"/>
      <c r="BF475" s="505"/>
      <c r="BG475" s="505"/>
      <c r="BH475" s="505"/>
      <c r="BI475" s="505"/>
      <c r="BJ475" s="505"/>
      <c r="BK475" s="505"/>
      <c r="BL475" s="505"/>
      <c r="BM475" s="505"/>
      <c r="BN475" s="505"/>
      <c r="BO475" s="505"/>
      <c r="BP475" s="505"/>
      <c r="BQ475" s="505"/>
      <c r="BR475" s="505"/>
      <c r="BS475" s="505"/>
      <c r="BT475" s="505"/>
      <c r="BU475" s="505"/>
      <c r="BV475" s="505"/>
      <c r="BW475" s="505"/>
      <c r="BX475" s="505"/>
      <c r="BY475" s="505"/>
      <c r="BZ475" s="505"/>
      <c r="CA475" s="505"/>
      <c r="CB475" s="505"/>
      <c r="CC475" s="505"/>
      <c r="CD475" s="505"/>
      <c r="CE475" s="505"/>
      <c r="CF475" s="505"/>
      <c r="CG475" s="505"/>
      <c r="CH475" s="505"/>
      <c r="CI475" s="505"/>
      <c r="CJ475" s="505"/>
      <c r="CK475" s="505"/>
      <c r="CL475" s="505"/>
      <c r="CM475" s="505"/>
      <c r="CN475" s="505"/>
      <c r="CO475" s="505"/>
      <c r="CP475" s="505"/>
      <c r="CQ475" s="505"/>
      <c r="CR475" s="505"/>
      <c r="CS475" s="505"/>
      <c r="CT475" s="505"/>
      <c r="CU475" s="505"/>
      <c r="CV475" s="505"/>
      <c r="CW475" s="505"/>
      <c r="CX475" s="505"/>
      <c r="CY475" s="505"/>
      <c r="CZ475" s="505"/>
      <c r="DA475" s="505"/>
      <c r="DB475" s="505"/>
      <c r="DC475" s="505"/>
      <c r="DD475" s="505"/>
      <c r="DE475" s="505"/>
      <c r="DF475" s="505"/>
      <c r="DG475" s="505"/>
      <c r="DH475" s="505"/>
      <c r="DI475" s="505"/>
      <c r="DJ475" s="505"/>
      <c r="DK475" s="505"/>
      <c r="DL475" s="505"/>
      <c r="DM475" s="505"/>
      <c r="DN475" s="505"/>
      <c r="DO475" s="505"/>
      <c r="DP475" s="505"/>
    </row>
    <row r="476" spans="1:120" hidden="1" outlineLevel="1" x14ac:dyDescent="0.2">
      <c r="A476" s="517">
        <f t="shared" si="67"/>
        <v>39814</v>
      </c>
      <c r="B476" s="517" t="str">
        <f t="shared" si="64"/>
        <v>1Q09</v>
      </c>
      <c r="C476" s="517" t="str">
        <f t="shared" si="68"/>
        <v>1Q09</v>
      </c>
      <c r="D476" s="518">
        <f t="shared" si="69"/>
        <v>39885</v>
      </c>
      <c r="E476" s="518">
        <f t="shared" si="69"/>
        <v>39825</v>
      </c>
      <c r="F476" s="520">
        <v>2.3140000000000001</v>
      </c>
      <c r="G476" s="521">
        <f t="shared" si="65"/>
        <v>0.24000000000000007</v>
      </c>
      <c r="H476" s="521">
        <f t="shared" si="66"/>
        <v>0.23000000000000007</v>
      </c>
      <c r="I476" s="505"/>
      <c r="J476" s="505"/>
      <c r="K476" s="505"/>
      <c r="L476" s="505"/>
      <c r="M476" s="528"/>
      <c r="N476" s="505"/>
      <c r="O476" s="505"/>
      <c r="P476" s="505"/>
      <c r="Q476" s="505"/>
      <c r="R476" s="505"/>
      <c r="S476" s="505"/>
      <c r="T476" s="505"/>
      <c r="U476" s="505"/>
      <c r="V476" s="505"/>
      <c r="W476" s="505"/>
      <c r="X476" s="505"/>
      <c r="Y476" s="505"/>
      <c r="Z476" s="505"/>
      <c r="AA476" s="505"/>
      <c r="AB476" s="505"/>
      <c r="AC476" s="505"/>
      <c r="AD476" s="505"/>
      <c r="AE476" s="505"/>
      <c r="AF476" s="505"/>
      <c r="AG476" s="505"/>
      <c r="AH476" s="505"/>
      <c r="AI476" s="505"/>
      <c r="AJ476" s="505"/>
      <c r="AK476" s="505"/>
      <c r="AL476" s="505"/>
      <c r="AM476" s="505"/>
      <c r="AN476" s="505"/>
      <c r="AO476" s="505"/>
      <c r="AP476" s="505"/>
      <c r="AQ476" s="505"/>
      <c r="AR476" s="505"/>
      <c r="AS476" s="505"/>
      <c r="AT476" s="505"/>
      <c r="AU476" s="505"/>
      <c r="AV476" s="505"/>
      <c r="AW476" s="505"/>
      <c r="AX476" s="505"/>
      <c r="AY476" s="505"/>
      <c r="AZ476" s="505"/>
      <c r="BA476" s="505"/>
      <c r="BB476" s="505"/>
      <c r="BC476" s="505"/>
      <c r="BD476" s="505"/>
      <c r="BE476" s="505"/>
      <c r="BF476" s="505"/>
      <c r="BG476" s="505"/>
      <c r="BH476" s="505"/>
      <c r="BI476" s="505"/>
      <c r="BJ476" s="505"/>
      <c r="BK476" s="505"/>
      <c r="BL476" s="505"/>
      <c r="BM476" s="505"/>
      <c r="BN476" s="505"/>
      <c r="BO476" s="505"/>
      <c r="BP476" s="505"/>
      <c r="BQ476" s="505"/>
      <c r="BR476" s="505"/>
      <c r="BS476" s="505"/>
      <c r="BT476" s="505"/>
      <c r="BU476" s="505"/>
      <c r="BV476" s="505"/>
      <c r="BW476" s="505"/>
      <c r="BX476" s="505"/>
      <c r="BY476" s="505"/>
      <c r="BZ476" s="505"/>
      <c r="CA476" s="505"/>
      <c r="CB476" s="505"/>
      <c r="CC476" s="505"/>
      <c r="CD476" s="505"/>
      <c r="CE476" s="505"/>
      <c r="CF476" s="505"/>
      <c r="CG476" s="505"/>
      <c r="CH476" s="505"/>
      <c r="CI476" s="505"/>
      <c r="CJ476" s="505"/>
      <c r="CK476" s="505"/>
      <c r="CL476" s="505"/>
      <c r="CM476" s="505"/>
      <c r="CN476" s="505"/>
      <c r="CO476" s="505"/>
      <c r="CP476" s="505"/>
      <c r="CQ476" s="505"/>
      <c r="CR476" s="505"/>
      <c r="CS476" s="505"/>
      <c r="CT476" s="505"/>
      <c r="CU476" s="505"/>
      <c r="CV476" s="505"/>
      <c r="CW476" s="505"/>
      <c r="CX476" s="505"/>
      <c r="CY476" s="505"/>
      <c r="CZ476" s="505"/>
      <c r="DA476" s="505"/>
      <c r="DB476" s="505"/>
      <c r="DC476" s="505"/>
      <c r="DD476" s="505"/>
      <c r="DE476" s="505"/>
      <c r="DF476" s="505"/>
      <c r="DG476" s="505"/>
      <c r="DH476" s="505"/>
      <c r="DI476" s="505"/>
      <c r="DJ476" s="505"/>
      <c r="DK476" s="505"/>
      <c r="DL476" s="505"/>
      <c r="DM476" s="505"/>
      <c r="DN476" s="505"/>
      <c r="DO476" s="505"/>
      <c r="DP476" s="505"/>
    </row>
    <row r="477" spans="1:120" hidden="1" outlineLevel="1" x14ac:dyDescent="0.2">
      <c r="A477" s="517">
        <f t="shared" si="67"/>
        <v>39814</v>
      </c>
      <c r="B477" s="517" t="str">
        <f t="shared" si="64"/>
        <v>1Q09</v>
      </c>
      <c r="C477" s="517" t="str">
        <f t="shared" si="68"/>
        <v>1Q09</v>
      </c>
      <c r="D477" s="518">
        <f t="shared" si="69"/>
        <v>39892</v>
      </c>
      <c r="E477" s="518">
        <f t="shared" si="69"/>
        <v>39832</v>
      </c>
      <c r="F477" s="520">
        <v>2.2959999999999998</v>
      </c>
      <c r="G477" s="521">
        <f t="shared" si="65"/>
        <v>0.23000000000000007</v>
      </c>
      <c r="H477" s="521">
        <f t="shared" si="66"/>
        <v>0.23000000000000007</v>
      </c>
      <c r="I477" s="505"/>
      <c r="J477" s="505"/>
      <c r="K477" s="505"/>
      <c r="L477" s="505"/>
      <c r="M477" s="528"/>
      <c r="N477" s="505"/>
      <c r="O477" s="505"/>
      <c r="P477" s="505"/>
      <c r="Q477" s="505"/>
      <c r="R477" s="505"/>
      <c r="S477" s="505"/>
      <c r="T477" s="505"/>
      <c r="U477" s="505"/>
      <c r="V477" s="505"/>
      <c r="W477" s="505"/>
      <c r="X477" s="505"/>
      <c r="Y477" s="505"/>
      <c r="Z477" s="505"/>
      <c r="AA477" s="505"/>
      <c r="AB477" s="505"/>
      <c r="AC477" s="505"/>
      <c r="AD477" s="505"/>
      <c r="AE477" s="505"/>
      <c r="AF477" s="505"/>
      <c r="AG477" s="505"/>
      <c r="AH477" s="505"/>
      <c r="AI477" s="505"/>
      <c r="AJ477" s="505"/>
      <c r="AK477" s="505"/>
      <c r="AL477" s="505"/>
      <c r="AM477" s="505"/>
      <c r="AN477" s="505"/>
      <c r="AO477" s="505"/>
      <c r="AP477" s="505"/>
      <c r="AQ477" s="505"/>
      <c r="AR477" s="505"/>
      <c r="AS477" s="505"/>
      <c r="AT477" s="505"/>
      <c r="AU477" s="505"/>
      <c r="AV477" s="505"/>
      <c r="AW477" s="505"/>
      <c r="AX477" s="505"/>
      <c r="AY477" s="505"/>
      <c r="AZ477" s="505"/>
      <c r="BA477" s="505"/>
      <c r="BB477" s="505"/>
      <c r="BC477" s="505"/>
      <c r="BD477" s="505"/>
      <c r="BE477" s="505"/>
      <c r="BF477" s="505"/>
      <c r="BG477" s="505"/>
      <c r="BH477" s="505"/>
      <c r="BI477" s="505"/>
      <c r="BJ477" s="505"/>
      <c r="BK477" s="505"/>
      <c r="BL477" s="505"/>
      <c r="BM477" s="505"/>
      <c r="BN477" s="505"/>
      <c r="BO477" s="505"/>
      <c r="BP477" s="505"/>
      <c r="BQ477" s="505"/>
      <c r="BR477" s="505"/>
      <c r="BS477" s="505"/>
      <c r="BT477" s="505"/>
      <c r="BU477" s="505"/>
      <c r="BV477" s="505"/>
      <c r="BW477" s="505"/>
      <c r="BX477" s="505"/>
      <c r="BY477" s="505"/>
      <c r="BZ477" s="505"/>
      <c r="CA477" s="505"/>
      <c r="CB477" s="505"/>
      <c r="CC477" s="505"/>
      <c r="CD477" s="505"/>
      <c r="CE477" s="505"/>
      <c r="CF477" s="505"/>
      <c r="CG477" s="505"/>
      <c r="CH477" s="505"/>
      <c r="CI477" s="505"/>
      <c r="CJ477" s="505"/>
      <c r="CK477" s="505"/>
      <c r="CL477" s="505"/>
      <c r="CM477" s="505"/>
      <c r="CN477" s="505"/>
      <c r="CO477" s="505"/>
      <c r="CP477" s="505"/>
      <c r="CQ477" s="505"/>
      <c r="CR477" s="505"/>
      <c r="CS477" s="505"/>
      <c r="CT477" s="505"/>
      <c r="CU477" s="505"/>
      <c r="CV477" s="505"/>
      <c r="CW477" s="505"/>
      <c r="CX477" s="505"/>
      <c r="CY477" s="505"/>
      <c r="CZ477" s="505"/>
      <c r="DA477" s="505"/>
      <c r="DB477" s="505"/>
      <c r="DC477" s="505"/>
      <c r="DD477" s="505"/>
      <c r="DE477" s="505"/>
      <c r="DF477" s="505"/>
      <c r="DG477" s="505"/>
      <c r="DH477" s="505"/>
      <c r="DI477" s="505"/>
      <c r="DJ477" s="505"/>
      <c r="DK477" s="505"/>
      <c r="DL477" s="505"/>
      <c r="DM477" s="505"/>
      <c r="DN477" s="505"/>
      <c r="DO477" s="505"/>
      <c r="DP477" s="505"/>
    </row>
    <row r="478" spans="1:120" hidden="1" outlineLevel="1" x14ac:dyDescent="0.2">
      <c r="A478" s="517">
        <f t="shared" si="67"/>
        <v>39814</v>
      </c>
      <c r="B478" s="517" t="str">
        <f t="shared" si="64"/>
        <v>1Q09</v>
      </c>
      <c r="C478" s="517" t="str">
        <f t="shared" si="68"/>
        <v>1Q09</v>
      </c>
      <c r="D478" s="518">
        <f t="shared" si="69"/>
        <v>39899</v>
      </c>
      <c r="E478" s="518">
        <f t="shared" si="69"/>
        <v>39839</v>
      </c>
      <c r="F478" s="520">
        <v>2.2679999999999998</v>
      </c>
      <c r="G478" s="521">
        <f t="shared" si="65"/>
        <v>0.23000000000000007</v>
      </c>
      <c r="H478" s="521">
        <f t="shared" si="66"/>
        <v>0.22000000000000006</v>
      </c>
      <c r="I478" s="505"/>
      <c r="J478" s="505"/>
      <c r="K478" s="505"/>
      <c r="L478" s="505"/>
      <c r="M478" s="528"/>
      <c r="N478" s="505"/>
      <c r="O478" s="505"/>
      <c r="P478" s="505"/>
      <c r="Q478" s="505"/>
      <c r="R478" s="505"/>
      <c r="S478" s="505"/>
      <c r="T478" s="505"/>
      <c r="U478" s="505"/>
      <c r="V478" s="505"/>
      <c r="W478" s="505"/>
      <c r="X478" s="505"/>
      <c r="Y478" s="505"/>
      <c r="Z478" s="505"/>
      <c r="AA478" s="505"/>
      <c r="AB478" s="505"/>
      <c r="AC478" s="505"/>
      <c r="AD478" s="505"/>
      <c r="AE478" s="505"/>
      <c r="AF478" s="505"/>
      <c r="AG478" s="505"/>
      <c r="AH478" s="505"/>
      <c r="AI478" s="505"/>
      <c r="AJ478" s="505"/>
      <c r="AK478" s="505"/>
      <c r="AL478" s="505"/>
      <c r="AM478" s="505"/>
      <c r="AN478" s="505"/>
      <c r="AO478" s="505"/>
      <c r="AP478" s="505"/>
      <c r="AQ478" s="505"/>
      <c r="AR478" s="505"/>
      <c r="AS478" s="505"/>
      <c r="AT478" s="505"/>
      <c r="AU478" s="505"/>
      <c r="AV478" s="505"/>
      <c r="AW478" s="505"/>
      <c r="AX478" s="505"/>
      <c r="AY478" s="505"/>
      <c r="AZ478" s="505"/>
      <c r="BA478" s="505"/>
      <c r="BB478" s="505"/>
      <c r="BC478" s="505"/>
      <c r="BD478" s="505"/>
      <c r="BE478" s="505"/>
      <c r="BF478" s="505"/>
      <c r="BG478" s="505"/>
      <c r="BH478" s="505"/>
      <c r="BI478" s="505"/>
      <c r="BJ478" s="505"/>
      <c r="BK478" s="505"/>
      <c r="BL478" s="505"/>
      <c r="BM478" s="505"/>
      <c r="BN478" s="505"/>
      <c r="BO478" s="505"/>
      <c r="BP478" s="505"/>
      <c r="BQ478" s="505"/>
      <c r="BR478" s="505"/>
      <c r="BS478" s="505"/>
      <c r="BT478" s="505"/>
      <c r="BU478" s="505"/>
      <c r="BV478" s="505"/>
      <c r="BW478" s="505"/>
      <c r="BX478" s="505"/>
      <c r="BY478" s="505"/>
      <c r="BZ478" s="505"/>
      <c r="CA478" s="505"/>
      <c r="CB478" s="505"/>
      <c r="CC478" s="505"/>
      <c r="CD478" s="505"/>
      <c r="CE478" s="505"/>
      <c r="CF478" s="505"/>
      <c r="CG478" s="505"/>
      <c r="CH478" s="505"/>
      <c r="CI478" s="505"/>
      <c r="CJ478" s="505"/>
      <c r="CK478" s="505"/>
      <c r="CL478" s="505"/>
      <c r="CM478" s="505"/>
      <c r="CN478" s="505"/>
      <c r="CO478" s="505"/>
      <c r="CP478" s="505"/>
      <c r="CQ478" s="505"/>
      <c r="CR478" s="505"/>
      <c r="CS478" s="505"/>
      <c r="CT478" s="505"/>
      <c r="CU478" s="505"/>
      <c r="CV478" s="505"/>
      <c r="CW478" s="505"/>
      <c r="CX478" s="505"/>
      <c r="CY478" s="505"/>
      <c r="CZ478" s="505"/>
      <c r="DA478" s="505"/>
      <c r="DB478" s="505"/>
      <c r="DC478" s="505"/>
      <c r="DD478" s="505"/>
      <c r="DE478" s="505"/>
      <c r="DF478" s="505"/>
      <c r="DG478" s="505"/>
      <c r="DH478" s="505"/>
      <c r="DI478" s="505"/>
      <c r="DJ478" s="505"/>
      <c r="DK478" s="505"/>
      <c r="DL478" s="505"/>
      <c r="DM478" s="505"/>
      <c r="DN478" s="505"/>
      <c r="DO478" s="505"/>
      <c r="DP478" s="505"/>
    </row>
    <row r="479" spans="1:120" hidden="1" outlineLevel="1" x14ac:dyDescent="0.2">
      <c r="A479" s="517">
        <f t="shared" si="67"/>
        <v>39845</v>
      </c>
      <c r="B479" s="517" t="str">
        <f t="shared" si="64"/>
        <v>1Q09</v>
      </c>
      <c r="C479" s="517" t="str">
        <f t="shared" si="68"/>
        <v>2Q09</v>
      </c>
      <c r="D479" s="518">
        <f t="shared" si="69"/>
        <v>39906</v>
      </c>
      <c r="E479" s="518">
        <f t="shared" si="69"/>
        <v>39846</v>
      </c>
      <c r="F479" s="520">
        <v>2.246</v>
      </c>
      <c r="G479" s="521">
        <f t="shared" si="65"/>
        <v>0.22000000000000006</v>
      </c>
      <c r="H479" s="521">
        <f t="shared" si="66"/>
        <v>0.22000000000000006</v>
      </c>
      <c r="I479" s="505"/>
      <c r="J479" s="505"/>
      <c r="K479" s="505"/>
      <c r="L479" s="505"/>
      <c r="M479" s="528"/>
      <c r="N479" s="505"/>
      <c r="O479" s="505"/>
      <c r="P479" s="505"/>
      <c r="Q479" s="505"/>
      <c r="R479" s="505"/>
      <c r="S479" s="505"/>
      <c r="T479" s="505"/>
      <c r="U479" s="505"/>
      <c r="V479" s="505"/>
      <c r="W479" s="505"/>
      <c r="X479" s="505"/>
      <c r="Y479" s="505"/>
      <c r="Z479" s="505"/>
      <c r="AA479" s="505"/>
      <c r="AB479" s="505"/>
      <c r="AC479" s="505"/>
      <c r="AD479" s="505"/>
      <c r="AE479" s="505"/>
      <c r="AF479" s="505"/>
      <c r="AG479" s="505"/>
      <c r="AH479" s="505"/>
      <c r="AI479" s="505"/>
      <c r="AJ479" s="505"/>
      <c r="AK479" s="505"/>
      <c r="AL479" s="505"/>
      <c r="AM479" s="505"/>
      <c r="AN479" s="505"/>
      <c r="AO479" s="505"/>
      <c r="AP479" s="505"/>
      <c r="AQ479" s="505"/>
      <c r="AR479" s="505"/>
      <c r="AS479" s="505"/>
      <c r="AT479" s="505"/>
      <c r="AU479" s="505"/>
      <c r="AV479" s="505"/>
      <c r="AW479" s="505"/>
      <c r="AX479" s="505"/>
      <c r="AY479" s="505"/>
      <c r="AZ479" s="505"/>
      <c r="BA479" s="505"/>
      <c r="BB479" s="505"/>
      <c r="BC479" s="505"/>
      <c r="BD479" s="505"/>
      <c r="BE479" s="505"/>
      <c r="BF479" s="505"/>
      <c r="BG479" s="505"/>
      <c r="BH479" s="505"/>
      <c r="BI479" s="505"/>
      <c r="BJ479" s="505"/>
      <c r="BK479" s="505"/>
      <c r="BL479" s="505"/>
      <c r="BM479" s="505"/>
      <c r="BN479" s="505"/>
      <c r="BO479" s="505"/>
      <c r="BP479" s="505"/>
      <c r="BQ479" s="505"/>
      <c r="BR479" s="505"/>
      <c r="BS479" s="505"/>
      <c r="BT479" s="505"/>
      <c r="BU479" s="505"/>
      <c r="BV479" s="505"/>
      <c r="BW479" s="505"/>
      <c r="BX479" s="505"/>
      <c r="BY479" s="505"/>
      <c r="BZ479" s="505"/>
      <c r="CA479" s="505"/>
      <c r="CB479" s="505"/>
      <c r="CC479" s="505"/>
      <c r="CD479" s="505"/>
      <c r="CE479" s="505"/>
      <c r="CF479" s="505"/>
      <c r="CG479" s="505"/>
      <c r="CH479" s="505"/>
      <c r="CI479" s="505"/>
      <c r="CJ479" s="505"/>
      <c r="CK479" s="505"/>
      <c r="CL479" s="505"/>
      <c r="CM479" s="505"/>
      <c r="CN479" s="505"/>
      <c r="CO479" s="505"/>
      <c r="CP479" s="505"/>
      <c r="CQ479" s="505"/>
      <c r="CR479" s="505"/>
      <c r="CS479" s="505"/>
      <c r="CT479" s="505"/>
      <c r="CU479" s="505"/>
      <c r="CV479" s="505"/>
      <c r="CW479" s="505"/>
      <c r="CX479" s="505"/>
      <c r="CY479" s="505"/>
      <c r="CZ479" s="505"/>
      <c r="DA479" s="505"/>
      <c r="DB479" s="505"/>
      <c r="DC479" s="505"/>
      <c r="DD479" s="505"/>
      <c r="DE479" s="505"/>
      <c r="DF479" s="505"/>
      <c r="DG479" s="505"/>
      <c r="DH479" s="505"/>
      <c r="DI479" s="505"/>
      <c r="DJ479" s="505"/>
      <c r="DK479" s="505"/>
      <c r="DL479" s="505"/>
      <c r="DM479" s="505"/>
      <c r="DN479" s="505"/>
      <c r="DO479" s="505"/>
      <c r="DP479" s="505"/>
    </row>
    <row r="480" spans="1:120" hidden="1" outlineLevel="1" x14ac:dyDescent="0.2">
      <c r="A480" s="517">
        <f t="shared" si="67"/>
        <v>39845</v>
      </c>
      <c r="B480" s="517" t="str">
        <f t="shared" si="64"/>
        <v>1Q09</v>
      </c>
      <c r="C480" s="517" t="str">
        <f t="shared" si="68"/>
        <v>2Q09</v>
      </c>
      <c r="D480" s="518">
        <f t="shared" si="69"/>
        <v>39913</v>
      </c>
      <c r="E480" s="518">
        <f t="shared" si="69"/>
        <v>39853</v>
      </c>
      <c r="F480" s="520">
        <v>2.2189999999999999</v>
      </c>
      <c r="G480" s="521">
        <f t="shared" si="65"/>
        <v>0.22000000000000006</v>
      </c>
      <c r="H480" s="521">
        <f t="shared" si="66"/>
        <v>0.21000000000000005</v>
      </c>
      <c r="I480" s="505"/>
      <c r="J480" s="505"/>
      <c r="K480" s="505"/>
      <c r="L480" s="505"/>
      <c r="M480" s="528"/>
      <c r="N480" s="505"/>
      <c r="O480" s="505"/>
      <c r="P480" s="505"/>
      <c r="Q480" s="505"/>
      <c r="R480" s="505"/>
      <c r="S480" s="505"/>
      <c r="T480" s="505"/>
      <c r="U480" s="505"/>
      <c r="V480" s="505"/>
      <c r="W480" s="505"/>
      <c r="X480" s="505"/>
      <c r="Y480" s="505"/>
      <c r="Z480" s="505"/>
      <c r="AA480" s="505"/>
      <c r="AB480" s="505"/>
      <c r="AC480" s="505"/>
      <c r="AD480" s="505"/>
      <c r="AE480" s="505"/>
      <c r="AF480" s="505"/>
      <c r="AG480" s="505"/>
      <c r="AH480" s="505"/>
      <c r="AI480" s="505"/>
      <c r="AJ480" s="505"/>
      <c r="AK480" s="505"/>
      <c r="AL480" s="505"/>
      <c r="AM480" s="505"/>
      <c r="AN480" s="505"/>
      <c r="AO480" s="505"/>
      <c r="AP480" s="505"/>
      <c r="AQ480" s="505"/>
      <c r="AR480" s="505"/>
      <c r="AS480" s="505"/>
      <c r="AT480" s="505"/>
      <c r="AU480" s="505"/>
      <c r="AV480" s="505"/>
      <c r="AW480" s="505"/>
      <c r="AX480" s="505"/>
      <c r="AY480" s="505"/>
      <c r="AZ480" s="505"/>
      <c r="BA480" s="505"/>
      <c r="BB480" s="505"/>
      <c r="BC480" s="505"/>
      <c r="BD480" s="505"/>
      <c r="BE480" s="505"/>
      <c r="BF480" s="505"/>
      <c r="BG480" s="505"/>
      <c r="BH480" s="505"/>
      <c r="BI480" s="505"/>
      <c r="BJ480" s="505"/>
      <c r="BK480" s="505"/>
      <c r="BL480" s="505"/>
      <c r="BM480" s="505"/>
      <c r="BN480" s="505"/>
      <c r="BO480" s="505"/>
      <c r="BP480" s="505"/>
      <c r="BQ480" s="505"/>
      <c r="BR480" s="505"/>
      <c r="BS480" s="505"/>
      <c r="BT480" s="505"/>
      <c r="BU480" s="505"/>
      <c r="BV480" s="505"/>
      <c r="BW480" s="505"/>
      <c r="BX480" s="505"/>
      <c r="BY480" s="505"/>
      <c r="BZ480" s="505"/>
      <c r="CA480" s="505"/>
      <c r="CB480" s="505"/>
      <c r="CC480" s="505"/>
      <c r="CD480" s="505"/>
      <c r="CE480" s="505"/>
      <c r="CF480" s="505"/>
      <c r="CG480" s="505"/>
      <c r="CH480" s="505"/>
      <c r="CI480" s="505"/>
      <c r="CJ480" s="505"/>
      <c r="CK480" s="505"/>
      <c r="CL480" s="505"/>
      <c r="CM480" s="505"/>
      <c r="CN480" s="505"/>
      <c r="CO480" s="505"/>
      <c r="CP480" s="505"/>
      <c r="CQ480" s="505"/>
      <c r="CR480" s="505"/>
      <c r="CS480" s="505"/>
      <c r="CT480" s="505"/>
      <c r="CU480" s="505"/>
      <c r="CV480" s="505"/>
      <c r="CW480" s="505"/>
      <c r="CX480" s="505"/>
      <c r="CY480" s="505"/>
      <c r="CZ480" s="505"/>
      <c r="DA480" s="505"/>
      <c r="DB480" s="505"/>
      <c r="DC480" s="505"/>
      <c r="DD480" s="505"/>
      <c r="DE480" s="505"/>
      <c r="DF480" s="505"/>
      <c r="DG480" s="505"/>
      <c r="DH480" s="505"/>
      <c r="DI480" s="505"/>
      <c r="DJ480" s="505"/>
      <c r="DK480" s="505"/>
      <c r="DL480" s="505"/>
      <c r="DM480" s="505"/>
      <c r="DN480" s="505"/>
      <c r="DO480" s="505"/>
      <c r="DP480" s="505"/>
    </row>
    <row r="481" spans="1:120" hidden="1" outlineLevel="1" x14ac:dyDescent="0.2">
      <c r="A481" s="517">
        <f t="shared" si="67"/>
        <v>39845</v>
      </c>
      <c r="B481" s="517" t="str">
        <f t="shared" si="64"/>
        <v>1Q09</v>
      </c>
      <c r="C481" s="517" t="str">
        <f t="shared" si="68"/>
        <v>2Q09</v>
      </c>
      <c r="D481" s="518">
        <f t="shared" si="69"/>
        <v>39920</v>
      </c>
      <c r="E481" s="518">
        <f t="shared" si="69"/>
        <v>39860</v>
      </c>
      <c r="F481" s="520">
        <v>2.1859999999999999</v>
      </c>
      <c r="G481" s="521">
        <f t="shared" si="65"/>
        <v>0.21000000000000005</v>
      </c>
      <c r="H481" s="521">
        <f t="shared" si="66"/>
        <v>0.20000000000000004</v>
      </c>
      <c r="I481" s="505"/>
      <c r="J481" s="505"/>
      <c r="K481" s="505"/>
      <c r="L481" s="505"/>
      <c r="M481" s="528"/>
      <c r="N481" s="505"/>
      <c r="O481" s="505"/>
      <c r="P481" s="505"/>
      <c r="Q481" s="505"/>
      <c r="R481" s="505"/>
      <c r="S481" s="505"/>
      <c r="T481" s="505"/>
      <c r="U481" s="505"/>
      <c r="V481" s="505"/>
      <c r="W481" s="505"/>
      <c r="X481" s="505"/>
      <c r="Y481" s="505"/>
      <c r="Z481" s="505"/>
      <c r="AA481" s="505"/>
      <c r="AB481" s="505"/>
      <c r="AC481" s="505"/>
      <c r="AD481" s="505"/>
      <c r="AE481" s="505"/>
      <c r="AF481" s="505"/>
      <c r="AG481" s="505"/>
      <c r="AH481" s="505"/>
      <c r="AI481" s="505"/>
      <c r="AJ481" s="505"/>
      <c r="AK481" s="505"/>
      <c r="AL481" s="505"/>
      <c r="AM481" s="505"/>
      <c r="AN481" s="505"/>
      <c r="AO481" s="505"/>
      <c r="AP481" s="505"/>
      <c r="AQ481" s="505"/>
      <c r="AR481" s="505"/>
      <c r="AS481" s="505"/>
      <c r="AT481" s="505"/>
      <c r="AU481" s="505"/>
      <c r="AV481" s="505"/>
      <c r="AW481" s="505"/>
      <c r="AX481" s="505"/>
      <c r="AY481" s="505"/>
      <c r="AZ481" s="505"/>
      <c r="BA481" s="505"/>
      <c r="BB481" s="505"/>
      <c r="BC481" s="505"/>
      <c r="BD481" s="505"/>
      <c r="BE481" s="505"/>
      <c r="BF481" s="505"/>
      <c r="BG481" s="505"/>
      <c r="BH481" s="505"/>
      <c r="BI481" s="505"/>
      <c r="BJ481" s="505"/>
      <c r="BK481" s="505"/>
      <c r="BL481" s="505"/>
      <c r="BM481" s="505"/>
      <c r="BN481" s="505"/>
      <c r="BO481" s="505"/>
      <c r="BP481" s="505"/>
      <c r="BQ481" s="505"/>
      <c r="BR481" s="505"/>
      <c r="BS481" s="505"/>
      <c r="BT481" s="505"/>
      <c r="BU481" s="505"/>
      <c r="BV481" s="505"/>
      <c r="BW481" s="505"/>
      <c r="BX481" s="505"/>
      <c r="BY481" s="505"/>
      <c r="BZ481" s="505"/>
      <c r="CA481" s="505"/>
      <c r="CB481" s="505"/>
      <c r="CC481" s="505"/>
      <c r="CD481" s="505"/>
      <c r="CE481" s="505"/>
      <c r="CF481" s="505"/>
      <c r="CG481" s="505"/>
      <c r="CH481" s="505"/>
      <c r="CI481" s="505"/>
      <c r="CJ481" s="505"/>
      <c r="CK481" s="505"/>
      <c r="CL481" s="505"/>
      <c r="CM481" s="505"/>
      <c r="CN481" s="505"/>
      <c r="CO481" s="505"/>
      <c r="CP481" s="505"/>
      <c r="CQ481" s="505"/>
      <c r="CR481" s="505"/>
      <c r="CS481" s="505"/>
      <c r="CT481" s="505"/>
      <c r="CU481" s="505"/>
      <c r="CV481" s="505"/>
      <c r="CW481" s="505"/>
      <c r="CX481" s="505"/>
      <c r="CY481" s="505"/>
      <c r="CZ481" s="505"/>
      <c r="DA481" s="505"/>
      <c r="DB481" s="505"/>
      <c r="DC481" s="505"/>
      <c r="DD481" s="505"/>
      <c r="DE481" s="505"/>
      <c r="DF481" s="505"/>
      <c r="DG481" s="505"/>
      <c r="DH481" s="505"/>
      <c r="DI481" s="505"/>
      <c r="DJ481" s="505"/>
      <c r="DK481" s="505"/>
      <c r="DL481" s="505"/>
      <c r="DM481" s="505"/>
      <c r="DN481" s="505"/>
      <c r="DO481" s="505"/>
      <c r="DP481" s="505"/>
    </row>
    <row r="482" spans="1:120" hidden="1" outlineLevel="1" x14ac:dyDescent="0.2">
      <c r="A482" s="517">
        <f t="shared" si="67"/>
        <v>39845</v>
      </c>
      <c r="B482" s="517" t="str">
        <f t="shared" si="64"/>
        <v>1Q09</v>
      </c>
      <c r="C482" s="517" t="str">
        <f t="shared" si="68"/>
        <v>2Q09</v>
      </c>
      <c r="D482" s="518">
        <f t="shared" si="69"/>
        <v>39927</v>
      </c>
      <c r="E482" s="518">
        <f t="shared" si="69"/>
        <v>39867</v>
      </c>
      <c r="F482" s="520">
        <v>2.13</v>
      </c>
      <c r="G482" s="521">
        <f t="shared" si="65"/>
        <v>0.20000000000000004</v>
      </c>
      <c r="H482" s="521">
        <f t="shared" si="66"/>
        <v>0.19000000000000003</v>
      </c>
      <c r="I482" s="505"/>
      <c r="J482" s="505"/>
      <c r="K482" s="505"/>
      <c r="L482" s="505"/>
      <c r="M482" s="528"/>
      <c r="N482" s="505"/>
      <c r="O482" s="505"/>
      <c r="P482" s="505"/>
      <c r="Q482" s="505"/>
      <c r="R482" s="505"/>
      <c r="S482" s="505"/>
      <c r="T482" s="505"/>
      <c r="U482" s="505"/>
      <c r="V482" s="505"/>
      <c r="W482" s="505"/>
      <c r="X482" s="505"/>
      <c r="Y482" s="505"/>
      <c r="Z482" s="505"/>
      <c r="AA482" s="505"/>
      <c r="AB482" s="505"/>
      <c r="AC482" s="505"/>
      <c r="AD482" s="505"/>
      <c r="AE482" s="505"/>
      <c r="AF482" s="505"/>
      <c r="AG482" s="505"/>
      <c r="AH482" s="505"/>
      <c r="AI482" s="505"/>
      <c r="AJ482" s="505"/>
      <c r="AK482" s="505"/>
      <c r="AL482" s="505"/>
      <c r="AM482" s="505"/>
      <c r="AN482" s="505"/>
      <c r="AO482" s="505"/>
      <c r="AP482" s="505"/>
      <c r="AQ482" s="505"/>
      <c r="AR482" s="505"/>
      <c r="AS482" s="505"/>
      <c r="AT482" s="505"/>
      <c r="AU482" s="505"/>
      <c r="AV482" s="505"/>
      <c r="AW482" s="505"/>
      <c r="AX482" s="505"/>
      <c r="AY482" s="505"/>
      <c r="AZ482" s="505"/>
      <c r="BA482" s="505"/>
      <c r="BB482" s="505"/>
      <c r="BC482" s="505"/>
      <c r="BD482" s="505"/>
      <c r="BE482" s="505"/>
      <c r="BF482" s="505"/>
      <c r="BG482" s="505"/>
      <c r="BH482" s="505"/>
      <c r="BI482" s="505"/>
      <c r="BJ482" s="505"/>
      <c r="BK482" s="505"/>
      <c r="BL482" s="505"/>
      <c r="BM482" s="505"/>
      <c r="BN482" s="505"/>
      <c r="BO482" s="505"/>
      <c r="BP482" s="505"/>
      <c r="BQ482" s="505"/>
      <c r="BR482" s="505"/>
      <c r="BS482" s="505"/>
      <c r="BT482" s="505"/>
      <c r="BU482" s="505"/>
      <c r="BV482" s="505"/>
      <c r="BW482" s="505"/>
      <c r="BX482" s="505"/>
      <c r="BY482" s="505"/>
      <c r="BZ482" s="505"/>
      <c r="CA482" s="505"/>
      <c r="CB482" s="505"/>
      <c r="CC482" s="505"/>
      <c r="CD482" s="505"/>
      <c r="CE482" s="505"/>
      <c r="CF482" s="505"/>
      <c r="CG482" s="505"/>
      <c r="CH482" s="505"/>
      <c r="CI482" s="505"/>
      <c r="CJ482" s="505"/>
      <c r="CK482" s="505"/>
      <c r="CL482" s="505"/>
      <c r="CM482" s="505"/>
      <c r="CN482" s="505"/>
      <c r="CO482" s="505"/>
      <c r="CP482" s="505"/>
      <c r="CQ482" s="505"/>
      <c r="CR482" s="505"/>
      <c r="CS482" s="505"/>
      <c r="CT482" s="505"/>
      <c r="CU482" s="505"/>
      <c r="CV482" s="505"/>
      <c r="CW482" s="505"/>
      <c r="CX482" s="505"/>
      <c r="CY482" s="505"/>
      <c r="CZ482" s="505"/>
      <c r="DA482" s="505"/>
      <c r="DB482" s="505"/>
      <c r="DC482" s="505"/>
      <c r="DD482" s="505"/>
      <c r="DE482" s="505"/>
      <c r="DF482" s="505"/>
      <c r="DG482" s="505"/>
      <c r="DH482" s="505"/>
      <c r="DI482" s="505"/>
      <c r="DJ482" s="505"/>
      <c r="DK482" s="505"/>
      <c r="DL482" s="505"/>
      <c r="DM482" s="505"/>
      <c r="DN482" s="505"/>
      <c r="DO482" s="505"/>
      <c r="DP482" s="505"/>
    </row>
    <row r="483" spans="1:120" hidden="1" outlineLevel="1" x14ac:dyDescent="0.2">
      <c r="A483" s="517">
        <f t="shared" si="67"/>
        <v>39873</v>
      </c>
      <c r="B483" s="517" t="str">
        <f t="shared" si="64"/>
        <v>1Q09</v>
      </c>
      <c r="C483" s="517" t="str">
        <f t="shared" si="68"/>
        <v>2Q09</v>
      </c>
      <c r="D483" s="518">
        <f t="shared" si="69"/>
        <v>39934</v>
      </c>
      <c r="E483" s="518">
        <f t="shared" si="69"/>
        <v>39874</v>
      </c>
      <c r="F483" s="520">
        <v>2.0870000000000002</v>
      </c>
      <c r="G483" s="521">
        <f t="shared" si="65"/>
        <v>0.19000000000000003</v>
      </c>
      <c r="H483" s="521">
        <f t="shared" si="66"/>
        <v>0.18000000000000002</v>
      </c>
      <c r="I483" s="505"/>
      <c r="J483" s="505"/>
      <c r="K483" s="505"/>
      <c r="L483" s="505"/>
      <c r="M483" s="528"/>
      <c r="N483" s="505"/>
      <c r="O483" s="505"/>
      <c r="P483" s="505"/>
      <c r="Q483" s="505"/>
      <c r="R483" s="505"/>
      <c r="S483" s="505"/>
      <c r="T483" s="505"/>
      <c r="U483" s="505"/>
      <c r="V483" s="505"/>
      <c r="W483" s="505"/>
      <c r="X483" s="505"/>
      <c r="Y483" s="505"/>
      <c r="Z483" s="505"/>
      <c r="AA483" s="505"/>
      <c r="AB483" s="505"/>
      <c r="AC483" s="505"/>
      <c r="AD483" s="505"/>
      <c r="AE483" s="505"/>
      <c r="AF483" s="505"/>
      <c r="AG483" s="505"/>
      <c r="AH483" s="505"/>
      <c r="AI483" s="505"/>
      <c r="AJ483" s="505"/>
      <c r="AK483" s="505"/>
      <c r="AL483" s="505"/>
      <c r="AM483" s="505"/>
      <c r="AN483" s="505"/>
      <c r="AO483" s="505"/>
      <c r="AP483" s="505"/>
      <c r="AQ483" s="505"/>
      <c r="AR483" s="505"/>
      <c r="AS483" s="505"/>
      <c r="AT483" s="505"/>
      <c r="AU483" s="505"/>
      <c r="AV483" s="505"/>
      <c r="AW483" s="505"/>
      <c r="AX483" s="505"/>
      <c r="AY483" s="505"/>
      <c r="AZ483" s="505"/>
      <c r="BA483" s="505"/>
      <c r="BB483" s="505"/>
      <c r="BC483" s="505"/>
      <c r="BD483" s="505"/>
      <c r="BE483" s="505"/>
      <c r="BF483" s="505"/>
      <c r="BG483" s="505"/>
      <c r="BH483" s="505"/>
      <c r="BI483" s="505"/>
      <c r="BJ483" s="505"/>
      <c r="BK483" s="505"/>
      <c r="BL483" s="505"/>
      <c r="BM483" s="505"/>
      <c r="BN483" s="505"/>
      <c r="BO483" s="505"/>
      <c r="BP483" s="505"/>
      <c r="BQ483" s="505"/>
      <c r="BR483" s="505"/>
      <c r="BS483" s="505"/>
      <c r="BT483" s="505"/>
      <c r="BU483" s="505"/>
      <c r="BV483" s="505"/>
      <c r="BW483" s="505"/>
      <c r="BX483" s="505"/>
      <c r="BY483" s="505"/>
      <c r="BZ483" s="505"/>
      <c r="CA483" s="505"/>
      <c r="CB483" s="505"/>
      <c r="CC483" s="505"/>
      <c r="CD483" s="505"/>
      <c r="CE483" s="505"/>
      <c r="CF483" s="505"/>
      <c r="CG483" s="505"/>
      <c r="CH483" s="505"/>
      <c r="CI483" s="505"/>
      <c r="CJ483" s="505"/>
      <c r="CK483" s="505"/>
      <c r="CL483" s="505"/>
      <c r="CM483" s="505"/>
      <c r="CN483" s="505"/>
      <c r="CO483" s="505"/>
      <c r="CP483" s="505"/>
      <c r="CQ483" s="505"/>
      <c r="CR483" s="505"/>
      <c r="CS483" s="505"/>
      <c r="CT483" s="505"/>
      <c r="CU483" s="505"/>
      <c r="CV483" s="505"/>
      <c r="CW483" s="505"/>
      <c r="CX483" s="505"/>
      <c r="CY483" s="505"/>
      <c r="CZ483" s="505"/>
      <c r="DA483" s="505"/>
      <c r="DB483" s="505"/>
      <c r="DC483" s="505"/>
      <c r="DD483" s="505"/>
      <c r="DE483" s="505"/>
      <c r="DF483" s="505"/>
      <c r="DG483" s="505"/>
      <c r="DH483" s="505"/>
      <c r="DI483" s="505"/>
      <c r="DJ483" s="505"/>
      <c r="DK483" s="505"/>
      <c r="DL483" s="505"/>
      <c r="DM483" s="505"/>
      <c r="DN483" s="505"/>
      <c r="DO483" s="505"/>
      <c r="DP483" s="505"/>
    </row>
    <row r="484" spans="1:120" hidden="1" outlineLevel="1" x14ac:dyDescent="0.2">
      <c r="A484" s="517">
        <f t="shared" si="67"/>
        <v>39873</v>
      </c>
      <c r="B484" s="517" t="str">
        <f t="shared" si="64"/>
        <v>1Q09</v>
      </c>
      <c r="C484" s="517" t="str">
        <f t="shared" si="68"/>
        <v>2Q09</v>
      </c>
      <c r="D484" s="518">
        <f t="shared" si="69"/>
        <v>39941</v>
      </c>
      <c r="E484" s="518">
        <f t="shared" si="69"/>
        <v>39881</v>
      </c>
      <c r="F484" s="520">
        <v>2.0449999999999999</v>
      </c>
      <c r="G484" s="521">
        <f t="shared" si="65"/>
        <v>0.18000000000000002</v>
      </c>
      <c r="H484" s="521">
        <f t="shared" si="66"/>
        <v>0.18000000000000002</v>
      </c>
      <c r="I484" s="505"/>
      <c r="J484" s="505"/>
      <c r="K484" s="505"/>
      <c r="L484" s="505"/>
      <c r="M484" s="528"/>
      <c r="N484" s="505"/>
      <c r="O484" s="505"/>
      <c r="P484" s="505"/>
      <c r="Q484" s="505"/>
      <c r="R484" s="505"/>
      <c r="S484" s="505"/>
      <c r="T484" s="505"/>
      <c r="U484" s="505"/>
      <c r="V484" s="505"/>
      <c r="W484" s="505"/>
      <c r="X484" s="505"/>
      <c r="Y484" s="505"/>
      <c r="Z484" s="505"/>
      <c r="AA484" s="505"/>
      <c r="AB484" s="505"/>
      <c r="AC484" s="505"/>
      <c r="AD484" s="505"/>
      <c r="AE484" s="505"/>
      <c r="AF484" s="505"/>
      <c r="AG484" s="505"/>
      <c r="AH484" s="505"/>
      <c r="AI484" s="505"/>
      <c r="AJ484" s="505"/>
      <c r="AK484" s="505"/>
      <c r="AL484" s="505"/>
      <c r="AM484" s="505"/>
      <c r="AN484" s="505"/>
      <c r="AO484" s="505"/>
      <c r="AP484" s="505"/>
      <c r="AQ484" s="505"/>
      <c r="AR484" s="505"/>
      <c r="AS484" s="505"/>
      <c r="AT484" s="505"/>
      <c r="AU484" s="505"/>
      <c r="AV484" s="505"/>
      <c r="AW484" s="505"/>
      <c r="AX484" s="505"/>
      <c r="AY484" s="505"/>
      <c r="AZ484" s="505"/>
      <c r="BA484" s="505"/>
      <c r="BB484" s="505"/>
      <c r="BC484" s="505"/>
      <c r="BD484" s="505"/>
      <c r="BE484" s="505"/>
      <c r="BF484" s="505"/>
      <c r="BG484" s="505"/>
      <c r="BH484" s="505"/>
      <c r="BI484" s="505"/>
      <c r="BJ484" s="505"/>
      <c r="BK484" s="505"/>
      <c r="BL484" s="505"/>
      <c r="BM484" s="505"/>
      <c r="BN484" s="505"/>
      <c r="BO484" s="505"/>
      <c r="BP484" s="505"/>
      <c r="BQ484" s="505"/>
      <c r="BR484" s="505"/>
      <c r="BS484" s="505"/>
      <c r="BT484" s="505"/>
      <c r="BU484" s="505"/>
      <c r="BV484" s="505"/>
      <c r="BW484" s="505"/>
      <c r="BX484" s="505"/>
      <c r="BY484" s="505"/>
      <c r="BZ484" s="505"/>
      <c r="CA484" s="505"/>
      <c r="CB484" s="505"/>
      <c r="CC484" s="505"/>
      <c r="CD484" s="505"/>
      <c r="CE484" s="505"/>
      <c r="CF484" s="505"/>
      <c r="CG484" s="505"/>
      <c r="CH484" s="505"/>
      <c r="CI484" s="505"/>
      <c r="CJ484" s="505"/>
      <c r="CK484" s="505"/>
      <c r="CL484" s="505"/>
      <c r="CM484" s="505"/>
      <c r="CN484" s="505"/>
      <c r="CO484" s="505"/>
      <c r="CP484" s="505"/>
      <c r="CQ484" s="505"/>
      <c r="CR484" s="505"/>
      <c r="CS484" s="505"/>
      <c r="CT484" s="505"/>
      <c r="CU484" s="505"/>
      <c r="CV484" s="505"/>
      <c r="CW484" s="505"/>
      <c r="CX484" s="505"/>
      <c r="CY484" s="505"/>
      <c r="CZ484" s="505"/>
      <c r="DA484" s="505"/>
      <c r="DB484" s="505"/>
      <c r="DC484" s="505"/>
      <c r="DD484" s="505"/>
      <c r="DE484" s="505"/>
      <c r="DF484" s="505"/>
      <c r="DG484" s="505"/>
      <c r="DH484" s="505"/>
      <c r="DI484" s="505"/>
      <c r="DJ484" s="505"/>
      <c r="DK484" s="505"/>
      <c r="DL484" s="505"/>
      <c r="DM484" s="505"/>
      <c r="DN484" s="505"/>
      <c r="DO484" s="505"/>
      <c r="DP484" s="505"/>
    </row>
    <row r="485" spans="1:120" hidden="1" outlineLevel="1" x14ac:dyDescent="0.2">
      <c r="A485" s="517">
        <f t="shared" si="67"/>
        <v>39873</v>
      </c>
      <c r="B485" s="517" t="str">
        <f t="shared" si="64"/>
        <v>1Q09</v>
      </c>
      <c r="C485" s="517" t="str">
        <f t="shared" si="68"/>
        <v>2Q09</v>
      </c>
      <c r="D485" s="518">
        <f t="shared" si="69"/>
        <v>39948</v>
      </c>
      <c r="E485" s="518">
        <f t="shared" si="69"/>
        <v>39888</v>
      </c>
      <c r="F485" s="520">
        <v>2.0169999999999999</v>
      </c>
      <c r="G485" s="521">
        <f t="shared" si="65"/>
        <v>0.18000000000000002</v>
      </c>
      <c r="H485" s="521">
        <f t="shared" si="66"/>
        <v>0.19000000000000003</v>
      </c>
      <c r="I485" s="505"/>
      <c r="J485" s="505"/>
      <c r="K485" s="505"/>
      <c r="L485" s="505"/>
      <c r="M485" s="528"/>
      <c r="N485" s="505"/>
      <c r="O485" s="505"/>
      <c r="P485" s="505"/>
      <c r="Q485" s="505"/>
      <c r="R485" s="505"/>
      <c r="S485" s="505"/>
      <c r="T485" s="505"/>
      <c r="U485" s="505"/>
      <c r="V485" s="505"/>
      <c r="W485" s="505"/>
      <c r="X485" s="505"/>
      <c r="Y485" s="505"/>
      <c r="Z485" s="505"/>
      <c r="AA485" s="505"/>
      <c r="AB485" s="505"/>
      <c r="AC485" s="505"/>
      <c r="AD485" s="505"/>
      <c r="AE485" s="505"/>
      <c r="AF485" s="505"/>
      <c r="AG485" s="505"/>
      <c r="AH485" s="505"/>
      <c r="AI485" s="505"/>
      <c r="AJ485" s="505"/>
      <c r="AK485" s="505"/>
      <c r="AL485" s="505"/>
      <c r="AM485" s="505"/>
      <c r="AN485" s="505"/>
      <c r="AO485" s="505"/>
      <c r="AP485" s="505"/>
      <c r="AQ485" s="505"/>
      <c r="AR485" s="505"/>
      <c r="AS485" s="505"/>
      <c r="AT485" s="505"/>
      <c r="AU485" s="505"/>
      <c r="AV485" s="505"/>
      <c r="AW485" s="505"/>
      <c r="AX485" s="505"/>
      <c r="AY485" s="505"/>
      <c r="AZ485" s="505"/>
      <c r="BA485" s="505"/>
      <c r="BB485" s="505"/>
      <c r="BC485" s="505"/>
      <c r="BD485" s="505"/>
      <c r="BE485" s="505"/>
      <c r="BF485" s="505"/>
      <c r="BG485" s="505"/>
      <c r="BH485" s="505"/>
      <c r="BI485" s="505"/>
      <c r="BJ485" s="505"/>
      <c r="BK485" s="505"/>
      <c r="BL485" s="505"/>
      <c r="BM485" s="505"/>
      <c r="BN485" s="505"/>
      <c r="BO485" s="505"/>
      <c r="BP485" s="505"/>
      <c r="BQ485" s="505"/>
      <c r="BR485" s="505"/>
      <c r="BS485" s="505"/>
      <c r="BT485" s="505"/>
      <c r="BU485" s="505"/>
      <c r="BV485" s="505"/>
      <c r="BW485" s="505"/>
      <c r="BX485" s="505"/>
      <c r="BY485" s="505"/>
      <c r="BZ485" s="505"/>
      <c r="CA485" s="505"/>
      <c r="CB485" s="505"/>
      <c r="CC485" s="505"/>
      <c r="CD485" s="505"/>
      <c r="CE485" s="505"/>
      <c r="CF485" s="505"/>
      <c r="CG485" s="505"/>
      <c r="CH485" s="505"/>
      <c r="CI485" s="505"/>
      <c r="CJ485" s="505"/>
      <c r="CK485" s="505"/>
      <c r="CL485" s="505"/>
      <c r="CM485" s="505"/>
      <c r="CN485" s="505"/>
      <c r="CO485" s="505"/>
      <c r="CP485" s="505"/>
      <c r="CQ485" s="505"/>
      <c r="CR485" s="505"/>
      <c r="CS485" s="505"/>
      <c r="CT485" s="505"/>
      <c r="CU485" s="505"/>
      <c r="CV485" s="505"/>
      <c r="CW485" s="505"/>
      <c r="CX485" s="505"/>
      <c r="CY485" s="505"/>
      <c r="CZ485" s="505"/>
      <c r="DA485" s="505"/>
      <c r="DB485" s="505"/>
      <c r="DC485" s="505"/>
      <c r="DD485" s="505"/>
      <c r="DE485" s="505"/>
      <c r="DF485" s="505"/>
      <c r="DG485" s="505"/>
      <c r="DH485" s="505"/>
      <c r="DI485" s="505"/>
      <c r="DJ485" s="505"/>
      <c r="DK485" s="505"/>
      <c r="DL485" s="505"/>
      <c r="DM485" s="505"/>
      <c r="DN485" s="505"/>
      <c r="DO485" s="505"/>
      <c r="DP485" s="505"/>
    </row>
    <row r="486" spans="1:120" hidden="1" outlineLevel="1" x14ac:dyDescent="0.2">
      <c r="A486" s="517">
        <f t="shared" si="67"/>
        <v>39873</v>
      </c>
      <c r="B486" s="517" t="str">
        <f t="shared" si="64"/>
        <v>1Q09</v>
      </c>
      <c r="C486" s="517" t="str">
        <f t="shared" si="68"/>
        <v>2Q09</v>
      </c>
      <c r="D486" s="518">
        <f t="shared" si="69"/>
        <v>39955</v>
      </c>
      <c r="E486" s="518">
        <f t="shared" si="69"/>
        <v>39895</v>
      </c>
      <c r="F486" s="520">
        <v>2.09</v>
      </c>
      <c r="G486" s="521">
        <f t="shared" si="65"/>
        <v>0.19000000000000003</v>
      </c>
      <c r="H486" s="521">
        <f t="shared" si="66"/>
        <v>0.22000000000000006</v>
      </c>
      <c r="I486" s="505"/>
      <c r="J486" s="505"/>
      <c r="K486" s="505"/>
      <c r="L486" s="505"/>
      <c r="M486" s="528"/>
      <c r="N486" s="505"/>
      <c r="O486" s="505"/>
      <c r="P486" s="505"/>
      <c r="Q486" s="505"/>
      <c r="R486" s="505"/>
      <c r="S486" s="505"/>
      <c r="T486" s="505"/>
      <c r="U486" s="505"/>
      <c r="V486" s="505"/>
      <c r="W486" s="505"/>
      <c r="X486" s="505"/>
      <c r="Y486" s="505"/>
      <c r="Z486" s="505"/>
      <c r="AA486" s="505"/>
      <c r="AB486" s="505"/>
      <c r="AC486" s="505"/>
      <c r="AD486" s="505"/>
      <c r="AE486" s="505"/>
      <c r="AF486" s="505"/>
      <c r="AG486" s="505"/>
      <c r="AH486" s="505"/>
      <c r="AI486" s="505"/>
      <c r="AJ486" s="505"/>
      <c r="AK486" s="505"/>
      <c r="AL486" s="505"/>
      <c r="AM486" s="505"/>
      <c r="AN486" s="505"/>
      <c r="AO486" s="505"/>
      <c r="AP486" s="505"/>
      <c r="AQ486" s="505"/>
      <c r="AR486" s="505"/>
      <c r="AS486" s="505"/>
      <c r="AT486" s="505"/>
      <c r="AU486" s="505"/>
      <c r="AV486" s="505"/>
      <c r="AW486" s="505"/>
      <c r="AX486" s="505"/>
      <c r="AY486" s="505"/>
      <c r="AZ486" s="505"/>
      <c r="BA486" s="505"/>
      <c r="BB486" s="505"/>
      <c r="BC486" s="505"/>
      <c r="BD486" s="505"/>
      <c r="BE486" s="505"/>
      <c r="BF486" s="505"/>
      <c r="BG486" s="505"/>
      <c r="BH486" s="505"/>
      <c r="BI486" s="505"/>
      <c r="BJ486" s="505"/>
      <c r="BK486" s="505"/>
      <c r="BL486" s="505"/>
      <c r="BM486" s="505"/>
      <c r="BN486" s="505"/>
      <c r="BO486" s="505"/>
      <c r="BP486" s="505"/>
      <c r="BQ486" s="505"/>
      <c r="BR486" s="505"/>
      <c r="BS486" s="505"/>
      <c r="BT486" s="505"/>
      <c r="BU486" s="505"/>
      <c r="BV486" s="505"/>
      <c r="BW486" s="505"/>
      <c r="BX486" s="505"/>
      <c r="BY486" s="505"/>
      <c r="BZ486" s="505"/>
      <c r="CA486" s="505"/>
      <c r="CB486" s="505"/>
      <c r="CC486" s="505"/>
      <c r="CD486" s="505"/>
      <c r="CE486" s="505"/>
      <c r="CF486" s="505"/>
      <c r="CG486" s="505"/>
      <c r="CH486" s="505"/>
      <c r="CI486" s="505"/>
      <c r="CJ486" s="505"/>
      <c r="CK486" s="505"/>
      <c r="CL486" s="505"/>
      <c r="CM486" s="505"/>
      <c r="CN486" s="505"/>
      <c r="CO486" s="505"/>
      <c r="CP486" s="505"/>
      <c r="CQ486" s="505"/>
      <c r="CR486" s="505"/>
      <c r="CS486" s="505"/>
      <c r="CT486" s="505"/>
      <c r="CU486" s="505"/>
      <c r="CV486" s="505"/>
      <c r="CW486" s="505"/>
      <c r="CX486" s="505"/>
      <c r="CY486" s="505"/>
      <c r="CZ486" s="505"/>
      <c r="DA486" s="505"/>
      <c r="DB486" s="505"/>
      <c r="DC486" s="505"/>
      <c r="DD486" s="505"/>
      <c r="DE486" s="505"/>
      <c r="DF486" s="505"/>
      <c r="DG486" s="505"/>
      <c r="DH486" s="505"/>
      <c r="DI486" s="505"/>
      <c r="DJ486" s="505"/>
      <c r="DK486" s="505"/>
      <c r="DL486" s="505"/>
      <c r="DM486" s="505"/>
      <c r="DN486" s="505"/>
      <c r="DO486" s="505"/>
      <c r="DP486" s="505"/>
    </row>
    <row r="487" spans="1:120" hidden="1" outlineLevel="1" x14ac:dyDescent="0.2">
      <c r="A487" s="517">
        <f t="shared" si="67"/>
        <v>39873</v>
      </c>
      <c r="B487" s="517" t="str">
        <f t="shared" si="64"/>
        <v>1Q09</v>
      </c>
      <c r="C487" s="517" t="str">
        <f t="shared" si="68"/>
        <v>2Q09</v>
      </c>
      <c r="D487" s="518">
        <f t="shared" si="69"/>
        <v>39962</v>
      </c>
      <c r="E487" s="518">
        <f t="shared" si="69"/>
        <v>39902</v>
      </c>
      <c r="F487" s="520">
        <v>2.2210000000000001</v>
      </c>
      <c r="G487" s="521">
        <f t="shared" si="65"/>
        <v>0.22000000000000006</v>
      </c>
      <c r="H487" s="521">
        <f t="shared" si="66"/>
        <v>0.22000000000000006</v>
      </c>
      <c r="I487" s="505"/>
      <c r="J487" s="505"/>
      <c r="K487" s="505"/>
      <c r="L487" s="505"/>
      <c r="M487" s="528"/>
      <c r="N487" s="505"/>
      <c r="O487" s="505"/>
      <c r="P487" s="505"/>
      <c r="Q487" s="505"/>
      <c r="R487" s="505"/>
      <c r="S487" s="505"/>
      <c r="T487" s="505"/>
      <c r="U487" s="505"/>
      <c r="V487" s="505"/>
      <c r="W487" s="505"/>
      <c r="X487" s="505"/>
      <c r="Y487" s="505"/>
      <c r="Z487" s="505"/>
      <c r="AA487" s="505"/>
      <c r="AB487" s="505"/>
      <c r="AC487" s="505"/>
      <c r="AD487" s="505"/>
      <c r="AE487" s="505"/>
      <c r="AF487" s="505"/>
      <c r="AG487" s="505"/>
      <c r="AH487" s="505"/>
      <c r="AI487" s="505"/>
      <c r="AJ487" s="505"/>
      <c r="AK487" s="505"/>
      <c r="AL487" s="505"/>
      <c r="AM487" s="505"/>
      <c r="AN487" s="505"/>
      <c r="AO487" s="505"/>
      <c r="AP487" s="505"/>
      <c r="AQ487" s="505"/>
      <c r="AR487" s="505"/>
      <c r="AS487" s="505"/>
      <c r="AT487" s="505"/>
      <c r="AU487" s="505"/>
      <c r="AV487" s="505"/>
      <c r="AW487" s="505"/>
      <c r="AX487" s="505"/>
      <c r="AY487" s="505"/>
      <c r="AZ487" s="505"/>
      <c r="BA487" s="505"/>
      <c r="BB487" s="505"/>
      <c r="BC487" s="505"/>
      <c r="BD487" s="505"/>
      <c r="BE487" s="505"/>
      <c r="BF487" s="505"/>
      <c r="BG487" s="505"/>
      <c r="BH487" s="505"/>
      <c r="BI487" s="505"/>
      <c r="BJ487" s="505"/>
      <c r="BK487" s="505"/>
      <c r="BL487" s="505"/>
      <c r="BM487" s="505"/>
      <c r="BN487" s="505"/>
      <c r="BO487" s="505"/>
      <c r="BP487" s="505"/>
      <c r="BQ487" s="505"/>
      <c r="BR487" s="505"/>
      <c r="BS487" s="505"/>
      <c r="BT487" s="505"/>
      <c r="BU487" s="505"/>
      <c r="BV487" s="505"/>
      <c r="BW487" s="505"/>
      <c r="BX487" s="505"/>
      <c r="BY487" s="505"/>
      <c r="BZ487" s="505"/>
      <c r="CA487" s="505"/>
      <c r="CB487" s="505"/>
      <c r="CC487" s="505"/>
      <c r="CD487" s="505"/>
      <c r="CE487" s="505"/>
      <c r="CF487" s="505"/>
      <c r="CG487" s="505"/>
      <c r="CH487" s="505"/>
      <c r="CI487" s="505"/>
      <c r="CJ487" s="505"/>
      <c r="CK487" s="505"/>
      <c r="CL487" s="505"/>
      <c r="CM487" s="505"/>
      <c r="CN487" s="505"/>
      <c r="CO487" s="505"/>
      <c r="CP487" s="505"/>
      <c r="CQ487" s="505"/>
      <c r="CR487" s="505"/>
      <c r="CS487" s="505"/>
      <c r="CT487" s="505"/>
      <c r="CU487" s="505"/>
      <c r="CV487" s="505"/>
      <c r="CW487" s="505"/>
      <c r="CX487" s="505"/>
      <c r="CY487" s="505"/>
      <c r="CZ487" s="505"/>
      <c r="DA487" s="505"/>
      <c r="DB487" s="505"/>
      <c r="DC487" s="505"/>
      <c r="DD487" s="505"/>
      <c r="DE487" s="505"/>
      <c r="DF487" s="505"/>
      <c r="DG487" s="505"/>
      <c r="DH487" s="505"/>
      <c r="DI487" s="505"/>
      <c r="DJ487" s="505"/>
      <c r="DK487" s="505"/>
      <c r="DL487" s="505"/>
      <c r="DM487" s="505"/>
      <c r="DN487" s="505"/>
      <c r="DO487" s="505"/>
      <c r="DP487" s="505"/>
    </row>
    <row r="488" spans="1:120" hidden="1" outlineLevel="1" x14ac:dyDescent="0.2">
      <c r="A488" s="517">
        <f t="shared" si="67"/>
        <v>39904</v>
      </c>
      <c r="B488" s="517" t="str">
        <f t="shared" si="64"/>
        <v>2Q09</v>
      </c>
      <c r="C488" s="517" t="str">
        <f t="shared" si="68"/>
        <v>2Q09</v>
      </c>
      <c r="D488" s="518">
        <f t="shared" si="69"/>
        <v>39969</v>
      </c>
      <c r="E488" s="518">
        <f t="shared" si="69"/>
        <v>39909</v>
      </c>
      <c r="F488" s="520">
        <v>2.2280000000000002</v>
      </c>
      <c r="G488" s="521">
        <f t="shared" si="65"/>
        <v>0.22000000000000006</v>
      </c>
      <c r="H488" s="521">
        <f t="shared" si="66"/>
        <v>0.22000000000000006</v>
      </c>
      <c r="I488" s="505"/>
      <c r="J488" s="505"/>
      <c r="K488" s="505"/>
      <c r="L488" s="505"/>
      <c r="M488" s="528"/>
      <c r="N488" s="505"/>
      <c r="O488" s="505"/>
      <c r="P488" s="505"/>
      <c r="Q488" s="505"/>
      <c r="R488" s="505"/>
      <c r="S488" s="505"/>
      <c r="T488" s="505"/>
      <c r="U488" s="505"/>
      <c r="V488" s="505"/>
      <c r="W488" s="505"/>
      <c r="X488" s="505"/>
      <c r="Y488" s="505"/>
      <c r="Z488" s="505"/>
      <c r="AA488" s="505"/>
      <c r="AB488" s="505"/>
      <c r="AC488" s="505"/>
      <c r="AD488" s="505"/>
      <c r="AE488" s="505"/>
      <c r="AF488" s="505"/>
      <c r="AG488" s="505"/>
      <c r="AH488" s="505"/>
      <c r="AI488" s="505"/>
      <c r="AJ488" s="505"/>
      <c r="AK488" s="505"/>
      <c r="AL488" s="505"/>
      <c r="AM488" s="505"/>
      <c r="AN488" s="505"/>
      <c r="AO488" s="505"/>
      <c r="AP488" s="505"/>
      <c r="AQ488" s="505"/>
      <c r="AR488" s="505"/>
      <c r="AS488" s="505"/>
      <c r="AT488" s="505"/>
      <c r="AU488" s="505"/>
      <c r="AV488" s="505"/>
      <c r="AW488" s="505"/>
      <c r="AX488" s="505"/>
      <c r="AY488" s="505"/>
      <c r="AZ488" s="505"/>
      <c r="BA488" s="505"/>
      <c r="BB488" s="505"/>
      <c r="BC488" s="505"/>
      <c r="BD488" s="505"/>
      <c r="BE488" s="505"/>
      <c r="BF488" s="505"/>
      <c r="BG488" s="505"/>
      <c r="BH488" s="505"/>
      <c r="BI488" s="505"/>
      <c r="BJ488" s="505"/>
      <c r="BK488" s="505"/>
      <c r="BL488" s="505"/>
      <c r="BM488" s="505"/>
      <c r="BN488" s="505"/>
      <c r="BO488" s="505"/>
      <c r="BP488" s="505"/>
      <c r="BQ488" s="505"/>
      <c r="BR488" s="505"/>
      <c r="BS488" s="505"/>
      <c r="BT488" s="505"/>
      <c r="BU488" s="505"/>
      <c r="BV488" s="505"/>
      <c r="BW488" s="505"/>
      <c r="BX488" s="505"/>
      <c r="BY488" s="505"/>
      <c r="BZ488" s="505"/>
      <c r="CA488" s="505"/>
      <c r="CB488" s="505"/>
      <c r="CC488" s="505"/>
      <c r="CD488" s="505"/>
      <c r="CE488" s="505"/>
      <c r="CF488" s="505"/>
      <c r="CG488" s="505"/>
      <c r="CH488" s="505"/>
      <c r="CI488" s="505"/>
      <c r="CJ488" s="505"/>
      <c r="CK488" s="505"/>
      <c r="CL488" s="505"/>
      <c r="CM488" s="505"/>
      <c r="CN488" s="505"/>
      <c r="CO488" s="505"/>
      <c r="CP488" s="505"/>
      <c r="CQ488" s="505"/>
      <c r="CR488" s="505"/>
      <c r="CS488" s="505"/>
      <c r="CT488" s="505"/>
      <c r="CU488" s="505"/>
      <c r="CV488" s="505"/>
      <c r="CW488" s="505"/>
      <c r="CX488" s="505"/>
      <c r="CY488" s="505"/>
      <c r="CZ488" s="505"/>
      <c r="DA488" s="505"/>
      <c r="DB488" s="505"/>
      <c r="DC488" s="505"/>
      <c r="DD488" s="505"/>
      <c r="DE488" s="505"/>
      <c r="DF488" s="505"/>
      <c r="DG488" s="505"/>
      <c r="DH488" s="505"/>
      <c r="DI488" s="505"/>
      <c r="DJ488" s="505"/>
      <c r="DK488" s="505"/>
      <c r="DL488" s="505"/>
      <c r="DM488" s="505"/>
      <c r="DN488" s="505"/>
      <c r="DO488" s="505"/>
      <c r="DP488" s="505"/>
    </row>
    <row r="489" spans="1:120" hidden="1" outlineLevel="1" x14ac:dyDescent="0.2">
      <c r="A489" s="517">
        <f t="shared" si="67"/>
        <v>39904</v>
      </c>
      <c r="B489" s="517" t="str">
        <f t="shared" si="64"/>
        <v>2Q09</v>
      </c>
      <c r="C489" s="517" t="str">
        <f t="shared" si="68"/>
        <v>2Q09</v>
      </c>
      <c r="D489" s="518">
        <f t="shared" si="69"/>
        <v>39976</v>
      </c>
      <c r="E489" s="518">
        <f t="shared" si="69"/>
        <v>39916</v>
      </c>
      <c r="F489" s="520">
        <v>2.2290000000000001</v>
      </c>
      <c r="G489" s="521">
        <f t="shared" si="65"/>
        <v>0.22000000000000006</v>
      </c>
      <c r="H489" s="521">
        <f t="shared" si="66"/>
        <v>0.22000000000000006</v>
      </c>
      <c r="I489" s="505"/>
      <c r="J489" s="505"/>
      <c r="K489" s="505"/>
      <c r="L489" s="505"/>
      <c r="M489" s="528"/>
      <c r="N489" s="505"/>
      <c r="O489" s="505"/>
      <c r="P489" s="505"/>
      <c r="Q489" s="505"/>
      <c r="R489" s="505"/>
      <c r="S489" s="505"/>
      <c r="T489" s="505"/>
      <c r="U489" s="505"/>
      <c r="V489" s="505"/>
      <c r="W489" s="505"/>
      <c r="X489" s="505"/>
      <c r="Y489" s="505"/>
      <c r="Z489" s="505"/>
      <c r="AA489" s="505"/>
      <c r="AB489" s="505"/>
      <c r="AC489" s="505"/>
      <c r="AD489" s="505"/>
      <c r="AE489" s="505"/>
      <c r="AF489" s="505"/>
      <c r="AG489" s="505"/>
      <c r="AH489" s="505"/>
      <c r="AI489" s="505"/>
      <c r="AJ489" s="505"/>
      <c r="AK489" s="505"/>
      <c r="AL489" s="505"/>
      <c r="AM489" s="505"/>
      <c r="AN489" s="505"/>
      <c r="AO489" s="505"/>
      <c r="AP489" s="505"/>
      <c r="AQ489" s="505"/>
      <c r="AR489" s="505"/>
      <c r="AS489" s="505"/>
      <c r="AT489" s="505"/>
      <c r="AU489" s="505"/>
      <c r="AV489" s="505"/>
      <c r="AW489" s="505"/>
      <c r="AX489" s="505"/>
      <c r="AY489" s="505"/>
      <c r="AZ489" s="505"/>
      <c r="BA489" s="505"/>
      <c r="BB489" s="505"/>
      <c r="BC489" s="505"/>
      <c r="BD489" s="505"/>
      <c r="BE489" s="505"/>
      <c r="BF489" s="505"/>
      <c r="BG489" s="505"/>
      <c r="BH489" s="505"/>
      <c r="BI489" s="505"/>
      <c r="BJ489" s="505"/>
      <c r="BK489" s="505"/>
      <c r="BL489" s="505"/>
      <c r="BM489" s="505"/>
      <c r="BN489" s="505"/>
      <c r="BO489" s="505"/>
      <c r="BP489" s="505"/>
      <c r="BQ489" s="505"/>
      <c r="BR489" s="505"/>
      <c r="BS489" s="505"/>
      <c r="BT489" s="505"/>
      <c r="BU489" s="505"/>
      <c r="BV489" s="505"/>
      <c r="BW489" s="505"/>
      <c r="BX489" s="505"/>
      <c r="BY489" s="505"/>
      <c r="BZ489" s="505"/>
      <c r="CA489" s="505"/>
      <c r="CB489" s="505"/>
      <c r="CC489" s="505"/>
      <c r="CD489" s="505"/>
      <c r="CE489" s="505"/>
      <c r="CF489" s="505"/>
      <c r="CG489" s="505"/>
      <c r="CH489" s="505"/>
      <c r="CI489" s="505"/>
      <c r="CJ489" s="505"/>
      <c r="CK489" s="505"/>
      <c r="CL489" s="505"/>
      <c r="CM489" s="505"/>
      <c r="CN489" s="505"/>
      <c r="CO489" s="505"/>
      <c r="CP489" s="505"/>
      <c r="CQ489" s="505"/>
      <c r="CR489" s="505"/>
      <c r="CS489" s="505"/>
      <c r="CT489" s="505"/>
      <c r="CU489" s="505"/>
      <c r="CV489" s="505"/>
      <c r="CW489" s="505"/>
      <c r="CX489" s="505"/>
      <c r="CY489" s="505"/>
      <c r="CZ489" s="505"/>
      <c r="DA489" s="505"/>
      <c r="DB489" s="505"/>
      <c r="DC489" s="505"/>
      <c r="DD489" s="505"/>
      <c r="DE489" s="505"/>
      <c r="DF489" s="505"/>
      <c r="DG489" s="505"/>
      <c r="DH489" s="505"/>
      <c r="DI489" s="505"/>
      <c r="DJ489" s="505"/>
      <c r="DK489" s="505"/>
      <c r="DL489" s="505"/>
      <c r="DM489" s="505"/>
      <c r="DN489" s="505"/>
      <c r="DO489" s="505"/>
      <c r="DP489" s="505"/>
    </row>
    <row r="490" spans="1:120" hidden="1" outlineLevel="1" x14ac:dyDescent="0.2">
      <c r="A490" s="517">
        <f t="shared" si="67"/>
        <v>39904</v>
      </c>
      <c r="B490" s="517" t="str">
        <f t="shared" si="64"/>
        <v>2Q09</v>
      </c>
      <c r="C490" s="517" t="str">
        <f t="shared" si="68"/>
        <v>2Q09</v>
      </c>
      <c r="D490" s="518">
        <f t="shared" si="69"/>
        <v>39983</v>
      </c>
      <c r="E490" s="518">
        <f t="shared" si="69"/>
        <v>39923</v>
      </c>
      <c r="F490" s="520">
        <v>2.2210000000000001</v>
      </c>
      <c r="G490" s="521">
        <f t="shared" si="65"/>
        <v>0.22000000000000006</v>
      </c>
      <c r="H490" s="521">
        <f t="shared" si="66"/>
        <v>0.22000000000000006</v>
      </c>
      <c r="I490" s="505"/>
      <c r="J490" s="505"/>
      <c r="K490" s="505"/>
      <c r="L490" s="505"/>
      <c r="M490" s="528"/>
      <c r="N490" s="505"/>
      <c r="O490" s="505"/>
      <c r="P490" s="505"/>
      <c r="Q490" s="505"/>
      <c r="R490" s="505"/>
      <c r="S490" s="505"/>
      <c r="T490" s="505"/>
      <c r="U490" s="505"/>
      <c r="V490" s="505"/>
      <c r="W490" s="505"/>
      <c r="X490" s="505"/>
      <c r="Y490" s="505"/>
      <c r="Z490" s="505"/>
      <c r="AA490" s="505"/>
      <c r="AB490" s="505"/>
      <c r="AC490" s="505"/>
      <c r="AD490" s="505"/>
      <c r="AE490" s="505"/>
      <c r="AF490" s="505"/>
      <c r="AG490" s="505"/>
      <c r="AH490" s="505"/>
      <c r="AI490" s="505"/>
      <c r="AJ490" s="505"/>
      <c r="AK490" s="505"/>
      <c r="AL490" s="505"/>
      <c r="AM490" s="505"/>
      <c r="AN490" s="505"/>
      <c r="AO490" s="505"/>
      <c r="AP490" s="505"/>
      <c r="AQ490" s="505"/>
      <c r="AR490" s="505"/>
      <c r="AS490" s="505"/>
      <c r="AT490" s="505"/>
      <c r="AU490" s="505"/>
      <c r="AV490" s="505"/>
      <c r="AW490" s="505"/>
      <c r="AX490" s="505"/>
      <c r="AY490" s="505"/>
      <c r="AZ490" s="505"/>
      <c r="BA490" s="505"/>
      <c r="BB490" s="505"/>
      <c r="BC490" s="505"/>
      <c r="BD490" s="505"/>
      <c r="BE490" s="505"/>
      <c r="BF490" s="505"/>
      <c r="BG490" s="505"/>
      <c r="BH490" s="505"/>
      <c r="BI490" s="505"/>
      <c r="BJ490" s="505"/>
      <c r="BK490" s="505"/>
      <c r="BL490" s="505"/>
      <c r="BM490" s="505"/>
      <c r="BN490" s="505"/>
      <c r="BO490" s="505"/>
      <c r="BP490" s="505"/>
      <c r="BQ490" s="505"/>
      <c r="BR490" s="505"/>
      <c r="BS490" s="505"/>
      <c r="BT490" s="505"/>
      <c r="BU490" s="505"/>
      <c r="BV490" s="505"/>
      <c r="BW490" s="505"/>
      <c r="BX490" s="505"/>
      <c r="BY490" s="505"/>
      <c r="BZ490" s="505"/>
      <c r="CA490" s="505"/>
      <c r="CB490" s="505"/>
      <c r="CC490" s="505"/>
      <c r="CD490" s="505"/>
      <c r="CE490" s="505"/>
      <c r="CF490" s="505"/>
      <c r="CG490" s="505"/>
      <c r="CH490" s="505"/>
      <c r="CI490" s="505"/>
      <c r="CJ490" s="505"/>
      <c r="CK490" s="505"/>
      <c r="CL490" s="505"/>
      <c r="CM490" s="505"/>
      <c r="CN490" s="505"/>
      <c r="CO490" s="505"/>
      <c r="CP490" s="505"/>
      <c r="CQ490" s="505"/>
      <c r="CR490" s="505"/>
      <c r="CS490" s="505"/>
      <c r="CT490" s="505"/>
      <c r="CU490" s="505"/>
      <c r="CV490" s="505"/>
      <c r="CW490" s="505"/>
      <c r="CX490" s="505"/>
      <c r="CY490" s="505"/>
      <c r="CZ490" s="505"/>
      <c r="DA490" s="505"/>
      <c r="DB490" s="505"/>
      <c r="DC490" s="505"/>
      <c r="DD490" s="505"/>
      <c r="DE490" s="505"/>
      <c r="DF490" s="505"/>
      <c r="DG490" s="505"/>
      <c r="DH490" s="505"/>
      <c r="DI490" s="505"/>
      <c r="DJ490" s="505"/>
      <c r="DK490" s="505"/>
      <c r="DL490" s="505"/>
      <c r="DM490" s="505"/>
      <c r="DN490" s="505"/>
      <c r="DO490" s="505"/>
      <c r="DP490" s="505"/>
    </row>
    <row r="491" spans="1:120" hidden="1" outlineLevel="1" x14ac:dyDescent="0.2">
      <c r="A491" s="517">
        <f t="shared" si="67"/>
        <v>39904</v>
      </c>
      <c r="B491" s="517" t="str">
        <f t="shared" si="64"/>
        <v>2Q09</v>
      </c>
      <c r="C491" s="517" t="str">
        <f t="shared" si="68"/>
        <v>2Q09</v>
      </c>
      <c r="D491" s="518">
        <f t="shared" si="69"/>
        <v>39990</v>
      </c>
      <c r="E491" s="518">
        <f t="shared" si="69"/>
        <v>39930</v>
      </c>
      <c r="F491" s="520">
        <v>2.2010000000000001</v>
      </c>
      <c r="G491" s="521">
        <f t="shared" si="65"/>
        <v>0.22000000000000006</v>
      </c>
      <c r="H491" s="521">
        <f t="shared" si="66"/>
        <v>0.21000000000000005</v>
      </c>
      <c r="I491" s="505"/>
      <c r="J491" s="505"/>
      <c r="K491" s="505"/>
      <c r="L491" s="505"/>
      <c r="M491" s="528"/>
      <c r="N491" s="505"/>
      <c r="O491" s="505"/>
      <c r="P491" s="505"/>
      <c r="Q491" s="505"/>
      <c r="R491" s="505"/>
      <c r="S491" s="505"/>
      <c r="T491" s="505"/>
      <c r="U491" s="505"/>
      <c r="V491" s="505"/>
      <c r="W491" s="505"/>
      <c r="X491" s="505"/>
      <c r="Y491" s="505"/>
      <c r="Z491" s="505"/>
      <c r="AA491" s="505"/>
      <c r="AB491" s="505"/>
      <c r="AC491" s="505"/>
      <c r="AD491" s="505"/>
      <c r="AE491" s="505"/>
      <c r="AF491" s="505"/>
      <c r="AG491" s="505"/>
      <c r="AH491" s="505"/>
      <c r="AI491" s="505"/>
      <c r="AJ491" s="505"/>
      <c r="AK491" s="505"/>
      <c r="AL491" s="505"/>
      <c r="AM491" s="505"/>
      <c r="AN491" s="505"/>
      <c r="AO491" s="505"/>
      <c r="AP491" s="505"/>
      <c r="AQ491" s="505"/>
      <c r="AR491" s="505"/>
      <c r="AS491" s="505"/>
      <c r="AT491" s="505"/>
      <c r="AU491" s="505"/>
      <c r="AV491" s="505"/>
      <c r="AW491" s="505"/>
      <c r="AX491" s="505"/>
      <c r="AY491" s="505"/>
      <c r="AZ491" s="505"/>
      <c r="BA491" s="505"/>
      <c r="BB491" s="505"/>
      <c r="BC491" s="505"/>
      <c r="BD491" s="505"/>
      <c r="BE491" s="505"/>
      <c r="BF491" s="505"/>
      <c r="BG491" s="505"/>
      <c r="BH491" s="505"/>
      <c r="BI491" s="505"/>
      <c r="BJ491" s="505"/>
      <c r="BK491" s="505"/>
      <c r="BL491" s="505"/>
      <c r="BM491" s="505"/>
      <c r="BN491" s="505"/>
      <c r="BO491" s="505"/>
      <c r="BP491" s="505"/>
      <c r="BQ491" s="505"/>
      <c r="BR491" s="505"/>
      <c r="BS491" s="505"/>
      <c r="BT491" s="505"/>
      <c r="BU491" s="505"/>
      <c r="BV491" s="505"/>
      <c r="BW491" s="505"/>
      <c r="BX491" s="505"/>
      <c r="BY491" s="505"/>
      <c r="BZ491" s="505"/>
      <c r="CA491" s="505"/>
      <c r="CB491" s="505"/>
      <c r="CC491" s="505"/>
      <c r="CD491" s="505"/>
      <c r="CE491" s="505"/>
      <c r="CF491" s="505"/>
      <c r="CG491" s="505"/>
      <c r="CH491" s="505"/>
      <c r="CI491" s="505"/>
      <c r="CJ491" s="505"/>
      <c r="CK491" s="505"/>
      <c r="CL491" s="505"/>
      <c r="CM491" s="505"/>
      <c r="CN491" s="505"/>
      <c r="CO491" s="505"/>
      <c r="CP491" s="505"/>
      <c r="CQ491" s="505"/>
      <c r="CR491" s="505"/>
      <c r="CS491" s="505"/>
      <c r="CT491" s="505"/>
      <c r="CU491" s="505"/>
      <c r="CV491" s="505"/>
      <c r="CW491" s="505"/>
      <c r="CX491" s="505"/>
      <c r="CY491" s="505"/>
      <c r="CZ491" s="505"/>
      <c r="DA491" s="505"/>
      <c r="DB491" s="505"/>
      <c r="DC491" s="505"/>
      <c r="DD491" s="505"/>
      <c r="DE491" s="505"/>
      <c r="DF491" s="505"/>
      <c r="DG491" s="505"/>
      <c r="DH491" s="505"/>
      <c r="DI491" s="505"/>
      <c r="DJ491" s="505"/>
      <c r="DK491" s="505"/>
      <c r="DL491" s="505"/>
      <c r="DM491" s="505"/>
      <c r="DN491" s="505"/>
      <c r="DO491" s="505"/>
      <c r="DP491" s="505"/>
    </row>
    <row r="492" spans="1:120" hidden="1" outlineLevel="1" x14ac:dyDescent="0.2">
      <c r="A492" s="517">
        <f t="shared" si="67"/>
        <v>39934</v>
      </c>
      <c r="B492" s="517" t="str">
        <f t="shared" si="64"/>
        <v>2Q09</v>
      </c>
      <c r="C492" s="517" t="str">
        <f t="shared" si="68"/>
        <v>3Q09</v>
      </c>
      <c r="D492" s="518">
        <f t="shared" si="69"/>
        <v>39997</v>
      </c>
      <c r="E492" s="518">
        <f t="shared" si="69"/>
        <v>39937</v>
      </c>
      <c r="F492" s="520">
        <v>2.1850000000000001</v>
      </c>
      <c r="G492" s="521">
        <f t="shared" si="65"/>
        <v>0.21000000000000005</v>
      </c>
      <c r="H492" s="521">
        <f t="shared" si="66"/>
        <v>0.22000000000000006</v>
      </c>
      <c r="I492" s="505"/>
      <c r="J492" s="505"/>
      <c r="K492" s="505"/>
      <c r="L492" s="505"/>
      <c r="M492" s="528"/>
      <c r="N492" s="505"/>
      <c r="O492" s="505"/>
      <c r="P492" s="505"/>
      <c r="Q492" s="505"/>
      <c r="R492" s="505"/>
      <c r="S492" s="505"/>
      <c r="T492" s="505"/>
      <c r="U492" s="505"/>
      <c r="V492" s="505"/>
      <c r="W492" s="505"/>
      <c r="X492" s="505"/>
      <c r="Y492" s="505"/>
      <c r="Z492" s="505"/>
      <c r="AA492" s="505"/>
      <c r="AB492" s="505"/>
      <c r="AC492" s="505"/>
      <c r="AD492" s="505"/>
      <c r="AE492" s="505"/>
      <c r="AF492" s="505"/>
      <c r="AG492" s="505"/>
      <c r="AH492" s="505"/>
      <c r="AI492" s="505"/>
      <c r="AJ492" s="505"/>
      <c r="AK492" s="505"/>
      <c r="AL492" s="505"/>
      <c r="AM492" s="505"/>
      <c r="AN492" s="505"/>
      <c r="AO492" s="505"/>
      <c r="AP492" s="505"/>
      <c r="AQ492" s="505"/>
      <c r="AR492" s="505"/>
      <c r="AS492" s="505"/>
      <c r="AT492" s="505"/>
      <c r="AU492" s="505"/>
      <c r="AV492" s="505"/>
      <c r="AW492" s="505"/>
      <c r="AX492" s="505"/>
      <c r="AY492" s="505"/>
      <c r="AZ492" s="505"/>
      <c r="BA492" s="505"/>
      <c r="BB492" s="505"/>
      <c r="BC492" s="505"/>
      <c r="BD492" s="505"/>
      <c r="BE492" s="505"/>
      <c r="BF492" s="505"/>
      <c r="BG492" s="505"/>
      <c r="BH492" s="505"/>
      <c r="BI492" s="505"/>
      <c r="BJ492" s="505"/>
      <c r="BK492" s="505"/>
      <c r="BL492" s="505"/>
      <c r="BM492" s="505"/>
      <c r="BN492" s="505"/>
      <c r="BO492" s="505"/>
      <c r="BP492" s="505"/>
      <c r="BQ492" s="505"/>
      <c r="BR492" s="505"/>
      <c r="BS492" s="505"/>
      <c r="BT492" s="505"/>
      <c r="BU492" s="505"/>
      <c r="BV492" s="505"/>
      <c r="BW492" s="505"/>
      <c r="BX492" s="505"/>
      <c r="BY492" s="505"/>
      <c r="BZ492" s="505"/>
      <c r="CA492" s="505"/>
      <c r="CB492" s="505"/>
      <c r="CC492" s="505"/>
      <c r="CD492" s="505"/>
      <c r="CE492" s="505"/>
      <c r="CF492" s="505"/>
      <c r="CG492" s="505"/>
      <c r="CH492" s="505"/>
      <c r="CI492" s="505"/>
      <c r="CJ492" s="505"/>
      <c r="CK492" s="505"/>
      <c r="CL492" s="505"/>
      <c r="CM492" s="505"/>
      <c r="CN492" s="505"/>
      <c r="CO492" s="505"/>
      <c r="CP492" s="505"/>
      <c r="CQ492" s="505"/>
      <c r="CR492" s="505"/>
      <c r="CS492" s="505"/>
      <c r="CT492" s="505"/>
      <c r="CU492" s="505"/>
      <c r="CV492" s="505"/>
      <c r="CW492" s="505"/>
      <c r="CX492" s="505"/>
      <c r="CY492" s="505"/>
      <c r="CZ492" s="505"/>
      <c r="DA492" s="505"/>
      <c r="DB492" s="505"/>
      <c r="DC492" s="505"/>
      <c r="DD492" s="505"/>
      <c r="DE492" s="505"/>
      <c r="DF492" s="505"/>
      <c r="DG492" s="505"/>
      <c r="DH492" s="505"/>
      <c r="DI492" s="505"/>
      <c r="DJ492" s="505"/>
      <c r="DK492" s="505"/>
      <c r="DL492" s="505"/>
      <c r="DM492" s="505"/>
      <c r="DN492" s="505"/>
      <c r="DO492" s="505"/>
      <c r="DP492" s="505"/>
    </row>
    <row r="493" spans="1:120" hidden="1" outlineLevel="1" x14ac:dyDescent="0.2">
      <c r="A493" s="517">
        <f t="shared" si="67"/>
        <v>39934</v>
      </c>
      <c r="B493" s="517" t="str">
        <f t="shared" si="64"/>
        <v>2Q09</v>
      </c>
      <c r="C493" s="517" t="str">
        <f t="shared" si="68"/>
        <v>3Q09</v>
      </c>
      <c r="D493" s="518">
        <f t="shared" si="69"/>
        <v>40004</v>
      </c>
      <c r="E493" s="518">
        <f t="shared" si="69"/>
        <v>39944</v>
      </c>
      <c r="F493" s="520">
        <v>2.2160000000000002</v>
      </c>
      <c r="G493" s="521">
        <f t="shared" si="65"/>
        <v>0.22000000000000006</v>
      </c>
      <c r="H493" s="521">
        <f t="shared" si="66"/>
        <v>0.22000000000000006</v>
      </c>
      <c r="I493" s="505"/>
      <c r="J493" s="505"/>
      <c r="K493" s="505"/>
      <c r="L493" s="505"/>
      <c r="M493" s="528"/>
      <c r="N493" s="505"/>
      <c r="O493" s="505"/>
      <c r="P493" s="505"/>
      <c r="Q493" s="505"/>
      <c r="R493" s="505"/>
      <c r="S493" s="505"/>
      <c r="T493" s="505"/>
      <c r="U493" s="505"/>
      <c r="V493" s="505"/>
      <c r="W493" s="505"/>
      <c r="X493" s="505"/>
      <c r="Y493" s="505"/>
      <c r="Z493" s="505"/>
      <c r="AA493" s="505"/>
      <c r="AB493" s="505"/>
      <c r="AC493" s="505"/>
      <c r="AD493" s="505"/>
      <c r="AE493" s="505"/>
      <c r="AF493" s="505"/>
      <c r="AG493" s="505"/>
      <c r="AH493" s="505"/>
      <c r="AI493" s="505"/>
      <c r="AJ493" s="505"/>
      <c r="AK493" s="505"/>
      <c r="AL493" s="505"/>
      <c r="AM493" s="505"/>
      <c r="AN493" s="505"/>
      <c r="AO493" s="505"/>
      <c r="AP493" s="505"/>
      <c r="AQ493" s="505"/>
      <c r="AR493" s="505"/>
      <c r="AS493" s="505"/>
      <c r="AT493" s="505"/>
      <c r="AU493" s="505"/>
      <c r="AV493" s="505"/>
      <c r="AW493" s="505"/>
      <c r="AX493" s="505"/>
      <c r="AY493" s="505"/>
      <c r="AZ493" s="505"/>
      <c r="BA493" s="505"/>
      <c r="BB493" s="505"/>
      <c r="BC493" s="505"/>
      <c r="BD493" s="505"/>
      <c r="BE493" s="505"/>
      <c r="BF493" s="505"/>
      <c r="BG493" s="505"/>
      <c r="BH493" s="505"/>
      <c r="BI493" s="505"/>
      <c r="BJ493" s="505"/>
      <c r="BK493" s="505"/>
      <c r="BL493" s="505"/>
      <c r="BM493" s="505"/>
      <c r="BN493" s="505"/>
      <c r="BO493" s="505"/>
      <c r="BP493" s="505"/>
      <c r="BQ493" s="505"/>
      <c r="BR493" s="505"/>
      <c r="BS493" s="505"/>
      <c r="BT493" s="505"/>
      <c r="BU493" s="505"/>
      <c r="BV493" s="505"/>
      <c r="BW493" s="505"/>
      <c r="BX493" s="505"/>
      <c r="BY493" s="505"/>
      <c r="BZ493" s="505"/>
      <c r="CA493" s="505"/>
      <c r="CB493" s="505"/>
      <c r="CC493" s="505"/>
      <c r="CD493" s="505"/>
      <c r="CE493" s="505"/>
      <c r="CF493" s="505"/>
      <c r="CG493" s="505"/>
      <c r="CH493" s="505"/>
      <c r="CI493" s="505"/>
      <c r="CJ493" s="505"/>
      <c r="CK493" s="505"/>
      <c r="CL493" s="505"/>
      <c r="CM493" s="505"/>
      <c r="CN493" s="505"/>
      <c r="CO493" s="505"/>
      <c r="CP493" s="505"/>
      <c r="CQ493" s="505"/>
      <c r="CR493" s="505"/>
      <c r="CS493" s="505"/>
      <c r="CT493" s="505"/>
      <c r="CU493" s="505"/>
      <c r="CV493" s="505"/>
      <c r="CW493" s="505"/>
      <c r="CX493" s="505"/>
      <c r="CY493" s="505"/>
      <c r="CZ493" s="505"/>
      <c r="DA493" s="505"/>
      <c r="DB493" s="505"/>
      <c r="DC493" s="505"/>
      <c r="DD493" s="505"/>
      <c r="DE493" s="505"/>
      <c r="DF493" s="505"/>
      <c r="DG493" s="505"/>
      <c r="DH493" s="505"/>
      <c r="DI493" s="505"/>
      <c r="DJ493" s="505"/>
      <c r="DK493" s="505"/>
      <c r="DL493" s="505"/>
      <c r="DM493" s="505"/>
      <c r="DN493" s="505"/>
      <c r="DO493" s="505"/>
      <c r="DP493" s="505"/>
    </row>
    <row r="494" spans="1:120" hidden="1" outlineLevel="1" x14ac:dyDescent="0.2">
      <c r="A494" s="517">
        <f t="shared" si="67"/>
        <v>39934</v>
      </c>
      <c r="B494" s="517" t="str">
        <f t="shared" si="64"/>
        <v>2Q09</v>
      </c>
      <c r="C494" s="517" t="str">
        <f t="shared" si="68"/>
        <v>3Q09</v>
      </c>
      <c r="D494" s="518">
        <f t="shared" si="69"/>
        <v>40011</v>
      </c>
      <c r="E494" s="518">
        <f t="shared" si="69"/>
        <v>39951</v>
      </c>
      <c r="F494" s="520">
        <v>2.2309999999999999</v>
      </c>
      <c r="G494" s="521">
        <f t="shared" si="65"/>
        <v>0.22000000000000006</v>
      </c>
      <c r="H494" s="521">
        <f t="shared" si="66"/>
        <v>0.23000000000000007</v>
      </c>
      <c r="I494" s="505"/>
      <c r="J494" s="505"/>
      <c r="K494" s="505"/>
      <c r="L494" s="505"/>
      <c r="M494" s="528"/>
      <c r="N494" s="505"/>
      <c r="O494" s="505"/>
      <c r="P494" s="505"/>
      <c r="Q494" s="505"/>
      <c r="R494" s="505"/>
      <c r="S494" s="505"/>
      <c r="T494" s="505"/>
      <c r="U494" s="505"/>
      <c r="V494" s="505"/>
      <c r="W494" s="505"/>
      <c r="X494" s="505"/>
      <c r="Y494" s="505"/>
      <c r="Z494" s="505"/>
      <c r="AA494" s="505"/>
      <c r="AB494" s="505"/>
      <c r="AC494" s="505"/>
      <c r="AD494" s="505"/>
      <c r="AE494" s="505"/>
      <c r="AF494" s="505"/>
      <c r="AG494" s="505"/>
      <c r="AH494" s="505"/>
      <c r="AI494" s="505"/>
      <c r="AJ494" s="505"/>
      <c r="AK494" s="505"/>
      <c r="AL494" s="505"/>
      <c r="AM494" s="505"/>
      <c r="AN494" s="505"/>
      <c r="AO494" s="505"/>
      <c r="AP494" s="505"/>
      <c r="AQ494" s="505"/>
      <c r="AR494" s="505"/>
      <c r="AS494" s="505"/>
      <c r="AT494" s="505"/>
      <c r="AU494" s="505"/>
      <c r="AV494" s="505"/>
      <c r="AW494" s="505"/>
      <c r="AX494" s="505"/>
      <c r="AY494" s="505"/>
      <c r="AZ494" s="505"/>
      <c r="BA494" s="505"/>
      <c r="BB494" s="505"/>
      <c r="BC494" s="505"/>
      <c r="BD494" s="505"/>
      <c r="BE494" s="505"/>
      <c r="BF494" s="505"/>
      <c r="BG494" s="505"/>
      <c r="BH494" s="505"/>
      <c r="BI494" s="505"/>
      <c r="BJ494" s="505"/>
      <c r="BK494" s="505"/>
      <c r="BL494" s="505"/>
      <c r="BM494" s="505"/>
      <c r="BN494" s="505"/>
      <c r="BO494" s="505"/>
      <c r="BP494" s="505"/>
      <c r="BQ494" s="505"/>
      <c r="BR494" s="505"/>
      <c r="BS494" s="505"/>
      <c r="BT494" s="505"/>
      <c r="BU494" s="505"/>
      <c r="BV494" s="505"/>
      <c r="BW494" s="505"/>
      <c r="BX494" s="505"/>
      <c r="BY494" s="505"/>
      <c r="BZ494" s="505"/>
      <c r="CA494" s="505"/>
      <c r="CB494" s="505"/>
      <c r="CC494" s="505"/>
      <c r="CD494" s="505"/>
      <c r="CE494" s="505"/>
      <c r="CF494" s="505"/>
      <c r="CG494" s="505"/>
      <c r="CH494" s="505"/>
      <c r="CI494" s="505"/>
      <c r="CJ494" s="505"/>
      <c r="CK494" s="505"/>
      <c r="CL494" s="505"/>
      <c r="CM494" s="505"/>
      <c r="CN494" s="505"/>
      <c r="CO494" s="505"/>
      <c r="CP494" s="505"/>
      <c r="CQ494" s="505"/>
      <c r="CR494" s="505"/>
      <c r="CS494" s="505"/>
      <c r="CT494" s="505"/>
      <c r="CU494" s="505"/>
      <c r="CV494" s="505"/>
      <c r="CW494" s="505"/>
      <c r="CX494" s="505"/>
      <c r="CY494" s="505"/>
      <c r="CZ494" s="505"/>
      <c r="DA494" s="505"/>
      <c r="DB494" s="505"/>
      <c r="DC494" s="505"/>
      <c r="DD494" s="505"/>
      <c r="DE494" s="505"/>
      <c r="DF494" s="505"/>
      <c r="DG494" s="505"/>
      <c r="DH494" s="505"/>
      <c r="DI494" s="505"/>
      <c r="DJ494" s="505"/>
      <c r="DK494" s="505"/>
      <c r="DL494" s="505"/>
      <c r="DM494" s="505"/>
      <c r="DN494" s="505"/>
      <c r="DO494" s="505"/>
      <c r="DP494" s="505"/>
    </row>
    <row r="495" spans="1:120" hidden="1" outlineLevel="1" x14ac:dyDescent="0.2">
      <c r="A495" s="517">
        <f t="shared" si="67"/>
        <v>39934</v>
      </c>
      <c r="B495" s="517" t="str">
        <f t="shared" si="64"/>
        <v>2Q09</v>
      </c>
      <c r="C495" s="517" t="str">
        <f t="shared" si="68"/>
        <v>3Q09</v>
      </c>
      <c r="D495" s="518">
        <f t="shared" si="69"/>
        <v>40018</v>
      </c>
      <c r="E495" s="518">
        <f t="shared" si="69"/>
        <v>39958</v>
      </c>
      <c r="F495" s="520">
        <v>2.274</v>
      </c>
      <c r="G495" s="521">
        <f t="shared" si="65"/>
        <v>0.23000000000000007</v>
      </c>
      <c r="H495" s="521">
        <f t="shared" si="66"/>
        <v>0.25000000000000006</v>
      </c>
      <c r="I495" s="505"/>
      <c r="J495" s="505"/>
      <c r="K495" s="505"/>
      <c r="L495" s="505"/>
      <c r="M495" s="528"/>
      <c r="N495" s="505"/>
      <c r="O495" s="505"/>
      <c r="P495" s="505"/>
      <c r="Q495" s="505"/>
      <c r="R495" s="505"/>
      <c r="S495" s="505"/>
      <c r="T495" s="505"/>
      <c r="U495" s="505"/>
      <c r="V495" s="505"/>
      <c r="W495" s="505"/>
      <c r="X495" s="505"/>
      <c r="Y495" s="505"/>
      <c r="Z495" s="505"/>
      <c r="AA495" s="505"/>
      <c r="AB495" s="505"/>
      <c r="AC495" s="505"/>
      <c r="AD495" s="505"/>
      <c r="AE495" s="505"/>
      <c r="AF495" s="505"/>
      <c r="AG495" s="505"/>
      <c r="AH495" s="505"/>
      <c r="AI495" s="505"/>
      <c r="AJ495" s="505"/>
      <c r="AK495" s="505"/>
      <c r="AL495" s="505"/>
      <c r="AM495" s="505"/>
      <c r="AN495" s="505"/>
      <c r="AO495" s="505"/>
      <c r="AP495" s="505"/>
      <c r="AQ495" s="505"/>
      <c r="AR495" s="505"/>
      <c r="AS495" s="505"/>
      <c r="AT495" s="505"/>
      <c r="AU495" s="505"/>
      <c r="AV495" s="505"/>
      <c r="AW495" s="505"/>
      <c r="AX495" s="505"/>
      <c r="AY495" s="505"/>
      <c r="AZ495" s="505"/>
      <c r="BA495" s="505"/>
      <c r="BB495" s="505"/>
      <c r="BC495" s="505"/>
      <c r="BD495" s="505"/>
      <c r="BE495" s="505"/>
      <c r="BF495" s="505"/>
      <c r="BG495" s="505"/>
      <c r="BH495" s="505"/>
      <c r="BI495" s="505"/>
      <c r="BJ495" s="505"/>
      <c r="BK495" s="505"/>
      <c r="BL495" s="505"/>
      <c r="BM495" s="505"/>
      <c r="BN495" s="505"/>
      <c r="BO495" s="505"/>
      <c r="BP495" s="505"/>
      <c r="BQ495" s="505"/>
      <c r="BR495" s="505"/>
      <c r="BS495" s="505"/>
      <c r="BT495" s="505"/>
      <c r="BU495" s="505"/>
      <c r="BV495" s="505"/>
      <c r="BW495" s="505"/>
      <c r="BX495" s="505"/>
      <c r="BY495" s="505"/>
      <c r="BZ495" s="505"/>
      <c r="CA495" s="505"/>
      <c r="CB495" s="505"/>
      <c r="CC495" s="505"/>
      <c r="CD495" s="505"/>
      <c r="CE495" s="505"/>
      <c r="CF495" s="505"/>
      <c r="CG495" s="505"/>
      <c r="CH495" s="505"/>
      <c r="CI495" s="505"/>
      <c r="CJ495" s="505"/>
      <c r="CK495" s="505"/>
      <c r="CL495" s="505"/>
      <c r="CM495" s="505"/>
      <c r="CN495" s="505"/>
      <c r="CO495" s="505"/>
      <c r="CP495" s="505"/>
      <c r="CQ495" s="505"/>
      <c r="CR495" s="505"/>
      <c r="CS495" s="505"/>
      <c r="CT495" s="505"/>
      <c r="CU495" s="505"/>
      <c r="CV495" s="505"/>
      <c r="CW495" s="505"/>
      <c r="CX495" s="505"/>
      <c r="CY495" s="505"/>
      <c r="CZ495" s="505"/>
      <c r="DA495" s="505"/>
      <c r="DB495" s="505"/>
      <c r="DC495" s="505"/>
      <c r="DD495" s="505"/>
      <c r="DE495" s="505"/>
      <c r="DF495" s="505"/>
      <c r="DG495" s="505"/>
      <c r="DH495" s="505"/>
      <c r="DI495" s="505"/>
      <c r="DJ495" s="505"/>
      <c r="DK495" s="505"/>
      <c r="DL495" s="505"/>
      <c r="DM495" s="505"/>
      <c r="DN495" s="505"/>
      <c r="DO495" s="505"/>
      <c r="DP495" s="505"/>
    </row>
    <row r="496" spans="1:120" hidden="1" outlineLevel="1" x14ac:dyDescent="0.2">
      <c r="A496" s="517">
        <f t="shared" si="67"/>
        <v>39965</v>
      </c>
      <c r="B496" s="517" t="str">
        <f t="shared" si="64"/>
        <v>2Q09</v>
      </c>
      <c r="C496" s="517" t="str">
        <f t="shared" si="68"/>
        <v>3Q09</v>
      </c>
      <c r="D496" s="518">
        <f t="shared" si="69"/>
        <v>40025</v>
      </c>
      <c r="E496" s="518">
        <f t="shared" si="69"/>
        <v>39965</v>
      </c>
      <c r="F496" s="520">
        <v>2.3519999999999999</v>
      </c>
      <c r="G496" s="521">
        <f t="shared" si="65"/>
        <v>0.25000000000000006</v>
      </c>
      <c r="H496" s="521">
        <f t="shared" si="66"/>
        <v>0.27000000000000007</v>
      </c>
      <c r="I496" s="505"/>
      <c r="J496" s="505"/>
      <c r="K496" s="505"/>
      <c r="L496" s="505"/>
      <c r="M496" s="528"/>
      <c r="N496" s="505"/>
      <c r="O496" s="505"/>
      <c r="P496" s="505"/>
      <c r="Q496" s="505"/>
      <c r="R496" s="505"/>
      <c r="S496" s="505"/>
      <c r="T496" s="505"/>
      <c r="U496" s="505"/>
      <c r="V496" s="505"/>
      <c r="W496" s="505"/>
      <c r="X496" s="505"/>
      <c r="Y496" s="505"/>
      <c r="Z496" s="505"/>
      <c r="AA496" s="505"/>
      <c r="AB496" s="505"/>
      <c r="AC496" s="505"/>
      <c r="AD496" s="505"/>
      <c r="AE496" s="505"/>
      <c r="AF496" s="505"/>
      <c r="AG496" s="505"/>
      <c r="AH496" s="505"/>
      <c r="AI496" s="505"/>
      <c r="AJ496" s="505"/>
      <c r="AK496" s="505"/>
      <c r="AL496" s="505"/>
      <c r="AM496" s="505"/>
      <c r="AN496" s="505"/>
      <c r="AO496" s="505"/>
      <c r="AP496" s="505"/>
      <c r="AQ496" s="505"/>
      <c r="AR496" s="505"/>
      <c r="AS496" s="505"/>
      <c r="AT496" s="505"/>
      <c r="AU496" s="505"/>
      <c r="AV496" s="505"/>
      <c r="AW496" s="505"/>
      <c r="AX496" s="505"/>
      <c r="AY496" s="505"/>
      <c r="AZ496" s="505"/>
      <c r="BA496" s="505"/>
      <c r="BB496" s="505"/>
      <c r="BC496" s="505"/>
      <c r="BD496" s="505"/>
      <c r="BE496" s="505"/>
      <c r="BF496" s="505"/>
      <c r="BG496" s="505"/>
      <c r="BH496" s="505"/>
      <c r="BI496" s="505"/>
      <c r="BJ496" s="505"/>
      <c r="BK496" s="505"/>
      <c r="BL496" s="505"/>
      <c r="BM496" s="505"/>
      <c r="BN496" s="505"/>
      <c r="BO496" s="505"/>
      <c r="BP496" s="505"/>
      <c r="BQ496" s="505"/>
      <c r="BR496" s="505"/>
      <c r="BS496" s="505"/>
      <c r="BT496" s="505"/>
      <c r="BU496" s="505"/>
      <c r="BV496" s="505"/>
      <c r="BW496" s="505"/>
      <c r="BX496" s="505"/>
      <c r="BY496" s="505"/>
      <c r="BZ496" s="505"/>
      <c r="CA496" s="505"/>
      <c r="CB496" s="505"/>
      <c r="CC496" s="505"/>
      <c r="CD496" s="505"/>
      <c r="CE496" s="505"/>
      <c r="CF496" s="505"/>
      <c r="CG496" s="505"/>
      <c r="CH496" s="505"/>
      <c r="CI496" s="505"/>
      <c r="CJ496" s="505"/>
      <c r="CK496" s="505"/>
      <c r="CL496" s="505"/>
      <c r="CM496" s="505"/>
      <c r="CN496" s="505"/>
      <c r="CO496" s="505"/>
      <c r="CP496" s="505"/>
      <c r="CQ496" s="505"/>
      <c r="CR496" s="505"/>
      <c r="CS496" s="505"/>
      <c r="CT496" s="505"/>
      <c r="CU496" s="505"/>
      <c r="CV496" s="505"/>
      <c r="CW496" s="505"/>
      <c r="CX496" s="505"/>
      <c r="CY496" s="505"/>
      <c r="CZ496" s="505"/>
      <c r="DA496" s="505"/>
      <c r="DB496" s="505"/>
      <c r="DC496" s="505"/>
      <c r="DD496" s="505"/>
      <c r="DE496" s="505"/>
      <c r="DF496" s="505"/>
      <c r="DG496" s="505"/>
      <c r="DH496" s="505"/>
      <c r="DI496" s="505"/>
      <c r="DJ496" s="505"/>
      <c r="DK496" s="505"/>
      <c r="DL496" s="505"/>
      <c r="DM496" s="505"/>
      <c r="DN496" s="505"/>
      <c r="DO496" s="505"/>
      <c r="DP496" s="505"/>
    </row>
    <row r="497" spans="1:120" hidden="1" outlineLevel="1" x14ac:dyDescent="0.2">
      <c r="A497" s="517">
        <f t="shared" si="67"/>
        <v>39965</v>
      </c>
      <c r="B497" s="517" t="str">
        <f t="shared" si="64"/>
        <v>2Q09</v>
      </c>
      <c r="C497" s="517" t="str">
        <f t="shared" si="68"/>
        <v>3Q09</v>
      </c>
      <c r="D497" s="518">
        <f t="shared" si="69"/>
        <v>40032</v>
      </c>
      <c r="E497" s="518">
        <f t="shared" si="69"/>
        <v>39972</v>
      </c>
      <c r="F497" s="520">
        <v>2.4980000000000002</v>
      </c>
      <c r="G497" s="521">
        <f t="shared" si="65"/>
        <v>0.27000000000000007</v>
      </c>
      <c r="H497" s="521">
        <f t="shared" si="66"/>
        <v>0.29000000000000009</v>
      </c>
      <c r="I497" s="505"/>
      <c r="J497" s="505"/>
      <c r="K497" s="505"/>
      <c r="L497" s="505"/>
      <c r="M497" s="528"/>
      <c r="N497" s="505"/>
      <c r="O497" s="505"/>
      <c r="P497" s="505"/>
      <c r="Q497" s="505"/>
      <c r="R497" s="505"/>
      <c r="S497" s="505"/>
      <c r="T497" s="505"/>
      <c r="U497" s="505"/>
      <c r="V497" s="505"/>
      <c r="W497" s="505"/>
      <c r="X497" s="505"/>
      <c r="Y497" s="505"/>
      <c r="Z497" s="505"/>
      <c r="AA497" s="505"/>
      <c r="AB497" s="505"/>
      <c r="AC497" s="505"/>
      <c r="AD497" s="505"/>
      <c r="AE497" s="505"/>
      <c r="AF497" s="505"/>
      <c r="AG497" s="505"/>
      <c r="AH497" s="505"/>
      <c r="AI497" s="505"/>
      <c r="AJ497" s="505"/>
      <c r="AK497" s="505"/>
      <c r="AL497" s="505"/>
      <c r="AM497" s="505"/>
      <c r="AN497" s="505"/>
      <c r="AO497" s="505"/>
      <c r="AP497" s="505"/>
      <c r="AQ497" s="505"/>
      <c r="AR497" s="505"/>
      <c r="AS497" s="505"/>
      <c r="AT497" s="505"/>
      <c r="AU497" s="505"/>
      <c r="AV497" s="505"/>
      <c r="AW497" s="505"/>
      <c r="AX497" s="505"/>
      <c r="AY497" s="505"/>
      <c r="AZ497" s="505"/>
      <c r="BA497" s="505"/>
      <c r="BB497" s="505"/>
      <c r="BC497" s="505"/>
      <c r="BD497" s="505"/>
      <c r="BE497" s="505"/>
      <c r="BF497" s="505"/>
      <c r="BG497" s="505"/>
      <c r="BH497" s="505"/>
      <c r="BI497" s="505"/>
      <c r="BJ497" s="505"/>
      <c r="BK497" s="505"/>
      <c r="BL497" s="505"/>
      <c r="BM497" s="505"/>
      <c r="BN497" s="505"/>
      <c r="BO497" s="505"/>
      <c r="BP497" s="505"/>
      <c r="BQ497" s="505"/>
      <c r="BR497" s="505"/>
      <c r="BS497" s="505"/>
      <c r="BT497" s="505"/>
      <c r="BU497" s="505"/>
      <c r="BV497" s="505"/>
      <c r="BW497" s="505"/>
      <c r="BX497" s="505"/>
      <c r="BY497" s="505"/>
      <c r="BZ497" s="505"/>
      <c r="CA497" s="505"/>
      <c r="CB497" s="505"/>
      <c r="CC497" s="505"/>
      <c r="CD497" s="505"/>
      <c r="CE497" s="505"/>
      <c r="CF497" s="505"/>
      <c r="CG497" s="505"/>
      <c r="CH497" s="505"/>
      <c r="CI497" s="505"/>
      <c r="CJ497" s="505"/>
      <c r="CK497" s="505"/>
      <c r="CL497" s="505"/>
      <c r="CM497" s="505"/>
      <c r="CN497" s="505"/>
      <c r="CO497" s="505"/>
      <c r="CP497" s="505"/>
      <c r="CQ497" s="505"/>
      <c r="CR497" s="505"/>
      <c r="CS497" s="505"/>
      <c r="CT497" s="505"/>
      <c r="CU497" s="505"/>
      <c r="CV497" s="505"/>
      <c r="CW497" s="505"/>
      <c r="CX497" s="505"/>
      <c r="CY497" s="505"/>
      <c r="CZ497" s="505"/>
      <c r="DA497" s="505"/>
      <c r="DB497" s="505"/>
      <c r="DC497" s="505"/>
      <c r="DD497" s="505"/>
      <c r="DE497" s="505"/>
      <c r="DF497" s="505"/>
      <c r="DG497" s="505"/>
      <c r="DH497" s="505"/>
      <c r="DI497" s="505"/>
      <c r="DJ497" s="505"/>
      <c r="DK497" s="505"/>
      <c r="DL497" s="505"/>
      <c r="DM497" s="505"/>
      <c r="DN497" s="505"/>
      <c r="DO497" s="505"/>
      <c r="DP497" s="505"/>
    </row>
    <row r="498" spans="1:120" hidden="1" outlineLevel="1" x14ac:dyDescent="0.2">
      <c r="A498" s="517">
        <f t="shared" si="67"/>
        <v>39965</v>
      </c>
      <c r="B498" s="517" t="str">
        <f t="shared" si="64"/>
        <v>2Q09</v>
      </c>
      <c r="C498" s="517" t="str">
        <f t="shared" si="68"/>
        <v>3Q09</v>
      </c>
      <c r="D498" s="518">
        <f t="shared" si="69"/>
        <v>40039</v>
      </c>
      <c r="E498" s="518">
        <f t="shared" si="69"/>
        <v>39979</v>
      </c>
      <c r="F498" s="520">
        <v>2.5720000000000001</v>
      </c>
      <c r="G498" s="521">
        <f t="shared" si="65"/>
        <v>0.29000000000000009</v>
      </c>
      <c r="H498" s="521">
        <f t="shared" si="66"/>
        <v>0.3000000000000001</v>
      </c>
      <c r="I498" s="505"/>
      <c r="J498" s="505"/>
      <c r="K498" s="505"/>
      <c r="L498" s="505"/>
      <c r="M498" s="528"/>
      <c r="N498" s="505"/>
      <c r="O498" s="505"/>
      <c r="P498" s="505"/>
      <c r="Q498" s="505"/>
      <c r="R498" s="505"/>
      <c r="S498" s="505"/>
      <c r="T498" s="505"/>
      <c r="U498" s="505"/>
      <c r="V498" s="505"/>
      <c r="W498" s="505"/>
      <c r="X498" s="505"/>
      <c r="Y498" s="505"/>
      <c r="Z498" s="505"/>
      <c r="AA498" s="505"/>
      <c r="AB498" s="505"/>
      <c r="AC498" s="505"/>
      <c r="AD498" s="505"/>
      <c r="AE498" s="505"/>
      <c r="AF498" s="505"/>
      <c r="AG498" s="505"/>
      <c r="AH498" s="505"/>
      <c r="AI498" s="505"/>
      <c r="AJ498" s="505"/>
      <c r="AK498" s="505"/>
      <c r="AL498" s="505"/>
      <c r="AM498" s="505"/>
      <c r="AN498" s="505"/>
      <c r="AO498" s="505"/>
      <c r="AP498" s="505"/>
      <c r="AQ498" s="505"/>
      <c r="AR498" s="505"/>
      <c r="AS498" s="505"/>
      <c r="AT498" s="505"/>
      <c r="AU498" s="505"/>
      <c r="AV498" s="505"/>
      <c r="AW498" s="505"/>
      <c r="AX498" s="505"/>
      <c r="AY498" s="505"/>
      <c r="AZ498" s="505"/>
      <c r="BA498" s="505"/>
      <c r="BB498" s="505"/>
      <c r="BC498" s="505"/>
      <c r="BD498" s="505"/>
      <c r="BE498" s="505"/>
      <c r="BF498" s="505"/>
      <c r="BG498" s="505"/>
      <c r="BH498" s="505"/>
      <c r="BI498" s="505"/>
      <c r="BJ498" s="505"/>
      <c r="BK498" s="505"/>
      <c r="BL498" s="505"/>
      <c r="BM498" s="505"/>
      <c r="BN498" s="505"/>
      <c r="BO498" s="505"/>
      <c r="BP498" s="505"/>
      <c r="BQ498" s="505"/>
      <c r="BR498" s="505"/>
      <c r="BS498" s="505"/>
      <c r="BT498" s="505"/>
      <c r="BU498" s="505"/>
      <c r="BV498" s="505"/>
      <c r="BW498" s="505"/>
      <c r="BX498" s="505"/>
      <c r="BY498" s="505"/>
      <c r="BZ498" s="505"/>
      <c r="CA498" s="505"/>
      <c r="CB498" s="505"/>
      <c r="CC498" s="505"/>
      <c r="CD498" s="505"/>
      <c r="CE498" s="505"/>
      <c r="CF498" s="505"/>
      <c r="CG498" s="505"/>
      <c r="CH498" s="505"/>
      <c r="CI498" s="505"/>
      <c r="CJ498" s="505"/>
      <c r="CK498" s="505"/>
      <c r="CL498" s="505"/>
      <c r="CM498" s="505"/>
      <c r="CN498" s="505"/>
      <c r="CO498" s="505"/>
      <c r="CP498" s="505"/>
      <c r="CQ498" s="505"/>
      <c r="CR498" s="505"/>
      <c r="CS498" s="505"/>
      <c r="CT498" s="505"/>
      <c r="CU498" s="505"/>
      <c r="CV498" s="505"/>
      <c r="CW498" s="505"/>
      <c r="CX498" s="505"/>
      <c r="CY498" s="505"/>
      <c r="CZ498" s="505"/>
      <c r="DA498" s="505"/>
      <c r="DB498" s="505"/>
      <c r="DC498" s="505"/>
      <c r="DD498" s="505"/>
      <c r="DE498" s="505"/>
      <c r="DF498" s="505"/>
      <c r="DG498" s="505"/>
      <c r="DH498" s="505"/>
      <c r="DI498" s="505"/>
      <c r="DJ498" s="505"/>
      <c r="DK498" s="505"/>
      <c r="DL498" s="505"/>
      <c r="DM498" s="505"/>
      <c r="DN498" s="505"/>
      <c r="DO498" s="505"/>
      <c r="DP498" s="505"/>
    </row>
    <row r="499" spans="1:120" hidden="1" outlineLevel="1" x14ac:dyDescent="0.2">
      <c r="A499" s="517">
        <f t="shared" si="67"/>
        <v>39965</v>
      </c>
      <c r="B499" s="517" t="str">
        <f t="shared" si="64"/>
        <v>2Q09</v>
      </c>
      <c r="C499" s="517" t="str">
        <f t="shared" si="68"/>
        <v>3Q09</v>
      </c>
      <c r="D499" s="518">
        <f t="shared" si="69"/>
        <v>40046</v>
      </c>
      <c r="E499" s="518">
        <f t="shared" si="69"/>
        <v>39986</v>
      </c>
      <c r="F499" s="520">
        <v>2.6160000000000001</v>
      </c>
      <c r="G499" s="521">
        <f t="shared" si="65"/>
        <v>0.3000000000000001</v>
      </c>
      <c r="H499" s="521">
        <f t="shared" si="66"/>
        <v>0.3000000000000001</v>
      </c>
      <c r="I499" s="505"/>
      <c r="J499" s="505"/>
      <c r="K499" s="505"/>
      <c r="L499" s="505"/>
      <c r="M499" s="528"/>
      <c r="N499" s="505"/>
      <c r="O499" s="505"/>
      <c r="P499" s="505"/>
      <c r="Q499" s="505"/>
      <c r="R499" s="505"/>
      <c r="S499" s="505"/>
      <c r="T499" s="505"/>
      <c r="U499" s="505"/>
      <c r="V499" s="505"/>
      <c r="W499" s="505"/>
      <c r="X499" s="505"/>
      <c r="Y499" s="505"/>
      <c r="Z499" s="505"/>
      <c r="AA499" s="505"/>
      <c r="AB499" s="505"/>
      <c r="AC499" s="505"/>
      <c r="AD499" s="505"/>
      <c r="AE499" s="505"/>
      <c r="AF499" s="505"/>
      <c r="AG499" s="505"/>
      <c r="AH499" s="505"/>
      <c r="AI499" s="505"/>
      <c r="AJ499" s="505"/>
      <c r="AK499" s="505"/>
      <c r="AL499" s="505"/>
      <c r="AM499" s="505"/>
      <c r="AN499" s="505"/>
      <c r="AO499" s="505"/>
      <c r="AP499" s="505"/>
      <c r="AQ499" s="505"/>
      <c r="AR499" s="505"/>
      <c r="AS499" s="505"/>
      <c r="AT499" s="505"/>
      <c r="AU499" s="505"/>
      <c r="AV499" s="505"/>
      <c r="AW499" s="505"/>
      <c r="AX499" s="505"/>
      <c r="AY499" s="505"/>
      <c r="AZ499" s="505"/>
      <c r="BA499" s="505"/>
      <c r="BB499" s="505"/>
      <c r="BC499" s="505"/>
      <c r="BD499" s="505"/>
      <c r="BE499" s="505"/>
      <c r="BF499" s="505"/>
      <c r="BG499" s="505"/>
      <c r="BH499" s="505"/>
      <c r="BI499" s="505"/>
      <c r="BJ499" s="505"/>
      <c r="BK499" s="505"/>
      <c r="BL499" s="505"/>
      <c r="BM499" s="505"/>
      <c r="BN499" s="505"/>
      <c r="BO499" s="505"/>
      <c r="BP499" s="505"/>
      <c r="BQ499" s="505"/>
      <c r="BR499" s="505"/>
      <c r="BS499" s="505"/>
      <c r="BT499" s="505"/>
      <c r="BU499" s="505"/>
      <c r="BV499" s="505"/>
      <c r="BW499" s="505"/>
      <c r="BX499" s="505"/>
      <c r="BY499" s="505"/>
      <c r="BZ499" s="505"/>
      <c r="CA499" s="505"/>
      <c r="CB499" s="505"/>
      <c r="CC499" s="505"/>
      <c r="CD499" s="505"/>
      <c r="CE499" s="505"/>
      <c r="CF499" s="505"/>
      <c r="CG499" s="505"/>
      <c r="CH499" s="505"/>
      <c r="CI499" s="505"/>
      <c r="CJ499" s="505"/>
      <c r="CK499" s="505"/>
      <c r="CL499" s="505"/>
      <c r="CM499" s="505"/>
      <c r="CN499" s="505"/>
      <c r="CO499" s="505"/>
      <c r="CP499" s="505"/>
      <c r="CQ499" s="505"/>
      <c r="CR499" s="505"/>
      <c r="CS499" s="505"/>
      <c r="CT499" s="505"/>
      <c r="CU499" s="505"/>
      <c r="CV499" s="505"/>
      <c r="CW499" s="505"/>
      <c r="CX499" s="505"/>
      <c r="CY499" s="505"/>
      <c r="CZ499" s="505"/>
      <c r="DA499" s="505"/>
      <c r="DB499" s="505"/>
      <c r="DC499" s="505"/>
      <c r="DD499" s="505"/>
      <c r="DE499" s="505"/>
      <c r="DF499" s="505"/>
      <c r="DG499" s="505"/>
      <c r="DH499" s="505"/>
      <c r="DI499" s="505"/>
      <c r="DJ499" s="505"/>
      <c r="DK499" s="505"/>
      <c r="DL499" s="505"/>
      <c r="DM499" s="505"/>
      <c r="DN499" s="505"/>
      <c r="DO499" s="505"/>
      <c r="DP499" s="505"/>
    </row>
    <row r="500" spans="1:120" hidden="1" outlineLevel="1" x14ac:dyDescent="0.2">
      <c r="A500" s="517">
        <f t="shared" si="67"/>
        <v>39965</v>
      </c>
      <c r="B500" s="517" t="str">
        <f t="shared" si="64"/>
        <v>2Q09</v>
      </c>
      <c r="C500" s="517" t="str">
        <f t="shared" si="68"/>
        <v>3Q09</v>
      </c>
      <c r="D500" s="518">
        <f t="shared" si="69"/>
        <v>40053</v>
      </c>
      <c r="E500" s="518">
        <f t="shared" si="69"/>
        <v>39993</v>
      </c>
      <c r="F500" s="520">
        <v>2.6080000000000001</v>
      </c>
      <c r="G500" s="521">
        <f t="shared" si="65"/>
        <v>0.3000000000000001</v>
      </c>
      <c r="H500" s="521">
        <f t="shared" si="66"/>
        <v>0.29000000000000009</v>
      </c>
      <c r="I500" s="505"/>
      <c r="J500" s="505"/>
      <c r="K500" s="505"/>
      <c r="L500" s="505"/>
      <c r="M500" s="528"/>
      <c r="N500" s="505"/>
      <c r="O500" s="505"/>
      <c r="P500" s="505"/>
      <c r="Q500" s="505"/>
      <c r="R500" s="505"/>
      <c r="S500" s="505"/>
      <c r="T500" s="505"/>
      <c r="U500" s="505"/>
      <c r="V500" s="505"/>
      <c r="W500" s="505"/>
      <c r="X500" s="505"/>
      <c r="Y500" s="505"/>
      <c r="Z500" s="505"/>
      <c r="AA500" s="505"/>
      <c r="AB500" s="505"/>
      <c r="AC500" s="505"/>
      <c r="AD500" s="505"/>
      <c r="AE500" s="505"/>
      <c r="AF500" s="505"/>
      <c r="AG500" s="505"/>
      <c r="AH500" s="505"/>
      <c r="AI500" s="505"/>
      <c r="AJ500" s="505"/>
      <c r="AK500" s="505"/>
      <c r="AL500" s="505"/>
      <c r="AM500" s="505"/>
      <c r="AN500" s="505"/>
      <c r="AO500" s="505"/>
      <c r="AP500" s="505"/>
      <c r="AQ500" s="505"/>
      <c r="AR500" s="505"/>
      <c r="AS500" s="505"/>
      <c r="AT500" s="505"/>
      <c r="AU500" s="505"/>
      <c r="AV500" s="505"/>
      <c r="AW500" s="505"/>
      <c r="AX500" s="505"/>
      <c r="AY500" s="505"/>
      <c r="AZ500" s="505"/>
      <c r="BA500" s="505"/>
      <c r="BB500" s="505"/>
      <c r="BC500" s="505"/>
      <c r="BD500" s="505"/>
      <c r="BE500" s="505"/>
      <c r="BF500" s="505"/>
      <c r="BG500" s="505"/>
      <c r="BH500" s="505"/>
      <c r="BI500" s="505"/>
      <c r="BJ500" s="505"/>
      <c r="BK500" s="505"/>
      <c r="BL500" s="505"/>
      <c r="BM500" s="505"/>
      <c r="BN500" s="505"/>
      <c r="BO500" s="505"/>
      <c r="BP500" s="505"/>
      <c r="BQ500" s="505"/>
      <c r="BR500" s="505"/>
      <c r="BS500" s="505"/>
      <c r="BT500" s="505"/>
      <c r="BU500" s="505"/>
      <c r="BV500" s="505"/>
      <c r="BW500" s="505"/>
      <c r="BX500" s="505"/>
      <c r="BY500" s="505"/>
      <c r="BZ500" s="505"/>
      <c r="CA500" s="505"/>
      <c r="CB500" s="505"/>
      <c r="CC500" s="505"/>
      <c r="CD500" s="505"/>
      <c r="CE500" s="505"/>
      <c r="CF500" s="505"/>
      <c r="CG500" s="505"/>
      <c r="CH500" s="505"/>
      <c r="CI500" s="505"/>
      <c r="CJ500" s="505"/>
      <c r="CK500" s="505"/>
      <c r="CL500" s="505"/>
      <c r="CM500" s="505"/>
      <c r="CN500" s="505"/>
      <c r="CO500" s="505"/>
      <c r="CP500" s="505"/>
      <c r="CQ500" s="505"/>
      <c r="CR500" s="505"/>
      <c r="CS500" s="505"/>
      <c r="CT500" s="505"/>
      <c r="CU500" s="505"/>
      <c r="CV500" s="505"/>
      <c r="CW500" s="505"/>
      <c r="CX500" s="505"/>
      <c r="CY500" s="505"/>
      <c r="CZ500" s="505"/>
      <c r="DA500" s="505"/>
      <c r="DB500" s="505"/>
      <c r="DC500" s="505"/>
      <c r="DD500" s="505"/>
      <c r="DE500" s="505"/>
      <c r="DF500" s="505"/>
      <c r="DG500" s="505"/>
      <c r="DH500" s="505"/>
      <c r="DI500" s="505"/>
      <c r="DJ500" s="505"/>
      <c r="DK500" s="505"/>
      <c r="DL500" s="505"/>
      <c r="DM500" s="505"/>
      <c r="DN500" s="505"/>
      <c r="DO500" s="505"/>
      <c r="DP500" s="505"/>
    </row>
    <row r="501" spans="1:120" hidden="1" outlineLevel="1" x14ac:dyDescent="0.2">
      <c r="A501" s="517">
        <f t="shared" si="67"/>
        <v>39995</v>
      </c>
      <c r="B501" s="517" t="str">
        <f t="shared" si="64"/>
        <v>3Q09</v>
      </c>
      <c r="C501" s="517" t="str">
        <f t="shared" si="68"/>
        <v>3Q09</v>
      </c>
      <c r="D501" s="518">
        <f t="shared" si="69"/>
        <v>40060</v>
      </c>
      <c r="E501" s="518">
        <f t="shared" si="69"/>
        <v>40000</v>
      </c>
      <c r="F501" s="520">
        <v>2.5939999999999999</v>
      </c>
      <c r="G501" s="521">
        <f t="shared" si="65"/>
        <v>0.29000000000000009</v>
      </c>
      <c r="H501" s="521">
        <f t="shared" si="66"/>
        <v>0.28000000000000008</v>
      </c>
      <c r="I501" s="505"/>
      <c r="J501" s="505"/>
      <c r="K501" s="505"/>
      <c r="L501" s="505"/>
      <c r="M501" s="528"/>
      <c r="N501" s="505"/>
      <c r="O501" s="505"/>
      <c r="P501" s="505"/>
      <c r="Q501" s="505"/>
      <c r="R501" s="505"/>
      <c r="S501" s="505"/>
      <c r="T501" s="505"/>
      <c r="U501" s="505"/>
      <c r="V501" s="505"/>
      <c r="W501" s="505"/>
      <c r="X501" s="505"/>
      <c r="Y501" s="505"/>
      <c r="Z501" s="505"/>
      <c r="AA501" s="505"/>
      <c r="AB501" s="505"/>
      <c r="AC501" s="505"/>
      <c r="AD501" s="505"/>
      <c r="AE501" s="505"/>
      <c r="AF501" s="505"/>
      <c r="AG501" s="505"/>
      <c r="AH501" s="505"/>
      <c r="AI501" s="505"/>
      <c r="AJ501" s="505"/>
      <c r="AK501" s="505"/>
      <c r="AL501" s="505"/>
      <c r="AM501" s="505"/>
      <c r="AN501" s="505"/>
      <c r="AO501" s="505"/>
      <c r="AP501" s="505"/>
      <c r="AQ501" s="505"/>
      <c r="AR501" s="505"/>
      <c r="AS501" s="505"/>
      <c r="AT501" s="505"/>
      <c r="AU501" s="505"/>
      <c r="AV501" s="505"/>
      <c r="AW501" s="505"/>
      <c r="AX501" s="505"/>
      <c r="AY501" s="505"/>
      <c r="AZ501" s="505"/>
      <c r="BA501" s="505"/>
      <c r="BB501" s="505"/>
      <c r="BC501" s="505"/>
      <c r="BD501" s="505"/>
      <c r="BE501" s="505"/>
      <c r="BF501" s="505"/>
      <c r="BG501" s="505"/>
      <c r="BH501" s="505"/>
      <c r="BI501" s="505"/>
      <c r="BJ501" s="505"/>
      <c r="BK501" s="505"/>
      <c r="BL501" s="505"/>
      <c r="BM501" s="505"/>
      <c r="BN501" s="505"/>
      <c r="BO501" s="505"/>
      <c r="BP501" s="505"/>
      <c r="BQ501" s="505"/>
      <c r="BR501" s="505"/>
      <c r="BS501" s="505"/>
      <c r="BT501" s="505"/>
      <c r="BU501" s="505"/>
      <c r="BV501" s="505"/>
      <c r="BW501" s="505"/>
      <c r="BX501" s="505"/>
      <c r="BY501" s="505"/>
      <c r="BZ501" s="505"/>
      <c r="CA501" s="505"/>
      <c r="CB501" s="505"/>
      <c r="CC501" s="505"/>
      <c r="CD501" s="505"/>
      <c r="CE501" s="505"/>
      <c r="CF501" s="505"/>
      <c r="CG501" s="505"/>
      <c r="CH501" s="505"/>
      <c r="CI501" s="505"/>
      <c r="CJ501" s="505"/>
      <c r="CK501" s="505"/>
      <c r="CL501" s="505"/>
      <c r="CM501" s="505"/>
      <c r="CN501" s="505"/>
      <c r="CO501" s="505"/>
      <c r="CP501" s="505"/>
      <c r="CQ501" s="505"/>
      <c r="CR501" s="505"/>
      <c r="CS501" s="505"/>
      <c r="CT501" s="505"/>
      <c r="CU501" s="505"/>
      <c r="CV501" s="505"/>
      <c r="CW501" s="505"/>
      <c r="CX501" s="505"/>
      <c r="CY501" s="505"/>
      <c r="CZ501" s="505"/>
      <c r="DA501" s="505"/>
      <c r="DB501" s="505"/>
      <c r="DC501" s="505"/>
      <c r="DD501" s="505"/>
      <c r="DE501" s="505"/>
      <c r="DF501" s="505"/>
      <c r="DG501" s="505"/>
      <c r="DH501" s="505"/>
      <c r="DI501" s="505"/>
      <c r="DJ501" s="505"/>
      <c r="DK501" s="505"/>
      <c r="DL501" s="505"/>
      <c r="DM501" s="505"/>
      <c r="DN501" s="505"/>
      <c r="DO501" s="505"/>
      <c r="DP501" s="505"/>
    </row>
    <row r="502" spans="1:120" hidden="1" outlineLevel="1" x14ac:dyDescent="0.2">
      <c r="A502" s="517">
        <f t="shared" si="67"/>
        <v>39995</v>
      </c>
      <c r="B502" s="517" t="str">
        <f t="shared" si="64"/>
        <v>3Q09</v>
      </c>
      <c r="C502" s="517" t="str">
        <f t="shared" si="68"/>
        <v>3Q09</v>
      </c>
      <c r="D502" s="518">
        <f t="shared" si="69"/>
        <v>40067</v>
      </c>
      <c r="E502" s="518">
        <f t="shared" si="69"/>
        <v>40007</v>
      </c>
      <c r="F502" s="520">
        <v>2.5419999999999998</v>
      </c>
      <c r="G502" s="521">
        <f t="shared" si="65"/>
        <v>0.28000000000000008</v>
      </c>
      <c r="H502" s="521">
        <f t="shared" si="66"/>
        <v>0.27000000000000007</v>
      </c>
      <c r="I502" s="505"/>
      <c r="J502" s="505"/>
      <c r="K502" s="505"/>
      <c r="L502" s="505"/>
      <c r="M502" s="528"/>
      <c r="N502" s="505"/>
      <c r="O502" s="505"/>
      <c r="P502" s="505"/>
      <c r="Q502" s="505"/>
      <c r="R502" s="505"/>
      <c r="S502" s="505"/>
      <c r="T502" s="505"/>
      <c r="U502" s="505"/>
      <c r="V502" s="505"/>
      <c r="W502" s="505"/>
      <c r="X502" s="505"/>
      <c r="Y502" s="505"/>
      <c r="Z502" s="505"/>
      <c r="AA502" s="505"/>
      <c r="AB502" s="505"/>
      <c r="AC502" s="505"/>
      <c r="AD502" s="505"/>
      <c r="AE502" s="505"/>
      <c r="AF502" s="505"/>
      <c r="AG502" s="505"/>
      <c r="AH502" s="505"/>
      <c r="AI502" s="505"/>
      <c r="AJ502" s="505"/>
      <c r="AK502" s="505"/>
      <c r="AL502" s="505"/>
      <c r="AM502" s="505"/>
      <c r="AN502" s="505"/>
      <c r="AO502" s="505"/>
      <c r="AP502" s="505"/>
      <c r="AQ502" s="505"/>
      <c r="AR502" s="505"/>
      <c r="AS502" s="505"/>
      <c r="AT502" s="505"/>
      <c r="AU502" s="505"/>
      <c r="AV502" s="505"/>
      <c r="AW502" s="505"/>
      <c r="AX502" s="505"/>
      <c r="AY502" s="505"/>
      <c r="AZ502" s="505"/>
      <c r="BA502" s="505"/>
      <c r="BB502" s="505"/>
      <c r="BC502" s="505"/>
      <c r="BD502" s="505"/>
      <c r="BE502" s="505"/>
      <c r="BF502" s="505"/>
      <c r="BG502" s="505"/>
      <c r="BH502" s="505"/>
      <c r="BI502" s="505"/>
      <c r="BJ502" s="505"/>
      <c r="BK502" s="505"/>
      <c r="BL502" s="505"/>
      <c r="BM502" s="505"/>
      <c r="BN502" s="505"/>
      <c r="BO502" s="505"/>
      <c r="BP502" s="505"/>
      <c r="BQ502" s="505"/>
      <c r="BR502" s="505"/>
      <c r="BS502" s="505"/>
      <c r="BT502" s="505"/>
      <c r="BU502" s="505"/>
      <c r="BV502" s="505"/>
      <c r="BW502" s="505"/>
      <c r="BX502" s="505"/>
      <c r="BY502" s="505"/>
      <c r="BZ502" s="505"/>
      <c r="CA502" s="505"/>
      <c r="CB502" s="505"/>
      <c r="CC502" s="505"/>
      <c r="CD502" s="505"/>
      <c r="CE502" s="505"/>
      <c r="CF502" s="505"/>
      <c r="CG502" s="505"/>
      <c r="CH502" s="505"/>
      <c r="CI502" s="505"/>
      <c r="CJ502" s="505"/>
      <c r="CK502" s="505"/>
      <c r="CL502" s="505"/>
      <c r="CM502" s="505"/>
      <c r="CN502" s="505"/>
      <c r="CO502" s="505"/>
      <c r="CP502" s="505"/>
      <c r="CQ502" s="505"/>
      <c r="CR502" s="505"/>
      <c r="CS502" s="505"/>
      <c r="CT502" s="505"/>
      <c r="CU502" s="505"/>
      <c r="CV502" s="505"/>
      <c r="CW502" s="505"/>
      <c r="CX502" s="505"/>
      <c r="CY502" s="505"/>
      <c r="CZ502" s="505"/>
      <c r="DA502" s="505"/>
      <c r="DB502" s="505"/>
      <c r="DC502" s="505"/>
      <c r="DD502" s="505"/>
      <c r="DE502" s="505"/>
      <c r="DF502" s="505"/>
      <c r="DG502" s="505"/>
      <c r="DH502" s="505"/>
      <c r="DI502" s="505"/>
      <c r="DJ502" s="505"/>
      <c r="DK502" s="505"/>
      <c r="DL502" s="505"/>
      <c r="DM502" s="505"/>
      <c r="DN502" s="505"/>
      <c r="DO502" s="505"/>
      <c r="DP502" s="505"/>
    </row>
    <row r="503" spans="1:120" hidden="1" outlineLevel="1" x14ac:dyDescent="0.2">
      <c r="A503" s="517">
        <f t="shared" si="67"/>
        <v>39995</v>
      </c>
      <c r="B503" s="517" t="str">
        <f t="shared" si="64"/>
        <v>3Q09</v>
      </c>
      <c r="C503" s="517" t="str">
        <f t="shared" si="68"/>
        <v>3Q09</v>
      </c>
      <c r="D503" s="518">
        <f t="shared" si="69"/>
        <v>40074</v>
      </c>
      <c r="E503" s="518">
        <f t="shared" si="69"/>
        <v>40014</v>
      </c>
      <c r="F503" s="520">
        <v>2.496</v>
      </c>
      <c r="G503" s="521">
        <f t="shared" si="65"/>
        <v>0.27000000000000007</v>
      </c>
      <c r="H503" s="521">
        <f t="shared" si="66"/>
        <v>0.28000000000000008</v>
      </c>
      <c r="I503" s="505"/>
      <c r="J503" s="505"/>
      <c r="K503" s="505"/>
      <c r="L503" s="505"/>
      <c r="M503" s="528"/>
      <c r="N503" s="505"/>
      <c r="O503" s="505"/>
      <c r="P503" s="505"/>
      <c r="Q503" s="505"/>
      <c r="R503" s="505"/>
      <c r="S503" s="505"/>
      <c r="T503" s="505"/>
      <c r="U503" s="505"/>
      <c r="V503" s="505"/>
      <c r="W503" s="505"/>
      <c r="X503" s="505"/>
      <c r="Y503" s="505"/>
      <c r="Z503" s="505"/>
      <c r="AA503" s="505"/>
      <c r="AB503" s="505"/>
      <c r="AC503" s="505"/>
      <c r="AD503" s="505"/>
      <c r="AE503" s="505"/>
      <c r="AF503" s="505"/>
      <c r="AG503" s="505"/>
      <c r="AH503" s="505"/>
      <c r="AI503" s="505"/>
      <c r="AJ503" s="505"/>
      <c r="AK503" s="505"/>
      <c r="AL503" s="505"/>
      <c r="AM503" s="505"/>
      <c r="AN503" s="505"/>
      <c r="AO503" s="505"/>
      <c r="AP503" s="505"/>
      <c r="AQ503" s="505"/>
      <c r="AR503" s="505"/>
      <c r="AS503" s="505"/>
      <c r="AT503" s="505"/>
      <c r="AU503" s="505"/>
      <c r="AV503" s="505"/>
      <c r="AW503" s="505"/>
      <c r="AX503" s="505"/>
      <c r="AY503" s="505"/>
      <c r="AZ503" s="505"/>
      <c r="BA503" s="505"/>
      <c r="BB503" s="505"/>
      <c r="BC503" s="505"/>
      <c r="BD503" s="505"/>
      <c r="BE503" s="505"/>
      <c r="BF503" s="505"/>
      <c r="BG503" s="505"/>
      <c r="BH503" s="505"/>
      <c r="BI503" s="505"/>
      <c r="BJ503" s="505"/>
      <c r="BK503" s="505"/>
      <c r="BL503" s="505"/>
      <c r="BM503" s="505"/>
      <c r="BN503" s="505"/>
      <c r="BO503" s="505"/>
      <c r="BP503" s="505"/>
      <c r="BQ503" s="505"/>
      <c r="BR503" s="505"/>
      <c r="BS503" s="505"/>
      <c r="BT503" s="505"/>
      <c r="BU503" s="505"/>
      <c r="BV503" s="505"/>
      <c r="BW503" s="505"/>
      <c r="BX503" s="505"/>
      <c r="BY503" s="505"/>
      <c r="BZ503" s="505"/>
      <c r="CA503" s="505"/>
      <c r="CB503" s="505"/>
      <c r="CC503" s="505"/>
      <c r="CD503" s="505"/>
      <c r="CE503" s="505"/>
      <c r="CF503" s="505"/>
      <c r="CG503" s="505"/>
      <c r="CH503" s="505"/>
      <c r="CI503" s="505"/>
      <c r="CJ503" s="505"/>
      <c r="CK503" s="505"/>
      <c r="CL503" s="505"/>
      <c r="CM503" s="505"/>
      <c r="CN503" s="505"/>
      <c r="CO503" s="505"/>
      <c r="CP503" s="505"/>
      <c r="CQ503" s="505"/>
      <c r="CR503" s="505"/>
      <c r="CS503" s="505"/>
      <c r="CT503" s="505"/>
      <c r="CU503" s="505"/>
      <c r="CV503" s="505"/>
      <c r="CW503" s="505"/>
      <c r="CX503" s="505"/>
      <c r="CY503" s="505"/>
      <c r="CZ503" s="505"/>
      <c r="DA503" s="505"/>
      <c r="DB503" s="505"/>
      <c r="DC503" s="505"/>
      <c r="DD503" s="505"/>
      <c r="DE503" s="505"/>
      <c r="DF503" s="505"/>
      <c r="DG503" s="505"/>
      <c r="DH503" s="505"/>
      <c r="DI503" s="505"/>
      <c r="DJ503" s="505"/>
      <c r="DK503" s="505"/>
      <c r="DL503" s="505"/>
      <c r="DM503" s="505"/>
      <c r="DN503" s="505"/>
      <c r="DO503" s="505"/>
      <c r="DP503" s="505"/>
    </row>
    <row r="504" spans="1:120" hidden="1" outlineLevel="1" x14ac:dyDescent="0.2">
      <c r="A504" s="517">
        <f t="shared" si="67"/>
        <v>39995</v>
      </c>
      <c r="B504" s="517" t="str">
        <f t="shared" si="64"/>
        <v>3Q09</v>
      </c>
      <c r="C504" s="517" t="str">
        <f t="shared" si="68"/>
        <v>3Q09</v>
      </c>
      <c r="D504" s="518">
        <f t="shared" si="69"/>
        <v>40081</v>
      </c>
      <c r="E504" s="518">
        <f t="shared" si="69"/>
        <v>40021</v>
      </c>
      <c r="F504" s="520">
        <v>2.528</v>
      </c>
      <c r="G504" s="521">
        <f t="shared" si="65"/>
        <v>0.28000000000000008</v>
      </c>
      <c r="H504" s="521">
        <f t="shared" si="66"/>
        <v>0.29000000000000009</v>
      </c>
      <c r="I504" s="505"/>
      <c r="J504" s="505"/>
      <c r="K504" s="505"/>
      <c r="L504" s="505"/>
      <c r="M504" s="528"/>
      <c r="N504" s="505"/>
      <c r="O504" s="505"/>
      <c r="P504" s="505"/>
      <c r="Q504" s="505"/>
      <c r="R504" s="505"/>
      <c r="S504" s="505"/>
      <c r="T504" s="505"/>
      <c r="U504" s="505"/>
      <c r="V504" s="505"/>
      <c r="W504" s="505"/>
      <c r="X504" s="505"/>
      <c r="Y504" s="505"/>
      <c r="Z504" s="505"/>
      <c r="AA504" s="505"/>
      <c r="AB504" s="505"/>
      <c r="AC504" s="505"/>
      <c r="AD504" s="505"/>
      <c r="AE504" s="505"/>
      <c r="AF504" s="505"/>
      <c r="AG504" s="505"/>
      <c r="AH504" s="505"/>
      <c r="AI504" s="505"/>
      <c r="AJ504" s="505"/>
      <c r="AK504" s="505"/>
      <c r="AL504" s="505"/>
      <c r="AM504" s="505"/>
      <c r="AN504" s="505"/>
      <c r="AO504" s="505"/>
      <c r="AP504" s="505"/>
      <c r="AQ504" s="505"/>
      <c r="AR504" s="505"/>
      <c r="AS504" s="505"/>
      <c r="AT504" s="505"/>
      <c r="AU504" s="505"/>
      <c r="AV504" s="505"/>
      <c r="AW504" s="505"/>
      <c r="AX504" s="505"/>
      <c r="AY504" s="505"/>
      <c r="AZ504" s="505"/>
      <c r="BA504" s="505"/>
      <c r="BB504" s="505"/>
      <c r="BC504" s="505"/>
      <c r="BD504" s="505"/>
      <c r="BE504" s="505"/>
      <c r="BF504" s="505"/>
      <c r="BG504" s="505"/>
      <c r="BH504" s="505"/>
      <c r="BI504" s="505"/>
      <c r="BJ504" s="505"/>
      <c r="BK504" s="505"/>
      <c r="BL504" s="505"/>
      <c r="BM504" s="505"/>
      <c r="BN504" s="505"/>
      <c r="BO504" s="505"/>
      <c r="BP504" s="505"/>
      <c r="BQ504" s="505"/>
      <c r="BR504" s="505"/>
      <c r="BS504" s="505"/>
      <c r="BT504" s="505"/>
      <c r="BU504" s="505"/>
      <c r="BV504" s="505"/>
      <c r="BW504" s="505"/>
      <c r="BX504" s="505"/>
      <c r="BY504" s="505"/>
      <c r="BZ504" s="505"/>
      <c r="CA504" s="505"/>
      <c r="CB504" s="505"/>
      <c r="CC504" s="505"/>
      <c r="CD504" s="505"/>
      <c r="CE504" s="505"/>
      <c r="CF504" s="505"/>
      <c r="CG504" s="505"/>
      <c r="CH504" s="505"/>
      <c r="CI504" s="505"/>
      <c r="CJ504" s="505"/>
      <c r="CK504" s="505"/>
      <c r="CL504" s="505"/>
      <c r="CM504" s="505"/>
      <c r="CN504" s="505"/>
      <c r="CO504" s="505"/>
      <c r="CP504" s="505"/>
      <c r="CQ504" s="505"/>
      <c r="CR504" s="505"/>
      <c r="CS504" s="505"/>
      <c r="CT504" s="505"/>
      <c r="CU504" s="505"/>
      <c r="CV504" s="505"/>
      <c r="CW504" s="505"/>
      <c r="CX504" s="505"/>
      <c r="CY504" s="505"/>
      <c r="CZ504" s="505"/>
      <c r="DA504" s="505"/>
      <c r="DB504" s="505"/>
      <c r="DC504" s="505"/>
      <c r="DD504" s="505"/>
      <c r="DE504" s="505"/>
      <c r="DF504" s="505"/>
      <c r="DG504" s="505"/>
      <c r="DH504" s="505"/>
      <c r="DI504" s="505"/>
      <c r="DJ504" s="505"/>
      <c r="DK504" s="505"/>
      <c r="DL504" s="505"/>
      <c r="DM504" s="505"/>
      <c r="DN504" s="505"/>
      <c r="DO504" s="505"/>
      <c r="DP504" s="505"/>
    </row>
    <row r="505" spans="1:120" hidden="1" outlineLevel="1" x14ac:dyDescent="0.2">
      <c r="A505" s="517">
        <f t="shared" si="67"/>
        <v>40026</v>
      </c>
      <c r="B505" s="517" t="str">
        <f t="shared" si="64"/>
        <v>3Q09</v>
      </c>
      <c r="C505" s="517" t="str">
        <f t="shared" si="68"/>
        <v>4Q09</v>
      </c>
      <c r="D505" s="518">
        <f t="shared" si="69"/>
        <v>40088</v>
      </c>
      <c r="E505" s="518">
        <f t="shared" si="69"/>
        <v>40028</v>
      </c>
      <c r="F505" s="520">
        <v>2.5499999999999998</v>
      </c>
      <c r="G505" s="521">
        <f t="shared" si="65"/>
        <v>0.29000000000000009</v>
      </c>
      <c r="H505" s="521">
        <f t="shared" si="66"/>
        <v>0.3000000000000001</v>
      </c>
      <c r="I505" s="505"/>
      <c r="J505" s="505"/>
      <c r="K505" s="505"/>
      <c r="L505" s="505"/>
      <c r="M505" s="528"/>
      <c r="N505" s="505"/>
      <c r="O505" s="505"/>
      <c r="P505" s="505"/>
      <c r="Q505" s="505"/>
      <c r="R505" s="505"/>
      <c r="S505" s="505"/>
      <c r="T505" s="505"/>
      <c r="U505" s="505"/>
      <c r="V505" s="505"/>
      <c r="W505" s="505"/>
      <c r="X505" s="505"/>
      <c r="Y505" s="505"/>
      <c r="Z505" s="505"/>
      <c r="AA505" s="505"/>
      <c r="AB505" s="505"/>
      <c r="AC505" s="505"/>
      <c r="AD505" s="505"/>
      <c r="AE505" s="505"/>
      <c r="AF505" s="505"/>
      <c r="AG505" s="505"/>
      <c r="AH505" s="505"/>
      <c r="AI505" s="505"/>
      <c r="AJ505" s="505"/>
      <c r="AK505" s="505"/>
      <c r="AL505" s="505"/>
      <c r="AM505" s="505"/>
      <c r="AN505" s="505"/>
      <c r="AO505" s="505"/>
      <c r="AP505" s="505"/>
      <c r="AQ505" s="505"/>
      <c r="AR505" s="505"/>
      <c r="AS505" s="505"/>
      <c r="AT505" s="505"/>
      <c r="AU505" s="505"/>
      <c r="AV505" s="505"/>
      <c r="AW505" s="505"/>
      <c r="AX505" s="505"/>
      <c r="AY505" s="505"/>
      <c r="AZ505" s="505"/>
      <c r="BA505" s="505"/>
      <c r="BB505" s="505"/>
      <c r="BC505" s="505"/>
      <c r="BD505" s="505"/>
      <c r="BE505" s="505"/>
      <c r="BF505" s="505"/>
      <c r="BG505" s="505"/>
      <c r="BH505" s="505"/>
      <c r="BI505" s="505"/>
      <c r="BJ505" s="505"/>
      <c r="BK505" s="505"/>
      <c r="BL505" s="505"/>
      <c r="BM505" s="505"/>
      <c r="BN505" s="505"/>
      <c r="BO505" s="505"/>
      <c r="BP505" s="505"/>
      <c r="BQ505" s="505"/>
      <c r="BR505" s="505"/>
      <c r="BS505" s="505"/>
      <c r="BT505" s="505"/>
      <c r="BU505" s="505"/>
      <c r="BV505" s="505"/>
      <c r="BW505" s="505"/>
      <c r="BX505" s="505"/>
      <c r="BY505" s="505"/>
      <c r="BZ505" s="505"/>
      <c r="CA505" s="505"/>
      <c r="CB505" s="505"/>
      <c r="CC505" s="505"/>
      <c r="CD505" s="505"/>
      <c r="CE505" s="505"/>
      <c r="CF505" s="505"/>
      <c r="CG505" s="505"/>
      <c r="CH505" s="505"/>
      <c r="CI505" s="505"/>
      <c r="CJ505" s="505"/>
      <c r="CK505" s="505"/>
      <c r="CL505" s="505"/>
      <c r="CM505" s="505"/>
      <c r="CN505" s="505"/>
      <c r="CO505" s="505"/>
      <c r="CP505" s="505"/>
      <c r="CQ505" s="505"/>
      <c r="CR505" s="505"/>
      <c r="CS505" s="505"/>
      <c r="CT505" s="505"/>
      <c r="CU505" s="505"/>
      <c r="CV505" s="505"/>
      <c r="CW505" s="505"/>
      <c r="CX505" s="505"/>
      <c r="CY505" s="505"/>
      <c r="CZ505" s="505"/>
      <c r="DA505" s="505"/>
      <c r="DB505" s="505"/>
      <c r="DC505" s="505"/>
      <c r="DD505" s="505"/>
      <c r="DE505" s="505"/>
      <c r="DF505" s="505"/>
      <c r="DG505" s="505"/>
      <c r="DH505" s="505"/>
      <c r="DI505" s="505"/>
      <c r="DJ505" s="505"/>
      <c r="DK505" s="505"/>
      <c r="DL505" s="505"/>
      <c r="DM505" s="505"/>
      <c r="DN505" s="505"/>
      <c r="DO505" s="505"/>
      <c r="DP505" s="505"/>
    </row>
    <row r="506" spans="1:120" hidden="1" outlineLevel="1" x14ac:dyDescent="0.2">
      <c r="A506" s="517">
        <f t="shared" si="67"/>
        <v>40026</v>
      </c>
      <c r="B506" s="517" t="str">
        <f t="shared" si="64"/>
        <v>3Q09</v>
      </c>
      <c r="C506" s="517" t="str">
        <f t="shared" si="68"/>
        <v>4Q09</v>
      </c>
      <c r="D506" s="518">
        <f t="shared" si="69"/>
        <v>40095</v>
      </c>
      <c r="E506" s="518">
        <f t="shared" si="69"/>
        <v>40035</v>
      </c>
      <c r="F506" s="520">
        <v>2.625</v>
      </c>
      <c r="G506" s="521">
        <f t="shared" si="65"/>
        <v>0.3000000000000001</v>
      </c>
      <c r="H506" s="521">
        <f t="shared" si="66"/>
        <v>0.31000000000000011</v>
      </c>
      <c r="I506" s="505"/>
      <c r="J506" s="505"/>
      <c r="K506" s="505"/>
      <c r="L506" s="505"/>
      <c r="M506" s="528"/>
      <c r="N506" s="505"/>
      <c r="O506" s="505"/>
      <c r="P506" s="505"/>
      <c r="Q506" s="505"/>
      <c r="R506" s="505"/>
      <c r="S506" s="505"/>
      <c r="T506" s="505"/>
      <c r="U506" s="505"/>
      <c r="V506" s="505"/>
      <c r="W506" s="505"/>
      <c r="X506" s="505"/>
      <c r="Y506" s="505"/>
      <c r="Z506" s="505"/>
      <c r="AA506" s="505"/>
      <c r="AB506" s="505"/>
      <c r="AC506" s="505"/>
      <c r="AD506" s="505"/>
      <c r="AE506" s="505"/>
      <c r="AF506" s="505"/>
      <c r="AG506" s="505"/>
      <c r="AH506" s="505"/>
      <c r="AI506" s="505"/>
      <c r="AJ506" s="505"/>
      <c r="AK506" s="505"/>
      <c r="AL506" s="505"/>
      <c r="AM506" s="505"/>
      <c r="AN506" s="505"/>
      <c r="AO506" s="505"/>
      <c r="AP506" s="505"/>
      <c r="AQ506" s="505"/>
      <c r="AR506" s="505"/>
      <c r="AS506" s="505"/>
      <c r="AT506" s="505"/>
      <c r="AU506" s="505"/>
      <c r="AV506" s="505"/>
      <c r="AW506" s="505"/>
      <c r="AX506" s="505"/>
      <c r="AY506" s="505"/>
      <c r="AZ506" s="505"/>
      <c r="BA506" s="505"/>
      <c r="BB506" s="505"/>
      <c r="BC506" s="505"/>
      <c r="BD506" s="505"/>
      <c r="BE506" s="505"/>
      <c r="BF506" s="505"/>
      <c r="BG506" s="505"/>
      <c r="BH506" s="505"/>
      <c r="BI506" s="505"/>
      <c r="BJ506" s="505"/>
      <c r="BK506" s="505"/>
      <c r="BL506" s="505"/>
      <c r="BM506" s="505"/>
      <c r="BN506" s="505"/>
      <c r="BO506" s="505"/>
      <c r="BP506" s="505"/>
      <c r="BQ506" s="505"/>
      <c r="BR506" s="505"/>
      <c r="BS506" s="505"/>
      <c r="BT506" s="505"/>
      <c r="BU506" s="505"/>
      <c r="BV506" s="505"/>
      <c r="BW506" s="505"/>
      <c r="BX506" s="505"/>
      <c r="BY506" s="505"/>
      <c r="BZ506" s="505"/>
      <c r="CA506" s="505"/>
      <c r="CB506" s="505"/>
      <c r="CC506" s="505"/>
      <c r="CD506" s="505"/>
      <c r="CE506" s="505"/>
      <c r="CF506" s="505"/>
      <c r="CG506" s="505"/>
      <c r="CH506" s="505"/>
      <c r="CI506" s="505"/>
      <c r="CJ506" s="505"/>
      <c r="CK506" s="505"/>
      <c r="CL506" s="505"/>
      <c r="CM506" s="505"/>
      <c r="CN506" s="505"/>
      <c r="CO506" s="505"/>
      <c r="CP506" s="505"/>
      <c r="CQ506" s="505"/>
      <c r="CR506" s="505"/>
      <c r="CS506" s="505"/>
      <c r="CT506" s="505"/>
      <c r="CU506" s="505"/>
      <c r="CV506" s="505"/>
      <c r="CW506" s="505"/>
      <c r="CX506" s="505"/>
      <c r="CY506" s="505"/>
      <c r="CZ506" s="505"/>
      <c r="DA506" s="505"/>
      <c r="DB506" s="505"/>
      <c r="DC506" s="505"/>
      <c r="DD506" s="505"/>
      <c r="DE506" s="505"/>
      <c r="DF506" s="505"/>
      <c r="DG506" s="505"/>
      <c r="DH506" s="505"/>
      <c r="DI506" s="505"/>
      <c r="DJ506" s="505"/>
      <c r="DK506" s="505"/>
      <c r="DL506" s="505"/>
      <c r="DM506" s="505"/>
      <c r="DN506" s="505"/>
      <c r="DO506" s="505"/>
      <c r="DP506" s="505"/>
    </row>
    <row r="507" spans="1:120" hidden="1" outlineLevel="1" x14ac:dyDescent="0.2">
      <c r="A507" s="517">
        <f t="shared" si="67"/>
        <v>40026</v>
      </c>
      <c r="B507" s="517" t="str">
        <f t="shared" si="64"/>
        <v>3Q09</v>
      </c>
      <c r="C507" s="517" t="str">
        <f t="shared" si="68"/>
        <v>4Q09</v>
      </c>
      <c r="D507" s="518">
        <f t="shared" si="69"/>
        <v>40102</v>
      </c>
      <c r="E507" s="518">
        <f t="shared" si="69"/>
        <v>40042</v>
      </c>
      <c r="F507" s="520">
        <v>2.6520000000000001</v>
      </c>
      <c r="G507" s="521">
        <f t="shared" si="65"/>
        <v>0.31000000000000011</v>
      </c>
      <c r="H507" s="521">
        <f t="shared" si="66"/>
        <v>0.31000000000000011</v>
      </c>
      <c r="I507" s="505"/>
      <c r="J507" s="505"/>
      <c r="K507" s="505"/>
      <c r="L507" s="505"/>
      <c r="M507" s="528"/>
      <c r="N507" s="505"/>
      <c r="O507" s="505"/>
      <c r="P507" s="505"/>
      <c r="Q507" s="505"/>
      <c r="R507" s="505"/>
      <c r="S507" s="505"/>
      <c r="T507" s="505"/>
      <c r="U507" s="505"/>
      <c r="V507" s="505"/>
      <c r="W507" s="505"/>
      <c r="X507" s="505"/>
      <c r="Y507" s="505"/>
      <c r="Z507" s="505"/>
      <c r="AA507" s="505"/>
      <c r="AB507" s="505"/>
      <c r="AC507" s="505"/>
      <c r="AD507" s="505"/>
      <c r="AE507" s="505"/>
      <c r="AF507" s="505"/>
      <c r="AG507" s="505"/>
      <c r="AH507" s="505"/>
      <c r="AI507" s="505"/>
      <c r="AJ507" s="505"/>
      <c r="AK507" s="505"/>
      <c r="AL507" s="505"/>
      <c r="AM507" s="505"/>
      <c r="AN507" s="505"/>
      <c r="AO507" s="505"/>
      <c r="AP507" s="505"/>
      <c r="AQ507" s="505"/>
      <c r="AR507" s="505"/>
      <c r="AS507" s="505"/>
      <c r="AT507" s="505"/>
      <c r="AU507" s="505"/>
      <c r="AV507" s="505"/>
      <c r="AW507" s="505"/>
      <c r="AX507" s="505"/>
      <c r="AY507" s="505"/>
      <c r="AZ507" s="505"/>
      <c r="BA507" s="505"/>
      <c r="BB507" s="505"/>
      <c r="BC507" s="505"/>
      <c r="BD507" s="505"/>
      <c r="BE507" s="505"/>
      <c r="BF507" s="505"/>
      <c r="BG507" s="505"/>
      <c r="BH507" s="505"/>
      <c r="BI507" s="505"/>
      <c r="BJ507" s="505"/>
      <c r="BK507" s="505"/>
      <c r="BL507" s="505"/>
      <c r="BM507" s="505"/>
      <c r="BN507" s="505"/>
      <c r="BO507" s="505"/>
      <c r="BP507" s="505"/>
      <c r="BQ507" s="505"/>
      <c r="BR507" s="505"/>
      <c r="BS507" s="505"/>
      <c r="BT507" s="505"/>
      <c r="BU507" s="505"/>
      <c r="BV507" s="505"/>
      <c r="BW507" s="505"/>
      <c r="BX507" s="505"/>
      <c r="BY507" s="505"/>
      <c r="BZ507" s="505"/>
      <c r="CA507" s="505"/>
      <c r="CB507" s="505"/>
      <c r="CC507" s="505"/>
      <c r="CD507" s="505"/>
      <c r="CE507" s="505"/>
      <c r="CF507" s="505"/>
      <c r="CG507" s="505"/>
      <c r="CH507" s="505"/>
      <c r="CI507" s="505"/>
      <c r="CJ507" s="505"/>
      <c r="CK507" s="505"/>
      <c r="CL507" s="505"/>
      <c r="CM507" s="505"/>
      <c r="CN507" s="505"/>
      <c r="CO507" s="505"/>
      <c r="CP507" s="505"/>
      <c r="CQ507" s="505"/>
      <c r="CR507" s="505"/>
      <c r="CS507" s="505"/>
      <c r="CT507" s="505"/>
      <c r="CU507" s="505"/>
      <c r="CV507" s="505"/>
      <c r="CW507" s="505"/>
      <c r="CX507" s="505"/>
      <c r="CY507" s="505"/>
      <c r="CZ507" s="505"/>
      <c r="DA507" s="505"/>
      <c r="DB507" s="505"/>
      <c r="DC507" s="505"/>
      <c r="DD507" s="505"/>
      <c r="DE507" s="505"/>
      <c r="DF507" s="505"/>
      <c r="DG507" s="505"/>
      <c r="DH507" s="505"/>
      <c r="DI507" s="505"/>
      <c r="DJ507" s="505"/>
      <c r="DK507" s="505"/>
      <c r="DL507" s="505"/>
      <c r="DM507" s="505"/>
      <c r="DN507" s="505"/>
      <c r="DO507" s="505"/>
      <c r="DP507" s="505"/>
    </row>
    <row r="508" spans="1:120" hidden="1" outlineLevel="1" x14ac:dyDescent="0.2">
      <c r="A508" s="517">
        <f t="shared" si="67"/>
        <v>40026</v>
      </c>
      <c r="B508" s="517" t="str">
        <f t="shared" si="64"/>
        <v>3Q09</v>
      </c>
      <c r="C508" s="517" t="str">
        <f t="shared" si="68"/>
        <v>4Q09</v>
      </c>
      <c r="D508" s="518">
        <f t="shared" si="69"/>
        <v>40109</v>
      </c>
      <c r="E508" s="518">
        <f t="shared" si="69"/>
        <v>40049</v>
      </c>
      <c r="F508" s="520">
        <v>2.6680000000000001</v>
      </c>
      <c r="G508" s="521">
        <f t="shared" si="65"/>
        <v>0.31000000000000011</v>
      </c>
      <c r="H508" s="521">
        <f t="shared" si="66"/>
        <v>0.31000000000000011</v>
      </c>
      <c r="I508" s="505"/>
      <c r="J508" s="505"/>
      <c r="K508" s="505"/>
      <c r="L508" s="505"/>
      <c r="M508" s="528"/>
      <c r="N508" s="505"/>
      <c r="O508" s="505"/>
      <c r="P508" s="505"/>
      <c r="Q508" s="505"/>
      <c r="R508" s="505"/>
      <c r="S508" s="505"/>
      <c r="T508" s="505"/>
      <c r="U508" s="505"/>
      <c r="V508" s="505"/>
      <c r="W508" s="505"/>
      <c r="X508" s="505"/>
      <c r="Y508" s="505"/>
      <c r="Z508" s="505"/>
      <c r="AA508" s="505"/>
      <c r="AB508" s="505"/>
      <c r="AC508" s="505"/>
      <c r="AD508" s="505"/>
      <c r="AE508" s="505"/>
      <c r="AF508" s="505"/>
      <c r="AG508" s="505"/>
      <c r="AH508" s="505"/>
      <c r="AI508" s="505"/>
      <c r="AJ508" s="505"/>
      <c r="AK508" s="505"/>
      <c r="AL508" s="505"/>
      <c r="AM508" s="505"/>
      <c r="AN508" s="505"/>
      <c r="AO508" s="505"/>
      <c r="AP508" s="505"/>
      <c r="AQ508" s="505"/>
      <c r="AR508" s="505"/>
      <c r="AS508" s="505"/>
      <c r="AT508" s="505"/>
      <c r="AU508" s="505"/>
      <c r="AV508" s="505"/>
      <c r="AW508" s="505"/>
      <c r="AX508" s="505"/>
      <c r="AY508" s="505"/>
      <c r="AZ508" s="505"/>
      <c r="BA508" s="505"/>
      <c r="BB508" s="505"/>
      <c r="BC508" s="505"/>
      <c r="BD508" s="505"/>
      <c r="BE508" s="505"/>
      <c r="BF508" s="505"/>
      <c r="BG508" s="505"/>
      <c r="BH508" s="505"/>
      <c r="BI508" s="505"/>
      <c r="BJ508" s="505"/>
      <c r="BK508" s="505"/>
      <c r="BL508" s="505"/>
      <c r="BM508" s="505"/>
      <c r="BN508" s="505"/>
      <c r="BO508" s="505"/>
      <c r="BP508" s="505"/>
      <c r="BQ508" s="505"/>
      <c r="BR508" s="505"/>
      <c r="BS508" s="505"/>
      <c r="BT508" s="505"/>
      <c r="BU508" s="505"/>
      <c r="BV508" s="505"/>
      <c r="BW508" s="505"/>
      <c r="BX508" s="505"/>
      <c r="BY508" s="505"/>
      <c r="BZ508" s="505"/>
      <c r="CA508" s="505"/>
      <c r="CB508" s="505"/>
      <c r="CC508" s="505"/>
      <c r="CD508" s="505"/>
      <c r="CE508" s="505"/>
      <c r="CF508" s="505"/>
      <c r="CG508" s="505"/>
      <c r="CH508" s="505"/>
      <c r="CI508" s="505"/>
      <c r="CJ508" s="505"/>
      <c r="CK508" s="505"/>
      <c r="CL508" s="505"/>
      <c r="CM508" s="505"/>
      <c r="CN508" s="505"/>
      <c r="CO508" s="505"/>
      <c r="CP508" s="505"/>
      <c r="CQ508" s="505"/>
      <c r="CR508" s="505"/>
      <c r="CS508" s="505"/>
      <c r="CT508" s="505"/>
      <c r="CU508" s="505"/>
      <c r="CV508" s="505"/>
      <c r="CW508" s="505"/>
      <c r="CX508" s="505"/>
      <c r="CY508" s="505"/>
      <c r="CZ508" s="505"/>
      <c r="DA508" s="505"/>
      <c r="DB508" s="505"/>
      <c r="DC508" s="505"/>
      <c r="DD508" s="505"/>
      <c r="DE508" s="505"/>
      <c r="DF508" s="505"/>
      <c r="DG508" s="505"/>
      <c r="DH508" s="505"/>
      <c r="DI508" s="505"/>
      <c r="DJ508" s="505"/>
      <c r="DK508" s="505"/>
      <c r="DL508" s="505"/>
      <c r="DM508" s="505"/>
      <c r="DN508" s="505"/>
      <c r="DO508" s="505"/>
      <c r="DP508" s="505"/>
    </row>
    <row r="509" spans="1:120" hidden="1" outlineLevel="1" x14ac:dyDescent="0.2">
      <c r="A509" s="517">
        <f t="shared" si="67"/>
        <v>40026</v>
      </c>
      <c r="B509" s="517" t="str">
        <f t="shared" si="64"/>
        <v>3Q09</v>
      </c>
      <c r="C509" s="517" t="str">
        <f t="shared" si="68"/>
        <v>4Q09</v>
      </c>
      <c r="D509" s="518">
        <f t="shared" si="69"/>
        <v>40116</v>
      </c>
      <c r="E509" s="518">
        <f t="shared" si="69"/>
        <v>40056</v>
      </c>
      <c r="F509" s="520">
        <v>2.6739999999999999</v>
      </c>
      <c r="G509" s="521">
        <f t="shared" si="65"/>
        <v>0.31000000000000011</v>
      </c>
      <c r="H509" s="521">
        <f t="shared" si="66"/>
        <v>0.3000000000000001</v>
      </c>
      <c r="I509" s="505"/>
      <c r="J509" s="505"/>
      <c r="K509" s="505"/>
      <c r="L509" s="505"/>
      <c r="M509" s="528"/>
      <c r="N509" s="505"/>
      <c r="O509" s="505"/>
      <c r="P509" s="505"/>
      <c r="Q509" s="505"/>
      <c r="R509" s="505"/>
      <c r="S509" s="505"/>
      <c r="T509" s="505"/>
      <c r="U509" s="505"/>
      <c r="V509" s="505"/>
      <c r="W509" s="505"/>
      <c r="X509" s="505"/>
      <c r="Y509" s="505"/>
      <c r="Z509" s="505"/>
      <c r="AA509" s="505"/>
      <c r="AB509" s="505"/>
      <c r="AC509" s="505"/>
      <c r="AD509" s="505"/>
      <c r="AE509" s="505"/>
      <c r="AF509" s="505"/>
      <c r="AG509" s="505"/>
      <c r="AH509" s="505"/>
      <c r="AI509" s="505"/>
      <c r="AJ509" s="505"/>
      <c r="AK509" s="505"/>
      <c r="AL509" s="505"/>
      <c r="AM509" s="505"/>
      <c r="AN509" s="505"/>
      <c r="AO509" s="505"/>
      <c r="AP509" s="505"/>
      <c r="AQ509" s="505"/>
      <c r="AR509" s="505"/>
      <c r="AS509" s="505"/>
      <c r="AT509" s="505"/>
      <c r="AU509" s="505"/>
      <c r="AV509" s="505"/>
      <c r="AW509" s="505"/>
      <c r="AX509" s="505"/>
      <c r="AY509" s="505"/>
      <c r="AZ509" s="505"/>
      <c r="BA509" s="505"/>
      <c r="BB509" s="505"/>
      <c r="BC509" s="505"/>
      <c r="BD509" s="505"/>
      <c r="BE509" s="505"/>
      <c r="BF509" s="505"/>
      <c r="BG509" s="505"/>
      <c r="BH509" s="505"/>
      <c r="BI509" s="505"/>
      <c r="BJ509" s="505"/>
      <c r="BK509" s="505"/>
      <c r="BL509" s="505"/>
      <c r="BM509" s="505"/>
      <c r="BN509" s="505"/>
      <c r="BO509" s="505"/>
      <c r="BP509" s="505"/>
      <c r="BQ509" s="505"/>
      <c r="BR509" s="505"/>
      <c r="BS509" s="505"/>
      <c r="BT509" s="505"/>
      <c r="BU509" s="505"/>
      <c r="BV509" s="505"/>
      <c r="BW509" s="505"/>
      <c r="BX509" s="505"/>
      <c r="BY509" s="505"/>
      <c r="BZ509" s="505"/>
      <c r="CA509" s="505"/>
      <c r="CB509" s="505"/>
      <c r="CC509" s="505"/>
      <c r="CD509" s="505"/>
      <c r="CE509" s="505"/>
      <c r="CF509" s="505"/>
      <c r="CG509" s="505"/>
      <c r="CH509" s="505"/>
      <c r="CI509" s="505"/>
      <c r="CJ509" s="505"/>
      <c r="CK509" s="505"/>
      <c r="CL509" s="505"/>
      <c r="CM509" s="505"/>
      <c r="CN509" s="505"/>
      <c r="CO509" s="505"/>
      <c r="CP509" s="505"/>
      <c r="CQ509" s="505"/>
      <c r="CR509" s="505"/>
      <c r="CS509" s="505"/>
      <c r="CT509" s="505"/>
      <c r="CU509" s="505"/>
      <c r="CV509" s="505"/>
      <c r="CW509" s="505"/>
      <c r="CX509" s="505"/>
      <c r="CY509" s="505"/>
      <c r="CZ509" s="505"/>
      <c r="DA509" s="505"/>
      <c r="DB509" s="505"/>
      <c r="DC509" s="505"/>
      <c r="DD509" s="505"/>
      <c r="DE509" s="505"/>
      <c r="DF509" s="505"/>
      <c r="DG509" s="505"/>
      <c r="DH509" s="505"/>
      <c r="DI509" s="505"/>
      <c r="DJ509" s="505"/>
      <c r="DK509" s="505"/>
      <c r="DL509" s="505"/>
      <c r="DM509" s="505"/>
      <c r="DN509" s="505"/>
      <c r="DO509" s="505"/>
      <c r="DP509" s="505"/>
    </row>
    <row r="510" spans="1:120" hidden="1" outlineLevel="1" x14ac:dyDescent="0.2">
      <c r="A510" s="517">
        <f t="shared" si="67"/>
        <v>40057</v>
      </c>
      <c r="B510" s="517" t="str">
        <f t="shared" si="64"/>
        <v>3Q09</v>
      </c>
      <c r="C510" s="517" t="str">
        <f t="shared" si="68"/>
        <v>4Q09</v>
      </c>
      <c r="D510" s="518">
        <f t="shared" si="69"/>
        <v>40123</v>
      </c>
      <c r="E510" s="518">
        <f t="shared" si="69"/>
        <v>40063</v>
      </c>
      <c r="F510" s="520">
        <v>2.6469999999999998</v>
      </c>
      <c r="G510" s="521">
        <f t="shared" si="65"/>
        <v>0.3000000000000001</v>
      </c>
      <c r="H510" s="521">
        <f t="shared" si="66"/>
        <v>0.3000000000000001</v>
      </c>
      <c r="I510" s="505"/>
      <c r="J510" s="505"/>
      <c r="K510" s="505"/>
      <c r="L510" s="505"/>
      <c r="M510" s="528"/>
      <c r="N510" s="505"/>
      <c r="O510" s="505"/>
      <c r="P510" s="505"/>
      <c r="Q510" s="505"/>
      <c r="R510" s="505"/>
      <c r="S510" s="505"/>
      <c r="T510" s="505"/>
      <c r="U510" s="505"/>
      <c r="V510" s="505"/>
      <c r="W510" s="505"/>
      <c r="X510" s="505"/>
      <c r="Y510" s="505"/>
      <c r="Z510" s="505"/>
      <c r="AA510" s="505"/>
      <c r="AB510" s="505"/>
      <c r="AC510" s="505"/>
      <c r="AD510" s="505"/>
      <c r="AE510" s="505"/>
      <c r="AF510" s="505"/>
      <c r="AG510" s="505"/>
      <c r="AH510" s="505"/>
      <c r="AI510" s="505"/>
      <c r="AJ510" s="505"/>
      <c r="AK510" s="505"/>
      <c r="AL510" s="505"/>
      <c r="AM510" s="505"/>
      <c r="AN510" s="505"/>
      <c r="AO510" s="505"/>
      <c r="AP510" s="505"/>
      <c r="AQ510" s="505"/>
      <c r="AR510" s="505"/>
      <c r="AS510" s="505"/>
      <c r="AT510" s="505"/>
      <c r="AU510" s="505"/>
      <c r="AV510" s="505"/>
      <c r="AW510" s="505"/>
      <c r="AX510" s="505"/>
      <c r="AY510" s="505"/>
      <c r="AZ510" s="505"/>
      <c r="BA510" s="505"/>
      <c r="BB510" s="505"/>
      <c r="BC510" s="505"/>
      <c r="BD510" s="505"/>
      <c r="BE510" s="505"/>
      <c r="BF510" s="505"/>
      <c r="BG510" s="505"/>
      <c r="BH510" s="505"/>
      <c r="BI510" s="505"/>
      <c r="BJ510" s="505"/>
      <c r="BK510" s="505"/>
      <c r="BL510" s="505"/>
      <c r="BM510" s="505"/>
      <c r="BN510" s="505"/>
      <c r="BO510" s="505"/>
      <c r="BP510" s="505"/>
      <c r="BQ510" s="505"/>
      <c r="BR510" s="505"/>
      <c r="BS510" s="505"/>
      <c r="BT510" s="505"/>
      <c r="BU510" s="505"/>
      <c r="BV510" s="505"/>
      <c r="BW510" s="505"/>
      <c r="BX510" s="505"/>
      <c r="BY510" s="505"/>
      <c r="BZ510" s="505"/>
      <c r="CA510" s="505"/>
      <c r="CB510" s="505"/>
      <c r="CC510" s="505"/>
      <c r="CD510" s="505"/>
      <c r="CE510" s="505"/>
      <c r="CF510" s="505"/>
      <c r="CG510" s="505"/>
      <c r="CH510" s="505"/>
      <c r="CI510" s="505"/>
      <c r="CJ510" s="505"/>
      <c r="CK510" s="505"/>
      <c r="CL510" s="505"/>
      <c r="CM510" s="505"/>
      <c r="CN510" s="505"/>
      <c r="CO510" s="505"/>
      <c r="CP510" s="505"/>
      <c r="CQ510" s="505"/>
      <c r="CR510" s="505"/>
      <c r="CS510" s="505"/>
      <c r="CT510" s="505"/>
      <c r="CU510" s="505"/>
      <c r="CV510" s="505"/>
      <c r="CW510" s="505"/>
      <c r="CX510" s="505"/>
      <c r="CY510" s="505"/>
      <c r="CZ510" s="505"/>
      <c r="DA510" s="505"/>
      <c r="DB510" s="505"/>
      <c r="DC510" s="505"/>
      <c r="DD510" s="505"/>
      <c r="DE510" s="505"/>
      <c r="DF510" s="505"/>
      <c r="DG510" s="505"/>
      <c r="DH510" s="505"/>
      <c r="DI510" s="505"/>
      <c r="DJ510" s="505"/>
      <c r="DK510" s="505"/>
      <c r="DL510" s="505"/>
      <c r="DM510" s="505"/>
      <c r="DN510" s="505"/>
      <c r="DO510" s="505"/>
      <c r="DP510" s="505"/>
    </row>
    <row r="511" spans="1:120" hidden="1" outlineLevel="1" x14ac:dyDescent="0.2">
      <c r="A511" s="517">
        <f t="shared" si="67"/>
        <v>40057</v>
      </c>
      <c r="B511" s="517" t="str">
        <f t="shared" si="64"/>
        <v>3Q09</v>
      </c>
      <c r="C511" s="517" t="str">
        <f t="shared" si="68"/>
        <v>4Q09</v>
      </c>
      <c r="D511" s="518">
        <f t="shared" si="69"/>
        <v>40130</v>
      </c>
      <c r="E511" s="518">
        <f t="shared" si="69"/>
        <v>40070</v>
      </c>
      <c r="F511" s="520">
        <v>2.6339999999999999</v>
      </c>
      <c r="G511" s="521">
        <f t="shared" si="65"/>
        <v>0.3000000000000001</v>
      </c>
      <c r="H511" s="521">
        <f t="shared" si="66"/>
        <v>0.3000000000000001</v>
      </c>
      <c r="I511" s="505"/>
      <c r="J511" s="505"/>
      <c r="K511" s="505"/>
      <c r="L511" s="505"/>
      <c r="M511" s="528"/>
      <c r="N511" s="505"/>
      <c r="O511" s="505"/>
      <c r="P511" s="505"/>
      <c r="Q511" s="505"/>
      <c r="R511" s="505"/>
      <c r="S511" s="505"/>
      <c r="T511" s="505"/>
      <c r="U511" s="505"/>
      <c r="V511" s="505"/>
      <c r="W511" s="505"/>
      <c r="X511" s="505"/>
      <c r="Y511" s="505"/>
      <c r="Z511" s="505"/>
      <c r="AA511" s="505"/>
      <c r="AB511" s="505"/>
      <c r="AC511" s="505"/>
      <c r="AD511" s="505"/>
      <c r="AE511" s="505"/>
      <c r="AF511" s="505"/>
      <c r="AG511" s="505"/>
      <c r="AH511" s="505"/>
      <c r="AI511" s="505"/>
      <c r="AJ511" s="505"/>
      <c r="AK511" s="505"/>
      <c r="AL511" s="505"/>
      <c r="AM511" s="505"/>
      <c r="AN511" s="505"/>
      <c r="AO511" s="505"/>
      <c r="AP511" s="505"/>
      <c r="AQ511" s="505"/>
      <c r="AR511" s="505"/>
      <c r="AS511" s="505"/>
      <c r="AT511" s="505"/>
      <c r="AU511" s="505"/>
      <c r="AV511" s="505"/>
      <c r="AW511" s="505"/>
      <c r="AX511" s="505"/>
      <c r="AY511" s="505"/>
      <c r="AZ511" s="505"/>
      <c r="BA511" s="505"/>
      <c r="BB511" s="505"/>
      <c r="BC511" s="505"/>
      <c r="BD511" s="505"/>
      <c r="BE511" s="505"/>
      <c r="BF511" s="505"/>
      <c r="BG511" s="505"/>
      <c r="BH511" s="505"/>
      <c r="BI511" s="505"/>
      <c r="BJ511" s="505"/>
      <c r="BK511" s="505"/>
      <c r="BL511" s="505"/>
      <c r="BM511" s="505"/>
      <c r="BN511" s="505"/>
      <c r="BO511" s="505"/>
      <c r="BP511" s="505"/>
      <c r="BQ511" s="505"/>
      <c r="BR511" s="505"/>
      <c r="BS511" s="505"/>
      <c r="BT511" s="505"/>
      <c r="BU511" s="505"/>
      <c r="BV511" s="505"/>
      <c r="BW511" s="505"/>
      <c r="BX511" s="505"/>
      <c r="BY511" s="505"/>
      <c r="BZ511" s="505"/>
      <c r="CA511" s="505"/>
      <c r="CB511" s="505"/>
      <c r="CC511" s="505"/>
      <c r="CD511" s="505"/>
      <c r="CE511" s="505"/>
      <c r="CF511" s="505"/>
      <c r="CG511" s="505"/>
      <c r="CH511" s="505"/>
      <c r="CI511" s="505"/>
      <c r="CJ511" s="505"/>
      <c r="CK511" s="505"/>
      <c r="CL511" s="505"/>
      <c r="CM511" s="505"/>
      <c r="CN511" s="505"/>
      <c r="CO511" s="505"/>
      <c r="CP511" s="505"/>
      <c r="CQ511" s="505"/>
      <c r="CR511" s="505"/>
      <c r="CS511" s="505"/>
      <c r="CT511" s="505"/>
      <c r="CU511" s="505"/>
      <c r="CV511" s="505"/>
      <c r="CW511" s="505"/>
      <c r="CX511" s="505"/>
      <c r="CY511" s="505"/>
      <c r="CZ511" s="505"/>
      <c r="DA511" s="505"/>
      <c r="DB511" s="505"/>
      <c r="DC511" s="505"/>
      <c r="DD511" s="505"/>
      <c r="DE511" s="505"/>
      <c r="DF511" s="505"/>
      <c r="DG511" s="505"/>
      <c r="DH511" s="505"/>
      <c r="DI511" s="505"/>
      <c r="DJ511" s="505"/>
      <c r="DK511" s="505"/>
      <c r="DL511" s="505"/>
      <c r="DM511" s="505"/>
      <c r="DN511" s="505"/>
      <c r="DO511" s="505"/>
      <c r="DP511" s="505"/>
    </row>
    <row r="512" spans="1:120" hidden="1" outlineLevel="1" x14ac:dyDescent="0.2">
      <c r="A512" s="517">
        <f t="shared" si="67"/>
        <v>40057</v>
      </c>
      <c r="B512" s="517" t="str">
        <f t="shared" si="64"/>
        <v>3Q09</v>
      </c>
      <c r="C512" s="517" t="str">
        <f t="shared" si="68"/>
        <v>4Q09</v>
      </c>
      <c r="D512" s="518">
        <f t="shared" si="69"/>
        <v>40137</v>
      </c>
      <c r="E512" s="518">
        <f t="shared" si="69"/>
        <v>40077</v>
      </c>
      <c r="F512" s="520">
        <v>2.6219999999999999</v>
      </c>
      <c r="G512" s="521">
        <f t="shared" si="65"/>
        <v>0.3000000000000001</v>
      </c>
      <c r="H512" s="521">
        <f t="shared" si="66"/>
        <v>0.3000000000000001</v>
      </c>
      <c r="I512" s="505"/>
      <c r="J512" s="505"/>
      <c r="K512" s="505"/>
      <c r="L512" s="505"/>
      <c r="M512" s="528"/>
      <c r="N512" s="505"/>
      <c r="O512" s="505"/>
      <c r="P512" s="505"/>
      <c r="Q512" s="505"/>
      <c r="R512" s="505"/>
      <c r="S512" s="505"/>
      <c r="T512" s="505"/>
      <c r="U512" s="505"/>
      <c r="V512" s="505"/>
      <c r="W512" s="505"/>
      <c r="X512" s="505"/>
      <c r="Y512" s="505"/>
      <c r="Z512" s="505"/>
      <c r="AA512" s="505"/>
      <c r="AB512" s="505"/>
      <c r="AC512" s="505"/>
      <c r="AD512" s="505"/>
      <c r="AE512" s="505"/>
      <c r="AF512" s="505"/>
      <c r="AG512" s="505"/>
      <c r="AH512" s="505"/>
      <c r="AI512" s="505"/>
      <c r="AJ512" s="505"/>
      <c r="AK512" s="505"/>
      <c r="AL512" s="505"/>
      <c r="AM512" s="505"/>
      <c r="AN512" s="505"/>
      <c r="AO512" s="505"/>
      <c r="AP512" s="505"/>
      <c r="AQ512" s="505"/>
      <c r="AR512" s="505"/>
      <c r="AS512" s="505"/>
      <c r="AT512" s="505"/>
      <c r="AU512" s="505"/>
      <c r="AV512" s="505"/>
      <c r="AW512" s="505"/>
      <c r="AX512" s="505"/>
      <c r="AY512" s="505"/>
      <c r="AZ512" s="505"/>
      <c r="BA512" s="505"/>
      <c r="BB512" s="505"/>
      <c r="BC512" s="505"/>
      <c r="BD512" s="505"/>
      <c r="BE512" s="505"/>
      <c r="BF512" s="505"/>
      <c r="BG512" s="505"/>
      <c r="BH512" s="505"/>
      <c r="BI512" s="505"/>
      <c r="BJ512" s="505"/>
      <c r="BK512" s="505"/>
      <c r="BL512" s="505"/>
      <c r="BM512" s="505"/>
      <c r="BN512" s="505"/>
      <c r="BO512" s="505"/>
      <c r="BP512" s="505"/>
      <c r="BQ512" s="505"/>
      <c r="BR512" s="505"/>
      <c r="BS512" s="505"/>
      <c r="BT512" s="505"/>
      <c r="BU512" s="505"/>
      <c r="BV512" s="505"/>
      <c r="BW512" s="505"/>
      <c r="BX512" s="505"/>
      <c r="BY512" s="505"/>
      <c r="BZ512" s="505"/>
      <c r="CA512" s="505"/>
      <c r="CB512" s="505"/>
      <c r="CC512" s="505"/>
      <c r="CD512" s="505"/>
      <c r="CE512" s="505"/>
      <c r="CF512" s="505"/>
      <c r="CG512" s="505"/>
      <c r="CH512" s="505"/>
      <c r="CI512" s="505"/>
      <c r="CJ512" s="505"/>
      <c r="CK512" s="505"/>
      <c r="CL512" s="505"/>
      <c r="CM512" s="505"/>
      <c r="CN512" s="505"/>
      <c r="CO512" s="505"/>
      <c r="CP512" s="505"/>
      <c r="CQ512" s="505"/>
      <c r="CR512" s="505"/>
      <c r="CS512" s="505"/>
      <c r="CT512" s="505"/>
      <c r="CU512" s="505"/>
      <c r="CV512" s="505"/>
      <c r="CW512" s="505"/>
      <c r="CX512" s="505"/>
      <c r="CY512" s="505"/>
      <c r="CZ512" s="505"/>
      <c r="DA512" s="505"/>
      <c r="DB512" s="505"/>
      <c r="DC512" s="505"/>
      <c r="DD512" s="505"/>
      <c r="DE512" s="505"/>
      <c r="DF512" s="505"/>
      <c r="DG512" s="505"/>
      <c r="DH512" s="505"/>
      <c r="DI512" s="505"/>
      <c r="DJ512" s="505"/>
      <c r="DK512" s="505"/>
      <c r="DL512" s="505"/>
      <c r="DM512" s="505"/>
      <c r="DN512" s="505"/>
      <c r="DO512" s="505"/>
      <c r="DP512" s="505"/>
    </row>
    <row r="513" spans="1:120" hidden="1" outlineLevel="1" x14ac:dyDescent="0.2">
      <c r="A513" s="517">
        <f t="shared" si="67"/>
        <v>40057</v>
      </c>
      <c r="B513" s="517" t="str">
        <f t="shared" si="64"/>
        <v>3Q09</v>
      </c>
      <c r="C513" s="517" t="str">
        <f t="shared" si="68"/>
        <v>4Q09</v>
      </c>
      <c r="D513" s="518">
        <f t="shared" si="69"/>
        <v>40144</v>
      </c>
      <c r="E513" s="518">
        <f t="shared" si="69"/>
        <v>40084</v>
      </c>
      <c r="F513" s="520">
        <v>2.601</v>
      </c>
      <c r="G513" s="521">
        <f t="shared" si="65"/>
        <v>0.3000000000000001</v>
      </c>
      <c r="H513" s="521">
        <f t="shared" si="66"/>
        <v>0.29000000000000009</v>
      </c>
      <c r="I513" s="505"/>
      <c r="J513" s="505"/>
      <c r="K513" s="505"/>
      <c r="L513" s="505"/>
      <c r="M513" s="528"/>
      <c r="N513" s="505"/>
      <c r="O513" s="505"/>
      <c r="P513" s="505"/>
      <c r="Q513" s="505"/>
      <c r="R513" s="505"/>
      <c r="S513" s="505"/>
      <c r="T513" s="505"/>
      <c r="U513" s="505"/>
      <c r="V513" s="505"/>
      <c r="W513" s="505"/>
      <c r="X513" s="505"/>
      <c r="Y513" s="505"/>
      <c r="Z513" s="505"/>
      <c r="AA513" s="505"/>
      <c r="AB513" s="505"/>
      <c r="AC513" s="505"/>
      <c r="AD513" s="505"/>
      <c r="AE513" s="505"/>
      <c r="AF513" s="505"/>
      <c r="AG513" s="505"/>
      <c r="AH513" s="505"/>
      <c r="AI513" s="505"/>
      <c r="AJ513" s="505"/>
      <c r="AK513" s="505"/>
      <c r="AL513" s="505"/>
      <c r="AM513" s="505"/>
      <c r="AN513" s="505"/>
      <c r="AO513" s="505"/>
      <c r="AP513" s="505"/>
      <c r="AQ513" s="505"/>
      <c r="AR513" s="505"/>
      <c r="AS513" s="505"/>
      <c r="AT513" s="505"/>
      <c r="AU513" s="505"/>
      <c r="AV513" s="505"/>
      <c r="AW513" s="505"/>
      <c r="AX513" s="505"/>
      <c r="AY513" s="505"/>
      <c r="AZ513" s="505"/>
      <c r="BA513" s="505"/>
      <c r="BB513" s="505"/>
      <c r="BC513" s="505"/>
      <c r="BD513" s="505"/>
      <c r="BE513" s="505"/>
      <c r="BF513" s="505"/>
      <c r="BG513" s="505"/>
      <c r="BH513" s="505"/>
      <c r="BI513" s="505"/>
      <c r="BJ513" s="505"/>
      <c r="BK513" s="505"/>
      <c r="BL513" s="505"/>
      <c r="BM513" s="505"/>
      <c r="BN513" s="505"/>
      <c r="BO513" s="505"/>
      <c r="BP513" s="505"/>
      <c r="BQ513" s="505"/>
      <c r="BR513" s="505"/>
      <c r="BS513" s="505"/>
      <c r="BT513" s="505"/>
      <c r="BU513" s="505"/>
      <c r="BV513" s="505"/>
      <c r="BW513" s="505"/>
      <c r="BX513" s="505"/>
      <c r="BY513" s="505"/>
      <c r="BZ513" s="505"/>
      <c r="CA513" s="505"/>
      <c r="CB513" s="505"/>
      <c r="CC513" s="505"/>
      <c r="CD513" s="505"/>
      <c r="CE513" s="505"/>
      <c r="CF513" s="505"/>
      <c r="CG513" s="505"/>
      <c r="CH513" s="505"/>
      <c r="CI513" s="505"/>
      <c r="CJ513" s="505"/>
      <c r="CK513" s="505"/>
      <c r="CL513" s="505"/>
      <c r="CM513" s="505"/>
      <c r="CN513" s="505"/>
      <c r="CO513" s="505"/>
      <c r="CP513" s="505"/>
      <c r="CQ513" s="505"/>
      <c r="CR513" s="505"/>
      <c r="CS513" s="505"/>
      <c r="CT513" s="505"/>
      <c r="CU513" s="505"/>
      <c r="CV513" s="505"/>
      <c r="CW513" s="505"/>
      <c r="CX513" s="505"/>
      <c r="CY513" s="505"/>
      <c r="CZ513" s="505"/>
      <c r="DA513" s="505"/>
      <c r="DB513" s="505"/>
      <c r="DC513" s="505"/>
      <c r="DD513" s="505"/>
      <c r="DE513" s="505"/>
      <c r="DF513" s="505"/>
      <c r="DG513" s="505"/>
      <c r="DH513" s="505"/>
      <c r="DI513" s="505"/>
      <c r="DJ513" s="505"/>
      <c r="DK513" s="505"/>
      <c r="DL513" s="505"/>
      <c r="DM513" s="505"/>
      <c r="DN513" s="505"/>
      <c r="DO513" s="505"/>
      <c r="DP513" s="505"/>
    </row>
    <row r="514" spans="1:120" hidden="1" outlineLevel="1" x14ac:dyDescent="0.2">
      <c r="A514" s="517">
        <f t="shared" si="67"/>
        <v>40087</v>
      </c>
      <c r="B514" s="517" t="str">
        <f t="shared" si="64"/>
        <v>4Q09</v>
      </c>
      <c r="C514" s="517" t="str">
        <f t="shared" si="68"/>
        <v>4Q09</v>
      </c>
      <c r="D514" s="518">
        <f t="shared" si="69"/>
        <v>40151</v>
      </c>
      <c r="E514" s="518">
        <f t="shared" si="69"/>
        <v>40091</v>
      </c>
      <c r="F514" s="520">
        <v>2.5819999999999999</v>
      </c>
      <c r="G514" s="521">
        <f t="shared" si="65"/>
        <v>0.29000000000000009</v>
      </c>
      <c r="H514" s="521">
        <f t="shared" si="66"/>
        <v>0.3000000000000001</v>
      </c>
      <c r="I514" s="505"/>
      <c r="J514" s="505"/>
      <c r="K514" s="505"/>
      <c r="L514" s="505"/>
      <c r="M514" s="528"/>
      <c r="N514" s="505"/>
      <c r="O514" s="505"/>
      <c r="P514" s="505"/>
      <c r="Q514" s="505"/>
      <c r="R514" s="505"/>
      <c r="S514" s="505"/>
      <c r="T514" s="505"/>
      <c r="U514" s="505"/>
      <c r="V514" s="505"/>
      <c r="W514" s="505"/>
      <c r="X514" s="505"/>
      <c r="Y514" s="505"/>
      <c r="Z514" s="505"/>
      <c r="AA514" s="505"/>
      <c r="AB514" s="505"/>
      <c r="AC514" s="505"/>
      <c r="AD514" s="505"/>
      <c r="AE514" s="505"/>
      <c r="AF514" s="505"/>
      <c r="AG514" s="505"/>
      <c r="AH514" s="505"/>
      <c r="AI514" s="505"/>
      <c r="AJ514" s="505"/>
      <c r="AK514" s="505"/>
      <c r="AL514" s="505"/>
      <c r="AM514" s="505"/>
      <c r="AN514" s="505"/>
      <c r="AO514" s="505"/>
      <c r="AP514" s="505"/>
      <c r="AQ514" s="505"/>
      <c r="AR514" s="505"/>
      <c r="AS514" s="505"/>
      <c r="AT514" s="505"/>
      <c r="AU514" s="505"/>
      <c r="AV514" s="505"/>
      <c r="AW514" s="505"/>
      <c r="AX514" s="505"/>
      <c r="AY514" s="505"/>
      <c r="AZ514" s="505"/>
      <c r="BA514" s="505"/>
      <c r="BB514" s="505"/>
      <c r="BC514" s="505"/>
      <c r="BD514" s="505"/>
      <c r="BE514" s="505"/>
      <c r="BF514" s="505"/>
      <c r="BG514" s="505"/>
      <c r="BH514" s="505"/>
      <c r="BI514" s="505"/>
      <c r="BJ514" s="505"/>
      <c r="BK514" s="505"/>
      <c r="BL514" s="505"/>
      <c r="BM514" s="505"/>
      <c r="BN514" s="505"/>
      <c r="BO514" s="505"/>
      <c r="BP514" s="505"/>
      <c r="BQ514" s="505"/>
      <c r="BR514" s="505"/>
      <c r="BS514" s="505"/>
      <c r="BT514" s="505"/>
      <c r="BU514" s="505"/>
      <c r="BV514" s="505"/>
      <c r="BW514" s="505"/>
      <c r="BX514" s="505"/>
      <c r="BY514" s="505"/>
      <c r="BZ514" s="505"/>
      <c r="CA514" s="505"/>
      <c r="CB514" s="505"/>
      <c r="CC514" s="505"/>
      <c r="CD514" s="505"/>
      <c r="CE514" s="505"/>
      <c r="CF514" s="505"/>
      <c r="CG514" s="505"/>
      <c r="CH514" s="505"/>
      <c r="CI514" s="505"/>
      <c r="CJ514" s="505"/>
      <c r="CK514" s="505"/>
      <c r="CL514" s="505"/>
      <c r="CM514" s="505"/>
      <c r="CN514" s="505"/>
      <c r="CO514" s="505"/>
      <c r="CP514" s="505"/>
      <c r="CQ514" s="505"/>
      <c r="CR514" s="505"/>
      <c r="CS514" s="505"/>
      <c r="CT514" s="505"/>
      <c r="CU514" s="505"/>
      <c r="CV514" s="505"/>
      <c r="CW514" s="505"/>
      <c r="CX514" s="505"/>
      <c r="CY514" s="505"/>
      <c r="CZ514" s="505"/>
      <c r="DA514" s="505"/>
      <c r="DB514" s="505"/>
      <c r="DC514" s="505"/>
      <c r="DD514" s="505"/>
      <c r="DE514" s="505"/>
      <c r="DF514" s="505"/>
      <c r="DG514" s="505"/>
      <c r="DH514" s="505"/>
      <c r="DI514" s="505"/>
      <c r="DJ514" s="505"/>
      <c r="DK514" s="505"/>
      <c r="DL514" s="505"/>
      <c r="DM514" s="505"/>
      <c r="DN514" s="505"/>
      <c r="DO514" s="505"/>
      <c r="DP514" s="505"/>
    </row>
    <row r="515" spans="1:120" hidden="1" outlineLevel="1" x14ac:dyDescent="0.2">
      <c r="A515" s="517">
        <f t="shared" si="67"/>
        <v>40087</v>
      </c>
      <c r="B515" s="517" t="str">
        <f t="shared" si="64"/>
        <v>4Q09</v>
      </c>
      <c r="C515" s="517" t="str">
        <f t="shared" si="68"/>
        <v>4Q09</v>
      </c>
      <c r="D515" s="518">
        <f t="shared" si="69"/>
        <v>40158</v>
      </c>
      <c r="E515" s="518">
        <f t="shared" si="69"/>
        <v>40098</v>
      </c>
      <c r="F515" s="520">
        <v>2.6</v>
      </c>
      <c r="G515" s="521">
        <f t="shared" si="65"/>
        <v>0.3000000000000001</v>
      </c>
      <c r="H515" s="521">
        <f t="shared" si="66"/>
        <v>0.32000000000000012</v>
      </c>
      <c r="I515" s="505"/>
      <c r="J515" s="505"/>
      <c r="K515" s="505"/>
      <c r="L515" s="505"/>
      <c r="M515" s="528"/>
      <c r="N515" s="505"/>
      <c r="O515" s="505"/>
      <c r="P515" s="505"/>
      <c r="Q515" s="505"/>
      <c r="R515" s="505"/>
      <c r="S515" s="505"/>
      <c r="T515" s="505"/>
      <c r="U515" s="505"/>
      <c r="V515" s="505"/>
      <c r="W515" s="505"/>
      <c r="X515" s="505"/>
      <c r="Y515" s="505"/>
      <c r="Z515" s="505"/>
      <c r="AA515" s="505"/>
      <c r="AB515" s="505"/>
      <c r="AC515" s="505"/>
      <c r="AD515" s="505"/>
      <c r="AE515" s="505"/>
      <c r="AF515" s="505"/>
      <c r="AG515" s="505"/>
      <c r="AH515" s="505"/>
      <c r="AI515" s="505"/>
      <c r="AJ515" s="505"/>
      <c r="AK515" s="505"/>
      <c r="AL515" s="505"/>
      <c r="AM515" s="505"/>
      <c r="AN515" s="505"/>
      <c r="AO515" s="505"/>
      <c r="AP515" s="505"/>
      <c r="AQ515" s="505"/>
      <c r="AR515" s="505"/>
      <c r="AS515" s="505"/>
      <c r="AT515" s="505"/>
      <c r="AU515" s="505"/>
      <c r="AV515" s="505"/>
      <c r="AW515" s="505"/>
      <c r="AX515" s="505"/>
      <c r="AY515" s="505"/>
      <c r="AZ515" s="505"/>
      <c r="BA515" s="505"/>
      <c r="BB515" s="505"/>
      <c r="BC515" s="505"/>
      <c r="BD515" s="505"/>
      <c r="BE515" s="505"/>
      <c r="BF515" s="505"/>
      <c r="BG515" s="505"/>
      <c r="BH515" s="505"/>
      <c r="BI515" s="505"/>
      <c r="BJ515" s="505"/>
      <c r="BK515" s="505"/>
      <c r="BL515" s="505"/>
      <c r="BM515" s="505"/>
      <c r="BN515" s="505"/>
      <c r="BO515" s="505"/>
      <c r="BP515" s="505"/>
      <c r="BQ515" s="505"/>
      <c r="BR515" s="505"/>
      <c r="BS515" s="505"/>
      <c r="BT515" s="505"/>
      <c r="BU515" s="505"/>
      <c r="BV515" s="505"/>
      <c r="BW515" s="505"/>
      <c r="BX515" s="505"/>
      <c r="BY515" s="505"/>
      <c r="BZ515" s="505"/>
      <c r="CA515" s="505"/>
      <c r="CB515" s="505"/>
      <c r="CC515" s="505"/>
      <c r="CD515" s="505"/>
      <c r="CE515" s="505"/>
      <c r="CF515" s="505"/>
      <c r="CG515" s="505"/>
      <c r="CH515" s="505"/>
      <c r="CI515" s="505"/>
      <c r="CJ515" s="505"/>
      <c r="CK515" s="505"/>
      <c r="CL515" s="505"/>
      <c r="CM515" s="505"/>
      <c r="CN515" s="505"/>
      <c r="CO515" s="505"/>
      <c r="CP515" s="505"/>
      <c r="CQ515" s="505"/>
      <c r="CR515" s="505"/>
      <c r="CS515" s="505"/>
      <c r="CT515" s="505"/>
      <c r="CU515" s="505"/>
      <c r="CV515" s="505"/>
      <c r="CW515" s="505"/>
      <c r="CX515" s="505"/>
      <c r="CY515" s="505"/>
      <c r="CZ515" s="505"/>
      <c r="DA515" s="505"/>
      <c r="DB515" s="505"/>
      <c r="DC515" s="505"/>
      <c r="DD515" s="505"/>
      <c r="DE515" s="505"/>
      <c r="DF515" s="505"/>
      <c r="DG515" s="505"/>
      <c r="DH515" s="505"/>
      <c r="DI515" s="505"/>
      <c r="DJ515" s="505"/>
      <c r="DK515" s="505"/>
      <c r="DL515" s="505"/>
      <c r="DM515" s="505"/>
      <c r="DN515" s="505"/>
      <c r="DO515" s="505"/>
      <c r="DP515" s="505"/>
    </row>
    <row r="516" spans="1:120" hidden="1" outlineLevel="1" x14ac:dyDescent="0.2">
      <c r="A516" s="517">
        <f t="shared" si="67"/>
        <v>40087</v>
      </c>
      <c r="B516" s="517" t="str">
        <f t="shared" ref="B516:B579" si="70">VLOOKUP(MONTH(A516),$N$4:$O$16,2,FALSE) &amp; "Q" &amp; RIGHT(YEAR(A516),2)</f>
        <v>4Q09</v>
      </c>
      <c r="C516" s="517" t="str">
        <f t="shared" si="68"/>
        <v>4Q09</v>
      </c>
      <c r="D516" s="518">
        <f t="shared" si="69"/>
        <v>40165</v>
      </c>
      <c r="E516" s="518">
        <f t="shared" si="69"/>
        <v>40105</v>
      </c>
      <c r="F516" s="520">
        <v>2.7050000000000001</v>
      </c>
      <c r="G516" s="521">
        <f t="shared" ref="G516:G579" si="71">INDEX($I$4:$K$153,MATCH(F516,$I$4:$I$153,1),3)</f>
        <v>0.32000000000000012</v>
      </c>
      <c r="H516" s="521">
        <f t="shared" ref="H516:H579" si="72">G517</f>
        <v>0.34000000000000014</v>
      </c>
      <c r="I516" s="505"/>
      <c r="J516" s="505"/>
      <c r="K516" s="505"/>
      <c r="L516" s="505"/>
      <c r="M516" s="528"/>
      <c r="N516" s="505"/>
      <c r="O516" s="505"/>
      <c r="P516" s="505"/>
      <c r="Q516" s="505"/>
      <c r="R516" s="505"/>
      <c r="S516" s="505"/>
      <c r="T516" s="505"/>
      <c r="U516" s="505"/>
      <c r="V516" s="505"/>
      <c r="W516" s="505"/>
      <c r="X516" s="505"/>
      <c r="Y516" s="505"/>
      <c r="Z516" s="505"/>
      <c r="AA516" s="505"/>
      <c r="AB516" s="505"/>
      <c r="AC516" s="505"/>
      <c r="AD516" s="505"/>
      <c r="AE516" s="505"/>
      <c r="AF516" s="505"/>
      <c r="AG516" s="505"/>
      <c r="AH516" s="505"/>
      <c r="AI516" s="505"/>
      <c r="AJ516" s="505"/>
      <c r="AK516" s="505"/>
      <c r="AL516" s="505"/>
      <c r="AM516" s="505"/>
      <c r="AN516" s="505"/>
      <c r="AO516" s="505"/>
      <c r="AP516" s="505"/>
      <c r="AQ516" s="505"/>
      <c r="AR516" s="505"/>
      <c r="AS516" s="505"/>
      <c r="AT516" s="505"/>
      <c r="AU516" s="505"/>
      <c r="AV516" s="505"/>
      <c r="AW516" s="505"/>
      <c r="AX516" s="505"/>
      <c r="AY516" s="505"/>
      <c r="AZ516" s="505"/>
      <c r="BA516" s="505"/>
      <c r="BB516" s="505"/>
      <c r="BC516" s="505"/>
      <c r="BD516" s="505"/>
      <c r="BE516" s="505"/>
      <c r="BF516" s="505"/>
      <c r="BG516" s="505"/>
      <c r="BH516" s="505"/>
      <c r="BI516" s="505"/>
      <c r="BJ516" s="505"/>
      <c r="BK516" s="505"/>
      <c r="BL516" s="505"/>
      <c r="BM516" s="505"/>
      <c r="BN516" s="505"/>
      <c r="BO516" s="505"/>
      <c r="BP516" s="505"/>
      <c r="BQ516" s="505"/>
      <c r="BR516" s="505"/>
      <c r="BS516" s="505"/>
      <c r="BT516" s="505"/>
      <c r="BU516" s="505"/>
      <c r="BV516" s="505"/>
      <c r="BW516" s="505"/>
      <c r="BX516" s="505"/>
      <c r="BY516" s="505"/>
      <c r="BZ516" s="505"/>
      <c r="CA516" s="505"/>
      <c r="CB516" s="505"/>
      <c r="CC516" s="505"/>
      <c r="CD516" s="505"/>
      <c r="CE516" s="505"/>
      <c r="CF516" s="505"/>
      <c r="CG516" s="505"/>
      <c r="CH516" s="505"/>
      <c r="CI516" s="505"/>
      <c r="CJ516" s="505"/>
      <c r="CK516" s="505"/>
      <c r="CL516" s="505"/>
      <c r="CM516" s="505"/>
      <c r="CN516" s="505"/>
      <c r="CO516" s="505"/>
      <c r="CP516" s="505"/>
      <c r="CQ516" s="505"/>
      <c r="CR516" s="505"/>
      <c r="CS516" s="505"/>
      <c r="CT516" s="505"/>
      <c r="CU516" s="505"/>
      <c r="CV516" s="505"/>
      <c r="CW516" s="505"/>
      <c r="CX516" s="505"/>
      <c r="CY516" s="505"/>
      <c r="CZ516" s="505"/>
      <c r="DA516" s="505"/>
      <c r="DB516" s="505"/>
      <c r="DC516" s="505"/>
      <c r="DD516" s="505"/>
      <c r="DE516" s="505"/>
      <c r="DF516" s="505"/>
      <c r="DG516" s="505"/>
      <c r="DH516" s="505"/>
      <c r="DI516" s="505"/>
      <c r="DJ516" s="505"/>
      <c r="DK516" s="505"/>
      <c r="DL516" s="505"/>
      <c r="DM516" s="505"/>
      <c r="DN516" s="505"/>
      <c r="DO516" s="505"/>
      <c r="DP516" s="505"/>
    </row>
    <row r="517" spans="1:120" hidden="1" outlineLevel="1" x14ac:dyDescent="0.2">
      <c r="A517" s="517">
        <f t="shared" ref="A517:A580" si="73">DATE(YEAR(E517),MONTH(E517),1)</f>
        <v>40087</v>
      </c>
      <c r="B517" s="517" t="str">
        <f t="shared" si="70"/>
        <v>4Q09</v>
      </c>
      <c r="C517" s="517" t="str">
        <f t="shared" ref="C517:C580" si="74">VLOOKUP(MONTH(D517),$N$4:$O$16,2,FALSE) &amp; "Q" &amp; RIGHT(YEAR(D517),2)</f>
        <v>4Q09</v>
      </c>
      <c r="D517" s="518">
        <f t="shared" ref="D517:E580" si="75">D516+7</f>
        <v>40172</v>
      </c>
      <c r="E517" s="518">
        <f t="shared" si="75"/>
        <v>40112</v>
      </c>
      <c r="F517" s="520">
        <v>2.8010000000000002</v>
      </c>
      <c r="G517" s="521">
        <f t="shared" si="71"/>
        <v>0.34000000000000014</v>
      </c>
      <c r="H517" s="521">
        <f t="shared" si="72"/>
        <v>0.34000000000000014</v>
      </c>
      <c r="I517" s="505"/>
      <c r="J517" s="505"/>
      <c r="K517" s="505"/>
      <c r="L517" s="505"/>
      <c r="M517" s="528"/>
      <c r="N517" s="505"/>
      <c r="O517" s="505"/>
      <c r="P517" s="505"/>
      <c r="Q517" s="505"/>
      <c r="R517" s="505"/>
      <c r="S517" s="505"/>
      <c r="T517" s="505"/>
      <c r="U517" s="505"/>
      <c r="V517" s="505"/>
      <c r="W517" s="505"/>
      <c r="X517" s="505"/>
      <c r="Y517" s="505"/>
      <c r="Z517" s="505"/>
      <c r="AA517" s="505"/>
      <c r="AB517" s="505"/>
      <c r="AC517" s="505"/>
      <c r="AD517" s="505"/>
      <c r="AE517" s="505"/>
      <c r="AF517" s="505"/>
      <c r="AG517" s="505"/>
      <c r="AH517" s="505"/>
      <c r="AI517" s="505"/>
      <c r="AJ517" s="505"/>
      <c r="AK517" s="505"/>
      <c r="AL517" s="505"/>
      <c r="AM517" s="505"/>
      <c r="AN517" s="505"/>
      <c r="AO517" s="505"/>
      <c r="AP517" s="505"/>
      <c r="AQ517" s="505"/>
      <c r="AR517" s="505"/>
      <c r="AS517" s="505"/>
      <c r="AT517" s="505"/>
      <c r="AU517" s="505"/>
      <c r="AV517" s="505"/>
      <c r="AW517" s="505"/>
      <c r="AX517" s="505"/>
      <c r="AY517" s="505"/>
      <c r="AZ517" s="505"/>
      <c r="BA517" s="505"/>
      <c r="BB517" s="505"/>
      <c r="BC517" s="505"/>
      <c r="BD517" s="505"/>
      <c r="BE517" s="505"/>
      <c r="BF517" s="505"/>
      <c r="BG517" s="505"/>
      <c r="BH517" s="505"/>
      <c r="BI517" s="505"/>
      <c r="BJ517" s="505"/>
      <c r="BK517" s="505"/>
      <c r="BL517" s="505"/>
      <c r="BM517" s="505"/>
      <c r="BN517" s="505"/>
      <c r="BO517" s="505"/>
      <c r="BP517" s="505"/>
      <c r="BQ517" s="505"/>
      <c r="BR517" s="505"/>
      <c r="BS517" s="505"/>
      <c r="BT517" s="505"/>
      <c r="BU517" s="505"/>
      <c r="BV517" s="505"/>
      <c r="BW517" s="505"/>
      <c r="BX517" s="505"/>
      <c r="BY517" s="505"/>
      <c r="BZ517" s="505"/>
      <c r="CA517" s="505"/>
      <c r="CB517" s="505"/>
      <c r="CC517" s="505"/>
      <c r="CD517" s="505"/>
      <c r="CE517" s="505"/>
      <c r="CF517" s="505"/>
      <c r="CG517" s="505"/>
      <c r="CH517" s="505"/>
      <c r="CI517" s="505"/>
      <c r="CJ517" s="505"/>
      <c r="CK517" s="505"/>
      <c r="CL517" s="505"/>
      <c r="CM517" s="505"/>
      <c r="CN517" s="505"/>
      <c r="CO517" s="505"/>
      <c r="CP517" s="505"/>
      <c r="CQ517" s="505"/>
      <c r="CR517" s="505"/>
      <c r="CS517" s="505"/>
      <c r="CT517" s="505"/>
      <c r="CU517" s="505"/>
      <c r="CV517" s="505"/>
      <c r="CW517" s="505"/>
      <c r="CX517" s="505"/>
      <c r="CY517" s="505"/>
      <c r="CZ517" s="505"/>
      <c r="DA517" s="505"/>
      <c r="DB517" s="505"/>
      <c r="DC517" s="505"/>
      <c r="DD517" s="505"/>
      <c r="DE517" s="505"/>
      <c r="DF517" s="505"/>
      <c r="DG517" s="505"/>
      <c r="DH517" s="505"/>
      <c r="DI517" s="505"/>
      <c r="DJ517" s="505"/>
      <c r="DK517" s="505"/>
      <c r="DL517" s="505"/>
      <c r="DM517" s="505"/>
      <c r="DN517" s="505"/>
      <c r="DO517" s="505"/>
      <c r="DP517" s="505"/>
    </row>
    <row r="518" spans="1:120" hidden="1" outlineLevel="1" x14ac:dyDescent="0.2">
      <c r="A518" s="517">
        <f t="shared" si="73"/>
        <v>40118</v>
      </c>
      <c r="B518" s="517" t="str">
        <f t="shared" si="70"/>
        <v>4Q09</v>
      </c>
      <c r="C518" s="517" t="str">
        <f t="shared" si="74"/>
        <v>1Q10</v>
      </c>
      <c r="D518" s="518">
        <f t="shared" si="75"/>
        <v>40179</v>
      </c>
      <c r="E518" s="518">
        <f t="shared" si="75"/>
        <v>40119</v>
      </c>
      <c r="F518" s="520">
        <v>2.8079999999999998</v>
      </c>
      <c r="G518" s="521">
        <f t="shared" si="71"/>
        <v>0.34000000000000014</v>
      </c>
      <c r="H518" s="521">
        <f t="shared" si="72"/>
        <v>0.34000000000000014</v>
      </c>
      <c r="I518" s="505"/>
      <c r="J518" s="505"/>
      <c r="K518" s="505"/>
      <c r="L518" s="505"/>
      <c r="M518" s="528"/>
      <c r="N518" s="505"/>
      <c r="O518" s="505"/>
      <c r="P518" s="505"/>
      <c r="Q518" s="505"/>
      <c r="R518" s="505"/>
      <c r="S518" s="505"/>
      <c r="T518" s="505"/>
      <c r="U518" s="505"/>
      <c r="V518" s="505"/>
      <c r="W518" s="505"/>
      <c r="X518" s="505"/>
      <c r="Y518" s="505"/>
      <c r="Z518" s="505"/>
      <c r="AA518" s="505"/>
      <c r="AB518" s="505"/>
      <c r="AC518" s="505"/>
      <c r="AD518" s="505"/>
      <c r="AE518" s="505"/>
      <c r="AF518" s="505"/>
      <c r="AG518" s="505"/>
      <c r="AH518" s="505"/>
      <c r="AI518" s="505"/>
      <c r="AJ518" s="505"/>
      <c r="AK518" s="505"/>
      <c r="AL518" s="505"/>
      <c r="AM518" s="505"/>
      <c r="AN518" s="505"/>
      <c r="AO518" s="505"/>
      <c r="AP518" s="505"/>
      <c r="AQ518" s="505"/>
      <c r="AR518" s="505"/>
      <c r="AS518" s="505"/>
      <c r="AT518" s="505"/>
      <c r="AU518" s="505"/>
      <c r="AV518" s="505"/>
      <c r="AW518" s="505"/>
      <c r="AX518" s="505"/>
      <c r="AY518" s="505"/>
      <c r="AZ518" s="505"/>
      <c r="BA518" s="505"/>
      <c r="BB518" s="505"/>
      <c r="BC518" s="505"/>
      <c r="BD518" s="505"/>
      <c r="BE518" s="505"/>
      <c r="BF518" s="505"/>
      <c r="BG518" s="505"/>
      <c r="BH518" s="505"/>
      <c r="BI518" s="505"/>
      <c r="BJ518" s="505"/>
      <c r="BK518" s="505"/>
      <c r="BL518" s="505"/>
      <c r="BM518" s="505"/>
      <c r="BN518" s="505"/>
      <c r="BO518" s="505"/>
      <c r="BP518" s="505"/>
      <c r="BQ518" s="505"/>
      <c r="BR518" s="505"/>
      <c r="BS518" s="505"/>
      <c r="BT518" s="505"/>
      <c r="BU518" s="505"/>
      <c r="BV518" s="505"/>
      <c r="BW518" s="505"/>
      <c r="BX518" s="505"/>
      <c r="BY518" s="505"/>
      <c r="BZ518" s="505"/>
      <c r="CA518" s="505"/>
      <c r="CB518" s="505"/>
      <c r="CC518" s="505"/>
      <c r="CD518" s="505"/>
      <c r="CE518" s="505"/>
      <c r="CF518" s="505"/>
      <c r="CG518" s="505"/>
      <c r="CH518" s="505"/>
      <c r="CI518" s="505"/>
      <c r="CJ518" s="505"/>
      <c r="CK518" s="505"/>
      <c r="CL518" s="505"/>
      <c r="CM518" s="505"/>
      <c r="CN518" s="505"/>
      <c r="CO518" s="505"/>
      <c r="CP518" s="505"/>
      <c r="CQ518" s="505"/>
      <c r="CR518" s="505"/>
      <c r="CS518" s="505"/>
      <c r="CT518" s="505"/>
      <c r="CU518" s="505"/>
      <c r="CV518" s="505"/>
      <c r="CW518" s="505"/>
      <c r="CX518" s="505"/>
      <c r="CY518" s="505"/>
      <c r="CZ518" s="505"/>
      <c r="DA518" s="505"/>
      <c r="DB518" s="505"/>
      <c r="DC518" s="505"/>
      <c r="DD518" s="505"/>
      <c r="DE518" s="505"/>
      <c r="DF518" s="505"/>
      <c r="DG518" s="505"/>
      <c r="DH518" s="505"/>
      <c r="DI518" s="505"/>
      <c r="DJ518" s="505"/>
      <c r="DK518" s="505"/>
      <c r="DL518" s="505"/>
      <c r="DM518" s="505"/>
      <c r="DN518" s="505"/>
      <c r="DO518" s="505"/>
      <c r="DP518" s="505"/>
    </row>
    <row r="519" spans="1:120" hidden="1" outlineLevel="1" x14ac:dyDescent="0.2">
      <c r="A519" s="517">
        <f t="shared" si="73"/>
        <v>40118</v>
      </c>
      <c r="B519" s="517" t="str">
        <f t="shared" si="70"/>
        <v>4Q09</v>
      </c>
      <c r="C519" s="517" t="str">
        <f t="shared" si="74"/>
        <v>1Q10</v>
      </c>
      <c r="D519" s="518">
        <f t="shared" si="75"/>
        <v>40186</v>
      </c>
      <c r="E519" s="518">
        <f t="shared" si="75"/>
        <v>40126</v>
      </c>
      <c r="F519" s="520">
        <v>2.8010000000000002</v>
      </c>
      <c r="G519" s="521">
        <f t="shared" si="71"/>
        <v>0.34000000000000014</v>
      </c>
      <c r="H519" s="521">
        <f t="shared" si="72"/>
        <v>0.33000000000000013</v>
      </c>
      <c r="I519" s="505"/>
      <c r="J519" s="505"/>
      <c r="K519" s="505"/>
      <c r="L519" s="505"/>
      <c r="M519" s="528"/>
      <c r="N519" s="505"/>
      <c r="O519" s="505"/>
      <c r="P519" s="505"/>
      <c r="Q519" s="505"/>
      <c r="R519" s="505"/>
      <c r="S519" s="505"/>
      <c r="T519" s="505"/>
      <c r="U519" s="505"/>
      <c r="V519" s="505"/>
      <c r="W519" s="505"/>
      <c r="X519" s="505"/>
      <c r="Y519" s="505"/>
      <c r="Z519" s="505"/>
      <c r="AA519" s="505"/>
      <c r="AB519" s="505"/>
      <c r="AC519" s="505"/>
      <c r="AD519" s="505"/>
      <c r="AE519" s="505"/>
      <c r="AF519" s="505"/>
      <c r="AG519" s="505"/>
      <c r="AH519" s="505"/>
      <c r="AI519" s="505"/>
      <c r="AJ519" s="505"/>
      <c r="AK519" s="505"/>
      <c r="AL519" s="505"/>
      <c r="AM519" s="505"/>
      <c r="AN519" s="505"/>
      <c r="AO519" s="505"/>
      <c r="AP519" s="505"/>
      <c r="AQ519" s="505"/>
      <c r="AR519" s="505"/>
      <c r="AS519" s="505"/>
      <c r="AT519" s="505"/>
      <c r="AU519" s="505"/>
      <c r="AV519" s="505"/>
      <c r="AW519" s="505"/>
      <c r="AX519" s="505"/>
      <c r="AY519" s="505"/>
      <c r="AZ519" s="505"/>
      <c r="BA519" s="505"/>
      <c r="BB519" s="505"/>
      <c r="BC519" s="505"/>
      <c r="BD519" s="505"/>
      <c r="BE519" s="505"/>
      <c r="BF519" s="505"/>
      <c r="BG519" s="505"/>
      <c r="BH519" s="505"/>
      <c r="BI519" s="505"/>
      <c r="BJ519" s="505"/>
      <c r="BK519" s="505"/>
      <c r="BL519" s="505"/>
      <c r="BM519" s="505"/>
      <c r="BN519" s="505"/>
      <c r="BO519" s="505"/>
      <c r="BP519" s="505"/>
      <c r="BQ519" s="505"/>
      <c r="BR519" s="505"/>
      <c r="BS519" s="505"/>
      <c r="BT519" s="505"/>
      <c r="BU519" s="505"/>
      <c r="BV519" s="505"/>
      <c r="BW519" s="505"/>
      <c r="BX519" s="505"/>
      <c r="BY519" s="505"/>
      <c r="BZ519" s="505"/>
      <c r="CA519" s="505"/>
      <c r="CB519" s="505"/>
      <c r="CC519" s="505"/>
      <c r="CD519" s="505"/>
      <c r="CE519" s="505"/>
      <c r="CF519" s="505"/>
      <c r="CG519" s="505"/>
      <c r="CH519" s="505"/>
      <c r="CI519" s="505"/>
      <c r="CJ519" s="505"/>
      <c r="CK519" s="505"/>
      <c r="CL519" s="505"/>
      <c r="CM519" s="505"/>
      <c r="CN519" s="505"/>
      <c r="CO519" s="505"/>
      <c r="CP519" s="505"/>
      <c r="CQ519" s="505"/>
      <c r="CR519" s="505"/>
      <c r="CS519" s="505"/>
      <c r="CT519" s="505"/>
      <c r="CU519" s="505"/>
      <c r="CV519" s="505"/>
      <c r="CW519" s="505"/>
      <c r="CX519" s="505"/>
      <c r="CY519" s="505"/>
      <c r="CZ519" s="505"/>
      <c r="DA519" s="505"/>
      <c r="DB519" s="505"/>
      <c r="DC519" s="505"/>
      <c r="DD519" s="505"/>
      <c r="DE519" s="505"/>
      <c r="DF519" s="505"/>
      <c r="DG519" s="505"/>
      <c r="DH519" s="505"/>
      <c r="DI519" s="505"/>
      <c r="DJ519" s="505"/>
      <c r="DK519" s="505"/>
      <c r="DL519" s="505"/>
      <c r="DM519" s="505"/>
      <c r="DN519" s="505"/>
      <c r="DO519" s="505"/>
      <c r="DP519" s="505"/>
    </row>
    <row r="520" spans="1:120" hidden="1" outlineLevel="1" x14ac:dyDescent="0.2">
      <c r="A520" s="517">
        <f t="shared" si="73"/>
        <v>40118</v>
      </c>
      <c r="B520" s="517" t="str">
        <f t="shared" si="70"/>
        <v>4Q09</v>
      </c>
      <c r="C520" s="517" t="str">
        <f t="shared" si="74"/>
        <v>1Q10</v>
      </c>
      <c r="D520" s="518">
        <f t="shared" si="75"/>
        <v>40193</v>
      </c>
      <c r="E520" s="518">
        <f t="shared" si="75"/>
        <v>40133</v>
      </c>
      <c r="F520" s="520">
        <v>2.79</v>
      </c>
      <c r="G520" s="521">
        <f t="shared" si="71"/>
        <v>0.33000000000000013</v>
      </c>
      <c r="H520" s="521">
        <f t="shared" si="72"/>
        <v>0.33000000000000013</v>
      </c>
      <c r="I520" s="505"/>
      <c r="J520" s="505"/>
      <c r="K520" s="505"/>
      <c r="L520" s="505"/>
      <c r="M520" s="528"/>
      <c r="N520" s="505"/>
      <c r="O520" s="505"/>
      <c r="P520" s="505"/>
      <c r="Q520" s="505"/>
      <c r="R520" s="505"/>
      <c r="S520" s="505"/>
      <c r="T520" s="505"/>
      <c r="U520" s="505"/>
      <c r="V520" s="505"/>
      <c r="W520" s="505"/>
      <c r="X520" s="505"/>
      <c r="Y520" s="505"/>
      <c r="Z520" s="505"/>
      <c r="AA520" s="505"/>
      <c r="AB520" s="505"/>
      <c r="AC520" s="505"/>
      <c r="AD520" s="505"/>
      <c r="AE520" s="505"/>
      <c r="AF520" s="505"/>
      <c r="AG520" s="505"/>
      <c r="AH520" s="505"/>
      <c r="AI520" s="505"/>
      <c r="AJ520" s="505"/>
      <c r="AK520" s="505"/>
      <c r="AL520" s="505"/>
      <c r="AM520" s="505"/>
      <c r="AN520" s="505"/>
      <c r="AO520" s="505"/>
      <c r="AP520" s="505"/>
      <c r="AQ520" s="505"/>
      <c r="AR520" s="505"/>
      <c r="AS520" s="505"/>
      <c r="AT520" s="505"/>
      <c r="AU520" s="505"/>
      <c r="AV520" s="505"/>
      <c r="AW520" s="505"/>
      <c r="AX520" s="505"/>
      <c r="AY520" s="505"/>
      <c r="AZ520" s="505"/>
      <c r="BA520" s="505"/>
      <c r="BB520" s="505"/>
      <c r="BC520" s="505"/>
      <c r="BD520" s="505"/>
      <c r="BE520" s="505"/>
      <c r="BF520" s="505"/>
      <c r="BG520" s="505"/>
      <c r="BH520" s="505"/>
      <c r="BI520" s="505"/>
      <c r="BJ520" s="505"/>
      <c r="BK520" s="505"/>
      <c r="BL520" s="505"/>
      <c r="BM520" s="505"/>
      <c r="BN520" s="505"/>
      <c r="BO520" s="505"/>
      <c r="BP520" s="505"/>
      <c r="BQ520" s="505"/>
      <c r="BR520" s="505"/>
      <c r="BS520" s="505"/>
      <c r="BT520" s="505"/>
      <c r="BU520" s="505"/>
      <c r="BV520" s="505"/>
      <c r="BW520" s="505"/>
      <c r="BX520" s="505"/>
      <c r="BY520" s="505"/>
      <c r="BZ520" s="505"/>
      <c r="CA520" s="505"/>
      <c r="CB520" s="505"/>
      <c r="CC520" s="505"/>
      <c r="CD520" s="505"/>
      <c r="CE520" s="505"/>
      <c r="CF520" s="505"/>
      <c r="CG520" s="505"/>
      <c r="CH520" s="505"/>
      <c r="CI520" s="505"/>
      <c r="CJ520" s="505"/>
      <c r="CK520" s="505"/>
      <c r="CL520" s="505"/>
      <c r="CM520" s="505"/>
      <c r="CN520" s="505"/>
      <c r="CO520" s="505"/>
      <c r="CP520" s="505"/>
      <c r="CQ520" s="505"/>
      <c r="CR520" s="505"/>
      <c r="CS520" s="505"/>
      <c r="CT520" s="505"/>
      <c r="CU520" s="505"/>
      <c r="CV520" s="505"/>
      <c r="CW520" s="505"/>
      <c r="CX520" s="505"/>
      <c r="CY520" s="505"/>
      <c r="CZ520" s="505"/>
      <c r="DA520" s="505"/>
      <c r="DB520" s="505"/>
      <c r="DC520" s="505"/>
      <c r="DD520" s="505"/>
      <c r="DE520" s="505"/>
      <c r="DF520" s="505"/>
      <c r="DG520" s="505"/>
      <c r="DH520" s="505"/>
      <c r="DI520" s="505"/>
      <c r="DJ520" s="505"/>
      <c r="DK520" s="505"/>
      <c r="DL520" s="505"/>
      <c r="DM520" s="505"/>
      <c r="DN520" s="505"/>
      <c r="DO520" s="505"/>
      <c r="DP520" s="505"/>
    </row>
    <row r="521" spans="1:120" hidden="1" outlineLevel="1" x14ac:dyDescent="0.2">
      <c r="A521" s="517">
        <f t="shared" si="73"/>
        <v>40118</v>
      </c>
      <c r="B521" s="517" t="str">
        <f t="shared" si="70"/>
        <v>4Q09</v>
      </c>
      <c r="C521" s="517" t="str">
        <f t="shared" si="74"/>
        <v>1Q10</v>
      </c>
      <c r="D521" s="518">
        <f t="shared" si="75"/>
        <v>40200</v>
      </c>
      <c r="E521" s="518">
        <f t="shared" si="75"/>
        <v>40140</v>
      </c>
      <c r="F521" s="520">
        <v>2.7869999999999999</v>
      </c>
      <c r="G521" s="521">
        <f t="shared" si="71"/>
        <v>0.33000000000000013</v>
      </c>
      <c r="H521" s="521">
        <f t="shared" si="72"/>
        <v>0.33000000000000013</v>
      </c>
      <c r="I521" s="505"/>
      <c r="J521" s="505"/>
      <c r="K521" s="505"/>
      <c r="L521" s="505"/>
      <c r="M521" s="528"/>
      <c r="N521" s="505"/>
      <c r="O521" s="505"/>
      <c r="P521" s="505"/>
      <c r="Q521" s="505"/>
      <c r="R521" s="505"/>
      <c r="S521" s="505"/>
      <c r="T521" s="505"/>
      <c r="U521" s="505"/>
      <c r="V521" s="505"/>
      <c r="W521" s="505"/>
      <c r="X521" s="505"/>
      <c r="Y521" s="505"/>
      <c r="Z521" s="505"/>
      <c r="AA521" s="505"/>
      <c r="AB521" s="505"/>
      <c r="AC521" s="505"/>
      <c r="AD521" s="505"/>
      <c r="AE521" s="505"/>
      <c r="AF521" s="505"/>
      <c r="AG521" s="505"/>
      <c r="AH521" s="505"/>
      <c r="AI521" s="505"/>
      <c r="AJ521" s="505"/>
      <c r="AK521" s="505"/>
      <c r="AL521" s="505"/>
      <c r="AM521" s="505"/>
      <c r="AN521" s="505"/>
      <c r="AO521" s="505"/>
      <c r="AP521" s="505"/>
      <c r="AQ521" s="505"/>
      <c r="AR521" s="505"/>
      <c r="AS521" s="505"/>
      <c r="AT521" s="505"/>
      <c r="AU521" s="505"/>
      <c r="AV521" s="505"/>
      <c r="AW521" s="505"/>
      <c r="AX521" s="505"/>
      <c r="AY521" s="505"/>
      <c r="AZ521" s="505"/>
      <c r="BA521" s="505"/>
      <c r="BB521" s="505"/>
      <c r="BC521" s="505"/>
      <c r="BD521" s="505"/>
      <c r="BE521" s="505"/>
      <c r="BF521" s="505"/>
      <c r="BG521" s="505"/>
      <c r="BH521" s="505"/>
      <c r="BI521" s="505"/>
      <c r="BJ521" s="505"/>
      <c r="BK521" s="505"/>
      <c r="BL521" s="505"/>
      <c r="BM521" s="505"/>
      <c r="BN521" s="505"/>
      <c r="BO521" s="505"/>
      <c r="BP521" s="505"/>
      <c r="BQ521" s="505"/>
      <c r="BR521" s="505"/>
      <c r="BS521" s="505"/>
      <c r="BT521" s="505"/>
      <c r="BU521" s="505"/>
      <c r="BV521" s="505"/>
      <c r="BW521" s="505"/>
      <c r="BX521" s="505"/>
      <c r="BY521" s="505"/>
      <c r="BZ521" s="505"/>
      <c r="CA521" s="505"/>
      <c r="CB521" s="505"/>
      <c r="CC521" s="505"/>
      <c r="CD521" s="505"/>
      <c r="CE521" s="505"/>
      <c r="CF521" s="505"/>
      <c r="CG521" s="505"/>
      <c r="CH521" s="505"/>
      <c r="CI521" s="505"/>
      <c r="CJ521" s="505"/>
      <c r="CK521" s="505"/>
      <c r="CL521" s="505"/>
      <c r="CM521" s="505"/>
      <c r="CN521" s="505"/>
      <c r="CO521" s="505"/>
      <c r="CP521" s="505"/>
      <c r="CQ521" s="505"/>
      <c r="CR521" s="505"/>
      <c r="CS521" s="505"/>
      <c r="CT521" s="505"/>
      <c r="CU521" s="505"/>
      <c r="CV521" s="505"/>
      <c r="CW521" s="505"/>
      <c r="CX521" s="505"/>
      <c r="CY521" s="505"/>
      <c r="CZ521" s="505"/>
      <c r="DA521" s="505"/>
      <c r="DB521" s="505"/>
      <c r="DC521" s="505"/>
      <c r="DD521" s="505"/>
      <c r="DE521" s="505"/>
      <c r="DF521" s="505"/>
      <c r="DG521" s="505"/>
      <c r="DH521" s="505"/>
      <c r="DI521" s="505"/>
      <c r="DJ521" s="505"/>
      <c r="DK521" s="505"/>
      <c r="DL521" s="505"/>
      <c r="DM521" s="505"/>
      <c r="DN521" s="505"/>
      <c r="DO521" s="505"/>
      <c r="DP521" s="505"/>
    </row>
    <row r="522" spans="1:120" hidden="1" outlineLevel="1" x14ac:dyDescent="0.2">
      <c r="A522" s="517">
        <f t="shared" si="73"/>
        <v>40118</v>
      </c>
      <c r="B522" s="517" t="str">
        <f t="shared" si="70"/>
        <v>4Q09</v>
      </c>
      <c r="C522" s="517" t="str">
        <f t="shared" si="74"/>
        <v>1Q10</v>
      </c>
      <c r="D522" s="518">
        <f t="shared" si="75"/>
        <v>40207</v>
      </c>
      <c r="E522" s="518">
        <f t="shared" si="75"/>
        <v>40147</v>
      </c>
      <c r="F522" s="520">
        <v>2.7749999999999999</v>
      </c>
      <c r="G522" s="521">
        <f t="shared" si="71"/>
        <v>0.33000000000000013</v>
      </c>
      <c r="H522" s="521">
        <f t="shared" si="72"/>
        <v>0.33000000000000013</v>
      </c>
      <c r="I522" s="505"/>
      <c r="J522" s="505"/>
      <c r="K522" s="505"/>
      <c r="L522" s="505"/>
      <c r="M522" s="528"/>
      <c r="N522" s="505"/>
      <c r="O522" s="505"/>
      <c r="P522" s="505"/>
      <c r="Q522" s="505"/>
      <c r="R522" s="505"/>
      <c r="S522" s="505"/>
      <c r="T522" s="505"/>
      <c r="U522" s="505"/>
      <c r="V522" s="505"/>
      <c r="W522" s="505"/>
      <c r="X522" s="505"/>
      <c r="Y522" s="505"/>
      <c r="Z522" s="505"/>
      <c r="AA522" s="505"/>
      <c r="AB522" s="505"/>
      <c r="AC522" s="505"/>
      <c r="AD522" s="505"/>
      <c r="AE522" s="505"/>
      <c r="AF522" s="505"/>
      <c r="AG522" s="505"/>
      <c r="AH522" s="505"/>
      <c r="AI522" s="505"/>
      <c r="AJ522" s="505"/>
      <c r="AK522" s="505"/>
      <c r="AL522" s="505"/>
      <c r="AM522" s="505"/>
      <c r="AN522" s="505"/>
      <c r="AO522" s="505"/>
      <c r="AP522" s="505"/>
      <c r="AQ522" s="505"/>
      <c r="AR522" s="505"/>
      <c r="AS522" s="505"/>
      <c r="AT522" s="505"/>
      <c r="AU522" s="505"/>
      <c r="AV522" s="505"/>
      <c r="AW522" s="505"/>
      <c r="AX522" s="505"/>
      <c r="AY522" s="505"/>
      <c r="AZ522" s="505"/>
      <c r="BA522" s="505"/>
      <c r="BB522" s="505"/>
      <c r="BC522" s="505"/>
      <c r="BD522" s="505"/>
      <c r="BE522" s="505"/>
      <c r="BF522" s="505"/>
      <c r="BG522" s="505"/>
      <c r="BH522" s="505"/>
      <c r="BI522" s="505"/>
      <c r="BJ522" s="505"/>
      <c r="BK522" s="505"/>
      <c r="BL522" s="505"/>
      <c r="BM522" s="505"/>
      <c r="BN522" s="505"/>
      <c r="BO522" s="505"/>
      <c r="BP522" s="505"/>
      <c r="BQ522" s="505"/>
      <c r="BR522" s="505"/>
      <c r="BS522" s="505"/>
      <c r="BT522" s="505"/>
      <c r="BU522" s="505"/>
      <c r="BV522" s="505"/>
      <c r="BW522" s="505"/>
      <c r="BX522" s="505"/>
      <c r="BY522" s="505"/>
      <c r="BZ522" s="505"/>
      <c r="CA522" s="505"/>
      <c r="CB522" s="505"/>
      <c r="CC522" s="505"/>
      <c r="CD522" s="505"/>
      <c r="CE522" s="505"/>
      <c r="CF522" s="505"/>
      <c r="CG522" s="505"/>
      <c r="CH522" s="505"/>
      <c r="CI522" s="505"/>
      <c r="CJ522" s="505"/>
      <c r="CK522" s="505"/>
      <c r="CL522" s="505"/>
      <c r="CM522" s="505"/>
      <c r="CN522" s="505"/>
      <c r="CO522" s="505"/>
      <c r="CP522" s="505"/>
      <c r="CQ522" s="505"/>
      <c r="CR522" s="505"/>
      <c r="CS522" s="505"/>
      <c r="CT522" s="505"/>
      <c r="CU522" s="505"/>
      <c r="CV522" s="505"/>
      <c r="CW522" s="505"/>
      <c r="CX522" s="505"/>
      <c r="CY522" s="505"/>
      <c r="CZ522" s="505"/>
      <c r="DA522" s="505"/>
      <c r="DB522" s="505"/>
      <c r="DC522" s="505"/>
      <c r="DD522" s="505"/>
      <c r="DE522" s="505"/>
      <c r="DF522" s="505"/>
      <c r="DG522" s="505"/>
      <c r="DH522" s="505"/>
      <c r="DI522" s="505"/>
      <c r="DJ522" s="505"/>
      <c r="DK522" s="505"/>
      <c r="DL522" s="505"/>
      <c r="DM522" s="505"/>
      <c r="DN522" s="505"/>
      <c r="DO522" s="505"/>
      <c r="DP522" s="505"/>
    </row>
    <row r="523" spans="1:120" hidden="1" outlineLevel="1" x14ac:dyDescent="0.2">
      <c r="A523" s="517">
        <f t="shared" si="73"/>
        <v>40148</v>
      </c>
      <c r="B523" s="517" t="str">
        <f t="shared" si="70"/>
        <v>4Q09</v>
      </c>
      <c r="C523" s="517" t="str">
        <f t="shared" si="74"/>
        <v>1Q10</v>
      </c>
      <c r="D523" s="518">
        <f t="shared" si="75"/>
        <v>40214</v>
      </c>
      <c r="E523" s="518">
        <f t="shared" si="75"/>
        <v>40154</v>
      </c>
      <c r="F523" s="520">
        <v>2.7719999999999998</v>
      </c>
      <c r="G523" s="521">
        <f t="shared" si="71"/>
        <v>0.33000000000000013</v>
      </c>
      <c r="H523" s="521">
        <f t="shared" si="72"/>
        <v>0.32000000000000012</v>
      </c>
      <c r="I523" s="505"/>
      <c r="J523" s="505"/>
      <c r="K523" s="505"/>
      <c r="L523" s="505"/>
      <c r="M523" s="528"/>
      <c r="N523" s="505"/>
      <c r="O523" s="505"/>
      <c r="P523" s="505"/>
      <c r="Q523" s="505"/>
      <c r="R523" s="505"/>
      <c r="S523" s="505"/>
      <c r="T523" s="505"/>
      <c r="U523" s="505"/>
      <c r="V523" s="505"/>
      <c r="W523" s="505"/>
      <c r="X523" s="505"/>
      <c r="Y523" s="505"/>
      <c r="Z523" s="505"/>
      <c r="AA523" s="505"/>
      <c r="AB523" s="505"/>
      <c r="AC523" s="505"/>
      <c r="AD523" s="505"/>
      <c r="AE523" s="505"/>
      <c r="AF523" s="505"/>
      <c r="AG523" s="505"/>
      <c r="AH523" s="505"/>
      <c r="AI523" s="505"/>
      <c r="AJ523" s="505"/>
      <c r="AK523" s="505"/>
      <c r="AL523" s="505"/>
      <c r="AM523" s="505"/>
      <c r="AN523" s="505"/>
      <c r="AO523" s="505"/>
      <c r="AP523" s="505"/>
      <c r="AQ523" s="505"/>
      <c r="AR523" s="505"/>
      <c r="AS523" s="505"/>
      <c r="AT523" s="505"/>
      <c r="AU523" s="505"/>
      <c r="AV523" s="505"/>
      <c r="AW523" s="505"/>
      <c r="AX523" s="505"/>
      <c r="AY523" s="505"/>
      <c r="AZ523" s="505"/>
      <c r="BA523" s="505"/>
      <c r="BB523" s="505"/>
      <c r="BC523" s="505"/>
      <c r="BD523" s="505"/>
      <c r="BE523" s="505"/>
      <c r="BF523" s="505"/>
      <c r="BG523" s="505"/>
      <c r="BH523" s="505"/>
      <c r="BI523" s="505"/>
      <c r="BJ523" s="505"/>
      <c r="BK523" s="505"/>
      <c r="BL523" s="505"/>
      <c r="BM523" s="505"/>
      <c r="BN523" s="505"/>
      <c r="BO523" s="505"/>
      <c r="BP523" s="505"/>
      <c r="BQ523" s="505"/>
      <c r="BR523" s="505"/>
      <c r="BS523" s="505"/>
      <c r="BT523" s="505"/>
      <c r="BU523" s="505"/>
      <c r="BV523" s="505"/>
      <c r="BW523" s="505"/>
      <c r="BX523" s="505"/>
      <c r="BY523" s="505"/>
      <c r="BZ523" s="505"/>
      <c r="CA523" s="505"/>
      <c r="CB523" s="505"/>
      <c r="CC523" s="505"/>
      <c r="CD523" s="505"/>
      <c r="CE523" s="505"/>
      <c r="CF523" s="505"/>
      <c r="CG523" s="505"/>
      <c r="CH523" s="505"/>
      <c r="CI523" s="505"/>
      <c r="CJ523" s="505"/>
      <c r="CK523" s="505"/>
      <c r="CL523" s="505"/>
      <c r="CM523" s="505"/>
      <c r="CN523" s="505"/>
      <c r="CO523" s="505"/>
      <c r="CP523" s="505"/>
      <c r="CQ523" s="505"/>
      <c r="CR523" s="505"/>
      <c r="CS523" s="505"/>
      <c r="CT523" s="505"/>
      <c r="CU523" s="505"/>
      <c r="CV523" s="505"/>
      <c r="CW523" s="505"/>
      <c r="CX523" s="505"/>
      <c r="CY523" s="505"/>
      <c r="CZ523" s="505"/>
      <c r="DA523" s="505"/>
      <c r="DB523" s="505"/>
      <c r="DC523" s="505"/>
      <c r="DD523" s="505"/>
      <c r="DE523" s="505"/>
      <c r="DF523" s="505"/>
      <c r="DG523" s="505"/>
      <c r="DH523" s="505"/>
      <c r="DI523" s="505"/>
      <c r="DJ523" s="505"/>
      <c r="DK523" s="505"/>
      <c r="DL523" s="505"/>
      <c r="DM523" s="505"/>
      <c r="DN523" s="505"/>
      <c r="DO523" s="505"/>
      <c r="DP523" s="505"/>
    </row>
    <row r="524" spans="1:120" hidden="1" outlineLevel="1" x14ac:dyDescent="0.2">
      <c r="A524" s="517">
        <f t="shared" si="73"/>
        <v>40148</v>
      </c>
      <c r="B524" s="517" t="str">
        <f t="shared" si="70"/>
        <v>4Q09</v>
      </c>
      <c r="C524" s="517" t="str">
        <f t="shared" si="74"/>
        <v>1Q10</v>
      </c>
      <c r="D524" s="518">
        <f t="shared" si="75"/>
        <v>40221</v>
      </c>
      <c r="E524" s="518">
        <f t="shared" si="75"/>
        <v>40161</v>
      </c>
      <c r="F524" s="520">
        <v>2.7480000000000002</v>
      </c>
      <c r="G524" s="521">
        <f t="shared" si="71"/>
        <v>0.32000000000000012</v>
      </c>
      <c r="H524" s="521">
        <f t="shared" si="72"/>
        <v>0.32000000000000012</v>
      </c>
      <c r="I524" s="505"/>
      <c r="J524" s="505"/>
      <c r="K524" s="505"/>
      <c r="L524" s="505"/>
      <c r="M524" s="528"/>
      <c r="N524" s="505"/>
      <c r="O524" s="505"/>
      <c r="P524" s="505"/>
      <c r="Q524" s="505"/>
      <c r="R524" s="505"/>
      <c r="S524" s="505"/>
      <c r="T524" s="505"/>
      <c r="U524" s="505"/>
      <c r="V524" s="505"/>
      <c r="W524" s="505"/>
      <c r="X524" s="505"/>
      <c r="Y524" s="505"/>
      <c r="Z524" s="505"/>
      <c r="AA524" s="505"/>
      <c r="AB524" s="505"/>
      <c r="AC524" s="505"/>
      <c r="AD524" s="505"/>
      <c r="AE524" s="505"/>
      <c r="AF524" s="505"/>
      <c r="AG524" s="505"/>
      <c r="AH524" s="505"/>
      <c r="AI524" s="505"/>
      <c r="AJ524" s="505"/>
      <c r="AK524" s="505"/>
      <c r="AL524" s="505"/>
      <c r="AM524" s="505"/>
      <c r="AN524" s="505"/>
      <c r="AO524" s="505"/>
      <c r="AP524" s="505"/>
      <c r="AQ524" s="505"/>
      <c r="AR524" s="505"/>
      <c r="AS524" s="505"/>
      <c r="AT524" s="505"/>
      <c r="AU524" s="505"/>
      <c r="AV524" s="505"/>
      <c r="AW524" s="505"/>
      <c r="AX524" s="505"/>
      <c r="AY524" s="505"/>
      <c r="AZ524" s="505"/>
      <c r="BA524" s="505"/>
      <c r="BB524" s="505"/>
      <c r="BC524" s="505"/>
      <c r="BD524" s="505"/>
      <c r="BE524" s="505"/>
      <c r="BF524" s="505"/>
      <c r="BG524" s="505"/>
      <c r="BH524" s="505"/>
      <c r="BI524" s="505"/>
      <c r="BJ524" s="505"/>
      <c r="BK524" s="505"/>
      <c r="BL524" s="505"/>
      <c r="BM524" s="505"/>
      <c r="BN524" s="505"/>
      <c r="BO524" s="505"/>
      <c r="BP524" s="505"/>
      <c r="BQ524" s="505"/>
      <c r="BR524" s="505"/>
      <c r="BS524" s="505"/>
      <c r="BT524" s="505"/>
      <c r="BU524" s="505"/>
      <c r="BV524" s="505"/>
      <c r="BW524" s="505"/>
      <c r="BX524" s="505"/>
      <c r="BY524" s="505"/>
      <c r="BZ524" s="505"/>
      <c r="CA524" s="505"/>
      <c r="CB524" s="505"/>
      <c r="CC524" s="505"/>
      <c r="CD524" s="505"/>
      <c r="CE524" s="505"/>
      <c r="CF524" s="505"/>
      <c r="CG524" s="505"/>
      <c r="CH524" s="505"/>
      <c r="CI524" s="505"/>
      <c r="CJ524" s="505"/>
      <c r="CK524" s="505"/>
      <c r="CL524" s="505"/>
      <c r="CM524" s="505"/>
      <c r="CN524" s="505"/>
      <c r="CO524" s="505"/>
      <c r="CP524" s="505"/>
      <c r="CQ524" s="505"/>
      <c r="CR524" s="505"/>
      <c r="CS524" s="505"/>
      <c r="CT524" s="505"/>
      <c r="CU524" s="505"/>
      <c r="CV524" s="505"/>
      <c r="CW524" s="505"/>
      <c r="CX524" s="505"/>
      <c r="CY524" s="505"/>
      <c r="CZ524" s="505"/>
      <c r="DA524" s="505"/>
      <c r="DB524" s="505"/>
      <c r="DC524" s="505"/>
      <c r="DD524" s="505"/>
      <c r="DE524" s="505"/>
      <c r="DF524" s="505"/>
      <c r="DG524" s="505"/>
      <c r="DH524" s="505"/>
      <c r="DI524" s="505"/>
      <c r="DJ524" s="505"/>
      <c r="DK524" s="505"/>
      <c r="DL524" s="505"/>
      <c r="DM524" s="505"/>
      <c r="DN524" s="505"/>
      <c r="DO524" s="505"/>
      <c r="DP524" s="505"/>
    </row>
    <row r="525" spans="1:120" hidden="1" outlineLevel="1" x14ac:dyDescent="0.2">
      <c r="A525" s="517">
        <f t="shared" si="73"/>
        <v>40148</v>
      </c>
      <c r="B525" s="517" t="str">
        <f t="shared" si="70"/>
        <v>4Q09</v>
      </c>
      <c r="C525" s="517" t="str">
        <f t="shared" si="74"/>
        <v>1Q10</v>
      </c>
      <c r="D525" s="518">
        <f t="shared" si="75"/>
        <v>40228</v>
      </c>
      <c r="E525" s="518">
        <f t="shared" si="75"/>
        <v>40168</v>
      </c>
      <c r="F525" s="520">
        <v>2.726</v>
      </c>
      <c r="G525" s="521">
        <f t="shared" si="71"/>
        <v>0.32000000000000012</v>
      </c>
      <c r="H525" s="521">
        <f t="shared" si="72"/>
        <v>0.32000000000000012</v>
      </c>
      <c r="I525" s="505"/>
      <c r="J525" s="505"/>
      <c r="K525" s="505"/>
      <c r="L525" s="505"/>
      <c r="M525" s="528"/>
      <c r="N525" s="505"/>
      <c r="O525" s="505"/>
      <c r="P525" s="505"/>
      <c r="Q525" s="505"/>
      <c r="R525" s="505"/>
      <c r="S525" s="505"/>
      <c r="T525" s="505"/>
      <c r="U525" s="505"/>
      <c r="V525" s="505"/>
      <c r="W525" s="505"/>
      <c r="X525" s="505"/>
      <c r="Y525" s="505"/>
      <c r="Z525" s="505"/>
      <c r="AA525" s="505"/>
      <c r="AB525" s="505"/>
      <c r="AC525" s="505"/>
      <c r="AD525" s="505"/>
      <c r="AE525" s="505"/>
      <c r="AF525" s="505"/>
      <c r="AG525" s="505"/>
      <c r="AH525" s="505"/>
      <c r="AI525" s="505"/>
      <c r="AJ525" s="505"/>
      <c r="AK525" s="505"/>
      <c r="AL525" s="505"/>
      <c r="AM525" s="505"/>
      <c r="AN525" s="505"/>
      <c r="AO525" s="505"/>
      <c r="AP525" s="505"/>
      <c r="AQ525" s="505"/>
      <c r="AR525" s="505"/>
      <c r="AS525" s="505"/>
      <c r="AT525" s="505"/>
      <c r="AU525" s="505"/>
      <c r="AV525" s="505"/>
      <c r="AW525" s="505"/>
      <c r="AX525" s="505"/>
      <c r="AY525" s="505"/>
      <c r="AZ525" s="505"/>
      <c r="BA525" s="505"/>
      <c r="BB525" s="505"/>
      <c r="BC525" s="505"/>
      <c r="BD525" s="505"/>
      <c r="BE525" s="505"/>
      <c r="BF525" s="505"/>
      <c r="BG525" s="505"/>
      <c r="BH525" s="505"/>
      <c r="BI525" s="505"/>
      <c r="BJ525" s="505"/>
      <c r="BK525" s="505"/>
      <c r="BL525" s="505"/>
      <c r="BM525" s="505"/>
      <c r="BN525" s="505"/>
      <c r="BO525" s="505"/>
      <c r="BP525" s="505"/>
      <c r="BQ525" s="505"/>
      <c r="BR525" s="505"/>
      <c r="BS525" s="505"/>
      <c r="BT525" s="505"/>
      <c r="BU525" s="505"/>
      <c r="BV525" s="505"/>
      <c r="BW525" s="505"/>
      <c r="BX525" s="505"/>
      <c r="BY525" s="505"/>
      <c r="BZ525" s="505"/>
      <c r="CA525" s="505"/>
      <c r="CB525" s="505"/>
      <c r="CC525" s="505"/>
      <c r="CD525" s="505"/>
      <c r="CE525" s="505"/>
      <c r="CF525" s="505"/>
      <c r="CG525" s="505"/>
      <c r="CH525" s="505"/>
      <c r="CI525" s="505"/>
      <c r="CJ525" s="505"/>
      <c r="CK525" s="505"/>
      <c r="CL525" s="505"/>
      <c r="CM525" s="505"/>
      <c r="CN525" s="505"/>
      <c r="CO525" s="505"/>
      <c r="CP525" s="505"/>
      <c r="CQ525" s="505"/>
      <c r="CR525" s="505"/>
      <c r="CS525" s="505"/>
      <c r="CT525" s="505"/>
      <c r="CU525" s="505"/>
      <c r="CV525" s="505"/>
      <c r="CW525" s="505"/>
      <c r="CX525" s="505"/>
      <c r="CY525" s="505"/>
      <c r="CZ525" s="505"/>
      <c r="DA525" s="505"/>
      <c r="DB525" s="505"/>
      <c r="DC525" s="505"/>
      <c r="DD525" s="505"/>
      <c r="DE525" s="505"/>
      <c r="DF525" s="505"/>
      <c r="DG525" s="505"/>
      <c r="DH525" s="505"/>
      <c r="DI525" s="505"/>
      <c r="DJ525" s="505"/>
      <c r="DK525" s="505"/>
      <c r="DL525" s="505"/>
      <c r="DM525" s="505"/>
      <c r="DN525" s="505"/>
      <c r="DO525" s="505"/>
      <c r="DP525" s="505"/>
    </row>
    <row r="526" spans="1:120" hidden="1" outlineLevel="1" x14ac:dyDescent="0.2">
      <c r="A526" s="517">
        <f t="shared" si="73"/>
        <v>40148</v>
      </c>
      <c r="B526" s="517" t="str">
        <f t="shared" si="70"/>
        <v>4Q09</v>
      </c>
      <c r="C526" s="517" t="str">
        <f t="shared" si="74"/>
        <v>1Q10</v>
      </c>
      <c r="D526" s="518">
        <f t="shared" si="75"/>
        <v>40235</v>
      </c>
      <c r="E526" s="518">
        <f t="shared" si="75"/>
        <v>40175</v>
      </c>
      <c r="F526" s="520">
        <v>2.7320000000000002</v>
      </c>
      <c r="G526" s="521">
        <f t="shared" si="71"/>
        <v>0.32000000000000012</v>
      </c>
      <c r="H526" s="521">
        <f t="shared" si="72"/>
        <v>0.33000000000000013</v>
      </c>
      <c r="I526" s="505"/>
      <c r="J526" s="505"/>
      <c r="K526" s="505"/>
      <c r="L526" s="505"/>
      <c r="M526" s="528"/>
      <c r="N526" s="505"/>
      <c r="O526" s="505"/>
      <c r="P526" s="505"/>
      <c r="Q526" s="505"/>
      <c r="R526" s="505"/>
      <c r="S526" s="505"/>
      <c r="T526" s="505"/>
      <c r="U526" s="505"/>
      <c r="V526" s="505"/>
      <c r="W526" s="505"/>
      <c r="X526" s="505"/>
      <c r="Y526" s="505"/>
      <c r="Z526" s="505"/>
      <c r="AA526" s="505"/>
      <c r="AB526" s="505"/>
      <c r="AC526" s="505"/>
      <c r="AD526" s="505"/>
      <c r="AE526" s="505"/>
      <c r="AF526" s="505"/>
      <c r="AG526" s="505"/>
      <c r="AH526" s="505"/>
      <c r="AI526" s="505"/>
      <c r="AJ526" s="505"/>
      <c r="AK526" s="505"/>
      <c r="AL526" s="505"/>
      <c r="AM526" s="505"/>
      <c r="AN526" s="505"/>
      <c r="AO526" s="505"/>
      <c r="AP526" s="505"/>
      <c r="AQ526" s="505"/>
      <c r="AR526" s="505"/>
      <c r="AS526" s="505"/>
      <c r="AT526" s="505"/>
      <c r="AU526" s="505"/>
      <c r="AV526" s="505"/>
      <c r="AW526" s="505"/>
      <c r="AX526" s="505"/>
      <c r="AY526" s="505"/>
      <c r="AZ526" s="505"/>
      <c r="BA526" s="505"/>
      <c r="BB526" s="505"/>
      <c r="BC526" s="505"/>
      <c r="BD526" s="505"/>
      <c r="BE526" s="505"/>
      <c r="BF526" s="505"/>
      <c r="BG526" s="505"/>
      <c r="BH526" s="505"/>
      <c r="BI526" s="505"/>
      <c r="BJ526" s="505"/>
      <c r="BK526" s="505"/>
      <c r="BL526" s="505"/>
      <c r="BM526" s="505"/>
      <c r="BN526" s="505"/>
      <c r="BO526" s="505"/>
      <c r="BP526" s="505"/>
      <c r="BQ526" s="505"/>
      <c r="BR526" s="505"/>
      <c r="BS526" s="505"/>
      <c r="BT526" s="505"/>
      <c r="BU526" s="505"/>
      <c r="BV526" s="505"/>
      <c r="BW526" s="505"/>
      <c r="BX526" s="505"/>
      <c r="BY526" s="505"/>
      <c r="BZ526" s="505"/>
      <c r="CA526" s="505"/>
      <c r="CB526" s="505"/>
      <c r="CC526" s="505"/>
      <c r="CD526" s="505"/>
      <c r="CE526" s="505"/>
      <c r="CF526" s="505"/>
      <c r="CG526" s="505"/>
      <c r="CH526" s="505"/>
      <c r="CI526" s="505"/>
      <c r="CJ526" s="505"/>
      <c r="CK526" s="505"/>
      <c r="CL526" s="505"/>
      <c r="CM526" s="505"/>
      <c r="CN526" s="505"/>
      <c r="CO526" s="505"/>
      <c r="CP526" s="505"/>
      <c r="CQ526" s="505"/>
      <c r="CR526" s="505"/>
      <c r="CS526" s="505"/>
      <c r="CT526" s="505"/>
      <c r="CU526" s="505"/>
      <c r="CV526" s="505"/>
      <c r="CW526" s="505"/>
      <c r="CX526" s="505"/>
      <c r="CY526" s="505"/>
      <c r="CZ526" s="505"/>
      <c r="DA526" s="505"/>
      <c r="DB526" s="505"/>
      <c r="DC526" s="505"/>
      <c r="DD526" s="505"/>
      <c r="DE526" s="505"/>
      <c r="DF526" s="505"/>
      <c r="DG526" s="505"/>
      <c r="DH526" s="505"/>
      <c r="DI526" s="505"/>
      <c r="DJ526" s="505"/>
      <c r="DK526" s="505"/>
      <c r="DL526" s="505"/>
      <c r="DM526" s="505"/>
      <c r="DN526" s="505"/>
      <c r="DO526" s="505"/>
      <c r="DP526" s="505"/>
    </row>
    <row r="527" spans="1:120" hidden="1" outlineLevel="1" x14ac:dyDescent="0.2">
      <c r="A527" s="517">
        <f t="shared" si="73"/>
        <v>40179</v>
      </c>
      <c r="B527" s="517" t="str">
        <f t="shared" si="70"/>
        <v>1Q10</v>
      </c>
      <c r="C527" s="517" t="str">
        <f t="shared" si="74"/>
        <v>1Q10</v>
      </c>
      <c r="D527" s="518">
        <f t="shared" si="75"/>
        <v>40242</v>
      </c>
      <c r="E527" s="518">
        <f t="shared" si="75"/>
        <v>40182</v>
      </c>
      <c r="F527" s="520">
        <v>2.7970000000000002</v>
      </c>
      <c r="G527" s="521">
        <f t="shared" si="71"/>
        <v>0.33000000000000013</v>
      </c>
      <c r="H527" s="521">
        <f t="shared" si="72"/>
        <v>0.35000000000000014</v>
      </c>
      <c r="I527" s="505"/>
      <c r="J527" s="505"/>
      <c r="K527" s="505"/>
      <c r="L527" s="505"/>
      <c r="M527" s="528"/>
      <c r="N527" s="505"/>
      <c r="O527" s="505"/>
      <c r="P527" s="505"/>
      <c r="Q527" s="505"/>
      <c r="R527" s="505"/>
      <c r="S527" s="505"/>
      <c r="T527" s="505"/>
      <c r="U527" s="505"/>
      <c r="V527" s="505"/>
      <c r="W527" s="505"/>
      <c r="X527" s="505"/>
      <c r="Y527" s="505"/>
      <c r="Z527" s="505"/>
      <c r="AA527" s="505"/>
      <c r="AB527" s="505"/>
      <c r="AC527" s="505"/>
      <c r="AD527" s="505"/>
      <c r="AE527" s="505"/>
      <c r="AF527" s="505"/>
      <c r="AG527" s="505"/>
      <c r="AH527" s="505"/>
      <c r="AI527" s="505"/>
      <c r="AJ527" s="505"/>
      <c r="AK527" s="505"/>
      <c r="AL527" s="505"/>
      <c r="AM527" s="505"/>
      <c r="AN527" s="505"/>
      <c r="AO527" s="505"/>
      <c r="AP527" s="505"/>
      <c r="AQ527" s="505"/>
      <c r="AR527" s="505"/>
      <c r="AS527" s="505"/>
      <c r="AT527" s="505"/>
      <c r="AU527" s="505"/>
      <c r="AV527" s="505"/>
      <c r="AW527" s="505"/>
      <c r="AX527" s="505"/>
      <c r="AY527" s="505"/>
      <c r="AZ527" s="505"/>
      <c r="BA527" s="505"/>
      <c r="BB527" s="505"/>
      <c r="BC527" s="505"/>
      <c r="BD527" s="505"/>
      <c r="BE527" s="505"/>
      <c r="BF527" s="505"/>
      <c r="BG527" s="505"/>
      <c r="BH527" s="505"/>
      <c r="BI527" s="505"/>
      <c r="BJ527" s="505"/>
      <c r="BK527" s="505"/>
      <c r="BL527" s="505"/>
      <c r="BM527" s="505"/>
      <c r="BN527" s="505"/>
      <c r="BO527" s="505"/>
      <c r="BP527" s="505"/>
      <c r="BQ527" s="505"/>
      <c r="BR527" s="505"/>
      <c r="BS527" s="505"/>
      <c r="BT527" s="505"/>
      <c r="BU527" s="505"/>
      <c r="BV527" s="505"/>
      <c r="BW527" s="505"/>
      <c r="BX527" s="505"/>
      <c r="BY527" s="505"/>
      <c r="BZ527" s="505"/>
      <c r="CA527" s="505"/>
      <c r="CB527" s="505"/>
      <c r="CC527" s="505"/>
      <c r="CD527" s="505"/>
      <c r="CE527" s="505"/>
      <c r="CF527" s="505"/>
      <c r="CG527" s="505"/>
      <c r="CH527" s="505"/>
      <c r="CI527" s="505"/>
      <c r="CJ527" s="505"/>
      <c r="CK527" s="505"/>
      <c r="CL527" s="505"/>
      <c r="CM527" s="505"/>
      <c r="CN527" s="505"/>
      <c r="CO527" s="505"/>
      <c r="CP527" s="505"/>
      <c r="CQ527" s="505"/>
      <c r="CR527" s="505"/>
      <c r="CS527" s="505"/>
      <c r="CT527" s="505"/>
      <c r="CU527" s="505"/>
      <c r="CV527" s="505"/>
      <c r="CW527" s="505"/>
      <c r="CX527" s="505"/>
      <c r="CY527" s="505"/>
      <c r="CZ527" s="505"/>
      <c r="DA527" s="505"/>
      <c r="DB527" s="505"/>
      <c r="DC527" s="505"/>
      <c r="DD527" s="505"/>
      <c r="DE527" s="505"/>
      <c r="DF527" s="505"/>
      <c r="DG527" s="505"/>
      <c r="DH527" s="505"/>
      <c r="DI527" s="505"/>
      <c r="DJ527" s="505"/>
      <c r="DK527" s="505"/>
      <c r="DL527" s="505"/>
      <c r="DM527" s="505"/>
      <c r="DN527" s="505"/>
      <c r="DO527" s="505"/>
      <c r="DP527" s="505"/>
    </row>
    <row r="528" spans="1:120" hidden="1" outlineLevel="1" x14ac:dyDescent="0.2">
      <c r="A528" s="517">
        <f t="shared" si="73"/>
        <v>40179</v>
      </c>
      <c r="B528" s="517" t="str">
        <f t="shared" si="70"/>
        <v>1Q10</v>
      </c>
      <c r="C528" s="517" t="str">
        <f t="shared" si="74"/>
        <v>1Q10</v>
      </c>
      <c r="D528" s="518">
        <f t="shared" si="75"/>
        <v>40249</v>
      </c>
      <c r="E528" s="518">
        <f t="shared" si="75"/>
        <v>40189</v>
      </c>
      <c r="F528" s="520">
        <v>2.879</v>
      </c>
      <c r="G528" s="521">
        <f t="shared" si="71"/>
        <v>0.35000000000000014</v>
      </c>
      <c r="H528" s="521">
        <f t="shared" si="72"/>
        <v>0.35000000000000014</v>
      </c>
      <c r="I528" s="505"/>
      <c r="J528" s="505"/>
      <c r="K528" s="505"/>
      <c r="L528" s="505"/>
      <c r="M528" s="528"/>
      <c r="N528" s="505"/>
      <c r="O528" s="505"/>
      <c r="P528" s="505"/>
      <c r="Q528" s="505"/>
      <c r="R528" s="505"/>
      <c r="S528" s="505"/>
      <c r="T528" s="505"/>
      <c r="U528" s="505"/>
      <c r="V528" s="505"/>
      <c r="W528" s="505"/>
      <c r="X528" s="505"/>
      <c r="Y528" s="505"/>
      <c r="Z528" s="505"/>
      <c r="AA528" s="505"/>
      <c r="AB528" s="505"/>
      <c r="AC528" s="505"/>
      <c r="AD528" s="505"/>
      <c r="AE528" s="505"/>
      <c r="AF528" s="505"/>
      <c r="AG528" s="505"/>
      <c r="AH528" s="505"/>
      <c r="AI528" s="505"/>
      <c r="AJ528" s="505"/>
      <c r="AK528" s="505"/>
      <c r="AL528" s="505"/>
      <c r="AM528" s="505"/>
      <c r="AN528" s="505"/>
      <c r="AO528" s="505"/>
      <c r="AP528" s="505"/>
      <c r="AQ528" s="505"/>
      <c r="AR528" s="505"/>
      <c r="AS528" s="505"/>
      <c r="AT528" s="505"/>
      <c r="AU528" s="505"/>
      <c r="AV528" s="505"/>
      <c r="AW528" s="505"/>
      <c r="AX528" s="505"/>
      <c r="AY528" s="505"/>
      <c r="AZ528" s="505"/>
      <c r="BA528" s="505"/>
      <c r="BB528" s="505"/>
      <c r="BC528" s="505"/>
      <c r="BD528" s="505"/>
      <c r="BE528" s="505"/>
      <c r="BF528" s="505"/>
      <c r="BG528" s="505"/>
      <c r="BH528" s="505"/>
      <c r="BI528" s="505"/>
      <c r="BJ528" s="505"/>
      <c r="BK528" s="505"/>
      <c r="BL528" s="505"/>
      <c r="BM528" s="505"/>
      <c r="BN528" s="505"/>
      <c r="BO528" s="505"/>
      <c r="BP528" s="505"/>
      <c r="BQ528" s="505"/>
      <c r="BR528" s="505"/>
      <c r="BS528" s="505"/>
      <c r="BT528" s="505"/>
      <c r="BU528" s="505"/>
      <c r="BV528" s="505"/>
      <c r="BW528" s="505"/>
      <c r="BX528" s="505"/>
      <c r="BY528" s="505"/>
      <c r="BZ528" s="505"/>
      <c r="CA528" s="505"/>
      <c r="CB528" s="505"/>
      <c r="CC528" s="505"/>
      <c r="CD528" s="505"/>
      <c r="CE528" s="505"/>
      <c r="CF528" s="505"/>
      <c r="CG528" s="505"/>
      <c r="CH528" s="505"/>
      <c r="CI528" s="505"/>
      <c r="CJ528" s="505"/>
      <c r="CK528" s="505"/>
      <c r="CL528" s="505"/>
      <c r="CM528" s="505"/>
      <c r="CN528" s="505"/>
      <c r="CO528" s="505"/>
      <c r="CP528" s="505"/>
      <c r="CQ528" s="505"/>
      <c r="CR528" s="505"/>
      <c r="CS528" s="505"/>
      <c r="CT528" s="505"/>
      <c r="CU528" s="505"/>
      <c r="CV528" s="505"/>
      <c r="CW528" s="505"/>
      <c r="CX528" s="505"/>
      <c r="CY528" s="505"/>
      <c r="CZ528" s="505"/>
      <c r="DA528" s="505"/>
      <c r="DB528" s="505"/>
      <c r="DC528" s="505"/>
      <c r="DD528" s="505"/>
      <c r="DE528" s="505"/>
      <c r="DF528" s="505"/>
      <c r="DG528" s="505"/>
      <c r="DH528" s="505"/>
      <c r="DI528" s="505"/>
      <c r="DJ528" s="505"/>
      <c r="DK528" s="505"/>
      <c r="DL528" s="505"/>
      <c r="DM528" s="505"/>
      <c r="DN528" s="505"/>
      <c r="DO528" s="505"/>
      <c r="DP528" s="505"/>
    </row>
    <row r="529" spans="1:120" hidden="1" outlineLevel="1" x14ac:dyDescent="0.2">
      <c r="A529" s="517">
        <f t="shared" si="73"/>
        <v>40179</v>
      </c>
      <c r="B529" s="517" t="str">
        <f t="shared" si="70"/>
        <v>1Q10</v>
      </c>
      <c r="C529" s="517" t="str">
        <f t="shared" si="74"/>
        <v>1Q10</v>
      </c>
      <c r="D529" s="518">
        <f t="shared" si="75"/>
        <v>40256</v>
      </c>
      <c r="E529" s="518">
        <f t="shared" si="75"/>
        <v>40196</v>
      </c>
      <c r="F529" s="520">
        <v>2.87</v>
      </c>
      <c r="G529" s="521">
        <f t="shared" si="71"/>
        <v>0.35000000000000014</v>
      </c>
      <c r="H529" s="521">
        <f t="shared" si="72"/>
        <v>0.34000000000000014</v>
      </c>
      <c r="I529" s="505"/>
      <c r="J529" s="505"/>
      <c r="K529" s="505"/>
      <c r="L529" s="505"/>
      <c r="M529" s="528"/>
      <c r="N529" s="505"/>
      <c r="O529" s="505"/>
      <c r="P529" s="505"/>
      <c r="Q529" s="505"/>
      <c r="R529" s="505"/>
      <c r="S529" s="505"/>
      <c r="T529" s="505"/>
      <c r="U529" s="505"/>
      <c r="V529" s="505"/>
      <c r="W529" s="505"/>
      <c r="X529" s="505"/>
      <c r="Y529" s="505"/>
      <c r="Z529" s="505"/>
      <c r="AA529" s="505"/>
      <c r="AB529" s="505"/>
      <c r="AC529" s="505"/>
      <c r="AD529" s="505"/>
      <c r="AE529" s="505"/>
      <c r="AF529" s="505"/>
      <c r="AG529" s="505"/>
      <c r="AH529" s="505"/>
      <c r="AI529" s="505"/>
      <c r="AJ529" s="505"/>
      <c r="AK529" s="505"/>
      <c r="AL529" s="505"/>
      <c r="AM529" s="505"/>
      <c r="AN529" s="505"/>
      <c r="AO529" s="505"/>
      <c r="AP529" s="505"/>
      <c r="AQ529" s="505"/>
      <c r="AR529" s="505"/>
      <c r="AS529" s="505"/>
      <c r="AT529" s="505"/>
      <c r="AU529" s="505"/>
      <c r="AV529" s="505"/>
      <c r="AW529" s="505"/>
      <c r="AX529" s="505"/>
      <c r="AY529" s="505"/>
      <c r="AZ529" s="505"/>
      <c r="BA529" s="505"/>
      <c r="BB529" s="505"/>
      <c r="BC529" s="505"/>
      <c r="BD529" s="505"/>
      <c r="BE529" s="505"/>
      <c r="BF529" s="505"/>
      <c r="BG529" s="505"/>
      <c r="BH529" s="505"/>
      <c r="BI529" s="505"/>
      <c r="BJ529" s="505"/>
      <c r="BK529" s="505"/>
      <c r="BL529" s="505"/>
      <c r="BM529" s="505"/>
      <c r="BN529" s="505"/>
      <c r="BO529" s="505"/>
      <c r="BP529" s="505"/>
      <c r="BQ529" s="505"/>
      <c r="BR529" s="505"/>
      <c r="BS529" s="505"/>
      <c r="BT529" s="505"/>
      <c r="BU529" s="505"/>
      <c r="BV529" s="505"/>
      <c r="BW529" s="505"/>
      <c r="BX529" s="505"/>
      <c r="BY529" s="505"/>
      <c r="BZ529" s="505"/>
      <c r="CA529" s="505"/>
      <c r="CB529" s="505"/>
      <c r="CC529" s="505"/>
      <c r="CD529" s="505"/>
      <c r="CE529" s="505"/>
      <c r="CF529" s="505"/>
      <c r="CG529" s="505"/>
      <c r="CH529" s="505"/>
      <c r="CI529" s="505"/>
      <c r="CJ529" s="505"/>
      <c r="CK529" s="505"/>
      <c r="CL529" s="505"/>
      <c r="CM529" s="505"/>
      <c r="CN529" s="505"/>
      <c r="CO529" s="505"/>
      <c r="CP529" s="505"/>
      <c r="CQ529" s="505"/>
      <c r="CR529" s="505"/>
      <c r="CS529" s="505"/>
      <c r="CT529" s="505"/>
      <c r="CU529" s="505"/>
      <c r="CV529" s="505"/>
      <c r="CW529" s="505"/>
      <c r="CX529" s="505"/>
      <c r="CY529" s="505"/>
      <c r="CZ529" s="505"/>
      <c r="DA529" s="505"/>
      <c r="DB529" s="505"/>
      <c r="DC529" s="505"/>
      <c r="DD529" s="505"/>
      <c r="DE529" s="505"/>
      <c r="DF529" s="505"/>
      <c r="DG529" s="505"/>
      <c r="DH529" s="505"/>
      <c r="DI529" s="505"/>
      <c r="DJ529" s="505"/>
      <c r="DK529" s="505"/>
      <c r="DL529" s="505"/>
      <c r="DM529" s="505"/>
      <c r="DN529" s="505"/>
      <c r="DO529" s="505"/>
      <c r="DP529" s="505"/>
    </row>
    <row r="530" spans="1:120" hidden="1" outlineLevel="1" x14ac:dyDescent="0.2">
      <c r="A530" s="517">
        <f t="shared" si="73"/>
        <v>40179</v>
      </c>
      <c r="B530" s="517" t="str">
        <f t="shared" si="70"/>
        <v>1Q10</v>
      </c>
      <c r="C530" s="517" t="str">
        <f t="shared" si="74"/>
        <v>1Q10</v>
      </c>
      <c r="D530" s="518">
        <f t="shared" si="75"/>
        <v>40263</v>
      </c>
      <c r="E530" s="518">
        <f t="shared" si="75"/>
        <v>40203</v>
      </c>
      <c r="F530" s="520">
        <v>2.8330000000000002</v>
      </c>
      <c r="G530" s="521">
        <f t="shared" si="71"/>
        <v>0.34000000000000014</v>
      </c>
      <c r="H530" s="521">
        <f t="shared" si="72"/>
        <v>0.33000000000000013</v>
      </c>
      <c r="I530" s="505"/>
      <c r="J530" s="505"/>
      <c r="K530" s="505"/>
      <c r="L530" s="505"/>
      <c r="M530" s="528"/>
      <c r="N530" s="505"/>
      <c r="O530" s="505"/>
      <c r="P530" s="505"/>
      <c r="Q530" s="505"/>
      <c r="R530" s="505"/>
      <c r="S530" s="505"/>
      <c r="T530" s="505"/>
      <c r="U530" s="505"/>
      <c r="V530" s="505"/>
      <c r="W530" s="505"/>
      <c r="X530" s="505"/>
      <c r="Y530" s="505"/>
      <c r="Z530" s="505"/>
      <c r="AA530" s="505"/>
      <c r="AB530" s="505"/>
      <c r="AC530" s="505"/>
      <c r="AD530" s="505"/>
      <c r="AE530" s="505"/>
      <c r="AF530" s="505"/>
      <c r="AG530" s="505"/>
      <c r="AH530" s="505"/>
      <c r="AI530" s="505"/>
      <c r="AJ530" s="505"/>
      <c r="AK530" s="505"/>
      <c r="AL530" s="505"/>
      <c r="AM530" s="505"/>
      <c r="AN530" s="505"/>
      <c r="AO530" s="505"/>
      <c r="AP530" s="505"/>
      <c r="AQ530" s="505"/>
      <c r="AR530" s="505"/>
      <c r="AS530" s="505"/>
      <c r="AT530" s="505"/>
      <c r="AU530" s="505"/>
      <c r="AV530" s="505"/>
      <c r="AW530" s="505"/>
      <c r="AX530" s="505"/>
      <c r="AY530" s="505"/>
      <c r="AZ530" s="505"/>
      <c r="BA530" s="505"/>
      <c r="BB530" s="505"/>
      <c r="BC530" s="505"/>
      <c r="BD530" s="505"/>
      <c r="BE530" s="505"/>
      <c r="BF530" s="505"/>
      <c r="BG530" s="505"/>
      <c r="BH530" s="505"/>
      <c r="BI530" s="505"/>
      <c r="BJ530" s="505"/>
      <c r="BK530" s="505"/>
      <c r="BL530" s="505"/>
      <c r="BM530" s="505"/>
      <c r="BN530" s="505"/>
      <c r="BO530" s="505"/>
      <c r="BP530" s="505"/>
      <c r="BQ530" s="505"/>
      <c r="BR530" s="505"/>
      <c r="BS530" s="505"/>
      <c r="BT530" s="505"/>
      <c r="BU530" s="505"/>
      <c r="BV530" s="505"/>
      <c r="BW530" s="505"/>
      <c r="BX530" s="505"/>
      <c r="BY530" s="505"/>
      <c r="BZ530" s="505"/>
      <c r="CA530" s="505"/>
      <c r="CB530" s="505"/>
      <c r="CC530" s="505"/>
      <c r="CD530" s="505"/>
      <c r="CE530" s="505"/>
      <c r="CF530" s="505"/>
      <c r="CG530" s="505"/>
      <c r="CH530" s="505"/>
      <c r="CI530" s="505"/>
      <c r="CJ530" s="505"/>
      <c r="CK530" s="505"/>
      <c r="CL530" s="505"/>
      <c r="CM530" s="505"/>
      <c r="CN530" s="505"/>
      <c r="CO530" s="505"/>
      <c r="CP530" s="505"/>
      <c r="CQ530" s="505"/>
      <c r="CR530" s="505"/>
      <c r="CS530" s="505"/>
      <c r="CT530" s="505"/>
      <c r="CU530" s="505"/>
      <c r="CV530" s="505"/>
      <c r="CW530" s="505"/>
      <c r="CX530" s="505"/>
      <c r="CY530" s="505"/>
      <c r="CZ530" s="505"/>
      <c r="DA530" s="505"/>
      <c r="DB530" s="505"/>
      <c r="DC530" s="505"/>
      <c r="DD530" s="505"/>
      <c r="DE530" s="505"/>
      <c r="DF530" s="505"/>
      <c r="DG530" s="505"/>
      <c r="DH530" s="505"/>
      <c r="DI530" s="505"/>
      <c r="DJ530" s="505"/>
      <c r="DK530" s="505"/>
      <c r="DL530" s="505"/>
      <c r="DM530" s="505"/>
      <c r="DN530" s="505"/>
      <c r="DO530" s="505"/>
      <c r="DP530" s="505"/>
    </row>
    <row r="531" spans="1:120" hidden="1" outlineLevel="1" x14ac:dyDescent="0.2">
      <c r="A531" s="517">
        <f t="shared" si="73"/>
        <v>40210</v>
      </c>
      <c r="B531" s="517" t="str">
        <f t="shared" si="70"/>
        <v>1Q10</v>
      </c>
      <c r="C531" s="517" t="str">
        <f t="shared" si="74"/>
        <v>2Q10</v>
      </c>
      <c r="D531" s="518">
        <f t="shared" si="75"/>
        <v>40270</v>
      </c>
      <c r="E531" s="518">
        <f t="shared" si="75"/>
        <v>40210</v>
      </c>
      <c r="F531" s="520">
        <v>2.7810000000000001</v>
      </c>
      <c r="G531" s="521">
        <f t="shared" si="71"/>
        <v>0.33000000000000013</v>
      </c>
      <c r="H531" s="521">
        <f t="shared" si="72"/>
        <v>0.33000000000000013</v>
      </c>
      <c r="I531" s="505"/>
      <c r="J531" s="505"/>
      <c r="K531" s="505"/>
      <c r="L531" s="505"/>
      <c r="M531" s="528"/>
      <c r="N531" s="505"/>
      <c r="O531" s="505"/>
      <c r="P531" s="505"/>
      <c r="Q531" s="505"/>
      <c r="R531" s="505"/>
      <c r="S531" s="505"/>
      <c r="T531" s="505"/>
      <c r="U531" s="505"/>
      <c r="V531" s="505"/>
      <c r="W531" s="505"/>
      <c r="X531" s="505"/>
      <c r="Y531" s="505"/>
      <c r="Z531" s="505"/>
      <c r="AA531" s="505"/>
      <c r="AB531" s="505"/>
      <c r="AC531" s="505"/>
      <c r="AD531" s="505"/>
      <c r="AE531" s="505"/>
      <c r="AF531" s="505"/>
      <c r="AG531" s="505"/>
      <c r="AH531" s="505"/>
      <c r="AI531" s="505"/>
      <c r="AJ531" s="505"/>
      <c r="AK531" s="505"/>
      <c r="AL531" s="505"/>
      <c r="AM531" s="505"/>
      <c r="AN531" s="505"/>
      <c r="AO531" s="505"/>
      <c r="AP531" s="505"/>
      <c r="AQ531" s="505"/>
      <c r="AR531" s="505"/>
      <c r="AS531" s="505"/>
      <c r="AT531" s="505"/>
      <c r="AU531" s="505"/>
      <c r="AV531" s="505"/>
      <c r="AW531" s="505"/>
      <c r="AX531" s="505"/>
      <c r="AY531" s="505"/>
      <c r="AZ531" s="505"/>
      <c r="BA531" s="505"/>
      <c r="BB531" s="505"/>
      <c r="BC531" s="505"/>
      <c r="BD531" s="505"/>
      <c r="BE531" s="505"/>
      <c r="BF531" s="505"/>
      <c r="BG531" s="505"/>
      <c r="BH531" s="505"/>
      <c r="BI531" s="505"/>
      <c r="BJ531" s="505"/>
      <c r="BK531" s="505"/>
      <c r="BL531" s="505"/>
      <c r="BM531" s="505"/>
      <c r="BN531" s="505"/>
      <c r="BO531" s="505"/>
      <c r="BP531" s="505"/>
      <c r="BQ531" s="505"/>
      <c r="BR531" s="505"/>
      <c r="BS531" s="505"/>
      <c r="BT531" s="505"/>
      <c r="BU531" s="505"/>
      <c r="BV531" s="505"/>
      <c r="BW531" s="505"/>
      <c r="BX531" s="505"/>
      <c r="BY531" s="505"/>
      <c r="BZ531" s="505"/>
      <c r="CA531" s="505"/>
      <c r="CB531" s="505"/>
      <c r="CC531" s="505"/>
      <c r="CD531" s="505"/>
      <c r="CE531" s="505"/>
      <c r="CF531" s="505"/>
      <c r="CG531" s="505"/>
      <c r="CH531" s="505"/>
      <c r="CI531" s="505"/>
      <c r="CJ531" s="505"/>
      <c r="CK531" s="505"/>
      <c r="CL531" s="505"/>
      <c r="CM531" s="505"/>
      <c r="CN531" s="505"/>
      <c r="CO531" s="505"/>
      <c r="CP531" s="505"/>
      <c r="CQ531" s="505"/>
      <c r="CR531" s="505"/>
      <c r="CS531" s="505"/>
      <c r="CT531" s="505"/>
      <c r="CU531" s="505"/>
      <c r="CV531" s="505"/>
      <c r="CW531" s="505"/>
      <c r="CX531" s="505"/>
      <c r="CY531" s="505"/>
      <c r="CZ531" s="505"/>
      <c r="DA531" s="505"/>
      <c r="DB531" s="505"/>
      <c r="DC531" s="505"/>
      <c r="DD531" s="505"/>
      <c r="DE531" s="505"/>
      <c r="DF531" s="505"/>
      <c r="DG531" s="505"/>
      <c r="DH531" s="505"/>
      <c r="DI531" s="505"/>
      <c r="DJ531" s="505"/>
      <c r="DK531" s="505"/>
      <c r="DL531" s="505"/>
      <c r="DM531" s="505"/>
      <c r="DN531" s="505"/>
      <c r="DO531" s="505"/>
      <c r="DP531" s="505"/>
    </row>
    <row r="532" spans="1:120" hidden="1" outlineLevel="1" x14ac:dyDescent="0.2">
      <c r="A532" s="517">
        <f t="shared" si="73"/>
        <v>40210</v>
      </c>
      <c r="B532" s="517" t="str">
        <f t="shared" si="70"/>
        <v>1Q10</v>
      </c>
      <c r="C532" s="517" t="str">
        <f t="shared" si="74"/>
        <v>2Q10</v>
      </c>
      <c r="D532" s="518">
        <f t="shared" si="75"/>
        <v>40277</v>
      </c>
      <c r="E532" s="518">
        <f t="shared" si="75"/>
        <v>40217</v>
      </c>
      <c r="F532" s="520">
        <v>2.7690000000000001</v>
      </c>
      <c r="G532" s="521">
        <f t="shared" si="71"/>
        <v>0.33000000000000013</v>
      </c>
      <c r="H532" s="521">
        <f t="shared" si="72"/>
        <v>0.33000000000000013</v>
      </c>
      <c r="I532" s="505"/>
      <c r="J532" s="505"/>
      <c r="K532" s="505"/>
      <c r="L532" s="505"/>
      <c r="M532" s="528"/>
      <c r="N532" s="505"/>
      <c r="O532" s="505"/>
      <c r="P532" s="505"/>
      <c r="Q532" s="505"/>
      <c r="R532" s="505"/>
      <c r="S532" s="505"/>
      <c r="T532" s="505"/>
      <c r="U532" s="505"/>
      <c r="V532" s="505"/>
      <c r="W532" s="505"/>
      <c r="X532" s="505"/>
      <c r="Y532" s="505"/>
      <c r="Z532" s="505"/>
      <c r="AA532" s="505"/>
      <c r="AB532" s="505"/>
      <c r="AC532" s="505"/>
      <c r="AD532" s="505"/>
      <c r="AE532" s="505"/>
      <c r="AF532" s="505"/>
      <c r="AG532" s="505"/>
      <c r="AH532" s="505"/>
      <c r="AI532" s="505"/>
      <c r="AJ532" s="505"/>
      <c r="AK532" s="505"/>
      <c r="AL532" s="505"/>
      <c r="AM532" s="505"/>
      <c r="AN532" s="505"/>
      <c r="AO532" s="505"/>
      <c r="AP532" s="505"/>
      <c r="AQ532" s="505"/>
      <c r="AR532" s="505"/>
      <c r="AS532" s="505"/>
      <c r="AT532" s="505"/>
      <c r="AU532" s="505"/>
      <c r="AV532" s="505"/>
      <c r="AW532" s="505"/>
      <c r="AX532" s="505"/>
      <c r="AY532" s="505"/>
      <c r="AZ532" s="505"/>
      <c r="BA532" s="505"/>
      <c r="BB532" s="505"/>
      <c r="BC532" s="505"/>
      <c r="BD532" s="505"/>
      <c r="BE532" s="505"/>
      <c r="BF532" s="505"/>
      <c r="BG532" s="505"/>
      <c r="BH532" s="505"/>
      <c r="BI532" s="505"/>
      <c r="BJ532" s="505"/>
      <c r="BK532" s="505"/>
      <c r="BL532" s="505"/>
      <c r="BM532" s="505"/>
      <c r="BN532" s="505"/>
      <c r="BO532" s="505"/>
      <c r="BP532" s="505"/>
      <c r="BQ532" s="505"/>
      <c r="BR532" s="505"/>
      <c r="BS532" s="505"/>
      <c r="BT532" s="505"/>
      <c r="BU532" s="505"/>
      <c r="BV532" s="505"/>
      <c r="BW532" s="505"/>
      <c r="BX532" s="505"/>
      <c r="BY532" s="505"/>
      <c r="BZ532" s="505"/>
      <c r="CA532" s="505"/>
      <c r="CB532" s="505"/>
      <c r="CC532" s="505"/>
      <c r="CD532" s="505"/>
      <c r="CE532" s="505"/>
      <c r="CF532" s="505"/>
      <c r="CG532" s="505"/>
      <c r="CH532" s="505"/>
      <c r="CI532" s="505"/>
      <c r="CJ532" s="505"/>
      <c r="CK532" s="505"/>
      <c r="CL532" s="505"/>
      <c r="CM532" s="505"/>
      <c r="CN532" s="505"/>
      <c r="CO532" s="505"/>
      <c r="CP532" s="505"/>
      <c r="CQ532" s="505"/>
      <c r="CR532" s="505"/>
      <c r="CS532" s="505"/>
      <c r="CT532" s="505"/>
      <c r="CU532" s="505"/>
      <c r="CV532" s="505"/>
      <c r="CW532" s="505"/>
      <c r="CX532" s="505"/>
      <c r="CY532" s="505"/>
      <c r="CZ532" s="505"/>
      <c r="DA532" s="505"/>
      <c r="DB532" s="505"/>
      <c r="DC532" s="505"/>
      <c r="DD532" s="505"/>
      <c r="DE532" s="505"/>
      <c r="DF532" s="505"/>
      <c r="DG532" s="505"/>
      <c r="DH532" s="505"/>
      <c r="DI532" s="505"/>
      <c r="DJ532" s="505"/>
      <c r="DK532" s="505"/>
      <c r="DL532" s="505"/>
      <c r="DM532" s="505"/>
      <c r="DN532" s="505"/>
      <c r="DO532" s="505"/>
      <c r="DP532" s="505"/>
    </row>
    <row r="533" spans="1:120" hidden="1" outlineLevel="1" x14ac:dyDescent="0.2">
      <c r="A533" s="517">
        <f t="shared" si="73"/>
        <v>40210</v>
      </c>
      <c r="B533" s="517" t="str">
        <f t="shared" si="70"/>
        <v>1Q10</v>
      </c>
      <c r="C533" s="517" t="str">
        <f t="shared" si="74"/>
        <v>2Q10</v>
      </c>
      <c r="D533" s="518">
        <f t="shared" si="75"/>
        <v>40284</v>
      </c>
      <c r="E533" s="518">
        <f t="shared" si="75"/>
        <v>40224</v>
      </c>
      <c r="F533" s="520">
        <v>2.7559999999999998</v>
      </c>
      <c r="G533" s="521">
        <f t="shared" si="71"/>
        <v>0.33000000000000013</v>
      </c>
      <c r="H533" s="521">
        <f t="shared" si="72"/>
        <v>0.34000000000000014</v>
      </c>
      <c r="I533" s="505"/>
      <c r="J533" s="505"/>
      <c r="K533" s="505"/>
      <c r="L533" s="505"/>
      <c r="M533" s="528"/>
      <c r="N533" s="505"/>
      <c r="O533" s="505"/>
      <c r="P533" s="505"/>
      <c r="Q533" s="505"/>
      <c r="R533" s="505"/>
      <c r="S533" s="505"/>
      <c r="T533" s="505"/>
      <c r="U533" s="505"/>
      <c r="V533" s="505"/>
      <c r="W533" s="505"/>
      <c r="X533" s="505"/>
      <c r="Y533" s="505"/>
      <c r="Z533" s="505"/>
      <c r="AA533" s="505"/>
      <c r="AB533" s="505"/>
      <c r="AC533" s="505"/>
      <c r="AD533" s="505"/>
      <c r="AE533" s="505"/>
      <c r="AF533" s="505"/>
      <c r="AG533" s="505"/>
      <c r="AH533" s="505"/>
      <c r="AI533" s="505"/>
      <c r="AJ533" s="505"/>
      <c r="AK533" s="505"/>
      <c r="AL533" s="505"/>
      <c r="AM533" s="505"/>
      <c r="AN533" s="505"/>
      <c r="AO533" s="505"/>
      <c r="AP533" s="505"/>
      <c r="AQ533" s="505"/>
      <c r="AR533" s="505"/>
      <c r="AS533" s="505"/>
      <c r="AT533" s="505"/>
      <c r="AU533" s="505"/>
      <c r="AV533" s="505"/>
      <c r="AW533" s="505"/>
      <c r="AX533" s="505"/>
      <c r="AY533" s="505"/>
      <c r="AZ533" s="505"/>
      <c r="BA533" s="505"/>
      <c r="BB533" s="505"/>
      <c r="BC533" s="505"/>
      <c r="BD533" s="505"/>
      <c r="BE533" s="505"/>
      <c r="BF533" s="505"/>
      <c r="BG533" s="505"/>
      <c r="BH533" s="505"/>
      <c r="BI533" s="505"/>
      <c r="BJ533" s="505"/>
      <c r="BK533" s="505"/>
      <c r="BL533" s="505"/>
      <c r="BM533" s="505"/>
      <c r="BN533" s="505"/>
      <c r="BO533" s="505"/>
      <c r="BP533" s="505"/>
      <c r="BQ533" s="505"/>
      <c r="BR533" s="505"/>
      <c r="BS533" s="505"/>
      <c r="BT533" s="505"/>
      <c r="BU533" s="505"/>
      <c r="BV533" s="505"/>
      <c r="BW533" s="505"/>
      <c r="BX533" s="505"/>
      <c r="BY533" s="505"/>
      <c r="BZ533" s="505"/>
      <c r="CA533" s="505"/>
      <c r="CB533" s="505"/>
      <c r="CC533" s="505"/>
      <c r="CD533" s="505"/>
      <c r="CE533" s="505"/>
      <c r="CF533" s="505"/>
      <c r="CG533" s="505"/>
      <c r="CH533" s="505"/>
      <c r="CI533" s="505"/>
      <c r="CJ533" s="505"/>
      <c r="CK533" s="505"/>
      <c r="CL533" s="505"/>
      <c r="CM533" s="505"/>
      <c r="CN533" s="505"/>
      <c r="CO533" s="505"/>
      <c r="CP533" s="505"/>
      <c r="CQ533" s="505"/>
      <c r="CR533" s="505"/>
      <c r="CS533" s="505"/>
      <c r="CT533" s="505"/>
      <c r="CU533" s="505"/>
      <c r="CV533" s="505"/>
      <c r="CW533" s="505"/>
      <c r="CX533" s="505"/>
      <c r="CY533" s="505"/>
      <c r="CZ533" s="505"/>
      <c r="DA533" s="505"/>
      <c r="DB533" s="505"/>
      <c r="DC533" s="505"/>
      <c r="DD533" s="505"/>
      <c r="DE533" s="505"/>
      <c r="DF533" s="505"/>
      <c r="DG533" s="505"/>
      <c r="DH533" s="505"/>
      <c r="DI533" s="505"/>
      <c r="DJ533" s="505"/>
      <c r="DK533" s="505"/>
      <c r="DL533" s="505"/>
      <c r="DM533" s="505"/>
      <c r="DN533" s="505"/>
      <c r="DO533" s="505"/>
      <c r="DP533" s="505"/>
    </row>
    <row r="534" spans="1:120" hidden="1" outlineLevel="1" x14ac:dyDescent="0.2">
      <c r="A534" s="517">
        <f t="shared" si="73"/>
        <v>40210</v>
      </c>
      <c r="B534" s="517" t="str">
        <f t="shared" si="70"/>
        <v>1Q10</v>
      </c>
      <c r="C534" s="517" t="str">
        <f t="shared" si="74"/>
        <v>2Q10</v>
      </c>
      <c r="D534" s="518">
        <f t="shared" si="75"/>
        <v>40291</v>
      </c>
      <c r="E534" s="518">
        <f t="shared" si="75"/>
        <v>40231</v>
      </c>
      <c r="F534" s="520">
        <v>2.8319999999999999</v>
      </c>
      <c r="G534" s="521">
        <f t="shared" si="71"/>
        <v>0.34000000000000014</v>
      </c>
      <c r="H534" s="521">
        <f t="shared" si="72"/>
        <v>0.35000000000000014</v>
      </c>
      <c r="I534" s="505"/>
      <c r="J534" s="505"/>
      <c r="K534" s="505"/>
      <c r="L534" s="505"/>
      <c r="M534" s="528"/>
      <c r="N534" s="505"/>
      <c r="O534" s="505"/>
      <c r="P534" s="505"/>
      <c r="Q534" s="505"/>
      <c r="R534" s="505"/>
      <c r="S534" s="505"/>
      <c r="T534" s="505"/>
      <c r="U534" s="505"/>
      <c r="V534" s="505"/>
      <c r="W534" s="505"/>
      <c r="X534" s="505"/>
      <c r="Y534" s="505"/>
      <c r="Z534" s="505"/>
      <c r="AA534" s="505"/>
      <c r="AB534" s="505"/>
      <c r="AC534" s="505"/>
      <c r="AD534" s="505"/>
      <c r="AE534" s="505"/>
      <c r="AF534" s="505"/>
      <c r="AG534" s="505"/>
      <c r="AH534" s="505"/>
      <c r="AI534" s="505"/>
      <c r="AJ534" s="505"/>
      <c r="AK534" s="505"/>
      <c r="AL534" s="505"/>
      <c r="AM534" s="505"/>
      <c r="AN534" s="505"/>
      <c r="AO534" s="505"/>
      <c r="AP534" s="505"/>
      <c r="AQ534" s="505"/>
      <c r="AR534" s="505"/>
      <c r="AS534" s="505"/>
      <c r="AT534" s="505"/>
      <c r="AU534" s="505"/>
      <c r="AV534" s="505"/>
      <c r="AW534" s="505"/>
      <c r="AX534" s="505"/>
      <c r="AY534" s="505"/>
      <c r="AZ534" s="505"/>
      <c r="BA534" s="505"/>
      <c r="BB534" s="505"/>
      <c r="BC534" s="505"/>
      <c r="BD534" s="505"/>
      <c r="BE534" s="505"/>
      <c r="BF534" s="505"/>
      <c r="BG534" s="505"/>
      <c r="BH534" s="505"/>
      <c r="BI534" s="505"/>
      <c r="BJ534" s="505"/>
      <c r="BK534" s="505"/>
      <c r="BL534" s="505"/>
      <c r="BM534" s="505"/>
      <c r="BN534" s="505"/>
      <c r="BO534" s="505"/>
      <c r="BP534" s="505"/>
      <c r="BQ534" s="505"/>
      <c r="BR534" s="505"/>
      <c r="BS534" s="505"/>
      <c r="BT534" s="505"/>
      <c r="BU534" s="505"/>
      <c r="BV534" s="505"/>
      <c r="BW534" s="505"/>
      <c r="BX534" s="505"/>
      <c r="BY534" s="505"/>
      <c r="BZ534" s="505"/>
      <c r="CA534" s="505"/>
      <c r="CB534" s="505"/>
      <c r="CC534" s="505"/>
      <c r="CD534" s="505"/>
      <c r="CE534" s="505"/>
      <c r="CF534" s="505"/>
      <c r="CG534" s="505"/>
      <c r="CH534" s="505"/>
      <c r="CI534" s="505"/>
      <c r="CJ534" s="505"/>
      <c r="CK534" s="505"/>
      <c r="CL534" s="505"/>
      <c r="CM534" s="505"/>
      <c r="CN534" s="505"/>
      <c r="CO534" s="505"/>
      <c r="CP534" s="505"/>
      <c r="CQ534" s="505"/>
      <c r="CR534" s="505"/>
      <c r="CS534" s="505"/>
      <c r="CT534" s="505"/>
      <c r="CU534" s="505"/>
      <c r="CV534" s="505"/>
      <c r="CW534" s="505"/>
      <c r="CX534" s="505"/>
      <c r="CY534" s="505"/>
      <c r="CZ534" s="505"/>
      <c r="DA534" s="505"/>
      <c r="DB534" s="505"/>
      <c r="DC534" s="505"/>
      <c r="DD534" s="505"/>
      <c r="DE534" s="505"/>
      <c r="DF534" s="505"/>
      <c r="DG534" s="505"/>
      <c r="DH534" s="505"/>
      <c r="DI534" s="505"/>
      <c r="DJ534" s="505"/>
      <c r="DK534" s="505"/>
      <c r="DL534" s="505"/>
      <c r="DM534" s="505"/>
      <c r="DN534" s="505"/>
      <c r="DO534" s="505"/>
      <c r="DP534" s="505"/>
    </row>
    <row r="535" spans="1:120" hidden="1" outlineLevel="1" x14ac:dyDescent="0.2">
      <c r="A535" s="517">
        <f t="shared" si="73"/>
        <v>40238</v>
      </c>
      <c r="B535" s="517" t="str">
        <f t="shared" si="70"/>
        <v>1Q10</v>
      </c>
      <c r="C535" s="517" t="str">
        <f t="shared" si="74"/>
        <v>2Q10</v>
      </c>
      <c r="D535" s="518">
        <f t="shared" si="75"/>
        <v>40298</v>
      </c>
      <c r="E535" s="518">
        <f t="shared" si="75"/>
        <v>40238</v>
      </c>
      <c r="F535" s="520">
        <v>2.8610000000000002</v>
      </c>
      <c r="G535" s="521">
        <f t="shared" si="71"/>
        <v>0.35000000000000014</v>
      </c>
      <c r="H535" s="521">
        <f t="shared" si="72"/>
        <v>0.36000000000000015</v>
      </c>
      <c r="I535" s="505"/>
      <c r="J535" s="505"/>
      <c r="K535" s="505"/>
      <c r="L535" s="505"/>
      <c r="M535" s="528"/>
      <c r="N535" s="505"/>
      <c r="O535" s="505"/>
      <c r="P535" s="505"/>
      <c r="Q535" s="505"/>
      <c r="R535" s="505"/>
      <c r="S535" s="505"/>
      <c r="T535" s="505"/>
      <c r="U535" s="505"/>
      <c r="V535" s="505"/>
      <c r="W535" s="505"/>
      <c r="X535" s="505"/>
      <c r="Y535" s="505"/>
      <c r="Z535" s="505"/>
      <c r="AA535" s="505"/>
      <c r="AB535" s="505"/>
      <c r="AC535" s="505"/>
      <c r="AD535" s="505"/>
      <c r="AE535" s="505"/>
      <c r="AF535" s="505"/>
      <c r="AG535" s="505"/>
      <c r="AH535" s="505"/>
      <c r="AI535" s="505"/>
      <c r="AJ535" s="505"/>
      <c r="AK535" s="505"/>
      <c r="AL535" s="505"/>
      <c r="AM535" s="505"/>
      <c r="AN535" s="505"/>
      <c r="AO535" s="505"/>
      <c r="AP535" s="505"/>
      <c r="AQ535" s="505"/>
      <c r="AR535" s="505"/>
      <c r="AS535" s="505"/>
      <c r="AT535" s="505"/>
      <c r="AU535" s="505"/>
      <c r="AV535" s="505"/>
      <c r="AW535" s="505"/>
      <c r="AX535" s="505"/>
      <c r="AY535" s="505"/>
      <c r="AZ535" s="505"/>
      <c r="BA535" s="505"/>
      <c r="BB535" s="505"/>
      <c r="BC535" s="505"/>
      <c r="BD535" s="505"/>
      <c r="BE535" s="505"/>
      <c r="BF535" s="505"/>
      <c r="BG535" s="505"/>
      <c r="BH535" s="505"/>
      <c r="BI535" s="505"/>
      <c r="BJ535" s="505"/>
      <c r="BK535" s="505"/>
      <c r="BL535" s="505"/>
      <c r="BM535" s="505"/>
      <c r="BN535" s="505"/>
      <c r="BO535" s="505"/>
      <c r="BP535" s="505"/>
      <c r="BQ535" s="505"/>
      <c r="BR535" s="505"/>
      <c r="BS535" s="505"/>
      <c r="BT535" s="505"/>
      <c r="BU535" s="505"/>
      <c r="BV535" s="505"/>
      <c r="BW535" s="505"/>
      <c r="BX535" s="505"/>
      <c r="BY535" s="505"/>
      <c r="BZ535" s="505"/>
      <c r="CA535" s="505"/>
      <c r="CB535" s="505"/>
      <c r="CC535" s="505"/>
      <c r="CD535" s="505"/>
      <c r="CE535" s="505"/>
      <c r="CF535" s="505"/>
      <c r="CG535" s="505"/>
      <c r="CH535" s="505"/>
      <c r="CI535" s="505"/>
      <c r="CJ535" s="505"/>
      <c r="CK535" s="505"/>
      <c r="CL535" s="505"/>
      <c r="CM535" s="505"/>
      <c r="CN535" s="505"/>
      <c r="CO535" s="505"/>
      <c r="CP535" s="505"/>
      <c r="CQ535" s="505"/>
      <c r="CR535" s="505"/>
      <c r="CS535" s="505"/>
      <c r="CT535" s="505"/>
      <c r="CU535" s="505"/>
      <c r="CV535" s="505"/>
      <c r="CW535" s="505"/>
      <c r="CX535" s="505"/>
      <c r="CY535" s="505"/>
      <c r="CZ535" s="505"/>
      <c r="DA535" s="505"/>
      <c r="DB535" s="505"/>
      <c r="DC535" s="505"/>
      <c r="DD535" s="505"/>
      <c r="DE535" s="505"/>
      <c r="DF535" s="505"/>
      <c r="DG535" s="505"/>
      <c r="DH535" s="505"/>
      <c r="DI535" s="505"/>
      <c r="DJ535" s="505"/>
      <c r="DK535" s="505"/>
      <c r="DL535" s="505"/>
      <c r="DM535" s="505"/>
      <c r="DN535" s="505"/>
      <c r="DO535" s="505"/>
      <c r="DP535" s="505"/>
    </row>
    <row r="536" spans="1:120" hidden="1" outlineLevel="1" x14ac:dyDescent="0.2">
      <c r="A536" s="517">
        <f t="shared" si="73"/>
        <v>40238</v>
      </c>
      <c r="B536" s="517" t="str">
        <f t="shared" si="70"/>
        <v>1Q10</v>
      </c>
      <c r="C536" s="517" t="str">
        <f t="shared" si="74"/>
        <v>2Q10</v>
      </c>
      <c r="D536" s="518">
        <f t="shared" si="75"/>
        <v>40305</v>
      </c>
      <c r="E536" s="518">
        <f t="shared" si="75"/>
        <v>40245</v>
      </c>
      <c r="F536" s="520">
        <v>2.9039999999999999</v>
      </c>
      <c r="G536" s="521">
        <f t="shared" si="71"/>
        <v>0.36000000000000015</v>
      </c>
      <c r="H536" s="521">
        <f t="shared" si="72"/>
        <v>0.36000000000000015</v>
      </c>
      <c r="I536" s="505"/>
      <c r="J536" s="505"/>
      <c r="K536" s="505"/>
      <c r="L536" s="505"/>
      <c r="M536" s="528"/>
      <c r="N536" s="505"/>
      <c r="O536" s="505"/>
      <c r="P536" s="505"/>
      <c r="Q536" s="505"/>
      <c r="R536" s="505"/>
      <c r="S536" s="505"/>
      <c r="T536" s="505"/>
      <c r="U536" s="505"/>
      <c r="V536" s="505"/>
      <c r="W536" s="505"/>
      <c r="X536" s="505"/>
      <c r="Y536" s="505"/>
      <c r="Z536" s="505"/>
      <c r="AA536" s="505"/>
      <c r="AB536" s="505"/>
      <c r="AC536" s="505"/>
      <c r="AD536" s="505"/>
      <c r="AE536" s="505"/>
      <c r="AF536" s="505"/>
      <c r="AG536" s="505"/>
      <c r="AH536" s="505"/>
      <c r="AI536" s="505"/>
      <c r="AJ536" s="505"/>
      <c r="AK536" s="505"/>
      <c r="AL536" s="505"/>
      <c r="AM536" s="505"/>
      <c r="AN536" s="505"/>
      <c r="AO536" s="505"/>
      <c r="AP536" s="505"/>
      <c r="AQ536" s="505"/>
      <c r="AR536" s="505"/>
      <c r="AS536" s="505"/>
      <c r="AT536" s="505"/>
      <c r="AU536" s="505"/>
      <c r="AV536" s="505"/>
      <c r="AW536" s="505"/>
      <c r="AX536" s="505"/>
      <c r="AY536" s="505"/>
      <c r="AZ536" s="505"/>
      <c r="BA536" s="505"/>
      <c r="BB536" s="505"/>
      <c r="BC536" s="505"/>
      <c r="BD536" s="505"/>
      <c r="BE536" s="505"/>
      <c r="BF536" s="505"/>
      <c r="BG536" s="505"/>
      <c r="BH536" s="505"/>
      <c r="BI536" s="505"/>
      <c r="BJ536" s="505"/>
      <c r="BK536" s="505"/>
      <c r="BL536" s="505"/>
      <c r="BM536" s="505"/>
      <c r="BN536" s="505"/>
      <c r="BO536" s="505"/>
      <c r="BP536" s="505"/>
      <c r="BQ536" s="505"/>
      <c r="BR536" s="505"/>
      <c r="BS536" s="505"/>
      <c r="BT536" s="505"/>
      <c r="BU536" s="505"/>
      <c r="BV536" s="505"/>
      <c r="BW536" s="505"/>
      <c r="BX536" s="505"/>
      <c r="BY536" s="505"/>
      <c r="BZ536" s="505"/>
      <c r="CA536" s="505"/>
      <c r="CB536" s="505"/>
      <c r="CC536" s="505"/>
      <c r="CD536" s="505"/>
      <c r="CE536" s="505"/>
      <c r="CF536" s="505"/>
      <c r="CG536" s="505"/>
      <c r="CH536" s="505"/>
      <c r="CI536" s="505"/>
      <c r="CJ536" s="505"/>
      <c r="CK536" s="505"/>
      <c r="CL536" s="505"/>
      <c r="CM536" s="505"/>
      <c r="CN536" s="505"/>
      <c r="CO536" s="505"/>
      <c r="CP536" s="505"/>
      <c r="CQ536" s="505"/>
      <c r="CR536" s="505"/>
      <c r="CS536" s="505"/>
      <c r="CT536" s="505"/>
      <c r="CU536" s="505"/>
      <c r="CV536" s="505"/>
      <c r="CW536" s="505"/>
      <c r="CX536" s="505"/>
      <c r="CY536" s="505"/>
      <c r="CZ536" s="505"/>
      <c r="DA536" s="505"/>
      <c r="DB536" s="505"/>
      <c r="DC536" s="505"/>
      <c r="DD536" s="505"/>
      <c r="DE536" s="505"/>
      <c r="DF536" s="505"/>
      <c r="DG536" s="505"/>
      <c r="DH536" s="505"/>
      <c r="DI536" s="505"/>
      <c r="DJ536" s="505"/>
      <c r="DK536" s="505"/>
      <c r="DL536" s="505"/>
      <c r="DM536" s="505"/>
      <c r="DN536" s="505"/>
      <c r="DO536" s="505"/>
      <c r="DP536" s="505"/>
    </row>
    <row r="537" spans="1:120" hidden="1" outlineLevel="1" x14ac:dyDescent="0.2">
      <c r="A537" s="517">
        <f t="shared" si="73"/>
        <v>40238</v>
      </c>
      <c r="B537" s="517" t="str">
        <f t="shared" si="70"/>
        <v>1Q10</v>
      </c>
      <c r="C537" s="517" t="str">
        <f t="shared" si="74"/>
        <v>2Q10</v>
      </c>
      <c r="D537" s="518">
        <f t="shared" si="75"/>
        <v>40312</v>
      </c>
      <c r="E537" s="518">
        <f t="shared" si="75"/>
        <v>40252</v>
      </c>
      <c r="F537" s="520">
        <v>2.9239999999999999</v>
      </c>
      <c r="G537" s="521">
        <f t="shared" si="71"/>
        <v>0.36000000000000015</v>
      </c>
      <c r="H537" s="521">
        <f t="shared" si="72"/>
        <v>0.36000000000000015</v>
      </c>
      <c r="I537" s="505"/>
      <c r="J537" s="505"/>
      <c r="K537" s="505"/>
      <c r="L537" s="505"/>
      <c r="M537" s="528"/>
      <c r="N537" s="505"/>
      <c r="O537" s="505"/>
      <c r="P537" s="505"/>
      <c r="Q537" s="505"/>
      <c r="R537" s="505"/>
      <c r="S537" s="505"/>
      <c r="T537" s="505"/>
      <c r="U537" s="505"/>
      <c r="V537" s="505"/>
      <c r="W537" s="505"/>
      <c r="X537" s="505"/>
      <c r="Y537" s="505"/>
      <c r="Z537" s="505"/>
      <c r="AA537" s="505"/>
      <c r="AB537" s="505"/>
      <c r="AC537" s="505"/>
      <c r="AD537" s="505"/>
      <c r="AE537" s="505"/>
      <c r="AF537" s="505"/>
      <c r="AG537" s="505"/>
      <c r="AH537" s="505"/>
      <c r="AI537" s="505"/>
      <c r="AJ537" s="505"/>
      <c r="AK537" s="505"/>
      <c r="AL537" s="505"/>
      <c r="AM537" s="505"/>
      <c r="AN537" s="505"/>
      <c r="AO537" s="505"/>
      <c r="AP537" s="505"/>
      <c r="AQ537" s="505"/>
      <c r="AR537" s="505"/>
      <c r="AS537" s="505"/>
      <c r="AT537" s="505"/>
      <c r="AU537" s="505"/>
      <c r="AV537" s="505"/>
      <c r="AW537" s="505"/>
      <c r="AX537" s="505"/>
      <c r="AY537" s="505"/>
      <c r="AZ537" s="505"/>
      <c r="BA537" s="505"/>
      <c r="BB537" s="505"/>
      <c r="BC537" s="505"/>
      <c r="BD537" s="505"/>
      <c r="BE537" s="505"/>
      <c r="BF537" s="505"/>
      <c r="BG537" s="505"/>
      <c r="BH537" s="505"/>
      <c r="BI537" s="505"/>
      <c r="BJ537" s="505"/>
      <c r="BK537" s="505"/>
      <c r="BL537" s="505"/>
      <c r="BM537" s="505"/>
      <c r="BN537" s="505"/>
      <c r="BO537" s="505"/>
      <c r="BP537" s="505"/>
      <c r="BQ537" s="505"/>
      <c r="BR537" s="505"/>
      <c r="BS537" s="505"/>
      <c r="BT537" s="505"/>
      <c r="BU537" s="505"/>
      <c r="BV537" s="505"/>
      <c r="BW537" s="505"/>
      <c r="BX537" s="505"/>
      <c r="BY537" s="505"/>
      <c r="BZ537" s="505"/>
      <c r="CA537" s="505"/>
      <c r="CB537" s="505"/>
      <c r="CC537" s="505"/>
      <c r="CD537" s="505"/>
      <c r="CE537" s="505"/>
      <c r="CF537" s="505"/>
      <c r="CG537" s="505"/>
      <c r="CH537" s="505"/>
      <c r="CI537" s="505"/>
      <c r="CJ537" s="505"/>
      <c r="CK537" s="505"/>
      <c r="CL537" s="505"/>
      <c r="CM537" s="505"/>
      <c r="CN537" s="505"/>
      <c r="CO537" s="505"/>
      <c r="CP537" s="505"/>
      <c r="CQ537" s="505"/>
      <c r="CR537" s="505"/>
      <c r="CS537" s="505"/>
      <c r="CT537" s="505"/>
      <c r="CU537" s="505"/>
      <c r="CV537" s="505"/>
      <c r="CW537" s="505"/>
      <c r="CX537" s="505"/>
      <c r="CY537" s="505"/>
      <c r="CZ537" s="505"/>
      <c r="DA537" s="505"/>
      <c r="DB537" s="505"/>
      <c r="DC537" s="505"/>
      <c r="DD537" s="505"/>
      <c r="DE537" s="505"/>
      <c r="DF537" s="505"/>
      <c r="DG537" s="505"/>
      <c r="DH537" s="505"/>
      <c r="DI537" s="505"/>
      <c r="DJ537" s="505"/>
      <c r="DK537" s="505"/>
      <c r="DL537" s="505"/>
      <c r="DM537" s="505"/>
      <c r="DN537" s="505"/>
      <c r="DO537" s="505"/>
      <c r="DP537" s="505"/>
    </row>
    <row r="538" spans="1:120" hidden="1" outlineLevel="1" x14ac:dyDescent="0.2">
      <c r="A538" s="517">
        <f t="shared" si="73"/>
        <v>40238</v>
      </c>
      <c r="B538" s="517" t="str">
        <f t="shared" si="70"/>
        <v>1Q10</v>
      </c>
      <c r="C538" s="517" t="str">
        <f t="shared" si="74"/>
        <v>2Q10</v>
      </c>
      <c r="D538" s="518">
        <f t="shared" si="75"/>
        <v>40319</v>
      </c>
      <c r="E538" s="518">
        <f t="shared" si="75"/>
        <v>40259</v>
      </c>
      <c r="F538" s="520">
        <v>2.9460000000000002</v>
      </c>
      <c r="G538" s="521">
        <f t="shared" si="71"/>
        <v>0.36000000000000015</v>
      </c>
      <c r="H538" s="521">
        <f t="shared" si="72"/>
        <v>0.36000000000000015</v>
      </c>
      <c r="I538" s="505"/>
      <c r="J538" s="505"/>
      <c r="K538" s="505"/>
      <c r="L538" s="505"/>
      <c r="M538" s="528"/>
      <c r="N538" s="505"/>
      <c r="O538" s="505"/>
      <c r="P538" s="505"/>
      <c r="Q538" s="505"/>
      <c r="R538" s="505"/>
      <c r="S538" s="505"/>
      <c r="T538" s="505"/>
      <c r="U538" s="505"/>
      <c r="V538" s="505"/>
      <c r="W538" s="505"/>
      <c r="X538" s="505"/>
      <c r="Y538" s="505"/>
      <c r="Z538" s="505"/>
      <c r="AA538" s="505"/>
      <c r="AB538" s="505"/>
      <c r="AC538" s="505"/>
      <c r="AD538" s="505"/>
      <c r="AE538" s="505"/>
      <c r="AF538" s="505"/>
      <c r="AG538" s="505"/>
      <c r="AH538" s="505"/>
      <c r="AI538" s="505"/>
      <c r="AJ538" s="505"/>
      <c r="AK538" s="505"/>
      <c r="AL538" s="505"/>
      <c r="AM538" s="505"/>
      <c r="AN538" s="505"/>
      <c r="AO538" s="505"/>
      <c r="AP538" s="505"/>
      <c r="AQ538" s="505"/>
      <c r="AR538" s="505"/>
      <c r="AS538" s="505"/>
      <c r="AT538" s="505"/>
      <c r="AU538" s="505"/>
      <c r="AV538" s="505"/>
      <c r="AW538" s="505"/>
      <c r="AX538" s="505"/>
      <c r="AY538" s="505"/>
      <c r="AZ538" s="505"/>
      <c r="BA538" s="505"/>
      <c r="BB538" s="505"/>
      <c r="BC538" s="505"/>
      <c r="BD538" s="505"/>
      <c r="BE538" s="505"/>
      <c r="BF538" s="505"/>
      <c r="BG538" s="505"/>
      <c r="BH538" s="505"/>
      <c r="BI538" s="505"/>
      <c r="BJ538" s="505"/>
      <c r="BK538" s="505"/>
      <c r="BL538" s="505"/>
      <c r="BM538" s="505"/>
      <c r="BN538" s="505"/>
      <c r="BO538" s="505"/>
      <c r="BP538" s="505"/>
      <c r="BQ538" s="505"/>
      <c r="BR538" s="505"/>
      <c r="BS538" s="505"/>
      <c r="BT538" s="505"/>
      <c r="BU538" s="505"/>
      <c r="BV538" s="505"/>
      <c r="BW538" s="505"/>
      <c r="BX538" s="505"/>
      <c r="BY538" s="505"/>
      <c r="BZ538" s="505"/>
      <c r="CA538" s="505"/>
      <c r="CB538" s="505"/>
      <c r="CC538" s="505"/>
      <c r="CD538" s="505"/>
      <c r="CE538" s="505"/>
      <c r="CF538" s="505"/>
      <c r="CG538" s="505"/>
      <c r="CH538" s="505"/>
      <c r="CI538" s="505"/>
      <c r="CJ538" s="505"/>
      <c r="CK538" s="505"/>
      <c r="CL538" s="505"/>
      <c r="CM538" s="505"/>
      <c r="CN538" s="505"/>
      <c r="CO538" s="505"/>
      <c r="CP538" s="505"/>
      <c r="CQ538" s="505"/>
      <c r="CR538" s="505"/>
      <c r="CS538" s="505"/>
      <c r="CT538" s="505"/>
      <c r="CU538" s="505"/>
      <c r="CV538" s="505"/>
      <c r="CW538" s="505"/>
      <c r="CX538" s="505"/>
      <c r="CY538" s="505"/>
      <c r="CZ538" s="505"/>
      <c r="DA538" s="505"/>
      <c r="DB538" s="505"/>
      <c r="DC538" s="505"/>
      <c r="DD538" s="505"/>
      <c r="DE538" s="505"/>
      <c r="DF538" s="505"/>
      <c r="DG538" s="505"/>
      <c r="DH538" s="505"/>
      <c r="DI538" s="505"/>
      <c r="DJ538" s="505"/>
      <c r="DK538" s="505"/>
      <c r="DL538" s="505"/>
      <c r="DM538" s="505"/>
      <c r="DN538" s="505"/>
      <c r="DO538" s="505"/>
      <c r="DP538" s="505"/>
    </row>
    <row r="539" spans="1:120" hidden="1" outlineLevel="1" x14ac:dyDescent="0.2">
      <c r="A539" s="517">
        <f t="shared" si="73"/>
        <v>40238</v>
      </c>
      <c r="B539" s="517" t="str">
        <f t="shared" si="70"/>
        <v>1Q10</v>
      </c>
      <c r="C539" s="517" t="str">
        <f t="shared" si="74"/>
        <v>2Q10</v>
      </c>
      <c r="D539" s="518">
        <f t="shared" si="75"/>
        <v>40326</v>
      </c>
      <c r="E539" s="518">
        <f t="shared" si="75"/>
        <v>40266</v>
      </c>
      <c r="F539" s="520">
        <v>2.9390000000000001</v>
      </c>
      <c r="G539" s="521">
        <f t="shared" si="71"/>
        <v>0.36000000000000015</v>
      </c>
      <c r="H539" s="521">
        <f t="shared" si="72"/>
        <v>0.38000000000000017</v>
      </c>
      <c r="I539" s="505"/>
      <c r="J539" s="505"/>
      <c r="K539" s="505"/>
      <c r="L539" s="505"/>
      <c r="M539" s="528"/>
      <c r="N539" s="505"/>
      <c r="O539" s="505"/>
      <c r="P539" s="505"/>
      <c r="Q539" s="505"/>
      <c r="R539" s="505"/>
      <c r="S539" s="505"/>
      <c r="T539" s="505"/>
      <c r="U539" s="505"/>
      <c r="V539" s="505"/>
      <c r="W539" s="505"/>
      <c r="X539" s="505"/>
      <c r="Y539" s="505"/>
      <c r="Z539" s="505"/>
      <c r="AA539" s="505"/>
      <c r="AB539" s="505"/>
      <c r="AC539" s="505"/>
      <c r="AD539" s="505"/>
      <c r="AE539" s="505"/>
      <c r="AF539" s="505"/>
      <c r="AG539" s="505"/>
      <c r="AH539" s="505"/>
      <c r="AI539" s="505"/>
      <c r="AJ539" s="505"/>
      <c r="AK539" s="505"/>
      <c r="AL539" s="505"/>
      <c r="AM539" s="505"/>
      <c r="AN539" s="505"/>
      <c r="AO539" s="505"/>
      <c r="AP539" s="505"/>
      <c r="AQ539" s="505"/>
      <c r="AR539" s="505"/>
      <c r="AS539" s="505"/>
      <c r="AT539" s="505"/>
      <c r="AU539" s="505"/>
      <c r="AV539" s="505"/>
      <c r="AW539" s="505"/>
      <c r="AX539" s="505"/>
      <c r="AY539" s="505"/>
      <c r="AZ539" s="505"/>
      <c r="BA539" s="505"/>
      <c r="BB539" s="505"/>
      <c r="BC539" s="505"/>
      <c r="BD539" s="505"/>
      <c r="BE539" s="505"/>
      <c r="BF539" s="505"/>
      <c r="BG539" s="505"/>
      <c r="BH539" s="505"/>
      <c r="BI539" s="505"/>
      <c r="BJ539" s="505"/>
      <c r="BK539" s="505"/>
      <c r="BL539" s="505"/>
      <c r="BM539" s="505"/>
      <c r="BN539" s="505"/>
      <c r="BO539" s="505"/>
      <c r="BP539" s="505"/>
      <c r="BQ539" s="505"/>
      <c r="BR539" s="505"/>
      <c r="BS539" s="505"/>
      <c r="BT539" s="505"/>
      <c r="BU539" s="505"/>
      <c r="BV539" s="505"/>
      <c r="BW539" s="505"/>
      <c r="BX539" s="505"/>
      <c r="BY539" s="505"/>
      <c r="BZ539" s="505"/>
      <c r="CA539" s="505"/>
      <c r="CB539" s="505"/>
      <c r="CC539" s="505"/>
      <c r="CD539" s="505"/>
      <c r="CE539" s="505"/>
      <c r="CF539" s="505"/>
      <c r="CG539" s="505"/>
      <c r="CH539" s="505"/>
      <c r="CI539" s="505"/>
      <c r="CJ539" s="505"/>
      <c r="CK539" s="505"/>
      <c r="CL539" s="505"/>
      <c r="CM539" s="505"/>
      <c r="CN539" s="505"/>
      <c r="CO539" s="505"/>
      <c r="CP539" s="505"/>
      <c r="CQ539" s="505"/>
      <c r="CR539" s="505"/>
      <c r="CS539" s="505"/>
      <c r="CT539" s="505"/>
      <c r="CU539" s="505"/>
      <c r="CV539" s="505"/>
      <c r="CW539" s="505"/>
      <c r="CX539" s="505"/>
      <c r="CY539" s="505"/>
      <c r="CZ539" s="505"/>
      <c r="DA539" s="505"/>
      <c r="DB539" s="505"/>
      <c r="DC539" s="505"/>
      <c r="DD539" s="505"/>
      <c r="DE539" s="505"/>
      <c r="DF539" s="505"/>
      <c r="DG539" s="505"/>
      <c r="DH539" s="505"/>
      <c r="DI539" s="505"/>
      <c r="DJ539" s="505"/>
      <c r="DK539" s="505"/>
      <c r="DL539" s="505"/>
      <c r="DM539" s="505"/>
      <c r="DN539" s="505"/>
      <c r="DO539" s="505"/>
      <c r="DP539" s="505"/>
    </row>
    <row r="540" spans="1:120" hidden="1" outlineLevel="1" x14ac:dyDescent="0.2">
      <c r="A540" s="517">
        <f t="shared" si="73"/>
        <v>40269</v>
      </c>
      <c r="B540" s="517" t="str">
        <f t="shared" si="70"/>
        <v>2Q10</v>
      </c>
      <c r="C540" s="517" t="str">
        <f t="shared" si="74"/>
        <v>2Q10</v>
      </c>
      <c r="D540" s="518">
        <f t="shared" si="75"/>
        <v>40333</v>
      </c>
      <c r="E540" s="518">
        <f t="shared" si="75"/>
        <v>40273</v>
      </c>
      <c r="F540" s="520">
        <v>3.0150000000000001</v>
      </c>
      <c r="G540" s="521">
        <f t="shared" si="71"/>
        <v>0.38000000000000017</v>
      </c>
      <c r="H540" s="521">
        <f t="shared" si="72"/>
        <v>0.39000000000000018</v>
      </c>
      <c r="I540" s="505"/>
      <c r="J540" s="505"/>
      <c r="K540" s="505"/>
      <c r="L540" s="505"/>
      <c r="M540" s="528"/>
      <c r="N540" s="505"/>
      <c r="O540" s="505"/>
      <c r="P540" s="505"/>
      <c r="Q540" s="505"/>
      <c r="R540" s="505"/>
      <c r="S540" s="505"/>
      <c r="T540" s="505"/>
      <c r="U540" s="505"/>
      <c r="V540" s="505"/>
      <c r="W540" s="505"/>
      <c r="X540" s="505"/>
      <c r="Y540" s="505"/>
      <c r="Z540" s="505"/>
      <c r="AA540" s="505"/>
      <c r="AB540" s="505"/>
      <c r="AC540" s="505"/>
      <c r="AD540" s="505"/>
      <c r="AE540" s="505"/>
      <c r="AF540" s="505"/>
      <c r="AG540" s="505"/>
      <c r="AH540" s="505"/>
      <c r="AI540" s="505"/>
      <c r="AJ540" s="505"/>
      <c r="AK540" s="505"/>
      <c r="AL540" s="505"/>
      <c r="AM540" s="505"/>
      <c r="AN540" s="505"/>
      <c r="AO540" s="505"/>
      <c r="AP540" s="505"/>
      <c r="AQ540" s="505"/>
      <c r="AR540" s="505"/>
      <c r="AS540" s="505"/>
      <c r="AT540" s="505"/>
      <c r="AU540" s="505"/>
      <c r="AV540" s="505"/>
      <c r="AW540" s="505"/>
      <c r="AX540" s="505"/>
      <c r="AY540" s="505"/>
      <c r="AZ540" s="505"/>
      <c r="BA540" s="505"/>
      <c r="BB540" s="505"/>
      <c r="BC540" s="505"/>
      <c r="BD540" s="505"/>
      <c r="BE540" s="505"/>
      <c r="BF540" s="505"/>
      <c r="BG540" s="505"/>
      <c r="BH540" s="505"/>
      <c r="BI540" s="505"/>
      <c r="BJ540" s="505"/>
      <c r="BK540" s="505"/>
      <c r="BL540" s="505"/>
      <c r="BM540" s="505"/>
      <c r="BN540" s="505"/>
      <c r="BO540" s="505"/>
      <c r="BP540" s="505"/>
      <c r="BQ540" s="505"/>
      <c r="BR540" s="505"/>
      <c r="BS540" s="505"/>
      <c r="BT540" s="505"/>
      <c r="BU540" s="505"/>
      <c r="BV540" s="505"/>
      <c r="BW540" s="505"/>
      <c r="BX540" s="505"/>
      <c r="BY540" s="505"/>
      <c r="BZ540" s="505"/>
      <c r="CA540" s="505"/>
      <c r="CB540" s="505"/>
      <c r="CC540" s="505"/>
      <c r="CD540" s="505"/>
      <c r="CE540" s="505"/>
      <c r="CF540" s="505"/>
      <c r="CG540" s="505"/>
      <c r="CH540" s="505"/>
      <c r="CI540" s="505"/>
      <c r="CJ540" s="505"/>
      <c r="CK540" s="505"/>
      <c r="CL540" s="505"/>
      <c r="CM540" s="505"/>
      <c r="CN540" s="505"/>
      <c r="CO540" s="505"/>
      <c r="CP540" s="505"/>
      <c r="CQ540" s="505"/>
      <c r="CR540" s="505"/>
      <c r="CS540" s="505"/>
      <c r="CT540" s="505"/>
      <c r="CU540" s="505"/>
      <c r="CV540" s="505"/>
      <c r="CW540" s="505"/>
      <c r="CX540" s="505"/>
      <c r="CY540" s="505"/>
      <c r="CZ540" s="505"/>
      <c r="DA540" s="505"/>
      <c r="DB540" s="505"/>
      <c r="DC540" s="505"/>
      <c r="DD540" s="505"/>
      <c r="DE540" s="505"/>
      <c r="DF540" s="505"/>
      <c r="DG540" s="505"/>
      <c r="DH540" s="505"/>
      <c r="DI540" s="505"/>
      <c r="DJ540" s="505"/>
      <c r="DK540" s="505"/>
      <c r="DL540" s="505"/>
      <c r="DM540" s="505"/>
      <c r="DN540" s="505"/>
      <c r="DO540" s="505"/>
      <c r="DP540" s="505"/>
    </row>
    <row r="541" spans="1:120" hidden="1" outlineLevel="1" x14ac:dyDescent="0.2">
      <c r="A541" s="517">
        <f t="shared" si="73"/>
        <v>40269</v>
      </c>
      <c r="B541" s="517" t="str">
        <f t="shared" si="70"/>
        <v>2Q10</v>
      </c>
      <c r="C541" s="517" t="str">
        <f t="shared" si="74"/>
        <v>2Q10</v>
      </c>
      <c r="D541" s="518">
        <f t="shared" si="75"/>
        <v>40340</v>
      </c>
      <c r="E541" s="518">
        <f t="shared" si="75"/>
        <v>40280</v>
      </c>
      <c r="F541" s="520">
        <v>3.069</v>
      </c>
      <c r="G541" s="521">
        <f t="shared" si="71"/>
        <v>0.39000000000000018</v>
      </c>
      <c r="H541" s="521">
        <f t="shared" si="72"/>
        <v>0.39000000000000018</v>
      </c>
      <c r="I541" s="505"/>
      <c r="J541" s="505"/>
      <c r="K541" s="505"/>
      <c r="L541" s="505"/>
      <c r="M541" s="528"/>
      <c r="N541" s="505"/>
      <c r="O541" s="505"/>
      <c r="P541" s="505"/>
      <c r="Q541" s="505"/>
      <c r="R541" s="505"/>
      <c r="S541" s="505"/>
      <c r="T541" s="505"/>
      <c r="U541" s="505"/>
      <c r="V541" s="505"/>
      <c r="W541" s="505"/>
      <c r="X541" s="505"/>
      <c r="Y541" s="505"/>
      <c r="Z541" s="505"/>
      <c r="AA541" s="505"/>
      <c r="AB541" s="505"/>
      <c r="AC541" s="505"/>
      <c r="AD541" s="505"/>
      <c r="AE541" s="505"/>
      <c r="AF541" s="505"/>
      <c r="AG541" s="505"/>
      <c r="AH541" s="505"/>
      <c r="AI541" s="505"/>
      <c r="AJ541" s="505"/>
      <c r="AK541" s="505"/>
      <c r="AL541" s="505"/>
      <c r="AM541" s="505"/>
      <c r="AN541" s="505"/>
      <c r="AO541" s="505"/>
      <c r="AP541" s="505"/>
      <c r="AQ541" s="505"/>
      <c r="AR541" s="505"/>
      <c r="AS541" s="505"/>
      <c r="AT541" s="505"/>
      <c r="AU541" s="505"/>
      <c r="AV541" s="505"/>
      <c r="AW541" s="505"/>
      <c r="AX541" s="505"/>
      <c r="AY541" s="505"/>
      <c r="AZ541" s="505"/>
      <c r="BA541" s="505"/>
      <c r="BB541" s="505"/>
      <c r="BC541" s="505"/>
      <c r="BD541" s="505"/>
      <c r="BE541" s="505"/>
      <c r="BF541" s="505"/>
      <c r="BG541" s="505"/>
      <c r="BH541" s="505"/>
      <c r="BI541" s="505"/>
      <c r="BJ541" s="505"/>
      <c r="BK541" s="505"/>
      <c r="BL541" s="505"/>
      <c r="BM541" s="505"/>
      <c r="BN541" s="505"/>
      <c r="BO541" s="505"/>
      <c r="BP541" s="505"/>
      <c r="BQ541" s="505"/>
      <c r="BR541" s="505"/>
      <c r="BS541" s="505"/>
      <c r="BT541" s="505"/>
      <c r="BU541" s="505"/>
      <c r="BV541" s="505"/>
      <c r="BW541" s="505"/>
      <c r="BX541" s="505"/>
      <c r="BY541" s="505"/>
      <c r="BZ541" s="505"/>
      <c r="CA541" s="505"/>
      <c r="CB541" s="505"/>
      <c r="CC541" s="505"/>
      <c r="CD541" s="505"/>
      <c r="CE541" s="505"/>
      <c r="CF541" s="505"/>
      <c r="CG541" s="505"/>
      <c r="CH541" s="505"/>
      <c r="CI541" s="505"/>
      <c r="CJ541" s="505"/>
      <c r="CK541" s="505"/>
      <c r="CL541" s="505"/>
      <c r="CM541" s="505"/>
      <c r="CN541" s="505"/>
      <c r="CO541" s="505"/>
      <c r="CP541" s="505"/>
      <c r="CQ541" s="505"/>
      <c r="CR541" s="505"/>
      <c r="CS541" s="505"/>
      <c r="CT541" s="505"/>
      <c r="CU541" s="505"/>
      <c r="CV541" s="505"/>
      <c r="CW541" s="505"/>
      <c r="CX541" s="505"/>
      <c r="CY541" s="505"/>
      <c r="CZ541" s="505"/>
      <c r="DA541" s="505"/>
      <c r="DB541" s="505"/>
      <c r="DC541" s="505"/>
      <c r="DD541" s="505"/>
      <c r="DE541" s="505"/>
      <c r="DF541" s="505"/>
      <c r="DG541" s="505"/>
      <c r="DH541" s="505"/>
      <c r="DI541" s="505"/>
      <c r="DJ541" s="505"/>
      <c r="DK541" s="505"/>
      <c r="DL541" s="505"/>
      <c r="DM541" s="505"/>
      <c r="DN541" s="505"/>
      <c r="DO541" s="505"/>
      <c r="DP541" s="505"/>
    </row>
    <row r="542" spans="1:120" hidden="1" outlineLevel="1" x14ac:dyDescent="0.2">
      <c r="A542" s="517">
        <f t="shared" si="73"/>
        <v>40269</v>
      </c>
      <c r="B542" s="517" t="str">
        <f t="shared" si="70"/>
        <v>2Q10</v>
      </c>
      <c r="C542" s="517" t="str">
        <f t="shared" si="74"/>
        <v>2Q10</v>
      </c>
      <c r="D542" s="518">
        <f t="shared" si="75"/>
        <v>40347</v>
      </c>
      <c r="E542" s="518">
        <f t="shared" si="75"/>
        <v>40287</v>
      </c>
      <c r="F542" s="520">
        <v>3.0739999999999998</v>
      </c>
      <c r="G542" s="521">
        <f t="shared" si="71"/>
        <v>0.39000000000000018</v>
      </c>
      <c r="H542" s="521">
        <f t="shared" si="72"/>
        <v>0.39000000000000018</v>
      </c>
      <c r="I542" s="505"/>
      <c r="J542" s="505"/>
      <c r="K542" s="505"/>
      <c r="L542" s="505"/>
      <c r="M542" s="528"/>
      <c r="N542" s="505"/>
      <c r="O542" s="505"/>
      <c r="P542" s="505"/>
      <c r="Q542" s="505"/>
      <c r="R542" s="505"/>
      <c r="S542" s="505"/>
      <c r="T542" s="505"/>
      <c r="U542" s="505"/>
      <c r="V542" s="505"/>
      <c r="W542" s="505"/>
      <c r="X542" s="505"/>
      <c r="Y542" s="505"/>
      <c r="Z542" s="505"/>
      <c r="AA542" s="505"/>
      <c r="AB542" s="505"/>
      <c r="AC542" s="505"/>
      <c r="AD542" s="505"/>
      <c r="AE542" s="505"/>
      <c r="AF542" s="505"/>
      <c r="AG542" s="505"/>
      <c r="AH542" s="505"/>
      <c r="AI542" s="505"/>
      <c r="AJ542" s="505"/>
      <c r="AK542" s="505"/>
      <c r="AL542" s="505"/>
      <c r="AM542" s="505"/>
      <c r="AN542" s="505"/>
      <c r="AO542" s="505"/>
      <c r="AP542" s="505"/>
      <c r="AQ542" s="505"/>
      <c r="AR542" s="505"/>
      <c r="AS542" s="505"/>
      <c r="AT542" s="505"/>
      <c r="AU542" s="505"/>
      <c r="AV542" s="505"/>
      <c r="AW542" s="505"/>
      <c r="AX542" s="505"/>
      <c r="AY542" s="505"/>
      <c r="AZ542" s="505"/>
      <c r="BA542" s="505"/>
      <c r="BB542" s="505"/>
      <c r="BC542" s="505"/>
      <c r="BD542" s="505"/>
      <c r="BE542" s="505"/>
      <c r="BF542" s="505"/>
      <c r="BG542" s="505"/>
      <c r="BH542" s="505"/>
      <c r="BI542" s="505"/>
      <c r="BJ542" s="505"/>
      <c r="BK542" s="505"/>
      <c r="BL542" s="505"/>
      <c r="BM542" s="505"/>
      <c r="BN542" s="505"/>
      <c r="BO542" s="505"/>
      <c r="BP542" s="505"/>
      <c r="BQ542" s="505"/>
      <c r="BR542" s="505"/>
      <c r="BS542" s="505"/>
      <c r="BT542" s="505"/>
      <c r="BU542" s="505"/>
      <c r="BV542" s="505"/>
      <c r="BW542" s="505"/>
      <c r="BX542" s="505"/>
      <c r="BY542" s="505"/>
      <c r="BZ542" s="505"/>
      <c r="CA542" s="505"/>
      <c r="CB542" s="505"/>
      <c r="CC542" s="505"/>
      <c r="CD542" s="505"/>
      <c r="CE542" s="505"/>
      <c r="CF542" s="505"/>
      <c r="CG542" s="505"/>
      <c r="CH542" s="505"/>
      <c r="CI542" s="505"/>
      <c r="CJ542" s="505"/>
      <c r="CK542" s="505"/>
      <c r="CL542" s="505"/>
      <c r="CM542" s="505"/>
      <c r="CN542" s="505"/>
      <c r="CO542" s="505"/>
      <c r="CP542" s="505"/>
      <c r="CQ542" s="505"/>
      <c r="CR542" s="505"/>
      <c r="CS542" s="505"/>
      <c r="CT542" s="505"/>
      <c r="CU542" s="505"/>
      <c r="CV542" s="505"/>
      <c r="CW542" s="505"/>
      <c r="CX542" s="505"/>
      <c r="CY542" s="505"/>
      <c r="CZ542" s="505"/>
      <c r="DA542" s="505"/>
      <c r="DB542" s="505"/>
      <c r="DC542" s="505"/>
      <c r="DD542" s="505"/>
      <c r="DE542" s="505"/>
      <c r="DF542" s="505"/>
      <c r="DG542" s="505"/>
      <c r="DH542" s="505"/>
      <c r="DI542" s="505"/>
      <c r="DJ542" s="505"/>
      <c r="DK542" s="505"/>
      <c r="DL542" s="505"/>
      <c r="DM542" s="505"/>
      <c r="DN542" s="505"/>
      <c r="DO542" s="505"/>
      <c r="DP542" s="505"/>
    </row>
    <row r="543" spans="1:120" hidden="1" outlineLevel="1" x14ac:dyDescent="0.2">
      <c r="A543" s="517">
        <f t="shared" si="73"/>
        <v>40269</v>
      </c>
      <c r="B543" s="517" t="str">
        <f t="shared" si="70"/>
        <v>2Q10</v>
      </c>
      <c r="C543" s="517" t="str">
        <f t="shared" si="74"/>
        <v>2Q10</v>
      </c>
      <c r="D543" s="518">
        <f t="shared" si="75"/>
        <v>40354</v>
      </c>
      <c r="E543" s="518">
        <f t="shared" si="75"/>
        <v>40294</v>
      </c>
      <c r="F543" s="520">
        <v>3.0779999999999998</v>
      </c>
      <c r="G543" s="521">
        <f t="shared" si="71"/>
        <v>0.39000000000000018</v>
      </c>
      <c r="H543" s="521">
        <f t="shared" si="72"/>
        <v>0.40000000000000019</v>
      </c>
      <c r="I543" s="505"/>
      <c r="J543" s="505"/>
      <c r="K543" s="505"/>
      <c r="L543" s="505"/>
      <c r="M543" s="528"/>
      <c r="N543" s="505"/>
      <c r="O543" s="505"/>
      <c r="P543" s="505"/>
      <c r="Q543" s="505"/>
      <c r="R543" s="505"/>
      <c r="S543" s="505"/>
      <c r="T543" s="505"/>
      <c r="U543" s="505"/>
      <c r="V543" s="505"/>
      <c r="W543" s="505"/>
      <c r="X543" s="505"/>
      <c r="Y543" s="505"/>
      <c r="Z543" s="505"/>
      <c r="AA543" s="505"/>
      <c r="AB543" s="505"/>
      <c r="AC543" s="505"/>
      <c r="AD543" s="505"/>
      <c r="AE543" s="505"/>
      <c r="AF543" s="505"/>
      <c r="AG543" s="505"/>
      <c r="AH543" s="505"/>
      <c r="AI543" s="505"/>
      <c r="AJ543" s="505"/>
      <c r="AK543" s="505"/>
      <c r="AL543" s="505"/>
      <c r="AM543" s="505"/>
      <c r="AN543" s="505"/>
      <c r="AO543" s="505"/>
      <c r="AP543" s="505"/>
      <c r="AQ543" s="505"/>
      <c r="AR543" s="505"/>
      <c r="AS543" s="505"/>
      <c r="AT543" s="505"/>
      <c r="AU543" s="505"/>
      <c r="AV543" s="505"/>
      <c r="AW543" s="505"/>
      <c r="AX543" s="505"/>
      <c r="AY543" s="505"/>
      <c r="AZ543" s="505"/>
      <c r="BA543" s="505"/>
      <c r="BB543" s="505"/>
      <c r="BC543" s="505"/>
      <c r="BD543" s="505"/>
      <c r="BE543" s="505"/>
      <c r="BF543" s="505"/>
      <c r="BG543" s="505"/>
      <c r="BH543" s="505"/>
      <c r="BI543" s="505"/>
      <c r="BJ543" s="505"/>
      <c r="BK543" s="505"/>
      <c r="BL543" s="505"/>
      <c r="BM543" s="505"/>
      <c r="BN543" s="505"/>
      <c r="BO543" s="505"/>
      <c r="BP543" s="505"/>
      <c r="BQ543" s="505"/>
      <c r="BR543" s="505"/>
      <c r="BS543" s="505"/>
      <c r="BT543" s="505"/>
      <c r="BU543" s="505"/>
      <c r="BV543" s="505"/>
      <c r="BW543" s="505"/>
      <c r="BX543" s="505"/>
      <c r="BY543" s="505"/>
      <c r="BZ543" s="505"/>
      <c r="CA543" s="505"/>
      <c r="CB543" s="505"/>
      <c r="CC543" s="505"/>
      <c r="CD543" s="505"/>
      <c r="CE543" s="505"/>
      <c r="CF543" s="505"/>
      <c r="CG543" s="505"/>
      <c r="CH543" s="505"/>
      <c r="CI543" s="505"/>
      <c r="CJ543" s="505"/>
      <c r="CK543" s="505"/>
      <c r="CL543" s="505"/>
      <c r="CM543" s="505"/>
      <c r="CN543" s="505"/>
      <c r="CO543" s="505"/>
      <c r="CP543" s="505"/>
      <c r="CQ543" s="505"/>
      <c r="CR543" s="505"/>
      <c r="CS543" s="505"/>
      <c r="CT543" s="505"/>
      <c r="CU543" s="505"/>
      <c r="CV543" s="505"/>
      <c r="CW543" s="505"/>
      <c r="CX543" s="505"/>
      <c r="CY543" s="505"/>
      <c r="CZ543" s="505"/>
      <c r="DA543" s="505"/>
      <c r="DB543" s="505"/>
      <c r="DC543" s="505"/>
      <c r="DD543" s="505"/>
      <c r="DE543" s="505"/>
      <c r="DF543" s="505"/>
      <c r="DG543" s="505"/>
      <c r="DH543" s="505"/>
      <c r="DI543" s="505"/>
      <c r="DJ543" s="505"/>
      <c r="DK543" s="505"/>
      <c r="DL543" s="505"/>
      <c r="DM543" s="505"/>
      <c r="DN543" s="505"/>
      <c r="DO543" s="505"/>
      <c r="DP543" s="505"/>
    </row>
    <row r="544" spans="1:120" hidden="1" outlineLevel="1" x14ac:dyDescent="0.2">
      <c r="A544" s="517">
        <f t="shared" si="73"/>
        <v>40299</v>
      </c>
      <c r="B544" s="517" t="str">
        <f t="shared" si="70"/>
        <v>2Q10</v>
      </c>
      <c r="C544" s="517" t="str">
        <f t="shared" si="74"/>
        <v>3Q10</v>
      </c>
      <c r="D544" s="518">
        <f t="shared" si="75"/>
        <v>40361</v>
      </c>
      <c r="E544" s="518">
        <f t="shared" si="75"/>
        <v>40301</v>
      </c>
      <c r="F544" s="520">
        <v>3.1219999999999999</v>
      </c>
      <c r="G544" s="521">
        <f t="shared" si="71"/>
        <v>0.40000000000000019</v>
      </c>
      <c r="H544" s="521">
        <f t="shared" si="72"/>
        <v>0.40000000000000019</v>
      </c>
      <c r="I544" s="505"/>
      <c r="J544" s="505"/>
      <c r="K544" s="505"/>
      <c r="L544" s="505"/>
      <c r="M544" s="528"/>
      <c r="N544" s="505"/>
      <c r="O544" s="505"/>
      <c r="P544" s="505"/>
      <c r="Q544" s="505"/>
      <c r="R544" s="505"/>
      <c r="S544" s="505"/>
      <c r="T544" s="505"/>
      <c r="U544" s="505"/>
      <c r="V544" s="505"/>
      <c r="W544" s="505"/>
      <c r="X544" s="505"/>
      <c r="Y544" s="505"/>
      <c r="Z544" s="505"/>
      <c r="AA544" s="505"/>
      <c r="AB544" s="505"/>
      <c r="AC544" s="505"/>
      <c r="AD544" s="505"/>
      <c r="AE544" s="505"/>
      <c r="AF544" s="505"/>
      <c r="AG544" s="505"/>
      <c r="AH544" s="505"/>
      <c r="AI544" s="505"/>
      <c r="AJ544" s="505"/>
      <c r="AK544" s="505"/>
      <c r="AL544" s="505"/>
      <c r="AM544" s="505"/>
      <c r="AN544" s="505"/>
      <c r="AO544" s="505"/>
      <c r="AP544" s="505"/>
      <c r="AQ544" s="505"/>
      <c r="AR544" s="505"/>
      <c r="AS544" s="505"/>
      <c r="AT544" s="505"/>
      <c r="AU544" s="505"/>
      <c r="AV544" s="505"/>
      <c r="AW544" s="505"/>
      <c r="AX544" s="505"/>
      <c r="AY544" s="505"/>
      <c r="AZ544" s="505"/>
      <c r="BA544" s="505"/>
      <c r="BB544" s="505"/>
      <c r="BC544" s="505"/>
      <c r="BD544" s="505"/>
      <c r="BE544" s="505"/>
      <c r="BF544" s="505"/>
      <c r="BG544" s="505"/>
      <c r="BH544" s="505"/>
      <c r="BI544" s="505"/>
      <c r="BJ544" s="505"/>
      <c r="BK544" s="505"/>
      <c r="BL544" s="505"/>
      <c r="BM544" s="505"/>
      <c r="BN544" s="505"/>
      <c r="BO544" s="505"/>
      <c r="BP544" s="505"/>
      <c r="BQ544" s="505"/>
      <c r="BR544" s="505"/>
      <c r="BS544" s="505"/>
      <c r="BT544" s="505"/>
      <c r="BU544" s="505"/>
      <c r="BV544" s="505"/>
      <c r="BW544" s="505"/>
      <c r="BX544" s="505"/>
      <c r="BY544" s="505"/>
      <c r="BZ544" s="505"/>
      <c r="CA544" s="505"/>
      <c r="CB544" s="505"/>
      <c r="CC544" s="505"/>
      <c r="CD544" s="505"/>
      <c r="CE544" s="505"/>
      <c r="CF544" s="505"/>
      <c r="CG544" s="505"/>
      <c r="CH544" s="505"/>
      <c r="CI544" s="505"/>
      <c r="CJ544" s="505"/>
      <c r="CK544" s="505"/>
      <c r="CL544" s="505"/>
      <c r="CM544" s="505"/>
      <c r="CN544" s="505"/>
      <c r="CO544" s="505"/>
      <c r="CP544" s="505"/>
      <c r="CQ544" s="505"/>
      <c r="CR544" s="505"/>
      <c r="CS544" s="505"/>
      <c r="CT544" s="505"/>
      <c r="CU544" s="505"/>
      <c r="CV544" s="505"/>
      <c r="CW544" s="505"/>
      <c r="CX544" s="505"/>
      <c r="CY544" s="505"/>
      <c r="CZ544" s="505"/>
      <c r="DA544" s="505"/>
      <c r="DB544" s="505"/>
      <c r="DC544" s="505"/>
      <c r="DD544" s="505"/>
      <c r="DE544" s="505"/>
      <c r="DF544" s="505"/>
      <c r="DG544" s="505"/>
      <c r="DH544" s="505"/>
      <c r="DI544" s="505"/>
      <c r="DJ544" s="505"/>
      <c r="DK544" s="505"/>
      <c r="DL544" s="505"/>
      <c r="DM544" s="505"/>
      <c r="DN544" s="505"/>
      <c r="DO544" s="505"/>
      <c r="DP544" s="505"/>
    </row>
    <row r="545" spans="1:120" hidden="1" outlineLevel="1" x14ac:dyDescent="0.2">
      <c r="A545" s="517">
        <f t="shared" si="73"/>
        <v>40299</v>
      </c>
      <c r="B545" s="517" t="str">
        <f t="shared" si="70"/>
        <v>2Q10</v>
      </c>
      <c r="C545" s="517" t="str">
        <f t="shared" si="74"/>
        <v>3Q10</v>
      </c>
      <c r="D545" s="518">
        <f t="shared" si="75"/>
        <v>40368</v>
      </c>
      <c r="E545" s="518">
        <f t="shared" si="75"/>
        <v>40308</v>
      </c>
      <c r="F545" s="520">
        <v>3.1269999999999998</v>
      </c>
      <c r="G545" s="521">
        <f t="shared" si="71"/>
        <v>0.40000000000000019</v>
      </c>
      <c r="H545" s="521">
        <f t="shared" si="72"/>
        <v>0.39000000000000018</v>
      </c>
      <c r="I545" s="505"/>
      <c r="J545" s="505"/>
      <c r="K545" s="505"/>
      <c r="L545" s="505"/>
      <c r="M545" s="528"/>
      <c r="N545" s="505"/>
      <c r="O545" s="505"/>
      <c r="P545" s="505"/>
      <c r="Q545" s="505"/>
      <c r="R545" s="505"/>
      <c r="S545" s="505"/>
      <c r="T545" s="505"/>
      <c r="U545" s="505"/>
      <c r="V545" s="505"/>
      <c r="W545" s="505"/>
      <c r="X545" s="505"/>
      <c r="Y545" s="505"/>
      <c r="Z545" s="505"/>
      <c r="AA545" s="505"/>
      <c r="AB545" s="505"/>
      <c r="AC545" s="505"/>
      <c r="AD545" s="505"/>
      <c r="AE545" s="505"/>
      <c r="AF545" s="505"/>
      <c r="AG545" s="505"/>
      <c r="AH545" s="505"/>
      <c r="AI545" s="505"/>
      <c r="AJ545" s="505"/>
      <c r="AK545" s="505"/>
      <c r="AL545" s="505"/>
      <c r="AM545" s="505"/>
      <c r="AN545" s="505"/>
      <c r="AO545" s="505"/>
      <c r="AP545" s="505"/>
      <c r="AQ545" s="505"/>
      <c r="AR545" s="505"/>
      <c r="AS545" s="505"/>
      <c r="AT545" s="505"/>
      <c r="AU545" s="505"/>
      <c r="AV545" s="505"/>
      <c r="AW545" s="505"/>
      <c r="AX545" s="505"/>
      <c r="AY545" s="505"/>
      <c r="AZ545" s="505"/>
      <c r="BA545" s="505"/>
      <c r="BB545" s="505"/>
      <c r="BC545" s="505"/>
      <c r="BD545" s="505"/>
      <c r="BE545" s="505"/>
      <c r="BF545" s="505"/>
      <c r="BG545" s="505"/>
      <c r="BH545" s="505"/>
      <c r="BI545" s="505"/>
      <c r="BJ545" s="505"/>
      <c r="BK545" s="505"/>
      <c r="BL545" s="505"/>
      <c r="BM545" s="505"/>
      <c r="BN545" s="505"/>
      <c r="BO545" s="505"/>
      <c r="BP545" s="505"/>
      <c r="BQ545" s="505"/>
      <c r="BR545" s="505"/>
      <c r="BS545" s="505"/>
      <c r="BT545" s="505"/>
      <c r="BU545" s="505"/>
      <c r="BV545" s="505"/>
      <c r="BW545" s="505"/>
      <c r="BX545" s="505"/>
      <c r="BY545" s="505"/>
      <c r="BZ545" s="505"/>
      <c r="CA545" s="505"/>
      <c r="CB545" s="505"/>
      <c r="CC545" s="505"/>
      <c r="CD545" s="505"/>
      <c r="CE545" s="505"/>
      <c r="CF545" s="505"/>
      <c r="CG545" s="505"/>
      <c r="CH545" s="505"/>
      <c r="CI545" s="505"/>
      <c r="CJ545" s="505"/>
      <c r="CK545" s="505"/>
      <c r="CL545" s="505"/>
      <c r="CM545" s="505"/>
      <c r="CN545" s="505"/>
      <c r="CO545" s="505"/>
      <c r="CP545" s="505"/>
      <c r="CQ545" s="505"/>
      <c r="CR545" s="505"/>
      <c r="CS545" s="505"/>
      <c r="CT545" s="505"/>
      <c r="CU545" s="505"/>
      <c r="CV545" s="505"/>
      <c r="CW545" s="505"/>
      <c r="CX545" s="505"/>
      <c r="CY545" s="505"/>
      <c r="CZ545" s="505"/>
      <c r="DA545" s="505"/>
      <c r="DB545" s="505"/>
      <c r="DC545" s="505"/>
      <c r="DD545" s="505"/>
      <c r="DE545" s="505"/>
      <c r="DF545" s="505"/>
      <c r="DG545" s="505"/>
      <c r="DH545" s="505"/>
      <c r="DI545" s="505"/>
      <c r="DJ545" s="505"/>
      <c r="DK545" s="505"/>
      <c r="DL545" s="505"/>
      <c r="DM545" s="505"/>
      <c r="DN545" s="505"/>
      <c r="DO545" s="505"/>
      <c r="DP545" s="505"/>
    </row>
    <row r="546" spans="1:120" hidden="1" outlineLevel="1" x14ac:dyDescent="0.2">
      <c r="A546" s="517">
        <f t="shared" si="73"/>
        <v>40299</v>
      </c>
      <c r="B546" s="517" t="str">
        <f t="shared" si="70"/>
        <v>2Q10</v>
      </c>
      <c r="C546" s="517" t="str">
        <f t="shared" si="74"/>
        <v>3Q10</v>
      </c>
      <c r="D546" s="518">
        <f t="shared" si="75"/>
        <v>40375</v>
      </c>
      <c r="E546" s="518">
        <f t="shared" si="75"/>
        <v>40315</v>
      </c>
      <c r="F546" s="520">
        <v>3.0939999999999999</v>
      </c>
      <c r="G546" s="521">
        <f t="shared" si="71"/>
        <v>0.39000000000000018</v>
      </c>
      <c r="H546" s="521">
        <f t="shared" si="72"/>
        <v>0.38000000000000017</v>
      </c>
      <c r="I546" s="505"/>
      <c r="J546" s="505"/>
      <c r="K546" s="505"/>
      <c r="L546" s="505"/>
      <c r="M546" s="528"/>
      <c r="N546" s="505"/>
      <c r="O546" s="505"/>
      <c r="P546" s="505"/>
      <c r="Q546" s="505"/>
      <c r="R546" s="505"/>
      <c r="S546" s="505"/>
      <c r="T546" s="505"/>
      <c r="U546" s="505"/>
      <c r="V546" s="505"/>
      <c r="W546" s="505"/>
      <c r="X546" s="505"/>
      <c r="Y546" s="505"/>
      <c r="Z546" s="505"/>
      <c r="AA546" s="505"/>
      <c r="AB546" s="505"/>
      <c r="AC546" s="505"/>
      <c r="AD546" s="505"/>
      <c r="AE546" s="505"/>
      <c r="AF546" s="505"/>
      <c r="AG546" s="505"/>
      <c r="AH546" s="505"/>
      <c r="AI546" s="505"/>
      <c r="AJ546" s="505"/>
      <c r="AK546" s="505"/>
      <c r="AL546" s="505"/>
      <c r="AM546" s="505"/>
      <c r="AN546" s="505"/>
      <c r="AO546" s="505"/>
      <c r="AP546" s="505"/>
      <c r="AQ546" s="505"/>
      <c r="AR546" s="505"/>
      <c r="AS546" s="505"/>
      <c r="AT546" s="505"/>
      <c r="AU546" s="505"/>
      <c r="AV546" s="505"/>
      <c r="AW546" s="505"/>
      <c r="AX546" s="505"/>
      <c r="AY546" s="505"/>
      <c r="AZ546" s="505"/>
      <c r="BA546" s="505"/>
      <c r="BB546" s="505"/>
      <c r="BC546" s="505"/>
      <c r="BD546" s="505"/>
      <c r="BE546" s="505"/>
      <c r="BF546" s="505"/>
      <c r="BG546" s="505"/>
      <c r="BH546" s="505"/>
      <c r="BI546" s="505"/>
      <c r="BJ546" s="505"/>
      <c r="BK546" s="505"/>
      <c r="BL546" s="505"/>
      <c r="BM546" s="505"/>
      <c r="BN546" s="505"/>
      <c r="BO546" s="505"/>
      <c r="BP546" s="505"/>
      <c r="BQ546" s="505"/>
      <c r="BR546" s="505"/>
      <c r="BS546" s="505"/>
      <c r="BT546" s="505"/>
      <c r="BU546" s="505"/>
      <c r="BV546" s="505"/>
      <c r="BW546" s="505"/>
      <c r="BX546" s="505"/>
      <c r="BY546" s="505"/>
      <c r="BZ546" s="505"/>
      <c r="CA546" s="505"/>
      <c r="CB546" s="505"/>
      <c r="CC546" s="505"/>
      <c r="CD546" s="505"/>
      <c r="CE546" s="505"/>
      <c r="CF546" s="505"/>
      <c r="CG546" s="505"/>
      <c r="CH546" s="505"/>
      <c r="CI546" s="505"/>
      <c r="CJ546" s="505"/>
      <c r="CK546" s="505"/>
      <c r="CL546" s="505"/>
      <c r="CM546" s="505"/>
      <c r="CN546" s="505"/>
      <c r="CO546" s="505"/>
      <c r="CP546" s="505"/>
      <c r="CQ546" s="505"/>
      <c r="CR546" s="505"/>
      <c r="CS546" s="505"/>
      <c r="CT546" s="505"/>
      <c r="CU546" s="505"/>
      <c r="CV546" s="505"/>
      <c r="CW546" s="505"/>
      <c r="CX546" s="505"/>
      <c r="CY546" s="505"/>
      <c r="CZ546" s="505"/>
      <c r="DA546" s="505"/>
      <c r="DB546" s="505"/>
      <c r="DC546" s="505"/>
      <c r="DD546" s="505"/>
      <c r="DE546" s="505"/>
      <c r="DF546" s="505"/>
      <c r="DG546" s="505"/>
      <c r="DH546" s="505"/>
      <c r="DI546" s="505"/>
      <c r="DJ546" s="505"/>
      <c r="DK546" s="505"/>
      <c r="DL546" s="505"/>
      <c r="DM546" s="505"/>
      <c r="DN546" s="505"/>
      <c r="DO546" s="505"/>
      <c r="DP546" s="505"/>
    </row>
    <row r="547" spans="1:120" hidden="1" outlineLevel="1" x14ac:dyDescent="0.2">
      <c r="A547" s="517">
        <f t="shared" si="73"/>
        <v>40299</v>
      </c>
      <c r="B547" s="517" t="str">
        <f t="shared" si="70"/>
        <v>2Q10</v>
      </c>
      <c r="C547" s="517" t="str">
        <f t="shared" si="74"/>
        <v>3Q10</v>
      </c>
      <c r="D547" s="518">
        <f t="shared" si="75"/>
        <v>40382</v>
      </c>
      <c r="E547" s="518">
        <f t="shared" si="75"/>
        <v>40322</v>
      </c>
      <c r="F547" s="520">
        <v>3.0209999999999999</v>
      </c>
      <c r="G547" s="521">
        <f t="shared" si="71"/>
        <v>0.38000000000000017</v>
      </c>
      <c r="H547" s="521">
        <f t="shared" si="72"/>
        <v>0.37000000000000016</v>
      </c>
      <c r="I547" s="505"/>
      <c r="J547" s="505"/>
      <c r="K547" s="505"/>
      <c r="L547" s="505"/>
      <c r="M547" s="528"/>
      <c r="N547" s="505"/>
      <c r="O547" s="505"/>
      <c r="P547" s="505"/>
      <c r="Q547" s="505"/>
      <c r="R547" s="505"/>
      <c r="S547" s="505"/>
      <c r="T547" s="505"/>
      <c r="U547" s="505"/>
      <c r="V547" s="505"/>
      <c r="W547" s="505"/>
      <c r="X547" s="505"/>
      <c r="Y547" s="505"/>
      <c r="Z547" s="505"/>
      <c r="AA547" s="505"/>
      <c r="AB547" s="505"/>
      <c r="AC547" s="505"/>
      <c r="AD547" s="505"/>
      <c r="AE547" s="505"/>
      <c r="AF547" s="505"/>
      <c r="AG547" s="505"/>
      <c r="AH547" s="505"/>
      <c r="AI547" s="505"/>
      <c r="AJ547" s="505"/>
      <c r="AK547" s="505"/>
      <c r="AL547" s="505"/>
      <c r="AM547" s="505"/>
      <c r="AN547" s="505"/>
      <c r="AO547" s="505"/>
      <c r="AP547" s="505"/>
      <c r="AQ547" s="505"/>
      <c r="AR547" s="505"/>
      <c r="AS547" s="505"/>
      <c r="AT547" s="505"/>
      <c r="AU547" s="505"/>
      <c r="AV547" s="505"/>
      <c r="AW547" s="505"/>
      <c r="AX547" s="505"/>
      <c r="AY547" s="505"/>
      <c r="AZ547" s="505"/>
      <c r="BA547" s="505"/>
      <c r="BB547" s="505"/>
      <c r="BC547" s="505"/>
      <c r="BD547" s="505"/>
      <c r="BE547" s="505"/>
      <c r="BF547" s="505"/>
      <c r="BG547" s="505"/>
      <c r="BH547" s="505"/>
      <c r="BI547" s="505"/>
      <c r="BJ547" s="505"/>
      <c r="BK547" s="505"/>
      <c r="BL547" s="505"/>
      <c r="BM547" s="505"/>
      <c r="BN547" s="505"/>
      <c r="BO547" s="505"/>
      <c r="BP547" s="505"/>
      <c r="BQ547" s="505"/>
      <c r="BR547" s="505"/>
      <c r="BS547" s="505"/>
      <c r="BT547" s="505"/>
      <c r="BU547" s="505"/>
      <c r="BV547" s="505"/>
      <c r="BW547" s="505"/>
      <c r="BX547" s="505"/>
      <c r="BY547" s="505"/>
      <c r="BZ547" s="505"/>
      <c r="CA547" s="505"/>
      <c r="CB547" s="505"/>
      <c r="CC547" s="505"/>
      <c r="CD547" s="505"/>
      <c r="CE547" s="505"/>
      <c r="CF547" s="505"/>
      <c r="CG547" s="505"/>
      <c r="CH547" s="505"/>
      <c r="CI547" s="505"/>
      <c r="CJ547" s="505"/>
      <c r="CK547" s="505"/>
      <c r="CL547" s="505"/>
      <c r="CM547" s="505"/>
      <c r="CN547" s="505"/>
      <c r="CO547" s="505"/>
      <c r="CP547" s="505"/>
      <c r="CQ547" s="505"/>
      <c r="CR547" s="505"/>
      <c r="CS547" s="505"/>
      <c r="CT547" s="505"/>
      <c r="CU547" s="505"/>
      <c r="CV547" s="505"/>
      <c r="CW547" s="505"/>
      <c r="CX547" s="505"/>
      <c r="CY547" s="505"/>
      <c r="CZ547" s="505"/>
      <c r="DA547" s="505"/>
      <c r="DB547" s="505"/>
      <c r="DC547" s="505"/>
      <c r="DD547" s="505"/>
      <c r="DE547" s="505"/>
      <c r="DF547" s="505"/>
      <c r="DG547" s="505"/>
      <c r="DH547" s="505"/>
      <c r="DI547" s="505"/>
      <c r="DJ547" s="505"/>
      <c r="DK547" s="505"/>
      <c r="DL547" s="505"/>
      <c r="DM547" s="505"/>
      <c r="DN547" s="505"/>
      <c r="DO547" s="505"/>
      <c r="DP547" s="505"/>
    </row>
    <row r="548" spans="1:120" hidden="1" outlineLevel="1" x14ac:dyDescent="0.2">
      <c r="A548" s="517">
        <f t="shared" si="73"/>
        <v>40299</v>
      </c>
      <c r="B548" s="517" t="str">
        <f t="shared" si="70"/>
        <v>2Q10</v>
      </c>
      <c r="C548" s="517" t="str">
        <f t="shared" si="74"/>
        <v>3Q10</v>
      </c>
      <c r="D548" s="518">
        <f t="shared" si="75"/>
        <v>40389</v>
      </c>
      <c r="E548" s="518">
        <f t="shared" si="75"/>
        <v>40329</v>
      </c>
      <c r="F548" s="520">
        <v>2.98</v>
      </c>
      <c r="G548" s="521">
        <f t="shared" si="71"/>
        <v>0.37000000000000016</v>
      </c>
      <c r="H548" s="521">
        <f t="shared" si="72"/>
        <v>0.36000000000000015</v>
      </c>
      <c r="I548" s="505"/>
      <c r="J548" s="505"/>
      <c r="K548" s="505"/>
      <c r="L548" s="505"/>
      <c r="M548" s="528"/>
      <c r="N548" s="505"/>
      <c r="O548" s="505"/>
      <c r="P548" s="505"/>
      <c r="Q548" s="505"/>
      <c r="R548" s="505"/>
      <c r="S548" s="505"/>
      <c r="T548" s="505"/>
      <c r="U548" s="505"/>
      <c r="V548" s="505"/>
      <c r="W548" s="505"/>
      <c r="X548" s="505"/>
      <c r="Y548" s="505"/>
      <c r="Z548" s="505"/>
      <c r="AA548" s="505"/>
      <c r="AB548" s="505"/>
      <c r="AC548" s="505"/>
      <c r="AD548" s="505"/>
      <c r="AE548" s="505"/>
      <c r="AF548" s="505"/>
      <c r="AG548" s="505"/>
      <c r="AH548" s="505"/>
      <c r="AI548" s="505"/>
      <c r="AJ548" s="505"/>
      <c r="AK548" s="505"/>
      <c r="AL548" s="505"/>
      <c r="AM548" s="505"/>
      <c r="AN548" s="505"/>
      <c r="AO548" s="505"/>
      <c r="AP548" s="505"/>
      <c r="AQ548" s="505"/>
      <c r="AR548" s="505"/>
      <c r="AS548" s="505"/>
      <c r="AT548" s="505"/>
      <c r="AU548" s="505"/>
      <c r="AV548" s="505"/>
      <c r="AW548" s="505"/>
      <c r="AX548" s="505"/>
      <c r="AY548" s="505"/>
      <c r="AZ548" s="505"/>
      <c r="BA548" s="505"/>
      <c r="BB548" s="505"/>
      <c r="BC548" s="505"/>
      <c r="BD548" s="505"/>
      <c r="BE548" s="505"/>
      <c r="BF548" s="505"/>
      <c r="BG548" s="505"/>
      <c r="BH548" s="505"/>
      <c r="BI548" s="505"/>
      <c r="BJ548" s="505"/>
      <c r="BK548" s="505"/>
      <c r="BL548" s="505"/>
      <c r="BM548" s="505"/>
      <c r="BN548" s="505"/>
      <c r="BO548" s="505"/>
      <c r="BP548" s="505"/>
      <c r="BQ548" s="505"/>
      <c r="BR548" s="505"/>
      <c r="BS548" s="505"/>
      <c r="BT548" s="505"/>
      <c r="BU548" s="505"/>
      <c r="BV548" s="505"/>
      <c r="BW548" s="505"/>
      <c r="BX548" s="505"/>
      <c r="BY548" s="505"/>
      <c r="BZ548" s="505"/>
      <c r="CA548" s="505"/>
      <c r="CB548" s="505"/>
      <c r="CC548" s="505"/>
      <c r="CD548" s="505"/>
      <c r="CE548" s="505"/>
      <c r="CF548" s="505"/>
      <c r="CG548" s="505"/>
      <c r="CH548" s="505"/>
      <c r="CI548" s="505"/>
      <c r="CJ548" s="505"/>
      <c r="CK548" s="505"/>
      <c r="CL548" s="505"/>
      <c r="CM548" s="505"/>
      <c r="CN548" s="505"/>
      <c r="CO548" s="505"/>
      <c r="CP548" s="505"/>
      <c r="CQ548" s="505"/>
      <c r="CR548" s="505"/>
      <c r="CS548" s="505"/>
      <c r="CT548" s="505"/>
      <c r="CU548" s="505"/>
      <c r="CV548" s="505"/>
      <c r="CW548" s="505"/>
      <c r="CX548" s="505"/>
      <c r="CY548" s="505"/>
      <c r="CZ548" s="505"/>
      <c r="DA548" s="505"/>
      <c r="DB548" s="505"/>
      <c r="DC548" s="505"/>
      <c r="DD548" s="505"/>
      <c r="DE548" s="505"/>
      <c r="DF548" s="505"/>
      <c r="DG548" s="505"/>
      <c r="DH548" s="505"/>
      <c r="DI548" s="505"/>
      <c r="DJ548" s="505"/>
      <c r="DK548" s="505"/>
      <c r="DL548" s="505"/>
      <c r="DM548" s="505"/>
      <c r="DN548" s="505"/>
      <c r="DO548" s="505"/>
      <c r="DP548" s="505"/>
    </row>
    <row r="549" spans="1:120" hidden="1" outlineLevel="1" x14ac:dyDescent="0.2">
      <c r="A549" s="517">
        <f t="shared" si="73"/>
        <v>40330</v>
      </c>
      <c r="B549" s="517" t="str">
        <f t="shared" si="70"/>
        <v>2Q10</v>
      </c>
      <c r="C549" s="517" t="str">
        <f t="shared" si="74"/>
        <v>3Q10</v>
      </c>
      <c r="D549" s="518">
        <f t="shared" si="75"/>
        <v>40396</v>
      </c>
      <c r="E549" s="518">
        <f t="shared" si="75"/>
        <v>40336</v>
      </c>
      <c r="F549" s="520">
        <v>2.9460000000000002</v>
      </c>
      <c r="G549" s="521">
        <f t="shared" si="71"/>
        <v>0.36000000000000015</v>
      </c>
      <c r="H549" s="521">
        <f t="shared" si="72"/>
        <v>0.36000000000000015</v>
      </c>
      <c r="I549" s="505"/>
      <c r="J549" s="505"/>
      <c r="K549" s="505"/>
      <c r="L549" s="505"/>
      <c r="M549" s="528"/>
      <c r="N549" s="505"/>
      <c r="O549" s="505"/>
      <c r="P549" s="505"/>
      <c r="Q549" s="505"/>
      <c r="R549" s="505"/>
      <c r="S549" s="505"/>
      <c r="T549" s="505"/>
      <c r="U549" s="505"/>
      <c r="V549" s="505"/>
      <c r="W549" s="505"/>
      <c r="X549" s="505"/>
      <c r="Y549" s="505"/>
      <c r="Z549" s="505"/>
      <c r="AA549" s="505"/>
      <c r="AB549" s="505"/>
      <c r="AC549" s="505"/>
      <c r="AD549" s="505"/>
      <c r="AE549" s="505"/>
      <c r="AF549" s="505"/>
      <c r="AG549" s="505"/>
      <c r="AH549" s="505"/>
      <c r="AI549" s="505"/>
      <c r="AJ549" s="505"/>
      <c r="AK549" s="505"/>
      <c r="AL549" s="505"/>
      <c r="AM549" s="505"/>
      <c r="AN549" s="505"/>
      <c r="AO549" s="505"/>
      <c r="AP549" s="505"/>
      <c r="AQ549" s="505"/>
      <c r="AR549" s="505"/>
      <c r="AS549" s="505"/>
      <c r="AT549" s="505"/>
      <c r="AU549" s="505"/>
      <c r="AV549" s="505"/>
      <c r="AW549" s="505"/>
      <c r="AX549" s="505"/>
      <c r="AY549" s="505"/>
      <c r="AZ549" s="505"/>
      <c r="BA549" s="505"/>
      <c r="BB549" s="505"/>
      <c r="BC549" s="505"/>
      <c r="BD549" s="505"/>
      <c r="BE549" s="505"/>
      <c r="BF549" s="505"/>
      <c r="BG549" s="505"/>
      <c r="BH549" s="505"/>
      <c r="BI549" s="505"/>
      <c r="BJ549" s="505"/>
      <c r="BK549" s="505"/>
      <c r="BL549" s="505"/>
      <c r="BM549" s="505"/>
      <c r="BN549" s="505"/>
      <c r="BO549" s="505"/>
      <c r="BP549" s="505"/>
      <c r="BQ549" s="505"/>
      <c r="BR549" s="505"/>
      <c r="BS549" s="505"/>
      <c r="BT549" s="505"/>
      <c r="BU549" s="505"/>
      <c r="BV549" s="505"/>
      <c r="BW549" s="505"/>
      <c r="BX549" s="505"/>
      <c r="BY549" s="505"/>
      <c r="BZ549" s="505"/>
      <c r="CA549" s="505"/>
      <c r="CB549" s="505"/>
      <c r="CC549" s="505"/>
      <c r="CD549" s="505"/>
      <c r="CE549" s="505"/>
      <c r="CF549" s="505"/>
      <c r="CG549" s="505"/>
      <c r="CH549" s="505"/>
      <c r="CI549" s="505"/>
      <c r="CJ549" s="505"/>
      <c r="CK549" s="505"/>
      <c r="CL549" s="505"/>
      <c r="CM549" s="505"/>
      <c r="CN549" s="505"/>
      <c r="CO549" s="505"/>
      <c r="CP549" s="505"/>
      <c r="CQ549" s="505"/>
      <c r="CR549" s="505"/>
      <c r="CS549" s="505"/>
      <c r="CT549" s="505"/>
      <c r="CU549" s="505"/>
      <c r="CV549" s="505"/>
      <c r="CW549" s="505"/>
      <c r="CX549" s="505"/>
      <c r="CY549" s="505"/>
      <c r="CZ549" s="505"/>
      <c r="DA549" s="505"/>
      <c r="DB549" s="505"/>
      <c r="DC549" s="505"/>
      <c r="DD549" s="505"/>
      <c r="DE549" s="505"/>
      <c r="DF549" s="505"/>
      <c r="DG549" s="505"/>
      <c r="DH549" s="505"/>
      <c r="DI549" s="505"/>
      <c r="DJ549" s="505"/>
      <c r="DK549" s="505"/>
      <c r="DL549" s="505"/>
      <c r="DM549" s="505"/>
      <c r="DN549" s="505"/>
      <c r="DO549" s="505"/>
      <c r="DP549" s="505"/>
    </row>
    <row r="550" spans="1:120" hidden="1" outlineLevel="1" x14ac:dyDescent="0.2">
      <c r="A550" s="517">
        <f t="shared" si="73"/>
        <v>40330</v>
      </c>
      <c r="B550" s="517" t="str">
        <f t="shared" si="70"/>
        <v>2Q10</v>
      </c>
      <c r="C550" s="517" t="str">
        <f t="shared" si="74"/>
        <v>3Q10</v>
      </c>
      <c r="D550" s="518">
        <f t="shared" si="75"/>
        <v>40403</v>
      </c>
      <c r="E550" s="518">
        <f t="shared" si="75"/>
        <v>40343</v>
      </c>
      <c r="F550" s="520">
        <v>2.9279999999999999</v>
      </c>
      <c r="G550" s="521">
        <f t="shared" si="71"/>
        <v>0.36000000000000015</v>
      </c>
      <c r="H550" s="521">
        <f t="shared" si="72"/>
        <v>0.37000000000000016</v>
      </c>
      <c r="I550" s="505"/>
      <c r="J550" s="505"/>
      <c r="K550" s="505"/>
      <c r="L550" s="505"/>
      <c r="M550" s="528"/>
      <c r="N550" s="505"/>
      <c r="O550" s="505"/>
      <c r="P550" s="505"/>
      <c r="Q550" s="505"/>
      <c r="R550" s="505"/>
      <c r="S550" s="505"/>
      <c r="T550" s="505"/>
      <c r="U550" s="505"/>
      <c r="V550" s="505"/>
      <c r="W550" s="505"/>
      <c r="X550" s="505"/>
      <c r="Y550" s="505"/>
      <c r="Z550" s="505"/>
      <c r="AA550" s="505"/>
      <c r="AB550" s="505"/>
      <c r="AC550" s="505"/>
      <c r="AD550" s="505"/>
      <c r="AE550" s="505"/>
      <c r="AF550" s="505"/>
      <c r="AG550" s="505"/>
      <c r="AH550" s="505"/>
      <c r="AI550" s="505"/>
      <c r="AJ550" s="505"/>
      <c r="AK550" s="505"/>
      <c r="AL550" s="505"/>
      <c r="AM550" s="505"/>
      <c r="AN550" s="505"/>
      <c r="AO550" s="505"/>
      <c r="AP550" s="505"/>
      <c r="AQ550" s="505"/>
      <c r="AR550" s="505"/>
      <c r="AS550" s="505"/>
      <c r="AT550" s="505"/>
      <c r="AU550" s="505"/>
      <c r="AV550" s="505"/>
      <c r="AW550" s="505"/>
      <c r="AX550" s="505"/>
      <c r="AY550" s="505"/>
      <c r="AZ550" s="505"/>
      <c r="BA550" s="505"/>
      <c r="BB550" s="505"/>
      <c r="BC550" s="505"/>
      <c r="BD550" s="505"/>
      <c r="BE550" s="505"/>
      <c r="BF550" s="505"/>
      <c r="BG550" s="505"/>
      <c r="BH550" s="505"/>
      <c r="BI550" s="505"/>
      <c r="BJ550" s="505"/>
      <c r="BK550" s="505"/>
      <c r="BL550" s="505"/>
      <c r="BM550" s="505"/>
      <c r="BN550" s="505"/>
      <c r="BO550" s="505"/>
      <c r="BP550" s="505"/>
      <c r="BQ550" s="505"/>
      <c r="BR550" s="505"/>
      <c r="BS550" s="505"/>
      <c r="BT550" s="505"/>
      <c r="BU550" s="505"/>
      <c r="BV550" s="505"/>
      <c r="BW550" s="505"/>
      <c r="BX550" s="505"/>
      <c r="BY550" s="505"/>
      <c r="BZ550" s="505"/>
      <c r="CA550" s="505"/>
      <c r="CB550" s="505"/>
      <c r="CC550" s="505"/>
      <c r="CD550" s="505"/>
      <c r="CE550" s="505"/>
      <c r="CF550" s="505"/>
      <c r="CG550" s="505"/>
      <c r="CH550" s="505"/>
      <c r="CI550" s="505"/>
      <c r="CJ550" s="505"/>
      <c r="CK550" s="505"/>
      <c r="CL550" s="505"/>
      <c r="CM550" s="505"/>
      <c r="CN550" s="505"/>
      <c r="CO550" s="505"/>
      <c r="CP550" s="505"/>
      <c r="CQ550" s="505"/>
      <c r="CR550" s="505"/>
      <c r="CS550" s="505"/>
      <c r="CT550" s="505"/>
      <c r="CU550" s="505"/>
      <c r="CV550" s="505"/>
      <c r="CW550" s="505"/>
      <c r="CX550" s="505"/>
      <c r="CY550" s="505"/>
      <c r="CZ550" s="505"/>
      <c r="DA550" s="505"/>
      <c r="DB550" s="505"/>
      <c r="DC550" s="505"/>
      <c r="DD550" s="505"/>
      <c r="DE550" s="505"/>
      <c r="DF550" s="505"/>
      <c r="DG550" s="505"/>
      <c r="DH550" s="505"/>
      <c r="DI550" s="505"/>
      <c r="DJ550" s="505"/>
      <c r="DK550" s="505"/>
      <c r="DL550" s="505"/>
      <c r="DM550" s="505"/>
      <c r="DN550" s="505"/>
      <c r="DO550" s="505"/>
      <c r="DP550" s="505"/>
    </row>
    <row r="551" spans="1:120" hidden="1" outlineLevel="1" x14ac:dyDescent="0.2">
      <c r="A551" s="517">
        <f t="shared" si="73"/>
        <v>40330</v>
      </c>
      <c r="B551" s="517" t="str">
        <f t="shared" si="70"/>
        <v>2Q10</v>
      </c>
      <c r="C551" s="517" t="str">
        <f t="shared" si="74"/>
        <v>3Q10</v>
      </c>
      <c r="D551" s="518">
        <f t="shared" si="75"/>
        <v>40410</v>
      </c>
      <c r="E551" s="518">
        <f t="shared" si="75"/>
        <v>40350</v>
      </c>
      <c r="F551" s="520">
        <v>2.9609999999999999</v>
      </c>
      <c r="G551" s="521">
        <f t="shared" si="71"/>
        <v>0.37000000000000016</v>
      </c>
      <c r="H551" s="521">
        <f t="shared" si="72"/>
        <v>0.37000000000000016</v>
      </c>
      <c r="I551" s="505"/>
      <c r="J551" s="505"/>
      <c r="K551" s="505"/>
      <c r="L551" s="505"/>
      <c r="M551" s="528"/>
      <c r="N551" s="505"/>
      <c r="O551" s="505"/>
      <c r="P551" s="505"/>
      <c r="Q551" s="505"/>
      <c r="R551" s="505"/>
      <c r="S551" s="505"/>
      <c r="T551" s="505"/>
      <c r="U551" s="505"/>
      <c r="V551" s="505"/>
      <c r="W551" s="505"/>
      <c r="X551" s="505"/>
      <c r="Y551" s="505"/>
      <c r="Z551" s="505"/>
      <c r="AA551" s="505"/>
      <c r="AB551" s="505"/>
      <c r="AC551" s="505"/>
      <c r="AD551" s="505"/>
      <c r="AE551" s="505"/>
      <c r="AF551" s="505"/>
      <c r="AG551" s="505"/>
      <c r="AH551" s="505"/>
      <c r="AI551" s="505"/>
      <c r="AJ551" s="505"/>
      <c r="AK551" s="505"/>
      <c r="AL551" s="505"/>
      <c r="AM551" s="505"/>
      <c r="AN551" s="505"/>
      <c r="AO551" s="505"/>
      <c r="AP551" s="505"/>
      <c r="AQ551" s="505"/>
      <c r="AR551" s="505"/>
      <c r="AS551" s="505"/>
      <c r="AT551" s="505"/>
      <c r="AU551" s="505"/>
      <c r="AV551" s="505"/>
      <c r="AW551" s="505"/>
      <c r="AX551" s="505"/>
      <c r="AY551" s="505"/>
      <c r="AZ551" s="505"/>
      <c r="BA551" s="505"/>
      <c r="BB551" s="505"/>
      <c r="BC551" s="505"/>
      <c r="BD551" s="505"/>
      <c r="BE551" s="505"/>
      <c r="BF551" s="505"/>
      <c r="BG551" s="505"/>
      <c r="BH551" s="505"/>
      <c r="BI551" s="505"/>
      <c r="BJ551" s="505"/>
      <c r="BK551" s="505"/>
      <c r="BL551" s="505"/>
      <c r="BM551" s="505"/>
      <c r="BN551" s="505"/>
      <c r="BO551" s="505"/>
      <c r="BP551" s="505"/>
      <c r="BQ551" s="505"/>
      <c r="BR551" s="505"/>
      <c r="BS551" s="505"/>
      <c r="BT551" s="505"/>
      <c r="BU551" s="505"/>
      <c r="BV551" s="505"/>
      <c r="BW551" s="505"/>
      <c r="BX551" s="505"/>
      <c r="BY551" s="505"/>
      <c r="BZ551" s="505"/>
      <c r="CA551" s="505"/>
      <c r="CB551" s="505"/>
      <c r="CC551" s="505"/>
      <c r="CD551" s="505"/>
      <c r="CE551" s="505"/>
      <c r="CF551" s="505"/>
      <c r="CG551" s="505"/>
      <c r="CH551" s="505"/>
      <c r="CI551" s="505"/>
      <c r="CJ551" s="505"/>
      <c r="CK551" s="505"/>
      <c r="CL551" s="505"/>
      <c r="CM551" s="505"/>
      <c r="CN551" s="505"/>
      <c r="CO551" s="505"/>
      <c r="CP551" s="505"/>
      <c r="CQ551" s="505"/>
      <c r="CR551" s="505"/>
      <c r="CS551" s="505"/>
      <c r="CT551" s="505"/>
      <c r="CU551" s="505"/>
      <c r="CV551" s="505"/>
      <c r="CW551" s="505"/>
      <c r="CX551" s="505"/>
      <c r="CY551" s="505"/>
      <c r="CZ551" s="505"/>
      <c r="DA551" s="505"/>
      <c r="DB551" s="505"/>
      <c r="DC551" s="505"/>
      <c r="DD551" s="505"/>
      <c r="DE551" s="505"/>
      <c r="DF551" s="505"/>
      <c r="DG551" s="505"/>
      <c r="DH551" s="505"/>
      <c r="DI551" s="505"/>
      <c r="DJ551" s="505"/>
      <c r="DK551" s="505"/>
      <c r="DL551" s="505"/>
      <c r="DM551" s="505"/>
      <c r="DN551" s="505"/>
      <c r="DO551" s="505"/>
      <c r="DP551" s="505"/>
    </row>
    <row r="552" spans="1:120" hidden="1" outlineLevel="1" x14ac:dyDescent="0.2">
      <c r="A552" s="517">
        <f t="shared" si="73"/>
        <v>40330</v>
      </c>
      <c r="B552" s="517" t="str">
        <f t="shared" si="70"/>
        <v>2Q10</v>
      </c>
      <c r="C552" s="517" t="str">
        <f t="shared" si="74"/>
        <v>3Q10</v>
      </c>
      <c r="D552" s="518">
        <f t="shared" si="75"/>
        <v>40417</v>
      </c>
      <c r="E552" s="518">
        <f t="shared" si="75"/>
        <v>40357</v>
      </c>
      <c r="F552" s="520">
        <v>2.956</v>
      </c>
      <c r="G552" s="521">
        <f t="shared" si="71"/>
        <v>0.37000000000000016</v>
      </c>
      <c r="H552" s="521">
        <f t="shared" si="72"/>
        <v>0.36000000000000015</v>
      </c>
      <c r="I552" s="505"/>
      <c r="J552" s="505"/>
      <c r="K552" s="505"/>
      <c r="L552" s="505"/>
      <c r="M552" s="528"/>
      <c r="N552" s="505"/>
      <c r="O552" s="505"/>
      <c r="P552" s="505"/>
      <c r="Q552" s="505"/>
      <c r="R552" s="505"/>
      <c r="S552" s="505"/>
      <c r="T552" s="505"/>
      <c r="U552" s="505"/>
      <c r="V552" s="505"/>
      <c r="W552" s="505"/>
      <c r="X552" s="505"/>
      <c r="Y552" s="505"/>
      <c r="Z552" s="505"/>
      <c r="AA552" s="505"/>
      <c r="AB552" s="505"/>
      <c r="AC552" s="505"/>
      <c r="AD552" s="505"/>
      <c r="AE552" s="505"/>
      <c r="AF552" s="505"/>
      <c r="AG552" s="505"/>
      <c r="AH552" s="505"/>
      <c r="AI552" s="505"/>
      <c r="AJ552" s="505"/>
      <c r="AK552" s="505"/>
      <c r="AL552" s="505"/>
      <c r="AM552" s="505"/>
      <c r="AN552" s="505"/>
      <c r="AO552" s="505"/>
      <c r="AP552" s="505"/>
      <c r="AQ552" s="505"/>
      <c r="AR552" s="505"/>
      <c r="AS552" s="505"/>
      <c r="AT552" s="505"/>
      <c r="AU552" s="505"/>
      <c r="AV552" s="505"/>
      <c r="AW552" s="505"/>
      <c r="AX552" s="505"/>
      <c r="AY552" s="505"/>
      <c r="AZ552" s="505"/>
      <c r="BA552" s="505"/>
      <c r="BB552" s="505"/>
      <c r="BC552" s="505"/>
      <c r="BD552" s="505"/>
      <c r="BE552" s="505"/>
      <c r="BF552" s="505"/>
      <c r="BG552" s="505"/>
      <c r="BH552" s="505"/>
      <c r="BI552" s="505"/>
      <c r="BJ552" s="505"/>
      <c r="BK552" s="505"/>
      <c r="BL552" s="505"/>
      <c r="BM552" s="505"/>
      <c r="BN552" s="505"/>
      <c r="BO552" s="505"/>
      <c r="BP552" s="505"/>
      <c r="BQ552" s="505"/>
      <c r="BR552" s="505"/>
      <c r="BS552" s="505"/>
      <c r="BT552" s="505"/>
      <c r="BU552" s="505"/>
      <c r="BV552" s="505"/>
      <c r="BW552" s="505"/>
      <c r="BX552" s="505"/>
      <c r="BY552" s="505"/>
      <c r="BZ552" s="505"/>
      <c r="CA552" s="505"/>
      <c r="CB552" s="505"/>
      <c r="CC552" s="505"/>
      <c r="CD552" s="505"/>
      <c r="CE552" s="505"/>
      <c r="CF552" s="505"/>
      <c r="CG552" s="505"/>
      <c r="CH552" s="505"/>
      <c r="CI552" s="505"/>
      <c r="CJ552" s="505"/>
      <c r="CK552" s="505"/>
      <c r="CL552" s="505"/>
      <c r="CM552" s="505"/>
      <c r="CN552" s="505"/>
      <c r="CO552" s="505"/>
      <c r="CP552" s="505"/>
      <c r="CQ552" s="505"/>
      <c r="CR552" s="505"/>
      <c r="CS552" s="505"/>
      <c r="CT552" s="505"/>
      <c r="CU552" s="505"/>
      <c r="CV552" s="505"/>
      <c r="CW552" s="505"/>
      <c r="CX552" s="505"/>
      <c r="CY552" s="505"/>
      <c r="CZ552" s="505"/>
      <c r="DA552" s="505"/>
      <c r="DB552" s="505"/>
      <c r="DC552" s="505"/>
      <c r="DD552" s="505"/>
      <c r="DE552" s="505"/>
      <c r="DF552" s="505"/>
      <c r="DG552" s="505"/>
      <c r="DH552" s="505"/>
      <c r="DI552" s="505"/>
      <c r="DJ552" s="505"/>
      <c r="DK552" s="505"/>
      <c r="DL552" s="505"/>
      <c r="DM552" s="505"/>
      <c r="DN552" s="505"/>
      <c r="DO552" s="505"/>
      <c r="DP552" s="505"/>
    </row>
    <row r="553" spans="1:120" hidden="1" outlineLevel="1" x14ac:dyDescent="0.2">
      <c r="A553" s="517">
        <f t="shared" si="73"/>
        <v>40360</v>
      </c>
      <c r="B553" s="517" t="str">
        <f t="shared" si="70"/>
        <v>3Q10</v>
      </c>
      <c r="C553" s="517" t="str">
        <f t="shared" si="74"/>
        <v>3Q10</v>
      </c>
      <c r="D553" s="518">
        <f t="shared" si="75"/>
        <v>40424</v>
      </c>
      <c r="E553" s="518">
        <f t="shared" si="75"/>
        <v>40364</v>
      </c>
      <c r="F553" s="520">
        <v>2.9239999999999999</v>
      </c>
      <c r="G553" s="521">
        <f t="shared" si="71"/>
        <v>0.36000000000000015</v>
      </c>
      <c r="H553" s="521">
        <f t="shared" si="72"/>
        <v>0.36000000000000015</v>
      </c>
      <c r="I553" s="505"/>
      <c r="J553" s="505"/>
      <c r="K553" s="505"/>
      <c r="L553" s="505"/>
      <c r="M553" s="528"/>
      <c r="N553" s="505"/>
      <c r="O553" s="505"/>
      <c r="P553" s="505"/>
      <c r="Q553" s="505"/>
      <c r="R553" s="505"/>
      <c r="S553" s="505"/>
      <c r="T553" s="505"/>
      <c r="U553" s="505"/>
      <c r="V553" s="505"/>
      <c r="W553" s="505"/>
      <c r="X553" s="505"/>
      <c r="Y553" s="505"/>
      <c r="Z553" s="505"/>
      <c r="AA553" s="505"/>
      <c r="AB553" s="505"/>
      <c r="AC553" s="505"/>
      <c r="AD553" s="505"/>
      <c r="AE553" s="505"/>
      <c r="AF553" s="505"/>
      <c r="AG553" s="505"/>
      <c r="AH553" s="505"/>
      <c r="AI553" s="505"/>
      <c r="AJ553" s="505"/>
      <c r="AK553" s="505"/>
      <c r="AL553" s="505"/>
      <c r="AM553" s="505"/>
      <c r="AN553" s="505"/>
      <c r="AO553" s="505"/>
      <c r="AP553" s="505"/>
      <c r="AQ553" s="505"/>
      <c r="AR553" s="505"/>
      <c r="AS553" s="505"/>
      <c r="AT553" s="505"/>
      <c r="AU553" s="505"/>
      <c r="AV553" s="505"/>
      <c r="AW553" s="505"/>
      <c r="AX553" s="505"/>
      <c r="AY553" s="505"/>
      <c r="AZ553" s="505"/>
      <c r="BA553" s="505"/>
      <c r="BB553" s="505"/>
      <c r="BC553" s="505"/>
      <c r="BD553" s="505"/>
      <c r="BE553" s="505"/>
      <c r="BF553" s="505"/>
      <c r="BG553" s="505"/>
      <c r="BH553" s="505"/>
      <c r="BI553" s="505"/>
      <c r="BJ553" s="505"/>
      <c r="BK553" s="505"/>
      <c r="BL553" s="505"/>
      <c r="BM553" s="505"/>
      <c r="BN553" s="505"/>
      <c r="BO553" s="505"/>
      <c r="BP553" s="505"/>
      <c r="BQ553" s="505"/>
      <c r="BR553" s="505"/>
      <c r="BS553" s="505"/>
      <c r="BT553" s="505"/>
      <c r="BU553" s="505"/>
      <c r="BV553" s="505"/>
      <c r="BW553" s="505"/>
      <c r="BX553" s="505"/>
      <c r="BY553" s="505"/>
      <c r="BZ553" s="505"/>
      <c r="CA553" s="505"/>
      <c r="CB553" s="505"/>
      <c r="CC553" s="505"/>
      <c r="CD553" s="505"/>
      <c r="CE553" s="505"/>
      <c r="CF553" s="505"/>
      <c r="CG553" s="505"/>
      <c r="CH553" s="505"/>
      <c r="CI553" s="505"/>
      <c r="CJ553" s="505"/>
      <c r="CK553" s="505"/>
      <c r="CL553" s="505"/>
      <c r="CM553" s="505"/>
      <c r="CN553" s="505"/>
      <c r="CO553" s="505"/>
      <c r="CP553" s="505"/>
      <c r="CQ553" s="505"/>
      <c r="CR553" s="505"/>
      <c r="CS553" s="505"/>
      <c r="CT553" s="505"/>
      <c r="CU553" s="505"/>
      <c r="CV553" s="505"/>
      <c r="CW553" s="505"/>
      <c r="CX553" s="505"/>
      <c r="CY553" s="505"/>
      <c r="CZ553" s="505"/>
      <c r="DA553" s="505"/>
      <c r="DB553" s="505"/>
      <c r="DC553" s="505"/>
      <c r="DD553" s="505"/>
      <c r="DE553" s="505"/>
      <c r="DF553" s="505"/>
      <c r="DG553" s="505"/>
      <c r="DH553" s="505"/>
      <c r="DI553" s="505"/>
      <c r="DJ553" s="505"/>
      <c r="DK553" s="505"/>
      <c r="DL553" s="505"/>
      <c r="DM553" s="505"/>
      <c r="DN553" s="505"/>
      <c r="DO553" s="505"/>
      <c r="DP553" s="505"/>
    </row>
    <row r="554" spans="1:120" hidden="1" outlineLevel="1" x14ac:dyDescent="0.2">
      <c r="A554" s="517">
        <f t="shared" si="73"/>
        <v>40360</v>
      </c>
      <c r="B554" s="517" t="str">
        <f t="shared" si="70"/>
        <v>3Q10</v>
      </c>
      <c r="C554" s="517" t="str">
        <f t="shared" si="74"/>
        <v>3Q10</v>
      </c>
      <c r="D554" s="518">
        <f t="shared" si="75"/>
        <v>40431</v>
      </c>
      <c r="E554" s="518">
        <f t="shared" si="75"/>
        <v>40371</v>
      </c>
      <c r="F554" s="520">
        <v>2.903</v>
      </c>
      <c r="G554" s="521">
        <f t="shared" si="71"/>
        <v>0.36000000000000015</v>
      </c>
      <c r="H554" s="521">
        <f t="shared" si="72"/>
        <v>0.35000000000000014</v>
      </c>
      <c r="I554" s="505"/>
      <c r="J554" s="505"/>
      <c r="K554" s="505"/>
      <c r="L554" s="505"/>
      <c r="M554" s="528"/>
      <c r="N554" s="505"/>
      <c r="O554" s="505"/>
      <c r="P554" s="505"/>
      <c r="Q554" s="505"/>
      <c r="R554" s="505"/>
      <c r="S554" s="505"/>
      <c r="T554" s="505"/>
      <c r="U554" s="505"/>
      <c r="V554" s="505"/>
      <c r="W554" s="505"/>
      <c r="X554" s="505"/>
      <c r="Y554" s="505"/>
      <c r="Z554" s="505"/>
      <c r="AA554" s="505"/>
      <c r="AB554" s="505"/>
      <c r="AC554" s="505"/>
      <c r="AD554" s="505"/>
      <c r="AE554" s="505"/>
      <c r="AF554" s="505"/>
      <c r="AG554" s="505"/>
      <c r="AH554" s="505"/>
      <c r="AI554" s="505"/>
      <c r="AJ554" s="505"/>
      <c r="AK554" s="505"/>
      <c r="AL554" s="505"/>
      <c r="AM554" s="505"/>
      <c r="AN554" s="505"/>
      <c r="AO554" s="505"/>
      <c r="AP554" s="505"/>
      <c r="AQ554" s="505"/>
      <c r="AR554" s="505"/>
      <c r="AS554" s="505"/>
      <c r="AT554" s="505"/>
      <c r="AU554" s="505"/>
      <c r="AV554" s="505"/>
      <c r="AW554" s="505"/>
      <c r="AX554" s="505"/>
      <c r="AY554" s="505"/>
      <c r="AZ554" s="505"/>
      <c r="BA554" s="505"/>
      <c r="BB554" s="505"/>
      <c r="BC554" s="505"/>
      <c r="BD554" s="505"/>
      <c r="BE554" s="505"/>
      <c r="BF554" s="505"/>
      <c r="BG554" s="505"/>
      <c r="BH554" s="505"/>
      <c r="BI554" s="505"/>
      <c r="BJ554" s="505"/>
      <c r="BK554" s="505"/>
      <c r="BL554" s="505"/>
      <c r="BM554" s="505"/>
      <c r="BN554" s="505"/>
      <c r="BO554" s="505"/>
      <c r="BP554" s="505"/>
      <c r="BQ554" s="505"/>
      <c r="BR554" s="505"/>
      <c r="BS554" s="505"/>
      <c r="BT554" s="505"/>
      <c r="BU554" s="505"/>
      <c r="BV554" s="505"/>
      <c r="BW554" s="505"/>
      <c r="BX554" s="505"/>
      <c r="BY554" s="505"/>
      <c r="BZ554" s="505"/>
      <c r="CA554" s="505"/>
      <c r="CB554" s="505"/>
      <c r="CC554" s="505"/>
      <c r="CD554" s="505"/>
      <c r="CE554" s="505"/>
      <c r="CF554" s="505"/>
      <c r="CG554" s="505"/>
      <c r="CH554" s="505"/>
      <c r="CI554" s="505"/>
      <c r="CJ554" s="505"/>
      <c r="CK554" s="505"/>
      <c r="CL554" s="505"/>
      <c r="CM554" s="505"/>
      <c r="CN554" s="505"/>
      <c r="CO554" s="505"/>
      <c r="CP554" s="505"/>
      <c r="CQ554" s="505"/>
      <c r="CR554" s="505"/>
      <c r="CS554" s="505"/>
      <c r="CT554" s="505"/>
      <c r="CU554" s="505"/>
      <c r="CV554" s="505"/>
      <c r="CW554" s="505"/>
      <c r="CX554" s="505"/>
      <c r="CY554" s="505"/>
      <c r="CZ554" s="505"/>
      <c r="DA554" s="505"/>
      <c r="DB554" s="505"/>
      <c r="DC554" s="505"/>
      <c r="DD554" s="505"/>
      <c r="DE554" s="505"/>
      <c r="DF554" s="505"/>
      <c r="DG554" s="505"/>
      <c r="DH554" s="505"/>
      <c r="DI554" s="505"/>
      <c r="DJ554" s="505"/>
      <c r="DK554" s="505"/>
      <c r="DL554" s="505"/>
      <c r="DM554" s="505"/>
      <c r="DN554" s="505"/>
      <c r="DO554" s="505"/>
      <c r="DP554" s="505"/>
    </row>
    <row r="555" spans="1:120" hidden="1" outlineLevel="1" x14ac:dyDescent="0.2">
      <c r="A555" s="517">
        <f t="shared" si="73"/>
        <v>40360</v>
      </c>
      <c r="B555" s="517" t="str">
        <f t="shared" si="70"/>
        <v>3Q10</v>
      </c>
      <c r="C555" s="517" t="str">
        <f t="shared" si="74"/>
        <v>3Q10</v>
      </c>
      <c r="D555" s="518">
        <f t="shared" si="75"/>
        <v>40438</v>
      </c>
      <c r="E555" s="518">
        <f t="shared" si="75"/>
        <v>40378</v>
      </c>
      <c r="F555" s="520">
        <v>2.899</v>
      </c>
      <c r="G555" s="521">
        <f t="shared" si="71"/>
        <v>0.35000000000000014</v>
      </c>
      <c r="H555" s="521">
        <f t="shared" si="72"/>
        <v>0.36000000000000015</v>
      </c>
      <c r="I555" s="505"/>
      <c r="J555" s="505"/>
      <c r="K555" s="505"/>
      <c r="L555" s="505"/>
      <c r="M555" s="528"/>
      <c r="N555" s="505"/>
      <c r="O555" s="505"/>
      <c r="P555" s="505"/>
      <c r="Q555" s="505"/>
      <c r="R555" s="505"/>
      <c r="S555" s="505"/>
      <c r="T555" s="505"/>
      <c r="U555" s="505"/>
      <c r="V555" s="505"/>
      <c r="W555" s="505"/>
      <c r="X555" s="505"/>
      <c r="Y555" s="505"/>
      <c r="Z555" s="505"/>
      <c r="AA555" s="505"/>
      <c r="AB555" s="505"/>
      <c r="AC555" s="505"/>
      <c r="AD555" s="505"/>
      <c r="AE555" s="505"/>
      <c r="AF555" s="505"/>
      <c r="AG555" s="505"/>
      <c r="AH555" s="505"/>
      <c r="AI555" s="505"/>
      <c r="AJ555" s="505"/>
      <c r="AK555" s="505"/>
      <c r="AL555" s="505"/>
      <c r="AM555" s="505"/>
      <c r="AN555" s="505"/>
      <c r="AO555" s="505"/>
      <c r="AP555" s="505"/>
      <c r="AQ555" s="505"/>
      <c r="AR555" s="505"/>
      <c r="AS555" s="505"/>
      <c r="AT555" s="505"/>
      <c r="AU555" s="505"/>
      <c r="AV555" s="505"/>
      <c r="AW555" s="505"/>
      <c r="AX555" s="505"/>
      <c r="AY555" s="505"/>
      <c r="AZ555" s="505"/>
      <c r="BA555" s="505"/>
      <c r="BB555" s="505"/>
      <c r="BC555" s="505"/>
      <c r="BD555" s="505"/>
      <c r="BE555" s="505"/>
      <c r="BF555" s="505"/>
      <c r="BG555" s="505"/>
      <c r="BH555" s="505"/>
      <c r="BI555" s="505"/>
      <c r="BJ555" s="505"/>
      <c r="BK555" s="505"/>
      <c r="BL555" s="505"/>
      <c r="BM555" s="505"/>
      <c r="BN555" s="505"/>
      <c r="BO555" s="505"/>
      <c r="BP555" s="505"/>
      <c r="BQ555" s="505"/>
      <c r="BR555" s="505"/>
      <c r="BS555" s="505"/>
      <c r="BT555" s="505"/>
      <c r="BU555" s="505"/>
      <c r="BV555" s="505"/>
      <c r="BW555" s="505"/>
      <c r="BX555" s="505"/>
      <c r="BY555" s="505"/>
      <c r="BZ555" s="505"/>
      <c r="CA555" s="505"/>
      <c r="CB555" s="505"/>
      <c r="CC555" s="505"/>
      <c r="CD555" s="505"/>
      <c r="CE555" s="505"/>
      <c r="CF555" s="505"/>
      <c r="CG555" s="505"/>
      <c r="CH555" s="505"/>
      <c r="CI555" s="505"/>
      <c r="CJ555" s="505"/>
      <c r="CK555" s="505"/>
      <c r="CL555" s="505"/>
      <c r="CM555" s="505"/>
      <c r="CN555" s="505"/>
      <c r="CO555" s="505"/>
      <c r="CP555" s="505"/>
      <c r="CQ555" s="505"/>
      <c r="CR555" s="505"/>
      <c r="CS555" s="505"/>
      <c r="CT555" s="505"/>
      <c r="CU555" s="505"/>
      <c r="CV555" s="505"/>
      <c r="CW555" s="505"/>
      <c r="CX555" s="505"/>
      <c r="CY555" s="505"/>
      <c r="CZ555" s="505"/>
      <c r="DA555" s="505"/>
      <c r="DB555" s="505"/>
      <c r="DC555" s="505"/>
      <c r="DD555" s="505"/>
      <c r="DE555" s="505"/>
      <c r="DF555" s="505"/>
      <c r="DG555" s="505"/>
      <c r="DH555" s="505"/>
      <c r="DI555" s="505"/>
      <c r="DJ555" s="505"/>
      <c r="DK555" s="505"/>
      <c r="DL555" s="505"/>
      <c r="DM555" s="505"/>
      <c r="DN555" s="505"/>
      <c r="DO555" s="505"/>
      <c r="DP555" s="505"/>
    </row>
    <row r="556" spans="1:120" hidden="1" outlineLevel="1" x14ac:dyDescent="0.2">
      <c r="A556" s="517">
        <f t="shared" si="73"/>
        <v>40360</v>
      </c>
      <c r="B556" s="517" t="str">
        <f t="shared" si="70"/>
        <v>3Q10</v>
      </c>
      <c r="C556" s="517" t="str">
        <f t="shared" si="74"/>
        <v>3Q10</v>
      </c>
      <c r="D556" s="518">
        <f t="shared" si="75"/>
        <v>40445</v>
      </c>
      <c r="E556" s="518">
        <f t="shared" si="75"/>
        <v>40385</v>
      </c>
      <c r="F556" s="520">
        <v>2.919</v>
      </c>
      <c r="G556" s="521">
        <f t="shared" si="71"/>
        <v>0.36000000000000015</v>
      </c>
      <c r="H556" s="521">
        <f t="shared" si="72"/>
        <v>0.36000000000000015</v>
      </c>
      <c r="I556" s="505"/>
      <c r="J556" s="505"/>
      <c r="K556" s="505"/>
      <c r="L556" s="505"/>
      <c r="M556" s="528"/>
      <c r="N556" s="505"/>
      <c r="O556" s="505"/>
      <c r="P556" s="505"/>
      <c r="Q556" s="505"/>
      <c r="R556" s="505"/>
      <c r="S556" s="505"/>
      <c r="T556" s="505"/>
      <c r="U556" s="505"/>
      <c r="V556" s="505"/>
      <c r="W556" s="505"/>
      <c r="X556" s="505"/>
      <c r="Y556" s="505"/>
      <c r="Z556" s="505"/>
      <c r="AA556" s="505"/>
      <c r="AB556" s="505"/>
      <c r="AC556" s="505"/>
      <c r="AD556" s="505"/>
      <c r="AE556" s="505"/>
      <c r="AF556" s="505"/>
      <c r="AG556" s="505"/>
      <c r="AH556" s="505"/>
      <c r="AI556" s="505"/>
      <c r="AJ556" s="505"/>
      <c r="AK556" s="505"/>
      <c r="AL556" s="505"/>
      <c r="AM556" s="505"/>
      <c r="AN556" s="505"/>
      <c r="AO556" s="505"/>
      <c r="AP556" s="505"/>
      <c r="AQ556" s="505"/>
      <c r="AR556" s="505"/>
      <c r="AS556" s="505"/>
      <c r="AT556" s="505"/>
      <c r="AU556" s="505"/>
      <c r="AV556" s="505"/>
      <c r="AW556" s="505"/>
      <c r="AX556" s="505"/>
      <c r="AY556" s="505"/>
      <c r="AZ556" s="505"/>
      <c r="BA556" s="505"/>
      <c r="BB556" s="505"/>
      <c r="BC556" s="505"/>
      <c r="BD556" s="505"/>
      <c r="BE556" s="505"/>
      <c r="BF556" s="505"/>
      <c r="BG556" s="505"/>
      <c r="BH556" s="505"/>
      <c r="BI556" s="505"/>
      <c r="BJ556" s="505"/>
      <c r="BK556" s="505"/>
      <c r="BL556" s="505"/>
      <c r="BM556" s="505"/>
      <c r="BN556" s="505"/>
      <c r="BO556" s="505"/>
      <c r="BP556" s="505"/>
      <c r="BQ556" s="505"/>
      <c r="BR556" s="505"/>
      <c r="BS556" s="505"/>
      <c r="BT556" s="505"/>
      <c r="BU556" s="505"/>
      <c r="BV556" s="505"/>
      <c r="BW556" s="505"/>
      <c r="BX556" s="505"/>
      <c r="BY556" s="505"/>
      <c r="BZ556" s="505"/>
      <c r="CA556" s="505"/>
      <c r="CB556" s="505"/>
      <c r="CC556" s="505"/>
      <c r="CD556" s="505"/>
      <c r="CE556" s="505"/>
      <c r="CF556" s="505"/>
      <c r="CG556" s="505"/>
      <c r="CH556" s="505"/>
      <c r="CI556" s="505"/>
      <c r="CJ556" s="505"/>
      <c r="CK556" s="505"/>
      <c r="CL556" s="505"/>
      <c r="CM556" s="505"/>
      <c r="CN556" s="505"/>
      <c r="CO556" s="505"/>
      <c r="CP556" s="505"/>
      <c r="CQ556" s="505"/>
      <c r="CR556" s="505"/>
      <c r="CS556" s="505"/>
      <c r="CT556" s="505"/>
      <c r="CU556" s="505"/>
      <c r="CV556" s="505"/>
      <c r="CW556" s="505"/>
      <c r="CX556" s="505"/>
      <c r="CY556" s="505"/>
      <c r="CZ556" s="505"/>
      <c r="DA556" s="505"/>
      <c r="DB556" s="505"/>
      <c r="DC556" s="505"/>
      <c r="DD556" s="505"/>
      <c r="DE556" s="505"/>
      <c r="DF556" s="505"/>
      <c r="DG556" s="505"/>
      <c r="DH556" s="505"/>
      <c r="DI556" s="505"/>
      <c r="DJ556" s="505"/>
      <c r="DK556" s="505"/>
      <c r="DL556" s="505"/>
      <c r="DM556" s="505"/>
      <c r="DN556" s="505"/>
      <c r="DO556" s="505"/>
      <c r="DP556" s="505"/>
    </row>
    <row r="557" spans="1:120" hidden="1" outlineLevel="1" x14ac:dyDescent="0.2">
      <c r="A557" s="517">
        <f t="shared" si="73"/>
        <v>40391</v>
      </c>
      <c r="B557" s="517" t="str">
        <f t="shared" si="70"/>
        <v>3Q10</v>
      </c>
      <c r="C557" s="517" t="str">
        <f t="shared" si="74"/>
        <v>4Q10</v>
      </c>
      <c r="D557" s="518">
        <f t="shared" si="75"/>
        <v>40452</v>
      </c>
      <c r="E557" s="518">
        <f t="shared" si="75"/>
        <v>40392</v>
      </c>
      <c r="F557" s="520">
        <v>2.9279999999999999</v>
      </c>
      <c r="G557" s="521">
        <f t="shared" si="71"/>
        <v>0.36000000000000015</v>
      </c>
      <c r="H557" s="521">
        <f t="shared" si="72"/>
        <v>0.37000000000000016</v>
      </c>
      <c r="I557" s="505"/>
      <c r="J557" s="505"/>
      <c r="K557" s="505"/>
      <c r="L557" s="505"/>
      <c r="M557" s="528"/>
      <c r="N557" s="505"/>
      <c r="O557" s="505"/>
      <c r="P557" s="505"/>
      <c r="Q557" s="505"/>
      <c r="R557" s="505"/>
      <c r="S557" s="505"/>
      <c r="T557" s="505"/>
      <c r="U557" s="505"/>
      <c r="V557" s="505"/>
      <c r="W557" s="505"/>
      <c r="X557" s="505"/>
      <c r="Y557" s="505"/>
      <c r="Z557" s="505"/>
      <c r="AA557" s="505"/>
      <c r="AB557" s="505"/>
      <c r="AC557" s="505"/>
      <c r="AD557" s="505"/>
      <c r="AE557" s="505"/>
      <c r="AF557" s="505"/>
      <c r="AG557" s="505"/>
      <c r="AH557" s="505"/>
      <c r="AI557" s="505"/>
      <c r="AJ557" s="505"/>
      <c r="AK557" s="505"/>
      <c r="AL557" s="505"/>
      <c r="AM557" s="505"/>
      <c r="AN557" s="505"/>
      <c r="AO557" s="505"/>
      <c r="AP557" s="505"/>
      <c r="AQ557" s="505"/>
      <c r="AR557" s="505"/>
      <c r="AS557" s="505"/>
      <c r="AT557" s="505"/>
      <c r="AU557" s="505"/>
      <c r="AV557" s="505"/>
      <c r="AW557" s="505"/>
      <c r="AX557" s="505"/>
      <c r="AY557" s="505"/>
      <c r="AZ557" s="505"/>
      <c r="BA557" s="505"/>
      <c r="BB557" s="505"/>
      <c r="BC557" s="505"/>
      <c r="BD557" s="505"/>
      <c r="BE557" s="505"/>
      <c r="BF557" s="505"/>
      <c r="BG557" s="505"/>
      <c r="BH557" s="505"/>
      <c r="BI557" s="505"/>
      <c r="BJ557" s="505"/>
      <c r="BK557" s="505"/>
      <c r="BL557" s="505"/>
      <c r="BM557" s="505"/>
      <c r="BN557" s="505"/>
      <c r="BO557" s="505"/>
      <c r="BP557" s="505"/>
      <c r="BQ557" s="505"/>
      <c r="BR557" s="505"/>
      <c r="BS557" s="505"/>
      <c r="BT557" s="505"/>
      <c r="BU557" s="505"/>
      <c r="BV557" s="505"/>
      <c r="BW557" s="505"/>
      <c r="BX557" s="505"/>
      <c r="BY557" s="505"/>
      <c r="BZ557" s="505"/>
      <c r="CA557" s="505"/>
      <c r="CB557" s="505"/>
      <c r="CC557" s="505"/>
      <c r="CD557" s="505"/>
      <c r="CE557" s="505"/>
      <c r="CF557" s="505"/>
      <c r="CG557" s="505"/>
      <c r="CH557" s="505"/>
      <c r="CI557" s="505"/>
      <c r="CJ557" s="505"/>
      <c r="CK557" s="505"/>
      <c r="CL557" s="505"/>
      <c r="CM557" s="505"/>
      <c r="CN557" s="505"/>
      <c r="CO557" s="505"/>
      <c r="CP557" s="505"/>
      <c r="CQ557" s="505"/>
      <c r="CR557" s="505"/>
      <c r="CS557" s="505"/>
      <c r="CT557" s="505"/>
      <c r="CU557" s="505"/>
      <c r="CV557" s="505"/>
      <c r="CW557" s="505"/>
      <c r="CX557" s="505"/>
      <c r="CY557" s="505"/>
      <c r="CZ557" s="505"/>
      <c r="DA557" s="505"/>
      <c r="DB557" s="505"/>
      <c r="DC557" s="505"/>
      <c r="DD557" s="505"/>
      <c r="DE557" s="505"/>
      <c r="DF557" s="505"/>
      <c r="DG557" s="505"/>
      <c r="DH557" s="505"/>
      <c r="DI557" s="505"/>
      <c r="DJ557" s="505"/>
      <c r="DK557" s="505"/>
      <c r="DL557" s="505"/>
      <c r="DM557" s="505"/>
      <c r="DN557" s="505"/>
      <c r="DO557" s="505"/>
      <c r="DP557" s="505"/>
    </row>
    <row r="558" spans="1:120" hidden="1" outlineLevel="1" x14ac:dyDescent="0.2">
      <c r="A558" s="517">
        <f t="shared" si="73"/>
        <v>40391</v>
      </c>
      <c r="B558" s="517" t="str">
        <f t="shared" si="70"/>
        <v>3Q10</v>
      </c>
      <c r="C558" s="517" t="str">
        <f t="shared" si="74"/>
        <v>4Q10</v>
      </c>
      <c r="D558" s="518">
        <f t="shared" si="75"/>
        <v>40459</v>
      </c>
      <c r="E558" s="518">
        <f t="shared" si="75"/>
        <v>40399</v>
      </c>
      <c r="F558" s="520">
        <v>2.9910000000000001</v>
      </c>
      <c r="G558" s="521">
        <f t="shared" si="71"/>
        <v>0.37000000000000016</v>
      </c>
      <c r="H558" s="521">
        <f t="shared" si="72"/>
        <v>0.37000000000000016</v>
      </c>
      <c r="I558" s="505"/>
      <c r="J558" s="505"/>
      <c r="K558" s="505"/>
      <c r="L558" s="505"/>
      <c r="M558" s="528"/>
      <c r="N558" s="505"/>
      <c r="O558" s="505"/>
      <c r="P558" s="505"/>
      <c r="Q558" s="505"/>
      <c r="R558" s="505"/>
      <c r="S558" s="505"/>
      <c r="T558" s="505"/>
      <c r="U558" s="505"/>
      <c r="V558" s="505"/>
      <c r="W558" s="505"/>
      <c r="X558" s="505"/>
      <c r="Y558" s="505"/>
      <c r="Z558" s="505"/>
      <c r="AA558" s="505"/>
      <c r="AB558" s="505"/>
      <c r="AC558" s="505"/>
      <c r="AD558" s="505"/>
      <c r="AE558" s="505"/>
      <c r="AF558" s="505"/>
      <c r="AG558" s="505"/>
      <c r="AH558" s="505"/>
      <c r="AI558" s="505"/>
      <c r="AJ558" s="505"/>
      <c r="AK558" s="505"/>
      <c r="AL558" s="505"/>
      <c r="AM558" s="505"/>
      <c r="AN558" s="505"/>
      <c r="AO558" s="505"/>
      <c r="AP558" s="505"/>
      <c r="AQ558" s="505"/>
      <c r="AR558" s="505"/>
      <c r="AS558" s="505"/>
      <c r="AT558" s="505"/>
      <c r="AU558" s="505"/>
      <c r="AV558" s="505"/>
      <c r="AW558" s="505"/>
      <c r="AX558" s="505"/>
      <c r="AY558" s="505"/>
      <c r="AZ558" s="505"/>
      <c r="BA558" s="505"/>
      <c r="BB558" s="505"/>
      <c r="BC558" s="505"/>
      <c r="BD558" s="505"/>
      <c r="BE558" s="505"/>
      <c r="BF558" s="505"/>
      <c r="BG558" s="505"/>
      <c r="BH558" s="505"/>
      <c r="BI558" s="505"/>
      <c r="BJ558" s="505"/>
      <c r="BK558" s="505"/>
      <c r="BL558" s="505"/>
      <c r="BM558" s="505"/>
      <c r="BN558" s="505"/>
      <c r="BO558" s="505"/>
      <c r="BP558" s="505"/>
      <c r="BQ558" s="505"/>
      <c r="BR558" s="505"/>
      <c r="BS558" s="505"/>
      <c r="BT558" s="505"/>
      <c r="BU558" s="505"/>
      <c r="BV558" s="505"/>
      <c r="BW558" s="505"/>
      <c r="BX558" s="505"/>
      <c r="BY558" s="505"/>
      <c r="BZ558" s="505"/>
      <c r="CA558" s="505"/>
      <c r="CB558" s="505"/>
      <c r="CC558" s="505"/>
      <c r="CD558" s="505"/>
      <c r="CE558" s="505"/>
      <c r="CF558" s="505"/>
      <c r="CG558" s="505"/>
      <c r="CH558" s="505"/>
      <c r="CI558" s="505"/>
      <c r="CJ558" s="505"/>
      <c r="CK558" s="505"/>
      <c r="CL558" s="505"/>
      <c r="CM558" s="505"/>
      <c r="CN558" s="505"/>
      <c r="CO558" s="505"/>
      <c r="CP558" s="505"/>
      <c r="CQ558" s="505"/>
      <c r="CR558" s="505"/>
      <c r="CS558" s="505"/>
      <c r="CT558" s="505"/>
      <c r="CU558" s="505"/>
      <c r="CV558" s="505"/>
      <c r="CW558" s="505"/>
      <c r="CX558" s="505"/>
      <c r="CY558" s="505"/>
      <c r="CZ558" s="505"/>
      <c r="DA558" s="505"/>
      <c r="DB558" s="505"/>
      <c r="DC558" s="505"/>
      <c r="DD558" s="505"/>
      <c r="DE558" s="505"/>
      <c r="DF558" s="505"/>
      <c r="DG558" s="505"/>
      <c r="DH558" s="505"/>
      <c r="DI558" s="505"/>
      <c r="DJ558" s="505"/>
      <c r="DK558" s="505"/>
      <c r="DL558" s="505"/>
      <c r="DM558" s="505"/>
      <c r="DN558" s="505"/>
      <c r="DO558" s="505"/>
      <c r="DP558" s="505"/>
    </row>
    <row r="559" spans="1:120" hidden="1" outlineLevel="1" x14ac:dyDescent="0.2">
      <c r="A559" s="517">
        <f t="shared" si="73"/>
        <v>40391</v>
      </c>
      <c r="B559" s="517" t="str">
        <f t="shared" si="70"/>
        <v>3Q10</v>
      </c>
      <c r="C559" s="517" t="str">
        <f t="shared" si="74"/>
        <v>4Q10</v>
      </c>
      <c r="D559" s="518">
        <f t="shared" si="75"/>
        <v>40466</v>
      </c>
      <c r="E559" s="518">
        <f t="shared" si="75"/>
        <v>40406</v>
      </c>
      <c r="F559" s="520">
        <v>2.9790000000000001</v>
      </c>
      <c r="G559" s="521">
        <f t="shared" si="71"/>
        <v>0.37000000000000016</v>
      </c>
      <c r="H559" s="521">
        <f t="shared" si="72"/>
        <v>0.37000000000000016</v>
      </c>
      <c r="I559" s="505"/>
      <c r="J559" s="505"/>
      <c r="K559" s="505"/>
      <c r="L559" s="505"/>
      <c r="M559" s="528"/>
      <c r="N559" s="505"/>
      <c r="O559" s="505"/>
      <c r="P559" s="505"/>
      <c r="Q559" s="505"/>
      <c r="R559" s="505"/>
      <c r="S559" s="505"/>
      <c r="T559" s="505"/>
      <c r="U559" s="505"/>
      <c r="V559" s="505"/>
      <c r="W559" s="505"/>
      <c r="X559" s="505"/>
      <c r="Y559" s="505"/>
      <c r="Z559" s="505"/>
      <c r="AA559" s="505"/>
      <c r="AB559" s="505"/>
      <c r="AC559" s="505"/>
      <c r="AD559" s="505"/>
      <c r="AE559" s="505"/>
      <c r="AF559" s="505"/>
      <c r="AG559" s="505"/>
      <c r="AH559" s="505"/>
      <c r="AI559" s="505"/>
      <c r="AJ559" s="505"/>
      <c r="AK559" s="505"/>
      <c r="AL559" s="505"/>
      <c r="AM559" s="505"/>
      <c r="AN559" s="505"/>
      <c r="AO559" s="505"/>
      <c r="AP559" s="505"/>
      <c r="AQ559" s="505"/>
      <c r="AR559" s="505"/>
      <c r="AS559" s="505"/>
      <c r="AT559" s="505"/>
      <c r="AU559" s="505"/>
      <c r="AV559" s="505"/>
      <c r="AW559" s="505"/>
      <c r="AX559" s="505"/>
      <c r="AY559" s="505"/>
      <c r="AZ559" s="505"/>
      <c r="BA559" s="505"/>
      <c r="BB559" s="505"/>
      <c r="BC559" s="505"/>
      <c r="BD559" s="505"/>
      <c r="BE559" s="505"/>
      <c r="BF559" s="505"/>
      <c r="BG559" s="505"/>
      <c r="BH559" s="505"/>
      <c r="BI559" s="505"/>
      <c r="BJ559" s="505"/>
      <c r="BK559" s="505"/>
      <c r="BL559" s="505"/>
      <c r="BM559" s="505"/>
      <c r="BN559" s="505"/>
      <c r="BO559" s="505"/>
      <c r="BP559" s="505"/>
      <c r="BQ559" s="505"/>
      <c r="BR559" s="505"/>
      <c r="BS559" s="505"/>
      <c r="BT559" s="505"/>
      <c r="BU559" s="505"/>
      <c r="BV559" s="505"/>
      <c r="BW559" s="505"/>
      <c r="BX559" s="505"/>
      <c r="BY559" s="505"/>
      <c r="BZ559" s="505"/>
      <c r="CA559" s="505"/>
      <c r="CB559" s="505"/>
      <c r="CC559" s="505"/>
      <c r="CD559" s="505"/>
      <c r="CE559" s="505"/>
      <c r="CF559" s="505"/>
      <c r="CG559" s="505"/>
      <c r="CH559" s="505"/>
      <c r="CI559" s="505"/>
      <c r="CJ559" s="505"/>
      <c r="CK559" s="505"/>
      <c r="CL559" s="505"/>
      <c r="CM559" s="505"/>
      <c r="CN559" s="505"/>
      <c r="CO559" s="505"/>
      <c r="CP559" s="505"/>
      <c r="CQ559" s="505"/>
      <c r="CR559" s="505"/>
      <c r="CS559" s="505"/>
      <c r="CT559" s="505"/>
      <c r="CU559" s="505"/>
      <c r="CV559" s="505"/>
      <c r="CW559" s="505"/>
      <c r="CX559" s="505"/>
      <c r="CY559" s="505"/>
      <c r="CZ559" s="505"/>
      <c r="DA559" s="505"/>
      <c r="DB559" s="505"/>
      <c r="DC559" s="505"/>
      <c r="DD559" s="505"/>
      <c r="DE559" s="505"/>
      <c r="DF559" s="505"/>
      <c r="DG559" s="505"/>
      <c r="DH559" s="505"/>
      <c r="DI559" s="505"/>
      <c r="DJ559" s="505"/>
      <c r="DK559" s="505"/>
      <c r="DL559" s="505"/>
      <c r="DM559" s="505"/>
      <c r="DN559" s="505"/>
      <c r="DO559" s="505"/>
      <c r="DP559" s="505"/>
    </row>
    <row r="560" spans="1:120" hidden="1" outlineLevel="1" x14ac:dyDescent="0.2">
      <c r="A560" s="517">
        <f t="shared" si="73"/>
        <v>40391</v>
      </c>
      <c r="B560" s="517" t="str">
        <f t="shared" si="70"/>
        <v>3Q10</v>
      </c>
      <c r="C560" s="517" t="str">
        <f t="shared" si="74"/>
        <v>4Q10</v>
      </c>
      <c r="D560" s="518">
        <f t="shared" si="75"/>
        <v>40473</v>
      </c>
      <c r="E560" s="518">
        <f t="shared" si="75"/>
        <v>40413</v>
      </c>
      <c r="F560" s="520">
        <v>2.9569999999999999</v>
      </c>
      <c r="G560" s="521">
        <f t="shared" si="71"/>
        <v>0.37000000000000016</v>
      </c>
      <c r="H560" s="521">
        <f t="shared" si="72"/>
        <v>0.36000000000000015</v>
      </c>
      <c r="I560" s="505"/>
      <c r="J560" s="505"/>
      <c r="K560" s="505"/>
      <c r="L560" s="505"/>
      <c r="M560" s="528"/>
      <c r="N560" s="505"/>
      <c r="O560" s="505"/>
      <c r="P560" s="505"/>
      <c r="Q560" s="505"/>
      <c r="R560" s="505"/>
      <c r="S560" s="505"/>
      <c r="T560" s="505"/>
      <c r="U560" s="505"/>
      <c r="V560" s="505"/>
      <c r="W560" s="505"/>
      <c r="X560" s="505"/>
      <c r="Y560" s="505"/>
      <c r="Z560" s="505"/>
      <c r="AA560" s="505"/>
      <c r="AB560" s="505"/>
      <c r="AC560" s="505"/>
      <c r="AD560" s="505"/>
      <c r="AE560" s="505"/>
      <c r="AF560" s="505"/>
      <c r="AG560" s="505"/>
      <c r="AH560" s="505"/>
      <c r="AI560" s="505"/>
      <c r="AJ560" s="505"/>
      <c r="AK560" s="505"/>
      <c r="AL560" s="505"/>
      <c r="AM560" s="505"/>
      <c r="AN560" s="505"/>
      <c r="AO560" s="505"/>
      <c r="AP560" s="505"/>
      <c r="AQ560" s="505"/>
      <c r="AR560" s="505"/>
      <c r="AS560" s="505"/>
      <c r="AT560" s="505"/>
      <c r="AU560" s="505"/>
      <c r="AV560" s="505"/>
      <c r="AW560" s="505"/>
      <c r="AX560" s="505"/>
      <c r="AY560" s="505"/>
      <c r="AZ560" s="505"/>
      <c r="BA560" s="505"/>
      <c r="BB560" s="505"/>
      <c r="BC560" s="505"/>
      <c r="BD560" s="505"/>
      <c r="BE560" s="505"/>
      <c r="BF560" s="505"/>
      <c r="BG560" s="505"/>
      <c r="BH560" s="505"/>
      <c r="BI560" s="505"/>
      <c r="BJ560" s="505"/>
      <c r="BK560" s="505"/>
      <c r="BL560" s="505"/>
      <c r="BM560" s="505"/>
      <c r="BN560" s="505"/>
      <c r="BO560" s="505"/>
      <c r="BP560" s="505"/>
      <c r="BQ560" s="505"/>
      <c r="BR560" s="505"/>
      <c r="BS560" s="505"/>
      <c r="BT560" s="505"/>
      <c r="BU560" s="505"/>
      <c r="BV560" s="505"/>
      <c r="BW560" s="505"/>
      <c r="BX560" s="505"/>
      <c r="BY560" s="505"/>
      <c r="BZ560" s="505"/>
      <c r="CA560" s="505"/>
      <c r="CB560" s="505"/>
      <c r="CC560" s="505"/>
      <c r="CD560" s="505"/>
      <c r="CE560" s="505"/>
      <c r="CF560" s="505"/>
      <c r="CG560" s="505"/>
      <c r="CH560" s="505"/>
      <c r="CI560" s="505"/>
      <c r="CJ560" s="505"/>
      <c r="CK560" s="505"/>
      <c r="CL560" s="505"/>
      <c r="CM560" s="505"/>
      <c r="CN560" s="505"/>
      <c r="CO560" s="505"/>
      <c r="CP560" s="505"/>
      <c r="CQ560" s="505"/>
      <c r="CR560" s="505"/>
      <c r="CS560" s="505"/>
      <c r="CT560" s="505"/>
      <c r="CU560" s="505"/>
      <c r="CV560" s="505"/>
      <c r="CW560" s="505"/>
      <c r="CX560" s="505"/>
      <c r="CY560" s="505"/>
      <c r="CZ560" s="505"/>
      <c r="DA560" s="505"/>
      <c r="DB560" s="505"/>
      <c r="DC560" s="505"/>
      <c r="DD560" s="505"/>
      <c r="DE560" s="505"/>
      <c r="DF560" s="505"/>
      <c r="DG560" s="505"/>
      <c r="DH560" s="505"/>
      <c r="DI560" s="505"/>
      <c r="DJ560" s="505"/>
      <c r="DK560" s="505"/>
      <c r="DL560" s="505"/>
      <c r="DM560" s="505"/>
      <c r="DN560" s="505"/>
      <c r="DO560" s="505"/>
      <c r="DP560" s="505"/>
    </row>
    <row r="561" spans="1:120" hidden="1" outlineLevel="1" x14ac:dyDescent="0.2">
      <c r="A561" s="517">
        <f t="shared" si="73"/>
        <v>40391</v>
      </c>
      <c r="B561" s="517" t="str">
        <f t="shared" si="70"/>
        <v>3Q10</v>
      </c>
      <c r="C561" s="517" t="str">
        <f t="shared" si="74"/>
        <v>4Q10</v>
      </c>
      <c r="D561" s="518">
        <f t="shared" si="75"/>
        <v>40480</v>
      </c>
      <c r="E561" s="518">
        <f t="shared" si="75"/>
        <v>40420</v>
      </c>
      <c r="F561" s="520">
        <v>2.9380000000000002</v>
      </c>
      <c r="G561" s="521">
        <f t="shared" si="71"/>
        <v>0.36000000000000015</v>
      </c>
      <c r="H561" s="521">
        <f t="shared" si="72"/>
        <v>0.36000000000000015</v>
      </c>
      <c r="I561" s="505"/>
      <c r="J561" s="505"/>
      <c r="K561" s="505"/>
      <c r="L561" s="505"/>
      <c r="M561" s="528"/>
      <c r="N561" s="505"/>
      <c r="O561" s="505"/>
      <c r="P561" s="505"/>
      <c r="Q561" s="505"/>
      <c r="R561" s="505"/>
      <c r="S561" s="505"/>
      <c r="T561" s="505"/>
      <c r="U561" s="505"/>
      <c r="V561" s="505"/>
      <c r="W561" s="505"/>
      <c r="X561" s="505"/>
      <c r="Y561" s="505"/>
      <c r="Z561" s="505"/>
      <c r="AA561" s="505"/>
      <c r="AB561" s="505"/>
      <c r="AC561" s="505"/>
      <c r="AD561" s="505"/>
      <c r="AE561" s="505"/>
      <c r="AF561" s="505"/>
      <c r="AG561" s="505"/>
      <c r="AH561" s="505"/>
      <c r="AI561" s="505"/>
      <c r="AJ561" s="505"/>
      <c r="AK561" s="505"/>
      <c r="AL561" s="505"/>
      <c r="AM561" s="505"/>
      <c r="AN561" s="505"/>
      <c r="AO561" s="505"/>
      <c r="AP561" s="505"/>
      <c r="AQ561" s="505"/>
      <c r="AR561" s="505"/>
      <c r="AS561" s="505"/>
      <c r="AT561" s="505"/>
      <c r="AU561" s="505"/>
      <c r="AV561" s="505"/>
      <c r="AW561" s="505"/>
      <c r="AX561" s="505"/>
      <c r="AY561" s="505"/>
      <c r="AZ561" s="505"/>
      <c r="BA561" s="505"/>
      <c r="BB561" s="505"/>
      <c r="BC561" s="505"/>
      <c r="BD561" s="505"/>
      <c r="BE561" s="505"/>
      <c r="BF561" s="505"/>
      <c r="BG561" s="505"/>
      <c r="BH561" s="505"/>
      <c r="BI561" s="505"/>
      <c r="BJ561" s="505"/>
      <c r="BK561" s="505"/>
      <c r="BL561" s="505"/>
      <c r="BM561" s="505"/>
      <c r="BN561" s="505"/>
      <c r="BO561" s="505"/>
      <c r="BP561" s="505"/>
      <c r="BQ561" s="505"/>
      <c r="BR561" s="505"/>
      <c r="BS561" s="505"/>
      <c r="BT561" s="505"/>
      <c r="BU561" s="505"/>
      <c r="BV561" s="505"/>
      <c r="BW561" s="505"/>
      <c r="BX561" s="505"/>
      <c r="BY561" s="505"/>
      <c r="BZ561" s="505"/>
      <c r="CA561" s="505"/>
      <c r="CB561" s="505"/>
      <c r="CC561" s="505"/>
      <c r="CD561" s="505"/>
      <c r="CE561" s="505"/>
      <c r="CF561" s="505"/>
      <c r="CG561" s="505"/>
      <c r="CH561" s="505"/>
      <c r="CI561" s="505"/>
      <c r="CJ561" s="505"/>
      <c r="CK561" s="505"/>
      <c r="CL561" s="505"/>
      <c r="CM561" s="505"/>
      <c r="CN561" s="505"/>
      <c r="CO561" s="505"/>
      <c r="CP561" s="505"/>
      <c r="CQ561" s="505"/>
      <c r="CR561" s="505"/>
      <c r="CS561" s="505"/>
      <c r="CT561" s="505"/>
      <c r="CU561" s="505"/>
      <c r="CV561" s="505"/>
      <c r="CW561" s="505"/>
      <c r="CX561" s="505"/>
      <c r="CY561" s="505"/>
      <c r="CZ561" s="505"/>
      <c r="DA561" s="505"/>
      <c r="DB561" s="505"/>
      <c r="DC561" s="505"/>
      <c r="DD561" s="505"/>
      <c r="DE561" s="505"/>
      <c r="DF561" s="505"/>
      <c r="DG561" s="505"/>
      <c r="DH561" s="505"/>
      <c r="DI561" s="505"/>
      <c r="DJ561" s="505"/>
      <c r="DK561" s="505"/>
      <c r="DL561" s="505"/>
      <c r="DM561" s="505"/>
      <c r="DN561" s="505"/>
      <c r="DO561" s="505"/>
      <c r="DP561" s="505"/>
    </row>
    <row r="562" spans="1:120" hidden="1" outlineLevel="1" x14ac:dyDescent="0.2">
      <c r="A562" s="517">
        <f t="shared" si="73"/>
        <v>40422</v>
      </c>
      <c r="B562" s="517" t="str">
        <f t="shared" si="70"/>
        <v>3Q10</v>
      </c>
      <c r="C562" s="517" t="str">
        <f t="shared" si="74"/>
        <v>4Q10</v>
      </c>
      <c r="D562" s="518">
        <f t="shared" si="75"/>
        <v>40487</v>
      </c>
      <c r="E562" s="518">
        <f t="shared" si="75"/>
        <v>40427</v>
      </c>
      <c r="F562" s="520">
        <v>2.931</v>
      </c>
      <c r="G562" s="521">
        <f t="shared" si="71"/>
        <v>0.36000000000000015</v>
      </c>
      <c r="H562" s="521">
        <f t="shared" si="72"/>
        <v>0.36000000000000015</v>
      </c>
      <c r="I562" s="505"/>
      <c r="J562" s="505"/>
      <c r="K562" s="505"/>
      <c r="L562" s="505"/>
      <c r="M562" s="528"/>
      <c r="N562" s="505"/>
      <c r="O562" s="505"/>
      <c r="P562" s="505"/>
      <c r="Q562" s="505"/>
      <c r="R562" s="505"/>
      <c r="S562" s="505"/>
      <c r="T562" s="505"/>
      <c r="U562" s="505"/>
      <c r="V562" s="505"/>
      <c r="W562" s="505"/>
      <c r="X562" s="505"/>
      <c r="Y562" s="505"/>
      <c r="Z562" s="505"/>
      <c r="AA562" s="505"/>
      <c r="AB562" s="505"/>
      <c r="AC562" s="505"/>
      <c r="AD562" s="505"/>
      <c r="AE562" s="505"/>
      <c r="AF562" s="505"/>
      <c r="AG562" s="505"/>
      <c r="AH562" s="505"/>
      <c r="AI562" s="505"/>
      <c r="AJ562" s="505"/>
      <c r="AK562" s="505"/>
      <c r="AL562" s="505"/>
      <c r="AM562" s="505"/>
      <c r="AN562" s="505"/>
      <c r="AO562" s="505"/>
      <c r="AP562" s="505"/>
      <c r="AQ562" s="505"/>
      <c r="AR562" s="505"/>
      <c r="AS562" s="505"/>
      <c r="AT562" s="505"/>
      <c r="AU562" s="505"/>
      <c r="AV562" s="505"/>
      <c r="AW562" s="505"/>
      <c r="AX562" s="505"/>
      <c r="AY562" s="505"/>
      <c r="AZ562" s="505"/>
      <c r="BA562" s="505"/>
      <c r="BB562" s="505"/>
      <c r="BC562" s="505"/>
      <c r="BD562" s="505"/>
      <c r="BE562" s="505"/>
      <c r="BF562" s="505"/>
      <c r="BG562" s="505"/>
      <c r="BH562" s="505"/>
      <c r="BI562" s="505"/>
      <c r="BJ562" s="505"/>
      <c r="BK562" s="505"/>
      <c r="BL562" s="505"/>
      <c r="BM562" s="505"/>
      <c r="BN562" s="505"/>
      <c r="BO562" s="505"/>
      <c r="BP562" s="505"/>
      <c r="BQ562" s="505"/>
      <c r="BR562" s="505"/>
      <c r="BS562" s="505"/>
      <c r="BT562" s="505"/>
      <c r="BU562" s="505"/>
      <c r="BV562" s="505"/>
      <c r="BW562" s="505"/>
      <c r="BX562" s="505"/>
      <c r="BY562" s="505"/>
      <c r="BZ562" s="505"/>
      <c r="CA562" s="505"/>
      <c r="CB562" s="505"/>
      <c r="CC562" s="505"/>
      <c r="CD562" s="505"/>
      <c r="CE562" s="505"/>
      <c r="CF562" s="505"/>
      <c r="CG562" s="505"/>
      <c r="CH562" s="505"/>
      <c r="CI562" s="505"/>
      <c r="CJ562" s="505"/>
      <c r="CK562" s="505"/>
      <c r="CL562" s="505"/>
      <c r="CM562" s="505"/>
      <c r="CN562" s="505"/>
      <c r="CO562" s="505"/>
      <c r="CP562" s="505"/>
      <c r="CQ562" s="505"/>
      <c r="CR562" s="505"/>
      <c r="CS562" s="505"/>
      <c r="CT562" s="505"/>
      <c r="CU562" s="505"/>
      <c r="CV562" s="505"/>
      <c r="CW562" s="505"/>
      <c r="CX562" s="505"/>
      <c r="CY562" s="505"/>
      <c r="CZ562" s="505"/>
      <c r="DA562" s="505"/>
      <c r="DB562" s="505"/>
      <c r="DC562" s="505"/>
      <c r="DD562" s="505"/>
      <c r="DE562" s="505"/>
      <c r="DF562" s="505"/>
      <c r="DG562" s="505"/>
      <c r="DH562" s="505"/>
      <c r="DI562" s="505"/>
      <c r="DJ562" s="505"/>
      <c r="DK562" s="505"/>
      <c r="DL562" s="505"/>
      <c r="DM562" s="505"/>
      <c r="DN562" s="505"/>
      <c r="DO562" s="505"/>
      <c r="DP562" s="505"/>
    </row>
    <row r="563" spans="1:120" hidden="1" outlineLevel="1" x14ac:dyDescent="0.2">
      <c r="A563" s="517">
        <f t="shared" si="73"/>
        <v>40422</v>
      </c>
      <c r="B563" s="517" t="str">
        <f t="shared" si="70"/>
        <v>3Q10</v>
      </c>
      <c r="C563" s="517" t="str">
        <f t="shared" si="74"/>
        <v>4Q10</v>
      </c>
      <c r="D563" s="518">
        <f t="shared" si="75"/>
        <v>40494</v>
      </c>
      <c r="E563" s="518">
        <f t="shared" si="75"/>
        <v>40434</v>
      </c>
      <c r="F563" s="520">
        <v>2.9430000000000001</v>
      </c>
      <c r="G563" s="521">
        <f t="shared" si="71"/>
        <v>0.36000000000000015</v>
      </c>
      <c r="H563" s="521">
        <f t="shared" si="72"/>
        <v>0.37000000000000016</v>
      </c>
      <c r="I563" s="505"/>
      <c r="J563" s="505"/>
      <c r="K563" s="505"/>
      <c r="L563" s="505"/>
      <c r="M563" s="528"/>
      <c r="N563" s="505"/>
      <c r="O563" s="505"/>
      <c r="P563" s="505"/>
      <c r="Q563" s="505"/>
      <c r="R563" s="505"/>
      <c r="S563" s="505"/>
      <c r="T563" s="505"/>
      <c r="U563" s="505"/>
      <c r="V563" s="505"/>
      <c r="W563" s="505"/>
      <c r="X563" s="505"/>
      <c r="Y563" s="505"/>
      <c r="Z563" s="505"/>
      <c r="AA563" s="505"/>
      <c r="AB563" s="505"/>
      <c r="AC563" s="505"/>
      <c r="AD563" s="505"/>
      <c r="AE563" s="505"/>
      <c r="AF563" s="505"/>
      <c r="AG563" s="505"/>
      <c r="AH563" s="505"/>
      <c r="AI563" s="505"/>
      <c r="AJ563" s="505"/>
      <c r="AK563" s="505"/>
      <c r="AL563" s="505"/>
      <c r="AM563" s="505"/>
      <c r="AN563" s="505"/>
      <c r="AO563" s="505"/>
      <c r="AP563" s="505"/>
      <c r="AQ563" s="505"/>
      <c r="AR563" s="505"/>
      <c r="AS563" s="505"/>
      <c r="AT563" s="505"/>
      <c r="AU563" s="505"/>
      <c r="AV563" s="505"/>
      <c r="AW563" s="505"/>
      <c r="AX563" s="505"/>
      <c r="AY563" s="505"/>
      <c r="AZ563" s="505"/>
      <c r="BA563" s="505"/>
      <c r="BB563" s="505"/>
      <c r="BC563" s="505"/>
      <c r="BD563" s="505"/>
      <c r="BE563" s="505"/>
      <c r="BF563" s="505"/>
      <c r="BG563" s="505"/>
      <c r="BH563" s="505"/>
      <c r="BI563" s="505"/>
      <c r="BJ563" s="505"/>
      <c r="BK563" s="505"/>
      <c r="BL563" s="505"/>
      <c r="BM563" s="505"/>
      <c r="BN563" s="505"/>
      <c r="BO563" s="505"/>
      <c r="BP563" s="505"/>
      <c r="BQ563" s="505"/>
      <c r="BR563" s="505"/>
      <c r="BS563" s="505"/>
      <c r="BT563" s="505"/>
      <c r="BU563" s="505"/>
      <c r="BV563" s="505"/>
      <c r="BW563" s="505"/>
      <c r="BX563" s="505"/>
      <c r="BY563" s="505"/>
      <c r="BZ563" s="505"/>
      <c r="CA563" s="505"/>
      <c r="CB563" s="505"/>
      <c r="CC563" s="505"/>
      <c r="CD563" s="505"/>
      <c r="CE563" s="505"/>
      <c r="CF563" s="505"/>
      <c r="CG563" s="505"/>
      <c r="CH563" s="505"/>
      <c r="CI563" s="505"/>
      <c r="CJ563" s="505"/>
      <c r="CK563" s="505"/>
      <c r="CL563" s="505"/>
      <c r="CM563" s="505"/>
      <c r="CN563" s="505"/>
      <c r="CO563" s="505"/>
      <c r="CP563" s="505"/>
      <c r="CQ563" s="505"/>
      <c r="CR563" s="505"/>
      <c r="CS563" s="505"/>
      <c r="CT563" s="505"/>
      <c r="CU563" s="505"/>
      <c r="CV563" s="505"/>
      <c r="CW563" s="505"/>
      <c r="CX563" s="505"/>
      <c r="CY563" s="505"/>
      <c r="CZ563" s="505"/>
      <c r="DA563" s="505"/>
      <c r="DB563" s="505"/>
      <c r="DC563" s="505"/>
      <c r="DD563" s="505"/>
      <c r="DE563" s="505"/>
      <c r="DF563" s="505"/>
      <c r="DG563" s="505"/>
      <c r="DH563" s="505"/>
      <c r="DI563" s="505"/>
      <c r="DJ563" s="505"/>
      <c r="DK563" s="505"/>
      <c r="DL563" s="505"/>
      <c r="DM563" s="505"/>
      <c r="DN563" s="505"/>
      <c r="DO563" s="505"/>
      <c r="DP563" s="505"/>
    </row>
    <row r="564" spans="1:120" hidden="1" outlineLevel="1" x14ac:dyDescent="0.2">
      <c r="A564" s="517">
        <f t="shared" si="73"/>
        <v>40422</v>
      </c>
      <c r="B564" s="517" t="str">
        <f t="shared" si="70"/>
        <v>3Q10</v>
      </c>
      <c r="C564" s="517" t="str">
        <f t="shared" si="74"/>
        <v>4Q10</v>
      </c>
      <c r="D564" s="518">
        <f t="shared" si="75"/>
        <v>40501</v>
      </c>
      <c r="E564" s="518">
        <f t="shared" si="75"/>
        <v>40441</v>
      </c>
      <c r="F564" s="520">
        <v>2.96</v>
      </c>
      <c r="G564" s="521">
        <f t="shared" si="71"/>
        <v>0.37000000000000016</v>
      </c>
      <c r="H564" s="521">
        <f t="shared" si="72"/>
        <v>0.37000000000000016</v>
      </c>
      <c r="I564" s="505"/>
      <c r="J564" s="505"/>
      <c r="K564" s="505"/>
      <c r="L564" s="505"/>
      <c r="M564" s="528"/>
      <c r="N564" s="505"/>
      <c r="O564" s="505"/>
      <c r="P564" s="505"/>
      <c r="Q564" s="505"/>
      <c r="R564" s="505"/>
      <c r="S564" s="505"/>
      <c r="T564" s="505"/>
      <c r="U564" s="505"/>
      <c r="V564" s="505"/>
      <c r="W564" s="505"/>
      <c r="X564" s="505"/>
      <c r="Y564" s="505"/>
      <c r="Z564" s="505"/>
      <c r="AA564" s="505"/>
      <c r="AB564" s="505"/>
      <c r="AC564" s="505"/>
      <c r="AD564" s="505"/>
      <c r="AE564" s="505"/>
      <c r="AF564" s="505"/>
      <c r="AG564" s="505"/>
      <c r="AH564" s="505"/>
      <c r="AI564" s="505"/>
      <c r="AJ564" s="505"/>
      <c r="AK564" s="505"/>
      <c r="AL564" s="505"/>
      <c r="AM564" s="505"/>
      <c r="AN564" s="505"/>
      <c r="AO564" s="505"/>
      <c r="AP564" s="505"/>
      <c r="AQ564" s="505"/>
      <c r="AR564" s="505"/>
      <c r="AS564" s="505"/>
      <c r="AT564" s="505"/>
      <c r="AU564" s="505"/>
      <c r="AV564" s="505"/>
      <c r="AW564" s="505"/>
      <c r="AX564" s="505"/>
      <c r="AY564" s="505"/>
      <c r="AZ564" s="505"/>
      <c r="BA564" s="505"/>
      <c r="BB564" s="505"/>
      <c r="BC564" s="505"/>
      <c r="BD564" s="505"/>
      <c r="BE564" s="505"/>
      <c r="BF564" s="505"/>
      <c r="BG564" s="505"/>
      <c r="BH564" s="505"/>
      <c r="BI564" s="505"/>
      <c r="BJ564" s="505"/>
      <c r="BK564" s="505"/>
      <c r="BL564" s="505"/>
      <c r="BM564" s="505"/>
      <c r="BN564" s="505"/>
      <c r="BO564" s="505"/>
      <c r="BP564" s="505"/>
      <c r="BQ564" s="505"/>
      <c r="BR564" s="505"/>
      <c r="BS564" s="505"/>
      <c r="BT564" s="505"/>
      <c r="BU564" s="505"/>
      <c r="BV564" s="505"/>
      <c r="BW564" s="505"/>
      <c r="BX564" s="505"/>
      <c r="BY564" s="505"/>
      <c r="BZ564" s="505"/>
      <c r="CA564" s="505"/>
      <c r="CB564" s="505"/>
      <c r="CC564" s="505"/>
      <c r="CD564" s="505"/>
      <c r="CE564" s="505"/>
      <c r="CF564" s="505"/>
      <c r="CG564" s="505"/>
      <c r="CH564" s="505"/>
      <c r="CI564" s="505"/>
      <c r="CJ564" s="505"/>
      <c r="CK564" s="505"/>
      <c r="CL564" s="505"/>
      <c r="CM564" s="505"/>
      <c r="CN564" s="505"/>
      <c r="CO564" s="505"/>
      <c r="CP564" s="505"/>
      <c r="CQ564" s="505"/>
      <c r="CR564" s="505"/>
      <c r="CS564" s="505"/>
      <c r="CT564" s="505"/>
      <c r="CU564" s="505"/>
      <c r="CV564" s="505"/>
      <c r="CW564" s="505"/>
      <c r="CX564" s="505"/>
      <c r="CY564" s="505"/>
      <c r="CZ564" s="505"/>
      <c r="DA564" s="505"/>
      <c r="DB564" s="505"/>
      <c r="DC564" s="505"/>
      <c r="DD564" s="505"/>
      <c r="DE564" s="505"/>
      <c r="DF564" s="505"/>
      <c r="DG564" s="505"/>
      <c r="DH564" s="505"/>
      <c r="DI564" s="505"/>
      <c r="DJ564" s="505"/>
      <c r="DK564" s="505"/>
      <c r="DL564" s="505"/>
      <c r="DM564" s="505"/>
      <c r="DN564" s="505"/>
      <c r="DO564" s="505"/>
      <c r="DP564" s="505"/>
    </row>
    <row r="565" spans="1:120" hidden="1" outlineLevel="1" x14ac:dyDescent="0.2">
      <c r="A565" s="517">
        <f t="shared" si="73"/>
        <v>40422</v>
      </c>
      <c r="B565" s="517" t="str">
        <f t="shared" si="70"/>
        <v>3Q10</v>
      </c>
      <c r="C565" s="517" t="str">
        <f t="shared" si="74"/>
        <v>4Q10</v>
      </c>
      <c r="D565" s="518">
        <f t="shared" si="75"/>
        <v>40508</v>
      </c>
      <c r="E565" s="518">
        <f t="shared" si="75"/>
        <v>40448</v>
      </c>
      <c r="F565" s="520">
        <v>2.9510000000000001</v>
      </c>
      <c r="G565" s="521">
        <f t="shared" si="71"/>
        <v>0.37000000000000016</v>
      </c>
      <c r="H565" s="521">
        <f t="shared" si="72"/>
        <v>0.38000000000000017</v>
      </c>
      <c r="I565" s="505"/>
      <c r="J565" s="505"/>
      <c r="K565" s="505"/>
      <c r="L565" s="505"/>
      <c r="M565" s="528"/>
      <c r="N565" s="505"/>
      <c r="O565" s="505"/>
      <c r="P565" s="505"/>
      <c r="Q565" s="505"/>
      <c r="R565" s="505"/>
      <c r="S565" s="505"/>
      <c r="T565" s="505"/>
      <c r="U565" s="505"/>
      <c r="V565" s="505"/>
      <c r="W565" s="505"/>
      <c r="X565" s="505"/>
      <c r="Y565" s="505"/>
      <c r="Z565" s="505"/>
      <c r="AA565" s="505"/>
      <c r="AB565" s="505"/>
      <c r="AC565" s="505"/>
      <c r="AD565" s="505"/>
      <c r="AE565" s="505"/>
      <c r="AF565" s="505"/>
      <c r="AG565" s="505"/>
      <c r="AH565" s="505"/>
      <c r="AI565" s="505"/>
      <c r="AJ565" s="505"/>
      <c r="AK565" s="505"/>
      <c r="AL565" s="505"/>
      <c r="AM565" s="505"/>
      <c r="AN565" s="505"/>
      <c r="AO565" s="505"/>
      <c r="AP565" s="505"/>
      <c r="AQ565" s="505"/>
      <c r="AR565" s="505"/>
      <c r="AS565" s="505"/>
      <c r="AT565" s="505"/>
      <c r="AU565" s="505"/>
      <c r="AV565" s="505"/>
      <c r="AW565" s="505"/>
      <c r="AX565" s="505"/>
      <c r="AY565" s="505"/>
      <c r="AZ565" s="505"/>
      <c r="BA565" s="505"/>
      <c r="BB565" s="505"/>
      <c r="BC565" s="505"/>
      <c r="BD565" s="505"/>
      <c r="BE565" s="505"/>
      <c r="BF565" s="505"/>
      <c r="BG565" s="505"/>
      <c r="BH565" s="505"/>
      <c r="BI565" s="505"/>
      <c r="BJ565" s="505"/>
      <c r="BK565" s="505"/>
      <c r="BL565" s="505"/>
      <c r="BM565" s="505"/>
      <c r="BN565" s="505"/>
      <c r="BO565" s="505"/>
      <c r="BP565" s="505"/>
      <c r="BQ565" s="505"/>
      <c r="BR565" s="505"/>
      <c r="BS565" s="505"/>
      <c r="BT565" s="505"/>
      <c r="BU565" s="505"/>
      <c r="BV565" s="505"/>
      <c r="BW565" s="505"/>
      <c r="BX565" s="505"/>
      <c r="BY565" s="505"/>
      <c r="BZ565" s="505"/>
      <c r="CA565" s="505"/>
      <c r="CB565" s="505"/>
      <c r="CC565" s="505"/>
      <c r="CD565" s="505"/>
      <c r="CE565" s="505"/>
      <c r="CF565" s="505"/>
      <c r="CG565" s="505"/>
      <c r="CH565" s="505"/>
      <c r="CI565" s="505"/>
      <c r="CJ565" s="505"/>
      <c r="CK565" s="505"/>
      <c r="CL565" s="505"/>
      <c r="CM565" s="505"/>
      <c r="CN565" s="505"/>
      <c r="CO565" s="505"/>
      <c r="CP565" s="505"/>
      <c r="CQ565" s="505"/>
      <c r="CR565" s="505"/>
      <c r="CS565" s="505"/>
      <c r="CT565" s="505"/>
      <c r="CU565" s="505"/>
      <c r="CV565" s="505"/>
      <c r="CW565" s="505"/>
      <c r="CX565" s="505"/>
      <c r="CY565" s="505"/>
      <c r="CZ565" s="505"/>
      <c r="DA565" s="505"/>
      <c r="DB565" s="505"/>
      <c r="DC565" s="505"/>
      <c r="DD565" s="505"/>
      <c r="DE565" s="505"/>
      <c r="DF565" s="505"/>
      <c r="DG565" s="505"/>
      <c r="DH565" s="505"/>
      <c r="DI565" s="505"/>
      <c r="DJ565" s="505"/>
      <c r="DK565" s="505"/>
      <c r="DL565" s="505"/>
      <c r="DM565" s="505"/>
      <c r="DN565" s="505"/>
      <c r="DO565" s="505"/>
      <c r="DP565" s="505"/>
    </row>
    <row r="566" spans="1:120" hidden="1" outlineLevel="1" x14ac:dyDescent="0.2">
      <c r="A566" s="517">
        <f t="shared" si="73"/>
        <v>40452</v>
      </c>
      <c r="B566" s="517" t="str">
        <f t="shared" si="70"/>
        <v>4Q10</v>
      </c>
      <c r="C566" s="517" t="str">
        <f t="shared" si="74"/>
        <v>4Q10</v>
      </c>
      <c r="D566" s="518">
        <f t="shared" si="75"/>
        <v>40515</v>
      </c>
      <c r="E566" s="518">
        <f t="shared" si="75"/>
        <v>40455</v>
      </c>
      <c r="F566" s="520">
        <v>3</v>
      </c>
      <c r="G566" s="521">
        <f t="shared" si="71"/>
        <v>0.38000000000000017</v>
      </c>
      <c r="H566" s="521">
        <f t="shared" si="72"/>
        <v>0.39000000000000018</v>
      </c>
      <c r="I566" s="505"/>
      <c r="J566" s="505"/>
      <c r="K566" s="505"/>
      <c r="L566" s="505"/>
      <c r="M566" s="528"/>
      <c r="N566" s="505"/>
      <c r="O566" s="505"/>
      <c r="P566" s="505"/>
      <c r="Q566" s="505"/>
      <c r="R566" s="505"/>
      <c r="S566" s="505"/>
      <c r="T566" s="505"/>
      <c r="U566" s="505"/>
      <c r="V566" s="505"/>
      <c r="W566" s="505"/>
      <c r="X566" s="505"/>
      <c r="Y566" s="505"/>
      <c r="Z566" s="505"/>
      <c r="AA566" s="505"/>
      <c r="AB566" s="505"/>
      <c r="AC566" s="505"/>
      <c r="AD566" s="505"/>
      <c r="AE566" s="505"/>
      <c r="AF566" s="505"/>
      <c r="AG566" s="505"/>
      <c r="AH566" s="505"/>
      <c r="AI566" s="505"/>
      <c r="AJ566" s="505"/>
      <c r="AK566" s="505"/>
      <c r="AL566" s="505"/>
      <c r="AM566" s="505"/>
      <c r="AN566" s="505"/>
      <c r="AO566" s="505"/>
      <c r="AP566" s="505"/>
      <c r="AQ566" s="505"/>
      <c r="AR566" s="505"/>
      <c r="AS566" s="505"/>
      <c r="AT566" s="505"/>
      <c r="AU566" s="505"/>
      <c r="AV566" s="505"/>
      <c r="AW566" s="505"/>
      <c r="AX566" s="505"/>
      <c r="AY566" s="505"/>
      <c r="AZ566" s="505"/>
      <c r="BA566" s="505"/>
      <c r="BB566" s="505"/>
      <c r="BC566" s="505"/>
      <c r="BD566" s="505"/>
      <c r="BE566" s="505"/>
      <c r="BF566" s="505"/>
      <c r="BG566" s="505"/>
      <c r="BH566" s="505"/>
      <c r="BI566" s="505"/>
      <c r="BJ566" s="505"/>
      <c r="BK566" s="505"/>
      <c r="BL566" s="505"/>
      <c r="BM566" s="505"/>
      <c r="BN566" s="505"/>
      <c r="BO566" s="505"/>
      <c r="BP566" s="505"/>
      <c r="BQ566" s="505"/>
      <c r="BR566" s="505"/>
      <c r="BS566" s="505"/>
      <c r="BT566" s="505"/>
      <c r="BU566" s="505"/>
      <c r="BV566" s="505"/>
      <c r="BW566" s="505"/>
      <c r="BX566" s="505"/>
      <c r="BY566" s="505"/>
      <c r="BZ566" s="505"/>
      <c r="CA566" s="505"/>
      <c r="CB566" s="505"/>
      <c r="CC566" s="505"/>
      <c r="CD566" s="505"/>
      <c r="CE566" s="505"/>
      <c r="CF566" s="505"/>
      <c r="CG566" s="505"/>
      <c r="CH566" s="505"/>
      <c r="CI566" s="505"/>
      <c r="CJ566" s="505"/>
      <c r="CK566" s="505"/>
      <c r="CL566" s="505"/>
      <c r="CM566" s="505"/>
      <c r="CN566" s="505"/>
      <c r="CO566" s="505"/>
      <c r="CP566" s="505"/>
      <c r="CQ566" s="505"/>
      <c r="CR566" s="505"/>
      <c r="CS566" s="505"/>
      <c r="CT566" s="505"/>
      <c r="CU566" s="505"/>
      <c r="CV566" s="505"/>
      <c r="CW566" s="505"/>
      <c r="CX566" s="505"/>
      <c r="CY566" s="505"/>
      <c r="CZ566" s="505"/>
      <c r="DA566" s="505"/>
      <c r="DB566" s="505"/>
      <c r="DC566" s="505"/>
      <c r="DD566" s="505"/>
      <c r="DE566" s="505"/>
      <c r="DF566" s="505"/>
      <c r="DG566" s="505"/>
      <c r="DH566" s="505"/>
      <c r="DI566" s="505"/>
      <c r="DJ566" s="505"/>
      <c r="DK566" s="505"/>
      <c r="DL566" s="505"/>
      <c r="DM566" s="505"/>
      <c r="DN566" s="505"/>
      <c r="DO566" s="505"/>
      <c r="DP566" s="505"/>
    </row>
    <row r="567" spans="1:120" hidden="1" outlineLevel="1" x14ac:dyDescent="0.2">
      <c r="A567" s="517">
        <f t="shared" si="73"/>
        <v>40452</v>
      </c>
      <c r="B567" s="517" t="str">
        <f t="shared" si="70"/>
        <v>4Q10</v>
      </c>
      <c r="C567" s="517" t="str">
        <f t="shared" si="74"/>
        <v>4Q10</v>
      </c>
      <c r="D567" s="518">
        <f t="shared" si="75"/>
        <v>40522</v>
      </c>
      <c r="E567" s="518">
        <f t="shared" si="75"/>
        <v>40462</v>
      </c>
      <c r="F567" s="520">
        <v>3.0659999999999998</v>
      </c>
      <c r="G567" s="521">
        <f t="shared" si="71"/>
        <v>0.39000000000000018</v>
      </c>
      <c r="H567" s="521">
        <f t="shared" si="72"/>
        <v>0.39000000000000018</v>
      </c>
      <c r="I567" s="505"/>
      <c r="J567" s="505"/>
      <c r="K567" s="505"/>
      <c r="L567" s="505"/>
      <c r="M567" s="528"/>
      <c r="N567" s="505"/>
      <c r="O567" s="505"/>
      <c r="P567" s="505"/>
      <c r="Q567" s="505"/>
      <c r="R567" s="505"/>
      <c r="S567" s="505"/>
      <c r="T567" s="505"/>
      <c r="U567" s="505"/>
      <c r="V567" s="505"/>
      <c r="W567" s="505"/>
      <c r="X567" s="505"/>
      <c r="Y567" s="505"/>
      <c r="Z567" s="505"/>
      <c r="AA567" s="505"/>
      <c r="AB567" s="505"/>
      <c r="AC567" s="505"/>
      <c r="AD567" s="505"/>
      <c r="AE567" s="505"/>
      <c r="AF567" s="505"/>
      <c r="AG567" s="505"/>
      <c r="AH567" s="505"/>
      <c r="AI567" s="505"/>
      <c r="AJ567" s="505"/>
      <c r="AK567" s="505"/>
      <c r="AL567" s="505"/>
      <c r="AM567" s="505"/>
      <c r="AN567" s="505"/>
      <c r="AO567" s="505"/>
      <c r="AP567" s="505"/>
      <c r="AQ567" s="505"/>
      <c r="AR567" s="505"/>
      <c r="AS567" s="505"/>
      <c r="AT567" s="505"/>
      <c r="AU567" s="505"/>
      <c r="AV567" s="505"/>
      <c r="AW567" s="505"/>
      <c r="AX567" s="505"/>
      <c r="AY567" s="505"/>
      <c r="AZ567" s="505"/>
      <c r="BA567" s="505"/>
      <c r="BB567" s="505"/>
      <c r="BC567" s="505"/>
      <c r="BD567" s="505"/>
      <c r="BE567" s="505"/>
      <c r="BF567" s="505"/>
      <c r="BG567" s="505"/>
      <c r="BH567" s="505"/>
      <c r="BI567" s="505"/>
      <c r="BJ567" s="505"/>
      <c r="BK567" s="505"/>
      <c r="BL567" s="505"/>
      <c r="BM567" s="505"/>
      <c r="BN567" s="505"/>
      <c r="BO567" s="505"/>
      <c r="BP567" s="505"/>
      <c r="BQ567" s="505"/>
      <c r="BR567" s="505"/>
      <c r="BS567" s="505"/>
      <c r="BT567" s="505"/>
      <c r="BU567" s="505"/>
      <c r="BV567" s="505"/>
      <c r="BW567" s="505"/>
      <c r="BX567" s="505"/>
      <c r="BY567" s="505"/>
      <c r="BZ567" s="505"/>
      <c r="CA567" s="505"/>
      <c r="CB567" s="505"/>
      <c r="CC567" s="505"/>
      <c r="CD567" s="505"/>
      <c r="CE567" s="505"/>
      <c r="CF567" s="505"/>
      <c r="CG567" s="505"/>
      <c r="CH567" s="505"/>
      <c r="CI567" s="505"/>
      <c r="CJ567" s="505"/>
      <c r="CK567" s="505"/>
      <c r="CL567" s="505"/>
      <c r="CM567" s="505"/>
      <c r="CN567" s="505"/>
      <c r="CO567" s="505"/>
      <c r="CP567" s="505"/>
      <c r="CQ567" s="505"/>
      <c r="CR567" s="505"/>
      <c r="CS567" s="505"/>
      <c r="CT567" s="505"/>
      <c r="CU567" s="505"/>
      <c r="CV567" s="505"/>
      <c r="CW567" s="505"/>
      <c r="CX567" s="505"/>
      <c r="CY567" s="505"/>
      <c r="CZ567" s="505"/>
      <c r="DA567" s="505"/>
      <c r="DB567" s="505"/>
      <c r="DC567" s="505"/>
      <c r="DD567" s="505"/>
      <c r="DE567" s="505"/>
      <c r="DF567" s="505"/>
      <c r="DG567" s="505"/>
      <c r="DH567" s="505"/>
      <c r="DI567" s="505"/>
      <c r="DJ567" s="505"/>
      <c r="DK567" s="505"/>
      <c r="DL567" s="505"/>
      <c r="DM567" s="505"/>
      <c r="DN567" s="505"/>
      <c r="DO567" s="505"/>
      <c r="DP567" s="505"/>
    </row>
    <row r="568" spans="1:120" hidden="1" outlineLevel="1" x14ac:dyDescent="0.2">
      <c r="A568" s="517">
        <f t="shared" si="73"/>
        <v>40452</v>
      </c>
      <c r="B568" s="517" t="str">
        <f t="shared" si="70"/>
        <v>4Q10</v>
      </c>
      <c r="C568" s="517" t="str">
        <f t="shared" si="74"/>
        <v>4Q10</v>
      </c>
      <c r="D568" s="518">
        <f t="shared" si="75"/>
        <v>40529</v>
      </c>
      <c r="E568" s="518">
        <f t="shared" si="75"/>
        <v>40469</v>
      </c>
      <c r="F568" s="520">
        <v>3.073</v>
      </c>
      <c r="G568" s="521">
        <f t="shared" si="71"/>
        <v>0.39000000000000018</v>
      </c>
      <c r="H568" s="521">
        <f t="shared" si="72"/>
        <v>0.39000000000000018</v>
      </c>
      <c r="I568" s="505"/>
      <c r="J568" s="505"/>
      <c r="K568" s="505"/>
      <c r="L568" s="505"/>
      <c r="M568" s="528"/>
      <c r="N568" s="505"/>
      <c r="O568" s="505"/>
      <c r="P568" s="505"/>
      <c r="Q568" s="505"/>
      <c r="R568" s="505"/>
      <c r="S568" s="505"/>
      <c r="T568" s="505"/>
      <c r="U568" s="505"/>
      <c r="V568" s="505"/>
      <c r="W568" s="505"/>
      <c r="X568" s="505"/>
      <c r="Y568" s="505"/>
      <c r="Z568" s="505"/>
      <c r="AA568" s="505"/>
      <c r="AB568" s="505"/>
      <c r="AC568" s="505"/>
      <c r="AD568" s="505"/>
      <c r="AE568" s="505"/>
      <c r="AF568" s="505"/>
      <c r="AG568" s="505"/>
      <c r="AH568" s="505"/>
      <c r="AI568" s="505"/>
      <c r="AJ568" s="505"/>
      <c r="AK568" s="505"/>
      <c r="AL568" s="505"/>
      <c r="AM568" s="505"/>
      <c r="AN568" s="505"/>
      <c r="AO568" s="505"/>
      <c r="AP568" s="505"/>
      <c r="AQ568" s="505"/>
      <c r="AR568" s="505"/>
      <c r="AS568" s="505"/>
      <c r="AT568" s="505"/>
      <c r="AU568" s="505"/>
      <c r="AV568" s="505"/>
      <c r="AW568" s="505"/>
      <c r="AX568" s="505"/>
      <c r="AY568" s="505"/>
      <c r="AZ568" s="505"/>
      <c r="BA568" s="505"/>
      <c r="BB568" s="505"/>
      <c r="BC568" s="505"/>
      <c r="BD568" s="505"/>
      <c r="BE568" s="505"/>
      <c r="BF568" s="505"/>
      <c r="BG568" s="505"/>
      <c r="BH568" s="505"/>
      <c r="BI568" s="505"/>
      <c r="BJ568" s="505"/>
      <c r="BK568" s="505"/>
      <c r="BL568" s="505"/>
      <c r="BM568" s="505"/>
      <c r="BN568" s="505"/>
      <c r="BO568" s="505"/>
      <c r="BP568" s="505"/>
      <c r="BQ568" s="505"/>
      <c r="BR568" s="505"/>
      <c r="BS568" s="505"/>
      <c r="BT568" s="505"/>
      <c r="BU568" s="505"/>
      <c r="BV568" s="505"/>
      <c r="BW568" s="505"/>
      <c r="BX568" s="505"/>
      <c r="BY568" s="505"/>
      <c r="BZ568" s="505"/>
      <c r="CA568" s="505"/>
      <c r="CB568" s="505"/>
      <c r="CC568" s="505"/>
      <c r="CD568" s="505"/>
      <c r="CE568" s="505"/>
      <c r="CF568" s="505"/>
      <c r="CG568" s="505"/>
      <c r="CH568" s="505"/>
      <c r="CI568" s="505"/>
      <c r="CJ568" s="505"/>
      <c r="CK568" s="505"/>
      <c r="CL568" s="505"/>
      <c r="CM568" s="505"/>
      <c r="CN568" s="505"/>
      <c r="CO568" s="505"/>
      <c r="CP568" s="505"/>
      <c r="CQ568" s="505"/>
      <c r="CR568" s="505"/>
      <c r="CS568" s="505"/>
      <c r="CT568" s="505"/>
      <c r="CU568" s="505"/>
      <c r="CV568" s="505"/>
      <c r="CW568" s="505"/>
      <c r="CX568" s="505"/>
      <c r="CY568" s="505"/>
      <c r="CZ568" s="505"/>
      <c r="DA568" s="505"/>
      <c r="DB568" s="505"/>
      <c r="DC568" s="505"/>
      <c r="DD568" s="505"/>
      <c r="DE568" s="505"/>
      <c r="DF568" s="505"/>
      <c r="DG568" s="505"/>
      <c r="DH568" s="505"/>
      <c r="DI568" s="505"/>
      <c r="DJ568" s="505"/>
      <c r="DK568" s="505"/>
      <c r="DL568" s="505"/>
      <c r="DM568" s="505"/>
      <c r="DN568" s="505"/>
      <c r="DO568" s="505"/>
      <c r="DP568" s="505"/>
    </row>
    <row r="569" spans="1:120" hidden="1" outlineLevel="1" x14ac:dyDescent="0.2">
      <c r="A569" s="517">
        <f t="shared" si="73"/>
        <v>40452</v>
      </c>
      <c r="B569" s="517" t="str">
        <f t="shared" si="70"/>
        <v>4Q10</v>
      </c>
      <c r="C569" s="517" t="str">
        <f t="shared" si="74"/>
        <v>4Q10</v>
      </c>
      <c r="D569" s="518">
        <f t="shared" si="75"/>
        <v>40536</v>
      </c>
      <c r="E569" s="518">
        <f t="shared" si="75"/>
        <v>40476</v>
      </c>
      <c r="F569" s="520">
        <v>3.0670000000000002</v>
      </c>
      <c r="G569" s="521">
        <f t="shared" si="71"/>
        <v>0.39000000000000018</v>
      </c>
      <c r="H569" s="521">
        <f t="shared" si="72"/>
        <v>0.39000000000000018</v>
      </c>
      <c r="I569" s="505"/>
      <c r="J569" s="505"/>
      <c r="K569" s="505"/>
      <c r="L569" s="505"/>
      <c r="M569" s="528"/>
      <c r="N569" s="505"/>
      <c r="O569" s="505"/>
      <c r="P569" s="505"/>
      <c r="Q569" s="505"/>
      <c r="R569" s="505"/>
      <c r="S569" s="505"/>
      <c r="T569" s="505"/>
      <c r="U569" s="505"/>
      <c r="V569" s="505"/>
      <c r="W569" s="505"/>
      <c r="X569" s="505"/>
      <c r="Y569" s="505"/>
      <c r="Z569" s="505"/>
      <c r="AA569" s="505"/>
      <c r="AB569" s="505"/>
      <c r="AC569" s="505"/>
      <c r="AD569" s="505"/>
      <c r="AE569" s="505"/>
      <c r="AF569" s="505"/>
      <c r="AG569" s="505"/>
      <c r="AH569" s="505"/>
      <c r="AI569" s="505"/>
      <c r="AJ569" s="505"/>
      <c r="AK569" s="505"/>
      <c r="AL569" s="505"/>
      <c r="AM569" s="505"/>
      <c r="AN569" s="505"/>
      <c r="AO569" s="505"/>
      <c r="AP569" s="505"/>
      <c r="AQ569" s="505"/>
      <c r="AR569" s="505"/>
      <c r="AS569" s="505"/>
      <c r="AT569" s="505"/>
      <c r="AU569" s="505"/>
      <c r="AV569" s="505"/>
      <c r="AW569" s="505"/>
      <c r="AX569" s="505"/>
      <c r="AY569" s="505"/>
      <c r="AZ569" s="505"/>
      <c r="BA569" s="505"/>
      <c r="BB569" s="505"/>
      <c r="BC569" s="505"/>
      <c r="BD569" s="505"/>
      <c r="BE569" s="505"/>
      <c r="BF569" s="505"/>
      <c r="BG569" s="505"/>
      <c r="BH569" s="505"/>
      <c r="BI569" s="505"/>
      <c r="BJ569" s="505"/>
      <c r="BK569" s="505"/>
      <c r="BL569" s="505"/>
      <c r="BM569" s="505"/>
      <c r="BN569" s="505"/>
      <c r="BO569" s="505"/>
      <c r="BP569" s="505"/>
      <c r="BQ569" s="505"/>
      <c r="BR569" s="505"/>
      <c r="BS569" s="505"/>
      <c r="BT569" s="505"/>
      <c r="BU569" s="505"/>
      <c r="BV569" s="505"/>
      <c r="BW569" s="505"/>
      <c r="BX569" s="505"/>
      <c r="BY569" s="505"/>
      <c r="BZ569" s="505"/>
      <c r="CA569" s="505"/>
      <c r="CB569" s="505"/>
      <c r="CC569" s="505"/>
      <c r="CD569" s="505"/>
      <c r="CE569" s="505"/>
      <c r="CF569" s="505"/>
      <c r="CG569" s="505"/>
      <c r="CH569" s="505"/>
      <c r="CI569" s="505"/>
      <c r="CJ569" s="505"/>
      <c r="CK569" s="505"/>
      <c r="CL569" s="505"/>
      <c r="CM569" s="505"/>
      <c r="CN569" s="505"/>
      <c r="CO569" s="505"/>
      <c r="CP569" s="505"/>
      <c r="CQ569" s="505"/>
      <c r="CR569" s="505"/>
      <c r="CS569" s="505"/>
      <c r="CT569" s="505"/>
      <c r="CU569" s="505"/>
      <c r="CV569" s="505"/>
      <c r="CW569" s="505"/>
      <c r="CX569" s="505"/>
      <c r="CY569" s="505"/>
      <c r="CZ569" s="505"/>
      <c r="DA569" s="505"/>
      <c r="DB569" s="505"/>
      <c r="DC569" s="505"/>
      <c r="DD569" s="505"/>
      <c r="DE569" s="505"/>
      <c r="DF569" s="505"/>
      <c r="DG569" s="505"/>
      <c r="DH569" s="505"/>
      <c r="DI569" s="505"/>
      <c r="DJ569" s="505"/>
      <c r="DK569" s="505"/>
      <c r="DL569" s="505"/>
      <c r="DM569" s="505"/>
      <c r="DN569" s="505"/>
      <c r="DO569" s="505"/>
      <c r="DP569" s="505"/>
    </row>
    <row r="570" spans="1:120" hidden="1" outlineLevel="1" x14ac:dyDescent="0.2">
      <c r="A570" s="517">
        <f t="shared" si="73"/>
        <v>40483</v>
      </c>
      <c r="B570" s="517" t="str">
        <f t="shared" si="70"/>
        <v>4Q10</v>
      </c>
      <c r="C570" s="517" t="str">
        <f t="shared" si="74"/>
        <v>4Q10</v>
      </c>
      <c r="D570" s="518">
        <f t="shared" si="75"/>
        <v>40543</v>
      </c>
      <c r="E570" s="518">
        <f t="shared" si="75"/>
        <v>40483</v>
      </c>
      <c r="F570" s="520">
        <v>3.0670000000000002</v>
      </c>
      <c r="G570" s="521">
        <f t="shared" si="71"/>
        <v>0.39000000000000018</v>
      </c>
      <c r="H570" s="521">
        <f t="shared" si="72"/>
        <v>0.40000000000000019</v>
      </c>
      <c r="I570" s="505"/>
      <c r="J570" s="505"/>
      <c r="K570" s="505"/>
      <c r="L570" s="505"/>
      <c r="M570" s="528"/>
      <c r="N570" s="505"/>
      <c r="O570" s="505"/>
      <c r="P570" s="505"/>
      <c r="Q570" s="505"/>
      <c r="R570" s="505"/>
      <c r="S570" s="505"/>
      <c r="T570" s="505"/>
      <c r="U570" s="505"/>
      <c r="V570" s="505"/>
      <c r="W570" s="505"/>
      <c r="X570" s="505"/>
      <c r="Y570" s="505"/>
      <c r="Z570" s="505"/>
      <c r="AA570" s="505"/>
      <c r="AB570" s="505"/>
      <c r="AC570" s="505"/>
      <c r="AD570" s="505"/>
      <c r="AE570" s="505"/>
      <c r="AF570" s="505"/>
      <c r="AG570" s="505"/>
      <c r="AH570" s="505"/>
      <c r="AI570" s="505"/>
      <c r="AJ570" s="505"/>
      <c r="AK570" s="505"/>
      <c r="AL570" s="505"/>
      <c r="AM570" s="505"/>
      <c r="AN570" s="505"/>
      <c r="AO570" s="505"/>
      <c r="AP570" s="505"/>
      <c r="AQ570" s="505"/>
      <c r="AR570" s="505"/>
      <c r="AS570" s="505"/>
      <c r="AT570" s="505"/>
      <c r="AU570" s="505"/>
      <c r="AV570" s="505"/>
      <c r="AW570" s="505"/>
      <c r="AX570" s="505"/>
      <c r="AY570" s="505"/>
      <c r="AZ570" s="505"/>
      <c r="BA570" s="505"/>
      <c r="BB570" s="505"/>
      <c r="BC570" s="505"/>
      <c r="BD570" s="505"/>
      <c r="BE570" s="505"/>
      <c r="BF570" s="505"/>
      <c r="BG570" s="505"/>
      <c r="BH570" s="505"/>
      <c r="BI570" s="505"/>
      <c r="BJ570" s="505"/>
      <c r="BK570" s="505"/>
      <c r="BL570" s="505"/>
      <c r="BM570" s="505"/>
      <c r="BN570" s="505"/>
      <c r="BO570" s="505"/>
      <c r="BP570" s="505"/>
      <c r="BQ570" s="505"/>
      <c r="BR570" s="505"/>
      <c r="BS570" s="505"/>
      <c r="BT570" s="505"/>
      <c r="BU570" s="505"/>
      <c r="BV570" s="505"/>
      <c r="BW570" s="505"/>
      <c r="BX570" s="505"/>
      <c r="BY570" s="505"/>
      <c r="BZ570" s="505"/>
      <c r="CA570" s="505"/>
      <c r="CB570" s="505"/>
      <c r="CC570" s="505"/>
      <c r="CD570" s="505"/>
      <c r="CE570" s="505"/>
      <c r="CF570" s="505"/>
      <c r="CG570" s="505"/>
      <c r="CH570" s="505"/>
      <c r="CI570" s="505"/>
      <c r="CJ570" s="505"/>
      <c r="CK570" s="505"/>
      <c r="CL570" s="505"/>
      <c r="CM570" s="505"/>
      <c r="CN570" s="505"/>
      <c r="CO570" s="505"/>
      <c r="CP570" s="505"/>
      <c r="CQ570" s="505"/>
      <c r="CR570" s="505"/>
      <c r="CS570" s="505"/>
      <c r="CT570" s="505"/>
      <c r="CU570" s="505"/>
      <c r="CV570" s="505"/>
      <c r="CW570" s="505"/>
      <c r="CX570" s="505"/>
      <c r="CY570" s="505"/>
      <c r="CZ570" s="505"/>
      <c r="DA570" s="505"/>
      <c r="DB570" s="505"/>
      <c r="DC570" s="505"/>
      <c r="DD570" s="505"/>
      <c r="DE570" s="505"/>
      <c r="DF570" s="505"/>
      <c r="DG570" s="505"/>
      <c r="DH570" s="505"/>
      <c r="DI570" s="505"/>
      <c r="DJ570" s="505"/>
      <c r="DK570" s="505"/>
      <c r="DL570" s="505"/>
      <c r="DM570" s="505"/>
      <c r="DN570" s="505"/>
      <c r="DO570" s="505"/>
      <c r="DP570" s="505"/>
    </row>
    <row r="571" spans="1:120" hidden="1" outlineLevel="1" x14ac:dyDescent="0.2">
      <c r="A571" s="517">
        <f t="shared" si="73"/>
        <v>40483</v>
      </c>
      <c r="B571" s="517" t="str">
        <f t="shared" si="70"/>
        <v>4Q10</v>
      </c>
      <c r="C571" s="517" t="str">
        <f t="shared" si="74"/>
        <v>1Q11</v>
      </c>
      <c r="D571" s="518">
        <f t="shared" si="75"/>
        <v>40550</v>
      </c>
      <c r="E571" s="518">
        <f t="shared" si="75"/>
        <v>40490</v>
      </c>
      <c r="F571" s="520">
        <v>3.1160000000000001</v>
      </c>
      <c r="G571" s="521">
        <f t="shared" si="71"/>
        <v>0.40000000000000019</v>
      </c>
      <c r="H571" s="521">
        <f t="shared" si="72"/>
        <v>0.4100000000000002</v>
      </c>
      <c r="I571" s="505"/>
      <c r="J571" s="505"/>
      <c r="K571" s="505"/>
      <c r="L571" s="505"/>
      <c r="M571" s="528"/>
      <c r="N571" s="505"/>
      <c r="O571" s="505"/>
      <c r="P571" s="505"/>
      <c r="Q571" s="505"/>
      <c r="R571" s="505"/>
      <c r="S571" s="505"/>
      <c r="T571" s="505"/>
      <c r="U571" s="505"/>
      <c r="V571" s="505"/>
      <c r="W571" s="505"/>
      <c r="X571" s="505"/>
      <c r="Y571" s="505"/>
      <c r="Z571" s="505"/>
      <c r="AA571" s="505"/>
      <c r="AB571" s="505"/>
      <c r="AC571" s="505"/>
      <c r="AD571" s="505"/>
      <c r="AE571" s="505"/>
      <c r="AF571" s="505"/>
      <c r="AG571" s="505"/>
      <c r="AH571" s="505"/>
      <c r="AI571" s="505"/>
      <c r="AJ571" s="505"/>
      <c r="AK571" s="505"/>
      <c r="AL571" s="505"/>
      <c r="AM571" s="505"/>
      <c r="AN571" s="505"/>
      <c r="AO571" s="505"/>
      <c r="AP571" s="505"/>
      <c r="AQ571" s="505"/>
      <c r="AR571" s="505"/>
      <c r="AS571" s="505"/>
      <c r="AT571" s="505"/>
      <c r="AU571" s="505"/>
      <c r="AV571" s="505"/>
      <c r="AW571" s="505"/>
      <c r="AX571" s="505"/>
      <c r="AY571" s="505"/>
      <c r="AZ571" s="505"/>
      <c r="BA571" s="505"/>
      <c r="BB571" s="505"/>
      <c r="BC571" s="505"/>
      <c r="BD571" s="505"/>
      <c r="BE571" s="505"/>
      <c r="BF571" s="505"/>
      <c r="BG571" s="505"/>
      <c r="BH571" s="505"/>
      <c r="BI571" s="505"/>
      <c r="BJ571" s="505"/>
      <c r="BK571" s="505"/>
      <c r="BL571" s="505"/>
      <c r="BM571" s="505"/>
      <c r="BN571" s="505"/>
      <c r="BO571" s="505"/>
      <c r="BP571" s="505"/>
      <c r="BQ571" s="505"/>
      <c r="BR571" s="505"/>
      <c r="BS571" s="505"/>
      <c r="BT571" s="505"/>
      <c r="BU571" s="505"/>
      <c r="BV571" s="505"/>
      <c r="BW571" s="505"/>
      <c r="BX571" s="505"/>
      <c r="BY571" s="505"/>
      <c r="BZ571" s="505"/>
      <c r="CA571" s="505"/>
      <c r="CB571" s="505"/>
      <c r="CC571" s="505"/>
      <c r="CD571" s="505"/>
      <c r="CE571" s="505"/>
      <c r="CF571" s="505"/>
      <c r="CG571" s="505"/>
      <c r="CH571" s="505"/>
      <c r="CI571" s="505"/>
      <c r="CJ571" s="505"/>
      <c r="CK571" s="505"/>
      <c r="CL571" s="505"/>
      <c r="CM571" s="505"/>
      <c r="CN571" s="505"/>
      <c r="CO571" s="505"/>
      <c r="CP571" s="505"/>
      <c r="CQ571" s="505"/>
      <c r="CR571" s="505"/>
      <c r="CS571" s="505"/>
      <c r="CT571" s="505"/>
      <c r="CU571" s="505"/>
      <c r="CV571" s="505"/>
      <c r="CW571" s="505"/>
      <c r="CX571" s="505"/>
      <c r="CY571" s="505"/>
      <c r="CZ571" s="505"/>
      <c r="DA571" s="505"/>
      <c r="DB571" s="505"/>
      <c r="DC571" s="505"/>
      <c r="DD571" s="505"/>
      <c r="DE571" s="505"/>
      <c r="DF571" s="505"/>
      <c r="DG571" s="505"/>
      <c r="DH571" s="505"/>
      <c r="DI571" s="505"/>
      <c r="DJ571" s="505"/>
      <c r="DK571" s="505"/>
      <c r="DL571" s="505"/>
      <c r="DM571" s="505"/>
      <c r="DN571" s="505"/>
      <c r="DO571" s="505"/>
      <c r="DP571" s="505"/>
    </row>
    <row r="572" spans="1:120" hidden="1" outlineLevel="1" x14ac:dyDescent="0.2">
      <c r="A572" s="517">
        <f t="shared" si="73"/>
        <v>40483</v>
      </c>
      <c r="B572" s="517" t="str">
        <f t="shared" si="70"/>
        <v>4Q10</v>
      </c>
      <c r="C572" s="517" t="str">
        <f t="shared" si="74"/>
        <v>1Q11</v>
      </c>
      <c r="D572" s="518">
        <f t="shared" si="75"/>
        <v>40557</v>
      </c>
      <c r="E572" s="518">
        <f t="shared" si="75"/>
        <v>40497</v>
      </c>
      <c r="F572" s="520">
        <v>3.1840000000000002</v>
      </c>
      <c r="G572" s="521">
        <f t="shared" si="71"/>
        <v>0.4100000000000002</v>
      </c>
      <c r="H572" s="521">
        <f t="shared" si="72"/>
        <v>0.4100000000000002</v>
      </c>
      <c r="I572" s="505"/>
      <c r="J572" s="505"/>
      <c r="K572" s="505"/>
      <c r="L572" s="505"/>
      <c r="M572" s="528"/>
      <c r="N572" s="505"/>
      <c r="O572" s="505"/>
      <c r="P572" s="505"/>
      <c r="Q572" s="505"/>
      <c r="R572" s="505"/>
      <c r="S572" s="505"/>
      <c r="T572" s="505"/>
      <c r="U572" s="505"/>
      <c r="V572" s="505"/>
      <c r="W572" s="505"/>
      <c r="X572" s="505"/>
      <c r="Y572" s="505"/>
      <c r="Z572" s="505"/>
      <c r="AA572" s="505"/>
      <c r="AB572" s="505"/>
      <c r="AC572" s="505"/>
      <c r="AD572" s="505"/>
      <c r="AE572" s="505"/>
      <c r="AF572" s="505"/>
      <c r="AG572" s="505"/>
      <c r="AH572" s="505"/>
      <c r="AI572" s="505"/>
      <c r="AJ572" s="505"/>
      <c r="AK572" s="505"/>
      <c r="AL572" s="505"/>
      <c r="AM572" s="505"/>
      <c r="AN572" s="505"/>
      <c r="AO572" s="505"/>
      <c r="AP572" s="505"/>
      <c r="AQ572" s="505"/>
      <c r="AR572" s="505"/>
      <c r="AS572" s="505"/>
      <c r="AT572" s="505"/>
      <c r="AU572" s="505"/>
      <c r="AV572" s="505"/>
      <c r="AW572" s="505"/>
      <c r="AX572" s="505"/>
      <c r="AY572" s="505"/>
      <c r="AZ572" s="505"/>
      <c r="BA572" s="505"/>
      <c r="BB572" s="505"/>
      <c r="BC572" s="505"/>
      <c r="BD572" s="505"/>
      <c r="BE572" s="505"/>
      <c r="BF572" s="505"/>
      <c r="BG572" s="505"/>
      <c r="BH572" s="505"/>
      <c r="BI572" s="505"/>
      <c r="BJ572" s="505"/>
      <c r="BK572" s="505"/>
      <c r="BL572" s="505"/>
      <c r="BM572" s="505"/>
      <c r="BN572" s="505"/>
      <c r="BO572" s="505"/>
      <c r="BP572" s="505"/>
      <c r="BQ572" s="505"/>
      <c r="BR572" s="505"/>
      <c r="BS572" s="505"/>
      <c r="BT572" s="505"/>
      <c r="BU572" s="505"/>
      <c r="BV572" s="505"/>
      <c r="BW572" s="505"/>
      <c r="BX572" s="505"/>
      <c r="BY572" s="505"/>
      <c r="BZ572" s="505"/>
      <c r="CA572" s="505"/>
      <c r="CB572" s="505"/>
      <c r="CC572" s="505"/>
      <c r="CD572" s="505"/>
      <c r="CE572" s="505"/>
      <c r="CF572" s="505"/>
      <c r="CG572" s="505"/>
      <c r="CH572" s="505"/>
      <c r="CI572" s="505"/>
      <c r="CJ572" s="505"/>
      <c r="CK572" s="505"/>
      <c r="CL572" s="505"/>
      <c r="CM572" s="505"/>
      <c r="CN572" s="505"/>
      <c r="CO572" s="505"/>
      <c r="CP572" s="505"/>
      <c r="CQ572" s="505"/>
      <c r="CR572" s="505"/>
      <c r="CS572" s="505"/>
      <c r="CT572" s="505"/>
      <c r="CU572" s="505"/>
      <c r="CV572" s="505"/>
      <c r="CW572" s="505"/>
      <c r="CX572" s="505"/>
      <c r="CY572" s="505"/>
      <c r="CZ572" s="505"/>
      <c r="DA572" s="505"/>
      <c r="DB572" s="505"/>
      <c r="DC572" s="505"/>
      <c r="DD572" s="505"/>
      <c r="DE572" s="505"/>
      <c r="DF572" s="505"/>
      <c r="DG572" s="505"/>
      <c r="DH572" s="505"/>
      <c r="DI572" s="505"/>
      <c r="DJ572" s="505"/>
      <c r="DK572" s="505"/>
      <c r="DL572" s="505"/>
      <c r="DM572" s="505"/>
      <c r="DN572" s="505"/>
      <c r="DO572" s="505"/>
      <c r="DP572" s="505"/>
    </row>
    <row r="573" spans="1:120" hidden="1" outlineLevel="1" x14ac:dyDescent="0.2">
      <c r="A573" s="517">
        <f t="shared" si="73"/>
        <v>40483</v>
      </c>
      <c r="B573" s="517" t="str">
        <f t="shared" si="70"/>
        <v>4Q10</v>
      </c>
      <c r="C573" s="517" t="str">
        <f t="shared" si="74"/>
        <v>1Q11</v>
      </c>
      <c r="D573" s="518">
        <f t="shared" si="75"/>
        <v>40564</v>
      </c>
      <c r="E573" s="518">
        <f t="shared" si="75"/>
        <v>40504</v>
      </c>
      <c r="F573" s="520">
        <v>3.1709999999999998</v>
      </c>
      <c r="G573" s="521">
        <f t="shared" si="71"/>
        <v>0.4100000000000002</v>
      </c>
      <c r="H573" s="521">
        <f t="shared" si="72"/>
        <v>0.4100000000000002</v>
      </c>
      <c r="I573" s="505"/>
      <c r="J573" s="505"/>
      <c r="K573" s="505"/>
      <c r="L573" s="505"/>
      <c r="M573" s="528"/>
      <c r="N573" s="505"/>
      <c r="O573" s="505"/>
      <c r="P573" s="505"/>
      <c r="Q573" s="505"/>
      <c r="R573" s="505"/>
      <c r="S573" s="505"/>
      <c r="T573" s="505"/>
      <c r="U573" s="505"/>
      <c r="V573" s="505"/>
      <c r="W573" s="505"/>
      <c r="X573" s="505"/>
      <c r="Y573" s="505"/>
      <c r="Z573" s="505"/>
      <c r="AA573" s="505"/>
      <c r="AB573" s="505"/>
      <c r="AC573" s="505"/>
      <c r="AD573" s="505"/>
      <c r="AE573" s="505"/>
      <c r="AF573" s="505"/>
      <c r="AG573" s="505"/>
      <c r="AH573" s="505"/>
      <c r="AI573" s="505"/>
      <c r="AJ573" s="505"/>
      <c r="AK573" s="505"/>
      <c r="AL573" s="505"/>
      <c r="AM573" s="505"/>
      <c r="AN573" s="505"/>
      <c r="AO573" s="505"/>
      <c r="AP573" s="505"/>
      <c r="AQ573" s="505"/>
      <c r="AR573" s="505"/>
      <c r="AS573" s="505"/>
      <c r="AT573" s="505"/>
      <c r="AU573" s="505"/>
      <c r="AV573" s="505"/>
      <c r="AW573" s="505"/>
      <c r="AX573" s="505"/>
      <c r="AY573" s="505"/>
      <c r="AZ573" s="505"/>
      <c r="BA573" s="505"/>
      <c r="BB573" s="505"/>
      <c r="BC573" s="505"/>
      <c r="BD573" s="505"/>
      <c r="BE573" s="505"/>
      <c r="BF573" s="505"/>
      <c r="BG573" s="505"/>
      <c r="BH573" s="505"/>
      <c r="BI573" s="505"/>
      <c r="BJ573" s="505"/>
      <c r="BK573" s="505"/>
      <c r="BL573" s="505"/>
      <c r="BM573" s="505"/>
      <c r="BN573" s="505"/>
      <c r="BO573" s="505"/>
      <c r="BP573" s="505"/>
      <c r="BQ573" s="505"/>
      <c r="BR573" s="505"/>
      <c r="BS573" s="505"/>
      <c r="BT573" s="505"/>
      <c r="BU573" s="505"/>
      <c r="BV573" s="505"/>
      <c r="BW573" s="505"/>
      <c r="BX573" s="505"/>
      <c r="BY573" s="505"/>
      <c r="BZ573" s="505"/>
      <c r="CA573" s="505"/>
      <c r="CB573" s="505"/>
      <c r="CC573" s="505"/>
      <c r="CD573" s="505"/>
      <c r="CE573" s="505"/>
      <c r="CF573" s="505"/>
      <c r="CG573" s="505"/>
      <c r="CH573" s="505"/>
      <c r="CI573" s="505"/>
      <c r="CJ573" s="505"/>
      <c r="CK573" s="505"/>
      <c r="CL573" s="505"/>
      <c r="CM573" s="505"/>
      <c r="CN573" s="505"/>
      <c r="CO573" s="505"/>
      <c r="CP573" s="505"/>
      <c r="CQ573" s="505"/>
      <c r="CR573" s="505"/>
      <c r="CS573" s="505"/>
      <c r="CT573" s="505"/>
      <c r="CU573" s="505"/>
      <c r="CV573" s="505"/>
      <c r="CW573" s="505"/>
      <c r="CX573" s="505"/>
      <c r="CY573" s="505"/>
      <c r="CZ573" s="505"/>
      <c r="DA573" s="505"/>
      <c r="DB573" s="505"/>
      <c r="DC573" s="505"/>
      <c r="DD573" s="505"/>
      <c r="DE573" s="505"/>
      <c r="DF573" s="505"/>
      <c r="DG573" s="505"/>
      <c r="DH573" s="505"/>
      <c r="DI573" s="505"/>
      <c r="DJ573" s="505"/>
      <c r="DK573" s="505"/>
      <c r="DL573" s="505"/>
      <c r="DM573" s="505"/>
      <c r="DN573" s="505"/>
      <c r="DO573" s="505"/>
      <c r="DP573" s="505"/>
    </row>
    <row r="574" spans="1:120" hidden="1" outlineLevel="1" x14ac:dyDescent="0.2">
      <c r="A574" s="517">
        <f t="shared" si="73"/>
        <v>40483</v>
      </c>
      <c r="B574" s="517" t="str">
        <f t="shared" si="70"/>
        <v>4Q10</v>
      </c>
      <c r="C574" s="517" t="str">
        <f t="shared" si="74"/>
        <v>1Q11</v>
      </c>
      <c r="D574" s="518">
        <f t="shared" si="75"/>
        <v>40571</v>
      </c>
      <c r="E574" s="518">
        <f t="shared" si="75"/>
        <v>40511</v>
      </c>
      <c r="F574" s="520">
        <v>3.1619999999999999</v>
      </c>
      <c r="G574" s="521">
        <f t="shared" si="71"/>
        <v>0.4100000000000002</v>
      </c>
      <c r="H574" s="521">
        <f t="shared" si="72"/>
        <v>0.4100000000000002</v>
      </c>
      <c r="I574" s="505"/>
      <c r="J574" s="505"/>
      <c r="K574" s="505"/>
      <c r="L574" s="505"/>
      <c r="M574" s="528"/>
      <c r="N574" s="505"/>
      <c r="O574" s="505"/>
      <c r="P574" s="505"/>
      <c r="Q574" s="505"/>
      <c r="R574" s="505"/>
      <c r="S574" s="505"/>
      <c r="T574" s="505"/>
      <c r="U574" s="505"/>
      <c r="V574" s="505"/>
      <c r="W574" s="505"/>
      <c r="X574" s="505"/>
      <c r="Y574" s="505"/>
      <c r="Z574" s="505"/>
      <c r="AA574" s="505"/>
      <c r="AB574" s="505"/>
      <c r="AC574" s="505"/>
      <c r="AD574" s="505"/>
      <c r="AE574" s="505"/>
      <c r="AF574" s="505"/>
      <c r="AG574" s="505"/>
      <c r="AH574" s="505"/>
      <c r="AI574" s="505"/>
      <c r="AJ574" s="505"/>
      <c r="AK574" s="505"/>
      <c r="AL574" s="505"/>
      <c r="AM574" s="505"/>
      <c r="AN574" s="505"/>
      <c r="AO574" s="505"/>
      <c r="AP574" s="505"/>
      <c r="AQ574" s="505"/>
      <c r="AR574" s="505"/>
      <c r="AS574" s="505"/>
      <c r="AT574" s="505"/>
      <c r="AU574" s="505"/>
      <c r="AV574" s="505"/>
      <c r="AW574" s="505"/>
      <c r="AX574" s="505"/>
      <c r="AY574" s="505"/>
      <c r="AZ574" s="505"/>
      <c r="BA574" s="505"/>
      <c r="BB574" s="505"/>
      <c r="BC574" s="505"/>
      <c r="BD574" s="505"/>
      <c r="BE574" s="505"/>
      <c r="BF574" s="505"/>
      <c r="BG574" s="505"/>
      <c r="BH574" s="505"/>
      <c r="BI574" s="505"/>
      <c r="BJ574" s="505"/>
      <c r="BK574" s="505"/>
      <c r="BL574" s="505"/>
      <c r="BM574" s="505"/>
      <c r="BN574" s="505"/>
      <c r="BO574" s="505"/>
      <c r="BP574" s="505"/>
      <c r="BQ574" s="505"/>
      <c r="BR574" s="505"/>
      <c r="BS574" s="505"/>
      <c r="BT574" s="505"/>
      <c r="BU574" s="505"/>
      <c r="BV574" s="505"/>
      <c r="BW574" s="505"/>
      <c r="BX574" s="505"/>
      <c r="BY574" s="505"/>
      <c r="BZ574" s="505"/>
      <c r="CA574" s="505"/>
      <c r="CB574" s="505"/>
      <c r="CC574" s="505"/>
      <c r="CD574" s="505"/>
      <c r="CE574" s="505"/>
      <c r="CF574" s="505"/>
      <c r="CG574" s="505"/>
      <c r="CH574" s="505"/>
      <c r="CI574" s="505"/>
      <c r="CJ574" s="505"/>
      <c r="CK574" s="505"/>
      <c r="CL574" s="505"/>
      <c r="CM574" s="505"/>
      <c r="CN574" s="505"/>
      <c r="CO574" s="505"/>
      <c r="CP574" s="505"/>
      <c r="CQ574" s="505"/>
      <c r="CR574" s="505"/>
      <c r="CS574" s="505"/>
      <c r="CT574" s="505"/>
      <c r="CU574" s="505"/>
      <c r="CV574" s="505"/>
      <c r="CW574" s="505"/>
      <c r="CX574" s="505"/>
      <c r="CY574" s="505"/>
      <c r="CZ574" s="505"/>
      <c r="DA574" s="505"/>
      <c r="DB574" s="505"/>
      <c r="DC574" s="505"/>
      <c r="DD574" s="505"/>
      <c r="DE574" s="505"/>
      <c r="DF574" s="505"/>
      <c r="DG574" s="505"/>
      <c r="DH574" s="505"/>
      <c r="DI574" s="505"/>
      <c r="DJ574" s="505"/>
      <c r="DK574" s="505"/>
      <c r="DL574" s="505"/>
      <c r="DM574" s="505"/>
      <c r="DN574" s="505"/>
      <c r="DO574" s="505"/>
      <c r="DP574" s="505"/>
    </row>
    <row r="575" spans="1:120" hidden="1" outlineLevel="1" x14ac:dyDescent="0.2">
      <c r="A575" s="517">
        <f t="shared" si="73"/>
        <v>40513</v>
      </c>
      <c r="B575" s="517" t="str">
        <f t="shared" si="70"/>
        <v>4Q10</v>
      </c>
      <c r="C575" s="517" t="str">
        <f t="shared" si="74"/>
        <v>1Q11</v>
      </c>
      <c r="D575" s="518">
        <f t="shared" si="75"/>
        <v>40578</v>
      </c>
      <c r="E575" s="518">
        <f t="shared" si="75"/>
        <v>40518</v>
      </c>
      <c r="F575" s="520">
        <v>3.1970000000000001</v>
      </c>
      <c r="G575" s="521">
        <f t="shared" si="71"/>
        <v>0.4100000000000002</v>
      </c>
      <c r="H575" s="521">
        <f t="shared" si="72"/>
        <v>0.42000000000000021</v>
      </c>
      <c r="I575" s="505"/>
      <c r="J575" s="505"/>
      <c r="K575" s="505"/>
      <c r="L575" s="505"/>
      <c r="M575" s="528"/>
      <c r="N575" s="505"/>
      <c r="O575" s="505"/>
      <c r="P575" s="505"/>
      <c r="Q575" s="505"/>
      <c r="R575" s="505"/>
      <c r="S575" s="505"/>
      <c r="T575" s="505"/>
      <c r="U575" s="505"/>
      <c r="V575" s="505"/>
      <c r="W575" s="505"/>
      <c r="X575" s="505"/>
      <c r="Y575" s="505"/>
      <c r="Z575" s="505"/>
      <c r="AA575" s="505"/>
      <c r="AB575" s="505"/>
      <c r="AC575" s="505"/>
      <c r="AD575" s="505"/>
      <c r="AE575" s="505"/>
      <c r="AF575" s="505"/>
      <c r="AG575" s="505"/>
      <c r="AH575" s="505"/>
      <c r="AI575" s="505"/>
      <c r="AJ575" s="505"/>
      <c r="AK575" s="505"/>
      <c r="AL575" s="505"/>
      <c r="AM575" s="505"/>
      <c r="AN575" s="505"/>
      <c r="AO575" s="505"/>
      <c r="AP575" s="505"/>
      <c r="AQ575" s="505"/>
      <c r="AR575" s="505"/>
      <c r="AS575" s="505"/>
      <c r="AT575" s="505"/>
      <c r="AU575" s="505"/>
      <c r="AV575" s="505"/>
      <c r="AW575" s="505"/>
      <c r="AX575" s="505"/>
      <c r="AY575" s="505"/>
      <c r="AZ575" s="505"/>
      <c r="BA575" s="505"/>
      <c r="BB575" s="505"/>
      <c r="BC575" s="505"/>
      <c r="BD575" s="505"/>
      <c r="BE575" s="505"/>
      <c r="BF575" s="505"/>
      <c r="BG575" s="505"/>
      <c r="BH575" s="505"/>
      <c r="BI575" s="505"/>
      <c r="BJ575" s="505"/>
      <c r="BK575" s="505"/>
      <c r="BL575" s="505"/>
      <c r="BM575" s="505"/>
      <c r="BN575" s="505"/>
      <c r="BO575" s="505"/>
      <c r="BP575" s="505"/>
      <c r="BQ575" s="505"/>
      <c r="BR575" s="505"/>
      <c r="BS575" s="505"/>
      <c r="BT575" s="505"/>
      <c r="BU575" s="505"/>
      <c r="BV575" s="505"/>
      <c r="BW575" s="505"/>
      <c r="BX575" s="505"/>
      <c r="BY575" s="505"/>
      <c r="BZ575" s="505"/>
      <c r="CA575" s="505"/>
      <c r="CB575" s="505"/>
      <c r="CC575" s="505"/>
      <c r="CD575" s="505"/>
      <c r="CE575" s="505"/>
      <c r="CF575" s="505"/>
      <c r="CG575" s="505"/>
      <c r="CH575" s="505"/>
      <c r="CI575" s="505"/>
      <c r="CJ575" s="505"/>
      <c r="CK575" s="505"/>
      <c r="CL575" s="505"/>
      <c r="CM575" s="505"/>
      <c r="CN575" s="505"/>
      <c r="CO575" s="505"/>
      <c r="CP575" s="505"/>
      <c r="CQ575" s="505"/>
      <c r="CR575" s="505"/>
      <c r="CS575" s="505"/>
      <c r="CT575" s="505"/>
      <c r="CU575" s="505"/>
      <c r="CV575" s="505"/>
      <c r="CW575" s="505"/>
      <c r="CX575" s="505"/>
      <c r="CY575" s="505"/>
      <c r="CZ575" s="505"/>
      <c r="DA575" s="505"/>
      <c r="DB575" s="505"/>
      <c r="DC575" s="505"/>
      <c r="DD575" s="505"/>
      <c r="DE575" s="505"/>
      <c r="DF575" s="505"/>
      <c r="DG575" s="505"/>
      <c r="DH575" s="505"/>
      <c r="DI575" s="505"/>
      <c r="DJ575" s="505"/>
      <c r="DK575" s="505"/>
      <c r="DL575" s="505"/>
      <c r="DM575" s="505"/>
      <c r="DN575" s="505"/>
      <c r="DO575" s="505"/>
      <c r="DP575" s="505"/>
    </row>
    <row r="576" spans="1:120" hidden="1" outlineLevel="1" x14ac:dyDescent="0.2">
      <c r="A576" s="517">
        <f t="shared" si="73"/>
        <v>40513</v>
      </c>
      <c r="B576" s="517" t="str">
        <f t="shared" si="70"/>
        <v>4Q10</v>
      </c>
      <c r="C576" s="517" t="str">
        <f t="shared" si="74"/>
        <v>1Q11</v>
      </c>
      <c r="D576" s="518">
        <f t="shared" si="75"/>
        <v>40585</v>
      </c>
      <c r="E576" s="518">
        <f t="shared" si="75"/>
        <v>40525</v>
      </c>
      <c r="F576" s="520">
        <v>3.2309999999999999</v>
      </c>
      <c r="G576" s="521">
        <f t="shared" si="71"/>
        <v>0.42000000000000021</v>
      </c>
      <c r="H576" s="521">
        <f t="shared" si="72"/>
        <v>0.42000000000000021</v>
      </c>
      <c r="I576" s="505"/>
      <c r="J576" s="505"/>
      <c r="K576" s="505"/>
      <c r="L576" s="505"/>
      <c r="M576" s="528"/>
      <c r="N576" s="505"/>
      <c r="O576" s="505"/>
      <c r="P576" s="505"/>
      <c r="Q576" s="505"/>
      <c r="R576" s="505"/>
      <c r="S576" s="505"/>
      <c r="T576" s="505"/>
      <c r="U576" s="505"/>
      <c r="V576" s="505"/>
      <c r="W576" s="505"/>
      <c r="X576" s="505"/>
      <c r="Y576" s="505"/>
      <c r="Z576" s="505"/>
      <c r="AA576" s="505"/>
      <c r="AB576" s="505"/>
      <c r="AC576" s="505"/>
      <c r="AD576" s="505"/>
      <c r="AE576" s="505"/>
      <c r="AF576" s="505"/>
      <c r="AG576" s="505"/>
      <c r="AH576" s="505"/>
      <c r="AI576" s="505"/>
      <c r="AJ576" s="505"/>
      <c r="AK576" s="505"/>
      <c r="AL576" s="505"/>
      <c r="AM576" s="505"/>
      <c r="AN576" s="505"/>
      <c r="AO576" s="505"/>
      <c r="AP576" s="505"/>
      <c r="AQ576" s="505"/>
      <c r="AR576" s="505"/>
      <c r="AS576" s="505"/>
      <c r="AT576" s="505"/>
      <c r="AU576" s="505"/>
      <c r="AV576" s="505"/>
      <c r="AW576" s="505"/>
      <c r="AX576" s="505"/>
      <c r="AY576" s="505"/>
      <c r="AZ576" s="505"/>
      <c r="BA576" s="505"/>
      <c r="BB576" s="505"/>
      <c r="BC576" s="505"/>
      <c r="BD576" s="505"/>
      <c r="BE576" s="505"/>
      <c r="BF576" s="505"/>
      <c r="BG576" s="505"/>
      <c r="BH576" s="505"/>
      <c r="BI576" s="505"/>
      <c r="BJ576" s="505"/>
      <c r="BK576" s="505"/>
      <c r="BL576" s="505"/>
      <c r="BM576" s="505"/>
      <c r="BN576" s="505"/>
      <c r="BO576" s="505"/>
      <c r="BP576" s="505"/>
      <c r="BQ576" s="505"/>
      <c r="BR576" s="505"/>
      <c r="BS576" s="505"/>
      <c r="BT576" s="505"/>
      <c r="BU576" s="505"/>
      <c r="BV576" s="505"/>
      <c r="BW576" s="505"/>
      <c r="BX576" s="505"/>
      <c r="BY576" s="505"/>
      <c r="BZ576" s="505"/>
      <c r="CA576" s="505"/>
      <c r="CB576" s="505"/>
      <c r="CC576" s="505"/>
      <c r="CD576" s="505"/>
      <c r="CE576" s="505"/>
      <c r="CF576" s="505"/>
      <c r="CG576" s="505"/>
      <c r="CH576" s="505"/>
      <c r="CI576" s="505"/>
      <c r="CJ576" s="505"/>
      <c r="CK576" s="505"/>
      <c r="CL576" s="505"/>
      <c r="CM576" s="505"/>
      <c r="CN576" s="505"/>
      <c r="CO576" s="505"/>
      <c r="CP576" s="505"/>
      <c r="CQ576" s="505"/>
      <c r="CR576" s="505"/>
      <c r="CS576" s="505"/>
      <c r="CT576" s="505"/>
      <c r="CU576" s="505"/>
      <c r="CV576" s="505"/>
      <c r="CW576" s="505"/>
      <c r="CX576" s="505"/>
      <c r="CY576" s="505"/>
      <c r="CZ576" s="505"/>
      <c r="DA576" s="505"/>
      <c r="DB576" s="505"/>
      <c r="DC576" s="505"/>
      <c r="DD576" s="505"/>
      <c r="DE576" s="505"/>
      <c r="DF576" s="505"/>
      <c r="DG576" s="505"/>
      <c r="DH576" s="505"/>
      <c r="DI576" s="505"/>
      <c r="DJ576" s="505"/>
      <c r="DK576" s="505"/>
      <c r="DL576" s="505"/>
      <c r="DM576" s="505"/>
      <c r="DN576" s="505"/>
      <c r="DO576" s="505"/>
      <c r="DP576" s="505"/>
    </row>
    <row r="577" spans="1:120" hidden="1" outlineLevel="1" x14ac:dyDescent="0.2">
      <c r="A577" s="517">
        <f t="shared" si="73"/>
        <v>40513</v>
      </c>
      <c r="B577" s="517" t="str">
        <f t="shared" si="70"/>
        <v>4Q10</v>
      </c>
      <c r="C577" s="517" t="str">
        <f t="shared" si="74"/>
        <v>1Q11</v>
      </c>
      <c r="D577" s="518">
        <f t="shared" si="75"/>
        <v>40592</v>
      </c>
      <c r="E577" s="518">
        <f t="shared" si="75"/>
        <v>40532</v>
      </c>
      <c r="F577" s="520">
        <v>3.2480000000000002</v>
      </c>
      <c r="G577" s="521">
        <f t="shared" si="71"/>
        <v>0.42000000000000021</v>
      </c>
      <c r="H577" s="521">
        <f t="shared" si="72"/>
        <v>0.43000000000000022</v>
      </c>
      <c r="I577" s="505"/>
      <c r="J577" s="505"/>
      <c r="K577" s="505"/>
      <c r="L577" s="505"/>
      <c r="M577" s="528"/>
      <c r="N577" s="505"/>
      <c r="O577" s="505"/>
      <c r="P577" s="505"/>
      <c r="Q577" s="505"/>
      <c r="R577" s="505"/>
      <c r="S577" s="505"/>
      <c r="T577" s="505"/>
      <c r="U577" s="505"/>
      <c r="V577" s="505"/>
      <c r="W577" s="505"/>
      <c r="X577" s="505"/>
      <c r="Y577" s="505"/>
      <c r="Z577" s="505"/>
      <c r="AA577" s="505"/>
      <c r="AB577" s="505"/>
      <c r="AC577" s="505"/>
      <c r="AD577" s="505"/>
      <c r="AE577" s="505"/>
      <c r="AF577" s="505"/>
      <c r="AG577" s="505"/>
      <c r="AH577" s="505"/>
      <c r="AI577" s="505"/>
      <c r="AJ577" s="505"/>
      <c r="AK577" s="505"/>
      <c r="AL577" s="505"/>
      <c r="AM577" s="505"/>
      <c r="AN577" s="505"/>
      <c r="AO577" s="505"/>
      <c r="AP577" s="505"/>
      <c r="AQ577" s="505"/>
      <c r="AR577" s="505"/>
      <c r="AS577" s="505"/>
      <c r="AT577" s="505"/>
      <c r="AU577" s="505"/>
      <c r="AV577" s="505"/>
      <c r="AW577" s="505"/>
      <c r="AX577" s="505"/>
      <c r="AY577" s="505"/>
      <c r="AZ577" s="505"/>
      <c r="BA577" s="505"/>
      <c r="BB577" s="505"/>
      <c r="BC577" s="505"/>
      <c r="BD577" s="505"/>
      <c r="BE577" s="505"/>
      <c r="BF577" s="505"/>
      <c r="BG577" s="505"/>
      <c r="BH577" s="505"/>
      <c r="BI577" s="505"/>
      <c r="BJ577" s="505"/>
      <c r="BK577" s="505"/>
      <c r="BL577" s="505"/>
      <c r="BM577" s="505"/>
      <c r="BN577" s="505"/>
      <c r="BO577" s="505"/>
      <c r="BP577" s="505"/>
      <c r="BQ577" s="505"/>
      <c r="BR577" s="505"/>
      <c r="BS577" s="505"/>
      <c r="BT577" s="505"/>
      <c r="BU577" s="505"/>
      <c r="BV577" s="505"/>
      <c r="BW577" s="505"/>
      <c r="BX577" s="505"/>
      <c r="BY577" s="505"/>
      <c r="BZ577" s="505"/>
      <c r="CA577" s="505"/>
      <c r="CB577" s="505"/>
      <c r="CC577" s="505"/>
      <c r="CD577" s="505"/>
      <c r="CE577" s="505"/>
      <c r="CF577" s="505"/>
      <c r="CG577" s="505"/>
      <c r="CH577" s="505"/>
      <c r="CI577" s="505"/>
      <c r="CJ577" s="505"/>
      <c r="CK577" s="505"/>
      <c r="CL577" s="505"/>
      <c r="CM577" s="505"/>
      <c r="CN577" s="505"/>
      <c r="CO577" s="505"/>
      <c r="CP577" s="505"/>
      <c r="CQ577" s="505"/>
      <c r="CR577" s="505"/>
      <c r="CS577" s="505"/>
      <c r="CT577" s="505"/>
      <c r="CU577" s="505"/>
      <c r="CV577" s="505"/>
      <c r="CW577" s="505"/>
      <c r="CX577" s="505"/>
      <c r="CY577" s="505"/>
      <c r="CZ577" s="505"/>
      <c r="DA577" s="505"/>
      <c r="DB577" s="505"/>
      <c r="DC577" s="505"/>
      <c r="DD577" s="505"/>
      <c r="DE577" s="505"/>
      <c r="DF577" s="505"/>
      <c r="DG577" s="505"/>
      <c r="DH577" s="505"/>
      <c r="DI577" s="505"/>
      <c r="DJ577" s="505"/>
      <c r="DK577" s="505"/>
      <c r="DL577" s="505"/>
      <c r="DM577" s="505"/>
      <c r="DN577" s="505"/>
      <c r="DO577" s="505"/>
      <c r="DP577" s="505"/>
    </row>
    <row r="578" spans="1:120" hidden="1" outlineLevel="1" x14ac:dyDescent="0.2">
      <c r="A578" s="517">
        <f t="shared" si="73"/>
        <v>40513</v>
      </c>
      <c r="B578" s="517" t="str">
        <f t="shared" si="70"/>
        <v>4Q10</v>
      </c>
      <c r="C578" s="517" t="str">
        <f t="shared" si="74"/>
        <v>1Q11</v>
      </c>
      <c r="D578" s="518">
        <f t="shared" si="75"/>
        <v>40599</v>
      </c>
      <c r="E578" s="518">
        <f t="shared" si="75"/>
        <v>40539</v>
      </c>
      <c r="F578" s="520">
        <v>3.294</v>
      </c>
      <c r="G578" s="521">
        <f t="shared" si="71"/>
        <v>0.43000000000000022</v>
      </c>
      <c r="H578" s="521">
        <f t="shared" si="72"/>
        <v>0.44000000000000022</v>
      </c>
      <c r="I578" s="505"/>
      <c r="J578" s="505"/>
      <c r="K578" s="505"/>
      <c r="L578" s="505"/>
      <c r="M578" s="528"/>
      <c r="N578" s="505"/>
      <c r="O578" s="505"/>
      <c r="P578" s="505"/>
      <c r="Q578" s="505"/>
      <c r="R578" s="505"/>
      <c r="S578" s="505"/>
      <c r="T578" s="505"/>
      <c r="U578" s="505"/>
      <c r="V578" s="505"/>
      <c r="W578" s="505"/>
      <c r="X578" s="505"/>
      <c r="Y578" s="505"/>
      <c r="Z578" s="505"/>
      <c r="AA578" s="505"/>
      <c r="AB578" s="505"/>
      <c r="AC578" s="505"/>
      <c r="AD578" s="505"/>
      <c r="AE578" s="505"/>
      <c r="AF578" s="505"/>
      <c r="AG578" s="505"/>
      <c r="AH578" s="505"/>
      <c r="AI578" s="505"/>
      <c r="AJ578" s="505"/>
      <c r="AK578" s="505"/>
      <c r="AL578" s="505"/>
      <c r="AM578" s="505"/>
      <c r="AN578" s="505"/>
      <c r="AO578" s="505"/>
      <c r="AP578" s="505"/>
      <c r="AQ578" s="505"/>
      <c r="AR578" s="505"/>
      <c r="AS578" s="505"/>
      <c r="AT578" s="505"/>
      <c r="AU578" s="505"/>
      <c r="AV578" s="505"/>
      <c r="AW578" s="505"/>
      <c r="AX578" s="505"/>
      <c r="AY578" s="505"/>
      <c r="AZ578" s="505"/>
      <c r="BA578" s="505"/>
      <c r="BB578" s="505"/>
      <c r="BC578" s="505"/>
      <c r="BD578" s="505"/>
      <c r="BE578" s="505"/>
      <c r="BF578" s="505"/>
      <c r="BG578" s="505"/>
      <c r="BH578" s="505"/>
      <c r="BI578" s="505"/>
      <c r="BJ578" s="505"/>
      <c r="BK578" s="505"/>
      <c r="BL578" s="505"/>
      <c r="BM578" s="505"/>
      <c r="BN578" s="505"/>
      <c r="BO578" s="505"/>
      <c r="BP578" s="505"/>
      <c r="BQ578" s="505"/>
      <c r="BR578" s="505"/>
      <c r="BS578" s="505"/>
      <c r="BT578" s="505"/>
      <c r="BU578" s="505"/>
      <c r="BV578" s="505"/>
      <c r="BW578" s="505"/>
      <c r="BX578" s="505"/>
      <c r="BY578" s="505"/>
      <c r="BZ578" s="505"/>
      <c r="CA578" s="505"/>
      <c r="CB578" s="505"/>
      <c r="CC578" s="505"/>
      <c r="CD578" s="505"/>
      <c r="CE578" s="505"/>
      <c r="CF578" s="505"/>
      <c r="CG578" s="505"/>
      <c r="CH578" s="505"/>
      <c r="CI578" s="505"/>
      <c r="CJ578" s="505"/>
      <c r="CK578" s="505"/>
      <c r="CL578" s="505"/>
      <c r="CM578" s="505"/>
      <c r="CN578" s="505"/>
      <c r="CO578" s="505"/>
      <c r="CP578" s="505"/>
      <c r="CQ578" s="505"/>
      <c r="CR578" s="505"/>
      <c r="CS578" s="505"/>
      <c r="CT578" s="505"/>
      <c r="CU578" s="505"/>
      <c r="CV578" s="505"/>
      <c r="CW578" s="505"/>
      <c r="CX578" s="505"/>
      <c r="CY578" s="505"/>
      <c r="CZ578" s="505"/>
      <c r="DA578" s="505"/>
      <c r="DB578" s="505"/>
      <c r="DC578" s="505"/>
      <c r="DD578" s="505"/>
      <c r="DE578" s="505"/>
      <c r="DF578" s="505"/>
      <c r="DG578" s="505"/>
      <c r="DH578" s="505"/>
      <c r="DI578" s="505"/>
      <c r="DJ578" s="505"/>
      <c r="DK578" s="505"/>
      <c r="DL578" s="505"/>
      <c r="DM578" s="505"/>
      <c r="DN578" s="505"/>
      <c r="DO578" s="505"/>
      <c r="DP578" s="505"/>
    </row>
    <row r="579" spans="1:120" hidden="1" outlineLevel="1" x14ac:dyDescent="0.2">
      <c r="A579" s="517">
        <f t="shared" si="73"/>
        <v>40544</v>
      </c>
      <c r="B579" s="517" t="str">
        <f t="shared" si="70"/>
        <v>1Q11</v>
      </c>
      <c r="C579" s="517" t="str">
        <f t="shared" si="74"/>
        <v>1Q11</v>
      </c>
      <c r="D579" s="518">
        <f>D578+7</f>
        <v>40606</v>
      </c>
      <c r="E579" s="518">
        <f t="shared" si="75"/>
        <v>40546</v>
      </c>
      <c r="F579" s="520">
        <v>3.331</v>
      </c>
      <c r="G579" s="521">
        <f t="shared" si="71"/>
        <v>0.44000000000000022</v>
      </c>
      <c r="H579" s="521">
        <f t="shared" si="72"/>
        <v>0.44000000000000022</v>
      </c>
      <c r="I579" s="505"/>
      <c r="J579" s="505"/>
      <c r="K579" s="505"/>
      <c r="L579" s="505"/>
      <c r="M579" s="528"/>
      <c r="N579" s="505"/>
      <c r="O579" s="505"/>
      <c r="P579" s="505"/>
      <c r="Q579" s="505"/>
      <c r="R579" s="505"/>
      <c r="S579" s="505"/>
      <c r="T579" s="505"/>
      <c r="U579" s="505"/>
      <c r="V579" s="505"/>
      <c r="W579" s="505"/>
      <c r="X579" s="505"/>
      <c r="Y579" s="505"/>
      <c r="Z579" s="505"/>
      <c r="AA579" s="505"/>
      <c r="AB579" s="505"/>
      <c r="AC579" s="505"/>
      <c r="AD579" s="505"/>
      <c r="AE579" s="505"/>
      <c r="AF579" s="505"/>
      <c r="AG579" s="505"/>
      <c r="AH579" s="505"/>
      <c r="AI579" s="505"/>
      <c r="AJ579" s="505"/>
      <c r="AK579" s="505"/>
      <c r="AL579" s="505"/>
      <c r="AM579" s="505"/>
      <c r="AN579" s="505"/>
      <c r="AO579" s="505"/>
      <c r="AP579" s="505"/>
      <c r="AQ579" s="505"/>
      <c r="AR579" s="505"/>
      <c r="AS579" s="505"/>
      <c r="AT579" s="505"/>
      <c r="AU579" s="505"/>
      <c r="AV579" s="505"/>
      <c r="AW579" s="505"/>
      <c r="AX579" s="505"/>
      <c r="AY579" s="505"/>
      <c r="AZ579" s="505"/>
      <c r="BA579" s="505"/>
      <c r="BB579" s="505"/>
      <c r="BC579" s="505"/>
      <c r="BD579" s="505"/>
      <c r="BE579" s="505"/>
      <c r="BF579" s="505"/>
      <c r="BG579" s="505"/>
      <c r="BH579" s="505"/>
      <c r="BI579" s="505"/>
      <c r="BJ579" s="505"/>
      <c r="BK579" s="505"/>
      <c r="BL579" s="505"/>
      <c r="BM579" s="505"/>
      <c r="BN579" s="505"/>
      <c r="BO579" s="505"/>
      <c r="BP579" s="505"/>
      <c r="BQ579" s="505"/>
      <c r="BR579" s="505"/>
      <c r="BS579" s="505"/>
      <c r="BT579" s="505"/>
      <c r="BU579" s="505"/>
      <c r="BV579" s="505"/>
      <c r="BW579" s="505"/>
      <c r="BX579" s="505"/>
      <c r="BY579" s="505"/>
      <c r="BZ579" s="505"/>
      <c r="CA579" s="505"/>
      <c r="CB579" s="505"/>
      <c r="CC579" s="505"/>
      <c r="CD579" s="505"/>
      <c r="CE579" s="505"/>
      <c r="CF579" s="505"/>
      <c r="CG579" s="505"/>
      <c r="CH579" s="505"/>
      <c r="CI579" s="505"/>
      <c r="CJ579" s="505"/>
      <c r="CK579" s="505"/>
      <c r="CL579" s="505"/>
      <c r="CM579" s="505"/>
      <c r="CN579" s="505"/>
      <c r="CO579" s="505"/>
      <c r="CP579" s="505"/>
      <c r="CQ579" s="505"/>
      <c r="CR579" s="505"/>
      <c r="CS579" s="505"/>
      <c r="CT579" s="505"/>
      <c r="CU579" s="505"/>
      <c r="CV579" s="505"/>
      <c r="CW579" s="505"/>
      <c r="CX579" s="505"/>
      <c r="CY579" s="505"/>
      <c r="CZ579" s="505"/>
      <c r="DA579" s="505"/>
      <c r="DB579" s="505"/>
      <c r="DC579" s="505"/>
      <c r="DD579" s="505"/>
      <c r="DE579" s="505"/>
      <c r="DF579" s="505"/>
      <c r="DG579" s="505"/>
      <c r="DH579" s="505"/>
      <c r="DI579" s="505"/>
      <c r="DJ579" s="505"/>
      <c r="DK579" s="505"/>
      <c r="DL579" s="505"/>
      <c r="DM579" s="505"/>
      <c r="DN579" s="505"/>
      <c r="DO579" s="505"/>
      <c r="DP579" s="505"/>
    </row>
    <row r="580" spans="1:120" hidden="1" outlineLevel="1" x14ac:dyDescent="0.2">
      <c r="A580" s="517">
        <f t="shared" si="73"/>
        <v>40544</v>
      </c>
      <c r="B580" s="517" t="str">
        <f t="shared" ref="B580:B643" si="76">VLOOKUP(MONTH(A580),$N$4:$O$16,2,FALSE) &amp; "Q" &amp; RIGHT(YEAR(A580),2)</f>
        <v>1Q11</v>
      </c>
      <c r="C580" s="517" t="str">
        <f t="shared" si="74"/>
        <v>1Q11</v>
      </c>
      <c r="D580" s="518">
        <f t="shared" si="75"/>
        <v>40613</v>
      </c>
      <c r="E580" s="518">
        <f t="shared" si="75"/>
        <v>40553</v>
      </c>
      <c r="F580" s="520">
        <v>3.3330000000000002</v>
      </c>
      <c r="G580" s="521">
        <f t="shared" ref="G580:G643" si="77">INDEX($I$4:$K$153,MATCH(F580,$I$4:$I$153,1),3)</f>
        <v>0.44000000000000022</v>
      </c>
      <c r="H580" s="521">
        <f t="shared" ref="H580:H643" si="78">G581</f>
        <v>0.46000000000000024</v>
      </c>
      <c r="I580" s="505"/>
      <c r="J580" s="505"/>
      <c r="K580" s="505"/>
      <c r="L580" s="505"/>
      <c r="M580" s="528"/>
      <c r="N580" s="505"/>
      <c r="O580" s="505"/>
      <c r="P580" s="505"/>
      <c r="Q580" s="505"/>
      <c r="R580" s="505"/>
      <c r="S580" s="505"/>
      <c r="T580" s="505"/>
      <c r="U580" s="505"/>
      <c r="V580" s="505"/>
      <c r="W580" s="505"/>
      <c r="X580" s="505"/>
      <c r="Y580" s="505"/>
      <c r="Z580" s="505"/>
      <c r="AA580" s="505"/>
      <c r="AB580" s="505"/>
      <c r="AC580" s="505"/>
      <c r="AD580" s="505"/>
      <c r="AE580" s="505"/>
      <c r="AF580" s="505"/>
      <c r="AG580" s="505"/>
      <c r="AH580" s="505"/>
      <c r="AI580" s="505"/>
      <c r="AJ580" s="505"/>
      <c r="AK580" s="505"/>
      <c r="AL580" s="505"/>
      <c r="AM580" s="505"/>
      <c r="AN580" s="505"/>
      <c r="AO580" s="505"/>
      <c r="AP580" s="505"/>
      <c r="AQ580" s="505"/>
      <c r="AR580" s="505"/>
      <c r="AS580" s="505"/>
      <c r="AT580" s="505"/>
      <c r="AU580" s="505"/>
      <c r="AV580" s="505"/>
      <c r="AW580" s="505"/>
      <c r="AX580" s="505"/>
      <c r="AY580" s="505"/>
      <c r="AZ580" s="505"/>
      <c r="BA580" s="505"/>
      <c r="BB580" s="505"/>
      <c r="BC580" s="505"/>
      <c r="BD580" s="505"/>
      <c r="BE580" s="505"/>
      <c r="BF580" s="505"/>
      <c r="BG580" s="505"/>
      <c r="BH580" s="505"/>
      <c r="BI580" s="505"/>
      <c r="BJ580" s="505"/>
      <c r="BK580" s="505"/>
      <c r="BL580" s="505"/>
      <c r="BM580" s="505"/>
      <c r="BN580" s="505"/>
      <c r="BO580" s="505"/>
      <c r="BP580" s="505"/>
      <c r="BQ580" s="505"/>
      <c r="BR580" s="505"/>
      <c r="BS580" s="505"/>
      <c r="BT580" s="505"/>
      <c r="BU580" s="505"/>
      <c r="BV580" s="505"/>
      <c r="BW580" s="505"/>
      <c r="BX580" s="505"/>
      <c r="BY580" s="505"/>
      <c r="BZ580" s="505"/>
      <c r="CA580" s="505"/>
      <c r="CB580" s="505"/>
      <c r="CC580" s="505"/>
      <c r="CD580" s="505"/>
      <c r="CE580" s="505"/>
      <c r="CF580" s="505"/>
      <c r="CG580" s="505"/>
      <c r="CH580" s="505"/>
      <c r="CI580" s="505"/>
      <c r="CJ580" s="505"/>
      <c r="CK580" s="505"/>
      <c r="CL580" s="505"/>
      <c r="CM580" s="505"/>
      <c r="CN580" s="505"/>
      <c r="CO580" s="505"/>
      <c r="CP580" s="505"/>
      <c r="CQ580" s="505"/>
      <c r="CR580" s="505"/>
      <c r="CS580" s="505"/>
      <c r="CT580" s="505"/>
      <c r="CU580" s="505"/>
      <c r="CV580" s="505"/>
      <c r="CW580" s="505"/>
      <c r="CX580" s="505"/>
      <c r="CY580" s="505"/>
      <c r="CZ580" s="505"/>
      <c r="DA580" s="505"/>
      <c r="DB580" s="505"/>
      <c r="DC580" s="505"/>
      <c r="DD580" s="505"/>
      <c r="DE580" s="505"/>
      <c r="DF580" s="505"/>
      <c r="DG580" s="505"/>
      <c r="DH580" s="505"/>
      <c r="DI580" s="505"/>
      <c r="DJ580" s="505"/>
      <c r="DK580" s="505"/>
      <c r="DL580" s="505"/>
      <c r="DM580" s="505"/>
      <c r="DN580" s="505"/>
      <c r="DO580" s="505"/>
      <c r="DP580" s="505"/>
    </row>
    <row r="581" spans="1:120" hidden="1" outlineLevel="1" x14ac:dyDescent="0.2">
      <c r="A581" s="517">
        <f t="shared" ref="A581:A644" si="79">DATE(YEAR(E581),MONTH(E581),1)</f>
        <v>40544</v>
      </c>
      <c r="B581" s="517" t="str">
        <f t="shared" si="76"/>
        <v>1Q11</v>
      </c>
      <c r="C581" s="517" t="str">
        <f t="shared" ref="C581:C644" si="80">VLOOKUP(MONTH(D581),$N$4:$O$16,2,FALSE) &amp; "Q" &amp; RIGHT(YEAR(D581),2)</f>
        <v>1Q11</v>
      </c>
      <c r="D581" s="518">
        <f t="shared" ref="D581:E644" si="81">D580+7</f>
        <v>40620</v>
      </c>
      <c r="E581" s="518">
        <f t="shared" si="81"/>
        <v>40560</v>
      </c>
      <c r="F581" s="520">
        <v>3.407</v>
      </c>
      <c r="G581" s="521">
        <f t="shared" si="77"/>
        <v>0.46000000000000024</v>
      </c>
      <c r="H581" s="521">
        <f t="shared" si="78"/>
        <v>0.46000000000000024</v>
      </c>
      <c r="I581" s="505"/>
      <c r="J581" s="505"/>
      <c r="K581" s="505"/>
      <c r="L581" s="505"/>
      <c r="M581" s="528"/>
      <c r="N581" s="505"/>
      <c r="O581" s="505"/>
      <c r="P581" s="505"/>
      <c r="Q581" s="505"/>
      <c r="R581" s="505"/>
      <c r="S581" s="505"/>
      <c r="T581" s="505"/>
      <c r="U581" s="505"/>
      <c r="V581" s="505"/>
      <c r="W581" s="505"/>
      <c r="X581" s="505"/>
      <c r="Y581" s="505"/>
      <c r="Z581" s="505"/>
      <c r="AA581" s="505"/>
      <c r="AB581" s="505"/>
      <c r="AC581" s="505"/>
      <c r="AD581" s="505"/>
      <c r="AE581" s="505"/>
      <c r="AF581" s="505"/>
      <c r="AG581" s="505"/>
      <c r="AH581" s="505"/>
      <c r="AI581" s="505"/>
      <c r="AJ581" s="505"/>
      <c r="AK581" s="505"/>
      <c r="AL581" s="505"/>
      <c r="AM581" s="505"/>
      <c r="AN581" s="505"/>
      <c r="AO581" s="505"/>
      <c r="AP581" s="505"/>
      <c r="AQ581" s="505"/>
      <c r="AR581" s="505"/>
      <c r="AS581" s="505"/>
      <c r="AT581" s="505"/>
      <c r="AU581" s="505"/>
      <c r="AV581" s="505"/>
      <c r="AW581" s="505"/>
      <c r="AX581" s="505"/>
      <c r="AY581" s="505"/>
      <c r="AZ581" s="505"/>
      <c r="BA581" s="505"/>
      <c r="BB581" s="505"/>
      <c r="BC581" s="505"/>
      <c r="BD581" s="505"/>
      <c r="BE581" s="505"/>
      <c r="BF581" s="505"/>
      <c r="BG581" s="505"/>
      <c r="BH581" s="505"/>
      <c r="BI581" s="505"/>
      <c r="BJ581" s="505"/>
      <c r="BK581" s="505"/>
      <c r="BL581" s="505"/>
      <c r="BM581" s="505"/>
      <c r="BN581" s="505"/>
      <c r="BO581" s="505"/>
      <c r="BP581" s="505"/>
      <c r="BQ581" s="505"/>
      <c r="BR581" s="505"/>
      <c r="BS581" s="505"/>
      <c r="BT581" s="505"/>
      <c r="BU581" s="505"/>
      <c r="BV581" s="505"/>
      <c r="BW581" s="505"/>
      <c r="BX581" s="505"/>
      <c r="BY581" s="505"/>
      <c r="BZ581" s="505"/>
      <c r="CA581" s="505"/>
      <c r="CB581" s="505"/>
      <c r="CC581" s="505"/>
      <c r="CD581" s="505"/>
      <c r="CE581" s="505"/>
      <c r="CF581" s="505"/>
      <c r="CG581" s="505"/>
      <c r="CH581" s="505"/>
      <c r="CI581" s="505"/>
      <c r="CJ581" s="505"/>
      <c r="CK581" s="505"/>
      <c r="CL581" s="505"/>
      <c r="CM581" s="505"/>
      <c r="CN581" s="505"/>
      <c r="CO581" s="505"/>
      <c r="CP581" s="505"/>
      <c r="CQ581" s="505"/>
      <c r="CR581" s="505"/>
      <c r="CS581" s="505"/>
      <c r="CT581" s="505"/>
      <c r="CU581" s="505"/>
      <c r="CV581" s="505"/>
      <c r="CW581" s="505"/>
      <c r="CX581" s="505"/>
      <c r="CY581" s="505"/>
      <c r="CZ581" s="505"/>
      <c r="DA581" s="505"/>
      <c r="DB581" s="505"/>
      <c r="DC581" s="505"/>
      <c r="DD581" s="505"/>
      <c r="DE581" s="505"/>
      <c r="DF581" s="505"/>
      <c r="DG581" s="505"/>
      <c r="DH581" s="505"/>
      <c r="DI581" s="505"/>
      <c r="DJ581" s="505"/>
      <c r="DK581" s="505"/>
      <c r="DL581" s="505"/>
      <c r="DM581" s="505"/>
      <c r="DN581" s="505"/>
      <c r="DO581" s="505"/>
      <c r="DP581" s="505"/>
    </row>
    <row r="582" spans="1:120" hidden="1" outlineLevel="1" x14ac:dyDescent="0.2">
      <c r="A582" s="517">
        <f t="shared" si="79"/>
        <v>40544</v>
      </c>
      <c r="B582" s="517" t="str">
        <f t="shared" si="76"/>
        <v>1Q11</v>
      </c>
      <c r="C582" s="517" t="str">
        <f t="shared" si="80"/>
        <v>1Q11</v>
      </c>
      <c r="D582" s="518">
        <f t="shared" si="81"/>
        <v>40627</v>
      </c>
      <c r="E582" s="518">
        <f t="shared" si="81"/>
        <v>40567</v>
      </c>
      <c r="F582" s="520">
        <v>3.43</v>
      </c>
      <c r="G582" s="521">
        <f t="shared" si="77"/>
        <v>0.46000000000000024</v>
      </c>
      <c r="H582" s="521">
        <f t="shared" si="78"/>
        <v>0.46000000000000024</v>
      </c>
      <c r="I582" s="505"/>
      <c r="J582" s="505"/>
      <c r="K582" s="505"/>
      <c r="L582" s="505"/>
      <c r="M582" s="528"/>
      <c r="N582" s="505"/>
      <c r="O582" s="505"/>
      <c r="P582" s="505"/>
      <c r="Q582" s="505"/>
      <c r="R582" s="505"/>
      <c r="S582" s="505"/>
      <c r="T582" s="505"/>
      <c r="U582" s="505"/>
      <c r="V582" s="505"/>
      <c r="W582" s="505"/>
      <c r="X582" s="505"/>
      <c r="Y582" s="505"/>
      <c r="Z582" s="505"/>
      <c r="AA582" s="505"/>
      <c r="AB582" s="505"/>
      <c r="AC582" s="505"/>
      <c r="AD582" s="505"/>
      <c r="AE582" s="505"/>
      <c r="AF582" s="505"/>
      <c r="AG582" s="505"/>
      <c r="AH582" s="505"/>
      <c r="AI582" s="505"/>
      <c r="AJ582" s="505"/>
      <c r="AK582" s="505"/>
      <c r="AL582" s="505"/>
      <c r="AM582" s="505"/>
      <c r="AN582" s="505"/>
      <c r="AO582" s="505"/>
      <c r="AP582" s="505"/>
      <c r="AQ582" s="505"/>
      <c r="AR582" s="505"/>
      <c r="AS582" s="505"/>
      <c r="AT582" s="505"/>
      <c r="AU582" s="505"/>
      <c r="AV582" s="505"/>
      <c r="AW582" s="505"/>
      <c r="AX582" s="505"/>
      <c r="AY582" s="505"/>
      <c r="AZ582" s="505"/>
      <c r="BA582" s="505"/>
      <c r="BB582" s="505"/>
      <c r="BC582" s="505"/>
      <c r="BD582" s="505"/>
      <c r="BE582" s="505"/>
      <c r="BF582" s="505"/>
      <c r="BG582" s="505"/>
      <c r="BH582" s="505"/>
      <c r="BI582" s="505"/>
      <c r="BJ582" s="505"/>
      <c r="BK582" s="505"/>
      <c r="BL582" s="505"/>
      <c r="BM582" s="505"/>
      <c r="BN582" s="505"/>
      <c r="BO582" s="505"/>
      <c r="BP582" s="505"/>
      <c r="BQ582" s="505"/>
      <c r="BR582" s="505"/>
      <c r="BS582" s="505"/>
      <c r="BT582" s="505"/>
      <c r="BU582" s="505"/>
      <c r="BV582" s="505"/>
      <c r="BW582" s="505"/>
      <c r="BX582" s="505"/>
      <c r="BY582" s="505"/>
      <c r="BZ582" s="505"/>
      <c r="CA582" s="505"/>
      <c r="CB582" s="505"/>
      <c r="CC582" s="505"/>
      <c r="CD582" s="505"/>
      <c r="CE582" s="505"/>
      <c r="CF582" s="505"/>
      <c r="CG582" s="505"/>
      <c r="CH582" s="505"/>
      <c r="CI582" s="505"/>
      <c r="CJ582" s="505"/>
      <c r="CK582" s="505"/>
      <c r="CL582" s="505"/>
      <c r="CM582" s="505"/>
      <c r="CN582" s="505"/>
      <c r="CO582" s="505"/>
      <c r="CP582" s="505"/>
      <c r="CQ582" s="505"/>
      <c r="CR582" s="505"/>
      <c r="CS582" s="505"/>
      <c r="CT582" s="505"/>
      <c r="CU582" s="505"/>
      <c r="CV582" s="505"/>
      <c r="CW582" s="505"/>
      <c r="CX582" s="505"/>
      <c r="CY582" s="505"/>
      <c r="CZ582" s="505"/>
      <c r="DA582" s="505"/>
      <c r="DB582" s="505"/>
      <c r="DC582" s="505"/>
      <c r="DD582" s="505"/>
      <c r="DE582" s="505"/>
      <c r="DF582" s="505"/>
      <c r="DG582" s="505"/>
      <c r="DH582" s="505"/>
      <c r="DI582" s="505"/>
      <c r="DJ582" s="505"/>
      <c r="DK582" s="505"/>
      <c r="DL582" s="505"/>
      <c r="DM582" s="505"/>
      <c r="DN582" s="505"/>
      <c r="DO582" s="505"/>
      <c r="DP582" s="505"/>
    </row>
    <row r="583" spans="1:120" hidden="1" outlineLevel="1" x14ac:dyDescent="0.2">
      <c r="A583" s="517">
        <f t="shared" si="79"/>
        <v>40544</v>
      </c>
      <c r="B583" s="517" t="str">
        <f t="shared" si="76"/>
        <v>1Q11</v>
      </c>
      <c r="C583" s="517" t="str">
        <f t="shared" si="80"/>
        <v>2Q11</v>
      </c>
      <c r="D583" s="518">
        <f t="shared" si="81"/>
        <v>40634</v>
      </c>
      <c r="E583" s="518">
        <f t="shared" si="81"/>
        <v>40574</v>
      </c>
      <c r="F583" s="520">
        <v>3.4380000000000002</v>
      </c>
      <c r="G583" s="521">
        <f t="shared" si="77"/>
        <v>0.46000000000000024</v>
      </c>
      <c r="H583" s="521">
        <f t="shared" si="78"/>
        <v>0.48000000000000026</v>
      </c>
      <c r="I583" s="505"/>
      <c r="J583" s="505"/>
      <c r="K583" s="505"/>
      <c r="L583" s="505"/>
      <c r="M583" s="528"/>
      <c r="N583" s="505"/>
      <c r="O583" s="505"/>
      <c r="P583" s="505"/>
      <c r="Q583" s="505"/>
      <c r="R583" s="505"/>
      <c r="S583" s="505"/>
      <c r="T583" s="505"/>
      <c r="U583" s="505"/>
      <c r="V583" s="505"/>
      <c r="W583" s="505"/>
      <c r="X583" s="505"/>
      <c r="Y583" s="505"/>
      <c r="Z583" s="505"/>
      <c r="AA583" s="505"/>
      <c r="AB583" s="505"/>
      <c r="AC583" s="505"/>
      <c r="AD583" s="505"/>
      <c r="AE583" s="505"/>
      <c r="AF583" s="505"/>
      <c r="AG583" s="505"/>
      <c r="AH583" s="505"/>
      <c r="AI583" s="505"/>
      <c r="AJ583" s="505"/>
      <c r="AK583" s="505"/>
      <c r="AL583" s="505"/>
      <c r="AM583" s="505"/>
      <c r="AN583" s="505"/>
      <c r="AO583" s="505"/>
      <c r="AP583" s="505"/>
      <c r="AQ583" s="505"/>
      <c r="AR583" s="505"/>
      <c r="AS583" s="505"/>
      <c r="AT583" s="505"/>
      <c r="AU583" s="505"/>
      <c r="AV583" s="505"/>
      <c r="AW583" s="505"/>
      <c r="AX583" s="505"/>
      <c r="AY583" s="505"/>
      <c r="AZ583" s="505"/>
      <c r="BA583" s="505"/>
      <c r="BB583" s="505"/>
      <c r="BC583" s="505"/>
      <c r="BD583" s="505"/>
      <c r="BE583" s="505"/>
      <c r="BF583" s="505"/>
      <c r="BG583" s="505"/>
      <c r="BH583" s="505"/>
      <c r="BI583" s="505"/>
      <c r="BJ583" s="505"/>
      <c r="BK583" s="505"/>
      <c r="BL583" s="505"/>
      <c r="BM583" s="505"/>
      <c r="BN583" s="505"/>
      <c r="BO583" s="505"/>
      <c r="BP583" s="505"/>
      <c r="BQ583" s="505"/>
      <c r="BR583" s="505"/>
      <c r="BS583" s="505"/>
      <c r="BT583" s="505"/>
      <c r="BU583" s="505"/>
      <c r="BV583" s="505"/>
      <c r="BW583" s="505"/>
      <c r="BX583" s="505"/>
      <c r="BY583" s="505"/>
      <c r="BZ583" s="505"/>
      <c r="CA583" s="505"/>
      <c r="CB583" s="505"/>
      <c r="CC583" s="505"/>
      <c r="CD583" s="505"/>
      <c r="CE583" s="505"/>
      <c r="CF583" s="505"/>
      <c r="CG583" s="505"/>
      <c r="CH583" s="505"/>
      <c r="CI583" s="505"/>
      <c r="CJ583" s="505"/>
      <c r="CK583" s="505"/>
      <c r="CL583" s="505"/>
      <c r="CM583" s="505"/>
      <c r="CN583" s="505"/>
      <c r="CO583" s="505"/>
      <c r="CP583" s="505"/>
      <c r="CQ583" s="505"/>
      <c r="CR583" s="505"/>
      <c r="CS583" s="505"/>
      <c r="CT583" s="505"/>
      <c r="CU583" s="505"/>
      <c r="CV583" s="505"/>
      <c r="CW583" s="505"/>
      <c r="CX583" s="505"/>
      <c r="CY583" s="505"/>
      <c r="CZ583" s="505"/>
      <c r="DA583" s="505"/>
      <c r="DB583" s="505"/>
      <c r="DC583" s="505"/>
      <c r="DD583" s="505"/>
      <c r="DE583" s="505"/>
      <c r="DF583" s="505"/>
      <c r="DG583" s="505"/>
      <c r="DH583" s="505"/>
      <c r="DI583" s="505"/>
      <c r="DJ583" s="505"/>
      <c r="DK583" s="505"/>
      <c r="DL583" s="505"/>
      <c r="DM583" s="505"/>
      <c r="DN583" s="505"/>
      <c r="DO583" s="505"/>
      <c r="DP583" s="505"/>
    </row>
    <row r="584" spans="1:120" hidden="1" outlineLevel="1" x14ac:dyDescent="0.2">
      <c r="A584" s="517">
        <f t="shared" si="79"/>
        <v>40575</v>
      </c>
      <c r="B584" s="517" t="str">
        <f t="shared" si="76"/>
        <v>1Q11</v>
      </c>
      <c r="C584" s="517" t="str">
        <f t="shared" si="80"/>
        <v>2Q11</v>
      </c>
      <c r="D584" s="518">
        <f t="shared" si="81"/>
        <v>40641</v>
      </c>
      <c r="E584" s="518">
        <f t="shared" si="81"/>
        <v>40581</v>
      </c>
      <c r="F584" s="520">
        <v>3.5129999999999999</v>
      </c>
      <c r="G584" s="521">
        <f t="shared" si="77"/>
        <v>0.48000000000000026</v>
      </c>
      <c r="H584" s="521">
        <f t="shared" si="78"/>
        <v>0.48000000000000026</v>
      </c>
      <c r="I584" s="505"/>
      <c r="J584" s="505"/>
      <c r="K584" s="505"/>
      <c r="L584" s="505"/>
      <c r="M584" s="528"/>
      <c r="N584" s="505"/>
      <c r="O584" s="505"/>
      <c r="P584" s="505"/>
      <c r="Q584" s="505"/>
      <c r="R584" s="505"/>
      <c r="S584" s="505"/>
      <c r="T584" s="505"/>
      <c r="U584" s="505"/>
      <c r="V584" s="505"/>
      <c r="W584" s="505"/>
      <c r="X584" s="505"/>
      <c r="Y584" s="505"/>
      <c r="Z584" s="505"/>
      <c r="AA584" s="505"/>
      <c r="AB584" s="505"/>
      <c r="AC584" s="505"/>
      <c r="AD584" s="505"/>
      <c r="AE584" s="505"/>
      <c r="AF584" s="505"/>
      <c r="AG584" s="505"/>
      <c r="AH584" s="505"/>
      <c r="AI584" s="505"/>
      <c r="AJ584" s="505"/>
      <c r="AK584" s="505"/>
      <c r="AL584" s="505"/>
      <c r="AM584" s="505"/>
      <c r="AN584" s="505"/>
      <c r="AO584" s="505"/>
      <c r="AP584" s="505"/>
      <c r="AQ584" s="505"/>
      <c r="AR584" s="505"/>
      <c r="AS584" s="505"/>
      <c r="AT584" s="505"/>
      <c r="AU584" s="505"/>
      <c r="AV584" s="505"/>
      <c r="AW584" s="505"/>
      <c r="AX584" s="505"/>
      <c r="AY584" s="505"/>
      <c r="AZ584" s="505"/>
      <c r="BA584" s="505"/>
      <c r="BB584" s="505"/>
      <c r="BC584" s="505"/>
      <c r="BD584" s="505"/>
      <c r="BE584" s="505"/>
      <c r="BF584" s="505"/>
      <c r="BG584" s="505"/>
      <c r="BH584" s="505"/>
      <c r="BI584" s="505"/>
      <c r="BJ584" s="505"/>
      <c r="BK584" s="505"/>
      <c r="BL584" s="505"/>
      <c r="BM584" s="505"/>
      <c r="BN584" s="505"/>
      <c r="BO584" s="505"/>
      <c r="BP584" s="505"/>
      <c r="BQ584" s="505"/>
      <c r="BR584" s="505"/>
      <c r="BS584" s="505"/>
      <c r="BT584" s="505"/>
      <c r="BU584" s="505"/>
      <c r="BV584" s="505"/>
      <c r="BW584" s="505"/>
      <c r="BX584" s="505"/>
      <c r="BY584" s="505"/>
      <c r="BZ584" s="505"/>
      <c r="CA584" s="505"/>
      <c r="CB584" s="505"/>
      <c r="CC584" s="505"/>
      <c r="CD584" s="505"/>
      <c r="CE584" s="505"/>
      <c r="CF584" s="505"/>
      <c r="CG584" s="505"/>
      <c r="CH584" s="505"/>
      <c r="CI584" s="505"/>
      <c r="CJ584" s="505"/>
      <c r="CK584" s="505"/>
      <c r="CL584" s="505"/>
      <c r="CM584" s="505"/>
      <c r="CN584" s="505"/>
      <c r="CO584" s="505"/>
      <c r="CP584" s="505"/>
      <c r="CQ584" s="505"/>
      <c r="CR584" s="505"/>
      <c r="CS584" s="505"/>
      <c r="CT584" s="505"/>
      <c r="CU584" s="505"/>
      <c r="CV584" s="505"/>
      <c r="CW584" s="505"/>
      <c r="CX584" s="505"/>
      <c r="CY584" s="505"/>
      <c r="CZ584" s="505"/>
      <c r="DA584" s="505"/>
      <c r="DB584" s="505"/>
      <c r="DC584" s="505"/>
      <c r="DD584" s="505"/>
      <c r="DE584" s="505"/>
      <c r="DF584" s="505"/>
      <c r="DG584" s="505"/>
      <c r="DH584" s="505"/>
      <c r="DI584" s="505"/>
      <c r="DJ584" s="505"/>
      <c r="DK584" s="505"/>
      <c r="DL584" s="505"/>
      <c r="DM584" s="505"/>
      <c r="DN584" s="505"/>
      <c r="DO584" s="505"/>
      <c r="DP584" s="505"/>
    </row>
    <row r="585" spans="1:120" hidden="1" outlineLevel="1" x14ac:dyDescent="0.2">
      <c r="A585" s="517">
        <f t="shared" si="79"/>
        <v>40575</v>
      </c>
      <c r="B585" s="517" t="str">
        <f t="shared" si="76"/>
        <v>1Q11</v>
      </c>
      <c r="C585" s="517" t="str">
        <f t="shared" si="80"/>
        <v>2Q11</v>
      </c>
      <c r="D585" s="518">
        <f t="shared" si="81"/>
        <v>40648</v>
      </c>
      <c r="E585" s="518">
        <f t="shared" si="81"/>
        <v>40588</v>
      </c>
      <c r="F585" s="520">
        <v>3.5339999999999998</v>
      </c>
      <c r="G585" s="521">
        <f t="shared" si="77"/>
        <v>0.48000000000000026</v>
      </c>
      <c r="H585" s="521">
        <f t="shared" si="78"/>
        <v>0.49000000000000027</v>
      </c>
      <c r="I585" s="505"/>
      <c r="J585" s="505"/>
      <c r="K585" s="505"/>
      <c r="L585" s="505"/>
      <c r="M585" s="528"/>
      <c r="N585" s="505"/>
      <c r="O585" s="505"/>
      <c r="P585" s="505"/>
      <c r="Q585" s="505"/>
      <c r="R585" s="505"/>
      <c r="S585" s="505"/>
      <c r="T585" s="505"/>
      <c r="U585" s="505"/>
      <c r="V585" s="505"/>
      <c r="W585" s="505"/>
      <c r="X585" s="505"/>
      <c r="Y585" s="505"/>
      <c r="Z585" s="505"/>
      <c r="AA585" s="505"/>
      <c r="AB585" s="505"/>
      <c r="AC585" s="505"/>
      <c r="AD585" s="505"/>
      <c r="AE585" s="505"/>
      <c r="AF585" s="505"/>
      <c r="AG585" s="505"/>
      <c r="AH585" s="505"/>
      <c r="AI585" s="505"/>
      <c r="AJ585" s="505"/>
      <c r="AK585" s="505"/>
      <c r="AL585" s="505"/>
      <c r="AM585" s="505"/>
      <c r="AN585" s="505"/>
      <c r="AO585" s="505"/>
      <c r="AP585" s="505"/>
      <c r="AQ585" s="505"/>
      <c r="AR585" s="505"/>
      <c r="AS585" s="505"/>
      <c r="AT585" s="505"/>
      <c r="AU585" s="505"/>
      <c r="AV585" s="505"/>
      <c r="AW585" s="505"/>
      <c r="AX585" s="505"/>
      <c r="AY585" s="505"/>
      <c r="AZ585" s="505"/>
      <c r="BA585" s="505"/>
      <c r="BB585" s="505"/>
      <c r="BC585" s="505"/>
      <c r="BD585" s="505"/>
      <c r="BE585" s="505"/>
      <c r="BF585" s="505"/>
      <c r="BG585" s="505"/>
      <c r="BH585" s="505"/>
      <c r="BI585" s="505"/>
      <c r="BJ585" s="505"/>
      <c r="BK585" s="505"/>
      <c r="BL585" s="505"/>
      <c r="BM585" s="505"/>
      <c r="BN585" s="505"/>
      <c r="BO585" s="505"/>
      <c r="BP585" s="505"/>
      <c r="BQ585" s="505"/>
      <c r="BR585" s="505"/>
      <c r="BS585" s="505"/>
      <c r="BT585" s="505"/>
      <c r="BU585" s="505"/>
      <c r="BV585" s="505"/>
      <c r="BW585" s="505"/>
      <c r="BX585" s="505"/>
      <c r="BY585" s="505"/>
      <c r="BZ585" s="505"/>
      <c r="CA585" s="505"/>
      <c r="CB585" s="505"/>
      <c r="CC585" s="505"/>
      <c r="CD585" s="505"/>
      <c r="CE585" s="505"/>
      <c r="CF585" s="505"/>
      <c r="CG585" s="505"/>
      <c r="CH585" s="505"/>
      <c r="CI585" s="505"/>
      <c r="CJ585" s="505"/>
      <c r="CK585" s="505"/>
      <c r="CL585" s="505"/>
      <c r="CM585" s="505"/>
      <c r="CN585" s="505"/>
      <c r="CO585" s="505"/>
      <c r="CP585" s="505"/>
      <c r="CQ585" s="505"/>
      <c r="CR585" s="505"/>
      <c r="CS585" s="505"/>
      <c r="CT585" s="505"/>
      <c r="CU585" s="505"/>
      <c r="CV585" s="505"/>
      <c r="CW585" s="505"/>
      <c r="CX585" s="505"/>
      <c r="CY585" s="505"/>
      <c r="CZ585" s="505"/>
      <c r="DA585" s="505"/>
      <c r="DB585" s="505"/>
      <c r="DC585" s="505"/>
      <c r="DD585" s="505"/>
      <c r="DE585" s="505"/>
      <c r="DF585" s="505"/>
      <c r="DG585" s="505"/>
      <c r="DH585" s="505"/>
      <c r="DI585" s="505"/>
      <c r="DJ585" s="505"/>
      <c r="DK585" s="505"/>
      <c r="DL585" s="505"/>
      <c r="DM585" s="505"/>
      <c r="DN585" s="505"/>
      <c r="DO585" s="505"/>
      <c r="DP585" s="505"/>
    </row>
    <row r="586" spans="1:120" hidden="1" outlineLevel="1" x14ac:dyDescent="0.2">
      <c r="A586" s="517">
        <f t="shared" si="79"/>
        <v>40575</v>
      </c>
      <c r="B586" s="517" t="str">
        <f t="shared" si="76"/>
        <v>1Q11</v>
      </c>
      <c r="C586" s="517" t="str">
        <f t="shared" si="80"/>
        <v>2Q11</v>
      </c>
      <c r="D586" s="518">
        <f t="shared" si="81"/>
        <v>40655</v>
      </c>
      <c r="E586" s="518">
        <f t="shared" si="81"/>
        <v>40595</v>
      </c>
      <c r="F586" s="520">
        <v>3.573</v>
      </c>
      <c r="G586" s="521">
        <f t="shared" si="77"/>
        <v>0.49000000000000027</v>
      </c>
      <c r="H586" s="521">
        <f t="shared" si="78"/>
        <v>0.52000000000000024</v>
      </c>
      <c r="I586" s="505"/>
      <c r="J586" s="505"/>
      <c r="K586" s="505"/>
      <c r="L586" s="505"/>
      <c r="M586" s="528"/>
      <c r="N586" s="505"/>
      <c r="O586" s="505"/>
      <c r="P586" s="505"/>
      <c r="Q586" s="505"/>
      <c r="R586" s="505"/>
      <c r="S586" s="505"/>
      <c r="T586" s="505"/>
      <c r="U586" s="505"/>
      <c r="V586" s="505"/>
      <c r="W586" s="505"/>
      <c r="X586" s="505"/>
      <c r="Y586" s="505"/>
      <c r="Z586" s="505"/>
      <c r="AA586" s="505"/>
      <c r="AB586" s="505"/>
      <c r="AC586" s="505"/>
      <c r="AD586" s="505"/>
      <c r="AE586" s="505"/>
      <c r="AF586" s="505"/>
      <c r="AG586" s="505"/>
      <c r="AH586" s="505"/>
      <c r="AI586" s="505"/>
      <c r="AJ586" s="505"/>
      <c r="AK586" s="505"/>
      <c r="AL586" s="505"/>
      <c r="AM586" s="505"/>
      <c r="AN586" s="505"/>
      <c r="AO586" s="505"/>
      <c r="AP586" s="505"/>
      <c r="AQ586" s="505"/>
      <c r="AR586" s="505"/>
      <c r="AS586" s="505"/>
      <c r="AT586" s="505"/>
      <c r="AU586" s="505"/>
      <c r="AV586" s="505"/>
      <c r="AW586" s="505"/>
      <c r="AX586" s="505"/>
      <c r="AY586" s="505"/>
      <c r="AZ586" s="505"/>
      <c r="BA586" s="505"/>
      <c r="BB586" s="505"/>
      <c r="BC586" s="505"/>
      <c r="BD586" s="505"/>
      <c r="BE586" s="505"/>
      <c r="BF586" s="505"/>
      <c r="BG586" s="505"/>
      <c r="BH586" s="505"/>
      <c r="BI586" s="505"/>
      <c r="BJ586" s="505"/>
      <c r="BK586" s="505"/>
      <c r="BL586" s="505"/>
      <c r="BM586" s="505"/>
      <c r="BN586" s="505"/>
      <c r="BO586" s="505"/>
      <c r="BP586" s="505"/>
      <c r="BQ586" s="505"/>
      <c r="BR586" s="505"/>
      <c r="BS586" s="505"/>
      <c r="BT586" s="505"/>
      <c r="BU586" s="505"/>
      <c r="BV586" s="505"/>
      <c r="BW586" s="505"/>
      <c r="BX586" s="505"/>
      <c r="BY586" s="505"/>
      <c r="BZ586" s="505"/>
      <c r="CA586" s="505"/>
      <c r="CB586" s="505"/>
      <c r="CC586" s="505"/>
      <c r="CD586" s="505"/>
      <c r="CE586" s="505"/>
      <c r="CF586" s="505"/>
      <c r="CG586" s="505"/>
      <c r="CH586" s="505"/>
      <c r="CI586" s="505"/>
      <c r="CJ586" s="505"/>
      <c r="CK586" s="505"/>
      <c r="CL586" s="505"/>
      <c r="CM586" s="505"/>
      <c r="CN586" s="505"/>
      <c r="CO586" s="505"/>
      <c r="CP586" s="505"/>
      <c r="CQ586" s="505"/>
      <c r="CR586" s="505"/>
      <c r="CS586" s="505"/>
      <c r="CT586" s="505"/>
      <c r="CU586" s="505"/>
      <c r="CV586" s="505"/>
      <c r="CW586" s="505"/>
      <c r="CX586" s="505"/>
      <c r="CY586" s="505"/>
      <c r="CZ586" s="505"/>
      <c r="DA586" s="505"/>
      <c r="DB586" s="505"/>
      <c r="DC586" s="505"/>
      <c r="DD586" s="505"/>
      <c r="DE586" s="505"/>
      <c r="DF586" s="505"/>
      <c r="DG586" s="505"/>
      <c r="DH586" s="505"/>
      <c r="DI586" s="505"/>
      <c r="DJ586" s="505"/>
      <c r="DK586" s="505"/>
      <c r="DL586" s="505"/>
      <c r="DM586" s="505"/>
      <c r="DN586" s="505"/>
      <c r="DO586" s="505"/>
      <c r="DP586" s="505"/>
    </row>
    <row r="587" spans="1:120" hidden="1" outlineLevel="1" x14ac:dyDescent="0.2">
      <c r="A587" s="517">
        <f t="shared" si="79"/>
        <v>40575</v>
      </c>
      <c r="B587" s="517" t="str">
        <f t="shared" si="76"/>
        <v>1Q11</v>
      </c>
      <c r="C587" s="517" t="str">
        <f t="shared" si="80"/>
        <v>2Q11</v>
      </c>
      <c r="D587" s="518">
        <f t="shared" si="81"/>
        <v>40662</v>
      </c>
      <c r="E587" s="518">
        <f t="shared" si="81"/>
        <v>40602</v>
      </c>
      <c r="F587" s="520">
        <v>3.7160000000000002</v>
      </c>
      <c r="G587" s="521">
        <f t="shared" si="77"/>
        <v>0.52000000000000024</v>
      </c>
      <c r="H587" s="521">
        <f t="shared" si="78"/>
        <v>0.55000000000000027</v>
      </c>
      <c r="I587" s="505"/>
      <c r="J587" s="505"/>
      <c r="K587" s="505"/>
      <c r="L587" s="505"/>
      <c r="M587" s="528"/>
      <c r="N587" s="505"/>
      <c r="O587" s="505"/>
      <c r="P587" s="505"/>
      <c r="Q587" s="505"/>
      <c r="R587" s="505"/>
      <c r="S587" s="505"/>
      <c r="T587" s="505"/>
      <c r="U587" s="505"/>
      <c r="V587" s="505"/>
      <c r="W587" s="505"/>
      <c r="X587" s="505"/>
      <c r="Y587" s="505"/>
      <c r="Z587" s="505"/>
      <c r="AA587" s="505"/>
      <c r="AB587" s="505"/>
      <c r="AC587" s="505"/>
      <c r="AD587" s="505"/>
      <c r="AE587" s="505"/>
      <c r="AF587" s="505"/>
      <c r="AG587" s="505"/>
      <c r="AH587" s="505"/>
      <c r="AI587" s="505"/>
      <c r="AJ587" s="505"/>
      <c r="AK587" s="505"/>
      <c r="AL587" s="505"/>
      <c r="AM587" s="505"/>
      <c r="AN587" s="505"/>
      <c r="AO587" s="505"/>
      <c r="AP587" s="505"/>
      <c r="AQ587" s="505"/>
      <c r="AR587" s="505"/>
      <c r="AS587" s="505"/>
      <c r="AT587" s="505"/>
      <c r="AU587" s="505"/>
      <c r="AV587" s="505"/>
      <c r="AW587" s="505"/>
      <c r="AX587" s="505"/>
      <c r="AY587" s="505"/>
      <c r="AZ587" s="505"/>
      <c r="BA587" s="505"/>
      <c r="BB587" s="505"/>
      <c r="BC587" s="505"/>
      <c r="BD587" s="505"/>
      <c r="BE587" s="505"/>
      <c r="BF587" s="505"/>
      <c r="BG587" s="505"/>
      <c r="BH587" s="505"/>
      <c r="BI587" s="505"/>
      <c r="BJ587" s="505"/>
      <c r="BK587" s="505"/>
      <c r="BL587" s="505"/>
      <c r="BM587" s="505"/>
      <c r="BN587" s="505"/>
      <c r="BO587" s="505"/>
      <c r="BP587" s="505"/>
      <c r="BQ587" s="505"/>
      <c r="BR587" s="505"/>
      <c r="BS587" s="505"/>
      <c r="BT587" s="505"/>
      <c r="BU587" s="505"/>
      <c r="BV587" s="505"/>
      <c r="BW587" s="505"/>
      <c r="BX587" s="505"/>
      <c r="BY587" s="505"/>
      <c r="BZ587" s="505"/>
      <c r="CA587" s="505"/>
      <c r="CB587" s="505"/>
      <c r="CC587" s="505"/>
      <c r="CD587" s="505"/>
      <c r="CE587" s="505"/>
      <c r="CF587" s="505"/>
      <c r="CG587" s="505"/>
      <c r="CH587" s="505"/>
      <c r="CI587" s="505"/>
      <c r="CJ587" s="505"/>
      <c r="CK587" s="505"/>
      <c r="CL587" s="505"/>
      <c r="CM587" s="505"/>
      <c r="CN587" s="505"/>
      <c r="CO587" s="505"/>
      <c r="CP587" s="505"/>
      <c r="CQ587" s="505"/>
      <c r="CR587" s="505"/>
      <c r="CS587" s="505"/>
      <c r="CT587" s="505"/>
      <c r="CU587" s="505"/>
      <c r="CV587" s="505"/>
      <c r="CW587" s="505"/>
      <c r="CX587" s="505"/>
      <c r="CY587" s="505"/>
      <c r="CZ587" s="505"/>
      <c r="DA587" s="505"/>
      <c r="DB587" s="505"/>
      <c r="DC587" s="505"/>
      <c r="DD587" s="505"/>
      <c r="DE587" s="505"/>
      <c r="DF587" s="505"/>
      <c r="DG587" s="505"/>
      <c r="DH587" s="505"/>
      <c r="DI587" s="505"/>
      <c r="DJ587" s="505"/>
      <c r="DK587" s="505"/>
      <c r="DL587" s="505"/>
      <c r="DM587" s="505"/>
      <c r="DN587" s="505"/>
      <c r="DO587" s="505"/>
      <c r="DP587" s="505"/>
    </row>
    <row r="588" spans="1:120" hidden="1" outlineLevel="1" x14ac:dyDescent="0.2">
      <c r="A588" s="517">
        <f t="shared" si="79"/>
        <v>40603</v>
      </c>
      <c r="B588" s="517" t="str">
        <f t="shared" si="76"/>
        <v>1Q11</v>
      </c>
      <c r="C588" s="517" t="str">
        <f t="shared" si="80"/>
        <v>2Q11</v>
      </c>
      <c r="D588" s="518">
        <f t="shared" si="81"/>
        <v>40669</v>
      </c>
      <c r="E588" s="518">
        <f t="shared" si="81"/>
        <v>40609</v>
      </c>
      <c r="F588" s="520">
        <v>3.871</v>
      </c>
      <c r="G588" s="521">
        <f t="shared" si="77"/>
        <v>0.55000000000000027</v>
      </c>
      <c r="H588" s="521">
        <f t="shared" si="78"/>
        <v>0.56000000000000028</v>
      </c>
      <c r="I588" s="505"/>
      <c r="J588" s="505"/>
      <c r="K588" s="505"/>
      <c r="L588" s="505"/>
      <c r="M588" s="528"/>
      <c r="N588" s="505"/>
      <c r="O588" s="505"/>
      <c r="P588" s="505"/>
      <c r="Q588" s="505"/>
      <c r="R588" s="505"/>
      <c r="S588" s="505"/>
      <c r="T588" s="505"/>
      <c r="U588" s="505"/>
      <c r="V588" s="505"/>
      <c r="W588" s="505"/>
      <c r="X588" s="505"/>
      <c r="Y588" s="505"/>
      <c r="Z588" s="505"/>
      <c r="AA588" s="505"/>
      <c r="AB588" s="505"/>
      <c r="AC588" s="505"/>
      <c r="AD588" s="505"/>
      <c r="AE588" s="505"/>
      <c r="AF588" s="505"/>
      <c r="AG588" s="505"/>
      <c r="AH588" s="505"/>
      <c r="AI588" s="505"/>
      <c r="AJ588" s="505"/>
      <c r="AK588" s="505"/>
      <c r="AL588" s="505"/>
      <c r="AM588" s="505"/>
      <c r="AN588" s="505"/>
      <c r="AO588" s="505"/>
      <c r="AP588" s="505"/>
      <c r="AQ588" s="505"/>
      <c r="AR588" s="505"/>
      <c r="AS588" s="505"/>
      <c r="AT588" s="505"/>
      <c r="AU588" s="505"/>
      <c r="AV588" s="505"/>
      <c r="AW588" s="505"/>
      <c r="AX588" s="505"/>
      <c r="AY588" s="505"/>
      <c r="AZ588" s="505"/>
      <c r="BA588" s="505"/>
      <c r="BB588" s="505"/>
      <c r="BC588" s="505"/>
      <c r="BD588" s="505"/>
      <c r="BE588" s="505"/>
      <c r="BF588" s="505"/>
      <c r="BG588" s="505"/>
      <c r="BH588" s="505"/>
      <c r="BI588" s="505"/>
      <c r="BJ588" s="505"/>
      <c r="BK588" s="505"/>
      <c r="BL588" s="505"/>
      <c r="BM588" s="505"/>
      <c r="BN588" s="505"/>
      <c r="BO588" s="505"/>
      <c r="BP588" s="505"/>
      <c r="BQ588" s="505"/>
      <c r="BR588" s="505"/>
      <c r="BS588" s="505"/>
      <c r="BT588" s="505"/>
      <c r="BU588" s="505"/>
      <c r="BV588" s="505"/>
      <c r="BW588" s="505"/>
      <c r="BX588" s="505"/>
      <c r="BY588" s="505"/>
      <c r="BZ588" s="505"/>
      <c r="CA588" s="505"/>
      <c r="CB588" s="505"/>
      <c r="CC588" s="505"/>
      <c r="CD588" s="505"/>
      <c r="CE588" s="505"/>
      <c r="CF588" s="505"/>
      <c r="CG588" s="505"/>
      <c r="CH588" s="505"/>
      <c r="CI588" s="505"/>
      <c r="CJ588" s="505"/>
      <c r="CK588" s="505"/>
      <c r="CL588" s="505"/>
      <c r="CM588" s="505"/>
      <c r="CN588" s="505"/>
      <c r="CO588" s="505"/>
      <c r="CP588" s="505"/>
      <c r="CQ588" s="505"/>
      <c r="CR588" s="505"/>
      <c r="CS588" s="505"/>
      <c r="CT588" s="505"/>
      <c r="CU588" s="505"/>
      <c r="CV588" s="505"/>
      <c r="CW588" s="505"/>
      <c r="CX588" s="505"/>
      <c r="CY588" s="505"/>
      <c r="CZ588" s="505"/>
      <c r="DA588" s="505"/>
      <c r="DB588" s="505"/>
      <c r="DC588" s="505"/>
      <c r="DD588" s="505"/>
      <c r="DE588" s="505"/>
      <c r="DF588" s="505"/>
      <c r="DG588" s="505"/>
      <c r="DH588" s="505"/>
      <c r="DI588" s="505"/>
      <c r="DJ588" s="505"/>
      <c r="DK588" s="505"/>
      <c r="DL588" s="505"/>
      <c r="DM588" s="505"/>
      <c r="DN588" s="505"/>
      <c r="DO588" s="505"/>
      <c r="DP588" s="505"/>
    </row>
    <row r="589" spans="1:120" hidden="1" outlineLevel="1" x14ac:dyDescent="0.2">
      <c r="A589" s="517">
        <f t="shared" si="79"/>
        <v>40603</v>
      </c>
      <c r="B589" s="517" t="str">
        <f t="shared" si="76"/>
        <v>1Q11</v>
      </c>
      <c r="C589" s="517" t="str">
        <f t="shared" si="80"/>
        <v>2Q11</v>
      </c>
      <c r="D589" s="518">
        <f t="shared" si="81"/>
        <v>40676</v>
      </c>
      <c r="E589" s="518">
        <f t="shared" si="81"/>
        <v>40616</v>
      </c>
      <c r="F589" s="520">
        <v>3.9079999999999999</v>
      </c>
      <c r="G589" s="521">
        <f t="shared" si="77"/>
        <v>0.56000000000000028</v>
      </c>
      <c r="H589" s="521">
        <f t="shared" si="78"/>
        <v>0.56000000000000028</v>
      </c>
      <c r="I589" s="505"/>
      <c r="J589" s="505"/>
      <c r="K589" s="505"/>
      <c r="L589" s="505"/>
      <c r="M589" s="528"/>
      <c r="N589" s="505"/>
      <c r="O589" s="505"/>
      <c r="P589" s="505"/>
      <c r="Q589" s="505"/>
      <c r="R589" s="505"/>
      <c r="S589" s="505"/>
      <c r="T589" s="505"/>
      <c r="U589" s="505"/>
      <c r="V589" s="505"/>
      <c r="W589" s="505"/>
      <c r="X589" s="505"/>
      <c r="Y589" s="505"/>
      <c r="Z589" s="505"/>
      <c r="AA589" s="505"/>
      <c r="AB589" s="505"/>
      <c r="AC589" s="505"/>
      <c r="AD589" s="505"/>
      <c r="AE589" s="505"/>
      <c r="AF589" s="505"/>
      <c r="AG589" s="505"/>
      <c r="AH589" s="505"/>
      <c r="AI589" s="505"/>
      <c r="AJ589" s="505"/>
      <c r="AK589" s="505"/>
      <c r="AL589" s="505"/>
      <c r="AM589" s="505"/>
      <c r="AN589" s="505"/>
      <c r="AO589" s="505"/>
      <c r="AP589" s="505"/>
      <c r="AQ589" s="505"/>
      <c r="AR589" s="505"/>
      <c r="AS589" s="505"/>
      <c r="AT589" s="505"/>
      <c r="AU589" s="505"/>
      <c r="AV589" s="505"/>
      <c r="AW589" s="505"/>
      <c r="AX589" s="505"/>
      <c r="AY589" s="505"/>
      <c r="AZ589" s="505"/>
      <c r="BA589" s="505"/>
      <c r="BB589" s="505"/>
      <c r="BC589" s="505"/>
      <c r="BD589" s="505"/>
      <c r="BE589" s="505"/>
      <c r="BF589" s="505"/>
      <c r="BG589" s="505"/>
      <c r="BH589" s="505"/>
      <c r="BI589" s="505"/>
      <c r="BJ589" s="505"/>
      <c r="BK589" s="505"/>
      <c r="BL589" s="505"/>
      <c r="BM589" s="505"/>
      <c r="BN589" s="505"/>
      <c r="BO589" s="505"/>
      <c r="BP589" s="505"/>
      <c r="BQ589" s="505"/>
      <c r="BR589" s="505"/>
      <c r="BS589" s="505"/>
      <c r="BT589" s="505"/>
      <c r="BU589" s="505"/>
      <c r="BV589" s="505"/>
      <c r="BW589" s="505"/>
      <c r="BX589" s="505"/>
      <c r="BY589" s="505"/>
      <c r="BZ589" s="505"/>
      <c r="CA589" s="505"/>
      <c r="CB589" s="505"/>
      <c r="CC589" s="505"/>
      <c r="CD589" s="505"/>
      <c r="CE589" s="505"/>
      <c r="CF589" s="505"/>
      <c r="CG589" s="505"/>
      <c r="CH589" s="505"/>
      <c r="CI589" s="505"/>
      <c r="CJ589" s="505"/>
      <c r="CK589" s="505"/>
      <c r="CL589" s="505"/>
      <c r="CM589" s="505"/>
      <c r="CN589" s="505"/>
      <c r="CO589" s="505"/>
      <c r="CP589" s="505"/>
      <c r="CQ589" s="505"/>
      <c r="CR589" s="505"/>
      <c r="CS589" s="505"/>
      <c r="CT589" s="505"/>
      <c r="CU589" s="505"/>
      <c r="CV589" s="505"/>
      <c r="CW589" s="505"/>
      <c r="CX589" s="505"/>
      <c r="CY589" s="505"/>
      <c r="CZ589" s="505"/>
      <c r="DA589" s="505"/>
      <c r="DB589" s="505"/>
      <c r="DC589" s="505"/>
      <c r="DD589" s="505"/>
      <c r="DE589" s="505"/>
      <c r="DF589" s="505"/>
      <c r="DG589" s="505"/>
      <c r="DH589" s="505"/>
      <c r="DI589" s="505"/>
      <c r="DJ589" s="505"/>
      <c r="DK589" s="505"/>
      <c r="DL589" s="505"/>
      <c r="DM589" s="505"/>
      <c r="DN589" s="505"/>
      <c r="DO589" s="505"/>
      <c r="DP589" s="505"/>
    </row>
    <row r="590" spans="1:120" hidden="1" outlineLevel="1" x14ac:dyDescent="0.2">
      <c r="A590" s="517">
        <f t="shared" si="79"/>
        <v>40603</v>
      </c>
      <c r="B590" s="517" t="str">
        <f t="shared" si="76"/>
        <v>1Q11</v>
      </c>
      <c r="C590" s="517" t="str">
        <f t="shared" si="80"/>
        <v>2Q11</v>
      </c>
      <c r="D590" s="518">
        <f t="shared" si="81"/>
        <v>40683</v>
      </c>
      <c r="E590" s="518">
        <f t="shared" si="81"/>
        <v>40623</v>
      </c>
      <c r="F590" s="520">
        <v>3.907</v>
      </c>
      <c r="G590" s="521">
        <f t="shared" si="77"/>
        <v>0.56000000000000028</v>
      </c>
      <c r="H590" s="521">
        <f t="shared" si="78"/>
        <v>0.56000000000000028</v>
      </c>
      <c r="I590" s="505"/>
      <c r="J590" s="505"/>
      <c r="K590" s="505"/>
      <c r="L590" s="505"/>
      <c r="M590" s="528"/>
      <c r="N590" s="505"/>
      <c r="O590" s="505"/>
      <c r="P590" s="505"/>
      <c r="Q590" s="505"/>
      <c r="R590" s="505"/>
      <c r="S590" s="505"/>
      <c r="T590" s="505"/>
      <c r="U590" s="505"/>
      <c r="V590" s="505"/>
      <c r="W590" s="505"/>
      <c r="X590" s="505"/>
      <c r="Y590" s="505"/>
      <c r="Z590" s="505"/>
      <c r="AA590" s="505"/>
      <c r="AB590" s="505"/>
      <c r="AC590" s="505"/>
      <c r="AD590" s="505"/>
      <c r="AE590" s="505"/>
      <c r="AF590" s="505"/>
      <c r="AG590" s="505"/>
      <c r="AH590" s="505"/>
      <c r="AI590" s="505"/>
      <c r="AJ590" s="505"/>
      <c r="AK590" s="505"/>
      <c r="AL590" s="505"/>
      <c r="AM590" s="505"/>
      <c r="AN590" s="505"/>
      <c r="AO590" s="505"/>
      <c r="AP590" s="505"/>
      <c r="AQ590" s="505"/>
      <c r="AR590" s="505"/>
      <c r="AS590" s="505"/>
      <c r="AT590" s="505"/>
      <c r="AU590" s="505"/>
      <c r="AV590" s="505"/>
      <c r="AW590" s="505"/>
      <c r="AX590" s="505"/>
      <c r="AY590" s="505"/>
      <c r="AZ590" s="505"/>
      <c r="BA590" s="505"/>
      <c r="BB590" s="505"/>
      <c r="BC590" s="505"/>
      <c r="BD590" s="505"/>
      <c r="BE590" s="505"/>
      <c r="BF590" s="505"/>
      <c r="BG590" s="505"/>
      <c r="BH590" s="505"/>
      <c r="BI590" s="505"/>
      <c r="BJ590" s="505"/>
      <c r="BK590" s="505"/>
      <c r="BL590" s="505"/>
      <c r="BM590" s="505"/>
      <c r="BN590" s="505"/>
      <c r="BO590" s="505"/>
      <c r="BP590" s="505"/>
      <c r="BQ590" s="505"/>
      <c r="BR590" s="505"/>
      <c r="BS590" s="505"/>
      <c r="BT590" s="505"/>
      <c r="BU590" s="505"/>
      <c r="BV590" s="505"/>
      <c r="BW590" s="505"/>
      <c r="BX590" s="505"/>
      <c r="BY590" s="505"/>
      <c r="BZ590" s="505"/>
      <c r="CA590" s="505"/>
      <c r="CB590" s="505"/>
      <c r="CC590" s="505"/>
      <c r="CD590" s="505"/>
      <c r="CE590" s="505"/>
      <c r="CF590" s="505"/>
      <c r="CG590" s="505"/>
      <c r="CH590" s="505"/>
      <c r="CI590" s="505"/>
      <c r="CJ590" s="505"/>
      <c r="CK590" s="505"/>
      <c r="CL590" s="505"/>
      <c r="CM590" s="505"/>
      <c r="CN590" s="505"/>
      <c r="CO590" s="505"/>
      <c r="CP590" s="505"/>
      <c r="CQ590" s="505"/>
      <c r="CR590" s="505"/>
      <c r="CS590" s="505"/>
      <c r="CT590" s="505"/>
      <c r="CU590" s="505"/>
      <c r="CV590" s="505"/>
      <c r="CW590" s="505"/>
      <c r="CX590" s="505"/>
      <c r="CY590" s="505"/>
      <c r="CZ590" s="505"/>
      <c r="DA590" s="505"/>
      <c r="DB590" s="505"/>
      <c r="DC590" s="505"/>
      <c r="DD590" s="505"/>
      <c r="DE590" s="505"/>
      <c r="DF590" s="505"/>
      <c r="DG590" s="505"/>
      <c r="DH590" s="505"/>
      <c r="DI590" s="505"/>
      <c r="DJ590" s="505"/>
      <c r="DK590" s="505"/>
      <c r="DL590" s="505"/>
      <c r="DM590" s="505"/>
      <c r="DN590" s="505"/>
      <c r="DO590" s="505"/>
      <c r="DP590" s="505"/>
    </row>
    <row r="591" spans="1:120" hidden="1" outlineLevel="1" x14ac:dyDescent="0.2">
      <c r="A591" s="517">
        <f t="shared" si="79"/>
        <v>40603</v>
      </c>
      <c r="B591" s="517" t="str">
        <f t="shared" si="76"/>
        <v>1Q11</v>
      </c>
      <c r="C591" s="517" t="str">
        <f t="shared" si="80"/>
        <v>2Q11</v>
      </c>
      <c r="D591" s="518">
        <f t="shared" si="81"/>
        <v>40690</v>
      </c>
      <c r="E591" s="518">
        <f t="shared" si="81"/>
        <v>40630</v>
      </c>
      <c r="F591" s="520">
        <v>3.9319999999999999</v>
      </c>
      <c r="G591" s="521">
        <f t="shared" si="77"/>
        <v>0.56000000000000028</v>
      </c>
      <c r="H591" s="521">
        <f t="shared" si="78"/>
        <v>0.57000000000000028</v>
      </c>
      <c r="I591" s="505"/>
      <c r="J591" s="505"/>
      <c r="K591" s="505"/>
      <c r="L591" s="505"/>
      <c r="M591" s="528"/>
      <c r="N591" s="505"/>
      <c r="O591" s="505"/>
      <c r="P591" s="505"/>
      <c r="Q591" s="505"/>
      <c r="R591" s="505"/>
      <c r="S591" s="505"/>
      <c r="T591" s="505"/>
      <c r="U591" s="505"/>
      <c r="V591" s="505"/>
      <c r="W591" s="505"/>
      <c r="X591" s="505"/>
      <c r="Y591" s="505"/>
      <c r="Z591" s="505"/>
      <c r="AA591" s="505"/>
      <c r="AB591" s="505"/>
      <c r="AC591" s="505"/>
      <c r="AD591" s="505"/>
      <c r="AE591" s="505"/>
      <c r="AF591" s="505"/>
      <c r="AG591" s="505"/>
      <c r="AH591" s="505"/>
      <c r="AI591" s="505"/>
      <c r="AJ591" s="505"/>
      <c r="AK591" s="505"/>
      <c r="AL591" s="505"/>
      <c r="AM591" s="505"/>
      <c r="AN591" s="505"/>
      <c r="AO591" s="505"/>
      <c r="AP591" s="505"/>
      <c r="AQ591" s="505"/>
      <c r="AR591" s="505"/>
      <c r="AS591" s="505"/>
      <c r="AT591" s="505"/>
      <c r="AU591" s="505"/>
      <c r="AV591" s="505"/>
      <c r="AW591" s="505"/>
      <c r="AX591" s="505"/>
      <c r="AY591" s="505"/>
      <c r="AZ591" s="505"/>
      <c r="BA591" s="505"/>
      <c r="BB591" s="505"/>
      <c r="BC591" s="505"/>
      <c r="BD591" s="505"/>
      <c r="BE591" s="505"/>
      <c r="BF591" s="505"/>
      <c r="BG591" s="505"/>
      <c r="BH591" s="505"/>
      <c r="BI591" s="505"/>
      <c r="BJ591" s="505"/>
      <c r="BK591" s="505"/>
      <c r="BL591" s="505"/>
      <c r="BM591" s="505"/>
      <c r="BN591" s="505"/>
      <c r="BO591" s="505"/>
      <c r="BP591" s="505"/>
      <c r="BQ591" s="505"/>
      <c r="BR591" s="505"/>
      <c r="BS591" s="505"/>
      <c r="BT591" s="505"/>
      <c r="BU591" s="505"/>
      <c r="BV591" s="505"/>
      <c r="BW591" s="505"/>
      <c r="BX591" s="505"/>
      <c r="BY591" s="505"/>
      <c r="BZ591" s="505"/>
      <c r="CA591" s="505"/>
      <c r="CB591" s="505"/>
      <c r="CC591" s="505"/>
      <c r="CD591" s="505"/>
      <c r="CE591" s="505"/>
      <c r="CF591" s="505"/>
      <c r="CG591" s="505"/>
      <c r="CH591" s="505"/>
      <c r="CI591" s="505"/>
      <c r="CJ591" s="505"/>
      <c r="CK591" s="505"/>
      <c r="CL591" s="505"/>
      <c r="CM591" s="505"/>
      <c r="CN591" s="505"/>
      <c r="CO591" s="505"/>
      <c r="CP591" s="505"/>
      <c r="CQ591" s="505"/>
      <c r="CR591" s="505"/>
      <c r="CS591" s="505"/>
      <c r="CT591" s="505"/>
      <c r="CU591" s="505"/>
      <c r="CV591" s="505"/>
      <c r="CW591" s="505"/>
      <c r="CX591" s="505"/>
      <c r="CY591" s="505"/>
      <c r="CZ591" s="505"/>
      <c r="DA591" s="505"/>
      <c r="DB591" s="505"/>
      <c r="DC591" s="505"/>
      <c r="DD591" s="505"/>
      <c r="DE591" s="505"/>
      <c r="DF591" s="505"/>
      <c r="DG591" s="505"/>
      <c r="DH591" s="505"/>
      <c r="DI591" s="505"/>
      <c r="DJ591" s="505"/>
      <c r="DK591" s="505"/>
      <c r="DL591" s="505"/>
      <c r="DM591" s="505"/>
      <c r="DN591" s="505"/>
      <c r="DO591" s="505"/>
      <c r="DP591" s="505"/>
    </row>
    <row r="592" spans="1:120" hidden="1" outlineLevel="1" x14ac:dyDescent="0.2">
      <c r="A592" s="517">
        <f t="shared" si="79"/>
        <v>40634</v>
      </c>
      <c r="B592" s="517" t="str">
        <f t="shared" si="76"/>
        <v>2Q11</v>
      </c>
      <c r="C592" s="517" t="str">
        <f t="shared" si="80"/>
        <v>2Q11</v>
      </c>
      <c r="D592" s="518">
        <f t="shared" si="81"/>
        <v>40697</v>
      </c>
      <c r="E592" s="518">
        <f t="shared" si="81"/>
        <v>40637</v>
      </c>
      <c r="F592" s="520">
        <v>3.976</v>
      </c>
      <c r="G592" s="521">
        <f t="shared" si="77"/>
        <v>0.57000000000000028</v>
      </c>
      <c r="H592" s="521">
        <f t="shared" si="78"/>
        <v>0.5900000000000003</v>
      </c>
      <c r="I592" s="505"/>
      <c r="J592" s="505"/>
      <c r="K592" s="505"/>
      <c r="L592" s="505"/>
      <c r="M592" s="528"/>
      <c r="N592" s="505"/>
      <c r="O592" s="505"/>
      <c r="P592" s="505"/>
      <c r="Q592" s="505"/>
      <c r="R592" s="505"/>
      <c r="S592" s="505"/>
      <c r="T592" s="505"/>
      <c r="U592" s="505"/>
      <c r="V592" s="505"/>
      <c r="W592" s="505"/>
      <c r="X592" s="505"/>
      <c r="Y592" s="505"/>
      <c r="Z592" s="505"/>
      <c r="AA592" s="505"/>
      <c r="AB592" s="505"/>
      <c r="AC592" s="505"/>
      <c r="AD592" s="505"/>
      <c r="AE592" s="505"/>
      <c r="AF592" s="505"/>
      <c r="AG592" s="505"/>
      <c r="AH592" s="505"/>
      <c r="AI592" s="505"/>
      <c r="AJ592" s="505"/>
      <c r="AK592" s="505"/>
      <c r="AL592" s="505"/>
      <c r="AM592" s="505"/>
      <c r="AN592" s="505"/>
      <c r="AO592" s="505"/>
      <c r="AP592" s="505"/>
      <c r="AQ592" s="505"/>
      <c r="AR592" s="505"/>
      <c r="AS592" s="505"/>
      <c r="AT592" s="505"/>
      <c r="AU592" s="505"/>
      <c r="AV592" s="505"/>
      <c r="AW592" s="505"/>
      <c r="AX592" s="505"/>
      <c r="AY592" s="505"/>
      <c r="AZ592" s="505"/>
      <c r="BA592" s="505"/>
      <c r="BB592" s="505"/>
      <c r="BC592" s="505"/>
      <c r="BD592" s="505"/>
      <c r="BE592" s="505"/>
      <c r="BF592" s="505"/>
      <c r="BG592" s="505"/>
      <c r="BH592" s="505"/>
      <c r="BI592" s="505"/>
      <c r="BJ592" s="505"/>
      <c r="BK592" s="505"/>
      <c r="BL592" s="505"/>
      <c r="BM592" s="505"/>
      <c r="BN592" s="505"/>
      <c r="BO592" s="505"/>
      <c r="BP592" s="505"/>
      <c r="BQ592" s="505"/>
      <c r="BR592" s="505"/>
      <c r="BS592" s="505"/>
      <c r="BT592" s="505"/>
      <c r="BU592" s="505"/>
      <c r="BV592" s="505"/>
      <c r="BW592" s="505"/>
      <c r="BX592" s="505"/>
      <c r="BY592" s="505"/>
      <c r="BZ592" s="505"/>
      <c r="CA592" s="505"/>
      <c r="CB592" s="505"/>
      <c r="CC592" s="505"/>
      <c r="CD592" s="505"/>
      <c r="CE592" s="505"/>
      <c r="CF592" s="505"/>
      <c r="CG592" s="505"/>
      <c r="CH592" s="505"/>
      <c r="CI592" s="505"/>
      <c r="CJ592" s="505"/>
      <c r="CK592" s="505"/>
      <c r="CL592" s="505"/>
      <c r="CM592" s="505"/>
      <c r="CN592" s="505"/>
      <c r="CO592" s="505"/>
      <c r="CP592" s="505"/>
      <c r="CQ592" s="505"/>
      <c r="CR592" s="505"/>
      <c r="CS592" s="505"/>
      <c r="CT592" s="505"/>
      <c r="CU592" s="505"/>
      <c r="CV592" s="505"/>
      <c r="CW592" s="505"/>
      <c r="CX592" s="505"/>
      <c r="CY592" s="505"/>
      <c r="CZ592" s="505"/>
      <c r="DA592" s="505"/>
      <c r="DB592" s="505"/>
      <c r="DC592" s="505"/>
      <c r="DD592" s="505"/>
      <c r="DE592" s="505"/>
      <c r="DF592" s="505"/>
      <c r="DG592" s="505"/>
      <c r="DH592" s="505"/>
      <c r="DI592" s="505"/>
      <c r="DJ592" s="505"/>
      <c r="DK592" s="505"/>
      <c r="DL592" s="505"/>
      <c r="DM592" s="505"/>
      <c r="DN592" s="505"/>
      <c r="DO592" s="505"/>
      <c r="DP592" s="505"/>
    </row>
    <row r="593" spans="1:120" hidden="1" outlineLevel="1" x14ac:dyDescent="0.2">
      <c r="A593" s="517">
        <f t="shared" si="79"/>
        <v>40634</v>
      </c>
      <c r="B593" s="517" t="str">
        <f t="shared" si="76"/>
        <v>2Q11</v>
      </c>
      <c r="C593" s="517" t="str">
        <f t="shared" si="80"/>
        <v>2Q11</v>
      </c>
      <c r="D593" s="518">
        <f t="shared" si="81"/>
        <v>40704</v>
      </c>
      <c r="E593" s="518">
        <f t="shared" si="81"/>
        <v>40644</v>
      </c>
      <c r="F593" s="520">
        <v>4.0780000000000003</v>
      </c>
      <c r="G593" s="521">
        <f t="shared" si="77"/>
        <v>0.5900000000000003</v>
      </c>
      <c r="H593" s="521">
        <f t="shared" si="78"/>
        <v>0.60000000000000031</v>
      </c>
      <c r="I593" s="505"/>
      <c r="J593" s="505"/>
      <c r="K593" s="505"/>
      <c r="L593" s="505"/>
      <c r="M593" s="528"/>
      <c r="N593" s="505"/>
      <c r="O593" s="505"/>
      <c r="P593" s="505"/>
      <c r="Q593" s="505"/>
      <c r="R593" s="505"/>
      <c r="S593" s="505"/>
      <c r="T593" s="505"/>
      <c r="U593" s="505"/>
      <c r="V593" s="505"/>
      <c r="W593" s="505"/>
      <c r="X593" s="505"/>
      <c r="Y593" s="505"/>
      <c r="Z593" s="505"/>
      <c r="AA593" s="505"/>
      <c r="AB593" s="505"/>
      <c r="AC593" s="505"/>
      <c r="AD593" s="505"/>
      <c r="AE593" s="505"/>
      <c r="AF593" s="505"/>
      <c r="AG593" s="505"/>
      <c r="AH593" s="505"/>
      <c r="AI593" s="505"/>
      <c r="AJ593" s="505"/>
      <c r="AK593" s="505"/>
      <c r="AL593" s="505"/>
      <c r="AM593" s="505"/>
      <c r="AN593" s="505"/>
      <c r="AO593" s="505"/>
      <c r="AP593" s="505"/>
      <c r="AQ593" s="505"/>
      <c r="AR593" s="505"/>
      <c r="AS593" s="505"/>
      <c r="AT593" s="505"/>
      <c r="AU593" s="505"/>
      <c r="AV593" s="505"/>
      <c r="AW593" s="505"/>
      <c r="AX593" s="505"/>
      <c r="AY593" s="505"/>
      <c r="AZ593" s="505"/>
      <c r="BA593" s="505"/>
      <c r="BB593" s="505"/>
      <c r="BC593" s="505"/>
      <c r="BD593" s="505"/>
      <c r="BE593" s="505"/>
      <c r="BF593" s="505"/>
      <c r="BG593" s="505"/>
      <c r="BH593" s="505"/>
      <c r="BI593" s="505"/>
      <c r="BJ593" s="505"/>
      <c r="BK593" s="505"/>
      <c r="BL593" s="505"/>
      <c r="BM593" s="505"/>
      <c r="BN593" s="505"/>
      <c r="BO593" s="505"/>
      <c r="BP593" s="505"/>
      <c r="BQ593" s="505"/>
      <c r="BR593" s="505"/>
      <c r="BS593" s="505"/>
      <c r="BT593" s="505"/>
      <c r="BU593" s="505"/>
      <c r="BV593" s="505"/>
      <c r="BW593" s="505"/>
      <c r="BX593" s="505"/>
      <c r="BY593" s="505"/>
      <c r="BZ593" s="505"/>
      <c r="CA593" s="505"/>
      <c r="CB593" s="505"/>
      <c r="CC593" s="505"/>
      <c r="CD593" s="505"/>
      <c r="CE593" s="505"/>
      <c r="CF593" s="505"/>
      <c r="CG593" s="505"/>
      <c r="CH593" s="505"/>
      <c r="CI593" s="505"/>
      <c r="CJ593" s="505"/>
      <c r="CK593" s="505"/>
      <c r="CL593" s="505"/>
      <c r="CM593" s="505"/>
      <c r="CN593" s="505"/>
      <c r="CO593" s="505"/>
      <c r="CP593" s="505"/>
      <c r="CQ593" s="505"/>
      <c r="CR593" s="505"/>
      <c r="CS593" s="505"/>
      <c r="CT593" s="505"/>
      <c r="CU593" s="505"/>
      <c r="CV593" s="505"/>
      <c r="CW593" s="505"/>
      <c r="CX593" s="505"/>
      <c r="CY593" s="505"/>
      <c r="CZ593" s="505"/>
      <c r="DA593" s="505"/>
      <c r="DB593" s="505"/>
      <c r="DC593" s="505"/>
      <c r="DD593" s="505"/>
      <c r="DE593" s="505"/>
      <c r="DF593" s="505"/>
      <c r="DG593" s="505"/>
      <c r="DH593" s="505"/>
      <c r="DI593" s="505"/>
      <c r="DJ593" s="505"/>
      <c r="DK593" s="505"/>
      <c r="DL593" s="505"/>
      <c r="DM593" s="505"/>
      <c r="DN593" s="505"/>
      <c r="DO593" s="505"/>
      <c r="DP593" s="505"/>
    </row>
    <row r="594" spans="1:120" hidden="1" outlineLevel="1" x14ac:dyDescent="0.2">
      <c r="A594" s="517">
        <f t="shared" si="79"/>
        <v>40634</v>
      </c>
      <c r="B594" s="517" t="str">
        <f t="shared" si="76"/>
        <v>2Q11</v>
      </c>
      <c r="C594" s="517" t="str">
        <f t="shared" si="80"/>
        <v>2Q11</v>
      </c>
      <c r="D594" s="518">
        <f t="shared" si="81"/>
        <v>40711</v>
      </c>
      <c r="E594" s="518">
        <f t="shared" si="81"/>
        <v>40651</v>
      </c>
      <c r="F594" s="520">
        <v>4.1050000000000004</v>
      </c>
      <c r="G594" s="521">
        <f t="shared" si="77"/>
        <v>0.60000000000000031</v>
      </c>
      <c r="H594" s="521">
        <f t="shared" si="78"/>
        <v>0.5900000000000003</v>
      </c>
      <c r="I594" s="505"/>
      <c r="J594" s="505"/>
      <c r="K594" s="505"/>
      <c r="L594" s="505"/>
      <c r="M594" s="528"/>
      <c r="N594" s="505"/>
      <c r="O594" s="505"/>
      <c r="P594" s="505"/>
      <c r="Q594" s="505"/>
      <c r="R594" s="505"/>
      <c r="S594" s="505"/>
      <c r="T594" s="505"/>
      <c r="U594" s="505"/>
      <c r="V594" s="505"/>
      <c r="W594" s="505"/>
      <c r="X594" s="505"/>
      <c r="Y594" s="505"/>
      <c r="Z594" s="505"/>
      <c r="AA594" s="505"/>
      <c r="AB594" s="505"/>
      <c r="AC594" s="505"/>
      <c r="AD594" s="505"/>
      <c r="AE594" s="505"/>
      <c r="AF594" s="505"/>
      <c r="AG594" s="505"/>
      <c r="AH594" s="505"/>
      <c r="AI594" s="505"/>
      <c r="AJ594" s="505"/>
      <c r="AK594" s="505"/>
      <c r="AL594" s="505"/>
      <c r="AM594" s="505"/>
      <c r="AN594" s="505"/>
      <c r="AO594" s="505"/>
      <c r="AP594" s="505"/>
      <c r="AQ594" s="505"/>
      <c r="AR594" s="505"/>
      <c r="AS594" s="505"/>
      <c r="AT594" s="505"/>
      <c r="AU594" s="505"/>
      <c r="AV594" s="505"/>
      <c r="AW594" s="505"/>
      <c r="AX594" s="505"/>
      <c r="AY594" s="505"/>
      <c r="AZ594" s="505"/>
      <c r="BA594" s="505"/>
      <c r="BB594" s="505"/>
      <c r="BC594" s="505"/>
      <c r="BD594" s="505"/>
      <c r="BE594" s="505"/>
      <c r="BF594" s="505"/>
      <c r="BG594" s="505"/>
      <c r="BH594" s="505"/>
      <c r="BI594" s="505"/>
      <c r="BJ594" s="505"/>
      <c r="BK594" s="505"/>
      <c r="BL594" s="505"/>
      <c r="BM594" s="505"/>
      <c r="BN594" s="505"/>
      <c r="BO594" s="505"/>
      <c r="BP594" s="505"/>
      <c r="BQ594" s="505"/>
      <c r="BR594" s="505"/>
      <c r="BS594" s="505"/>
      <c r="BT594" s="505"/>
      <c r="BU594" s="505"/>
      <c r="BV594" s="505"/>
      <c r="BW594" s="505"/>
      <c r="BX594" s="505"/>
      <c r="BY594" s="505"/>
      <c r="BZ594" s="505"/>
      <c r="CA594" s="505"/>
      <c r="CB594" s="505"/>
      <c r="CC594" s="505"/>
      <c r="CD594" s="505"/>
      <c r="CE594" s="505"/>
      <c r="CF594" s="505"/>
      <c r="CG594" s="505"/>
      <c r="CH594" s="505"/>
      <c r="CI594" s="505"/>
      <c r="CJ594" s="505"/>
      <c r="CK594" s="505"/>
      <c r="CL594" s="505"/>
      <c r="CM594" s="505"/>
      <c r="CN594" s="505"/>
      <c r="CO594" s="505"/>
      <c r="CP594" s="505"/>
      <c r="CQ594" s="505"/>
      <c r="CR594" s="505"/>
      <c r="CS594" s="505"/>
      <c r="CT594" s="505"/>
      <c r="CU594" s="505"/>
      <c r="CV594" s="505"/>
      <c r="CW594" s="505"/>
      <c r="CX594" s="505"/>
      <c r="CY594" s="505"/>
      <c r="CZ594" s="505"/>
      <c r="DA594" s="505"/>
      <c r="DB594" s="505"/>
      <c r="DC594" s="505"/>
      <c r="DD594" s="505"/>
      <c r="DE594" s="505"/>
      <c r="DF594" s="505"/>
      <c r="DG594" s="505"/>
      <c r="DH594" s="505"/>
      <c r="DI594" s="505"/>
      <c r="DJ594" s="505"/>
      <c r="DK594" s="505"/>
      <c r="DL594" s="505"/>
      <c r="DM594" s="505"/>
      <c r="DN594" s="505"/>
      <c r="DO594" s="505"/>
      <c r="DP594" s="505"/>
    </row>
    <row r="595" spans="1:120" hidden="1" outlineLevel="1" x14ac:dyDescent="0.2">
      <c r="A595" s="517">
        <f t="shared" si="79"/>
        <v>40634</v>
      </c>
      <c r="B595" s="517" t="str">
        <f t="shared" si="76"/>
        <v>2Q11</v>
      </c>
      <c r="C595" s="517" t="str">
        <f t="shared" si="80"/>
        <v>2Q11</v>
      </c>
      <c r="D595" s="518">
        <f t="shared" si="81"/>
        <v>40718</v>
      </c>
      <c r="E595" s="518">
        <f t="shared" si="81"/>
        <v>40658</v>
      </c>
      <c r="F595" s="520">
        <v>4.0979999999999999</v>
      </c>
      <c r="G595" s="521">
        <f t="shared" si="77"/>
        <v>0.5900000000000003</v>
      </c>
      <c r="H595" s="521">
        <f t="shared" si="78"/>
        <v>0.60000000000000031</v>
      </c>
      <c r="I595" s="505"/>
      <c r="J595" s="505"/>
      <c r="K595" s="505"/>
      <c r="L595" s="505"/>
      <c r="M595" s="528"/>
      <c r="N595" s="505"/>
      <c r="O595" s="505"/>
      <c r="P595" s="505"/>
      <c r="Q595" s="505"/>
      <c r="R595" s="505"/>
      <c r="S595" s="505"/>
      <c r="T595" s="505"/>
      <c r="U595" s="505"/>
      <c r="V595" s="505"/>
      <c r="W595" s="505"/>
      <c r="X595" s="505"/>
      <c r="Y595" s="505"/>
      <c r="Z595" s="505"/>
      <c r="AA595" s="505"/>
      <c r="AB595" s="505"/>
      <c r="AC595" s="505"/>
      <c r="AD595" s="505"/>
      <c r="AE595" s="505"/>
      <c r="AF595" s="505"/>
      <c r="AG595" s="505"/>
      <c r="AH595" s="505"/>
      <c r="AI595" s="505"/>
      <c r="AJ595" s="505"/>
      <c r="AK595" s="505"/>
      <c r="AL595" s="505"/>
      <c r="AM595" s="505"/>
      <c r="AN595" s="505"/>
      <c r="AO595" s="505"/>
      <c r="AP595" s="505"/>
      <c r="AQ595" s="505"/>
      <c r="AR595" s="505"/>
      <c r="AS595" s="505"/>
      <c r="AT595" s="505"/>
      <c r="AU595" s="505"/>
      <c r="AV595" s="505"/>
      <c r="AW595" s="505"/>
      <c r="AX595" s="505"/>
      <c r="AY595" s="505"/>
      <c r="AZ595" s="505"/>
      <c r="BA595" s="505"/>
      <c r="BB595" s="505"/>
      <c r="BC595" s="505"/>
      <c r="BD595" s="505"/>
      <c r="BE595" s="505"/>
      <c r="BF595" s="505"/>
      <c r="BG595" s="505"/>
      <c r="BH595" s="505"/>
      <c r="BI595" s="505"/>
      <c r="BJ595" s="505"/>
      <c r="BK595" s="505"/>
      <c r="BL595" s="505"/>
      <c r="BM595" s="505"/>
      <c r="BN595" s="505"/>
      <c r="BO595" s="505"/>
      <c r="BP595" s="505"/>
      <c r="BQ595" s="505"/>
      <c r="BR595" s="505"/>
      <c r="BS595" s="505"/>
      <c r="BT595" s="505"/>
      <c r="BU595" s="505"/>
      <c r="BV595" s="505"/>
      <c r="BW595" s="505"/>
      <c r="BX595" s="505"/>
      <c r="BY595" s="505"/>
      <c r="BZ595" s="505"/>
      <c r="CA595" s="505"/>
      <c r="CB595" s="505"/>
      <c r="CC595" s="505"/>
      <c r="CD595" s="505"/>
      <c r="CE595" s="505"/>
      <c r="CF595" s="505"/>
      <c r="CG595" s="505"/>
      <c r="CH595" s="505"/>
      <c r="CI595" s="505"/>
      <c r="CJ595" s="505"/>
      <c r="CK595" s="505"/>
      <c r="CL595" s="505"/>
      <c r="CM595" s="505"/>
      <c r="CN595" s="505"/>
      <c r="CO595" s="505"/>
      <c r="CP595" s="505"/>
      <c r="CQ595" s="505"/>
      <c r="CR595" s="505"/>
      <c r="CS595" s="505"/>
      <c r="CT595" s="505"/>
      <c r="CU595" s="505"/>
      <c r="CV595" s="505"/>
      <c r="CW595" s="505"/>
      <c r="CX595" s="505"/>
      <c r="CY595" s="505"/>
      <c r="CZ595" s="505"/>
      <c r="DA595" s="505"/>
      <c r="DB595" s="505"/>
      <c r="DC595" s="505"/>
      <c r="DD595" s="505"/>
      <c r="DE595" s="505"/>
      <c r="DF595" s="505"/>
      <c r="DG595" s="505"/>
      <c r="DH595" s="505"/>
      <c r="DI595" s="505"/>
      <c r="DJ595" s="505"/>
      <c r="DK595" s="505"/>
      <c r="DL595" s="505"/>
      <c r="DM595" s="505"/>
      <c r="DN595" s="505"/>
      <c r="DO595" s="505"/>
      <c r="DP595" s="505"/>
    </row>
    <row r="596" spans="1:120" hidden="1" outlineLevel="1" x14ac:dyDescent="0.2">
      <c r="A596" s="517">
        <f t="shared" si="79"/>
        <v>40664</v>
      </c>
      <c r="B596" s="517" t="str">
        <f t="shared" si="76"/>
        <v>2Q11</v>
      </c>
      <c r="C596" s="517" t="str">
        <f t="shared" si="80"/>
        <v>3Q11</v>
      </c>
      <c r="D596" s="518">
        <f t="shared" si="81"/>
        <v>40725</v>
      </c>
      <c r="E596" s="518">
        <f t="shared" si="81"/>
        <v>40665</v>
      </c>
      <c r="F596" s="520">
        <v>4.1239999999999997</v>
      </c>
      <c r="G596" s="521">
        <f t="shared" si="77"/>
        <v>0.60000000000000031</v>
      </c>
      <c r="H596" s="521">
        <f t="shared" si="78"/>
        <v>0.60000000000000031</v>
      </c>
      <c r="I596" s="505"/>
      <c r="J596" s="505"/>
      <c r="K596" s="505"/>
      <c r="L596" s="505"/>
      <c r="M596" s="528"/>
      <c r="N596" s="505"/>
      <c r="O596" s="505"/>
      <c r="P596" s="505"/>
      <c r="Q596" s="505"/>
      <c r="R596" s="505"/>
      <c r="S596" s="505"/>
      <c r="T596" s="505"/>
      <c r="U596" s="505"/>
      <c r="V596" s="505"/>
      <c r="W596" s="505"/>
      <c r="X596" s="505"/>
      <c r="Y596" s="505"/>
      <c r="Z596" s="505"/>
      <c r="AA596" s="505"/>
      <c r="AB596" s="505"/>
      <c r="AC596" s="505"/>
      <c r="AD596" s="505"/>
      <c r="AE596" s="505"/>
      <c r="AF596" s="505"/>
      <c r="AG596" s="505"/>
      <c r="AH596" s="505"/>
      <c r="AI596" s="505"/>
      <c r="AJ596" s="505"/>
      <c r="AK596" s="505"/>
      <c r="AL596" s="505"/>
      <c r="AM596" s="505"/>
      <c r="AN596" s="505"/>
      <c r="AO596" s="505"/>
      <c r="AP596" s="505"/>
      <c r="AQ596" s="505"/>
      <c r="AR596" s="505"/>
      <c r="AS596" s="505"/>
      <c r="AT596" s="505"/>
      <c r="AU596" s="505"/>
      <c r="AV596" s="505"/>
      <c r="AW596" s="505"/>
      <c r="AX596" s="505"/>
      <c r="AY596" s="505"/>
      <c r="AZ596" s="505"/>
      <c r="BA596" s="505"/>
      <c r="BB596" s="505"/>
      <c r="BC596" s="505"/>
      <c r="BD596" s="505"/>
      <c r="BE596" s="505"/>
      <c r="BF596" s="505"/>
      <c r="BG596" s="505"/>
      <c r="BH596" s="505"/>
      <c r="BI596" s="505"/>
      <c r="BJ596" s="505"/>
      <c r="BK596" s="505"/>
      <c r="BL596" s="505"/>
      <c r="BM596" s="505"/>
      <c r="BN596" s="505"/>
      <c r="BO596" s="505"/>
      <c r="BP596" s="505"/>
      <c r="BQ596" s="505"/>
      <c r="BR596" s="505"/>
      <c r="BS596" s="505"/>
      <c r="BT596" s="505"/>
      <c r="BU596" s="505"/>
      <c r="BV596" s="505"/>
      <c r="BW596" s="505"/>
      <c r="BX596" s="505"/>
      <c r="BY596" s="505"/>
      <c r="BZ596" s="505"/>
      <c r="CA596" s="505"/>
      <c r="CB596" s="505"/>
      <c r="CC596" s="505"/>
      <c r="CD596" s="505"/>
      <c r="CE596" s="505"/>
      <c r="CF596" s="505"/>
      <c r="CG596" s="505"/>
      <c r="CH596" s="505"/>
      <c r="CI596" s="505"/>
      <c r="CJ596" s="505"/>
      <c r="CK596" s="505"/>
      <c r="CL596" s="505"/>
      <c r="CM596" s="505"/>
      <c r="CN596" s="505"/>
      <c r="CO596" s="505"/>
      <c r="CP596" s="505"/>
      <c r="CQ596" s="505"/>
      <c r="CR596" s="505"/>
      <c r="CS596" s="505"/>
      <c r="CT596" s="505"/>
      <c r="CU596" s="505"/>
      <c r="CV596" s="505"/>
      <c r="CW596" s="505"/>
      <c r="CX596" s="505"/>
      <c r="CY596" s="505"/>
      <c r="CZ596" s="505"/>
      <c r="DA596" s="505"/>
      <c r="DB596" s="505"/>
      <c r="DC596" s="505"/>
      <c r="DD596" s="505"/>
      <c r="DE596" s="505"/>
      <c r="DF596" s="505"/>
      <c r="DG596" s="505"/>
      <c r="DH596" s="505"/>
      <c r="DI596" s="505"/>
      <c r="DJ596" s="505"/>
      <c r="DK596" s="505"/>
      <c r="DL596" s="505"/>
      <c r="DM596" s="505"/>
      <c r="DN596" s="505"/>
      <c r="DO596" s="505"/>
      <c r="DP596" s="505"/>
    </row>
    <row r="597" spans="1:120" hidden="1" outlineLevel="1" x14ac:dyDescent="0.2">
      <c r="A597" s="517">
        <f t="shared" si="79"/>
        <v>40664</v>
      </c>
      <c r="B597" s="517" t="str">
        <f t="shared" si="76"/>
        <v>2Q11</v>
      </c>
      <c r="C597" s="517" t="str">
        <f t="shared" si="80"/>
        <v>3Q11</v>
      </c>
      <c r="D597" s="518">
        <f t="shared" si="81"/>
        <v>40732</v>
      </c>
      <c r="E597" s="518">
        <f t="shared" si="81"/>
        <v>40672</v>
      </c>
      <c r="F597" s="520">
        <v>4.1040000000000001</v>
      </c>
      <c r="G597" s="521">
        <f t="shared" si="77"/>
        <v>0.60000000000000031</v>
      </c>
      <c r="H597" s="521">
        <f t="shared" si="78"/>
        <v>0.5900000000000003</v>
      </c>
      <c r="I597" s="505"/>
      <c r="J597" s="505"/>
      <c r="K597" s="505"/>
      <c r="L597" s="505"/>
      <c r="M597" s="528"/>
      <c r="N597" s="505"/>
      <c r="O597" s="505"/>
      <c r="P597" s="505"/>
      <c r="Q597" s="505"/>
      <c r="R597" s="505"/>
      <c r="S597" s="505"/>
      <c r="T597" s="505"/>
      <c r="U597" s="505"/>
      <c r="V597" s="505"/>
      <c r="W597" s="505"/>
      <c r="X597" s="505"/>
      <c r="Y597" s="505"/>
      <c r="Z597" s="505"/>
      <c r="AA597" s="505"/>
      <c r="AB597" s="505"/>
      <c r="AC597" s="505"/>
      <c r="AD597" s="505"/>
      <c r="AE597" s="505"/>
      <c r="AF597" s="505"/>
      <c r="AG597" s="505"/>
      <c r="AH597" s="505"/>
      <c r="AI597" s="505"/>
      <c r="AJ597" s="505"/>
      <c r="AK597" s="505"/>
      <c r="AL597" s="505"/>
      <c r="AM597" s="505"/>
      <c r="AN597" s="505"/>
      <c r="AO597" s="505"/>
      <c r="AP597" s="505"/>
      <c r="AQ597" s="505"/>
      <c r="AR597" s="505"/>
      <c r="AS597" s="505"/>
      <c r="AT597" s="505"/>
      <c r="AU597" s="505"/>
      <c r="AV597" s="505"/>
      <c r="AW597" s="505"/>
      <c r="AX597" s="505"/>
      <c r="AY597" s="505"/>
      <c r="AZ597" s="505"/>
      <c r="BA597" s="505"/>
      <c r="BB597" s="505"/>
      <c r="BC597" s="505"/>
      <c r="BD597" s="505"/>
      <c r="BE597" s="505"/>
      <c r="BF597" s="505"/>
      <c r="BG597" s="505"/>
      <c r="BH597" s="505"/>
      <c r="BI597" s="505"/>
      <c r="BJ597" s="505"/>
      <c r="BK597" s="505"/>
      <c r="BL597" s="505"/>
      <c r="BM597" s="505"/>
      <c r="BN597" s="505"/>
      <c r="BO597" s="505"/>
      <c r="BP597" s="505"/>
      <c r="BQ597" s="505"/>
      <c r="BR597" s="505"/>
      <c r="BS597" s="505"/>
      <c r="BT597" s="505"/>
      <c r="BU597" s="505"/>
      <c r="BV597" s="505"/>
      <c r="BW597" s="505"/>
      <c r="BX597" s="505"/>
      <c r="BY597" s="505"/>
      <c r="BZ597" s="505"/>
      <c r="CA597" s="505"/>
      <c r="CB597" s="505"/>
      <c r="CC597" s="505"/>
      <c r="CD597" s="505"/>
      <c r="CE597" s="505"/>
      <c r="CF597" s="505"/>
      <c r="CG597" s="505"/>
      <c r="CH597" s="505"/>
      <c r="CI597" s="505"/>
      <c r="CJ597" s="505"/>
      <c r="CK597" s="505"/>
      <c r="CL597" s="505"/>
      <c r="CM597" s="505"/>
      <c r="CN597" s="505"/>
      <c r="CO597" s="505"/>
      <c r="CP597" s="505"/>
      <c r="CQ597" s="505"/>
      <c r="CR597" s="505"/>
      <c r="CS597" s="505"/>
      <c r="CT597" s="505"/>
      <c r="CU597" s="505"/>
      <c r="CV597" s="505"/>
      <c r="CW597" s="505"/>
      <c r="CX597" s="505"/>
      <c r="CY597" s="505"/>
      <c r="CZ597" s="505"/>
      <c r="DA597" s="505"/>
      <c r="DB597" s="505"/>
      <c r="DC597" s="505"/>
      <c r="DD597" s="505"/>
      <c r="DE597" s="505"/>
      <c r="DF597" s="505"/>
      <c r="DG597" s="505"/>
      <c r="DH597" s="505"/>
      <c r="DI597" s="505"/>
      <c r="DJ597" s="505"/>
      <c r="DK597" s="505"/>
      <c r="DL597" s="505"/>
      <c r="DM597" s="505"/>
      <c r="DN597" s="505"/>
      <c r="DO597" s="505"/>
      <c r="DP597" s="505"/>
    </row>
    <row r="598" spans="1:120" hidden="1" outlineLevel="1" x14ac:dyDescent="0.2">
      <c r="A598" s="517">
        <f t="shared" si="79"/>
        <v>40664</v>
      </c>
      <c r="B598" s="517" t="str">
        <f t="shared" si="76"/>
        <v>2Q11</v>
      </c>
      <c r="C598" s="517" t="str">
        <f t="shared" si="80"/>
        <v>3Q11</v>
      </c>
      <c r="D598" s="518">
        <f t="shared" si="81"/>
        <v>40739</v>
      </c>
      <c r="E598" s="518">
        <f t="shared" si="81"/>
        <v>40679</v>
      </c>
      <c r="F598" s="520">
        <v>4.0609999999999999</v>
      </c>
      <c r="G598" s="521">
        <f t="shared" si="77"/>
        <v>0.5900000000000003</v>
      </c>
      <c r="H598" s="521">
        <f t="shared" si="78"/>
        <v>0.57000000000000028</v>
      </c>
      <c r="I598" s="505"/>
      <c r="J598" s="505"/>
      <c r="K598" s="505"/>
      <c r="L598" s="505"/>
      <c r="M598" s="528"/>
      <c r="N598" s="505"/>
      <c r="O598" s="505"/>
      <c r="P598" s="505"/>
      <c r="Q598" s="505"/>
      <c r="R598" s="505"/>
      <c r="S598" s="505"/>
      <c r="T598" s="505"/>
      <c r="U598" s="505"/>
      <c r="V598" s="505"/>
      <c r="W598" s="505"/>
      <c r="X598" s="505"/>
      <c r="Y598" s="505"/>
      <c r="Z598" s="505"/>
      <c r="AA598" s="505"/>
      <c r="AB598" s="505"/>
      <c r="AC598" s="505"/>
      <c r="AD598" s="505"/>
      <c r="AE598" s="505"/>
      <c r="AF598" s="505"/>
      <c r="AG598" s="505"/>
      <c r="AH598" s="505"/>
      <c r="AI598" s="505"/>
      <c r="AJ598" s="505"/>
      <c r="AK598" s="505"/>
      <c r="AL598" s="505"/>
      <c r="AM598" s="505"/>
      <c r="AN598" s="505"/>
      <c r="AO598" s="505"/>
      <c r="AP598" s="505"/>
      <c r="AQ598" s="505"/>
      <c r="AR598" s="505"/>
      <c r="AS598" s="505"/>
      <c r="AT598" s="505"/>
      <c r="AU598" s="505"/>
      <c r="AV598" s="505"/>
      <c r="AW598" s="505"/>
      <c r="AX598" s="505"/>
      <c r="AY598" s="505"/>
      <c r="AZ598" s="505"/>
      <c r="BA598" s="505"/>
      <c r="BB598" s="505"/>
      <c r="BC598" s="505"/>
      <c r="BD598" s="505"/>
      <c r="BE598" s="505"/>
      <c r="BF598" s="505"/>
      <c r="BG598" s="505"/>
      <c r="BH598" s="505"/>
      <c r="BI598" s="505"/>
      <c r="BJ598" s="505"/>
      <c r="BK598" s="505"/>
      <c r="BL598" s="505"/>
      <c r="BM598" s="505"/>
      <c r="BN598" s="505"/>
      <c r="BO598" s="505"/>
      <c r="BP598" s="505"/>
      <c r="BQ598" s="505"/>
      <c r="BR598" s="505"/>
      <c r="BS598" s="505"/>
      <c r="BT598" s="505"/>
      <c r="BU598" s="505"/>
      <c r="BV598" s="505"/>
      <c r="BW598" s="505"/>
      <c r="BX598" s="505"/>
      <c r="BY598" s="505"/>
      <c r="BZ598" s="505"/>
      <c r="CA598" s="505"/>
      <c r="CB598" s="505"/>
      <c r="CC598" s="505"/>
      <c r="CD598" s="505"/>
      <c r="CE598" s="505"/>
      <c r="CF598" s="505"/>
      <c r="CG598" s="505"/>
      <c r="CH598" s="505"/>
      <c r="CI598" s="505"/>
      <c r="CJ598" s="505"/>
      <c r="CK598" s="505"/>
      <c r="CL598" s="505"/>
      <c r="CM598" s="505"/>
      <c r="CN598" s="505"/>
      <c r="CO598" s="505"/>
      <c r="CP598" s="505"/>
      <c r="CQ598" s="505"/>
      <c r="CR598" s="505"/>
      <c r="CS598" s="505"/>
      <c r="CT598" s="505"/>
      <c r="CU598" s="505"/>
      <c r="CV598" s="505"/>
      <c r="CW598" s="505"/>
      <c r="CX598" s="505"/>
      <c r="CY598" s="505"/>
      <c r="CZ598" s="505"/>
      <c r="DA598" s="505"/>
      <c r="DB598" s="505"/>
      <c r="DC598" s="505"/>
      <c r="DD598" s="505"/>
      <c r="DE598" s="505"/>
      <c r="DF598" s="505"/>
      <c r="DG598" s="505"/>
      <c r="DH598" s="505"/>
      <c r="DI598" s="505"/>
      <c r="DJ598" s="505"/>
      <c r="DK598" s="505"/>
      <c r="DL598" s="505"/>
      <c r="DM598" s="505"/>
      <c r="DN598" s="505"/>
      <c r="DO598" s="505"/>
      <c r="DP598" s="505"/>
    </row>
    <row r="599" spans="1:120" hidden="1" outlineLevel="1" x14ac:dyDescent="0.2">
      <c r="A599" s="517">
        <f t="shared" si="79"/>
        <v>40664</v>
      </c>
      <c r="B599" s="517" t="str">
        <f t="shared" si="76"/>
        <v>2Q11</v>
      </c>
      <c r="C599" s="517" t="str">
        <f t="shared" si="80"/>
        <v>3Q11</v>
      </c>
      <c r="D599" s="518">
        <f t="shared" si="81"/>
        <v>40746</v>
      </c>
      <c r="E599" s="518">
        <f t="shared" si="81"/>
        <v>40686</v>
      </c>
      <c r="F599" s="520">
        <v>3.9969999999999999</v>
      </c>
      <c r="G599" s="521">
        <f t="shared" si="77"/>
        <v>0.57000000000000028</v>
      </c>
      <c r="H599" s="521">
        <f t="shared" si="78"/>
        <v>0.56000000000000028</v>
      </c>
      <c r="I599" s="505"/>
      <c r="J599" s="505"/>
      <c r="K599" s="505"/>
      <c r="L599" s="505"/>
      <c r="M599" s="528"/>
      <c r="N599" s="505"/>
      <c r="O599" s="505"/>
      <c r="P599" s="505"/>
      <c r="Q599" s="505"/>
      <c r="R599" s="505"/>
      <c r="S599" s="505"/>
      <c r="T599" s="505"/>
      <c r="U599" s="505"/>
      <c r="V599" s="505"/>
      <c r="W599" s="505"/>
      <c r="X599" s="505"/>
      <c r="Y599" s="505"/>
      <c r="Z599" s="505"/>
      <c r="AA599" s="505"/>
      <c r="AB599" s="505"/>
      <c r="AC599" s="505"/>
      <c r="AD599" s="505"/>
      <c r="AE599" s="505"/>
      <c r="AF599" s="505"/>
      <c r="AG599" s="505"/>
      <c r="AH599" s="505"/>
      <c r="AI599" s="505"/>
      <c r="AJ599" s="505"/>
      <c r="AK599" s="505"/>
      <c r="AL599" s="505"/>
      <c r="AM599" s="505"/>
      <c r="AN599" s="505"/>
      <c r="AO599" s="505"/>
      <c r="AP599" s="505"/>
      <c r="AQ599" s="505"/>
      <c r="AR599" s="505"/>
      <c r="AS599" s="505"/>
      <c r="AT599" s="505"/>
      <c r="AU599" s="505"/>
      <c r="AV599" s="505"/>
      <c r="AW599" s="505"/>
      <c r="AX599" s="505"/>
      <c r="AY599" s="505"/>
      <c r="AZ599" s="505"/>
      <c r="BA599" s="505"/>
      <c r="BB599" s="505"/>
      <c r="BC599" s="505"/>
      <c r="BD599" s="505"/>
      <c r="BE599" s="505"/>
      <c r="BF599" s="505"/>
      <c r="BG599" s="505"/>
      <c r="BH599" s="505"/>
      <c r="BI599" s="505"/>
      <c r="BJ599" s="505"/>
      <c r="BK599" s="505"/>
      <c r="BL599" s="505"/>
      <c r="BM599" s="505"/>
      <c r="BN599" s="505"/>
      <c r="BO599" s="505"/>
      <c r="BP599" s="505"/>
      <c r="BQ599" s="505"/>
      <c r="BR599" s="505"/>
      <c r="BS599" s="505"/>
      <c r="BT599" s="505"/>
      <c r="BU599" s="505"/>
      <c r="BV599" s="505"/>
      <c r="BW599" s="505"/>
      <c r="BX599" s="505"/>
      <c r="BY599" s="505"/>
      <c r="BZ599" s="505"/>
      <c r="CA599" s="505"/>
      <c r="CB599" s="505"/>
      <c r="CC599" s="505"/>
      <c r="CD599" s="505"/>
      <c r="CE599" s="505"/>
      <c r="CF599" s="505"/>
      <c r="CG599" s="505"/>
      <c r="CH599" s="505"/>
      <c r="CI599" s="505"/>
      <c r="CJ599" s="505"/>
      <c r="CK599" s="505"/>
      <c r="CL599" s="505"/>
      <c r="CM599" s="505"/>
      <c r="CN599" s="505"/>
      <c r="CO599" s="505"/>
      <c r="CP599" s="505"/>
      <c r="CQ599" s="505"/>
      <c r="CR599" s="505"/>
      <c r="CS599" s="505"/>
      <c r="CT599" s="505"/>
      <c r="CU599" s="505"/>
      <c r="CV599" s="505"/>
      <c r="CW599" s="505"/>
      <c r="CX599" s="505"/>
      <c r="CY599" s="505"/>
      <c r="CZ599" s="505"/>
      <c r="DA599" s="505"/>
      <c r="DB599" s="505"/>
      <c r="DC599" s="505"/>
      <c r="DD599" s="505"/>
      <c r="DE599" s="505"/>
      <c r="DF599" s="505"/>
      <c r="DG599" s="505"/>
      <c r="DH599" s="505"/>
      <c r="DI599" s="505"/>
      <c r="DJ599" s="505"/>
      <c r="DK599" s="505"/>
      <c r="DL599" s="505"/>
      <c r="DM599" s="505"/>
      <c r="DN599" s="505"/>
      <c r="DO599" s="505"/>
      <c r="DP599" s="505"/>
    </row>
    <row r="600" spans="1:120" hidden="1" outlineLevel="1" x14ac:dyDescent="0.2">
      <c r="A600" s="517">
        <f t="shared" si="79"/>
        <v>40664</v>
      </c>
      <c r="B600" s="517" t="str">
        <f t="shared" si="76"/>
        <v>2Q11</v>
      </c>
      <c r="C600" s="517" t="str">
        <f t="shared" si="80"/>
        <v>3Q11</v>
      </c>
      <c r="D600" s="518">
        <f t="shared" si="81"/>
        <v>40753</v>
      </c>
      <c r="E600" s="518">
        <f t="shared" si="81"/>
        <v>40693</v>
      </c>
      <c r="F600" s="520">
        <v>3.948</v>
      </c>
      <c r="G600" s="521">
        <f t="shared" si="77"/>
        <v>0.56000000000000028</v>
      </c>
      <c r="H600" s="521">
        <f t="shared" si="78"/>
        <v>0.56000000000000028</v>
      </c>
      <c r="I600" s="505"/>
      <c r="J600" s="505"/>
      <c r="K600" s="505"/>
      <c r="L600" s="505"/>
      <c r="M600" s="528"/>
      <c r="N600" s="505"/>
      <c r="O600" s="505"/>
      <c r="P600" s="505"/>
      <c r="Q600" s="505"/>
      <c r="R600" s="505"/>
      <c r="S600" s="505"/>
      <c r="T600" s="505"/>
      <c r="U600" s="505"/>
      <c r="V600" s="505"/>
      <c r="W600" s="505"/>
      <c r="X600" s="505"/>
      <c r="Y600" s="505"/>
      <c r="Z600" s="505"/>
      <c r="AA600" s="505"/>
      <c r="AB600" s="505"/>
      <c r="AC600" s="505"/>
      <c r="AD600" s="505"/>
      <c r="AE600" s="505"/>
      <c r="AF600" s="505"/>
      <c r="AG600" s="505"/>
      <c r="AH600" s="505"/>
      <c r="AI600" s="505"/>
      <c r="AJ600" s="505"/>
      <c r="AK600" s="505"/>
      <c r="AL600" s="505"/>
      <c r="AM600" s="505"/>
      <c r="AN600" s="505"/>
      <c r="AO600" s="505"/>
      <c r="AP600" s="505"/>
      <c r="AQ600" s="505"/>
      <c r="AR600" s="505"/>
      <c r="AS600" s="505"/>
      <c r="AT600" s="505"/>
      <c r="AU600" s="505"/>
      <c r="AV600" s="505"/>
      <c r="AW600" s="505"/>
      <c r="AX600" s="505"/>
      <c r="AY600" s="505"/>
      <c r="AZ600" s="505"/>
      <c r="BA600" s="505"/>
      <c r="BB600" s="505"/>
      <c r="BC600" s="505"/>
      <c r="BD600" s="505"/>
      <c r="BE600" s="505"/>
      <c r="BF600" s="505"/>
      <c r="BG600" s="505"/>
      <c r="BH600" s="505"/>
      <c r="BI600" s="505"/>
      <c r="BJ600" s="505"/>
      <c r="BK600" s="505"/>
      <c r="BL600" s="505"/>
      <c r="BM600" s="505"/>
      <c r="BN600" s="505"/>
      <c r="BO600" s="505"/>
      <c r="BP600" s="505"/>
      <c r="BQ600" s="505"/>
      <c r="BR600" s="505"/>
      <c r="BS600" s="505"/>
      <c r="BT600" s="505"/>
      <c r="BU600" s="505"/>
      <c r="BV600" s="505"/>
      <c r="BW600" s="505"/>
      <c r="BX600" s="505"/>
      <c r="BY600" s="505"/>
      <c r="BZ600" s="505"/>
      <c r="CA600" s="505"/>
      <c r="CB600" s="505"/>
      <c r="CC600" s="505"/>
      <c r="CD600" s="505"/>
      <c r="CE600" s="505"/>
      <c r="CF600" s="505"/>
      <c r="CG600" s="505"/>
      <c r="CH600" s="505"/>
      <c r="CI600" s="505"/>
      <c r="CJ600" s="505"/>
      <c r="CK600" s="505"/>
      <c r="CL600" s="505"/>
      <c r="CM600" s="505"/>
      <c r="CN600" s="505"/>
      <c r="CO600" s="505"/>
      <c r="CP600" s="505"/>
      <c r="CQ600" s="505"/>
      <c r="CR600" s="505"/>
      <c r="CS600" s="505"/>
      <c r="CT600" s="505"/>
      <c r="CU600" s="505"/>
      <c r="CV600" s="505"/>
      <c r="CW600" s="505"/>
      <c r="CX600" s="505"/>
      <c r="CY600" s="505"/>
      <c r="CZ600" s="505"/>
      <c r="DA600" s="505"/>
      <c r="DB600" s="505"/>
      <c r="DC600" s="505"/>
      <c r="DD600" s="505"/>
      <c r="DE600" s="505"/>
      <c r="DF600" s="505"/>
      <c r="DG600" s="505"/>
      <c r="DH600" s="505"/>
      <c r="DI600" s="505"/>
      <c r="DJ600" s="505"/>
      <c r="DK600" s="505"/>
      <c r="DL600" s="505"/>
      <c r="DM600" s="505"/>
      <c r="DN600" s="505"/>
      <c r="DO600" s="505"/>
      <c r="DP600" s="505"/>
    </row>
    <row r="601" spans="1:120" hidden="1" outlineLevel="1" x14ac:dyDescent="0.2">
      <c r="A601" s="517">
        <f t="shared" si="79"/>
        <v>40695</v>
      </c>
      <c r="B601" s="517" t="str">
        <f t="shared" si="76"/>
        <v>2Q11</v>
      </c>
      <c r="C601" s="517" t="str">
        <f t="shared" si="80"/>
        <v>3Q11</v>
      </c>
      <c r="D601" s="518">
        <f t="shared" si="81"/>
        <v>40760</v>
      </c>
      <c r="E601" s="518">
        <f t="shared" si="81"/>
        <v>40700</v>
      </c>
      <c r="F601" s="520">
        <v>3.94</v>
      </c>
      <c r="G601" s="521">
        <f t="shared" si="77"/>
        <v>0.56000000000000028</v>
      </c>
      <c r="H601" s="521">
        <f t="shared" si="78"/>
        <v>0.57000000000000028</v>
      </c>
      <c r="I601" s="505"/>
      <c r="J601" s="505"/>
      <c r="K601" s="505"/>
      <c r="L601" s="505"/>
      <c r="M601" s="528"/>
      <c r="N601" s="505"/>
      <c r="O601" s="505"/>
      <c r="P601" s="505"/>
      <c r="Q601" s="505"/>
      <c r="R601" s="505"/>
      <c r="S601" s="505"/>
      <c r="T601" s="505"/>
      <c r="U601" s="505"/>
      <c r="V601" s="505"/>
      <c r="W601" s="505"/>
      <c r="X601" s="505"/>
      <c r="Y601" s="505"/>
      <c r="Z601" s="505"/>
      <c r="AA601" s="505"/>
      <c r="AB601" s="505"/>
      <c r="AC601" s="505"/>
      <c r="AD601" s="505"/>
      <c r="AE601" s="505"/>
      <c r="AF601" s="505"/>
      <c r="AG601" s="505"/>
      <c r="AH601" s="505"/>
      <c r="AI601" s="505"/>
      <c r="AJ601" s="505"/>
      <c r="AK601" s="505"/>
      <c r="AL601" s="505"/>
      <c r="AM601" s="505"/>
      <c r="AN601" s="505"/>
      <c r="AO601" s="505"/>
      <c r="AP601" s="505"/>
      <c r="AQ601" s="505"/>
      <c r="AR601" s="505"/>
      <c r="AS601" s="505"/>
      <c r="AT601" s="505"/>
      <c r="AU601" s="505"/>
      <c r="AV601" s="505"/>
      <c r="AW601" s="505"/>
      <c r="AX601" s="505"/>
      <c r="AY601" s="505"/>
      <c r="AZ601" s="505"/>
      <c r="BA601" s="505"/>
      <c r="BB601" s="505"/>
      <c r="BC601" s="505"/>
      <c r="BD601" s="505"/>
      <c r="BE601" s="505"/>
      <c r="BF601" s="505"/>
      <c r="BG601" s="505"/>
      <c r="BH601" s="505"/>
      <c r="BI601" s="505"/>
      <c r="BJ601" s="505"/>
      <c r="BK601" s="505"/>
      <c r="BL601" s="505"/>
      <c r="BM601" s="505"/>
      <c r="BN601" s="505"/>
      <c r="BO601" s="505"/>
      <c r="BP601" s="505"/>
      <c r="BQ601" s="505"/>
      <c r="BR601" s="505"/>
      <c r="BS601" s="505"/>
      <c r="BT601" s="505"/>
      <c r="BU601" s="505"/>
      <c r="BV601" s="505"/>
      <c r="BW601" s="505"/>
      <c r="BX601" s="505"/>
      <c r="BY601" s="505"/>
      <c r="BZ601" s="505"/>
      <c r="CA601" s="505"/>
      <c r="CB601" s="505"/>
      <c r="CC601" s="505"/>
      <c r="CD601" s="505"/>
      <c r="CE601" s="505"/>
      <c r="CF601" s="505"/>
      <c r="CG601" s="505"/>
      <c r="CH601" s="505"/>
      <c r="CI601" s="505"/>
      <c r="CJ601" s="505"/>
      <c r="CK601" s="505"/>
      <c r="CL601" s="505"/>
      <c r="CM601" s="505"/>
      <c r="CN601" s="505"/>
      <c r="CO601" s="505"/>
      <c r="CP601" s="505"/>
      <c r="CQ601" s="505"/>
      <c r="CR601" s="505"/>
      <c r="CS601" s="505"/>
      <c r="CT601" s="505"/>
      <c r="CU601" s="505"/>
      <c r="CV601" s="505"/>
      <c r="CW601" s="505"/>
      <c r="CX601" s="505"/>
      <c r="CY601" s="505"/>
      <c r="CZ601" s="505"/>
      <c r="DA601" s="505"/>
      <c r="DB601" s="505"/>
      <c r="DC601" s="505"/>
      <c r="DD601" s="505"/>
      <c r="DE601" s="505"/>
      <c r="DF601" s="505"/>
      <c r="DG601" s="505"/>
      <c r="DH601" s="505"/>
      <c r="DI601" s="505"/>
      <c r="DJ601" s="505"/>
      <c r="DK601" s="505"/>
      <c r="DL601" s="505"/>
      <c r="DM601" s="505"/>
      <c r="DN601" s="505"/>
      <c r="DO601" s="505"/>
      <c r="DP601" s="505"/>
    </row>
    <row r="602" spans="1:120" hidden="1" outlineLevel="1" x14ac:dyDescent="0.2">
      <c r="A602" s="517">
        <f t="shared" si="79"/>
        <v>40695</v>
      </c>
      <c r="B602" s="517" t="str">
        <f t="shared" si="76"/>
        <v>2Q11</v>
      </c>
      <c r="C602" s="517" t="str">
        <f t="shared" si="80"/>
        <v>3Q11</v>
      </c>
      <c r="D602" s="518">
        <f t="shared" si="81"/>
        <v>40767</v>
      </c>
      <c r="E602" s="518">
        <f t="shared" si="81"/>
        <v>40707</v>
      </c>
      <c r="F602" s="520">
        <v>3.9540000000000002</v>
      </c>
      <c r="G602" s="521">
        <f t="shared" si="77"/>
        <v>0.57000000000000028</v>
      </c>
      <c r="H602" s="521">
        <f t="shared" si="78"/>
        <v>0.57000000000000028</v>
      </c>
      <c r="I602" s="505"/>
      <c r="J602" s="505"/>
      <c r="K602" s="505"/>
      <c r="L602" s="505"/>
      <c r="M602" s="528"/>
      <c r="N602" s="505"/>
      <c r="O602" s="505"/>
      <c r="P602" s="505"/>
      <c r="Q602" s="505"/>
      <c r="R602" s="505"/>
      <c r="S602" s="505"/>
      <c r="T602" s="505"/>
      <c r="U602" s="505"/>
      <c r="V602" s="505"/>
      <c r="W602" s="505"/>
      <c r="X602" s="505"/>
      <c r="Y602" s="505"/>
      <c r="Z602" s="505"/>
      <c r="AA602" s="505"/>
      <c r="AB602" s="505"/>
      <c r="AC602" s="505"/>
      <c r="AD602" s="505"/>
      <c r="AE602" s="505"/>
      <c r="AF602" s="505"/>
      <c r="AG602" s="505"/>
      <c r="AH602" s="505"/>
      <c r="AI602" s="505"/>
      <c r="AJ602" s="505"/>
      <c r="AK602" s="505"/>
      <c r="AL602" s="505"/>
      <c r="AM602" s="505"/>
      <c r="AN602" s="505"/>
      <c r="AO602" s="505"/>
      <c r="AP602" s="505"/>
      <c r="AQ602" s="505"/>
      <c r="AR602" s="505"/>
      <c r="AS602" s="505"/>
      <c r="AT602" s="505"/>
      <c r="AU602" s="505"/>
      <c r="AV602" s="505"/>
      <c r="AW602" s="505"/>
      <c r="AX602" s="505"/>
      <c r="AY602" s="505"/>
      <c r="AZ602" s="505"/>
      <c r="BA602" s="505"/>
      <c r="BB602" s="505"/>
      <c r="BC602" s="505"/>
      <c r="BD602" s="505"/>
      <c r="BE602" s="505"/>
      <c r="BF602" s="505"/>
      <c r="BG602" s="505"/>
      <c r="BH602" s="505"/>
      <c r="BI602" s="505"/>
      <c r="BJ602" s="505"/>
      <c r="BK602" s="505"/>
      <c r="BL602" s="505"/>
      <c r="BM602" s="505"/>
      <c r="BN602" s="505"/>
      <c r="BO602" s="505"/>
      <c r="BP602" s="505"/>
      <c r="BQ602" s="505"/>
      <c r="BR602" s="505"/>
      <c r="BS602" s="505"/>
      <c r="BT602" s="505"/>
      <c r="BU602" s="505"/>
      <c r="BV602" s="505"/>
      <c r="BW602" s="505"/>
      <c r="BX602" s="505"/>
      <c r="BY602" s="505"/>
      <c r="BZ602" s="505"/>
      <c r="CA602" s="505"/>
      <c r="CB602" s="505"/>
      <c r="CC602" s="505"/>
      <c r="CD602" s="505"/>
      <c r="CE602" s="505"/>
      <c r="CF602" s="505"/>
      <c r="CG602" s="505"/>
      <c r="CH602" s="505"/>
      <c r="CI602" s="505"/>
      <c r="CJ602" s="505"/>
      <c r="CK602" s="505"/>
      <c r="CL602" s="505"/>
      <c r="CM602" s="505"/>
      <c r="CN602" s="505"/>
      <c r="CO602" s="505"/>
      <c r="CP602" s="505"/>
      <c r="CQ602" s="505"/>
      <c r="CR602" s="505"/>
      <c r="CS602" s="505"/>
      <c r="CT602" s="505"/>
      <c r="CU602" s="505"/>
      <c r="CV602" s="505"/>
      <c r="CW602" s="505"/>
      <c r="CX602" s="505"/>
      <c r="CY602" s="505"/>
      <c r="CZ602" s="505"/>
      <c r="DA602" s="505"/>
      <c r="DB602" s="505"/>
      <c r="DC602" s="505"/>
      <c r="DD602" s="505"/>
      <c r="DE602" s="505"/>
      <c r="DF602" s="505"/>
      <c r="DG602" s="505"/>
      <c r="DH602" s="505"/>
      <c r="DI602" s="505"/>
      <c r="DJ602" s="505"/>
      <c r="DK602" s="505"/>
      <c r="DL602" s="505"/>
      <c r="DM602" s="505"/>
      <c r="DN602" s="505"/>
      <c r="DO602" s="505"/>
      <c r="DP602" s="505"/>
    </row>
    <row r="603" spans="1:120" hidden="1" outlineLevel="1" x14ac:dyDescent="0.2">
      <c r="A603" s="517">
        <f t="shared" si="79"/>
        <v>40695</v>
      </c>
      <c r="B603" s="517" t="str">
        <f t="shared" si="76"/>
        <v>2Q11</v>
      </c>
      <c r="C603" s="517" t="str">
        <f t="shared" si="80"/>
        <v>3Q11</v>
      </c>
      <c r="D603" s="518">
        <f t="shared" si="81"/>
        <v>40774</v>
      </c>
      <c r="E603" s="518">
        <f t="shared" si="81"/>
        <v>40714</v>
      </c>
      <c r="F603" s="520">
        <v>3.95</v>
      </c>
      <c r="G603" s="521">
        <f t="shared" si="77"/>
        <v>0.57000000000000028</v>
      </c>
      <c r="H603" s="521">
        <f t="shared" si="78"/>
        <v>0.55000000000000027</v>
      </c>
      <c r="I603" s="505"/>
      <c r="J603" s="505"/>
      <c r="K603" s="505"/>
      <c r="L603" s="505"/>
      <c r="M603" s="528"/>
      <c r="N603" s="505"/>
      <c r="O603" s="505"/>
      <c r="P603" s="505"/>
      <c r="Q603" s="505"/>
      <c r="R603" s="505"/>
      <c r="S603" s="505"/>
      <c r="T603" s="505"/>
      <c r="U603" s="505"/>
      <c r="V603" s="505"/>
      <c r="W603" s="505"/>
      <c r="X603" s="505"/>
      <c r="Y603" s="505"/>
      <c r="Z603" s="505"/>
      <c r="AA603" s="505"/>
      <c r="AB603" s="505"/>
      <c r="AC603" s="505"/>
      <c r="AD603" s="505"/>
      <c r="AE603" s="505"/>
      <c r="AF603" s="505"/>
      <c r="AG603" s="505"/>
      <c r="AH603" s="505"/>
      <c r="AI603" s="505"/>
      <c r="AJ603" s="505"/>
      <c r="AK603" s="505"/>
      <c r="AL603" s="505"/>
      <c r="AM603" s="505"/>
      <c r="AN603" s="505"/>
      <c r="AO603" s="505"/>
      <c r="AP603" s="505"/>
      <c r="AQ603" s="505"/>
      <c r="AR603" s="505"/>
      <c r="AS603" s="505"/>
      <c r="AT603" s="505"/>
      <c r="AU603" s="505"/>
      <c r="AV603" s="505"/>
      <c r="AW603" s="505"/>
      <c r="AX603" s="505"/>
      <c r="AY603" s="505"/>
      <c r="AZ603" s="505"/>
      <c r="BA603" s="505"/>
      <c r="BB603" s="505"/>
      <c r="BC603" s="505"/>
      <c r="BD603" s="505"/>
      <c r="BE603" s="505"/>
      <c r="BF603" s="505"/>
      <c r="BG603" s="505"/>
      <c r="BH603" s="505"/>
      <c r="BI603" s="505"/>
      <c r="BJ603" s="505"/>
      <c r="BK603" s="505"/>
      <c r="BL603" s="505"/>
      <c r="BM603" s="505"/>
      <c r="BN603" s="505"/>
      <c r="BO603" s="505"/>
      <c r="BP603" s="505"/>
      <c r="BQ603" s="505"/>
      <c r="BR603" s="505"/>
      <c r="BS603" s="505"/>
      <c r="BT603" s="505"/>
      <c r="BU603" s="505"/>
      <c r="BV603" s="505"/>
      <c r="BW603" s="505"/>
      <c r="BX603" s="505"/>
      <c r="BY603" s="505"/>
      <c r="BZ603" s="505"/>
      <c r="CA603" s="505"/>
      <c r="CB603" s="505"/>
      <c r="CC603" s="505"/>
      <c r="CD603" s="505"/>
      <c r="CE603" s="505"/>
      <c r="CF603" s="505"/>
      <c r="CG603" s="505"/>
      <c r="CH603" s="505"/>
      <c r="CI603" s="505"/>
      <c r="CJ603" s="505"/>
      <c r="CK603" s="505"/>
      <c r="CL603" s="505"/>
      <c r="CM603" s="505"/>
      <c r="CN603" s="505"/>
      <c r="CO603" s="505"/>
      <c r="CP603" s="505"/>
      <c r="CQ603" s="505"/>
      <c r="CR603" s="505"/>
      <c r="CS603" s="505"/>
      <c r="CT603" s="505"/>
      <c r="CU603" s="505"/>
      <c r="CV603" s="505"/>
      <c r="CW603" s="505"/>
      <c r="CX603" s="505"/>
      <c r="CY603" s="505"/>
      <c r="CZ603" s="505"/>
      <c r="DA603" s="505"/>
      <c r="DB603" s="505"/>
      <c r="DC603" s="505"/>
      <c r="DD603" s="505"/>
      <c r="DE603" s="505"/>
      <c r="DF603" s="505"/>
      <c r="DG603" s="505"/>
      <c r="DH603" s="505"/>
      <c r="DI603" s="505"/>
      <c r="DJ603" s="505"/>
      <c r="DK603" s="505"/>
      <c r="DL603" s="505"/>
      <c r="DM603" s="505"/>
      <c r="DN603" s="505"/>
      <c r="DO603" s="505"/>
      <c r="DP603" s="505"/>
    </row>
    <row r="604" spans="1:120" hidden="1" outlineLevel="1" x14ac:dyDescent="0.2">
      <c r="A604" s="517">
        <f t="shared" si="79"/>
        <v>40695</v>
      </c>
      <c r="B604" s="517" t="str">
        <f t="shared" si="76"/>
        <v>2Q11</v>
      </c>
      <c r="C604" s="517" t="str">
        <f t="shared" si="80"/>
        <v>3Q11</v>
      </c>
      <c r="D604" s="518">
        <f t="shared" si="81"/>
        <v>40781</v>
      </c>
      <c r="E604" s="518">
        <f t="shared" si="81"/>
        <v>40721</v>
      </c>
      <c r="F604" s="520">
        <v>3.8879999999999999</v>
      </c>
      <c r="G604" s="521">
        <f t="shared" si="77"/>
        <v>0.55000000000000027</v>
      </c>
      <c r="H604" s="521">
        <f t="shared" si="78"/>
        <v>0.55000000000000027</v>
      </c>
      <c r="I604" s="505"/>
      <c r="J604" s="505"/>
      <c r="K604" s="505"/>
      <c r="L604" s="505"/>
      <c r="M604" s="528"/>
      <c r="N604" s="505"/>
      <c r="O604" s="505"/>
      <c r="P604" s="505"/>
      <c r="Q604" s="505"/>
      <c r="R604" s="505"/>
      <c r="S604" s="505"/>
      <c r="T604" s="505"/>
      <c r="U604" s="505"/>
      <c r="V604" s="505"/>
      <c r="W604" s="505"/>
      <c r="X604" s="505"/>
      <c r="Y604" s="505"/>
      <c r="Z604" s="505"/>
      <c r="AA604" s="505"/>
      <c r="AB604" s="505"/>
      <c r="AC604" s="505"/>
      <c r="AD604" s="505"/>
      <c r="AE604" s="505"/>
      <c r="AF604" s="505"/>
      <c r="AG604" s="505"/>
      <c r="AH604" s="505"/>
      <c r="AI604" s="505"/>
      <c r="AJ604" s="505"/>
      <c r="AK604" s="505"/>
      <c r="AL604" s="505"/>
      <c r="AM604" s="505"/>
      <c r="AN604" s="505"/>
      <c r="AO604" s="505"/>
      <c r="AP604" s="505"/>
      <c r="AQ604" s="505"/>
      <c r="AR604" s="505"/>
      <c r="AS604" s="505"/>
      <c r="AT604" s="505"/>
      <c r="AU604" s="505"/>
      <c r="AV604" s="505"/>
      <c r="AW604" s="505"/>
      <c r="AX604" s="505"/>
      <c r="AY604" s="505"/>
      <c r="AZ604" s="505"/>
      <c r="BA604" s="505"/>
      <c r="BB604" s="505"/>
      <c r="BC604" s="505"/>
      <c r="BD604" s="505"/>
      <c r="BE604" s="505"/>
      <c r="BF604" s="505"/>
      <c r="BG604" s="505"/>
      <c r="BH604" s="505"/>
      <c r="BI604" s="505"/>
      <c r="BJ604" s="505"/>
      <c r="BK604" s="505"/>
      <c r="BL604" s="505"/>
      <c r="BM604" s="505"/>
      <c r="BN604" s="505"/>
      <c r="BO604" s="505"/>
      <c r="BP604" s="505"/>
      <c r="BQ604" s="505"/>
      <c r="BR604" s="505"/>
      <c r="BS604" s="505"/>
      <c r="BT604" s="505"/>
      <c r="BU604" s="505"/>
      <c r="BV604" s="505"/>
      <c r="BW604" s="505"/>
      <c r="BX604" s="505"/>
      <c r="BY604" s="505"/>
      <c r="BZ604" s="505"/>
      <c r="CA604" s="505"/>
      <c r="CB604" s="505"/>
      <c r="CC604" s="505"/>
      <c r="CD604" s="505"/>
      <c r="CE604" s="505"/>
      <c r="CF604" s="505"/>
      <c r="CG604" s="505"/>
      <c r="CH604" s="505"/>
      <c r="CI604" s="505"/>
      <c r="CJ604" s="505"/>
      <c r="CK604" s="505"/>
      <c r="CL604" s="505"/>
      <c r="CM604" s="505"/>
      <c r="CN604" s="505"/>
      <c r="CO604" s="505"/>
      <c r="CP604" s="505"/>
      <c r="CQ604" s="505"/>
      <c r="CR604" s="505"/>
      <c r="CS604" s="505"/>
      <c r="CT604" s="505"/>
      <c r="CU604" s="505"/>
      <c r="CV604" s="505"/>
      <c r="CW604" s="505"/>
      <c r="CX604" s="505"/>
      <c r="CY604" s="505"/>
      <c r="CZ604" s="505"/>
      <c r="DA604" s="505"/>
      <c r="DB604" s="505"/>
      <c r="DC604" s="505"/>
      <c r="DD604" s="505"/>
      <c r="DE604" s="505"/>
      <c r="DF604" s="505"/>
      <c r="DG604" s="505"/>
      <c r="DH604" s="505"/>
      <c r="DI604" s="505"/>
      <c r="DJ604" s="505"/>
      <c r="DK604" s="505"/>
      <c r="DL604" s="505"/>
      <c r="DM604" s="505"/>
      <c r="DN604" s="505"/>
      <c r="DO604" s="505"/>
      <c r="DP604" s="505"/>
    </row>
    <row r="605" spans="1:120" hidden="1" outlineLevel="1" x14ac:dyDescent="0.2">
      <c r="A605" s="517">
        <f t="shared" si="79"/>
        <v>40725</v>
      </c>
      <c r="B605" s="517" t="str">
        <f t="shared" si="76"/>
        <v>3Q11</v>
      </c>
      <c r="C605" s="517" t="str">
        <f t="shared" si="80"/>
        <v>3Q11</v>
      </c>
      <c r="D605" s="518">
        <f t="shared" si="81"/>
        <v>40788</v>
      </c>
      <c r="E605" s="518">
        <f t="shared" si="81"/>
        <v>40728</v>
      </c>
      <c r="F605" s="520">
        <v>3.85</v>
      </c>
      <c r="G605" s="521">
        <f t="shared" si="77"/>
        <v>0.55000000000000027</v>
      </c>
      <c r="H605" s="521">
        <f t="shared" si="78"/>
        <v>0.55000000000000027</v>
      </c>
      <c r="I605" s="505"/>
      <c r="J605" s="505"/>
      <c r="K605" s="505"/>
      <c r="L605" s="505"/>
      <c r="M605" s="528"/>
      <c r="N605" s="505"/>
      <c r="O605" s="505"/>
      <c r="P605" s="505"/>
      <c r="Q605" s="505"/>
      <c r="R605" s="505"/>
      <c r="S605" s="505"/>
      <c r="T605" s="505"/>
      <c r="U605" s="505"/>
      <c r="V605" s="505"/>
      <c r="W605" s="505"/>
      <c r="X605" s="505"/>
      <c r="Y605" s="505"/>
      <c r="Z605" s="505"/>
      <c r="AA605" s="505"/>
      <c r="AB605" s="505"/>
      <c r="AC605" s="505"/>
      <c r="AD605" s="505"/>
      <c r="AE605" s="505"/>
      <c r="AF605" s="505"/>
      <c r="AG605" s="505"/>
      <c r="AH605" s="505"/>
      <c r="AI605" s="505"/>
      <c r="AJ605" s="505"/>
      <c r="AK605" s="505"/>
      <c r="AL605" s="505"/>
      <c r="AM605" s="505"/>
      <c r="AN605" s="505"/>
      <c r="AO605" s="505"/>
      <c r="AP605" s="505"/>
      <c r="AQ605" s="505"/>
      <c r="AR605" s="505"/>
      <c r="AS605" s="505"/>
      <c r="AT605" s="505"/>
      <c r="AU605" s="505"/>
      <c r="AV605" s="505"/>
      <c r="AW605" s="505"/>
      <c r="AX605" s="505"/>
      <c r="AY605" s="505"/>
      <c r="AZ605" s="505"/>
      <c r="BA605" s="505"/>
      <c r="BB605" s="505"/>
      <c r="BC605" s="505"/>
      <c r="BD605" s="505"/>
      <c r="BE605" s="505"/>
      <c r="BF605" s="505"/>
      <c r="BG605" s="505"/>
      <c r="BH605" s="505"/>
      <c r="BI605" s="505"/>
      <c r="BJ605" s="505"/>
      <c r="BK605" s="505"/>
      <c r="BL605" s="505"/>
      <c r="BM605" s="505"/>
      <c r="BN605" s="505"/>
      <c r="BO605" s="505"/>
      <c r="BP605" s="505"/>
      <c r="BQ605" s="505"/>
      <c r="BR605" s="505"/>
      <c r="BS605" s="505"/>
      <c r="BT605" s="505"/>
      <c r="BU605" s="505"/>
      <c r="BV605" s="505"/>
      <c r="BW605" s="505"/>
      <c r="BX605" s="505"/>
      <c r="BY605" s="505"/>
      <c r="BZ605" s="505"/>
      <c r="CA605" s="505"/>
      <c r="CB605" s="505"/>
      <c r="CC605" s="505"/>
      <c r="CD605" s="505"/>
      <c r="CE605" s="505"/>
      <c r="CF605" s="505"/>
      <c r="CG605" s="505"/>
      <c r="CH605" s="505"/>
      <c r="CI605" s="505"/>
      <c r="CJ605" s="505"/>
      <c r="CK605" s="505"/>
      <c r="CL605" s="505"/>
      <c r="CM605" s="505"/>
      <c r="CN605" s="505"/>
      <c r="CO605" s="505"/>
      <c r="CP605" s="505"/>
      <c r="CQ605" s="505"/>
      <c r="CR605" s="505"/>
      <c r="CS605" s="505"/>
      <c r="CT605" s="505"/>
      <c r="CU605" s="505"/>
      <c r="CV605" s="505"/>
      <c r="CW605" s="505"/>
      <c r="CX605" s="505"/>
      <c r="CY605" s="505"/>
      <c r="CZ605" s="505"/>
      <c r="DA605" s="505"/>
      <c r="DB605" s="505"/>
      <c r="DC605" s="505"/>
      <c r="DD605" s="505"/>
      <c r="DE605" s="505"/>
      <c r="DF605" s="505"/>
      <c r="DG605" s="505"/>
      <c r="DH605" s="505"/>
      <c r="DI605" s="505"/>
      <c r="DJ605" s="505"/>
      <c r="DK605" s="505"/>
      <c r="DL605" s="505"/>
      <c r="DM605" s="505"/>
      <c r="DN605" s="505"/>
      <c r="DO605" s="505"/>
      <c r="DP605" s="505"/>
    </row>
    <row r="606" spans="1:120" hidden="1" outlineLevel="1" x14ac:dyDescent="0.2">
      <c r="A606" s="517">
        <f t="shared" si="79"/>
        <v>40725</v>
      </c>
      <c r="B606" s="517" t="str">
        <f t="shared" si="76"/>
        <v>3Q11</v>
      </c>
      <c r="C606" s="517" t="str">
        <f t="shared" si="80"/>
        <v>3Q11</v>
      </c>
      <c r="D606" s="518">
        <f t="shared" si="81"/>
        <v>40795</v>
      </c>
      <c r="E606" s="518">
        <f t="shared" si="81"/>
        <v>40735</v>
      </c>
      <c r="F606" s="520">
        <v>3.899</v>
      </c>
      <c r="G606" s="521">
        <f t="shared" si="77"/>
        <v>0.55000000000000027</v>
      </c>
      <c r="H606" s="521">
        <f t="shared" si="78"/>
        <v>0.56000000000000028</v>
      </c>
      <c r="I606" s="505"/>
      <c r="J606" s="505"/>
      <c r="K606" s="505"/>
      <c r="L606" s="505"/>
      <c r="M606" s="528"/>
      <c r="N606" s="505"/>
      <c r="O606" s="505"/>
      <c r="P606" s="505"/>
      <c r="Q606" s="505"/>
      <c r="R606" s="505"/>
      <c r="S606" s="505"/>
      <c r="T606" s="505"/>
      <c r="U606" s="505"/>
      <c r="V606" s="505"/>
      <c r="W606" s="505"/>
      <c r="X606" s="505"/>
      <c r="Y606" s="505"/>
      <c r="Z606" s="505"/>
      <c r="AA606" s="505"/>
      <c r="AB606" s="505"/>
      <c r="AC606" s="505"/>
      <c r="AD606" s="505"/>
      <c r="AE606" s="505"/>
      <c r="AF606" s="505"/>
      <c r="AG606" s="505"/>
      <c r="AH606" s="505"/>
      <c r="AI606" s="505"/>
      <c r="AJ606" s="505"/>
      <c r="AK606" s="505"/>
      <c r="AL606" s="505"/>
      <c r="AM606" s="505"/>
      <c r="AN606" s="505"/>
      <c r="AO606" s="505"/>
      <c r="AP606" s="505"/>
      <c r="AQ606" s="505"/>
      <c r="AR606" s="505"/>
      <c r="AS606" s="505"/>
      <c r="AT606" s="505"/>
      <c r="AU606" s="505"/>
      <c r="AV606" s="505"/>
      <c r="AW606" s="505"/>
      <c r="AX606" s="505"/>
      <c r="AY606" s="505"/>
      <c r="AZ606" s="505"/>
      <c r="BA606" s="505"/>
      <c r="BB606" s="505"/>
      <c r="BC606" s="505"/>
      <c r="BD606" s="505"/>
      <c r="BE606" s="505"/>
      <c r="BF606" s="505"/>
      <c r="BG606" s="505"/>
      <c r="BH606" s="505"/>
      <c r="BI606" s="505"/>
      <c r="BJ606" s="505"/>
      <c r="BK606" s="505"/>
      <c r="BL606" s="505"/>
      <c r="BM606" s="505"/>
      <c r="BN606" s="505"/>
      <c r="BO606" s="505"/>
      <c r="BP606" s="505"/>
      <c r="BQ606" s="505"/>
      <c r="BR606" s="505"/>
      <c r="BS606" s="505"/>
      <c r="BT606" s="505"/>
      <c r="BU606" s="505"/>
      <c r="BV606" s="505"/>
      <c r="BW606" s="505"/>
      <c r="BX606" s="505"/>
      <c r="BY606" s="505"/>
      <c r="BZ606" s="505"/>
      <c r="CA606" s="505"/>
      <c r="CB606" s="505"/>
      <c r="CC606" s="505"/>
      <c r="CD606" s="505"/>
      <c r="CE606" s="505"/>
      <c r="CF606" s="505"/>
      <c r="CG606" s="505"/>
      <c r="CH606" s="505"/>
      <c r="CI606" s="505"/>
      <c r="CJ606" s="505"/>
      <c r="CK606" s="505"/>
      <c r="CL606" s="505"/>
      <c r="CM606" s="505"/>
      <c r="CN606" s="505"/>
      <c r="CO606" s="505"/>
      <c r="CP606" s="505"/>
      <c r="CQ606" s="505"/>
      <c r="CR606" s="505"/>
      <c r="CS606" s="505"/>
      <c r="CT606" s="505"/>
      <c r="CU606" s="505"/>
      <c r="CV606" s="505"/>
      <c r="CW606" s="505"/>
      <c r="CX606" s="505"/>
      <c r="CY606" s="505"/>
      <c r="CZ606" s="505"/>
      <c r="DA606" s="505"/>
      <c r="DB606" s="505"/>
      <c r="DC606" s="505"/>
      <c r="DD606" s="505"/>
      <c r="DE606" s="505"/>
      <c r="DF606" s="505"/>
      <c r="DG606" s="505"/>
      <c r="DH606" s="505"/>
      <c r="DI606" s="505"/>
      <c r="DJ606" s="505"/>
      <c r="DK606" s="505"/>
      <c r="DL606" s="505"/>
      <c r="DM606" s="505"/>
      <c r="DN606" s="505"/>
      <c r="DO606" s="505"/>
      <c r="DP606" s="505"/>
    </row>
    <row r="607" spans="1:120" hidden="1" outlineLevel="1" x14ac:dyDescent="0.2">
      <c r="A607" s="517">
        <f t="shared" si="79"/>
        <v>40725</v>
      </c>
      <c r="B607" s="517" t="str">
        <f t="shared" si="76"/>
        <v>3Q11</v>
      </c>
      <c r="C607" s="517" t="str">
        <f t="shared" si="80"/>
        <v>3Q11</v>
      </c>
      <c r="D607" s="518">
        <f t="shared" si="81"/>
        <v>40802</v>
      </c>
      <c r="E607" s="518">
        <f t="shared" si="81"/>
        <v>40742</v>
      </c>
      <c r="F607" s="520">
        <v>3.923</v>
      </c>
      <c r="G607" s="521">
        <f t="shared" si="77"/>
        <v>0.56000000000000028</v>
      </c>
      <c r="H607" s="521">
        <f t="shared" si="78"/>
        <v>0.56000000000000028</v>
      </c>
      <c r="I607" s="505"/>
      <c r="J607" s="505"/>
      <c r="K607" s="505"/>
      <c r="L607" s="505"/>
      <c r="M607" s="528"/>
      <c r="N607" s="505"/>
      <c r="O607" s="505"/>
      <c r="P607" s="505"/>
      <c r="Q607" s="505"/>
      <c r="R607" s="505"/>
      <c r="S607" s="505"/>
      <c r="T607" s="505"/>
      <c r="U607" s="505"/>
      <c r="V607" s="505"/>
      <c r="W607" s="505"/>
      <c r="X607" s="505"/>
      <c r="Y607" s="505"/>
      <c r="Z607" s="505"/>
      <c r="AA607" s="505"/>
      <c r="AB607" s="505"/>
      <c r="AC607" s="505"/>
      <c r="AD607" s="505"/>
      <c r="AE607" s="505"/>
      <c r="AF607" s="505"/>
      <c r="AG607" s="505"/>
      <c r="AH607" s="505"/>
      <c r="AI607" s="505"/>
      <c r="AJ607" s="505"/>
      <c r="AK607" s="505"/>
      <c r="AL607" s="505"/>
      <c r="AM607" s="505"/>
      <c r="AN607" s="505"/>
      <c r="AO607" s="505"/>
      <c r="AP607" s="505"/>
      <c r="AQ607" s="505"/>
      <c r="AR607" s="505"/>
      <c r="AS607" s="505"/>
      <c r="AT607" s="505"/>
      <c r="AU607" s="505"/>
      <c r="AV607" s="505"/>
      <c r="AW607" s="505"/>
      <c r="AX607" s="505"/>
      <c r="AY607" s="505"/>
      <c r="AZ607" s="505"/>
      <c r="BA607" s="505"/>
      <c r="BB607" s="505"/>
      <c r="BC607" s="505"/>
      <c r="BD607" s="505"/>
      <c r="BE607" s="505"/>
      <c r="BF607" s="505"/>
      <c r="BG607" s="505"/>
      <c r="BH607" s="505"/>
      <c r="BI607" s="505"/>
      <c r="BJ607" s="505"/>
      <c r="BK607" s="505"/>
      <c r="BL607" s="505"/>
      <c r="BM607" s="505"/>
      <c r="BN607" s="505"/>
      <c r="BO607" s="505"/>
      <c r="BP607" s="505"/>
      <c r="BQ607" s="505"/>
      <c r="BR607" s="505"/>
      <c r="BS607" s="505"/>
      <c r="BT607" s="505"/>
      <c r="BU607" s="505"/>
      <c r="BV607" s="505"/>
      <c r="BW607" s="505"/>
      <c r="BX607" s="505"/>
      <c r="BY607" s="505"/>
      <c r="BZ607" s="505"/>
      <c r="CA607" s="505"/>
      <c r="CB607" s="505"/>
      <c r="CC607" s="505"/>
      <c r="CD607" s="505"/>
      <c r="CE607" s="505"/>
      <c r="CF607" s="505"/>
      <c r="CG607" s="505"/>
      <c r="CH607" s="505"/>
      <c r="CI607" s="505"/>
      <c r="CJ607" s="505"/>
      <c r="CK607" s="505"/>
      <c r="CL607" s="505"/>
      <c r="CM607" s="505"/>
      <c r="CN607" s="505"/>
      <c r="CO607" s="505"/>
      <c r="CP607" s="505"/>
      <c r="CQ607" s="505"/>
      <c r="CR607" s="505"/>
      <c r="CS607" s="505"/>
      <c r="CT607" s="505"/>
      <c r="CU607" s="505"/>
      <c r="CV607" s="505"/>
      <c r="CW607" s="505"/>
      <c r="CX607" s="505"/>
      <c r="CY607" s="505"/>
      <c r="CZ607" s="505"/>
      <c r="DA607" s="505"/>
      <c r="DB607" s="505"/>
      <c r="DC607" s="505"/>
      <c r="DD607" s="505"/>
      <c r="DE607" s="505"/>
      <c r="DF607" s="505"/>
      <c r="DG607" s="505"/>
      <c r="DH607" s="505"/>
      <c r="DI607" s="505"/>
      <c r="DJ607" s="505"/>
      <c r="DK607" s="505"/>
      <c r="DL607" s="505"/>
      <c r="DM607" s="505"/>
      <c r="DN607" s="505"/>
      <c r="DO607" s="505"/>
      <c r="DP607" s="505"/>
    </row>
    <row r="608" spans="1:120" hidden="1" outlineLevel="1" x14ac:dyDescent="0.2">
      <c r="A608" s="517">
        <f t="shared" si="79"/>
        <v>40725</v>
      </c>
      <c r="B608" s="517" t="str">
        <f t="shared" si="76"/>
        <v>3Q11</v>
      </c>
      <c r="C608" s="517" t="str">
        <f t="shared" si="80"/>
        <v>3Q11</v>
      </c>
      <c r="D608" s="518">
        <f t="shared" si="81"/>
        <v>40809</v>
      </c>
      <c r="E608" s="518">
        <f t="shared" si="81"/>
        <v>40749</v>
      </c>
      <c r="F608" s="520">
        <v>3.9489999999999998</v>
      </c>
      <c r="G608" s="521">
        <f t="shared" si="77"/>
        <v>0.56000000000000028</v>
      </c>
      <c r="H608" s="521">
        <f t="shared" si="78"/>
        <v>0.56000000000000028</v>
      </c>
      <c r="I608" s="505"/>
      <c r="J608" s="505"/>
      <c r="K608" s="505"/>
      <c r="L608" s="505"/>
      <c r="M608" s="528"/>
      <c r="N608" s="505"/>
      <c r="O608" s="505"/>
      <c r="P608" s="505"/>
      <c r="Q608" s="505"/>
      <c r="R608" s="505"/>
      <c r="S608" s="505"/>
      <c r="T608" s="505"/>
      <c r="U608" s="505"/>
      <c r="V608" s="505"/>
      <c r="W608" s="505"/>
      <c r="X608" s="505"/>
      <c r="Y608" s="505"/>
      <c r="Z608" s="505"/>
      <c r="AA608" s="505"/>
      <c r="AB608" s="505"/>
      <c r="AC608" s="505"/>
      <c r="AD608" s="505"/>
      <c r="AE608" s="505"/>
      <c r="AF608" s="505"/>
      <c r="AG608" s="505"/>
      <c r="AH608" s="505"/>
      <c r="AI608" s="505"/>
      <c r="AJ608" s="505"/>
      <c r="AK608" s="505"/>
      <c r="AL608" s="505"/>
      <c r="AM608" s="505"/>
      <c r="AN608" s="505"/>
      <c r="AO608" s="505"/>
      <c r="AP608" s="505"/>
      <c r="AQ608" s="505"/>
      <c r="AR608" s="505"/>
      <c r="AS608" s="505"/>
      <c r="AT608" s="505"/>
      <c r="AU608" s="505"/>
      <c r="AV608" s="505"/>
      <c r="AW608" s="505"/>
      <c r="AX608" s="505"/>
      <c r="AY608" s="505"/>
      <c r="AZ608" s="505"/>
      <c r="BA608" s="505"/>
      <c r="BB608" s="505"/>
      <c r="BC608" s="505"/>
      <c r="BD608" s="505"/>
      <c r="BE608" s="505"/>
      <c r="BF608" s="505"/>
      <c r="BG608" s="505"/>
      <c r="BH608" s="505"/>
      <c r="BI608" s="505"/>
      <c r="BJ608" s="505"/>
      <c r="BK608" s="505"/>
      <c r="BL608" s="505"/>
      <c r="BM608" s="505"/>
      <c r="BN608" s="505"/>
      <c r="BO608" s="505"/>
      <c r="BP608" s="505"/>
      <c r="BQ608" s="505"/>
      <c r="BR608" s="505"/>
      <c r="BS608" s="505"/>
      <c r="BT608" s="505"/>
      <c r="BU608" s="505"/>
      <c r="BV608" s="505"/>
      <c r="BW608" s="505"/>
      <c r="BX608" s="505"/>
      <c r="BY608" s="505"/>
      <c r="BZ608" s="505"/>
      <c r="CA608" s="505"/>
      <c r="CB608" s="505"/>
      <c r="CC608" s="505"/>
      <c r="CD608" s="505"/>
      <c r="CE608" s="505"/>
      <c r="CF608" s="505"/>
      <c r="CG608" s="505"/>
      <c r="CH608" s="505"/>
      <c r="CI608" s="505"/>
      <c r="CJ608" s="505"/>
      <c r="CK608" s="505"/>
      <c r="CL608" s="505"/>
      <c r="CM608" s="505"/>
      <c r="CN608" s="505"/>
      <c r="CO608" s="505"/>
      <c r="CP608" s="505"/>
      <c r="CQ608" s="505"/>
      <c r="CR608" s="505"/>
      <c r="CS608" s="505"/>
      <c r="CT608" s="505"/>
      <c r="CU608" s="505"/>
      <c r="CV608" s="505"/>
      <c r="CW608" s="505"/>
      <c r="CX608" s="505"/>
      <c r="CY608" s="505"/>
      <c r="CZ608" s="505"/>
      <c r="DA608" s="505"/>
      <c r="DB608" s="505"/>
      <c r="DC608" s="505"/>
      <c r="DD608" s="505"/>
      <c r="DE608" s="505"/>
      <c r="DF608" s="505"/>
      <c r="DG608" s="505"/>
      <c r="DH608" s="505"/>
      <c r="DI608" s="505"/>
      <c r="DJ608" s="505"/>
      <c r="DK608" s="505"/>
      <c r="DL608" s="505"/>
      <c r="DM608" s="505"/>
      <c r="DN608" s="505"/>
      <c r="DO608" s="505"/>
      <c r="DP608" s="505"/>
    </row>
    <row r="609" spans="1:120" hidden="1" outlineLevel="1" x14ac:dyDescent="0.2">
      <c r="A609" s="517">
        <f t="shared" si="79"/>
        <v>40756</v>
      </c>
      <c r="B609" s="517" t="str">
        <f t="shared" si="76"/>
        <v>3Q11</v>
      </c>
      <c r="C609" s="517" t="str">
        <f t="shared" si="80"/>
        <v>3Q11</v>
      </c>
      <c r="D609" s="518">
        <f t="shared" si="81"/>
        <v>40816</v>
      </c>
      <c r="E609" s="518">
        <f t="shared" si="81"/>
        <v>40756</v>
      </c>
      <c r="F609" s="520">
        <v>3.9369999999999998</v>
      </c>
      <c r="G609" s="521">
        <f t="shared" si="77"/>
        <v>0.56000000000000028</v>
      </c>
      <c r="H609" s="521">
        <f t="shared" si="78"/>
        <v>0.55000000000000027</v>
      </c>
      <c r="I609" s="505"/>
      <c r="J609" s="505"/>
      <c r="K609" s="505"/>
      <c r="L609" s="505"/>
      <c r="M609" s="528"/>
      <c r="N609" s="505"/>
      <c r="O609" s="505"/>
      <c r="P609" s="505"/>
      <c r="Q609" s="505"/>
      <c r="R609" s="505"/>
      <c r="S609" s="505"/>
      <c r="T609" s="505"/>
      <c r="U609" s="505"/>
      <c r="V609" s="505"/>
      <c r="W609" s="505"/>
      <c r="X609" s="505"/>
      <c r="Y609" s="505"/>
      <c r="Z609" s="505"/>
      <c r="AA609" s="505"/>
      <c r="AB609" s="505"/>
      <c r="AC609" s="505"/>
      <c r="AD609" s="505"/>
      <c r="AE609" s="505"/>
      <c r="AF609" s="505"/>
      <c r="AG609" s="505"/>
      <c r="AH609" s="505"/>
      <c r="AI609" s="505"/>
      <c r="AJ609" s="505"/>
      <c r="AK609" s="505"/>
      <c r="AL609" s="505"/>
      <c r="AM609" s="505"/>
      <c r="AN609" s="505"/>
      <c r="AO609" s="505"/>
      <c r="AP609" s="505"/>
      <c r="AQ609" s="505"/>
      <c r="AR609" s="505"/>
      <c r="AS609" s="505"/>
      <c r="AT609" s="505"/>
      <c r="AU609" s="505"/>
      <c r="AV609" s="505"/>
      <c r="AW609" s="505"/>
      <c r="AX609" s="505"/>
      <c r="AY609" s="505"/>
      <c r="AZ609" s="505"/>
      <c r="BA609" s="505"/>
      <c r="BB609" s="505"/>
      <c r="BC609" s="505"/>
      <c r="BD609" s="505"/>
      <c r="BE609" s="505"/>
      <c r="BF609" s="505"/>
      <c r="BG609" s="505"/>
      <c r="BH609" s="505"/>
      <c r="BI609" s="505"/>
      <c r="BJ609" s="505"/>
      <c r="BK609" s="505"/>
      <c r="BL609" s="505"/>
      <c r="BM609" s="505"/>
      <c r="BN609" s="505"/>
      <c r="BO609" s="505"/>
      <c r="BP609" s="505"/>
      <c r="BQ609" s="505"/>
      <c r="BR609" s="505"/>
      <c r="BS609" s="505"/>
      <c r="BT609" s="505"/>
      <c r="BU609" s="505"/>
      <c r="BV609" s="505"/>
      <c r="BW609" s="505"/>
      <c r="BX609" s="505"/>
      <c r="BY609" s="505"/>
      <c r="BZ609" s="505"/>
      <c r="CA609" s="505"/>
      <c r="CB609" s="505"/>
      <c r="CC609" s="505"/>
      <c r="CD609" s="505"/>
      <c r="CE609" s="505"/>
      <c r="CF609" s="505"/>
      <c r="CG609" s="505"/>
      <c r="CH609" s="505"/>
      <c r="CI609" s="505"/>
      <c r="CJ609" s="505"/>
      <c r="CK609" s="505"/>
      <c r="CL609" s="505"/>
      <c r="CM609" s="505"/>
      <c r="CN609" s="505"/>
      <c r="CO609" s="505"/>
      <c r="CP609" s="505"/>
      <c r="CQ609" s="505"/>
      <c r="CR609" s="505"/>
      <c r="CS609" s="505"/>
      <c r="CT609" s="505"/>
      <c r="CU609" s="505"/>
      <c r="CV609" s="505"/>
      <c r="CW609" s="505"/>
      <c r="CX609" s="505"/>
      <c r="CY609" s="505"/>
      <c r="CZ609" s="505"/>
      <c r="DA609" s="505"/>
      <c r="DB609" s="505"/>
      <c r="DC609" s="505"/>
      <c r="DD609" s="505"/>
      <c r="DE609" s="505"/>
      <c r="DF609" s="505"/>
      <c r="DG609" s="505"/>
      <c r="DH609" s="505"/>
      <c r="DI609" s="505"/>
      <c r="DJ609" s="505"/>
      <c r="DK609" s="505"/>
      <c r="DL609" s="505"/>
      <c r="DM609" s="505"/>
      <c r="DN609" s="505"/>
      <c r="DO609" s="505"/>
      <c r="DP609" s="505"/>
    </row>
    <row r="610" spans="1:120" hidden="1" outlineLevel="1" x14ac:dyDescent="0.2">
      <c r="A610" s="517">
        <f t="shared" si="79"/>
        <v>40756</v>
      </c>
      <c r="B610" s="517" t="str">
        <f t="shared" si="76"/>
        <v>3Q11</v>
      </c>
      <c r="C610" s="517" t="str">
        <f t="shared" si="80"/>
        <v>4Q11</v>
      </c>
      <c r="D610" s="518">
        <f t="shared" si="81"/>
        <v>40823</v>
      </c>
      <c r="E610" s="518">
        <f t="shared" si="81"/>
        <v>40763</v>
      </c>
      <c r="F610" s="520">
        <v>3.8969999999999998</v>
      </c>
      <c r="G610" s="521">
        <f t="shared" si="77"/>
        <v>0.55000000000000027</v>
      </c>
      <c r="H610" s="521">
        <f t="shared" si="78"/>
        <v>0.54000000000000026</v>
      </c>
      <c r="I610" s="505"/>
      <c r="J610" s="505"/>
      <c r="K610" s="505"/>
      <c r="L610" s="505"/>
      <c r="M610" s="528"/>
      <c r="N610" s="505"/>
      <c r="O610" s="505"/>
      <c r="P610" s="505"/>
      <c r="Q610" s="505"/>
      <c r="R610" s="505"/>
      <c r="S610" s="505"/>
      <c r="T610" s="505"/>
      <c r="U610" s="505"/>
      <c r="V610" s="505"/>
      <c r="W610" s="505"/>
      <c r="X610" s="505"/>
      <c r="Y610" s="505"/>
      <c r="Z610" s="505"/>
      <c r="AA610" s="505"/>
      <c r="AB610" s="505"/>
      <c r="AC610" s="505"/>
      <c r="AD610" s="505"/>
      <c r="AE610" s="505"/>
      <c r="AF610" s="505"/>
      <c r="AG610" s="505"/>
      <c r="AH610" s="505"/>
      <c r="AI610" s="505"/>
      <c r="AJ610" s="505"/>
      <c r="AK610" s="505"/>
      <c r="AL610" s="505"/>
      <c r="AM610" s="505"/>
      <c r="AN610" s="505"/>
      <c r="AO610" s="505"/>
      <c r="AP610" s="505"/>
      <c r="AQ610" s="505"/>
      <c r="AR610" s="505"/>
      <c r="AS610" s="505"/>
      <c r="AT610" s="505"/>
      <c r="AU610" s="505"/>
      <c r="AV610" s="505"/>
      <c r="AW610" s="505"/>
      <c r="AX610" s="505"/>
      <c r="AY610" s="505"/>
      <c r="AZ610" s="505"/>
      <c r="BA610" s="505"/>
      <c r="BB610" s="505"/>
      <c r="BC610" s="505"/>
      <c r="BD610" s="505"/>
      <c r="BE610" s="505"/>
      <c r="BF610" s="505"/>
      <c r="BG610" s="505"/>
      <c r="BH610" s="505"/>
      <c r="BI610" s="505"/>
      <c r="BJ610" s="505"/>
      <c r="BK610" s="505"/>
      <c r="BL610" s="505"/>
      <c r="BM610" s="505"/>
      <c r="BN610" s="505"/>
      <c r="BO610" s="505"/>
      <c r="BP610" s="505"/>
      <c r="BQ610" s="505"/>
      <c r="BR610" s="505"/>
      <c r="BS610" s="505"/>
      <c r="BT610" s="505"/>
      <c r="BU610" s="505"/>
      <c r="BV610" s="505"/>
      <c r="BW610" s="505"/>
      <c r="BX610" s="505"/>
      <c r="BY610" s="505"/>
      <c r="BZ610" s="505"/>
      <c r="CA610" s="505"/>
      <c r="CB610" s="505"/>
      <c r="CC610" s="505"/>
      <c r="CD610" s="505"/>
      <c r="CE610" s="505"/>
      <c r="CF610" s="505"/>
      <c r="CG610" s="505"/>
      <c r="CH610" s="505"/>
      <c r="CI610" s="505"/>
      <c r="CJ610" s="505"/>
      <c r="CK610" s="505"/>
      <c r="CL610" s="505"/>
      <c r="CM610" s="505"/>
      <c r="CN610" s="505"/>
      <c r="CO610" s="505"/>
      <c r="CP610" s="505"/>
      <c r="CQ610" s="505"/>
      <c r="CR610" s="505"/>
      <c r="CS610" s="505"/>
      <c r="CT610" s="505"/>
      <c r="CU610" s="505"/>
      <c r="CV610" s="505"/>
      <c r="CW610" s="505"/>
      <c r="CX610" s="505"/>
      <c r="CY610" s="505"/>
      <c r="CZ610" s="505"/>
      <c r="DA610" s="505"/>
      <c r="DB610" s="505"/>
      <c r="DC610" s="505"/>
      <c r="DD610" s="505"/>
      <c r="DE610" s="505"/>
      <c r="DF610" s="505"/>
      <c r="DG610" s="505"/>
      <c r="DH610" s="505"/>
      <c r="DI610" s="505"/>
      <c r="DJ610" s="505"/>
      <c r="DK610" s="505"/>
      <c r="DL610" s="505"/>
      <c r="DM610" s="505"/>
      <c r="DN610" s="505"/>
      <c r="DO610" s="505"/>
      <c r="DP610" s="505"/>
    </row>
    <row r="611" spans="1:120" hidden="1" outlineLevel="1" x14ac:dyDescent="0.2">
      <c r="A611" s="517">
        <f t="shared" si="79"/>
        <v>40756</v>
      </c>
      <c r="B611" s="517" t="str">
        <f t="shared" si="76"/>
        <v>3Q11</v>
      </c>
      <c r="C611" s="517" t="str">
        <f t="shared" si="80"/>
        <v>4Q11</v>
      </c>
      <c r="D611" s="518">
        <f t="shared" si="81"/>
        <v>40830</v>
      </c>
      <c r="E611" s="518">
        <f t="shared" si="81"/>
        <v>40770</v>
      </c>
      <c r="F611" s="520">
        <v>3.835</v>
      </c>
      <c r="G611" s="521">
        <f t="shared" si="77"/>
        <v>0.54000000000000026</v>
      </c>
      <c r="H611" s="521">
        <f t="shared" si="78"/>
        <v>0.54000000000000026</v>
      </c>
      <c r="I611" s="505"/>
      <c r="J611" s="505"/>
      <c r="K611" s="505"/>
      <c r="L611" s="505"/>
      <c r="M611" s="528"/>
      <c r="N611" s="505"/>
      <c r="O611" s="505"/>
      <c r="P611" s="505"/>
      <c r="Q611" s="505"/>
      <c r="R611" s="505"/>
      <c r="S611" s="505"/>
      <c r="T611" s="505"/>
      <c r="U611" s="505"/>
      <c r="V611" s="505"/>
      <c r="W611" s="505"/>
      <c r="X611" s="505"/>
      <c r="Y611" s="505"/>
      <c r="Z611" s="505"/>
      <c r="AA611" s="505"/>
      <c r="AB611" s="505"/>
      <c r="AC611" s="505"/>
      <c r="AD611" s="505"/>
      <c r="AE611" s="505"/>
      <c r="AF611" s="505"/>
      <c r="AG611" s="505"/>
      <c r="AH611" s="505"/>
      <c r="AI611" s="505"/>
      <c r="AJ611" s="505"/>
      <c r="AK611" s="505"/>
      <c r="AL611" s="505"/>
      <c r="AM611" s="505"/>
      <c r="AN611" s="505"/>
      <c r="AO611" s="505"/>
      <c r="AP611" s="505"/>
      <c r="AQ611" s="505"/>
      <c r="AR611" s="505"/>
      <c r="AS611" s="505"/>
      <c r="AT611" s="505"/>
      <c r="AU611" s="505"/>
      <c r="AV611" s="505"/>
      <c r="AW611" s="505"/>
      <c r="AX611" s="505"/>
      <c r="AY611" s="505"/>
      <c r="AZ611" s="505"/>
      <c r="BA611" s="505"/>
      <c r="BB611" s="505"/>
      <c r="BC611" s="505"/>
      <c r="BD611" s="505"/>
      <c r="BE611" s="505"/>
      <c r="BF611" s="505"/>
      <c r="BG611" s="505"/>
      <c r="BH611" s="505"/>
      <c r="BI611" s="505"/>
      <c r="BJ611" s="505"/>
      <c r="BK611" s="505"/>
      <c r="BL611" s="505"/>
      <c r="BM611" s="505"/>
      <c r="BN611" s="505"/>
      <c r="BO611" s="505"/>
      <c r="BP611" s="505"/>
      <c r="BQ611" s="505"/>
      <c r="BR611" s="505"/>
      <c r="BS611" s="505"/>
      <c r="BT611" s="505"/>
      <c r="BU611" s="505"/>
      <c r="BV611" s="505"/>
      <c r="BW611" s="505"/>
      <c r="BX611" s="505"/>
      <c r="BY611" s="505"/>
      <c r="BZ611" s="505"/>
      <c r="CA611" s="505"/>
      <c r="CB611" s="505"/>
      <c r="CC611" s="505"/>
      <c r="CD611" s="505"/>
      <c r="CE611" s="505"/>
      <c r="CF611" s="505"/>
      <c r="CG611" s="505"/>
      <c r="CH611" s="505"/>
      <c r="CI611" s="505"/>
      <c r="CJ611" s="505"/>
      <c r="CK611" s="505"/>
      <c r="CL611" s="505"/>
      <c r="CM611" s="505"/>
      <c r="CN611" s="505"/>
      <c r="CO611" s="505"/>
      <c r="CP611" s="505"/>
      <c r="CQ611" s="505"/>
      <c r="CR611" s="505"/>
      <c r="CS611" s="505"/>
      <c r="CT611" s="505"/>
      <c r="CU611" s="505"/>
      <c r="CV611" s="505"/>
      <c r="CW611" s="505"/>
      <c r="CX611" s="505"/>
      <c r="CY611" s="505"/>
      <c r="CZ611" s="505"/>
      <c r="DA611" s="505"/>
      <c r="DB611" s="505"/>
      <c r="DC611" s="505"/>
      <c r="DD611" s="505"/>
      <c r="DE611" s="505"/>
      <c r="DF611" s="505"/>
      <c r="DG611" s="505"/>
      <c r="DH611" s="505"/>
      <c r="DI611" s="505"/>
      <c r="DJ611" s="505"/>
      <c r="DK611" s="505"/>
      <c r="DL611" s="505"/>
      <c r="DM611" s="505"/>
      <c r="DN611" s="505"/>
      <c r="DO611" s="505"/>
      <c r="DP611" s="505"/>
    </row>
    <row r="612" spans="1:120" hidden="1" outlineLevel="1" x14ac:dyDescent="0.2">
      <c r="A612" s="517">
        <f t="shared" si="79"/>
        <v>40756</v>
      </c>
      <c r="B612" s="517" t="str">
        <f t="shared" si="76"/>
        <v>3Q11</v>
      </c>
      <c r="C612" s="517" t="str">
        <f t="shared" si="80"/>
        <v>4Q11</v>
      </c>
      <c r="D612" s="518">
        <f t="shared" si="81"/>
        <v>40837</v>
      </c>
      <c r="E612" s="518">
        <f t="shared" si="81"/>
        <v>40777</v>
      </c>
      <c r="F612" s="520">
        <v>3.81</v>
      </c>
      <c r="G612" s="521">
        <f t="shared" si="77"/>
        <v>0.54000000000000026</v>
      </c>
      <c r="H612" s="521">
        <f t="shared" si="78"/>
        <v>0.54000000000000026</v>
      </c>
      <c r="I612" s="505"/>
      <c r="J612" s="505"/>
      <c r="K612" s="505"/>
      <c r="L612" s="505"/>
      <c r="M612" s="528"/>
      <c r="N612" s="505"/>
      <c r="O612" s="505"/>
      <c r="P612" s="505"/>
      <c r="Q612" s="505"/>
      <c r="R612" s="505"/>
      <c r="S612" s="505"/>
      <c r="T612" s="505"/>
      <c r="U612" s="505"/>
      <c r="V612" s="505"/>
      <c r="W612" s="505"/>
      <c r="X612" s="505"/>
      <c r="Y612" s="505"/>
      <c r="Z612" s="505"/>
      <c r="AA612" s="505"/>
      <c r="AB612" s="505"/>
      <c r="AC612" s="505"/>
      <c r="AD612" s="505"/>
      <c r="AE612" s="505"/>
      <c r="AF612" s="505"/>
      <c r="AG612" s="505"/>
      <c r="AH612" s="505"/>
      <c r="AI612" s="505"/>
      <c r="AJ612" s="505"/>
      <c r="AK612" s="505"/>
      <c r="AL612" s="505"/>
      <c r="AM612" s="505"/>
      <c r="AN612" s="505"/>
      <c r="AO612" s="505"/>
      <c r="AP612" s="505"/>
      <c r="AQ612" s="505"/>
      <c r="AR612" s="505"/>
      <c r="AS612" s="505"/>
      <c r="AT612" s="505"/>
      <c r="AU612" s="505"/>
      <c r="AV612" s="505"/>
      <c r="AW612" s="505"/>
      <c r="AX612" s="505"/>
      <c r="AY612" s="505"/>
      <c r="AZ612" s="505"/>
      <c r="BA612" s="505"/>
      <c r="BB612" s="505"/>
      <c r="BC612" s="505"/>
      <c r="BD612" s="505"/>
      <c r="BE612" s="505"/>
      <c r="BF612" s="505"/>
      <c r="BG612" s="505"/>
      <c r="BH612" s="505"/>
      <c r="BI612" s="505"/>
      <c r="BJ612" s="505"/>
      <c r="BK612" s="505"/>
      <c r="BL612" s="505"/>
      <c r="BM612" s="505"/>
      <c r="BN612" s="505"/>
      <c r="BO612" s="505"/>
      <c r="BP612" s="505"/>
      <c r="BQ612" s="505"/>
      <c r="BR612" s="505"/>
      <c r="BS612" s="505"/>
      <c r="BT612" s="505"/>
      <c r="BU612" s="505"/>
      <c r="BV612" s="505"/>
      <c r="BW612" s="505"/>
      <c r="BX612" s="505"/>
      <c r="BY612" s="505"/>
      <c r="BZ612" s="505"/>
      <c r="CA612" s="505"/>
      <c r="CB612" s="505"/>
      <c r="CC612" s="505"/>
      <c r="CD612" s="505"/>
      <c r="CE612" s="505"/>
      <c r="CF612" s="505"/>
      <c r="CG612" s="505"/>
      <c r="CH612" s="505"/>
      <c r="CI612" s="505"/>
      <c r="CJ612" s="505"/>
      <c r="CK612" s="505"/>
      <c r="CL612" s="505"/>
      <c r="CM612" s="505"/>
      <c r="CN612" s="505"/>
      <c r="CO612" s="505"/>
      <c r="CP612" s="505"/>
      <c r="CQ612" s="505"/>
      <c r="CR612" s="505"/>
      <c r="CS612" s="505"/>
      <c r="CT612" s="505"/>
      <c r="CU612" s="505"/>
      <c r="CV612" s="505"/>
      <c r="CW612" s="505"/>
      <c r="CX612" s="505"/>
      <c r="CY612" s="505"/>
      <c r="CZ612" s="505"/>
      <c r="DA612" s="505"/>
      <c r="DB612" s="505"/>
      <c r="DC612" s="505"/>
      <c r="DD612" s="505"/>
      <c r="DE612" s="505"/>
      <c r="DF612" s="505"/>
      <c r="DG612" s="505"/>
      <c r="DH612" s="505"/>
      <c r="DI612" s="505"/>
      <c r="DJ612" s="505"/>
      <c r="DK612" s="505"/>
      <c r="DL612" s="505"/>
      <c r="DM612" s="505"/>
      <c r="DN612" s="505"/>
      <c r="DO612" s="505"/>
      <c r="DP612" s="505"/>
    </row>
    <row r="613" spans="1:120" hidden="1" outlineLevel="1" x14ac:dyDescent="0.2">
      <c r="A613" s="517">
        <f t="shared" si="79"/>
        <v>40756</v>
      </c>
      <c r="B613" s="517" t="str">
        <f t="shared" si="76"/>
        <v>3Q11</v>
      </c>
      <c r="C613" s="517" t="str">
        <f t="shared" si="80"/>
        <v>4Q11</v>
      </c>
      <c r="D613" s="518">
        <f t="shared" si="81"/>
        <v>40844</v>
      </c>
      <c r="E613" s="518">
        <f t="shared" si="81"/>
        <v>40784</v>
      </c>
      <c r="F613" s="520">
        <v>3.82</v>
      </c>
      <c r="G613" s="521">
        <f t="shared" si="77"/>
        <v>0.54000000000000026</v>
      </c>
      <c r="H613" s="521">
        <f t="shared" si="78"/>
        <v>0.55000000000000027</v>
      </c>
      <c r="I613" s="505"/>
      <c r="J613" s="505"/>
      <c r="K613" s="505"/>
      <c r="L613" s="505"/>
      <c r="M613" s="528"/>
      <c r="N613" s="505"/>
      <c r="O613" s="505"/>
      <c r="P613" s="505"/>
      <c r="Q613" s="505"/>
      <c r="R613" s="505"/>
      <c r="S613" s="505"/>
      <c r="T613" s="505"/>
      <c r="U613" s="505"/>
      <c r="V613" s="505"/>
      <c r="W613" s="505"/>
      <c r="X613" s="505"/>
      <c r="Y613" s="505"/>
      <c r="Z613" s="505"/>
      <c r="AA613" s="505"/>
      <c r="AB613" s="505"/>
      <c r="AC613" s="505"/>
      <c r="AD613" s="505"/>
      <c r="AE613" s="505"/>
      <c r="AF613" s="505"/>
      <c r="AG613" s="505"/>
      <c r="AH613" s="505"/>
      <c r="AI613" s="505"/>
      <c r="AJ613" s="505"/>
      <c r="AK613" s="505"/>
      <c r="AL613" s="505"/>
      <c r="AM613" s="505"/>
      <c r="AN613" s="505"/>
      <c r="AO613" s="505"/>
      <c r="AP613" s="505"/>
      <c r="AQ613" s="505"/>
      <c r="AR613" s="505"/>
      <c r="AS613" s="505"/>
      <c r="AT613" s="505"/>
      <c r="AU613" s="505"/>
      <c r="AV613" s="505"/>
      <c r="AW613" s="505"/>
      <c r="AX613" s="505"/>
      <c r="AY613" s="505"/>
      <c r="AZ613" s="505"/>
      <c r="BA613" s="505"/>
      <c r="BB613" s="505"/>
      <c r="BC613" s="505"/>
      <c r="BD613" s="505"/>
      <c r="BE613" s="505"/>
      <c r="BF613" s="505"/>
      <c r="BG613" s="505"/>
      <c r="BH613" s="505"/>
      <c r="BI613" s="505"/>
      <c r="BJ613" s="505"/>
      <c r="BK613" s="505"/>
      <c r="BL613" s="505"/>
      <c r="BM613" s="505"/>
      <c r="BN613" s="505"/>
      <c r="BO613" s="505"/>
      <c r="BP613" s="505"/>
      <c r="BQ613" s="505"/>
      <c r="BR613" s="505"/>
      <c r="BS613" s="505"/>
      <c r="BT613" s="505"/>
      <c r="BU613" s="505"/>
      <c r="BV613" s="505"/>
      <c r="BW613" s="505"/>
      <c r="BX613" s="505"/>
      <c r="BY613" s="505"/>
      <c r="BZ613" s="505"/>
      <c r="CA613" s="505"/>
      <c r="CB613" s="505"/>
      <c r="CC613" s="505"/>
      <c r="CD613" s="505"/>
      <c r="CE613" s="505"/>
      <c r="CF613" s="505"/>
      <c r="CG613" s="505"/>
      <c r="CH613" s="505"/>
      <c r="CI613" s="505"/>
      <c r="CJ613" s="505"/>
      <c r="CK613" s="505"/>
      <c r="CL613" s="505"/>
      <c r="CM613" s="505"/>
      <c r="CN613" s="505"/>
      <c r="CO613" s="505"/>
      <c r="CP613" s="505"/>
      <c r="CQ613" s="505"/>
      <c r="CR613" s="505"/>
      <c r="CS613" s="505"/>
      <c r="CT613" s="505"/>
      <c r="CU613" s="505"/>
      <c r="CV613" s="505"/>
      <c r="CW613" s="505"/>
      <c r="CX613" s="505"/>
      <c r="CY613" s="505"/>
      <c r="CZ613" s="505"/>
      <c r="DA613" s="505"/>
      <c r="DB613" s="505"/>
      <c r="DC613" s="505"/>
      <c r="DD613" s="505"/>
      <c r="DE613" s="505"/>
      <c r="DF613" s="505"/>
      <c r="DG613" s="505"/>
      <c r="DH613" s="505"/>
      <c r="DI613" s="505"/>
      <c r="DJ613" s="505"/>
      <c r="DK613" s="505"/>
      <c r="DL613" s="505"/>
      <c r="DM613" s="505"/>
      <c r="DN613" s="505"/>
      <c r="DO613" s="505"/>
      <c r="DP613" s="505"/>
    </row>
    <row r="614" spans="1:120" hidden="1" outlineLevel="1" x14ac:dyDescent="0.2">
      <c r="A614" s="517">
        <f t="shared" si="79"/>
        <v>40787</v>
      </c>
      <c r="B614" s="517" t="str">
        <f t="shared" si="76"/>
        <v>3Q11</v>
      </c>
      <c r="C614" s="517" t="str">
        <f t="shared" si="80"/>
        <v>4Q11</v>
      </c>
      <c r="D614" s="518">
        <f t="shared" si="81"/>
        <v>40851</v>
      </c>
      <c r="E614" s="518">
        <f t="shared" si="81"/>
        <v>40791</v>
      </c>
      <c r="F614" s="520">
        <v>3.8679999999999999</v>
      </c>
      <c r="G614" s="521">
        <f t="shared" si="77"/>
        <v>0.55000000000000027</v>
      </c>
      <c r="H614" s="521">
        <f t="shared" si="78"/>
        <v>0.55000000000000027</v>
      </c>
      <c r="I614" s="505"/>
      <c r="J614" s="505"/>
      <c r="K614" s="505"/>
      <c r="L614" s="505"/>
      <c r="M614" s="528"/>
      <c r="N614" s="505"/>
      <c r="O614" s="505"/>
      <c r="P614" s="505"/>
      <c r="Q614" s="505"/>
      <c r="R614" s="505"/>
      <c r="S614" s="505"/>
      <c r="T614" s="505"/>
      <c r="U614" s="505"/>
      <c r="V614" s="505"/>
      <c r="W614" s="505"/>
      <c r="X614" s="505"/>
      <c r="Y614" s="505"/>
      <c r="Z614" s="505"/>
      <c r="AA614" s="505"/>
      <c r="AB614" s="505"/>
      <c r="AC614" s="505"/>
      <c r="AD614" s="505"/>
      <c r="AE614" s="505"/>
      <c r="AF614" s="505"/>
      <c r="AG614" s="505"/>
      <c r="AH614" s="505"/>
      <c r="AI614" s="505"/>
      <c r="AJ614" s="505"/>
      <c r="AK614" s="505"/>
      <c r="AL614" s="505"/>
      <c r="AM614" s="505"/>
      <c r="AN614" s="505"/>
      <c r="AO614" s="505"/>
      <c r="AP614" s="505"/>
      <c r="AQ614" s="505"/>
      <c r="AR614" s="505"/>
      <c r="AS614" s="505"/>
      <c r="AT614" s="505"/>
      <c r="AU614" s="505"/>
      <c r="AV614" s="505"/>
      <c r="AW614" s="505"/>
      <c r="AX614" s="505"/>
      <c r="AY614" s="505"/>
      <c r="AZ614" s="505"/>
      <c r="BA614" s="505"/>
      <c r="BB614" s="505"/>
      <c r="BC614" s="505"/>
      <c r="BD614" s="505"/>
      <c r="BE614" s="505"/>
      <c r="BF614" s="505"/>
      <c r="BG614" s="505"/>
      <c r="BH614" s="505"/>
      <c r="BI614" s="505"/>
      <c r="BJ614" s="505"/>
      <c r="BK614" s="505"/>
      <c r="BL614" s="505"/>
      <c r="BM614" s="505"/>
      <c r="BN614" s="505"/>
      <c r="BO614" s="505"/>
      <c r="BP614" s="505"/>
      <c r="BQ614" s="505"/>
      <c r="BR614" s="505"/>
      <c r="BS614" s="505"/>
      <c r="BT614" s="505"/>
      <c r="BU614" s="505"/>
      <c r="BV614" s="505"/>
      <c r="BW614" s="505"/>
      <c r="BX614" s="505"/>
      <c r="BY614" s="505"/>
      <c r="BZ614" s="505"/>
      <c r="CA614" s="505"/>
      <c r="CB614" s="505"/>
      <c r="CC614" s="505"/>
      <c r="CD614" s="505"/>
      <c r="CE614" s="505"/>
      <c r="CF614" s="505"/>
      <c r="CG614" s="505"/>
      <c r="CH614" s="505"/>
      <c r="CI614" s="505"/>
      <c r="CJ614" s="505"/>
      <c r="CK614" s="505"/>
      <c r="CL614" s="505"/>
      <c r="CM614" s="505"/>
      <c r="CN614" s="505"/>
      <c r="CO614" s="505"/>
      <c r="CP614" s="505"/>
      <c r="CQ614" s="505"/>
      <c r="CR614" s="505"/>
      <c r="CS614" s="505"/>
      <c r="CT614" s="505"/>
      <c r="CU614" s="505"/>
      <c r="CV614" s="505"/>
      <c r="CW614" s="505"/>
      <c r="CX614" s="505"/>
      <c r="CY614" s="505"/>
      <c r="CZ614" s="505"/>
      <c r="DA614" s="505"/>
      <c r="DB614" s="505"/>
      <c r="DC614" s="505"/>
      <c r="DD614" s="505"/>
      <c r="DE614" s="505"/>
      <c r="DF614" s="505"/>
      <c r="DG614" s="505"/>
      <c r="DH614" s="505"/>
      <c r="DI614" s="505"/>
      <c r="DJ614" s="505"/>
      <c r="DK614" s="505"/>
      <c r="DL614" s="505"/>
      <c r="DM614" s="505"/>
      <c r="DN614" s="505"/>
      <c r="DO614" s="505"/>
      <c r="DP614" s="505"/>
    </row>
    <row r="615" spans="1:120" hidden="1" outlineLevel="1" x14ac:dyDescent="0.2">
      <c r="A615" s="517">
        <f t="shared" si="79"/>
        <v>40787</v>
      </c>
      <c r="B615" s="517" t="str">
        <f t="shared" si="76"/>
        <v>3Q11</v>
      </c>
      <c r="C615" s="517" t="str">
        <f t="shared" si="80"/>
        <v>4Q11</v>
      </c>
      <c r="D615" s="518">
        <f t="shared" si="81"/>
        <v>40858</v>
      </c>
      <c r="E615" s="518">
        <f t="shared" si="81"/>
        <v>40798</v>
      </c>
      <c r="F615" s="520">
        <v>3.8620000000000001</v>
      </c>
      <c r="G615" s="521">
        <f t="shared" si="77"/>
        <v>0.55000000000000027</v>
      </c>
      <c r="H615" s="521">
        <f t="shared" si="78"/>
        <v>0.54000000000000026</v>
      </c>
      <c r="I615" s="505"/>
      <c r="J615" s="505"/>
      <c r="K615" s="505"/>
      <c r="L615" s="505"/>
      <c r="M615" s="528"/>
      <c r="N615" s="505"/>
      <c r="O615" s="505"/>
      <c r="P615" s="505"/>
      <c r="Q615" s="505"/>
      <c r="R615" s="505"/>
      <c r="S615" s="505"/>
      <c r="T615" s="505"/>
      <c r="U615" s="505"/>
      <c r="V615" s="505"/>
      <c r="W615" s="505"/>
      <c r="X615" s="505"/>
      <c r="Y615" s="505"/>
      <c r="Z615" s="505"/>
      <c r="AA615" s="505"/>
      <c r="AB615" s="505"/>
      <c r="AC615" s="505"/>
      <c r="AD615" s="505"/>
      <c r="AE615" s="505"/>
      <c r="AF615" s="505"/>
      <c r="AG615" s="505"/>
      <c r="AH615" s="505"/>
      <c r="AI615" s="505"/>
      <c r="AJ615" s="505"/>
      <c r="AK615" s="505"/>
      <c r="AL615" s="505"/>
      <c r="AM615" s="505"/>
      <c r="AN615" s="505"/>
      <c r="AO615" s="505"/>
      <c r="AP615" s="505"/>
      <c r="AQ615" s="505"/>
      <c r="AR615" s="505"/>
      <c r="AS615" s="505"/>
      <c r="AT615" s="505"/>
      <c r="AU615" s="505"/>
      <c r="AV615" s="505"/>
      <c r="AW615" s="505"/>
      <c r="AX615" s="505"/>
      <c r="AY615" s="505"/>
      <c r="AZ615" s="505"/>
      <c r="BA615" s="505"/>
      <c r="BB615" s="505"/>
      <c r="BC615" s="505"/>
      <c r="BD615" s="505"/>
      <c r="BE615" s="505"/>
      <c r="BF615" s="505"/>
      <c r="BG615" s="505"/>
      <c r="BH615" s="505"/>
      <c r="BI615" s="505"/>
      <c r="BJ615" s="505"/>
      <c r="BK615" s="505"/>
      <c r="BL615" s="505"/>
      <c r="BM615" s="505"/>
      <c r="BN615" s="505"/>
      <c r="BO615" s="505"/>
      <c r="BP615" s="505"/>
      <c r="BQ615" s="505"/>
      <c r="BR615" s="505"/>
      <c r="BS615" s="505"/>
      <c r="BT615" s="505"/>
      <c r="BU615" s="505"/>
      <c r="BV615" s="505"/>
      <c r="BW615" s="505"/>
      <c r="BX615" s="505"/>
      <c r="BY615" s="505"/>
      <c r="BZ615" s="505"/>
      <c r="CA615" s="505"/>
      <c r="CB615" s="505"/>
      <c r="CC615" s="505"/>
      <c r="CD615" s="505"/>
      <c r="CE615" s="505"/>
      <c r="CF615" s="505"/>
      <c r="CG615" s="505"/>
      <c r="CH615" s="505"/>
      <c r="CI615" s="505"/>
      <c r="CJ615" s="505"/>
      <c r="CK615" s="505"/>
      <c r="CL615" s="505"/>
      <c r="CM615" s="505"/>
      <c r="CN615" s="505"/>
      <c r="CO615" s="505"/>
      <c r="CP615" s="505"/>
      <c r="CQ615" s="505"/>
      <c r="CR615" s="505"/>
      <c r="CS615" s="505"/>
      <c r="CT615" s="505"/>
      <c r="CU615" s="505"/>
      <c r="CV615" s="505"/>
      <c r="CW615" s="505"/>
      <c r="CX615" s="505"/>
      <c r="CY615" s="505"/>
      <c r="CZ615" s="505"/>
      <c r="DA615" s="505"/>
      <c r="DB615" s="505"/>
      <c r="DC615" s="505"/>
      <c r="DD615" s="505"/>
      <c r="DE615" s="505"/>
      <c r="DF615" s="505"/>
      <c r="DG615" s="505"/>
      <c r="DH615" s="505"/>
      <c r="DI615" s="505"/>
      <c r="DJ615" s="505"/>
      <c r="DK615" s="505"/>
      <c r="DL615" s="505"/>
      <c r="DM615" s="505"/>
      <c r="DN615" s="505"/>
      <c r="DO615" s="505"/>
      <c r="DP615" s="505"/>
    </row>
    <row r="616" spans="1:120" hidden="1" outlineLevel="1" x14ac:dyDescent="0.2">
      <c r="A616" s="517">
        <f t="shared" si="79"/>
        <v>40787</v>
      </c>
      <c r="B616" s="517" t="str">
        <f t="shared" si="76"/>
        <v>3Q11</v>
      </c>
      <c r="C616" s="517" t="str">
        <f t="shared" si="80"/>
        <v>4Q11</v>
      </c>
      <c r="D616" s="518">
        <f t="shared" si="81"/>
        <v>40865</v>
      </c>
      <c r="E616" s="518">
        <f t="shared" si="81"/>
        <v>40805</v>
      </c>
      <c r="F616" s="520">
        <v>3.8330000000000002</v>
      </c>
      <c r="G616" s="521">
        <f t="shared" si="77"/>
        <v>0.54000000000000026</v>
      </c>
      <c r="H616" s="521">
        <f t="shared" si="78"/>
        <v>0.53000000000000025</v>
      </c>
      <c r="I616" s="505"/>
      <c r="J616" s="505"/>
      <c r="K616" s="505"/>
      <c r="L616" s="505"/>
      <c r="M616" s="528"/>
      <c r="N616" s="505"/>
      <c r="O616" s="505"/>
      <c r="P616" s="505"/>
      <c r="Q616" s="505"/>
      <c r="R616" s="505"/>
      <c r="S616" s="505"/>
      <c r="T616" s="505"/>
      <c r="U616" s="505"/>
      <c r="V616" s="505"/>
      <c r="W616" s="505"/>
      <c r="X616" s="505"/>
      <c r="Y616" s="505"/>
      <c r="Z616" s="505"/>
      <c r="AA616" s="505"/>
      <c r="AB616" s="505"/>
      <c r="AC616" s="505"/>
      <c r="AD616" s="505"/>
      <c r="AE616" s="505"/>
      <c r="AF616" s="505"/>
      <c r="AG616" s="505"/>
      <c r="AH616" s="505"/>
      <c r="AI616" s="505"/>
      <c r="AJ616" s="505"/>
      <c r="AK616" s="505"/>
      <c r="AL616" s="505"/>
      <c r="AM616" s="505"/>
      <c r="AN616" s="505"/>
      <c r="AO616" s="505"/>
      <c r="AP616" s="505"/>
      <c r="AQ616" s="505"/>
      <c r="AR616" s="505"/>
      <c r="AS616" s="505"/>
      <c r="AT616" s="505"/>
      <c r="AU616" s="505"/>
      <c r="AV616" s="505"/>
      <c r="AW616" s="505"/>
      <c r="AX616" s="505"/>
      <c r="AY616" s="505"/>
      <c r="AZ616" s="505"/>
      <c r="BA616" s="505"/>
      <c r="BB616" s="505"/>
      <c r="BC616" s="505"/>
      <c r="BD616" s="505"/>
      <c r="BE616" s="505"/>
      <c r="BF616" s="505"/>
      <c r="BG616" s="505"/>
      <c r="BH616" s="505"/>
      <c r="BI616" s="505"/>
      <c r="BJ616" s="505"/>
      <c r="BK616" s="505"/>
      <c r="BL616" s="505"/>
      <c r="BM616" s="505"/>
      <c r="BN616" s="505"/>
      <c r="BO616" s="505"/>
      <c r="BP616" s="505"/>
      <c r="BQ616" s="505"/>
      <c r="BR616" s="505"/>
      <c r="BS616" s="505"/>
      <c r="BT616" s="505"/>
      <c r="BU616" s="505"/>
      <c r="BV616" s="505"/>
      <c r="BW616" s="505"/>
      <c r="BX616" s="505"/>
      <c r="BY616" s="505"/>
      <c r="BZ616" s="505"/>
      <c r="CA616" s="505"/>
      <c r="CB616" s="505"/>
      <c r="CC616" s="505"/>
      <c r="CD616" s="505"/>
      <c r="CE616" s="505"/>
      <c r="CF616" s="505"/>
      <c r="CG616" s="505"/>
      <c r="CH616" s="505"/>
      <c r="CI616" s="505"/>
      <c r="CJ616" s="505"/>
      <c r="CK616" s="505"/>
      <c r="CL616" s="505"/>
      <c r="CM616" s="505"/>
      <c r="CN616" s="505"/>
      <c r="CO616" s="505"/>
      <c r="CP616" s="505"/>
      <c r="CQ616" s="505"/>
      <c r="CR616" s="505"/>
      <c r="CS616" s="505"/>
      <c r="CT616" s="505"/>
      <c r="CU616" s="505"/>
      <c r="CV616" s="505"/>
      <c r="CW616" s="505"/>
      <c r="CX616" s="505"/>
      <c r="CY616" s="505"/>
      <c r="CZ616" s="505"/>
      <c r="DA616" s="505"/>
      <c r="DB616" s="505"/>
      <c r="DC616" s="505"/>
      <c r="DD616" s="505"/>
      <c r="DE616" s="505"/>
      <c r="DF616" s="505"/>
      <c r="DG616" s="505"/>
      <c r="DH616" s="505"/>
      <c r="DI616" s="505"/>
      <c r="DJ616" s="505"/>
      <c r="DK616" s="505"/>
      <c r="DL616" s="505"/>
      <c r="DM616" s="505"/>
      <c r="DN616" s="505"/>
      <c r="DO616" s="505"/>
      <c r="DP616" s="505"/>
    </row>
    <row r="617" spans="1:120" hidden="1" outlineLevel="1" x14ac:dyDescent="0.2">
      <c r="A617" s="517">
        <f t="shared" si="79"/>
        <v>40787</v>
      </c>
      <c r="B617" s="517" t="str">
        <f t="shared" si="76"/>
        <v>3Q11</v>
      </c>
      <c r="C617" s="517" t="str">
        <f t="shared" si="80"/>
        <v>4Q11</v>
      </c>
      <c r="D617" s="518">
        <f t="shared" si="81"/>
        <v>40872</v>
      </c>
      <c r="E617" s="518">
        <f t="shared" si="81"/>
        <v>40812</v>
      </c>
      <c r="F617" s="520">
        <v>3.786</v>
      </c>
      <c r="G617" s="521">
        <f t="shared" si="77"/>
        <v>0.53000000000000025</v>
      </c>
      <c r="H617" s="521">
        <f t="shared" si="78"/>
        <v>0.52000000000000024</v>
      </c>
      <c r="I617" s="505"/>
      <c r="J617" s="505"/>
      <c r="K617" s="505"/>
      <c r="L617" s="505"/>
      <c r="M617" s="528"/>
      <c r="N617" s="505"/>
      <c r="O617" s="505"/>
      <c r="P617" s="505"/>
      <c r="Q617" s="505"/>
      <c r="R617" s="505"/>
      <c r="S617" s="505"/>
      <c r="T617" s="505"/>
      <c r="U617" s="505"/>
      <c r="V617" s="505"/>
      <c r="W617" s="505"/>
      <c r="X617" s="505"/>
      <c r="Y617" s="505"/>
      <c r="Z617" s="505"/>
      <c r="AA617" s="505"/>
      <c r="AB617" s="505"/>
      <c r="AC617" s="505"/>
      <c r="AD617" s="505"/>
      <c r="AE617" s="505"/>
      <c r="AF617" s="505"/>
      <c r="AG617" s="505"/>
      <c r="AH617" s="505"/>
      <c r="AI617" s="505"/>
      <c r="AJ617" s="505"/>
      <c r="AK617" s="505"/>
      <c r="AL617" s="505"/>
      <c r="AM617" s="505"/>
      <c r="AN617" s="505"/>
      <c r="AO617" s="505"/>
      <c r="AP617" s="505"/>
      <c r="AQ617" s="505"/>
      <c r="AR617" s="505"/>
      <c r="AS617" s="505"/>
      <c r="AT617" s="505"/>
      <c r="AU617" s="505"/>
      <c r="AV617" s="505"/>
      <c r="AW617" s="505"/>
      <c r="AX617" s="505"/>
      <c r="AY617" s="505"/>
      <c r="AZ617" s="505"/>
      <c r="BA617" s="505"/>
      <c r="BB617" s="505"/>
      <c r="BC617" s="505"/>
      <c r="BD617" s="505"/>
      <c r="BE617" s="505"/>
      <c r="BF617" s="505"/>
      <c r="BG617" s="505"/>
      <c r="BH617" s="505"/>
      <c r="BI617" s="505"/>
      <c r="BJ617" s="505"/>
      <c r="BK617" s="505"/>
      <c r="BL617" s="505"/>
      <c r="BM617" s="505"/>
      <c r="BN617" s="505"/>
      <c r="BO617" s="505"/>
      <c r="BP617" s="505"/>
      <c r="BQ617" s="505"/>
      <c r="BR617" s="505"/>
      <c r="BS617" s="505"/>
      <c r="BT617" s="505"/>
      <c r="BU617" s="505"/>
      <c r="BV617" s="505"/>
      <c r="BW617" s="505"/>
      <c r="BX617" s="505"/>
      <c r="BY617" s="505"/>
      <c r="BZ617" s="505"/>
      <c r="CA617" s="505"/>
      <c r="CB617" s="505"/>
      <c r="CC617" s="505"/>
      <c r="CD617" s="505"/>
      <c r="CE617" s="505"/>
      <c r="CF617" s="505"/>
      <c r="CG617" s="505"/>
      <c r="CH617" s="505"/>
      <c r="CI617" s="505"/>
      <c r="CJ617" s="505"/>
      <c r="CK617" s="505"/>
      <c r="CL617" s="505"/>
      <c r="CM617" s="505"/>
      <c r="CN617" s="505"/>
      <c r="CO617" s="505"/>
      <c r="CP617" s="505"/>
      <c r="CQ617" s="505"/>
      <c r="CR617" s="505"/>
      <c r="CS617" s="505"/>
      <c r="CT617" s="505"/>
      <c r="CU617" s="505"/>
      <c r="CV617" s="505"/>
      <c r="CW617" s="505"/>
      <c r="CX617" s="505"/>
      <c r="CY617" s="505"/>
      <c r="CZ617" s="505"/>
      <c r="DA617" s="505"/>
      <c r="DB617" s="505"/>
      <c r="DC617" s="505"/>
      <c r="DD617" s="505"/>
      <c r="DE617" s="505"/>
      <c r="DF617" s="505"/>
      <c r="DG617" s="505"/>
      <c r="DH617" s="505"/>
      <c r="DI617" s="505"/>
      <c r="DJ617" s="505"/>
      <c r="DK617" s="505"/>
      <c r="DL617" s="505"/>
      <c r="DM617" s="505"/>
      <c r="DN617" s="505"/>
      <c r="DO617" s="505"/>
      <c r="DP617" s="505"/>
    </row>
    <row r="618" spans="1:120" hidden="1" outlineLevel="1" x14ac:dyDescent="0.2">
      <c r="A618" s="517">
        <f t="shared" si="79"/>
        <v>40817</v>
      </c>
      <c r="B618" s="517" t="str">
        <f t="shared" si="76"/>
        <v>4Q11</v>
      </c>
      <c r="C618" s="517" t="str">
        <f t="shared" si="80"/>
        <v>4Q11</v>
      </c>
      <c r="D618" s="518">
        <f t="shared" si="81"/>
        <v>40879</v>
      </c>
      <c r="E618" s="518">
        <f t="shared" si="81"/>
        <v>40819</v>
      </c>
      <c r="F618" s="520">
        <v>3.7490000000000001</v>
      </c>
      <c r="G618" s="521">
        <f t="shared" si="77"/>
        <v>0.52000000000000024</v>
      </c>
      <c r="H618" s="521">
        <f t="shared" si="78"/>
        <v>0.52000000000000024</v>
      </c>
      <c r="I618" s="505"/>
      <c r="J618" s="505"/>
      <c r="K618" s="505"/>
      <c r="L618" s="505"/>
      <c r="M618" s="528"/>
      <c r="N618" s="505"/>
      <c r="O618" s="505"/>
      <c r="P618" s="505"/>
      <c r="Q618" s="505"/>
      <c r="R618" s="505"/>
      <c r="S618" s="505"/>
      <c r="T618" s="505"/>
      <c r="U618" s="505"/>
      <c r="V618" s="505"/>
      <c r="W618" s="505"/>
      <c r="X618" s="505"/>
      <c r="Y618" s="505"/>
      <c r="Z618" s="505"/>
      <c r="AA618" s="505"/>
      <c r="AB618" s="505"/>
      <c r="AC618" s="505"/>
      <c r="AD618" s="505"/>
      <c r="AE618" s="505"/>
      <c r="AF618" s="505"/>
      <c r="AG618" s="505"/>
      <c r="AH618" s="505"/>
      <c r="AI618" s="505"/>
      <c r="AJ618" s="505"/>
      <c r="AK618" s="505"/>
      <c r="AL618" s="505"/>
      <c r="AM618" s="505"/>
      <c r="AN618" s="505"/>
      <c r="AO618" s="505"/>
      <c r="AP618" s="505"/>
      <c r="AQ618" s="505"/>
      <c r="AR618" s="505"/>
      <c r="AS618" s="505"/>
      <c r="AT618" s="505"/>
      <c r="AU618" s="505"/>
      <c r="AV618" s="505"/>
      <c r="AW618" s="505"/>
      <c r="AX618" s="505"/>
      <c r="AY618" s="505"/>
      <c r="AZ618" s="505"/>
      <c r="BA618" s="505"/>
      <c r="BB618" s="505"/>
      <c r="BC618" s="505"/>
      <c r="BD618" s="505"/>
      <c r="BE618" s="505"/>
      <c r="BF618" s="505"/>
      <c r="BG618" s="505"/>
      <c r="BH618" s="505"/>
      <c r="BI618" s="505"/>
      <c r="BJ618" s="505"/>
      <c r="BK618" s="505"/>
      <c r="BL618" s="505"/>
      <c r="BM618" s="505"/>
      <c r="BN618" s="505"/>
      <c r="BO618" s="505"/>
      <c r="BP618" s="505"/>
      <c r="BQ618" s="505"/>
      <c r="BR618" s="505"/>
      <c r="BS618" s="505"/>
      <c r="BT618" s="505"/>
      <c r="BU618" s="505"/>
      <c r="BV618" s="505"/>
      <c r="BW618" s="505"/>
      <c r="BX618" s="505"/>
      <c r="BY618" s="505"/>
      <c r="BZ618" s="505"/>
      <c r="CA618" s="505"/>
      <c r="CB618" s="505"/>
      <c r="CC618" s="505"/>
      <c r="CD618" s="505"/>
      <c r="CE618" s="505"/>
      <c r="CF618" s="505"/>
      <c r="CG618" s="505"/>
      <c r="CH618" s="505"/>
      <c r="CI618" s="505"/>
      <c r="CJ618" s="505"/>
      <c r="CK618" s="505"/>
      <c r="CL618" s="505"/>
      <c r="CM618" s="505"/>
      <c r="CN618" s="505"/>
      <c r="CO618" s="505"/>
      <c r="CP618" s="505"/>
      <c r="CQ618" s="505"/>
      <c r="CR618" s="505"/>
      <c r="CS618" s="505"/>
      <c r="CT618" s="505"/>
      <c r="CU618" s="505"/>
      <c r="CV618" s="505"/>
      <c r="CW618" s="505"/>
      <c r="CX618" s="505"/>
      <c r="CY618" s="505"/>
      <c r="CZ618" s="505"/>
      <c r="DA618" s="505"/>
      <c r="DB618" s="505"/>
      <c r="DC618" s="505"/>
      <c r="DD618" s="505"/>
      <c r="DE618" s="505"/>
      <c r="DF618" s="505"/>
      <c r="DG618" s="505"/>
      <c r="DH618" s="505"/>
      <c r="DI618" s="505"/>
      <c r="DJ618" s="505"/>
      <c r="DK618" s="505"/>
      <c r="DL618" s="505"/>
      <c r="DM618" s="505"/>
      <c r="DN618" s="505"/>
      <c r="DO618" s="505"/>
      <c r="DP618" s="505"/>
    </row>
    <row r="619" spans="1:120" hidden="1" outlineLevel="1" x14ac:dyDescent="0.2">
      <c r="A619" s="517">
        <f t="shared" si="79"/>
        <v>40817</v>
      </c>
      <c r="B619" s="517" t="str">
        <f t="shared" si="76"/>
        <v>4Q11</v>
      </c>
      <c r="C619" s="517" t="str">
        <f t="shared" si="80"/>
        <v>4Q11</v>
      </c>
      <c r="D619" s="518">
        <f t="shared" si="81"/>
        <v>40886</v>
      </c>
      <c r="E619" s="518">
        <f t="shared" si="81"/>
        <v>40826</v>
      </c>
      <c r="F619" s="520">
        <v>3.7210000000000001</v>
      </c>
      <c r="G619" s="521">
        <f t="shared" si="77"/>
        <v>0.52000000000000024</v>
      </c>
      <c r="H619" s="521">
        <f t="shared" si="78"/>
        <v>0.54000000000000026</v>
      </c>
      <c r="I619" s="505"/>
      <c r="J619" s="505"/>
      <c r="K619" s="505"/>
      <c r="L619" s="505"/>
      <c r="M619" s="528"/>
      <c r="N619" s="505"/>
      <c r="O619" s="505"/>
      <c r="P619" s="505"/>
      <c r="Q619" s="505"/>
      <c r="R619" s="505"/>
      <c r="S619" s="505"/>
      <c r="T619" s="505"/>
      <c r="U619" s="505"/>
      <c r="V619" s="505"/>
      <c r="W619" s="505"/>
      <c r="X619" s="505"/>
      <c r="Y619" s="505"/>
      <c r="Z619" s="505"/>
      <c r="AA619" s="505"/>
      <c r="AB619" s="505"/>
      <c r="AC619" s="505"/>
      <c r="AD619" s="505"/>
      <c r="AE619" s="505"/>
      <c r="AF619" s="505"/>
      <c r="AG619" s="505"/>
      <c r="AH619" s="505"/>
      <c r="AI619" s="505"/>
      <c r="AJ619" s="505"/>
      <c r="AK619" s="505"/>
      <c r="AL619" s="505"/>
      <c r="AM619" s="505"/>
      <c r="AN619" s="505"/>
      <c r="AO619" s="505"/>
      <c r="AP619" s="505"/>
      <c r="AQ619" s="505"/>
      <c r="AR619" s="505"/>
      <c r="AS619" s="505"/>
      <c r="AT619" s="505"/>
      <c r="AU619" s="505"/>
      <c r="AV619" s="505"/>
      <c r="AW619" s="505"/>
      <c r="AX619" s="505"/>
      <c r="AY619" s="505"/>
      <c r="AZ619" s="505"/>
      <c r="BA619" s="505"/>
      <c r="BB619" s="505"/>
      <c r="BC619" s="505"/>
      <c r="BD619" s="505"/>
      <c r="BE619" s="505"/>
      <c r="BF619" s="505"/>
      <c r="BG619" s="505"/>
      <c r="BH619" s="505"/>
      <c r="BI619" s="505"/>
      <c r="BJ619" s="505"/>
      <c r="BK619" s="505"/>
      <c r="BL619" s="505"/>
      <c r="BM619" s="505"/>
      <c r="BN619" s="505"/>
      <c r="BO619" s="505"/>
      <c r="BP619" s="505"/>
      <c r="BQ619" s="505"/>
      <c r="BR619" s="505"/>
      <c r="BS619" s="505"/>
      <c r="BT619" s="505"/>
      <c r="BU619" s="505"/>
      <c r="BV619" s="505"/>
      <c r="BW619" s="505"/>
      <c r="BX619" s="505"/>
      <c r="BY619" s="505"/>
      <c r="BZ619" s="505"/>
      <c r="CA619" s="505"/>
      <c r="CB619" s="505"/>
      <c r="CC619" s="505"/>
      <c r="CD619" s="505"/>
      <c r="CE619" s="505"/>
      <c r="CF619" s="505"/>
      <c r="CG619" s="505"/>
      <c r="CH619" s="505"/>
      <c r="CI619" s="505"/>
      <c r="CJ619" s="505"/>
      <c r="CK619" s="505"/>
      <c r="CL619" s="505"/>
      <c r="CM619" s="505"/>
      <c r="CN619" s="505"/>
      <c r="CO619" s="505"/>
      <c r="CP619" s="505"/>
      <c r="CQ619" s="505"/>
      <c r="CR619" s="505"/>
      <c r="CS619" s="505"/>
      <c r="CT619" s="505"/>
      <c r="CU619" s="505"/>
      <c r="CV619" s="505"/>
      <c r="CW619" s="505"/>
      <c r="CX619" s="505"/>
      <c r="CY619" s="505"/>
      <c r="CZ619" s="505"/>
      <c r="DA619" s="505"/>
      <c r="DB619" s="505"/>
      <c r="DC619" s="505"/>
      <c r="DD619" s="505"/>
      <c r="DE619" s="505"/>
      <c r="DF619" s="505"/>
      <c r="DG619" s="505"/>
      <c r="DH619" s="505"/>
      <c r="DI619" s="505"/>
      <c r="DJ619" s="505"/>
      <c r="DK619" s="505"/>
      <c r="DL619" s="505"/>
      <c r="DM619" s="505"/>
      <c r="DN619" s="505"/>
      <c r="DO619" s="505"/>
      <c r="DP619" s="505"/>
    </row>
    <row r="620" spans="1:120" hidden="1" outlineLevel="1" x14ac:dyDescent="0.2">
      <c r="A620" s="517">
        <f t="shared" si="79"/>
        <v>40817</v>
      </c>
      <c r="B620" s="517" t="str">
        <f t="shared" si="76"/>
        <v>4Q11</v>
      </c>
      <c r="C620" s="517" t="str">
        <f t="shared" si="80"/>
        <v>4Q11</v>
      </c>
      <c r="D620" s="518">
        <f t="shared" si="81"/>
        <v>40893</v>
      </c>
      <c r="E620" s="518">
        <f t="shared" si="81"/>
        <v>40833</v>
      </c>
      <c r="F620" s="520">
        <v>3.8010000000000002</v>
      </c>
      <c r="G620" s="521">
        <f t="shared" si="77"/>
        <v>0.54000000000000026</v>
      </c>
      <c r="H620" s="521">
        <f t="shared" si="78"/>
        <v>0.54000000000000026</v>
      </c>
      <c r="I620" s="505"/>
      <c r="J620" s="505"/>
      <c r="K620" s="505"/>
      <c r="L620" s="505"/>
      <c r="M620" s="528"/>
      <c r="N620" s="505"/>
      <c r="O620" s="505"/>
      <c r="P620" s="505"/>
      <c r="Q620" s="505"/>
      <c r="R620" s="505"/>
      <c r="S620" s="505"/>
      <c r="T620" s="505"/>
      <c r="U620" s="505"/>
      <c r="V620" s="505"/>
      <c r="W620" s="505"/>
      <c r="X620" s="505"/>
      <c r="Y620" s="505"/>
      <c r="Z620" s="505"/>
      <c r="AA620" s="505"/>
      <c r="AB620" s="505"/>
      <c r="AC620" s="505"/>
      <c r="AD620" s="505"/>
      <c r="AE620" s="505"/>
      <c r="AF620" s="505"/>
      <c r="AG620" s="505"/>
      <c r="AH620" s="505"/>
      <c r="AI620" s="505"/>
      <c r="AJ620" s="505"/>
      <c r="AK620" s="505"/>
      <c r="AL620" s="505"/>
      <c r="AM620" s="505"/>
      <c r="AN620" s="505"/>
      <c r="AO620" s="505"/>
      <c r="AP620" s="505"/>
      <c r="AQ620" s="505"/>
      <c r="AR620" s="505"/>
      <c r="AS620" s="505"/>
      <c r="AT620" s="505"/>
      <c r="AU620" s="505"/>
      <c r="AV620" s="505"/>
      <c r="AW620" s="505"/>
      <c r="AX620" s="505"/>
      <c r="AY620" s="505"/>
      <c r="AZ620" s="505"/>
      <c r="BA620" s="505"/>
      <c r="BB620" s="505"/>
      <c r="BC620" s="505"/>
      <c r="BD620" s="505"/>
      <c r="BE620" s="505"/>
      <c r="BF620" s="505"/>
      <c r="BG620" s="505"/>
      <c r="BH620" s="505"/>
      <c r="BI620" s="505"/>
      <c r="BJ620" s="505"/>
      <c r="BK620" s="505"/>
      <c r="BL620" s="505"/>
      <c r="BM620" s="505"/>
      <c r="BN620" s="505"/>
      <c r="BO620" s="505"/>
      <c r="BP620" s="505"/>
      <c r="BQ620" s="505"/>
      <c r="BR620" s="505"/>
      <c r="BS620" s="505"/>
      <c r="BT620" s="505"/>
      <c r="BU620" s="505"/>
      <c r="BV620" s="505"/>
      <c r="BW620" s="505"/>
      <c r="BX620" s="505"/>
      <c r="BY620" s="505"/>
      <c r="BZ620" s="505"/>
      <c r="CA620" s="505"/>
      <c r="CB620" s="505"/>
      <c r="CC620" s="505"/>
      <c r="CD620" s="505"/>
      <c r="CE620" s="505"/>
      <c r="CF620" s="505"/>
      <c r="CG620" s="505"/>
      <c r="CH620" s="505"/>
      <c r="CI620" s="505"/>
      <c r="CJ620" s="505"/>
      <c r="CK620" s="505"/>
      <c r="CL620" s="505"/>
      <c r="CM620" s="505"/>
      <c r="CN620" s="505"/>
      <c r="CO620" s="505"/>
      <c r="CP620" s="505"/>
      <c r="CQ620" s="505"/>
      <c r="CR620" s="505"/>
      <c r="CS620" s="505"/>
      <c r="CT620" s="505"/>
      <c r="CU620" s="505"/>
      <c r="CV620" s="505"/>
      <c r="CW620" s="505"/>
      <c r="CX620" s="505"/>
      <c r="CY620" s="505"/>
      <c r="CZ620" s="505"/>
      <c r="DA620" s="505"/>
      <c r="DB620" s="505"/>
      <c r="DC620" s="505"/>
      <c r="DD620" s="505"/>
      <c r="DE620" s="505"/>
      <c r="DF620" s="505"/>
      <c r="DG620" s="505"/>
      <c r="DH620" s="505"/>
      <c r="DI620" s="505"/>
      <c r="DJ620" s="505"/>
      <c r="DK620" s="505"/>
      <c r="DL620" s="505"/>
      <c r="DM620" s="505"/>
      <c r="DN620" s="505"/>
      <c r="DO620" s="505"/>
      <c r="DP620" s="505"/>
    </row>
    <row r="621" spans="1:120" hidden="1" outlineLevel="1" x14ac:dyDescent="0.2">
      <c r="A621" s="517">
        <f t="shared" si="79"/>
        <v>40817</v>
      </c>
      <c r="B621" s="517" t="str">
        <f t="shared" si="76"/>
        <v>4Q11</v>
      </c>
      <c r="C621" s="517" t="str">
        <f t="shared" si="80"/>
        <v>4Q11</v>
      </c>
      <c r="D621" s="518">
        <f t="shared" si="81"/>
        <v>40900</v>
      </c>
      <c r="E621" s="518">
        <f t="shared" si="81"/>
        <v>40840</v>
      </c>
      <c r="F621" s="520">
        <v>3.8250000000000002</v>
      </c>
      <c r="G621" s="521">
        <f t="shared" si="77"/>
        <v>0.54000000000000026</v>
      </c>
      <c r="H621" s="521">
        <f t="shared" si="78"/>
        <v>0.55000000000000027</v>
      </c>
      <c r="I621" s="505"/>
      <c r="J621" s="505"/>
      <c r="K621" s="505"/>
      <c r="L621" s="505"/>
      <c r="M621" s="528"/>
      <c r="N621" s="505"/>
      <c r="O621" s="505"/>
      <c r="P621" s="505"/>
      <c r="Q621" s="505"/>
      <c r="R621" s="505"/>
      <c r="S621" s="505"/>
      <c r="T621" s="505"/>
      <c r="U621" s="505"/>
      <c r="V621" s="505"/>
      <c r="W621" s="505"/>
      <c r="X621" s="505"/>
      <c r="Y621" s="505"/>
      <c r="Z621" s="505"/>
      <c r="AA621" s="505"/>
      <c r="AB621" s="505"/>
      <c r="AC621" s="505"/>
      <c r="AD621" s="505"/>
      <c r="AE621" s="505"/>
      <c r="AF621" s="505"/>
      <c r="AG621" s="505"/>
      <c r="AH621" s="505"/>
      <c r="AI621" s="505"/>
      <c r="AJ621" s="505"/>
      <c r="AK621" s="505"/>
      <c r="AL621" s="505"/>
      <c r="AM621" s="505"/>
      <c r="AN621" s="505"/>
      <c r="AO621" s="505"/>
      <c r="AP621" s="505"/>
      <c r="AQ621" s="505"/>
      <c r="AR621" s="505"/>
      <c r="AS621" s="505"/>
      <c r="AT621" s="505"/>
      <c r="AU621" s="505"/>
      <c r="AV621" s="505"/>
      <c r="AW621" s="505"/>
      <c r="AX621" s="505"/>
      <c r="AY621" s="505"/>
      <c r="AZ621" s="505"/>
      <c r="BA621" s="505"/>
      <c r="BB621" s="505"/>
      <c r="BC621" s="505"/>
      <c r="BD621" s="505"/>
      <c r="BE621" s="505"/>
      <c r="BF621" s="505"/>
      <c r="BG621" s="505"/>
      <c r="BH621" s="505"/>
      <c r="BI621" s="505"/>
      <c r="BJ621" s="505"/>
      <c r="BK621" s="505"/>
      <c r="BL621" s="505"/>
      <c r="BM621" s="505"/>
      <c r="BN621" s="505"/>
      <c r="BO621" s="505"/>
      <c r="BP621" s="505"/>
      <c r="BQ621" s="505"/>
      <c r="BR621" s="505"/>
      <c r="BS621" s="505"/>
      <c r="BT621" s="505"/>
      <c r="BU621" s="505"/>
      <c r="BV621" s="505"/>
      <c r="BW621" s="505"/>
      <c r="BX621" s="505"/>
      <c r="BY621" s="505"/>
      <c r="BZ621" s="505"/>
      <c r="CA621" s="505"/>
      <c r="CB621" s="505"/>
      <c r="CC621" s="505"/>
      <c r="CD621" s="505"/>
      <c r="CE621" s="505"/>
      <c r="CF621" s="505"/>
      <c r="CG621" s="505"/>
      <c r="CH621" s="505"/>
      <c r="CI621" s="505"/>
      <c r="CJ621" s="505"/>
      <c r="CK621" s="505"/>
      <c r="CL621" s="505"/>
      <c r="CM621" s="505"/>
      <c r="CN621" s="505"/>
      <c r="CO621" s="505"/>
      <c r="CP621" s="505"/>
      <c r="CQ621" s="505"/>
      <c r="CR621" s="505"/>
      <c r="CS621" s="505"/>
      <c r="CT621" s="505"/>
      <c r="CU621" s="505"/>
      <c r="CV621" s="505"/>
      <c r="CW621" s="505"/>
      <c r="CX621" s="505"/>
      <c r="CY621" s="505"/>
      <c r="CZ621" s="505"/>
      <c r="DA621" s="505"/>
      <c r="DB621" s="505"/>
      <c r="DC621" s="505"/>
      <c r="DD621" s="505"/>
      <c r="DE621" s="505"/>
      <c r="DF621" s="505"/>
      <c r="DG621" s="505"/>
      <c r="DH621" s="505"/>
      <c r="DI621" s="505"/>
      <c r="DJ621" s="505"/>
      <c r="DK621" s="505"/>
      <c r="DL621" s="505"/>
      <c r="DM621" s="505"/>
      <c r="DN621" s="505"/>
      <c r="DO621" s="505"/>
      <c r="DP621" s="505"/>
    </row>
    <row r="622" spans="1:120" hidden="1" outlineLevel="1" x14ac:dyDescent="0.2">
      <c r="A622" s="517">
        <f t="shared" si="79"/>
        <v>40817</v>
      </c>
      <c r="B622" s="517" t="str">
        <f t="shared" si="76"/>
        <v>4Q11</v>
      </c>
      <c r="C622" s="517" t="str">
        <f t="shared" si="80"/>
        <v>4Q11</v>
      </c>
      <c r="D622" s="518">
        <f t="shared" si="81"/>
        <v>40907</v>
      </c>
      <c r="E622" s="518">
        <f t="shared" si="81"/>
        <v>40847</v>
      </c>
      <c r="F622" s="520">
        <v>3.8919999999999999</v>
      </c>
      <c r="G622" s="521">
        <f t="shared" si="77"/>
        <v>0.55000000000000027</v>
      </c>
      <c r="H622" s="521">
        <f t="shared" si="78"/>
        <v>0.55000000000000027</v>
      </c>
      <c r="I622" s="505"/>
      <c r="J622" s="505"/>
      <c r="K622" s="505"/>
      <c r="L622" s="505"/>
      <c r="M622" s="528"/>
      <c r="N622" s="505"/>
      <c r="O622" s="505"/>
      <c r="P622" s="505"/>
      <c r="Q622" s="505"/>
      <c r="R622" s="505"/>
      <c r="S622" s="505"/>
      <c r="T622" s="505"/>
      <c r="U622" s="505"/>
      <c r="V622" s="505"/>
      <c r="W622" s="505"/>
      <c r="X622" s="505"/>
      <c r="Y622" s="505"/>
      <c r="Z622" s="505"/>
      <c r="AA622" s="505"/>
      <c r="AB622" s="505"/>
      <c r="AC622" s="505"/>
      <c r="AD622" s="505"/>
      <c r="AE622" s="505"/>
      <c r="AF622" s="505"/>
      <c r="AG622" s="505"/>
      <c r="AH622" s="505"/>
      <c r="AI622" s="505"/>
      <c r="AJ622" s="505"/>
      <c r="AK622" s="505"/>
      <c r="AL622" s="505"/>
      <c r="AM622" s="505"/>
      <c r="AN622" s="505"/>
      <c r="AO622" s="505"/>
      <c r="AP622" s="505"/>
      <c r="AQ622" s="505"/>
      <c r="AR622" s="505"/>
      <c r="AS622" s="505"/>
      <c r="AT622" s="505"/>
      <c r="AU622" s="505"/>
      <c r="AV622" s="505"/>
      <c r="AW622" s="505"/>
      <c r="AX622" s="505"/>
      <c r="AY622" s="505"/>
      <c r="AZ622" s="505"/>
      <c r="BA622" s="505"/>
      <c r="BB622" s="505"/>
      <c r="BC622" s="505"/>
      <c r="BD622" s="505"/>
      <c r="BE622" s="505"/>
      <c r="BF622" s="505"/>
      <c r="BG622" s="505"/>
      <c r="BH622" s="505"/>
      <c r="BI622" s="505"/>
      <c r="BJ622" s="505"/>
      <c r="BK622" s="505"/>
      <c r="BL622" s="505"/>
      <c r="BM622" s="505"/>
      <c r="BN622" s="505"/>
      <c r="BO622" s="505"/>
      <c r="BP622" s="505"/>
      <c r="BQ622" s="505"/>
      <c r="BR622" s="505"/>
      <c r="BS622" s="505"/>
      <c r="BT622" s="505"/>
      <c r="BU622" s="505"/>
      <c r="BV622" s="505"/>
      <c r="BW622" s="505"/>
      <c r="BX622" s="505"/>
      <c r="BY622" s="505"/>
      <c r="BZ622" s="505"/>
      <c r="CA622" s="505"/>
      <c r="CB622" s="505"/>
      <c r="CC622" s="505"/>
      <c r="CD622" s="505"/>
      <c r="CE622" s="505"/>
      <c r="CF622" s="505"/>
      <c r="CG622" s="505"/>
      <c r="CH622" s="505"/>
      <c r="CI622" s="505"/>
      <c r="CJ622" s="505"/>
      <c r="CK622" s="505"/>
      <c r="CL622" s="505"/>
      <c r="CM622" s="505"/>
      <c r="CN622" s="505"/>
      <c r="CO622" s="505"/>
      <c r="CP622" s="505"/>
      <c r="CQ622" s="505"/>
      <c r="CR622" s="505"/>
      <c r="CS622" s="505"/>
      <c r="CT622" s="505"/>
      <c r="CU622" s="505"/>
      <c r="CV622" s="505"/>
      <c r="CW622" s="505"/>
      <c r="CX622" s="505"/>
      <c r="CY622" s="505"/>
      <c r="CZ622" s="505"/>
      <c r="DA622" s="505"/>
      <c r="DB622" s="505"/>
      <c r="DC622" s="505"/>
      <c r="DD622" s="505"/>
      <c r="DE622" s="505"/>
      <c r="DF622" s="505"/>
      <c r="DG622" s="505"/>
      <c r="DH622" s="505"/>
      <c r="DI622" s="505"/>
      <c r="DJ622" s="505"/>
      <c r="DK622" s="505"/>
      <c r="DL622" s="505"/>
      <c r="DM622" s="505"/>
      <c r="DN622" s="505"/>
      <c r="DO622" s="505"/>
      <c r="DP622" s="505"/>
    </row>
    <row r="623" spans="1:120" hidden="1" outlineLevel="1" x14ac:dyDescent="0.2">
      <c r="A623" s="517">
        <f t="shared" si="79"/>
        <v>40848</v>
      </c>
      <c r="B623" s="517" t="str">
        <f t="shared" si="76"/>
        <v>4Q11</v>
      </c>
      <c r="C623" s="517" t="str">
        <f t="shared" si="80"/>
        <v>1Q12</v>
      </c>
      <c r="D623" s="518">
        <f t="shared" si="81"/>
        <v>40914</v>
      </c>
      <c r="E623" s="518">
        <f t="shared" si="81"/>
        <v>40854</v>
      </c>
      <c r="F623" s="520">
        <v>3.887</v>
      </c>
      <c r="G623" s="521">
        <f t="shared" si="77"/>
        <v>0.55000000000000027</v>
      </c>
      <c r="H623" s="521">
        <f t="shared" si="78"/>
        <v>0.57000000000000028</v>
      </c>
      <c r="I623" s="505"/>
      <c r="J623" s="505"/>
      <c r="K623" s="505"/>
      <c r="L623" s="505"/>
      <c r="M623" s="528"/>
      <c r="N623" s="505"/>
      <c r="O623" s="505"/>
      <c r="P623" s="505"/>
      <c r="Q623" s="505"/>
      <c r="R623" s="505"/>
      <c r="S623" s="505"/>
      <c r="T623" s="505"/>
      <c r="U623" s="505"/>
      <c r="V623" s="505"/>
      <c r="W623" s="505"/>
      <c r="X623" s="505"/>
      <c r="Y623" s="505"/>
      <c r="Z623" s="505"/>
      <c r="AA623" s="505"/>
      <c r="AB623" s="505"/>
      <c r="AC623" s="505"/>
      <c r="AD623" s="505"/>
      <c r="AE623" s="505"/>
      <c r="AF623" s="505"/>
      <c r="AG623" s="505"/>
      <c r="AH623" s="505"/>
      <c r="AI623" s="505"/>
      <c r="AJ623" s="505"/>
      <c r="AK623" s="505"/>
      <c r="AL623" s="505"/>
      <c r="AM623" s="505"/>
      <c r="AN623" s="505"/>
      <c r="AO623" s="505"/>
      <c r="AP623" s="505"/>
      <c r="AQ623" s="505"/>
      <c r="AR623" s="505"/>
      <c r="AS623" s="505"/>
      <c r="AT623" s="505"/>
      <c r="AU623" s="505"/>
      <c r="AV623" s="505"/>
      <c r="AW623" s="505"/>
      <c r="AX623" s="505"/>
      <c r="AY623" s="505"/>
      <c r="AZ623" s="505"/>
      <c r="BA623" s="505"/>
      <c r="BB623" s="505"/>
      <c r="BC623" s="505"/>
      <c r="BD623" s="505"/>
      <c r="BE623" s="505"/>
      <c r="BF623" s="505"/>
      <c r="BG623" s="505"/>
      <c r="BH623" s="505"/>
      <c r="BI623" s="505"/>
      <c r="BJ623" s="505"/>
      <c r="BK623" s="505"/>
      <c r="BL623" s="505"/>
      <c r="BM623" s="505"/>
      <c r="BN623" s="505"/>
      <c r="BO623" s="505"/>
      <c r="BP623" s="505"/>
      <c r="BQ623" s="505"/>
      <c r="BR623" s="505"/>
      <c r="BS623" s="505"/>
      <c r="BT623" s="505"/>
      <c r="BU623" s="505"/>
      <c r="BV623" s="505"/>
      <c r="BW623" s="505"/>
      <c r="BX623" s="505"/>
      <c r="BY623" s="505"/>
      <c r="BZ623" s="505"/>
      <c r="CA623" s="505"/>
      <c r="CB623" s="505"/>
      <c r="CC623" s="505"/>
      <c r="CD623" s="505"/>
      <c r="CE623" s="505"/>
      <c r="CF623" s="505"/>
      <c r="CG623" s="505"/>
      <c r="CH623" s="505"/>
      <c r="CI623" s="505"/>
      <c r="CJ623" s="505"/>
      <c r="CK623" s="505"/>
      <c r="CL623" s="505"/>
      <c r="CM623" s="505"/>
      <c r="CN623" s="505"/>
      <c r="CO623" s="505"/>
      <c r="CP623" s="505"/>
      <c r="CQ623" s="505"/>
      <c r="CR623" s="505"/>
      <c r="CS623" s="505"/>
      <c r="CT623" s="505"/>
      <c r="CU623" s="505"/>
      <c r="CV623" s="505"/>
      <c r="CW623" s="505"/>
      <c r="CX623" s="505"/>
      <c r="CY623" s="505"/>
      <c r="CZ623" s="505"/>
      <c r="DA623" s="505"/>
      <c r="DB623" s="505"/>
      <c r="DC623" s="505"/>
      <c r="DD623" s="505"/>
      <c r="DE623" s="505"/>
      <c r="DF623" s="505"/>
      <c r="DG623" s="505"/>
      <c r="DH623" s="505"/>
      <c r="DI623" s="505"/>
      <c r="DJ623" s="505"/>
      <c r="DK623" s="505"/>
      <c r="DL623" s="505"/>
      <c r="DM623" s="505"/>
      <c r="DN623" s="505"/>
      <c r="DO623" s="505"/>
      <c r="DP623" s="505"/>
    </row>
    <row r="624" spans="1:120" hidden="1" outlineLevel="1" x14ac:dyDescent="0.2">
      <c r="A624" s="517">
        <f t="shared" si="79"/>
        <v>40848</v>
      </c>
      <c r="B624" s="517" t="str">
        <f t="shared" si="76"/>
        <v>4Q11</v>
      </c>
      <c r="C624" s="517" t="str">
        <f t="shared" si="80"/>
        <v>1Q12</v>
      </c>
      <c r="D624" s="518">
        <f t="shared" si="81"/>
        <v>40921</v>
      </c>
      <c r="E624" s="518">
        <f t="shared" si="81"/>
        <v>40861</v>
      </c>
      <c r="F624" s="520">
        <v>3.9870000000000001</v>
      </c>
      <c r="G624" s="521">
        <f t="shared" si="77"/>
        <v>0.57000000000000028</v>
      </c>
      <c r="H624" s="521">
        <f t="shared" si="78"/>
        <v>0.58000000000000029</v>
      </c>
      <c r="I624" s="505"/>
      <c r="J624" s="505"/>
      <c r="K624" s="505"/>
      <c r="L624" s="505"/>
      <c r="M624" s="528"/>
      <c r="N624" s="505"/>
      <c r="O624" s="505"/>
      <c r="P624" s="505"/>
      <c r="Q624" s="505"/>
      <c r="R624" s="505"/>
      <c r="S624" s="505"/>
      <c r="T624" s="505"/>
      <c r="U624" s="505"/>
      <c r="V624" s="505"/>
      <c r="W624" s="505"/>
      <c r="X624" s="505"/>
      <c r="Y624" s="505"/>
      <c r="Z624" s="505"/>
      <c r="AA624" s="505"/>
      <c r="AB624" s="505"/>
      <c r="AC624" s="505"/>
      <c r="AD624" s="505"/>
      <c r="AE624" s="505"/>
      <c r="AF624" s="505"/>
      <c r="AG624" s="505"/>
      <c r="AH624" s="505"/>
      <c r="AI624" s="505"/>
      <c r="AJ624" s="505"/>
      <c r="AK624" s="505"/>
      <c r="AL624" s="505"/>
      <c r="AM624" s="505"/>
      <c r="AN624" s="505"/>
      <c r="AO624" s="505"/>
      <c r="AP624" s="505"/>
      <c r="AQ624" s="505"/>
      <c r="AR624" s="505"/>
      <c r="AS624" s="505"/>
      <c r="AT624" s="505"/>
      <c r="AU624" s="505"/>
      <c r="AV624" s="505"/>
      <c r="AW624" s="505"/>
      <c r="AX624" s="505"/>
      <c r="AY624" s="505"/>
      <c r="AZ624" s="505"/>
      <c r="BA624" s="505"/>
      <c r="BB624" s="505"/>
      <c r="BC624" s="505"/>
      <c r="BD624" s="505"/>
      <c r="BE624" s="505"/>
      <c r="BF624" s="505"/>
      <c r="BG624" s="505"/>
      <c r="BH624" s="505"/>
      <c r="BI624" s="505"/>
      <c r="BJ624" s="505"/>
      <c r="BK624" s="505"/>
      <c r="BL624" s="505"/>
      <c r="BM624" s="505"/>
      <c r="BN624" s="505"/>
      <c r="BO624" s="505"/>
      <c r="BP624" s="505"/>
      <c r="BQ624" s="505"/>
      <c r="BR624" s="505"/>
      <c r="BS624" s="505"/>
      <c r="BT624" s="505"/>
      <c r="BU624" s="505"/>
      <c r="BV624" s="505"/>
      <c r="BW624" s="505"/>
      <c r="BX624" s="505"/>
      <c r="BY624" s="505"/>
      <c r="BZ624" s="505"/>
      <c r="CA624" s="505"/>
      <c r="CB624" s="505"/>
      <c r="CC624" s="505"/>
      <c r="CD624" s="505"/>
      <c r="CE624" s="505"/>
      <c r="CF624" s="505"/>
      <c r="CG624" s="505"/>
      <c r="CH624" s="505"/>
      <c r="CI624" s="505"/>
      <c r="CJ624" s="505"/>
      <c r="CK624" s="505"/>
      <c r="CL624" s="505"/>
      <c r="CM624" s="505"/>
      <c r="CN624" s="505"/>
      <c r="CO624" s="505"/>
      <c r="CP624" s="505"/>
      <c r="CQ624" s="505"/>
      <c r="CR624" s="505"/>
      <c r="CS624" s="505"/>
      <c r="CT624" s="505"/>
      <c r="CU624" s="505"/>
      <c r="CV624" s="505"/>
      <c r="CW624" s="505"/>
      <c r="CX624" s="505"/>
      <c r="CY624" s="505"/>
      <c r="CZ624" s="505"/>
      <c r="DA624" s="505"/>
      <c r="DB624" s="505"/>
      <c r="DC624" s="505"/>
      <c r="DD624" s="505"/>
      <c r="DE624" s="505"/>
      <c r="DF624" s="505"/>
      <c r="DG624" s="505"/>
      <c r="DH624" s="505"/>
      <c r="DI624" s="505"/>
      <c r="DJ624" s="505"/>
      <c r="DK624" s="505"/>
      <c r="DL624" s="505"/>
      <c r="DM624" s="505"/>
      <c r="DN624" s="505"/>
      <c r="DO624" s="505"/>
      <c r="DP624" s="505"/>
    </row>
    <row r="625" spans="1:120" hidden="1" outlineLevel="1" x14ac:dyDescent="0.2">
      <c r="A625" s="517">
        <f t="shared" si="79"/>
        <v>40848</v>
      </c>
      <c r="B625" s="517" t="str">
        <f t="shared" si="76"/>
        <v>4Q11</v>
      </c>
      <c r="C625" s="517" t="str">
        <f t="shared" si="80"/>
        <v>1Q12</v>
      </c>
      <c r="D625" s="518">
        <f t="shared" si="81"/>
        <v>40928</v>
      </c>
      <c r="E625" s="518">
        <f t="shared" si="81"/>
        <v>40868</v>
      </c>
      <c r="F625" s="520">
        <v>4.01</v>
      </c>
      <c r="G625" s="521">
        <f t="shared" si="77"/>
        <v>0.58000000000000029</v>
      </c>
      <c r="H625" s="521">
        <f t="shared" si="78"/>
        <v>0.57000000000000028</v>
      </c>
      <c r="I625" s="505"/>
      <c r="J625" s="505"/>
      <c r="K625" s="505"/>
      <c r="L625" s="505"/>
      <c r="M625" s="528"/>
      <c r="N625" s="505"/>
      <c r="O625" s="505"/>
      <c r="P625" s="505"/>
      <c r="Q625" s="505"/>
      <c r="R625" s="505"/>
      <c r="S625" s="505"/>
      <c r="T625" s="505"/>
      <c r="U625" s="505"/>
      <c r="V625" s="505"/>
      <c r="W625" s="505"/>
      <c r="X625" s="505"/>
      <c r="Y625" s="505"/>
      <c r="Z625" s="505"/>
      <c r="AA625" s="505"/>
      <c r="AB625" s="505"/>
      <c r="AC625" s="505"/>
      <c r="AD625" s="505"/>
      <c r="AE625" s="505"/>
      <c r="AF625" s="505"/>
      <c r="AG625" s="505"/>
      <c r="AH625" s="505"/>
      <c r="AI625" s="505"/>
      <c r="AJ625" s="505"/>
      <c r="AK625" s="505"/>
      <c r="AL625" s="505"/>
      <c r="AM625" s="505"/>
      <c r="AN625" s="505"/>
      <c r="AO625" s="505"/>
      <c r="AP625" s="505"/>
      <c r="AQ625" s="505"/>
      <c r="AR625" s="505"/>
      <c r="AS625" s="505"/>
      <c r="AT625" s="505"/>
      <c r="AU625" s="505"/>
      <c r="AV625" s="505"/>
      <c r="AW625" s="505"/>
      <c r="AX625" s="505"/>
      <c r="AY625" s="505"/>
      <c r="AZ625" s="505"/>
      <c r="BA625" s="505"/>
      <c r="BB625" s="505"/>
      <c r="BC625" s="505"/>
      <c r="BD625" s="505"/>
      <c r="BE625" s="505"/>
      <c r="BF625" s="505"/>
      <c r="BG625" s="505"/>
      <c r="BH625" s="505"/>
      <c r="BI625" s="505"/>
      <c r="BJ625" s="505"/>
      <c r="BK625" s="505"/>
      <c r="BL625" s="505"/>
      <c r="BM625" s="505"/>
      <c r="BN625" s="505"/>
      <c r="BO625" s="505"/>
      <c r="BP625" s="505"/>
      <c r="BQ625" s="505"/>
      <c r="BR625" s="505"/>
      <c r="BS625" s="505"/>
      <c r="BT625" s="505"/>
      <c r="BU625" s="505"/>
      <c r="BV625" s="505"/>
      <c r="BW625" s="505"/>
      <c r="BX625" s="505"/>
      <c r="BY625" s="505"/>
      <c r="BZ625" s="505"/>
      <c r="CA625" s="505"/>
      <c r="CB625" s="505"/>
      <c r="CC625" s="505"/>
      <c r="CD625" s="505"/>
      <c r="CE625" s="505"/>
      <c r="CF625" s="505"/>
      <c r="CG625" s="505"/>
      <c r="CH625" s="505"/>
      <c r="CI625" s="505"/>
      <c r="CJ625" s="505"/>
      <c r="CK625" s="505"/>
      <c r="CL625" s="505"/>
      <c r="CM625" s="505"/>
      <c r="CN625" s="505"/>
      <c r="CO625" s="505"/>
      <c r="CP625" s="505"/>
      <c r="CQ625" s="505"/>
      <c r="CR625" s="505"/>
      <c r="CS625" s="505"/>
      <c r="CT625" s="505"/>
      <c r="CU625" s="505"/>
      <c r="CV625" s="505"/>
      <c r="CW625" s="505"/>
      <c r="CX625" s="505"/>
      <c r="CY625" s="505"/>
      <c r="CZ625" s="505"/>
      <c r="DA625" s="505"/>
      <c r="DB625" s="505"/>
      <c r="DC625" s="505"/>
      <c r="DD625" s="505"/>
      <c r="DE625" s="505"/>
      <c r="DF625" s="505"/>
      <c r="DG625" s="505"/>
      <c r="DH625" s="505"/>
      <c r="DI625" s="505"/>
      <c r="DJ625" s="505"/>
      <c r="DK625" s="505"/>
      <c r="DL625" s="505"/>
      <c r="DM625" s="505"/>
      <c r="DN625" s="505"/>
      <c r="DO625" s="505"/>
      <c r="DP625" s="505"/>
    </row>
    <row r="626" spans="1:120" hidden="1" outlineLevel="1" x14ac:dyDescent="0.2">
      <c r="A626" s="517">
        <f t="shared" si="79"/>
        <v>40848</v>
      </c>
      <c r="B626" s="517" t="str">
        <f t="shared" si="76"/>
        <v>4Q11</v>
      </c>
      <c r="C626" s="517" t="str">
        <f t="shared" si="80"/>
        <v>1Q12</v>
      </c>
      <c r="D626" s="518">
        <f t="shared" si="81"/>
        <v>40935</v>
      </c>
      <c r="E626" s="518">
        <f t="shared" si="81"/>
        <v>40875</v>
      </c>
      <c r="F626" s="520">
        <v>3.964</v>
      </c>
      <c r="G626" s="521">
        <f t="shared" si="77"/>
        <v>0.57000000000000028</v>
      </c>
      <c r="H626" s="521">
        <f t="shared" si="78"/>
        <v>0.56000000000000028</v>
      </c>
      <c r="I626" s="505"/>
      <c r="J626" s="505"/>
      <c r="K626" s="505"/>
      <c r="L626" s="505"/>
      <c r="M626" s="528"/>
      <c r="N626" s="505"/>
      <c r="O626" s="505"/>
      <c r="P626" s="505"/>
      <c r="Q626" s="505"/>
      <c r="R626" s="505"/>
      <c r="S626" s="505"/>
      <c r="T626" s="505"/>
      <c r="U626" s="505"/>
      <c r="V626" s="505"/>
      <c r="W626" s="505"/>
      <c r="X626" s="505"/>
      <c r="Y626" s="505"/>
      <c r="Z626" s="505"/>
      <c r="AA626" s="505"/>
      <c r="AB626" s="505"/>
      <c r="AC626" s="505"/>
      <c r="AD626" s="505"/>
      <c r="AE626" s="505"/>
      <c r="AF626" s="505"/>
      <c r="AG626" s="505"/>
      <c r="AH626" s="505"/>
      <c r="AI626" s="505"/>
      <c r="AJ626" s="505"/>
      <c r="AK626" s="505"/>
      <c r="AL626" s="505"/>
      <c r="AM626" s="505"/>
      <c r="AN626" s="505"/>
      <c r="AO626" s="505"/>
      <c r="AP626" s="505"/>
      <c r="AQ626" s="505"/>
      <c r="AR626" s="505"/>
      <c r="AS626" s="505"/>
      <c r="AT626" s="505"/>
      <c r="AU626" s="505"/>
      <c r="AV626" s="505"/>
      <c r="AW626" s="505"/>
      <c r="AX626" s="505"/>
      <c r="AY626" s="505"/>
      <c r="AZ626" s="505"/>
      <c r="BA626" s="505"/>
      <c r="BB626" s="505"/>
      <c r="BC626" s="505"/>
      <c r="BD626" s="505"/>
      <c r="BE626" s="505"/>
      <c r="BF626" s="505"/>
      <c r="BG626" s="505"/>
      <c r="BH626" s="505"/>
      <c r="BI626" s="505"/>
      <c r="BJ626" s="505"/>
      <c r="BK626" s="505"/>
      <c r="BL626" s="505"/>
      <c r="BM626" s="505"/>
      <c r="BN626" s="505"/>
      <c r="BO626" s="505"/>
      <c r="BP626" s="505"/>
      <c r="BQ626" s="505"/>
      <c r="BR626" s="505"/>
      <c r="BS626" s="505"/>
      <c r="BT626" s="505"/>
      <c r="BU626" s="505"/>
      <c r="BV626" s="505"/>
      <c r="BW626" s="505"/>
      <c r="BX626" s="505"/>
      <c r="BY626" s="505"/>
      <c r="BZ626" s="505"/>
      <c r="CA626" s="505"/>
      <c r="CB626" s="505"/>
      <c r="CC626" s="505"/>
      <c r="CD626" s="505"/>
      <c r="CE626" s="505"/>
      <c r="CF626" s="505"/>
      <c r="CG626" s="505"/>
      <c r="CH626" s="505"/>
      <c r="CI626" s="505"/>
      <c r="CJ626" s="505"/>
      <c r="CK626" s="505"/>
      <c r="CL626" s="505"/>
      <c r="CM626" s="505"/>
      <c r="CN626" s="505"/>
      <c r="CO626" s="505"/>
      <c r="CP626" s="505"/>
      <c r="CQ626" s="505"/>
      <c r="CR626" s="505"/>
      <c r="CS626" s="505"/>
      <c r="CT626" s="505"/>
      <c r="CU626" s="505"/>
      <c r="CV626" s="505"/>
      <c r="CW626" s="505"/>
      <c r="CX626" s="505"/>
      <c r="CY626" s="505"/>
      <c r="CZ626" s="505"/>
      <c r="DA626" s="505"/>
      <c r="DB626" s="505"/>
      <c r="DC626" s="505"/>
      <c r="DD626" s="505"/>
      <c r="DE626" s="505"/>
      <c r="DF626" s="505"/>
      <c r="DG626" s="505"/>
      <c r="DH626" s="505"/>
      <c r="DI626" s="505"/>
      <c r="DJ626" s="505"/>
      <c r="DK626" s="505"/>
      <c r="DL626" s="505"/>
      <c r="DM626" s="505"/>
      <c r="DN626" s="505"/>
      <c r="DO626" s="505"/>
      <c r="DP626" s="505"/>
    </row>
    <row r="627" spans="1:120" hidden="1" outlineLevel="1" x14ac:dyDescent="0.2">
      <c r="A627" s="517">
        <f t="shared" si="79"/>
        <v>40878</v>
      </c>
      <c r="B627" s="517" t="str">
        <f t="shared" si="76"/>
        <v>4Q11</v>
      </c>
      <c r="C627" s="517" t="str">
        <f t="shared" si="80"/>
        <v>1Q12</v>
      </c>
      <c r="D627" s="518">
        <f t="shared" si="81"/>
        <v>40942</v>
      </c>
      <c r="E627" s="518">
        <f t="shared" si="81"/>
        <v>40882</v>
      </c>
      <c r="F627" s="520">
        <v>3.931</v>
      </c>
      <c r="G627" s="521">
        <f t="shared" si="77"/>
        <v>0.56000000000000028</v>
      </c>
      <c r="H627" s="521">
        <f t="shared" si="78"/>
        <v>0.55000000000000027</v>
      </c>
      <c r="I627" s="505"/>
      <c r="J627" s="505"/>
      <c r="K627" s="505"/>
      <c r="L627" s="505"/>
      <c r="M627" s="528"/>
      <c r="N627" s="505"/>
      <c r="O627" s="505"/>
      <c r="P627" s="505"/>
      <c r="Q627" s="505"/>
      <c r="R627" s="505"/>
      <c r="S627" s="505"/>
      <c r="T627" s="505"/>
      <c r="U627" s="505"/>
      <c r="V627" s="505"/>
      <c r="W627" s="505"/>
      <c r="X627" s="505"/>
      <c r="Y627" s="505"/>
      <c r="Z627" s="505"/>
      <c r="AA627" s="505"/>
      <c r="AB627" s="505"/>
      <c r="AC627" s="505"/>
      <c r="AD627" s="505"/>
      <c r="AE627" s="505"/>
      <c r="AF627" s="505"/>
      <c r="AG627" s="505"/>
      <c r="AH627" s="505"/>
      <c r="AI627" s="505"/>
      <c r="AJ627" s="505"/>
      <c r="AK627" s="505"/>
      <c r="AL627" s="505"/>
      <c r="AM627" s="505"/>
      <c r="AN627" s="505"/>
      <c r="AO627" s="505"/>
      <c r="AP627" s="505"/>
      <c r="AQ627" s="505"/>
      <c r="AR627" s="505"/>
      <c r="AS627" s="505"/>
      <c r="AT627" s="505"/>
      <c r="AU627" s="505"/>
      <c r="AV627" s="505"/>
      <c r="AW627" s="505"/>
      <c r="AX627" s="505"/>
      <c r="AY627" s="505"/>
      <c r="AZ627" s="505"/>
      <c r="BA627" s="505"/>
      <c r="BB627" s="505"/>
      <c r="BC627" s="505"/>
      <c r="BD627" s="505"/>
      <c r="BE627" s="505"/>
      <c r="BF627" s="505"/>
      <c r="BG627" s="505"/>
      <c r="BH627" s="505"/>
      <c r="BI627" s="505"/>
      <c r="BJ627" s="505"/>
      <c r="BK627" s="505"/>
      <c r="BL627" s="505"/>
      <c r="BM627" s="505"/>
      <c r="BN627" s="505"/>
      <c r="BO627" s="505"/>
      <c r="BP627" s="505"/>
      <c r="BQ627" s="505"/>
      <c r="BR627" s="505"/>
      <c r="BS627" s="505"/>
      <c r="BT627" s="505"/>
      <c r="BU627" s="505"/>
      <c r="BV627" s="505"/>
      <c r="BW627" s="505"/>
      <c r="BX627" s="505"/>
      <c r="BY627" s="505"/>
      <c r="BZ627" s="505"/>
      <c r="CA627" s="505"/>
      <c r="CB627" s="505"/>
      <c r="CC627" s="505"/>
      <c r="CD627" s="505"/>
      <c r="CE627" s="505"/>
      <c r="CF627" s="505"/>
      <c r="CG627" s="505"/>
      <c r="CH627" s="505"/>
      <c r="CI627" s="505"/>
      <c r="CJ627" s="505"/>
      <c r="CK627" s="505"/>
      <c r="CL627" s="505"/>
      <c r="CM627" s="505"/>
      <c r="CN627" s="505"/>
      <c r="CO627" s="505"/>
      <c r="CP627" s="505"/>
      <c r="CQ627" s="505"/>
      <c r="CR627" s="505"/>
      <c r="CS627" s="505"/>
      <c r="CT627" s="505"/>
      <c r="CU627" s="505"/>
      <c r="CV627" s="505"/>
      <c r="CW627" s="505"/>
      <c r="CX627" s="505"/>
      <c r="CY627" s="505"/>
      <c r="CZ627" s="505"/>
      <c r="DA627" s="505"/>
      <c r="DB627" s="505"/>
      <c r="DC627" s="505"/>
      <c r="DD627" s="505"/>
      <c r="DE627" s="505"/>
      <c r="DF627" s="505"/>
      <c r="DG627" s="505"/>
      <c r="DH627" s="505"/>
      <c r="DI627" s="505"/>
      <c r="DJ627" s="505"/>
      <c r="DK627" s="505"/>
      <c r="DL627" s="505"/>
      <c r="DM627" s="505"/>
      <c r="DN627" s="505"/>
      <c r="DO627" s="505"/>
      <c r="DP627" s="505"/>
    </row>
    <row r="628" spans="1:120" hidden="1" outlineLevel="1" x14ac:dyDescent="0.2">
      <c r="A628" s="517">
        <f t="shared" si="79"/>
        <v>40878</v>
      </c>
      <c r="B628" s="517" t="str">
        <f t="shared" si="76"/>
        <v>4Q11</v>
      </c>
      <c r="C628" s="517" t="str">
        <f t="shared" si="80"/>
        <v>1Q12</v>
      </c>
      <c r="D628" s="518">
        <f t="shared" si="81"/>
        <v>40949</v>
      </c>
      <c r="E628" s="518">
        <f t="shared" si="81"/>
        <v>40889</v>
      </c>
      <c r="F628" s="520">
        <v>3.8940000000000001</v>
      </c>
      <c r="G628" s="521">
        <f t="shared" si="77"/>
        <v>0.55000000000000027</v>
      </c>
      <c r="H628" s="521">
        <f t="shared" si="78"/>
        <v>0.54000000000000026</v>
      </c>
      <c r="I628" s="505"/>
      <c r="J628" s="505"/>
      <c r="K628" s="505"/>
      <c r="L628" s="505"/>
      <c r="M628" s="528"/>
      <c r="N628" s="505"/>
      <c r="O628" s="505"/>
      <c r="P628" s="505"/>
      <c r="Q628" s="505"/>
      <c r="R628" s="505"/>
      <c r="S628" s="505"/>
      <c r="T628" s="505"/>
      <c r="U628" s="505"/>
      <c r="V628" s="505"/>
      <c r="W628" s="505"/>
      <c r="X628" s="505"/>
      <c r="Y628" s="505"/>
      <c r="Z628" s="505"/>
      <c r="AA628" s="505"/>
      <c r="AB628" s="505"/>
      <c r="AC628" s="505"/>
      <c r="AD628" s="505"/>
      <c r="AE628" s="505"/>
      <c r="AF628" s="505"/>
      <c r="AG628" s="505"/>
      <c r="AH628" s="505"/>
      <c r="AI628" s="505"/>
      <c r="AJ628" s="505"/>
      <c r="AK628" s="505"/>
      <c r="AL628" s="505"/>
      <c r="AM628" s="505"/>
      <c r="AN628" s="505"/>
      <c r="AO628" s="505"/>
      <c r="AP628" s="505"/>
      <c r="AQ628" s="505"/>
      <c r="AR628" s="505"/>
      <c r="AS628" s="505"/>
      <c r="AT628" s="505"/>
      <c r="AU628" s="505"/>
      <c r="AV628" s="505"/>
      <c r="AW628" s="505"/>
      <c r="AX628" s="505"/>
      <c r="AY628" s="505"/>
      <c r="AZ628" s="505"/>
      <c r="BA628" s="505"/>
      <c r="BB628" s="505"/>
      <c r="BC628" s="505"/>
      <c r="BD628" s="505"/>
      <c r="BE628" s="505"/>
      <c r="BF628" s="505"/>
      <c r="BG628" s="505"/>
      <c r="BH628" s="505"/>
      <c r="BI628" s="505"/>
      <c r="BJ628" s="505"/>
      <c r="BK628" s="505"/>
      <c r="BL628" s="505"/>
      <c r="BM628" s="505"/>
      <c r="BN628" s="505"/>
      <c r="BO628" s="505"/>
      <c r="BP628" s="505"/>
      <c r="BQ628" s="505"/>
      <c r="BR628" s="505"/>
      <c r="BS628" s="505"/>
      <c r="BT628" s="505"/>
      <c r="BU628" s="505"/>
      <c r="BV628" s="505"/>
      <c r="BW628" s="505"/>
      <c r="BX628" s="505"/>
      <c r="BY628" s="505"/>
      <c r="BZ628" s="505"/>
      <c r="CA628" s="505"/>
      <c r="CB628" s="505"/>
      <c r="CC628" s="505"/>
      <c r="CD628" s="505"/>
      <c r="CE628" s="505"/>
      <c r="CF628" s="505"/>
      <c r="CG628" s="505"/>
      <c r="CH628" s="505"/>
      <c r="CI628" s="505"/>
      <c r="CJ628" s="505"/>
      <c r="CK628" s="505"/>
      <c r="CL628" s="505"/>
      <c r="CM628" s="505"/>
      <c r="CN628" s="505"/>
      <c r="CO628" s="505"/>
      <c r="CP628" s="505"/>
      <c r="CQ628" s="505"/>
      <c r="CR628" s="505"/>
      <c r="CS628" s="505"/>
      <c r="CT628" s="505"/>
      <c r="CU628" s="505"/>
      <c r="CV628" s="505"/>
      <c r="CW628" s="505"/>
      <c r="CX628" s="505"/>
      <c r="CY628" s="505"/>
      <c r="CZ628" s="505"/>
      <c r="DA628" s="505"/>
      <c r="DB628" s="505"/>
      <c r="DC628" s="505"/>
      <c r="DD628" s="505"/>
      <c r="DE628" s="505"/>
      <c r="DF628" s="505"/>
      <c r="DG628" s="505"/>
      <c r="DH628" s="505"/>
      <c r="DI628" s="505"/>
      <c r="DJ628" s="505"/>
      <c r="DK628" s="505"/>
      <c r="DL628" s="505"/>
      <c r="DM628" s="505"/>
      <c r="DN628" s="505"/>
      <c r="DO628" s="505"/>
      <c r="DP628" s="505"/>
    </row>
    <row r="629" spans="1:120" hidden="1" outlineLevel="1" x14ac:dyDescent="0.2">
      <c r="A629" s="517">
        <f t="shared" si="79"/>
        <v>40878</v>
      </c>
      <c r="B629" s="517" t="str">
        <f t="shared" si="76"/>
        <v>4Q11</v>
      </c>
      <c r="C629" s="517" t="str">
        <f t="shared" si="80"/>
        <v>1Q12</v>
      </c>
      <c r="D629" s="518">
        <f t="shared" si="81"/>
        <v>40956</v>
      </c>
      <c r="E629" s="518">
        <f t="shared" si="81"/>
        <v>40896</v>
      </c>
      <c r="F629" s="520">
        <v>3.8279999999999998</v>
      </c>
      <c r="G629" s="521">
        <f t="shared" si="77"/>
        <v>0.54000000000000026</v>
      </c>
      <c r="H629" s="521">
        <f t="shared" si="78"/>
        <v>0.53000000000000025</v>
      </c>
      <c r="I629" s="505"/>
      <c r="J629" s="505"/>
      <c r="K629" s="505"/>
      <c r="L629" s="505"/>
      <c r="M629" s="528"/>
      <c r="N629" s="505"/>
      <c r="O629" s="505"/>
      <c r="P629" s="505"/>
      <c r="Q629" s="505"/>
      <c r="R629" s="505"/>
      <c r="S629" s="505"/>
      <c r="T629" s="505"/>
      <c r="U629" s="505"/>
      <c r="V629" s="505"/>
      <c r="W629" s="505"/>
      <c r="X629" s="505"/>
      <c r="Y629" s="505"/>
      <c r="Z629" s="505"/>
      <c r="AA629" s="505"/>
      <c r="AB629" s="505"/>
      <c r="AC629" s="505"/>
      <c r="AD629" s="505"/>
      <c r="AE629" s="505"/>
      <c r="AF629" s="505"/>
      <c r="AG629" s="505"/>
      <c r="AH629" s="505"/>
      <c r="AI629" s="505"/>
      <c r="AJ629" s="505"/>
      <c r="AK629" s="505"/>
      <c r="AL629" s="505"/>
      <c r="AM629" s="505"/>
      <c r="AN629" s="505"/>
      <c r="AO629" s="505"/>
      <c r="AP629" s="505"/>
      <c r="AQ629" s="505"/>
      <c r="AR629" s="505"/>
      <c r="AS629" s="505"/>
      <c r="AT629" s="505"/>
      <c r="AU629" s="505"/>
      <c r="AV629" s="505"/>
      <c r="AW629" s="505"/>
      <c r="AX629" s="505"/>
      <c r="AY629" s="505"/>
      <c r="AZ629" s="505"/>
      <c r="BA629" s="505"/>
      <c r="BB629" s="505"/>
      <c r="BC629" s="505"/>
      <c r="BD629" s="505"/>
      <c r="BE629" s="505"/>
      <c r="BF629" s="505"/>
      <c r="BG629" s="505"/>
      <c r="BH629" s="505"/>
      <c r="BI629" s="505"/>
      <c r="BJ629" s="505"/>
      <c r="BK629" s="505"/>
      <c r="BL629" s="505"/>
      <c r="BM629" s="505"/>
      <c r="BN629" s="505"/>
      <c r="BO629" s="505"/>
      <c r="BP629" s="505"/>
      <c r="BQ629" s="505"/>
      <c r="BR629" s="505"/>
      <c r="BS629" s="505"/>
      <c r="BT629" s="505"/>
      <c r="BU629" s="505"/>
      <c r="BV629" s="505"/>
      <c r="BW629" s="505"/>
      <c r="BX629" s="505"/>
      <c r="BY629" s="505"/>
      <c r="BZ629" s="505"/>
      <c r="CA629" s="505"/>
      <c r="CB629" s="505"/>
      <c r="CC629" s="505"/>
      <c r="CD629" s="505"/>
      <c r="CE629" s="505"/>
      <c r="CF629" s="505"/>
      <c r="CG629" s="505"/>
      <c r="CH629" s="505"/>
      <c r="CI629" s="505"/>
      <c r="CJ629" s="505"/>
      <c r="CK629" s="505"/>
      <c r="CL629" s="505"/>
      <c r="CM629" s="505"/>
      <c r="CN629" s="505"/>
      <c r="CO629" s="505"/>
      <c r="CP629" s="505"/>
      <c r="CQ629" s="505"/>
      <c r="CR629" s="505"/>
      <c r="CS629" s="505"/>
      <c r="CT629" s="505"/>
      <c r="CU629" s="505"/>
      <c r="CV629" s="505"/>
      <c r="CW629" s="505"/>
      <c r="CX629" s="505"/>
      <c r="CY629" s="505"/>
      <c r="CZ629" s="505"/>
      <c r="DA629" s="505"/>
      <c r="DB629" s="505"/>
      <c r="DC629" s="505"/>
      <c r="DD629" s="505"/>
      <c r="DE629" s="505"/>
      <c r="DF629" s="505"/>
      <c r="DG629" s="505"/>
      <c r="DH629" s="505"/>
      <c r="DI629" s="505"/>
      <c r="DJ629" s="505"/>
      <c r="DK629" s="505"/>
      <c r="DL629" s="505"/>
      <c r="DM629" s="505"/>
      <c r="DN629" s="505"/>
      <c r="DO629" s="505"/>
      <c r="DP629" s="505"/>
    </row>
    <row r="630" spans="1:120" hidden="1" outlineLevel="1" x14ac:dyDescent="0.2">
      <c r="A630" s="517">
        <f t="shared" si="79"/>
        <v>40878</v>
      </c>
      <c r="B630" s="517" t="str">
        <f t="shared" si="76"/>
        <v>4Q11</v>
      </c>
      <c r="C630" s="517" t="str">
        <f t="shared" si="80"/>
        <v>1Q12</v>
      </c>
      <c r="D630" s="518">
        <f t="shared" si="81"/>
        <v>40963</v>
      </c>
      <c r="E630" s="518">
        <f t="shared" si="81"/>
        <v>40903</v>
      </c>
      <c r="F630" s="520">
        <v>3.7909999999999999</v>
      </c>
      <c r="G630" s="521">
        <f t="shared" si="77"/>
        <v>0.53000000000000025</v>
      </c>
      <c r="H630" s="521">
        <f t="shared" si="78"/>
        <v>0.53000000000000025</v>
      </c>
      <c r="I630" s="505"/>
      <c r="J630" s="505"/>
      <c r="K630" s="505"/>
      <c r="L630" s="505"/>
      <c r="M630" s="528"/>
      <c r="N630" s="505"/>
      <c r="O630" s="505"/>
      <c r="P630" s="505"/>
      <c r="Q630" s="505"/>
      <c r="R630" s="505"/>
      <c r="S630" s="505"/>
      <c r="T630" s="505"/>
      <c r="U630" s="505"/>
      <c r="V630" s="505"/>
      <c r="W630" s="505"/>
      <c r="X630" s="505"/>
      <c r="Y630" s="505"/>
      <c r="Z630" s="505"/>
      <c r="AA630" s="505"/>
      <c r="AB630" s="505"/>
      <c r="AC630" s="505"/>
      <c r="AD630" s="505"/>
      <c r="AE630" s="505"/>
      <c r="AF630" s="505"/>
      <c r="AG630" s="505"/>
      <c r="AH630" s="505"/>
      <c r="AI630" s="505"/>
      <c r="AJ630" s="505"/>
      <c r="AK630" s="505"/>
      <c r="AL630" s="505"/>
      <c r="AM630" s="505"/>
      <c r="AN630" s="505"/>
      <c r="AO630" s="505"/>
      <c r="AP630" s="505"/>
      <c r="AQ630" s="505"/>
      <c r="AR630" s="505"/>
      <c r="AS630" s="505"/>
      <c r="AT630" s="505"/>
      <c r="AU630" s="505"/>
      <c r="AV630" s="505"/>
      <c r="AW630" s="505"/>
      <c r="AX630" s="505"/>
      <c r="AY630" s="505"/>
      <c r="AZ630" s="505"/>
      <c r="BA630" s="505"/>
      <c r="BB630" s="505"/>
      <c r="BC630" s="505"/>
      <c r="BD630" s="505"/>
      <c r="BE630" s="505"/>
      <c r="BF630" s="505"/>
      <c r="BG630" s="505"/>
      <c r="BH630" s="505"/>
      <c r="BI630" s="505"/>
      <c r="BJ630" s="505"/>
      <c r="BK630" s="505"/>
      <c r="BL630" s="505"/>
      <c r="BM630" s="505"/>
      <c r="BN630" s="505"/>
      <c r="BO630" s="505"/>
      <c r="BP630" s="505"/>
      <c r="BQ630" s="505"/>
      <c r="BR630" s="505"/>
      <c r="BS630" s="505"/>
      <c r="BT630" s="505"/>
      <c r="BU630" s="505"/>
      <c r="BV630" s="505"/>
      <c r="BW630" s="505"/>
      <c r="BX630" s="505"/>
      <c r="BY630" s="505"/>
      <c r="BZ630" s="505"/>
      <c r="CA630" s="505"/>
      <c r="CB630" s="505"/>
      <c r="CC630" s="505"/>
      <c r="CD630" s="505"/>
      <c r="CE630" s="505"/>
      <c r="CF630" s="505"/>
      <c r="CG630" s="505"/>
      <c r="CH630" s="505"/>
      <c r="CI630" s="505"/>
      <c r="CJ630" s="505"/>
      <c r="CK630" s="505"/>
      <c r="CL630" s="505"/>
      <c r="CM630" s="505"/>
      <c r="CN630" s="505"/>
      <c r="CO630" s="505"/>
      <c r="CP630" s="505"/>
      <c r="CQ630" s="505"/>
      <c r="CR630" s="505"/>
      <c r="CS630" s="505"/>
      <c r="CT630" s="505"/>
      <c r="CU630" s="505"/>
      <c r="CV630" s="505"/>
      <c r="CW630" s="505"/>
      <c r="CX630" s="505"/>
      <c r="CY630" s="505"/>
      <c r="CZ630" s="505"/>
      <c r="DA630" s="505"/>
      <c r="DB630" s="505"/>
      <c r="DC630" s="505"/>
      <c r="DD630" s="505"/>
      <c r="DE630" s="505"/>
      <c r="DF630" s="505"/>
      <c r="DG630" s="505"/>
      <c r="DH630" s="505"/>
      <c r="DI630" s="505"/>
      <c r="DJ630" s="505"/>
      <c r="DK630" s="505"/>
      <c r="DL630" s="505"/>
      <c r="DM630" s="505"/>
      <c r="DN630" s="505"/>
      <c r="DO630" s="505"/>
      <c r="DP630" s="505"/>
    </row>
    <row r="631" spans="1:120" collapsed="1" x14ac:dyDescent="0.2">
      <c r="A631" s="517">
        <f t="shared" si="79"/>
        <v>40909</v>
      </c>
      <c r="B631" s="517" t="str">
        <f t="shared" si="76"/>
        <v>1Q12</v>
      </c>
      <c r="C631" s="517" t="str">
        <f t="shared" si="80"/>
        <v>1Q12</v>
      </c>
      <c r="D631" s="518">
        <f t="shared" si="81"/>
        <v>40970</v>
      </c>
      <c r="E631" s="518">
        <f t="shared" si="81"/>
        <v>40910</v>
      </c>
      <c r="F631" s="520">
        <v>3.7829999999999999</v>
      </c>
      <c r="G631" s="521">
        <f t="shared" si="77"/>
        <v>0.53000000000000025</v>
      </c>
      <c r="H631" s="521">
        <f t="shared" si="78"/>
        <v>0.54000000000000026</v>
      </c>
      <c r="I631" s="505"/>
      <c r="J631" s="505"/>
      <c r="K631" s="505"/>
      <c r="L631" s="505"/>
      <c r="M631" s="528" t="s">
        <v>283</v>
      </c>
      <c r="N631" s="505"/>
      <c r="O631" s="505"/>
      <c r="P631" s="505"/>
      <c r="Q631" s="505"/>
      <c r="R631" s="505"/>
      <c r="S631" s="505"/>
      <c r="T631" s="505"/>
      <c r="U631" s="505"/>
      <c r="V631" s="505"/>
      <c r="W631" s="505"/>
      <c r="X631" s="505"/>
      <c r="Y631" s="505"/>
      <c r="Z631" s="505"/>
      <c r="AA631" s="505"/>
      <c r="AB631" s="505"/>
      <c r="AC631" s="505"/>
      <c r="AD631" s="505"/>
      <c r="AE631" s="505"/>
      <c r="AF631" s="505"/>
      <c r="AG631" s="505"/>
      <c r="AH631" s="505"/>
      <c r="AI631" s="505"/>
      <c r="AJ631" s="505"/>
      <c r="AK631" s="505"/>
      <c r="AL631" s="505"/>
      <c r="AM631" s="505"/>
      <c r="AN631" s="505"/>
      <c r="AO631" s="505"/>
      <c r="AP631" s="505"/>
      <c r="AQ631" s="505"/>
      <c r="AR631" s="505"/>
      <c r="AS631" s="505"/>
      <c r="AT631" s="505"/>
      <c r="AU631" s="505"/>
      <c r="AV631" s="505"/>
      <c r="AW631" s="505"/>
      <c r="AX631" s="505"/>
      <c r="AY631" s="505"/>
      <c r="AZ631" s="505"/>
      <c r="BA631" s="505"/>
      <c r="BB631" s="529">
        <f t="shared" ref="BB631:CZ631" si="82">+BB5*0.0533 - 0.0919</f>
        <v>6.6614199999999971E-2</v>
      </c>
      <c r="BC631" s="529">
        <f t="shared" si="82"/>
        <v>5.4933299999999977E-2</v>
      </c>
      <c r="BD631" s="529">
        <f t="shared" si="82"/>
        <v>8.6515600000000012E-2</v>
      </c>
      <c r="BE631" s="529">
        <f t="shared" si="82"/>
        <v>0.1100086</v>
      </c>
      <c r="BF631" s="529">
        <f t="shared" si="82"/>
        <v>0.15367360000000002</v>
      </c>
      <c r="BG631" s="529">
        <f t="shared" si="82"/>
        <v>0.11978710000000002</v>
      </c>
      <c r="BH631" s="529">
        <f t="shared" si="82"/>
        <v>0.117496225</v>
      </c>
      <c r="BI631" s="529">
        <f t="shared" si="82"/>
        <v>4.3067900000000006E-2</v>
      </c>
      <c r="BJ631" s="529">
        <f t="shared" si="82"/>
        <v>2.3391999999999982E-2</v>
      </c>
      <c r="BK631" s="529">
        <f t="shared" si="82"/>
        <v>3.8119200000000006E-2</v>
      </c>
      <c r="BL631" s="529">
        <f t="shared" si="82"/>
        <v>4.8980100000000013E-2</v>
      </c>
      <c r="BM631" s="529">
        <f t="shared" si="82"/>
        <v>3.8389799999999988E-2</v>
      </c>
      <c r="BN631" s="529">
        <f t="shared" si="82"/>
        <v>5.7003800000000007E-2</v>
      </c>
      <c r="BO631" s="529">
        <f t="shared" si="82"/>
        <v>6.3686800000000029E-2</v>
      </c>
      <c r="BP631" s="529">
        <f t="shared" si="82"/>
        <v>6.7098000000000005E-2</v>
      </c>
      <c r="BQ631" s="529">
        <f t="shared" si="82"/>
        <v>6.7432735714285749E-2</v>
      </c>
      <c r="BR631" s="529">
        <f t="shared" si="82"/>
        <v>6.3805333928571448E-2</v>
      </c>
      <c r="BS631" s="529">
        <f t="shared" si="82"/>
        <v>8.1786933333333353E-2</v>
      </c>
      <c r="BT631" s="529">
        <f t="shared" si="82"/>
        <v>0.11166089999999999</v>
      </c>
      <c r="BU631" s="529">
        <f t="shared" si="82"/>
        <v>0.11948780000000002</v>
      </c>
      <c r="BV631" s="529">
        <f t="shared" si="82"/>
        <v>0.11186590000000003</v>
      </c>
      <c r="BW631" s="529">
        <f t="shared" si="82"/>
        <v>0.10620038333333336</v>
      </c>
      <c r="BX631" s="529">
        <f t="shared" si="82"/>
        <v>0.11496550000000001</v>
      </c>
      <c r="BY631" s="529">
        <f t="shared" si="82"/>
        <v>0.12495310000000008</v>
      </c>
      <c r="BZ631" s="529">
        <f t="shared" si="82"/>
        <v>0.11126729999999997</v>
      </c>
      <c r="CA631" s="529">
        <f t="shared" si="82"/>
        <v>0.12490390000000003</v>
      </c>
      <c r="CB631" s="529">
        <f t="shared" si="82"/>
        <v>0.11902245000000002</v>
      </c>
      <c r="CC631" s="529">
        <f t="shared" si="82"/>
        <v>0.1189958</v>
      </c>
      <c r="CD631" s="529">
        <f t="shared" si="82"/>
        <v>0.12278830000000003</v>
      </c>
      <c r="CE631" s="529">
        <f t="shared" si="82"/>
        <v>0.11395280000000003</v>
      </c>
      <c r="CF631" s="529">
        <f t="shared" si="82"/>
        <v>0.11704009999999999</v>
      </c>
      <c r="CG631" s="529">
        <f t="shared" si="82"/>
        <v>0.11819425000000001</v>
      </c>
      <c r="CH631" s="529">
        <f t="shared" si="82"/>
        <v>0.11448170000000001</v>
      </c>
      <c r="CI631" s="529">
        <f t="shared" si="82"/>
        <v>0.12045540000000003</v>
      </c>
      <c r="CJ631" s="529">
        <f t="shared" si="82"/>
        <v>0.11652759999999997</v>
      </c>
      <c r="CK631" s="529">
        <f t="shared" si="82"/>
        <v>0.10914759999999997</v>
      </c>
      <c r="CL631" s="529">
        <f t="shared" si="82"/>
        <v>0.11515307500000001</v>
      </c>
      <c r="CM631" s="529">
        <f t="shared" si="82"/>
        <v>8.6987099999999998E-2</v>
      </c>
      <c r="CN631" s="529">
        <f t="shared" si="82"/>
        <v>5.998450000000001E-2</v>
      </c>
      <c r="CO631" s="529">
        <f t="shared" si="82"/>
        <v>6.0070600000000016E-2</v>
      </c>
      <c r="CP631" s="529">
        <f t="shared" si="82"/>
        <v>4.3695199999999976E-2</v>
      </c>
      <c r="CQ631" s="529">
        <f t="shared" si="82"/>
        <v>6.2684350000000014E-2</v>
      </c>
      <c r="CR631" s="529">
        <f t="shared" si="82"/>
        <v>3.1690400000000007E-2</v>
      </c>
      <c r="CS631" s="529">
        <f t="shared" si="82"/>
        <v>1.8623700000000007E-2</v>
      </c>
      <c r="CT631" s="529">
        <f t="shared" si="82"/>
        <v>3.4607550000000029E-2</v>
      </c>
      <c r="CU631" s="529">
        <f t="shared" si="82"/>
        <v>3.6241399999999993E-2</v>
      </c>
      <c r="CV631" s="529">
        <f t="shared" si="82"/>
        <v>3.0290762500000012E-2</v>
      </c>
      <c r="CW631" s="529">
        <f t="shared" si="82"/>
        <v>4.2141299999999979E-2</v>
      </c>
      <c r="CX631" s="529">
        <f t="shared" si="82"/>
        <v>4.5035900000000004E-2</v>
      </c>
      <c r="CY631" s="529">
        <f t="shared" si="82"/>
        <v>4.2346300000000017E-2</v>
      </c>
      <c r="CZ631" s="529">
        <f t="shared" si="82"/>
        <v>5.3609000000000004E-2</v>
      </c>
      <c r="DA631" s="529">
        <f>+DA5*0.0533 - 0.0919</f>
        <v>4.5783124999999994E-2</v>
      </c>
      <c r="DB631" s="505"/>
      <c r="DC631" s="505"/>
      <c r="DD631" s="505"/>
      <c r="DE631" s="505"/>
      <c r="DF631" s="505"/>
      <c r="DG631" s="505"/>
      <c r="DH631" s="505"/>
      <c r="DI631" s="505"/>
      <c r="DJ631" s="505"/>
      <c r="DK631" s="505"/>
      <c r="DL631" s="505"/>
      <c r="DM631" s="505"/>
      <c r="DN631" s="505"/>
      <c r="DO631" s="505"/>
      <c r="DP631" s="505"/>
    </row>
    <row r="632" spans="1:120" x14ac:dyDescent="0.2">
      <c r="A632" s="517">
        <f t="shared" si="79"/>
        <v>40909</v>
      </c>
      <c r="B632" s="517" t="str">
        <f t="shared" si="76"/>
        <v>1Q12</v>
      </c>
      <c r="C632" s="517" t="str">
        <f t="shared" si="80"/>
        <v>1Q12</v>
      </c>
      <c r="D632" s="518">
        <f t="shared" si="81"/>
        <v>40977</v>
      </c>
      <c r="E632" s="518">
        <f t="shared" si="81"/>
        <v>40917</v>
      </c>
      <c r="F632" s="520">
        <v>3.8279999999999998</v>
      </c>
      <c r="G632" s="521">
        <f t="shared" si="77"/>
        <v>0.54000000000000026</v>
      </c>
      <c r="H632" s="521">
        <f t="shared" si="78"/>
        <v>0.55000000000000027</v>
      </c>
      <c r="I632" s="505"/>
      <c r="J632" s="505"/>
      <c r="K632" s="505"/>
      <c r="L632" s="505"/>
      <c r="M632" s="528" t="s">
        <v>284</v>
      </c>
      <c r="N632" s="505"/>
      <c r="O632" s="505"/>
      <c r="P632" s="505"/>
      <c r="Q632" s="505"/>
      <c r="R632" s="505"/>
      <c r="S632" s="505"/>
      <c r="T632" s="505"/>
      <c r="U632" s="505"/>
      <c r="V632" s="505"/>
      <c r="W632" s="505"/>
      <c r="X632" s="505"/>
      <c r="Y632" s="505"/>
      <c r="Z632" s="505"/>
      <c r="AA632" s="505"/>
      <c r="AB632" s="505"/>
      <c r="AC632" s="505"/>
      <c r="AD632" s="505"/>
      <c r="AE632" s="505"/>
      <c r="AF632" s="505"/>
      <c r="AG632" s="505"/>
      <c r="AH632" s="505"/>
      <c r="AI632" s="505"/>
      <c r="AJ632" s="505"/>
      <c r="AK632" s="505"/>
      <c r="AL632" s="505"/>
      <c r="AM632" s="505"/>
      <c r="AN632" s="505"/>
      <c r="AO632" s="505"/>
      <c r="AP632" s="505"/>
      <c r="AQ632" s="505"/>
      <c r="AR632" s="505"/>
      <c r="AS632" s="505"/>
      <c r="AT632" s="505"/>
      <c r="AU632" s="505"/>
      <c r="AV632" s="505"/>
      <c r="AW632" s="505"/>
      <c r="AX632" s="505"/>
      <c r="AY632" s="505"/>
      <c r="AZ632" s="505"/>
      <c r="BA632" s="505"/>
      <c r="BB632" s="532">
        <f t="shared" ref="BB632:CB632" si="83">+BB14-BB631</f>
        <v>2.3084824348328759E-2</v>
      </c>
      <c r="BC632" s="532">
        <f t="shared" si="83"/>
        <v>1.7817927263203984E-2</v>
      </c>
      <c r="BD632" s="532">
        <f t="shared" si="83"/>
        <v>3.5683131501057064E-2</v>
      </c>
      <c r="BE632" s="532">
        <f t="shared" si="83"/>
        <v>3.7109497541313999E-2</v>
      </c>
      <c r="BF632" s="532">
        <f t="shared" si="83"/>
        <v>4.0645049650061743E-2</v>
      </c>
      <c r="BG632" s="532">
        <f t="shared" si="83"/>
        <v>2.6661951610057313E-2</v>
      </c>
      <c r="BH632" s="532">
        <f t="shared" si="83"/>
        <v>3.5301930522951178E-2</v>
      </c>
      <c r="BI632" s="532">
        <f t="shared" si="83"/>
        <v>7.437150505050498E-3</v>
      </c>
      <c r="BJ632" s="532">
        <f t="shared" si="83"/>
        <v>9.1322718446602141E-3</v>
      </c>
      <c r="BK632" s="532">
        <f t="shared" si="83"/>
        <v>1.2376316753185457E-2</v>
      </c>
      <c r="BL632" s="532">
        <f t="shared" si="83"/>
        <v>1.1795963581112658E-2</v>
      </c>
      <c r="BM632" s="532">
        <f t="shared" si="83"/>
        <v>1.0318071858997274E-2</v>
      </c>
      <c r="BN632" s="532">
        <f t="shared" si="83"/>
        <v>5.1406201312910182E-3</v>
      </c>
      <c r="BO632" s="532">
        <f t="shared" si="83"/>
        <v>-3.6377803921568905E-3</v>
      </c>
      <c r="BP632" s="532">
        <f t="shared" si="83"/>
        <v>-7.5741904761904844E-3</v>
      </c>
      <c r="BQ632" s="532">
        <f t="shared" si="83"/>
        <v>-1.2069413914977789E-2</v>
      </c>
      <c r="BR632" s="532">
        <f t="shared" si="83"/>
        <v>-4.644637920383117E-3</v>
      </c>
      <c r="BS632" s="532">
        <f t="shared" si="83"/>
        <v>-3.0421083130748594E-3</v>
      </c>
      <c r="BT632" s="532">
        <f t="shared" si="83"/>
        <v>-1.7892585766969699E-3</v>
      </c>
      <c r="BU632" s="532">
        <f t="shared" si="83"/>
        <v>-7.3889259087494413E-3</v>
      </c>
      <c r="BV632" s="532">
        <f t="shared" si="83"/>
        <v>-8.5414141400447091E-3</v>
      </c>
      <c r="BW632" s="532">
        <f t="shared" si="83"/>
        <v>-5.006178902196276E-3</v>
      </c>
      <c r="BX632" s="532">
        <f t="shared" si="83"/>
        <v>-7.3954345286880302E-3</v>
      </c>
      <c r="BY632" s="532">
        <f t="shared" si="83"/>
        <v>-1.0610306317212784E-2</v>
      </c>
      <c r="BZ632" s="532">
        <f t="shared" si="83"/>
        <v>-8.3578492993431619E-3</v>
      </c>
      <c r="CA632" s="532">
        <f t="shared" si="83"/>
        <v>-1.0681401759089715E-2</v>
      </c>
      <c r="CB632" s="532">
        <f t="shared" si="83"/>
        <v>-9.2417607078412456E-3</v>
      </c>
      <c r="CC632" s="532">
        <f t="shared" ref="CC632:CH632" si="84">+CC14-CC631</f>
        <v>-9.9190567199065049E-3</v>
      </c>
      <c r="CD632" s="532">
        <f t="shared" si="84"/>
        <v>-1.0306984603886432E-2</v>
      </c>
      <c r="CE632" s="532">
        <f t="shared" si="84"/>
        <v>-8.9204364127800501E-3</v>
      </c>
      <c r="CF632" s="532">
        <f t="shared" si="84"/>
        <v>-6.6839386015035557E-3</v>
      </c>
      <c r="CG632" s="532">
        <f t="shared" si="84"/>
        <v>-8.9278357616322385E-3</v>
      </c>
      <c r="CH632" s="532">
        <f t="shared" si="84"/>
        <v>-6.479686293204362E-3</v>
      </c>
      <c r="CI632" s="532">
        <f t="shared" ref="CI632:CN632" si="85">+CI14-CI631</f>
        <v>-8.8641451736773819E-3</v>
      </c>
      <c r="CJ632" s="532">
        <f t="shared" si="85"/>
        <v>-8.3845520530822643E-3</v>
      </c>
      <c r="CK632" s="532">
        <f t="shared" si="85"/>
        <v>-8.6548379978641371E-3</v>
      </c>
      <c r="CL632" s="532">
        <f t="shared" si="85"/>
        <v>-8.1101678144594458E-3</v>
      </c>
      <c r="CM632" s="532">
        <f t="shared" si="85"/>
        <v>-1.5478301797079749E-2</v>
      </c>
      <c r="CN632" s="532">
        <f t="shared" si="85"/>
        <v>-1.2195626961483602E-2</v>
      </c>
      <c r="CO632" s="532">
        <f>+CO14-CO631</f>
        <v>-1.3098122935779832E-2</v>
      </c>
      <c r="CP632" s="532">
        <f>+CP14-CP631</f>
        <v>-1.0541769005397043E-2</v>
      </c>
      <c r="CQ632" s="532">
        <f t="shared" ref="CQ632:CT632" si="86">+CQ14-CQ631</f>
        <v>-1.274920084306097E-2</v>
      </c>
      <c r="CR632" s="532">
        <f t="shared" si="86"/>
        <v>-1.0773264038616257E-2</v>
      </c>
      <c r="CS632" s="532">
        <f t="shared" si="86"/>
        <v>-4.6213662777129585E-3</v>
      </c>
      <c r="CT632" s="532">
        <f t="shared" si="86"/>
        <v>-9.2960235202492504E-3</v>
      </c>
      <c r="CU632" s="532">
        <f t="shared" ref="CU632:CW632" si="87">+CU14-CU631</f>
        <v>-9.5466335792061749E-3</v>
      </c>
      <c r="CV632" s="532">
        <f t="shared" si="87"/>
        <v>-8.4229244556913788E-3</v>
      </c>
      <c r="CW632" s="532">
        <f t="shared" si="87"/>
        <v>-1.0775986346863449E-2</v>
      </c>
      <c r="CX632" s="532">
        <f t="shared" ref="CX632:CY632" si="88">+CX14-CX631</f>
        <v>-1.2297804761904764E-2</v>
      </c>
      <c r="CY632" s="532">
        <f t="shared" si="88"/>
        <v>-9.9876255360623958E-3</v>
      </c>
      <c r="CZ632" s="532">
        <f t="shared" ref="CZ632:DA632" si="89">+CZ14-CZ631</f>
        <v>-1.162715431164902E-2</v>
      </c>
      <c r="DA632" s="532">
        <f t="shared" si="89"/>
        <v>-1.1183332410200808E-2</v>
      </c>
      <c r="DB632" s="505"/>
      <c r="DC632" s="505"/>
      <c r="DD632" s="505"/>
      <c r="DE632" s="505"/>
      <c r="DF632" s="505"/>
      <c r="DG632" s="505"/>
      <c r="DH632" s="505"/>
      <c r="DI632" s="505"/>
      <c r="DJ632" s="505"/>
      <c r="DK632" s="505"/>
      <c r="DL632" s="505"/>
      <c r="DM632" s="505"/>
      <c r="DN632" s="505"/>
      <c r="DO632" s="505"/>
      <c r="DP632" s="505"/>
    </row>
    <row r="633" spans="1:120" x14ac:dyDescent="0.2">
      <c r="A633" s="517">
        <f t="shared" si="79"/>
        <v>40909</v>
      </c>
      <c r="B633" s="517" t="str">
        <f t="shared" si="76"/>
        <v>1Q12</v>
      </c>
      <c r="C633" s="517" t="str">
        <f t="shared" si="80"/>
        <v>1Q12</v>
      </c>
      <c r="D633" s="518">
        <f t="shared" si="81"/>
        <v>40984</v>
      </c>
      <c r="E633" s="518">
        <f t="shared" si="81"/>
        <v>40924</v>
      </c>
      <c r="F633" s="520">
        <v>3.8540000000000001</v>
      </c>
      <c r="G633" s="521">
        <f t="shared" si="77"/>
        <v>0.55000000000000027</v>
      </c>
      <c r="H633" s="521">
        <f t="shared" si="78"/>
        <v>0.54000000000000026</v>
      </c>
      <c r="I633" s="505"/>
      <c r="J633" s="505"/>
      <c r="K633" s="505"/>
      <c r="L633" s="505"/>
      <c r="M633" s="505"/>
      <c r="N633" s="505"/>
      <c r="O633" s="505"/>
      <c r="P633" s="505"/>
      <c r="Q633" s="505"/>
      <c r="R633" s="505"/>
      <c r="S633" s="505"/>
      <c r="T633" s="505"/>
      <c r="U633" s="505"/>
      <c r="V633" s="505"/>
      <c r="W633" s="505"/>
      <c r="X633" s="505"/>
      <c r="Y633" s="505"/>
      <c r="Z633" s="505"/>
      <c r="AA633" s="505"/>
      <c r="AB633" s="505"/>
      <c r="AC633" s="505"/>
      <c r="AD633" s="505"/>
      <c r="AE633" s="505"/>
      <c r="AF633" s="505"/>
      <c r="AG633" s="505"/>
      <c r="AH633" s="505"/>
      <c r="AI633" s="505"/>
      <c r="AJ633" s="505"/>
      <c r="AK633" s="505"/>
      <c r="AL633" s="505"/>
      <c r="AM633" s="505"/>
      <c r="AN633" s="505"/>
      <c r="AO633" s="505"/>
      <c r="AP633" s="505"/>
      <c r="AQ633" s="505"/>
      <c r="AR633" s="505"/>
      <c r="AS633" s="505"/>
      <c r="AT633" s="505"/>
      <c r="AU633" s="505"/>
      <c r="AV633" s="505"/>
      <c r="AW633" s="505"/>
      <c r="AX633" s="505"/>
      <c r="AY633" s="505"/>
      <c r="AZ633" s="505"/>
      <c r="BA633" s="505"/>
      <c r="BB633" s="505"/>
      <c r="BC633" s="505"/>
      <c r="BD633" s="505"/>
      <c r="BE633" s="505"/>
      <c r="BF633" s="505"/>
      <c r="BG633" s="505"/>
      <c r="BH633" s="505"/>
      <c r="BI633" s="505"/>
      <c r="BJ633" s="505"/>
      <c r="BK633" s="505"/>
      <c r="BL633" s="505"/>
      <c r="BM633" s="505"/>
      <c r="BN633" s="505"/>
      <c r="BO633" s="505"/>
      <c r="BP633" s="505"/>
      <c r="BQ633" s="505"/>
      <c r="BR633" s="505"/>
      <c r="BS633" s="505"/>
      <c r="BT633" s="505"/>
      <c r="BU633" s="505"/>
      <c r="BV633" s="505"/>
      <c r="BW633" s="505"/>
      <c r="BX633" s="505"/>
      <c r="BY633" s="505"/>
      <c r="BZ633" s="505"/>
      <c r="CA633" s="505"/>
      <c r="CB633" s="505"/>
      <c r="CC633" s="505"/>
      <c r="CD633" s="505"/>
      <c r="CE633" s="505"/>
      <c r="CF633" s="505"/>
      <c r="CG633" s="505"/>
      <c r="CH633" s="505"/>
      <c r="CI633" s="505"/>
      <c r="CJ633" s="505"/>
      <c r="CK633" s="505"/>
      <c r="CL633" s="505"/>
      <c r="CM633" s="505"/>
      <c r="CN633" s="505"/>
      <c r="CO633" s="505"/>
      <c r="CP633" s="505"/>
      <c r="CQ633" s="505"/>
      <c r="CR633" s="505"/>
      <c r="CS633" s="505"/>
      <c r="CT633" s="505"/>
      <c r="CU633" s="505"/>
      <c r="CV633" s="505"/>
      <c r="CW633" s="505"/>
      <c r="CX633" s="505"/>
      <c r="CY633" s="505"/>
      <c r="CZ633" s="505"/>
      <c r="DA633" s="505"/>
      <c r="DB633" s="505"/>
      <c r="DC633" s="505"/>
      <c r="DD633" s="505"/>
      <c r="DE633" s="505"/>
      <c r="DF633" s="505"/>
      <c r="DG633" s="505"/>
      <c r="DH633" s="505"/>
      <c r="DI633" s="505"/>
      <c r="DJ633" s="505"/>
      <c r="DK633" s="505"/>
      <c r="DL633" s="505"/>
      <c r="DM633" s="505"/>
      <c r="DN633" s="505"/>
      <c r="DO633" s="505"/>
      <c r="DP633" s="505"/>
    </row>
    <row r="634" spans="1:120" x14ac:dyDescent="0.2">
      <c r="A634" s="517">
        <f t="shared" si="79"/>
        <v>40909</v>
      </c>
      <c r="B634" s="517" t="str">
        <f t="shared" si="76"/>
        <v>1Q12</v>
      </c>
      <c r="C634" s="517" t="str">
        <f t="shared" si="80"/>
        <v>1Q12</v>
      </c>
      <c r="D634" s="518">
        <f t="shared" si="81"/>
        <v>40991</v>
      </c>
      <c r="E634" s="518">
        <f t="shared" si="81"/>
        <v>40931</v>
      </c>
      <c r="F634" s="520">
        <v>3.8479999999999999</v>
      </c>
      <c r="G634" s="521">
        <f t="shared" si="77"/>
        <v>0.54000000000000026</v>
      </c>
      <c r="H634" s="521">
        <f t="shared" si="78"/>
        <v>0.55000000000000027</v>
      </c>
      <c r="I634" s="505"/>
      <c r="J634" s="505"/>
      <c r="K634" s="505"/>
      <c r="L634" s="505"/>
      <c r="M634" s="505"/>
      <c r="N634" s="505"/>
      <c r="O634" s="505"/>
      <c r="P634" s="505"/>
      <c r="Q634" s="505"/>
      <c r="R634" s="505"/>
      <c r="S634" s="505"/>
      <c r="T634" s="505"/>
      <c r="U634" s="505"/>
      <c r="V634" s="505"/>
      <c r="W634" s="505"/>
      <c r="X634" s="505"/>
      <c r="Y634" s="505"/>
      <c r="Z634" s="505"/>
      <c r="AA634" s="505"/>
      <c r="AB634" s="505"/>
      <c r="AC634" s="505"/>
      <c r="AD634" s="505"/>
      <c r="AE634" s="505"/>
      <c r="AF634" s="505"/>
      <c r="AG634" s="505"/>
      <c r="AH634" s="505"/>
      <c r="AI634" s="505"/>
      <c r="AJ634" s="505"/>
      <c r="AK634" s="505"/>
      <c r="AL634" s="505"/>
      <c r="AM634" s="505"/>
      <c r="AN634" s="505"/>
      <c r="AO634" s="505"/>
      <c r="AP634" s="505"/>
      <c r="AQ634" s="505"/>
      <c r="AR634" s="505"/>
      <c r="AS634" s="505"/>
      <c r="AT634" s="505"/>
      <c r="AU634" s="505"/>
      <c r="AV634" s="505"/>
      <c r="AW634" s="505"/>
      <c r="AX634" s="505"/>
      <c r="AY634" s="505"/>
      <c r="AZ634" s="505"/>
      <c r="BA634" s="505"/>
      <c r="BB634" s="505"/>
      <c r="BC634" s="505"/>
      <c r="BD634" s="505"/>
      <c r="BE634" s="505"/>
      <c r="BF634" s="505"/>
      <c r="BG634" s="505"/>
      <c r="BH634" s="505"/>
      <c r="BI634" s="505"/>
      <c r="BJ634" s="505"/>
      <c r="BK634" s="505"/>
      <c r="BL634" s="505"/>
      <c r="BM634" s="505"/>
      <c r="BN634" s="505"/>
      <c r="BO634" s="505"/>
      <c r="BP634" s="505"/>
      <c r="BQ634" s="505"/>
      <c r="BR634" s="505"/>
      <c r="BS634" s="505"/>
      <c r="BT634" s="505"/>
      <c r="BU634" s="505"/>
      <c r="BV634" s="505"/>
      <c r="BW634" s="505"/>
      <c r="BX634" s="505"/>
      <c r="BY634" s="505"/>
      <c r="BZ634" s="505"/>
      <c r="CA634" s="505"/>
      <c r="CB634" s="505"/>
      <c r="CC634" s="505"/>
      <c r="CD634" s="505"/>
      <c r="CE634" s="505"/>
      <c r="CF634" s="505"/>
      <c r="CG634" s="505"/>
      <c r="CH634" s="505"/>
      <c r="CI634" s="505"/>
      <c r="CJ634" s="505"/>
      <c r="CK634" s="505"/>
      <c r="CL634" s="505"/>
      <c r="CM634" s="505"/>
      <c r="CN634" s="505"/>
      <c r="CO634" s="505"/>
      <c r="CP634" s="505"/>
      <c r="CQ634" s="505"/>
      <c r="CR634" s="505"/>
      <c r="CS634" s="505"/>
      <c r="CT634" s="505"/>
      <c r="CU634" s="505"/>
      <c r="CV634" s="505"/>
      <c r="CW634" s="505"/>
      <c r="CX634" s="505"/>
      <c r="CY634" s="505"/>
      <c r="CZ634" s="505"/>
      <c r="DA634" s="505"/>
      <c r="DB634" s="505"/>
      <c r="DC634" s="505"/>
      <c r="DD634" s="505"/>
      <c r="DE634" s="505"/>
      <c r="DF634" s="505"/>
      <c r="DG634" s="505"/>
      <c r="DH634" s="505"/>
      <c r="DI634" s="505"/>
      <c r="DJ634" s="505"/>
      <c r="DK634" s="505"/>
      <c r="DL634" s="505"/>
      <c r="DM634" s="505"/>
      <c r="DN634" s="505"/>
      <c r="DO634" s="505"/>
      <c r="DP634" s="505"/>
    </row>
    <row r="635" spans="1:120" x14ac:dyDescent="0.2">
      <c r="A635" s="517">
        <f t="shared" si="79"/>
        <v>40909</v>
      </c>
      <c r="B635" s="517" t="str">
        <f t="shared" si="76"/>
        <v>1Q12</v>
      </c>
      <c r="C635" s="517" t="str">
        <f t="shared" si="80"/>
        <v>1Q12</v>
      </c>
      <c r="D635" s="518">
        <f t="shared" si="81"/>
        <v>40998</v>
      </c>
      <c r="E635" s="518">
        <f t="shared" si="81"/>
        <v>40938</v>
      </c>
      <c r="F635" s="520">
        <v>3.85</v>
      </c>
      <c r="G635" s="521">
        <f t="shared" si="77"/>
        <v>0.55000000000000027</v>
      </c>
      <c r="H635" s="521">
        <f t="shared" si="78"/>
        <v>0.55000000000000027</v>
      </c>
      <c r="I635" s="505"/>
      <c r="J635" s="505"/>
      <c r="K635" s="505"/>
      <c r="L635" s="505"/>
      <c r="M635" s="505"/>
      <c r="N635" s="505"/>
      <c r="O635" s="505"/>
      <c r="P635" s="505"/>
      <c r="Q635" s="505"/>
      <c r="R635" s="505"/>
      <c r="S635" s="505"/>
      <c r="T635" s="505"/>
      <c r="U635" s="505"/>
      <c r="V635" s="505"/>
      <c r="W635" s="505"/>
      <c r="X635" s="505"/>
      <c r="Y635" s="505"/>
      <c r="Z635" s="505"/>
      <c r="AA635" s="505"/>
      <c r="AB635" s="505"/>
      <c r="AC635" s="505"/>
      <c r="AD635" s="505"/>
      <c r="AE635" s="505"/>
      <c r="AF635" s="505"/>
      <c r="AG635" s="505"/>
      <c r="AH635" s="505"/>
      <c r="AI635" s="505"/>
      <c r="AJ635" s="505"/>
      <c r="AK635" s="505"/>
      <c r="AL635" s="505"/>
      <c r="AM635" s="505"/>
      <c r="AN635" s="505"/>
      <c r="AO635" s="505"/>
      <c r="AP635" s="505"/>
      <c r="AQ635" s="505"/>
      <c r="AR635" s="505"/>
      <c r="AS635" s="505"/>
      <c r="AT635" s="505"/>
      <c r="AU635" s="505"/>
      <c r="AV635" s="505"/>
      <c r="AW635" s="505"/>
      <c r="AX635" s="505"/>
      <c r="AY635" s="505"/>
      <c r="AZ635" s="505"/>
      <c r="BA635" s="505"/>
      <c r="BB635" s="505"/>
      <c r="BC635" s="505"/>
      <c r="BD635" s="505"/>
      <c r="BE635" s="505"/>
      <c r="BF635" s="505"/>
      <c r="BG635" s="505"/>
      <c r="BH635" s="505"/>
      <c r="BI635" s="505"/>
      <c r="BJ635" s="505"/>
      <c r="BK635" s="505"/>
      <c r="BL635" s="505"/>
      <c r="BM635" s="505"/>
      <c r="BN635" s="505"/>
      <c r="BO635" s="505"/>
      <c r="BP635" s="505"/>
      <c r="BQ635" s="505"/>
      <c r="BR635" s="505"/>
      <c r="BS635" s="505"/>
      <c r="BT635" s="505"/>
      <c r="BU635" s="505"/>
      <c r="BV635" s="505"/>
      <c r="BW635" s="505"/>
      <c r="BX635" s="505"/>
      <c r="BY635" s="505"/>
      <c r="BZ635" s="505"/>
      <c r="CA635" s="505"/>
      <c r="CB635" s="505"/>
      <c r="CC635" s="505"/>
      <c r="CD635" s="505"/>
      <c r="CE635" s="505"/>
      <c r="CF635" s="505"/>
      <c r="CG635" s="505"/>
      <c r="CH635" s="505"/>
      <c r="CI635" s="505"/>
      <c r="CJ635" s="505"/>
      <c r="CK635" s="505"/>
      <c r="CL635" s="505"/>
      <c r="CM635" s="505"/>
      <c r="CN635" s="505"/>
      <c r="CO635" s="505"/>
      <c r="CP635" s="505"/>
      <c r="CQ635" s="505"/>
      <c r="CR635" s="505"/>
      <c r="CS635" s="505"/>
      <c r="CT635" s="505"/>
      <c r="CU635" s="505"/>
      <c r="CV635" s="505"/>
      <c r="CW635" s="505"/>
      <c r="CX635" s="505"/>
      <c r="CY635" s="505"/>
      <c r="CZ635" s="505"/>
      <c r="DA635" s="505"/>
      <c r="DB635" s="505"/>
      <c r="DC635" s="505"/>
      <c r="DD635" s="505"/>
      <c r="DE635" s="505"/>
      <c r="DF635" s="505"/>
      <c r="DG635" s="505"/>
      <c r="DH635" s="505"/>
      <c r="DI635" s="505"/>
      <c r="DJ635" s="505"/>
      <c r="DK635" s="505"/>
      <c r="DL635" s="505"/>
      <c r="DM635" s="505"/>
      <c r="DN635" s="505"/>
      <c r="DO635" s="505"/>
      <c r="DP635" s="505"/>
    </row>
    <row r="636" spans="1:120" x14ac:dyDescent="0.2">
      <c r="A636" s="517">
        <f t="shared" si="79"/>
        <v>40940</v>
      </c>
      <c r="B636" s="517" t="str">
        <f t="shared" si="76"/>
        <v>1Q12</v>
      </c>
      <c r="C636" s="517" t="str">
        <f t="shared" si="80"/>
        <v>2Q12</v>
      </c>
      <c r="D636" s="518">
        <f t="shared" si="81"/>
        <v>41005</v>
      </c>
      <c r="E636" s="518">
        <f t="shared" si="81"/>
        <v>40945</v>
      </c>
      <c r="F636" s="520">
        <v>3.8559999999999999</v>
      </c>
      <c r="G636" s="521">
        <f t="shared" si="77"/>
        <v>0.55000000000000027</v>
      </c>
      <c r="H636" s="521">
        <f t="shared" si="78"/>
        <v>0.56000000000000028</v>
      </c>
      <c r="I636" s="505"/>
      <c r="J636" s="505"/>
      <c r="K636" s="505"/>
      <c r="L636" s="505"/>
      <c r="M636" s="505"/>
      <c r="N636" s="505"/>
      <c r="O636" s="505"/>
      <c r="P636" s="505"/>
      <c r="Q636" s="505"/>
      <c r="R636" s="505"/>
      <c r="S636" s="505"/>
      <c r="T636" s="505"/>
      <c r="U636" s="505"/>
      <c r="V636" s="505"/>
      <c r="W636" s="505"/>
      <c r="X636" s="505"/>
      <c r="Y636" s="505"/>
      <c r="Z636" s="505"/>
      <c r="AA636" s="505"/>
      <c r="AB636" s="505"/>
      <c r="AC636" s="505"/>
      <c r="AD636" s="505"/>
      <c r="AE636" s="505"/>
      <c r="AF636" s="505"/>
      <c r="AG636" s="505"/>
      <c r="AH636" s="505"/>
      <c r="AI636" s="505"/>
      <c r="AJ636" s="505"/>
      <c r="AK636" s="505"/>
      <c r="AL636" s="505"/>
      <c r="AM636" s="505"/>
      <c r="AN636" s="505"/>
      <c r="AO636" s="505"/>
      <c r="AP636" s="505"/>
      <c r="AQ636" s="505"/>
      <c r="AR636" s="505"/>
      <c r="AS636" s="505"/>
      <c r="AT636" s="505"/>
      <c r="AU636" s="505"/>
      <c r="AV636" s="505"/>
      <c r="AW636" s="505"/>
      <c r="AX636" s="505"/>
      <c r="AY636" s="505"/>
      <c r="AZ636" s="505"/>
      <c r="BA636" s="505"/>
      <c r="BB636" s="505"/>
      <c r="BC636" s="505"/>
      <c r="BD636" s="505"/>
      <c r="BE636" s="505"/>
      <c r="BF636" s="505"/>
      <c r="BG636" s="505"/>
      <c r="BH636" s="505"/>
      <c r="BI636" s="505"/>
      <c r="BJ636" s="505"/>
      <c r="BK636" s="505"/>
      <c r="BL636" s="505"/>
      <c r="BM636" s="505"/>
      <c r="BN636" s="505"/>
      <c r="BO636" s="505"/>
      <c r="BP636" s="505"/>
      <c r="BQ636" s="505"/>
      <c r="BR636" s="505"/>
      <c r="BS636" s="505"/>
      <c r="BT636" s="505"/>
      <c r="BU636" s="505"/>
      <c r="BV636" s="505"/>
      <c r="BW636" s="505"/>
      <c r="BX636" s="505"/>
      <c r="BY636" s="505"/>
      <c r="BZ636" s="505"/>
      <c r="CA636" s="505"/>
      <c r="CB636" s="505"/>
      <c r="CC636" s="505"/>
      <c r="CD636" s="505"/>
      <c r="CE636" s="505"/>
      <c r="CF636" s="505"/>
      <c r="CG636" s="505"/>
      <c r="CH636" s="505"/>
      <c r="CI636" s="505"/>
      <c r="CJ636" s="505"/>
      <c r="CK636" s="505"/>
      <c r="CL636" s="505"/>
      <c r="CM636" s="505"/>
      <c r="CN636" s="505"/>
      <c r="CO636" s="505"/>
      <c r="CP636" s="505"/>
      <c r="CQ636" s="505"/>
      <c r="CR636" s="505"/>
      <c r="CS636" s="505"/>
      <c r="CT636" s="505"/>
      <c r="CU636" s="505"/>
      <c r="CV636" s="505"/>
      <c r="CW636" s="505"/>
      <c r="CX636" s="505"/>
      <c r="CY636" s="505"/>
      <c r="CZ636" s="505"/>
      <c r="DA636" s="505"/>
      <c r="DB636" s="505"/>
      <c r="DC636" s="505"/>
      <c r="DD636" s="505"/>
      <c r="DE636" s="505"/>
      <c r="DF636" s="505"/>
      <c r="DG636" s="505"/>
      <c r="DH636" s="505"/>
      <c r="DI636" s="505"/>
      <c r="DJ636" s="505"/>
      <c r="DK636" s="505"/>
      <c r="DL636" s="505"/>
      <c r="DM636" s="505"/>
      <c r="DN636" s="505"/>
      <c r="DO636" s="505"/>
      <c r="DP636" s="505"/>
    </row>
    <row r="637" spans="1:120" x14ac:dyDescent="0.2">
      <c r="A637" s="517">
        <f t="shared" si="79"/>
        <v>40940</v>
      </c>
      <c r="B637" s="517" t="str">
        <f t="shared" si="76"/>
        <v>1Q12</v>
      </c>
      <c r="C637" s="517" t="str">
        <f t="shared" si="80"/>
        <v>2Q12</v>
      </c>
      <c r="D637" s="518">
        <f t="shared" si="81"/>
        <v>41012</v>
      </c>
      <c r="E637" s="518">
        <f t="shared" si="81"/>
        <v>40952</v>
      </c>
      <c r="F637" s="520">
        <v>3.9430000000000001</v>
      </c>
      <c r="G637" s="521">
        <f t="shared" si="77"/>
        <v>0.56000000000000028</v>
      </c>
      <c r="H637" s="521">
        <f t="shared" si="78"/>
        <v>0.57000000000000028</v>
      </c>
      <c r="I637" s="505"/>
      <c r="J637" s="505"/>
      <c r="K637" s="505"/>
      <c r="L637" s="505"/>
      <c r="M637" s="505"/>
      <c r="N637" s="505"/>
      <c r="O637" s="505"/>
      <c r="P637" s="505"/>
      <c r="Q637" s="505"/>
      <c r="R637" s="505"/>
      <c r="S637" s="505"/>
      <c r="T637" s="505"/>
      <c r="U637" s="505"/>
      <c r="V637" s="505"/>
      <c r="W637" s="505"/>
      <c r="X637" s="505"/>
      <c r="Y637" s="505"/>
      <c r="Z637" s="505"/>
      <c r="AA637" s="505"/>
      <c r="AB637" s="505"/>
      <c r="AC637" s="505"/>
      <c r="AD637" s="505"/>
      <c r="AE637" s="505"/>
      <c r="AF637" s="505"/>
      <c r="AG637" s="505"/>
      <c r="AH637" s="505"/>
      <c r="AI637" s="505"/>
      <c r="AJ637" s="505"/>
      <c r="AK637" s="505"/>
      <c r="AL637" s="505"/>
      <c r="AM637" s="505"/>
      <c r="AN637" s="505"/>
      <c r="AO637" s="505"/>
      <c r="AP637" s="505"/>
      <c r="AQ637" s="505"/>
      <c r="AR637" s="505"/>
      <c r="AS637" s="505"/>
      <c r="AT637" s="505"/>
      <c r="AU637" s="505"/>
      <c r="AV637" s="505"/>
      <c r="AW637" s="505"/>
      <c r="AX637" s="505"/>
      <c r="AY637" s="505"/>
      <c r="AZ637" s="505"/>
      <c r="BA637" s="505"/>
      <c r="BB637" s="505"/>
      <c r="BC637" s="505"/>
      <c r="BD637" s="505"/>
      <c r="BE637" s="505"/>
      <c r="BF637" s="505"/>
      <c r="BG637" s="505"/>
      <c r="BH637" s="505"/>
      <c r="BI637" s="505"/>
      <c r="BJ637" s="505"/>
      <c r="BK637" s="505"/>
      <c r="BL637" s="505"/>
      <c r="BM637" s="505"/>
      <c r="BN637" s="505"/>
      <c r="BO637" s="505"/>
      <c r="BP637" s="505"/>
      <c r="BQ637" s="505"/>
      <c r="BR637" s="505"/>
      <c r="BS637" s="505"/>
      <c r="BT637" s="505"/>
      <c r="BU637" s="505"/>
      <c r="BV637" s="505"/>
      <c r="BW637" s="505"/>
      <c r="BX637" s="505"/>
      <c r="BY637" s="505"/>
      <c r="BZ637" s="505"/>
      <c r="CA637" s="505"/>
      <c r="CB637" s="505"/>
      <c r="CC637" s="505"/>
      <c r="CD637" s="505"/>
      <c r="CE637" s="505"/>
      <c r="CF637" s="505"/>
      <c r="CG637" s="505"/>
      <c r="CH637" s="505"/>
      <c r="CI637" s="505"/>
      <c r="CJ637" s="505"/>
      <c r="CK637" s="505"/>
      <c r="CL637" s="505"/>
      <c r="CM637" s="505"/>
      <c r="CN637" s="505"/>
      <c r="CO637" s="505"/>
      <c r="CP637" s="505"/>
      <c r="CQ637" s="505"/>
      <c r="CR637" s="505"/>
      <c r="CS637" s="505"/>
      <c r="CT637" s="505"/>
      <c r="CU637" s="505"/>
      <c r="CV637" s="505"/>
      <c r="CW637" s="505"/>
      <c r="CX637" s="505"/>
      <c r="CY637" s="505"/>
      <c r="CZ637" s="505"/>
      <c r="DA637" s="505"/>
      <c r="DB637" s="505"/>
      <c r="DC637" s="505"/>
      <c r="DD637" s="505"/>
      <c r="DE637" s="505"/>
      <c r="DF637" s="505"/>
      <c r="DG637" s="505"/>
      <c r="DH637" s="505"/>
      <c r="DI637" s="505"/>
      <c r="DJ637" s="505"/>
      <c r="DK637" s="505"/>
      <c r="DL637" s="505"/>
      <c r="DM637" s="505"/>
      <c r="DN637" s="505"/>
      <c r="DO637" s="505"/>
      <c r="DP637" s="505"/>
    </row>
    <row r="638" spans="1:120" x14ac:dyDescent="0.2">
      <c r="A638" s="517">
        <f t="shared" si="79"/>
        <v>40940</v>
      </c>
      <c r="B638" s="517" t="str">
        <f t="shared" si="76"/>
        <v>1Q12</v>
      </c>
      <c r="C638" s="517" t="str">
        <f t="shared" si="80"/>
        <v>2Q12</v>
      </c>
      <c r="D638" s="518">
        <f t="shared" si="81"/>
        <v>41019</v>
      </c>
      <c r="E638" s="518">
        <f t="shared" si="81"/>
        <v>40959</v>
      </c>
      <c r="F638" s="520">
        <v>3.96</v>
      </c>
      <c r="G638" s="521">
        <f t="shared" si="77"/>
        <v>0.57000000000000028</v>
      </c>
      <c r="H638" s="521">
        <f t="shared" si="78"/>
        <v>0.5900000000000003</v>
      </c>
      <c r="I638" s="505"/>
      <c r="J638" s="505"/>
      <c r="K638" s="505"/>
      <c r="L638" s="505"/>
      <c r="M638" s="505"/>
      <c r="N638" s="505"/>
      <c r="O638" s="505"/>
      <c r="P638" s="505"/>
      <c r="Q638" s="505"/>
      <c r="R638" s="505"/>
      <c r="S638" s="505"/>
      <c r="T638" s="505"/>
      <c r="U638" s="505"/>
      <c r="V638" s="505"/>
      <c r="W638" s="505"/>
      <c r="X638" s="505"/>
      <c r="Y638" s="505"/>
      <c r="Z638" s="505"/>
      <c r="AA638" s="505"/>
      <c r="AB638" s="505"/>
      <c r="AC638" s="505"/>
      <c r="AD638" s="505"/>
      <c r="AE638" s="505"/>
      <c r="AF638" s="505"/>
      <c r="AG638" s="505"/>
      <c r="AH638" s="505"/>
      <c r="AI638" s="505"/>
      <c r="AJ638" s="505"/>
      <c r="AK638" s="505"/>
      <c r="AL638" s="505"/>
      <c r="AM638" s="505"/>
      <c r="AN638" s="505"/>
      <c r="AO638" s="505"/>
      <c r="AP638" s="505"/>
      <c r="AQ638" s="505"/>
      <c r="AR638" s="505"/>
      <c r="AS638" s="505"/>
      <c r="AT638" s="505"/>
      <c r="AU638" s="505"/>
      <c r="AV638" s="505"/>
      <c r="AW638" s="505"/>
      <c r="AX638" s="505"/>
      <c r="AY638" s="505"/>
      <c r="AZ638" s="505"/>
      <c r="BA638" s="505"/>
      <c r="BB638" s="505"/>
      <c r="BC638" s="505"/>
      <c r="BD638" s="505"/>
      <c r="BE638" s="505"/>
      <c r="BF638" s="505"/>
      <c r="BG638" s="505"/>
      <c r="BH638" s="505"/>
      <c r="BI638" s="505"/>
      <c r="BJ638" s="505"/>
      <c r="BK638" s="505"/>
      <c r="BL638" s="505"/>
      <c r="BM638" s="505"/>
      <c r="BN638" s="505"/>
      <c r="BO638" s="505"/>
      <c r="BP638" s="505"/>
      <c r="BQ638" s="505"/>
      <c r="BR638" s="505"/>
      <c r="BS638" s="505"/>
      <c r="BT638" s="505"/>
      <c r="BU638" s="505"/>
      <c r="BV638" s="505"/>
      <c r="BW638" s="505"/>
      <c r="BX638" s="505"/>
      <c r="BY638" s="505"/>
      <c r="BZ638" s="505"/>
      <c r="CA638" s="505"/>
      <c r="CB638" s="505"/>
      <c r="CC638" s="505"/>
      <c r="CD638" s="505"/>
      <c r="CE638" s="505"/>
      <c r="CF638" s="505"/>
      <c r="CG638" s="505"/>
      <c r="CH638" s="505"/>
      <c r="CI638" s="505"/>
      <c r="CJ638" s="505"/>
      <c r="CK638" s="505"/>
      <c r="CL638" s="505"/>
      <c r="CM638" s="505"/>
      <c r="CN638" s="505"/>
      <c r="CO638" s="505"/>
      <c r="CP638" s="505"/>
      <c r="CQ638" s="505"/>
      <c r="CR638" s="505"/>
      <c r="CS638" s="505"/>
      <c r="CT638" s="505"/>
      <c r="CU638" s="505"/>
      <c r="CV638" s="505"/>
      <c r="CW638" s="505"/>
      <c r="CX638" s="505"/>
      <c r="CY638" s="505"/>
      <c r="CZ638" s="505"/>
      <c r="DA638" s="505"/>
      <c r="DB638" s="505"/>
      <c r="DC638" s="505"/>
      <c r="DD638" s="505"/>
      <c r="DE638" s="505"/>
      <c r="DF638" s="505"/>
      <c r="DG638" s="505"/>
      <c r="DH638" s="505"/>
      <c r="DI638" s="505"/>
      <c r="DJ638" s="505"/>
      <c r="DK638" s="505"/>
      <c r="DL638" s="505"/>
      <c r="DM638" s="505"/>
      <c r="DN638" s="505"/>
      <c r="DO638" s="505"/>
      <c r="DP638" s="505"/>
    </row>
    <row r="639" spans="1:120" x14ac:dyDescent="0.2">
      <c r="A639" s="517">
        <f t="shared" si="79"/>
        <v>40940</v>
      </c>
      <c r="B639" s="517" t="str">
        <f t="shared" si="76"/>
        <v>1Q12</v>
      </c>
      <c r="C639" s="517" t="str">
        <f t="shared" si="80"/>
        <v>2Q12</v>
      </c>
      <c r="D639" s="518">
        <f t="shared" si="81"/>
        <v>41026</v>
      </c>
      <c r="E639" s="518">
        <f t="shared" si="81"/>
        <v>40966</v>
      </c>
      <c r="F639" s="520">
        <v>4.0510000000000002</v>
      </c>
      <c r="G639" s="521">
        <f t="shared" si="77"/>
        <v>0.5900000000000003</v>
      </c>
      <c r="H639" s="521">
        <f t="shared" si="78"/>
        <v>0.5900000000000003</v>
      </c>
      <c r="I639" s="505"/>
      <c r="J639" s="505"/>
      <c r="K639" s="505"/>
      <c r="L639" s="505"/>
      <c r="M639" s="505"/>
      <c r="N639" s="505"/>
      <c r="O639" s="505"/>
      <c r="P639" s="505"/>
      <c r="Q639" s="505"/>
      <c r="R639" s="505"/>
      <c r="S639" s="505"/>
      <c r="T639" s="505"/>
      <c r="U639" s="505"/>
      <c r="V639" s="505"/>
      <c r="W639" s="505"/>
      <c r="X639" s="505"/>
      <c r="Y639" s="505"/>
      <c r="Z639" s="505"/>
      <c r="AA639" s="505"/>
      <c r="AB639" s="505"/>
      <c r="AC639" s="505"/>
      <c r="AD639" s="505"/>
      <c r="AE639" s="505"/>
      <c r="AF639" s="505"/>
      <c r="AG639" s="505"/>
      <c r="AH639" s="505"/>
      <c r="AI639" s="505"/>
      <c r="AJ639" s="505"/>
      <c r="AK639" s="505"/>
      <c r="AL639" s="505"/>
      <c r="AM639" s="505"/>
      <c r="AN639" s="505"/>
      <c r="AO639" s="505"/>
      <c r="AP639" s="505"/>
      <c r="AQ639" s="505"/>
      <c r="AR639" s="505"/>
      <c r="AS639" s="505"/>
      <c r="AT639" s="505"/>
      <c r="AU639" s="505"/>
      <c r="AV639" s="505"/>
      <c r="AW639" s="505"/>
      <c r="AX639" s="505"/>
      <c r="AY639" s="505"/>
      <c r="AZ639" s="505"/>
      <c r="BA639" s="505"/>
      <c r="BB639" s="505"/>
      <c r="BC639" s="505"/>
      <c r="BD639" s="505"/>
      <c r="BE639" s="505"/>
      <c r="BF639" s="505"/>
      <c r="BG639" s="505"/>
      <c r="BH639" s="505"/>
      <c r="BI639" s="505"/>
      <c r="BJ639" s="505"/>
      <c r="BK639" s="505"/>
      <c r="BL639" s="505"/>
      <c r="BM639" s="505"/>
      <c r="BN639" s="505"/>
      <c r="BO639" s="505"/>
      <c r="BP639" s="505"/>
      <c r="BQ639" s="505"/>
      <c r="BR639" s="505"/>
      <c r="BS639" s="505"/>
      <c r="BT639" s="505"/>
      <c r="BU639" s="505"/>
      <c r="BV639" s="505"/>
      <c r="BW639" s="505"/>
      <c r="BX639" s="505"/>
      <c r="BY639" s="505"/>
      <c r="BZ639" s="505"/>
      <c r="CA639" s="505"/>
      <c r="CB639" s="505"/>
      <c r="CC639" s="505"/>
      <c r="CD639" s="505"/>
      <c r="CE639" s="505"/>
      <c r="CF639" s="505"/>
      <c r="CG639" s="505"/>
      <c r="CH639" s="505"/>
      <c r="CI639" s="505"/>
      <c r="CJ639" s="505"/>
      <c r="CK639" s="505"/>
      <c r="CL639" s="505"/>
      <c r="CM639" s="505"/>
      <c r="CN639" s="505"/>
      <c r="CO639" s="505"/>
      <c r="CP639" s="505"/>
      <c r="CQ639" s="505"/>
      <c r="CR639" s="505"/>
      <c r="CS639" s="505"/>
      <c r="CT639" s="505"/>
      <c r="CU639" s="505"/>
      <c r="CV639" s="505"/>
      <c r="CW639" s="505"/>
      <c r="CX639" s="505"/>
      <c r="CY639" s="505"/>
      <c r="CZ639" s="505"/>
      <c r="DA639" s="505"/>
      <c r="DB639" s="505"/>
      <c r="DC639" s="505"/>
      <c r="DD639" s="505"/>
      <c r="DE639" s="505"/>
      <c r="DF639" s="505"/>
      <c r="DG639" s="505"/>
      <c r="DH639" s="505"/>
      <c r="DI639" s="505"/>
      <c r="DJ639" s="505"/>
      <c r="DK639" s="505"/>
      <c r="DL639" s="505"/>
      <c r="DM639" s="505"/>
      <c r="DN639" s="505"/>
      <c r="DO639" s="505"/>
      <c r="DP639" s="505"/>
    </row>
    <row r="640" spans="1:120" x14ac:dyDescent="0.2">
      <c r="A640" s="517">
        <f t="shared" si="79"/>
        <v>40969</v>
      </c>
      <c r="B640" s="517" t="str">
        <f t="shared" si="76"/>
        <v>1Q12</v>
      </c>
      <c r="C640" s="517" t="str">
        <f t="shared" si="80"/>
        <v>2Q12</v>
      </c>
      <c r="D640" s="518">
        <f t="shared" si="81"/>
        <v>41033</v>
      </c>
      <c r="E640" s="518">
        <f t="shared" si="81"/>
        <v>40973</v>
      </c>
      <c r="F640" s="520">
        <v>4.0940000000000003</v>
      </c>
      <c r="G640" s="521">
        <f t="shared" si="77"/>
        <v>0.5900000000000003</v>
      </c>
      <c r="H640" s="521">
        <f t="shared" si="78"/>
        <v>0.60000000000000031</v>
      </c>
      <c r="I640" s="505"/>
      <c r="J640" s="505"/>
      <c r="K640" s="505"/>
      <c r="L640" s="505"/>
      <c r="M640" s="505"/>
      <c r="N640" s="505"/>
      <c r="O640" s="505"/>
      <c r="P640" s="505"/>
      <c r="Q640" s="505"/>
      <c r="R640" s="505"/>
      <c r="S640" s="505"/>
      <c r="T640" s="505"/>
      <c r="U640" s="505"/>
      <c r="V640" s="505"/>
      <c r="W640" s="505"/>
      <c r="X640" s="505"/>
      <c r="Y640" s="505"/>
      <c r="Z640" s="505"/>
      <c r="AA640" s="505"/>
      <c r="AB640" s="505"/>
      <c r="AC640" s="505"/>
      <c r="AD640" s="505"/>
      <c r="AE640" s="505"/>
      <c r="AF640" s="505"/>
      <c r="AG640" s="505"/>
      <c r="AH640" s="505"/>
      <c r="AI640" s="505"/>
      <c r="AJ640" s="505"/>
      <c r="AK640" s="505"/>
      <c r="AL640" s="505"/>
      <c r="AM640" s="505"/>
      <c r="AN640" s="505"/>
      <c r="AO640" s="505"/>
      <c r="AP640" s="505"/>
      <c r="AQ640" s="505"/>
      <c r="AR640" s="505"/>
      <c r="AS640" s="505"/>
      <c r="AT640" s="505"/>
      <c r="AU640" s="505"/>
      <c r="AV640" s="505"/>
      <c r="AW640" s="505"/>
      <c r="AX640" s="505"/>
      <c r="AY640" s="505"/>
      <c r="AZ640" s="505"/>
      <c r="BA640" s="505"/>
      <c r="BB640" s="505"/>
      <c r="BC640" s="505"/>
      <c r="BD640" s="505"/>
      <c r="BE640" s="505"/>
      <c r="BF640" s="505"/>
      <c r="BG640" s="505"/>
      <c r="BH640" s="505"/>
      <c r="BI640" s="505"/>
      <c r="BJ640" s="505"/>
      <c r="BK640" s="505"/>
      <c r="BL640" s="505"/>
      <c r="BM640" s="505"/>
      <c r="BN640" s="505"/>
      <c r="BO640" s="505"/>
      <c r="BP640" s="505"/>
      <c r="BQ640" s="505"/>
      <c r="BR640" s="505"/>
      <c r="BS640" s="505"/>
      <c r="BT640" s="505"/>
      <c r="BU640" s="505"/>
      <c r="BV640" s="505"/>
      <c r="BW640" s="505"/>
      <c r="BX640" s="505"/>
      <c r="BY640" s="505"/>
      <c r="BZ640" s="505"/>
      <c r="CA640" s="505"/>
      <c r="CB640" s="505"/>
      <c r="CC640" s="505"/>
      <c r="CD640" s="505"/>
      <c r="CE640" s="505"/>
      <c r="CF640" s="505"/>
      <c r="CG640" s="505"/>
      <c r="CH640" s="505"/>
      <c r="CI640" s="505"/>
      <c r="CJ640" s="505"/>
      <c r="CK640" s="505"/>
      <c r="CL640" s="505"/>
      <c r="CM640" s="505"/>
      <c r="CN640" s="505"/>
      <c r="CO640" s="505"/>
      <c r="CP640" s="505"/>
      <c r="CQ640" s="505"/>
      <c r="CR640" s="505"/>
      <c r="CS640" s="505"/>
      <c r="CT640" s="505"/>
      <c r="CU640" s="505"/>
      <c r="CV640" s="505"/>
      <c r="CW640" s="505"/>
      <c r="CX640" s="505"/>
      <c r="CY640" s="505"/>
      <c r="CZ640" s="505"/>
      <c r="DA640" s="505"/>
      <c r="DB640" s="505"/>
      <c r="DC640" s="505"/>
      <c r="DD640" s="505"/>
      <c r="DE640" s="505"/>
      <c r="DF640" s="505"/>
      <c r="DG640" s="505"/>
      <c r="DH640" s="505"/>
      <c r="DI640" s="505"/>
      <c r="DJ640" s="505"/>
      <c r="DK640" s="505"/>
      <c r="DL640" s="505"/>
      <c r="DM640" s="505"/>
      <c r="DN640" s="505"/>
      <c r="DO640" s="505"/>
      <c r="DP640" s="505"/>
    </row>
    <row r="641" spans="1:120" x14ac:dyDescent="0.2">
      <c r="A641" s="517">
        <f t="shared" si="79"/>
        <v>40969</v>
      </c>
      <c r="B641" s="517" t="str">
        <f t="shared" si="76"/>
        <v>1Q12</v>
      </c>
      <c r="C641" s="517" t="str">
        <f t="shared" si="80"/>
        <v>2Q12</v>
      </c>
      <c r="D641" s="518">
        <f t="shared" si="81"/>
        <v>41040</v>
      </c>
      <c r="E641" s="518">
        <f t="shared" si="81"/>
        <v>40980</v>
      </c>
      <c r="F641" s="520">
        <v>4.1230000000000002</v>
      </c>
      <c r="G641" s="521">
        <f t="shared" si="77"/>
        <v>0.60000000000000031</v>
      </c>
      <c r="H641" s="521">
        <f t="shared" si="78"/>
        <v>0.60000000000000031</v>
      </c>
      <c r="I641" s="505"/>
      <c r="J641" s="505"/>
      <c r="K641" s="505"/>
      <c r="L641" s="505"/>
      <c r="M641" s="505"/>
      <c r="N641" s="505"/>
      <c r="O641" s="505"/>
      <c r="P641" s="505"/>
      <c r="Q641" s="505"/>
      <c r="R641" s="505"/>
      <c r="S641" s="505"/>
      <c r="T641" s="505"/>
      <c r="U641" s="505"/>
      <c r="V641" s="505"/>
      <c r="W641" s="505"/>
      <c r="X641" s="505"/>
      <c r="Y641" s="505"/>
      <c r="Z641" s="505"/>
      <c r="AA641" s="505"/>
      <c r="AB641" s="505"/>
      <c r="AC641" s="505"/>
      <c r="AD641" s="505"/>
      <c r="AE641" s="505"/>
      <c r="AF641" s="505"/>
      <c r="AG641" s="505"/>
      <c r="AH641" s="505"/>
      <c r="AI641" s="505"/>
      <c r="AJ641" s="505"/>
      <c r="AK641" s="505"/>
      <c r="AL641" s="505"/>
      <c r="AM641" s="505"/>
      <c r="AN641" s="505"/>
      <c r="AO641" s="505"/>
      <c r="AP641" s="505"/>
      <c r="AQ641" s="505"/>
      <c r="AR641" s="505"/>
      <c r="AS641" s="505"/>
      <c r="AT641" s="505"/>
      <c r="AU641" s="505"/>
      <c r="AV641" s="505"/>
      <c r="AW641" s="505"/>
      <c r="AX641" s="505"/>
      <c r="AY641" s="505"/>
      <c r="AZ641" s="505"/>
      <c r="BA641" s="505"/>
      <c r="BB641" s="505"/>
      <c r="BC641" s="505"/>
      <c r="BD641" s="505"/>
      <c r="BE641" s="505"/>
      <c r="BF641" s="505"/>
      <c r="BG641" s="505"/>
      <c r="BH641" s="505"/>
      <c r="BI641" s="505"/>
      <c r="BJ641" s="505"/>
      <c r="BK641" s="505"/>
      <c r="BL641" s="505"/>
      <c r="BM641" s="505"/>
      <c r="BN641" s="505"/>
      <c r="BO641" s="505"/>
      <c r="BP641" s="505"/>
      <c r="BQ641" s="505"/>
      <c r="BR641" s="505"/>
      <c r="BS641" s="505"/>
      <c r="BT641" s="505"/>
      <c r="BU641" s="505"/>
      <c r="BV641" s="505"/>
      <c r="BW641" s="505"/>
      <c r="BX641" s="505"/>
      <c r="BY641" s="505"/>
      <c r="BZ641" s="505"/>
      <c r="CA641" s="505"/>
      <c r="CB641" s="505"/>
      <c r="CC641" s="505"/>
      <c r="CD641" s="505"/>
      <c r="CE641" s="505"/>
      <c r="CF641" s="505"/>
      <c r="CG641" s="505"/>
      <c r="CH641" s="505"/>
      <c r="CI641" s="505"/>
      <c r="CJ641" s="505"/>
      <c r="CK641" s="505"/>
      <c r="CL641" s="505"/>
      <c r="CM641" s="505"/>
      <c r="CN641" s="505"/>
      <c r="CO641" s="505"/>
      <c r="CP641" s="505"/>
      <c r="CQ641" s="505"/>
      <c r="CR641" s="505"/>
      <c r="CS641" s="505"/>
      <c r="CT641" s="505"/>
      <c r="CU641" s="505"/>
      <c r="CV641" s="505"/>
      <c r="CW641" s="505"/>
      <c r="CX641" s="505"/>
      <c r="CY641" s="505"/>
      <c r="CZ641" s="505"/>
      <c r="DA641" s="505"/>
      <c r="DB641" s="505"/>
      <c r="DC641" s="505"/>
      <c r="DD641" s="505"/>
      <c r="DE641" s="505"/>
      <c r="DF641" s="505"/>
      <c r="DG641" s="505"/>
      <c r="DH641" s="505"/>
      <c r="DI641" s="505"/>
      <c r="DJ641" s="505"/>
      <c r="DK641" s="505"/>
      <c r="DL641" s="505"/>
      <c r="DM641" s="505"/>
      <c r="DN641" s="505"/>
      <c r="DO641" s="505"/>
      <c r="DP641" s="505"/>
    </row>
    <row r="642" spans="1:120" x14ac:dyDescent="0.2">
      <c r="A642" s="517">
        <f t="shared" si="79"/>
        <v>40969</v>
      </c>
      <c r="B642" s="517" t="str">
        <f t="shared" si="76"/>
        <v>1Q12</v>
      </c>
      <c r="C642" s="517" t="str">
        <f t="shared" si="80"/>
        <v>2Q12</v>
      </c>
      <c r="D642" s="518">
        <f t="shared" si="81"/>
        <v>41047</v>
      </c>
      <c r="E642" s="518">
        <f t="shared" si="81"/>
        <v>40987</v>
      </c>
      <c r="F642" s="520">
        <v>4.1420000000000003</v>
      </c>
      <c r="G642" s="521">
        <f t="shared" si="77"/>
        <v>0.60000000000000031</v>
      </c>
      <c r="H642" s="521">
        <f t="shared" si="78"/>
        <v>0.60000000000000031</v>
      </c>
      <c r="I642" s="505"/>
      <c r="J642" s="505"/>
      <c r="K642" s="505"/>
      <c r="L642" s="505"/>
      <c r="M642" s="505"/>
      <c r="N642" s="505"/>
      <c r="O642" s="505"/>
      <c r="P642" s="505"/>
      <c r="Q642" s="505"/>
      <c r="R642" s="505"/>
      <c r="S642" s="505"/>
      <c r="T642" s="505"/>
      <c r="U642" s="505"/>
      <c r="V642" s="505"/>
      <c r="W642" s="505"/>
      <c r="X642" s="505"/>
      <c r="Y642" s="505"/>
      <c r="Z642" s="505"/>
      <c r="AA642" s="505"/>
      <c r="AB642" s="505"/>
      <c r="AC642" s="505"/>
      <c r="AD642" s="505"/>
      <c r="AE642" s="505"/>
      <c r="AF642" s="505"/>
      <c r="AG642" s="505"/>
      <c r="AH642" s="505"/>
      <c r="AI642" s="505"/>
      <c r="AJ642" s="505"/>
      <c r="AK642" s="505"/>
      <c r="AL642" s="505"/>
      <c r="AM642" s="505"/>
      <c r="AN642" s="505"/>
      <c r="AO642" s="505"/>
      <c r="AP642" s="505"/>
      <c r="AQ642" s="505"/>
      <c r="AR642" s="505"/>
      <c r="AS642" s="505"/>
      <c r="AT642" s="505"/>
      <c r="AU642" s="505"/>
      <c r="AV642" s="505"/>
      <c r="AW642" s="505"/>
      <c r="AX642" s="505"/>
      <c r="AY642" s="505"/>
      <c r="AZ642" s="505"/>
      <c r="BA642" s="505"/>
      <c r="BB642" s="505"/>
      <c r="BC642" s="505"/>
      <c r="BD642" s="505"/>
      <c r="BE642" s="505"/>
      <c r="BF642" s="505"/>
      <c r="BG642" s="505"/>
      <c r="BH642" s="505"/>
      <c r="BI642" s="505"/>
      <c r="BJ642" s="505"/>
      <c r="BK642" s="505"/>
      <c r="BL642" s="505"/>
      <c r="BM642" s="505"/>
      <c r="BN642" s="505"/>
      <c r="BO642" s="505"/>
      <c r="BP642" s="505"/>
      <c r="BQ642" s="505"/>
      <c r="BR642" s="505"/>
      <c r="BS642" s="505"/>
      <c r="BT642" s="505"/>
      <c r="BU642" s="505"/>
      <c r="BV642" s="505"/>
      <c r="BW642" s="505"/>
      <c r="BX642" s="505"/>
      <c r="BY642" s="505"/>
      <c r="BZ642" s="505"/>
      <c r="CA642" s="505"/>
      <c r="CB642" s="505"/>
      <c r="CC642" s="505"/>
      <c r="CD642" s="505"/>
      <c r="CE642" s="505"/>
      <c r="CF642" s="505"/>
      <c r="CG642" s="505"/>
      <c r="CH642" s="505"/>
      <c r="CI642" s="505"/>
      <c r="CJ642" s="505"/>
      <c r="CK642" s="505"/>
      <c r="CL642" s="505"/>
      <c r="CM642" s="505"/>
      <c r="CN642" s="505"/>
      <c r="CO642" s="505"/>
      <c r="CP642" s="505"/>
      <c r="CQ642" s="505"/>
      <c r="CR642" s="505"/>
      <c r="CS642" s="505"/>
      <c r="CT642" s="505"/>
      <c r="CU642" s="505"/>
      <c r="CV642" s="505"/>
      <c r="CW642" s="505"/>
      <c r="CX642" s="505"/>
      <c r="CY642" s="505"/>
      <c r="CZ642" s="505"/>
      <c r="DA642" s="505"/>
      <c r="DB642" s="505"/>
      <c r="DC642" s="505"/>
      <c r="DD642" s="505"/>
      <c r="DE642" s="505"/>
      <c r="DF642" s="505"/>
      <c r="DG642" s="505"/>
      <c r="DH642" s="505"/>
      <c r="DI642" s="505"/>
      <c r="DJ642" s="505"/>
      <c r="DK642" s="505"/>
      <c r="DL642" s="505"/>
      <c r="DM642" s="505"/>
      <c r="DN642" s="505"/>
      <c r="DO642" s="505"/>
      <c r="DP642" s="505"/>
    </row>
    <row r="643" spans="1:120" x14ac:dyDescent="0.2">
      <c r="A643" s="517">
        <f t="shared" si="79"/>
        <v>40969</v>
      </c>
      <c r="B643" s="517" t="str">
        <f t="shared" si="76"/>
        <v>1Q12</v>
      </c>
      <c r="C643" s="517" t="str">
        <f t="shared" si="80"/>
        <v>2Q12</v>
      </c>
      <c r="D643" s="518">
        <f t="shared" si="81"/>
        <v>41054</v>
      </c>
      <c r="E643" s="518">
        <f t="shared" si="81"/>
        <v>40994</v>
      </c>
      <c r="F643" s="520">
        <v>4.1470000000000002</v>
      </c>
      <c r="G643" s="521">
        <f t="shared" si="77"/>
        <v>0.60000000000000031</v>
      </c>
      <c r="H643" s="521">
        <f t="shared" si="78"/>
        <v>0.60000000000000031</v>
      </c>
      <c r="I643" s="505"/>
      <c r="J643" s="505"/>
      <c r="K643" s="505"/>
      <c r="L643" s="505"/>
      <c r="M643" s="505"/>
      <c r="N643" s="505"/>
      <c r="O643" s="505"/>
      <c r="P643" s="505"/>
      <c r="Q643" s="505"/>
      <c r="R643" s="505"/>
      <c r="S643" s="505"/>
      <c r="T643" s="505"/>
      <c r="U643" s="505"/>
      <c r="V643" s="505"/>
      <c r="W643" s="505"/>
      <c r="X643" s="505"/>
      <c r="Y643" s="505"/>
      <c r="Z643" s="505"/>
      <c r="AA643" s="505"/>
      <c r="AB643" s="505"/>
      <c r="AC643" s="505"/>
      <c r="AD643" s="505"/>
      <c r="AE643" s="505"/>
      <c r="AF643" s="505"/>
      <c r="AG643" s="505"/>
      <c r="AH643" s="505"/>
      <c r="AI643" s="505"/>
      <c r="AJ643" s="505"/>
      <c r="AK643" s="505"/>
      <c r="AL643" s="505"/>
      <c r="AM643" s="505"/>
      <c r="AN643" s="505"/>
      <c r="AO643" s="505"/>
      <c r="AP643" s="505"/>
      <c r="AQ643" s="505"/>
      <c r="AR643" s="505"/>
      <c r="AS643" s="505"/>
      <c r="AT643" s="505"/>
      <c r="AU643" s="505"/>
      <c r="AV643" s="505"/>
      <c r="AW643" s="505"/>
      <c r="AX643" s="505"/>
      <c r="AY643" s="505"/>
      <c r="AZ643" s="505"/>
      <c r="BA643" s="505"/>
      <c r="BB643" s="505"/>
      <c r="BC643" s="505"/>
      <c r="BD643" s="505"/>
      <c r="BE643" s="505"/>
      <c r="BF643" s="505"/>
      <c r="BG643" s="505"/>
      <c r="BH643" s="505"/>
      <c r="BI643" s="505"/>
      <c r="BJ643" s="505"/>
      <c r="BK643" s="505"/>
      <c r="BL643" s="505"/>
      <c r="BM643" s="505"/>
      <c r="BN643" s="505"/>
      <c r="BO643" s="505"/>
      <c r="BP643" s="505"/>
      <c r="BQ643" s="505"/>
      <c r="BR643" s="505"/>
      <c r="BS643" s="505"/>
      <c r="BT643" s="505"/>
      <c r="BU643" s="505"/>
      <c r="BV643" s="505"/>
      <c r="BW643" s="505"/>
      <c r="BX643" s="505"/>
      <c r="BY643" s="505"/>
      <c r="BZ643" s="505"/>
      <c r="CA643" s="505"/>
      <c r="CB643" s="505"/>
      <c r="CC643" s="505"/>
      <c r="CD643" s="505"/>
      <c r="CE643" s="505"/>
      <c r="CF643" s="505"/>
      <c r="CG643" s="505"/>
      <c r="CH643" s="505"/>
      <c r="CI643" s="505"/>
      <c r="CJ643" s="505"/>
      <c r="CK643" s="505"/>
      <c r="CL643" s="505"/>
      <c r="CM643" s="505"/>
      <c r="CN643" s="505"/>
      <c r="CO643" s="505"/>
      <c r="CP643" s="505"/>
      <c r="CQ643" s="505"/>
      <c r="CR643" s="505"/>
      <c r="CS643" s="505"/>
      <c r="CT643" s="505"/>
      <c r="CU643" s="505"/>
      <c r="CV643" s="505"/>
      <c r="CW643" s="505"/>
      <c r="CX643" s="505"/>
      <c r="CY643" s="505"/>
      <c r="CZ643" s="505"/>
      <c r="DA643" s="505"/>
      <c r="DB643" s="505"/>
      <c r="DC643" s="505"/>
      <c r="DD643" s="505"/>
      <c r="DE643" s="505"/>
      <c r="DF643" s="505"/>
      <c r="DG643" s="505"/>
      <c r="DH643" s="505"/>
      <c r="DI643" s="505"/>
      <c r="DJ643" s="505"/>
      <c r="DK643" s="505"/>
      <c r="DL643" s="505"/>
      <c r="DM643" s="505"/>
      <c r="DN643" s="505"/>
      <c r="DO643" s="505"/>
      <c r="DP643" s="505"/>
    </row>
    <row r="644" spans="1:120" x14ac:dyDescent="0.2">
      <c r="A644" s="517">
        <f t="shared" si="79"/>
        <v>41000</v>
      </c>
      <c r="B644" s="517" t="str">
        <f t="shared" ref="B644:B707" si="90">VLOOKUP(MONTH(A644),$N$4:$O$16,2,FALSE) &amp; "Q" &amp; RIGHT(YEAR(A644),2)</f>
        <v>2Q12</v>
      </c>
      <c r="C644" s="517" t="str">
        <f t="shared" si="80"/>
        <v>2Q12</v>
      </c>
      <c r="D644" s="518">
        <f t="shared" si="81"/>
        <v>41061</v>
      </c>
      <c r="E644" s="518">
        <f t="shared" si="81"/>
        <v>41001</v>
      </c>
      <c r="F644" s="520">
        <v>4.1420000000000003</v>
      </c>
      <c r="G644" s="521">
        <f t="shared" ref="G644:G707" si="91">INDEX($I$4:$K$153,MATCH(F644,$I$4:$I$153,1),3)</f>
        <v>0.60000000000000031</v>
      </c>
      <c r="H644" s="521">
        <f t="shared" ref="H644:H707" si="92">G645</f>
        <v>0.60000000000000031</v>
      </c>
      <c r="I644" s="505"/>
      <c r="J644" s="505"/>
      <c r="K644" s="505"/>
      <c r="L644" s="505"/>
      <c r="M644" s="505"/>
      <c r="N644" s="505"/>
      <c r="O644" s="505"/>
      <c r="P644" s="505"/>
      <c r="Q644" s="505"/>
      <c r="R644" s="505"/>
      <c r="S644" s="505"/>
      <c r="T644" s="505"/>
      <c r="U644" s="505"/>
      <c r="V644" s="505"/>
      <c r="W644" s="505"/>
      <c r="X644" s="505"/>
      <c r="Y644" s="505"/>
      <c r="Z644" s="505"/>
      <c r="AA644" s="505"/>
      <c r="AB644" s="505"/>
      <c r="AC644" s="505"/>
      <c r="AD644" s="505"/>
      <c r="AE644" s="505"/>
      <c r="AF644" s="505"/>
      <c r="AG644" s="505"/>
      <c r="AH644" s="505"/>
      <c r="AI644" s="505"/>
      <c r="AJ644" s="505"/>
      <c r="AK644" s="505"/>
      <c r="AL644" s="505"/>
      <c r="AM644" s="505"/>
      <c r="AN644" s="505"/>
      <c r="AO644" s="505"/>
      <c r="AP644" s="505"/>
      <c r="AQ644" s="505"/>
      <c r="AR644" s="505"/>
      <c r="AS644" s="505"/>
      <c r="AT644" s="505"/>
      <c r="AU644" s="505"/>
      <c r="AV644" s="505"/>
      <c r="AW644" s="505"/>
      <c r="AX644" s="505"/>
      <c r="AY644" s="505"/>
      <c r="AZ644" s="505"/>
      <c r="BA644" s="505"/>
      <c r="BB644" s="505"/>
      <c r="BC644" s="505"/>
      <c r="BD644" s="505"/>
      <c r="BE644" s="505"/>
      <c r="BF644" s="505"/>
      <c r="BG644" s="505"/>
      <c r="BH644" s="505"/>
      <c r="BI644" s="505"/>
      <c r="BJ644" s="505"/>
      <c r="BK644" s="505"/>
      <c r="BL644" s="505"/>
      <c r="BM644" s="505"/>
      <c r="BN644" s="505"/>
      <c r="BO644" s="505"/>
      <c r="BP644" s="505"/>
      <c r="BQ644" s="505"/>
      <c r="BR644" s="505"/>
      <c r="BS644" s="505"/>
      <c r="BT644" s="505"/>
      <c r="BU644" s="505"/>
      <c r="BV644" s="505"/>
      <c r="BW644" s="505"/>
      <c r="BX644" s="505"/>
      <c r="BY644" s="505"/>
      <c r="BZ644" s="505"/>
      <c r="CA644" s="505"/>
      <c r="CB644" s="505"/>
      <c r="CC644" s="505"/>
      <c r="CD644" s="505"/>
      <c r="CE644" s="505"/>
      <c r="CF644" s="505"/>
      <c r="CG644" s="505"/>
      <c r="CH644" s="505"/>
      <c r="CI644" s="505"/>
      <c r="CJ644" s="505"/>
      <c r="CK644" s="505"/>
      <c r="CL644" s="505"/>
      <c r="CM644" s="505"/>
      <c r="CN644" s="505"/>
      <c r="CO644" s="505"/>
      <c r="CP644" s="505"/>
      <c r="CQ644" s="505"/>
      <c r="CR644" s="505"/>
      <c r="CS644" s="505"/>
      <c r="CT644" s="505"/>
      <c r="CU644" s="505"/>
      <c r="CV644" s="505"/>
      <c r="CW644" s="505"/>
      <c r="CX644" s="505"/>
      <c r="CY644" s="505"/>
      <c r="CZ644" s="505"/>
      <c r="DA644" s="505"/>
      <c r="DB644" s="505"/>
      <c r="DC644" s="505"/>
      <c r="DD644" s="505"/>
      <c r="DE644" s="505"/>
      <c r="DF644" s="505"/>
      <c r="DG644" s="505"/>
      <c r="DH644" s="505"/>
      <c r="DI644" s="505"/>
      <c r="DJ644" s="505"/>
      <c r="DK644" s="505"/>
      <c r="DL644" s="505"/>
      <c r="DM644" s="505"/>
      <c r="DN644" s="505"/>
      <c r="DO644" s="505"/>
      <c r="DP644" s="505"/>
    </row>
    <row r="645" spans="1:120" x14ac:dyDescent="0.2">
      <c r="A645" s="517">
        <f t="shared" ref="A645:A708" si="93">DATE(YEAR(E645),MONTH(E645),1)</f>
        <v>41000</v>
      </c>
      <c r="B645" s="517" t="str">
        <f t="shared" si="90"/>
        <v>2Q12</v>
      </c>
      <c r="C645" s="517" t="str">
        <f t="shared" ref="C645:C708" si="94">VLOOKUP(MONTH(D645),$N$4:$O$16,2,FALSE) &amp; "Q" &amp; RIGHT(YEAR(D645),2)</f>
        <v>2Q12</v>
      </c>
      <c r="D645" s="518">
        <f t="shared" ref="D645:E708" si="95">D644+7</f>
        <v>41068</v>
      </c>
      <c r="E645" s="518">
        <f t="shared" si="95"/>
        <v>41008</v>
      </c>
      <c r="F645" s="520">
        <v>4.1479999999999997</v>
      </c>
      <c r="G645" s="521">
        <f t="shared" si="91"/>
        <v>0.60000000000000031</v>
      </c>
      <c r="H645" s="521">
        <f t="shared" si="92"/>
        <v>0.60000000000000031</v>
      </c>
      <c r="I645" s="505"/>
      <c r="J645" s="505"/>
      <c r="K645" s="505"/>
      <c r="L645" s="505"/>
      <c r="M645" s="505"/>
      <c r="N645" s="505"/>
      <c r="O645" s="505"/>
      <c r="P645" s="505"/>
      <c r="Q645" s="505"/>
      <c r="R645" s="505"/>
      <c r="S645" s="505"/>
      <c r="T645" s="505"/>
      <c r="U645" s="505"/>
      <c r="V645" s="505"/>
      <c r="W645" s="505"/>
      <c r="X645" s="505"/>
      <c r="Y645" s="505"/>
      <c r="Z645" s="505"/>
      <c r="AA645" s="505"/>
      <c r="AB645" s="505"/>
      <c r="AC645" s="505"/>
      <c r="AD645" s="505"/>
      <c r="AE645" s="505"/>
      <c r="AF645" s="505"/>
      <c r="AG645" s="505"/>
      <c r="AH645" s="505"/>
      <c r="AI645" s="505"/>
      <c r="AJ645" s="505"/>
      <c r="AK645" s="505"/>
      <c r="AL645" s="505"/>
      <c r="AM645" s="505"/>
      <c r="AN645" s="505"/>
      <c r="AO645" s="505"/>
      <c r="AP645" s="505"/>
      <c r="AQ645" s="505"/>
      <c r="AR645" s="505"/>
      <c r="AS645" s="505"/>
      <c r="AT645" s="505"/>
      <c r="AU645" s="505"/>
      <c r="AV645" s="505"/>
      <c r="AW645" s="505"/>
      <c r="AX645" s="505"/>
      <c r="AY645" s="505"/>
      <c r="AZ645" s="505"/>
      <c r="BA645" s="505"/>
      <c r="BB645" s="505"/>
      <c r="BC645" s="505"/>
      <c r="BD645" s="505"/>
      <c r="BE645" s="505"/>
      <c r="BF645" s="505"/>
      <c r="BG645" s="505"/>
      <c r="BH645" s="505"/>
      <c r="BI645" s="505"/>
      <c r="BJ645" s="505"/>
      <c r="BK645" s="505"/>
      <c r="BL645" s="505"/>
      <c r="BM645" s="505"/>
      <c r="BN645" s="505"/>
      <c r="BO645" s="505"/>
      <c r="BP645" s="505"/>
      <c r="BQ645" s="505"/>
      <c r="BR645" s="505"/>
      <c r="BS645" s="505"/>
      <c r="BT645" s="505"/>
      <c r="BU645" s="505"/>
      <c r="BV645" s="505"/>
      <c r="BW645" s="505"/>
      <c r="BX645" s="505"/>
      <c r="BY645" s="505"/>
      <c r="BZ645" s="505"/>
      <c r="CA645" s="505"/>
      <c r="CB645" s="505"/>
      <c r="CC645" s="505"/>
      <c r="CD645" s="505"/>
      <c r="CE645" s="505"/>
      <c r="CF645" s="505"/>
      <c r="CG645" s="505"/>
      <c r="CH645" s="505"/>
      <c r="CI645" s="505"/>
      <c r="CJ645" s="505"/>
      <c r="CK645" s="505"/>
      <c r="CL645" s="505"/>
      <c r="CM645" s="505"/>
      <c r="CN645" s="505"/>
      <c r="CO645" s="505"/>
      <c r="CP645" s="505"/>
      <c r="CQ645" s="505"/>
      <c r="CR645" s="505"/>
      <c r="CS645" s="505"/>
      <c r="CT645" s="505"/>
      <c r="CU645" s="505"/>
      <c r="CV645" s="505"/>
      <c r="CW645" s="505"/>
      <c r="CX645" s="505"/>
      <c r="CY645" s="505"/>
      <c r="CZ645" s="505"/>
      <c r="DA645" s="505"/>
      <c r="DB645" s="505"/>
      <c r="DC645" s="505"/>
      <c r="DD645" s="505"/>
      <c r="DE645" s="505"/>
      <c r="DF645" s="505"/>
      <c r="DG645" s="505"/>
      <c r="DH645" s="505"/>
      <c r="DI645" s="505"/>
      <c r="DJ645" s="505"/>
      <c r="DK645" s="505"/>
      <c r="DL645" s="505"/>
      <c r="DM645" s="505"/>
      <c r="DN645" s="505"/>
      <c r="DO645" s="505"/>
      <c r="DP645" s="505"/>
    </row>
    <row r="646" spans="1:120" x14ac:dyDescent="0.2">
      <c r="A646" s="517">
        <f t="shared" si="93"/>
        <v>41000</v>
      </c>
      <c r="B646" s="517" t="str">
        <f t="shared" si="90"/>
        <v>2Q12</v>
      </c>
      <c r="C646" s="517" t="str">
        <f t="shared" si="94"/>
        <v>2Q12</v>
      </c>
      <c r="D646" s="518">
        <f t="shared" si="95"/>
        <v>41075</v>
      </c>
      <c r="E646" s="518">
        <f t="shared" si="95"/>
        <v>41015</v>
      </c>
      <c r="F646" s="520">
        <v>4.1269999999999998</v>
      </c>
      <c r="G646" s="521">
        <f t="shared" si="91"/>
        <v>0.60000000000000031</v>
      </c>
      <c r="H646" s="521">
        <f t="shared" si="92"/>
        <v>0.5900000000000003</v>
      </c>
      <c r="I646" s="505"/>
      <c r="J646" s="505"/>
      <c r="K646" s="505"/>
      <c r="L646" s="505"/>
      <c r="M646" s="505"/>
      <c r="N646" s="505"/>
      <c r="O646" s="505"/>
      <c r="P646" s="505"/>
      <c r="Q646" s="505"/>
      <c r="R646" s="505"/>
      <c r="S646" s="505"/>
      <c r="T646" s="505"/>
      <c r="U646" s="505"/>
      <c r="V646" s="505"/>
      <c r="W646" s="505"/>
      <c r="X646" s="505"/>
      <c r="Y646" s="505"/>
      <c r="Z646" s="505"/>
      <c r="AA646" s="505"/>
      <c r="AB646" s="505"/>
      <c r="AC646" s="505"/>
      <c r="AD646" s="505"/>
      <c r="AE646" s="505"/>
      <c r="AF646" s="505"/>
      <c r="AG646" s="505"/>
      <c r="AH646" s="505"/>
      <c r="AI646" s="505"/>
      <c r="AJ646" s="505"/>
      <c r="AK646" s="505"/>
      <c r="AL646" s="505"/>
      <c r="AM646" s="505"/>
      <c r="AN646" s="505"/>
      <c r="AO646" s="505"/>
      <c r="AP646" s="505"/>
      <c r="AQ646" s="505"/>
      <c r="AR646" s="505"/>
      <c r="AS646" s="505"/>
      <c r="AT646" s="505"/>
      <c r="AU646" s="505"/>
      <c r="AV646" s="505"/>
      <c r="AW646" s="505"/>
      <c r="AX646" s="505"/>
      <c r="AY646" s="505"/>
      <c r="AZ646" s="505"/>
      <c r="BA646" s="505"/>
      <c r="BB646" s="505"/>
      <c r="BC646" s="505"/>
      <c r="BD646" s="505"/>
      <c r="BE646" s="505"/>
      <c r="BF646" s="505"/>
      <c r="BG646" s="505"/>
      <c r="BH646" s="505"/>
      <c r="BI646" s="505"/>
      <c r="BJ646" s="505"/>
      <c r="BK646" s="505"/>
      <c r="BL646" s="505"/>
      <c r="BM646" s="505"/>
      <c r="BN646" s="505"/>
      <c r="BO646" s="505"/>
      <c r="BP646" s="505"/>
      <c r="BQ646" s="505"/>
      <c r="BR646" s="505"/>
      <c r="BS646" s="505"/>
      <c r="BT646" s="505"/>
      <c r="BU646" s="505"/>
      <c r="BV646" s="505"/>
      <c r="BW646" s="505"/>
      <c r="BX646" s="505"/>
      <c r="BY646" s="505"/>
      <c r="BZ646" s="505"/>
      <c r="CA646" s="505"/>
      <c r="CB646" s="505"/>
      <c r="CC646" s="505"/>
      <c r="CD646" s="505"/>
      <c r="CE646" s="505"/>
      <c r="CF646" s="505"/>
      <c r="CG646" s="505"/>
      <c r="CH646" s="505"/>
      <c r="CI646" s="505"/>
      <c r="CJ646" s="505"/>
      <c r="CK646" s="505"/>
      <c r="CL646" s="505"/>
      <c r="CM646" s="505"/>
      <c r="CN646" s="505"/>
      <c r="CO646" s="505"/>
      <c r="CP646" s="505"/>
      <c r="CQ646" s="505"/>
      <c r="CR646" s="505"/>
      <c r="CS646" s="505"/>
      <c r="CT646" s="505"/>
      <c r="CU646" s="505"/>
      <c r="CV646" s="505"/>
      <c r="CW646" s="505"/>
      <c r="CX646" s="505"/>
      <c r="CY646" s="505"/>
      <c r="CZ646" s="505"/>
      <c r="DA646" s="505"/>
      <c r="DB646" s="505"/>
      <c r="DC646" s="505"/>
      <c r="DD646" s="505"/>
      <c r="DE646" s="505"/>
      <c r="DF646" s="505"/>
      <c r="DG646" s="505"/>
      <c r="DH646" s="505"/>
      <c r="DI646" s="505"/>
      <c r="DJ646" s="505"/>
      <c r="DK646" s="505"/>
      <c r="DL646" s="505"/>
      <c r="DM646" s="505"/>
      <c r="DN646" s="505"/>
      <c r="DO646" s="505"/>
      <c r="DP646" s="505"/>
    </row>
    <row r="647" spans="1:120" x14ac:dyDescent="0.2">
      <c r="A647" s="517">
        <f t="shared" si="93"/>
        <v>41000</v>
      </c>
      <c r="B647" s="517" t="str">
        <f t="shared" si="90"/>
        <v>2Q12</v>
      </c>
      <c r="C647" s="517" t="str">
        <f t="shared" si="94"/>
        <v>2Q12</v>
      </c>
      <c r="D647" s="518">
        <f t="shared" si="95"/>
        <v>41082</v>
      </c>
      <c r="E647" s="518">
        <f t="shared" si="95"/>
        <v>41022</v>
      </c>
      <c r="F647" s="520">
        <v>4.085</v>
      </c>
      <c r="G647" s="521">
        <f t="shared" si="91"/>
        <v>0.5900000000000003</v>
      </c>
      <c r="H647" s="521">
        <f t="shared" si="92"/>
        <v>0.5900000000000003</v>
      </c>
      <c r="I647" s="505"/>
      <c r="J647" s="505"/>
      <c r="K647" s="505"/>
      <c r="L647" s="505"/>
      <c r="M647" s="505"/>
      <c r="N647" s="505"/>
      <c r="O647" s="505"/>
      <c r="P647" s="505"/>
      <c r="Q647" s="505"/>
      <c r="R647" s="505"/>
      <c r="S647" s="505"/>
      <c r="T647" s="505"/>
      <c r="U647" s="505"/>
      <c r="V647" s="505"/>
      <c r="W647" s="505"/>
      <c r="X647" s="505"/>
      <c r="Y647" s="505"/>
      <c r="Z647" s="505"/>
      <c r="AA647" s="505"/>
      <c r="AB647" s="505"/>
      <c r="AC647" s="505"/>
      <c r="AD647" s="505"/>
      <c r="AE647" s="505"/>
      <c r="AF647" s="505"/>
      <c r="AG647" s="505"/>
      <c r="AH647" s="505"/>
      <c r="AI647" s="505"/>
      <c r="AJ647" s="505"/>
      <c r="AK647" s="505"/>
      <c r="AL647" s="505"/>
      <c r="AM647" s="505"/>
      <c r="AN647" s="505"/>
      <c r="AO647" s="505"/>
      <c r="AP647" s="505"/>
      <c r="AQ647" s="505"/>
      <c r="AR647" s="505"/>
      <c r="AS647" s="505"/>
      <c r="AT647" s="505"/>
      <c r="AU647" s="505"/>
      <c r="AV647" s="505"/>
      <c r="AW647" s="505"/>
      <c r="AX647" s="505"/>
      <c r="AY647" s="505"/>
      <c r="AZ647" s="505"/>
      <c r="BA647" s="505"/>
      <c r="BB647" s="505"/>
      <c r="BC647" s="505"/>
      <c r="BD647" s="505"/>
      <c r="BE647" s="505"/>
      <c r="BF647" s="505"/>
      <c r="BG647" s="505"/>
      <c r="BH647" s="505"/>
      <c r="BI647" s="505"/>
      <c r="BJ647" s="505"/>
      <c r="BK647" s="505"/>
      <c r="BL647" s="505"/>
      <c r="BM647" s="505"/>
      <c r="BN647" s="505"/>
      <c r="BO647" s="505"/>
      <c r="BP647" s="505"/>
      <c r="BQ647" s="505"/>
      <c r="BR647" s="505"/>
      <c r="BS647" s="505"/>
      <c r="BT647" s="505"/>
      <c r="BU647" s="505"/>
      <c r="BV647" s="505"/>
      <c r="BW647" s="505"/>
      <c r="BX647" s="505"/>
      <c r="BY647" s="505"/>
      <c r="BZ647" s="505"/>
      <c r="CA647" s="505"/>
      <c r="CB647" s="505"/>
      <c r="CC647" s="505"/>
      <c r="CD647" s="505"/>
      <c r="CE647" s="505"/>
      <c r="CF647" s="505"/>
      <c r="CG647" s="505"/>
      <c r="CH647" s="505"/>
      <c r="CI647" s="505"/>
      <c r="CJ647" s="505"/>
      <c r="CK647" s="505"/>
      <c r="CL647" s="505"/>
      <c r="CM647" s="505"/>
      <c r="CN647" s="505"/>
      <c r="CO647" s="505"/>
      <c r="CP647" s="505"/>
      <c r="CQ647" s="505"/>
      <c r="CR647" s="505"/>
      <c r="CS647" s="505"/>
      <c r="CT647" s="505"/>
      <c r="CU647" s="505"/>
      <c r="CV647" s="505"/>
      <c r="CW647" s="505"/>
      <c r="CX647" s="505"/>
      <c r="CY647" s="505"/>
      <c r="CZ647" s="505"/>
      <c r="DA647" s="505"/>
      <c r="DB647" s="505"/>
      <c r="DC647" s="505"/>
      <c r="DD647" s="505"/>
      <c r="DE647" s="505"/>
      <c r="DF647" s="505"/>
      <c r="DG647" s="505"/>
      <c r="DH647" s="505"/>
      <c r="DI647" s="505"/>
      <c r="DJ647" s="505"/>
      <c r="DK647" s="505"/>
      <c r="DL647" s="505"/>
      <c r="DM647" s="505"/>
      <c r="DN647" s="505"/>
      <c r="DO647" s="505"/>
      <c r="DP647" s="505"/>
    </row>
    <row r="648" spans="1:120" x14ac:dyDescent="0.2">
      <c r="A648" s="517">
        <f t="shared" si="93"/>
        <v>41000</v>
      </c>
      <c r="B648" s="517" t="str">
        <f t="shared" si="90"/>
        <v>2Q12</v>
      </c>
      <c r="C648" s="517" t="str">
        <f t="shared" si="94"/>
        <v>2Q12</v>
      </c>
      <c r="D648" s="518">
        <f t="shared" si="95"/>
        <v>41089</v>
      </c>
      <c r="E648" s="518">
        <f t="shared" si="95"/>
        <v>41029</v>
      </c>
      <c r="F648" s="520">
        <v>4.0730000000000004</v>
      </c>
      <c r="G648" s="521">
        <f t="shared" si="91"/>
        <v>0.5900000000000003</v>
      </c>
      <c r="H648" s="521">
        <f t="shared" si="92"/>
        <v>0.5900000000000003</v>
      </c>
      <c r="I648" s="505"/>
      <c r="J648" s="505"/>
      <c r="K648" s="505"/>
      <c r="L648" s="505"/>
      <c r="M648" s="505"/>
      <c r="N648" s="505"/>
      <c r="O648" s="505"/>
      <c r="P648" s="505"/>
      <c r="Q648" s="505"/>
      <c r="R648" s="505"/>
      <c r="S648" s="505"/>
      <c r="T648" s="505"/>
      <c r="U648" s="505"/>
      <c r="V648" s="505"/>
      <c r="W648" s="505"/>
      <c r="X648" s="505"/>
      <c r="Y648" s="505"/>
      <c r="Z648" s="505"/>
      <c r="AA648" s="505"/>
      <c r="AB648" s="505"/>
      <c r="AC648" s="505"/>
      <c r="AD648" s="505"/>
      <c r="AE648" s="505"/>
      <c r="AF648" s="505"/>
      <c r="AG648" s="505"/>
      <c r="AH648" s="505"/>
      <c r="AI648" s="505"/>
      <c r="AJ648" s="505"/>
      <c r="AK648" s="505"/>
      <c r="AL648" s="505"/>
      <c r="AM648" s="505"/>
      <c r="AN648" s="505"/>
      <c r="AO648" s="505"/>
      <c r="AP648" s="505"/>
      <c r="AQ648" s="505"/>
      <c r="AR648" s="505"/>
      <c r="AS648" s="505"/>
      <c r="AT648" s="505"/>
      <c r="AU648" s="505"/>
      <c r="AV648" s="505"/>
      <c r="AW648" s="505"/>
      <c r="AX648" s="505"/>
      <c r="AY648" s="505"/>
      <c r="AZ648" s="505"/>
      <c r="BA648" s="505"/>
      <c r="BB648" s="505"/>
      <c r="BC648" s="505"/>
      <c r="BD648" s="505"/>
      <c r="BE648" s="505"/>
      <c r="BF648" s="505"/>
      <c r="BG648" s="505"/>
      <c r="BH648" s="505"/>
      <c r="BI648" s="505"/>
      <c r="BJ648" s="505"/>
      <c r="BK648" s="505"/>
      <c r="BL648" s="505"/>
      <c r="BM648" s="505"/>
      <c r="BN648" s="505"/>
      <c r="BO648" s="505"/>
      <c r="BP648" s="505"/>
      <c r="BQ648" s="505"/>
      <c r="BR648" s="505"/>
      <c r="BS648" s="505"/>
      <c r="BT648" s="505"/>
      <c r="BU648" s="505"/>
      <c r="BV648" s="505"/>
      <c r="BW648" s="505"/>
      <c r="BX648" s="505"/>
      <c r="BY648" s="505"/>
      <c r="BZ648" s="505"/>
      <c r="CA648" s="505"/>
      <c r="CB648" s="505"/>
      <c r="CC648" s="505"/>
      <c r="CD648" s="505"/>
      <c r="CE648" s="505"/>
      <c r="CF648" s="505"/>
      <c r="CG648" s="505"/>
      <c r="CH648" s="505"/>
      <c r="CI648" s="505"/>
      <c r="CJ648" s="505"/>
      <c r="CK648" s="505"/>
      <c r="CL648" s="505"/>
      <c r="CM648" s="505"/>
      <c r="CN648" s="505"/>
      <c r="CO648" s="505"/>
      <c r="CP648" s="505"/>
      <c r="CQ648" s="505"/>
      <c r="CR648" s="505"/>
      <c r="CS648" s="505"/>
      <c r="CT648" s="505"/>
      <c r="CU648" s="505"/>
      <c r="CV648" s="505"/>
      <c r="CW648" s="505"/>
      <c r="CX648" s="505"/>
      <c r="CY648" s="505"/>
      <c r="CZ648" s="505"/>
      <c r="DA648" s="505"/>
      <c r="DB648" s="505"/>
      <c r="DC648" s="505"/>
      <c r="DD648" s="505"/>
      <c r="DE648" s="505"/>
      <c r="DF648" s="505"/>
      <c r="DG648" s="505"/>
      <c r="DH648" s="505"/>
      <c r="DI648" s="505"/>
      <c r="DJ648" s="505"/>
      <c r="DK648" s="505"/>
      <c r="DL648" s="505"/>
      <c r="DM648" s="505"/>
      <c r="DN648" s="505"/>
      <c r="DO648" s="505"/>
      <c r="DP648" s="505"/>
    </row>
    <row r="649" spans="1:120" x14ac:dyDescent="0.2">
      <c r="A649" s="517">
        <f t="shared" si="93"/>
        <v>41030</v>
      </c>
      <c r="B649" s="517" t="str">
        <f t="shared" si="90"/>
        <v>2Q12</v>
      </c>
      <c r="C649" s="517" t="str">
        <f t="shared" si="94"/>
        <v>3Q12</v>
      </c>
      <c r="D649" s="518">
        <f t="shared" si="95"/>
        <v>41096</v>
      </c>
      <c r="E649" s="518">
        <f t="shared" si="95"/>
        <v>41036</v>
      </c>
      <c r="F649" s="520">
        <v>4.0570000000000004</v>
      </c>
      <c r="G649" s="521">
        <f t="shared" si="91"/>
        <v>0.5900000000000003</v>
      </c>
      <c r="H649" s="521">
        <f t="shared" si="92"/>
        <v>0.58000000000000029</v>
      </c>
      <c r="I649" s="505"/>
      <c r="J649" s="505"/>
      <c r="K649" s="505"/>
      <c r="L649" s="505"/>
      <c r="M649" s="505"/>
      <c r="N649" s="505"/>
      <c r="O649" s="505"/>
      <c r="P649" s="505"/>
      <c r="Q649" s="505"/>
      <c r="R649" s="505"/>
      <c r="S649" s="505"/>
      <c r="T649" s="505"/>
      <c r="U649" s="505"/>
      <c r="V649" s="505"/>
      <c r="W649" s="505"/>
      <c r="X649" s="505"/>
      <c r="Y649" s="505"/>
      <c r="Z649" s="505"/>
      <c r="AA649" s="505"/>
      <c r="AB649" s="505"/>
      <c r="AC649" s="505"/>
      <c r="AD649" s="505"/>
      <c r="AE649" s="505"/>
      <c r="AF649" s="505"/>
      <c r="AG649" s="505"/>
      <c r="AH649" s="505"/>
      <c r="AI649" s="505"/>
      <c r="AJ649" s="505"/>
      <c r="AK649" s="505"/>
      <c r="AL649" s="505"/>
      <c r="AM649" s="505"/>
      <c r="AN649" s="505"/>
      <c r="AO649" s="505"/>
      <c r="AP649" s="505"/>
      <c r="AQ649" s="505"/>
      <c r="AR649" s="505"/>
      <c r="AS649" s="505"/>
      <c r="AT649" s="505"/>
      <c r="AU649" s="505"/>
      <c r="AV649" s="505"/>
      <c r="AW649" s="505"/>
      <c r="AX649" s="505"/>
      <c r="AY649" s="505"/>
      <c r="AZ649" s="505"/>
      <c r="BA649" s="505"/>
      <c r="BB649" s="505"/>
      <c r="BC649" s="505"/>
      <c r="BD649" s="505"/>
      <c r="BE649" s="505"/>
      <c r="BF649" s="505"/>
      <c r="BG649" s="505"/>
      <c r="BH649" s="505"/>
      <c r="BI649" s="505"/>
      <c r="BJ649" s="505"/>
      <c r="BK649" s="505"/>
      <c r="BL649" s="505"/>
      <c r="BM649" s="505"/>
      <c r="BN649" s="505"/>
      <c r="BO649" s="505"/>
      <c r="BP649" s="505"/>
      <c r="BQ649" s="505"/>
      <c r="BR649" s="505"/>
      <c r="BS649" s="505"/>
      <c r="BT649" s="505"/>
      <c r="BU649" s="505"/>
      <c r="BV649" s="505"/>
      <c r="BW649" s="505"/>
      <c r="BX649" s="505"/>
      <c r="BY649" s="505"/>
      <c r="BZ649" s="505"/>
      <c r="CA649" s="505"/>
      <c r="CB649" s="505"/>
      <c r="CC649" s="505"/>
      <c r="CD649" s="505"/>
      <c r="CE649" s="505"/>
      <c r="CF649" s="505"/>
      <c r="CG649" s="505"/>
      <c r="CH649" s="505"/>
      <c r="CI649" s="505"/>
      <c r="CJ649" s="505"/>
      <c r="CK649" s="505"/>
      <c r="CL649" s="505"/>
      <c r="CM649" s="505"/>
      <c r="CN649" s="505"/>
      <c r="CO649" s="505"/>
      <c r="CP649" s="505"/>
      <c r="CQ649" s="505"/>
      <c r="CR649" s="505"/>
      <c r="CS649" s="505"/>
      <c r="CT649" s="505"/>
      <c r="CU649" s="505"/>
      <c r="CV649" s="505"/>
      <c r="CW649" s="505"/>
      <c r="CX649" s="505"/>
      <c r="CY649" s="505"/>
      <c r="CZ649" s="505"/>
      <c r="DA649" s="505"/>
      <c r="DB649" s="505"/>
      <c r="DC649" s="505"/>
      <c r="DD649" s="505"/>
      <c r="DE649" s="505"/>
      <c r="DF649" s="505"/>
      <c r="DG649" s="505"/>
      <c r="DH649" s="505"/>
      <c r="DI649" s="505"/>
      <c r="DJ649" s="505"/>
      <c r="DK649" s="505"/>
      <c r="DL649" s="505"/>
      <c r="DM649" s="505"/>
      <c r="DN649" s="505"/>
      <c r="DO649" s="505"/>
      <c r="DP649" s="505"/>
    </row>
    <row r="650" spans="1:120" x14ac:dyDescent="0.2">
      <c r="A650" s="517">
        <f t="shared" si="93"/>
        <v>41030</v>
      </c>
      <c r="B650" s="517" t="str">
        <f t="shared" si="90"/>
        <v>2Q12</v>
      </c>
      <c r="C650" s="517" t="str">
        <f t="shared" si="94"/>
        <v>3Q12</v>
      </c>
      <c r="D650" s="518">
        <f t="shared" si="95"/>
        <v>41103</v>
      </c>
      <c r="E650" s="518">
        <f t="shared" si="95"/>
        <v>41043</v>
      </c>
      <c r="F650" s="520">
        <v>4.0039999999999996</v>
      </c>
      <c r="G650" s="521">
        <f t="shared" si="91"/>
        <v>0.58000000000000029</v>
      </c>
      <c r="H650" s="521">
        <f t="shared" si="92"/>
        <v>0.57000000000000028</v>
      </c>
      <c r="I650" s="505"/>
      <c r="J650" s="505"/>
      <c r="K650" s="505"/>
      <c r="L650" s="505"/>
      <c r="M650" s="505"/>
      <c r="N650" s="505"/>
      <c r="O650" s="505"/>
      <c r="P650" s="505"/>
      <c r="Q650" s="505"/>
      <c r="R650" s="505"/>
      <c r="S650" s="505"/>
      <c r="T650" s="505"/>
      <c r="U650" s="505"/>
      <c r="V650" s="505"/>
      <c r="W650" s="505"/>
      <c r="X650" s="505"/>
      <c r="Y650" s="505"/>
      <c r="Z650" s="505"/>
      <c r="AA650" s="505"/>
      <c r="AB650" s="505"/>
      <c r="AC650" s="505"/>
      <c r="AD650" s="505"/>
      <c r="AE650" s="505"/>
      <c r="AF650" s="505"/>
      <c r="AG650" s="505"/>
      <c r="AH650" s="505"/>
      <c r="AI650" s="505"/>
      <c r="AJ650" s="505"/>
      <c r="AK650" s="505"/>
      <c r="AL650" s="505"/>
      <c r="AM650" s="505"/>
      <c r="AN650" s="505"/>
      <c r="AO650" s="505"/>
      <c r="AP650" s="505"/>
      <c r="AQ650" s="505"/>
      <c r="AR650" s="505"/>
      <c r="AS650" s="505"/>
      <c r="AT650" s="505"/>
      <c r="AU650" s="505"/>
      <c r="AV650" s="505"/>
      <c r="AW650" s="505"/>
      <c r="AX650" s="505"/>
      <c r="AY650" s="505"/>
      <c r="AZ650" s="505"/>
      <c r="BA650" s="505"/>
      <c r="BB650" s="505"/>
      <c r="BC650" s="505"/>
      <c r="BD650" s="505"/>
      <c r="BE650" s="505"/>
      <c r="BF650" s="505"/>
      <c r="BG650" s="505"/>
      <c r="BH650" s="505"/>
      <c r="BI650" s="505"/>
      <c r="BJ650" s="505"/>
      <c r="BK650" s="505"/>
      <c r="BL650" s="505"/>
      <c r="BM650" s="505"/>
      <c r="BN650" s="505"/>
      <c r="BO650" s="505"/>
      <c r="BP650" s="505"/>
      <c r="BQ650" s="505"/>
      <c r="BR650" s="505"/>
      <c r="BS650" s="505"/>
      <c r="BT650" s="505"/>
      <c r="BU650" s="505"/>
      <c r="BV650" s="505"/>
      <c r="BW650" s="505"/>
      <c r="BX650" s="505"/>
      <c r="BY650" s="505"/>
      <c r="BZ650" s="505"/>
      <c r="CA650" s="505"/>
      <c r="CB650" s="505"/>
      <c r="CC650" s="505"/>
      <c r="CD650" s="505"/>
      <c r="CE650" s="505"/>
      <c r="CF650" s="505"/>
      <c r="CG650" s="505"/>
      <c r="CH650" s="505"/>
      <c r="CI650" s="505"/>
      <c r="CJ650" s="505"/>
      <c r="CK650" s="505"/>
      <c r="CL650" s="505"/>
      <c r="CM650" s="505"/>
      <c r="CN650" s="505"/>
      <c r="CO650" s="505"/>
      <c r="CP650" s="505"/>
      <c r="CQ650" s="505"/>
      <c r="CR650" s="505"/>
      <c r="CS650" s="505"/>
      <c r="CT650" s="505"/>
      <c r="CU650" s="505"/>
      <c r="CV650" s="505"/>
      <c r="CW650" s="505"/>
      <c r="CX650" s="505"/>
      <c r="CY650" s="505"/>
      <c r="CZ650" s="505"/>
      <c r="DA650" s="505"/>
      <c r="DB650" s="505"/>
      <c r="DC650" s="505"/>
      <c r="DD650" s="505"/>
      <c r="DE650" s="505"/>
      <c r="DF650" s="505"/>
      <c r="DG650" s="505"/>
      <c r="DH650" s="505"/>
      <c r="DI650" s="505"/>
      <c r="DJ650" s="505"/>
      <c r="DK650" s="505"/>
      <c r="DL650" s="505"/>
      <c r="DM650" s="505"/>
      <c r="DN650" s="505"/>
      <c r="DO650" s="505"/>
      <c r="DP650" s="505"/>
    </row>
    <row r="651" spans="1:120" x14ac:dyDescent="0.2">
      <c r="A651" s="517">
        <f t="shared" si="93"/>
        <v>41030</v>
      </c>
      <c r="B651" s="517" t="str">
        <f t="shared" si="90"/>
        <v>2Q12</v>
      </c>
      <c r="C651" s="517" t="str">
        <f t="shared" si="94"/>
        <v>3Q12</v>
      </c>
      <c r="D651" s="518">
        <f t="shared" si="95"/>
        <v>41110</v>
      </c>
      <c r="E651" s="518">
        <f t="shared" si="95"/>
        <v>41050</v>
      </c>
      <c r="F651" s="520">
        <v>3.956</v>
      </c>
      <c r="G651" s="521">
        <f t="shared" si="91"/>
        <v>0.57000000000000028</v>
      </c>
      <c r="H651" s="521">
        <f t="shared" si="92"/>
        <v>0.55000000000000027</v>
      </c>
      <c r="I651" s="505"/>
      <c r="J651" s="505"/>
      <c r="K651" s="505"/>
      <c r="L651" s="505"/>
      <c r="M651" s="505"/>
      <c r="N651" s="505"/>
      <c r="O651" s="505"/>
      <c r="P651" s="505"/>
      <c r="Q651" s="505"/>
      <c r="R651" s="505"/>
      <c r="S651" s="505"/>
      <c r="T651" s="505"/>
      <c r="U651" s="505"/>
      <c r="V651" s="505"/>
      <c r="W651" s="505"/>
      <c r="X651" s="505"/>
      <c r="Y651" s="505"/>
      <c r="Z651" s="505"/>
      <c r="AA651" s="505"/>
      <c r="AB651" s="505"/>
      <c r="AC651" s="505"/>
      <c r="AD651" s="505"/>
      <c r="AE651" s="505"/>
      <c r="AF651" s="505"/>
      <c r="AG651" s="505"/>
      <c r="AH651" s="505"/>
      <c r="AI651" s="505"/>
      <c r="AJ651" s="505"/>
      <c r="AK651" s="505"/>
      <c r="AL651" s="505"/>
      <c r="AM651" s="505"/>
      <c r="AN651" s="505"/>
      <c r="AO651" s="505"/>
      <c r="AP651" s="505"/>
      <c r="AQ651" s="505"/>
      <c r="AR651" s="505"/>
      <c r="AS651" s="505"/>
      <c r="AT651" s="505"/>
      <c r="AU651" s="505"/>
      <c r="AV651" s="505"/>
      <c r="AW651" s="505"/>
      <c r="AX651" s="505"/>
      <c r="AY651" s="505"/>
      <c r="AZ651" s="505"/>
      <c r="BA651" s="505"/>
      <c r="BB651" s="505"/>
      <c r="BC651" s="505"/>
      <c r="BD651" s="505"/>
      <c r="BE651" s="505"/>
      <c r="BF651" s="505"/>
      <c r="BG651" s="505"/>
      <c r="BH651" s="505"/>
      <c r="BI651" s="505"/>
      <c r="BJ651" s="505"/>
      <c r="BK651" s="505"/>
      <c r="BL651" s="505"/>
      <c r="BM651" s="505"/>
      <c r="BN651" s="505"/>
      <c r="BO651" s="505"/>
      <c r="BP651" s="505"/>
      <c r="BQ651" s="505"/>
      <c r="BR651" s="505"/>
      <c r="BS651" s="505"/>
      <c r="BT651" s="505"/>
      <c r="BU651" s="505"/>
      <c r="BV651" s="505"/>
      <c r="BW651" s="505"/>
      <c r="BX651" s="505"/>
      <c r="BY651" s="505"/>
      <c r="BZ651" s="505"/>
      <c r="CA651" s="505"/>
      <c r="CB651" s="505"/>
      <c r="CC651" s="505"/>
      <c r="CD651" s="505"/>
      <c r="CE651" s="505"/>
      <c r="CF651" s="505"/>
      <c r="CG651" s="505"/>
      <c r="CH651" s="505"/>
      <c r="CI651" s="505"/>
      <c r="CJ651" s="505"/>
      <c r="CK651" s="505"/>
      <c r="CL651" s="505"/>
      <c r="CM651" s="505"/>
      <c r="CN651" s="505"/>
      <c r="CO651" s="505"/>
      <c r="CP651" s="505"/>
      <c r="CQ651" s="505"/>
      <c r="CR651" s="505"/>
      <c r="CS651" s="505"/>
      <c r="CT651" s="505"/>
      <c r="CU651" s="505"/>
      <c r="CV651" s="505"/>
      <c r="CW651" s="505"/>
      <c r="CX651" s="505"/>
      <c r="CY651" s="505"/>
      <c r="CZ651" s="505"/>
      <c r="DA651" s="505"/>
      <c r="DB651" s="505"/>
      <c r="DC651" s="505"/>
      <c r="DD651" s="505"/>
      <c r="DE651" s="505"/>
      <c r="DF651" s="505"/>
      <c r="DG651" s="505"/>
      <c r="DH651" s="505"/>
      <c r="DI651" s="505"/>
      <c r="DJ651" s="505"/>
      <c r="DK651" s="505"/>
      <c r="DL651" s="505"/>
      <c r="DM651" s="505"/>
      <c r="DN651" s="505"/>
      <c r="DO651" s="505"/>
      <c r="DP651" s="505"/>
    </row>
    <row r="652" spans="1:120" x14ac:dyDescent="0.2">
      <c r="A652" s="517">
        <f t="shared" si="93"/>
        <v>41030</v>
      </c>
      <c r="B652" s="517" t="str">
        <f t="shared" si="90"/>
        <v>2Q12</v>
      </c>
      <c r="C652" s="517" t="str">
        <f t="shared" si="94"/>
        <v>3Q12</v>
      </c>
      <c r="D652" s="518">
        <f t="shared" si="95"/>
        <v>41117</v>
      </c>
      <c r="E652" s="518">
        <f t="shared" si="95"/>
        <v>41057</v>
      </c>
      <c r="F652" s="520">
        <v>3.8969999999999998</v>
      </c>
      <c r="G652" s="521">
        <f t="shared" si="91"/>
        <v>0.55000000000000027</v>
      </c>
      <c r="H652" s="521">
        <f t="shared" si="92"/>
        <v>0.54000000000000026</v>
      </c>
      <c r="I652" s="505"/>
      <c r="J652" s="505"/>
      <c r="K652" s="505"/>
      <c r="L652" s="505"/>
      <c r="M652" s="505"/>
      <c r="N652" s="505"/>
      <c r="O652" s="505"/>
      <c r="P652" s="505"/>
      <c r="Q652" s="505"/>
      <c r="R652" s="505"/>
      <c r="S652" s="505"/>
      <c r="T652" s="505"/>
      <c r="U652" s="505"/>
      <c r="V652" s="505"/>
      <c r="W652" s="505"/>
      <c r="X652" s="505"/>
      <c r="Y652" s="505"/>
      <c r="Z652" s="505"/>
      <c r="AA652" s="505"/>
      <c r="AB652" s="505"/>
      <c r="AC652" s="505"/>
      <c r="AD652" s="505"/>
      <c r="AE652" s="505"/>
      <c r="AF652" s="505"/>
      <c r="AG652" s="505"/>
      <c r="AH652" s="505"/>
      <c r="AI652" s="505"/>
      <c r="AJ652" s="505"/>
      <c r="AK652" s="505"/>
      <c r="AL652" s="505"/>
      <c r="AM652" s="505"/>
      <c r="AN652" s="505"/>
      <c r="AO652" s="505"/>
      <c r="AP652" s="505"/>
      <c r="AQ652" s="505"/>
      <c r="AR652" s="505"/>
      <c r="AS652" s="505"/>
      <c r="AT652" s="505"/>
      <c r="AU652" s="505"/>
      <c r="AV652" s="505"/>
      <c r="AW652" s="505"/>
      <c r="AX652" s="505"/>
      <c r="AY652" s="505"/>
      <c r="AZ652" s="505"/>
      <c r="BA652" s="505"/>
      <c r="BB652" s="505"/>
      <c r="BC652" s="505"/>
      <c r="BD652" s="505"/>
      <c r="BE652" s="505"/>
      <c r="BF652" s="505"/>
      <c r="BG652" s="505"/>
      <c r="BH652" s="505"/>
      <c r="BI652" s="505"/>
      <c r="BJ652" s="505"/>
      <c r="BK652" s="505"/>
      <c r="BL652" s="505"/>
      <c r="BM652" s="505"/>
      <c r="BN652" s="505"/>
      <c r="BO652" s="505"/>
      <c r="BP652" s="505"/>
      <c r="BQ652" s="505"/>
      <c r="BR652" s="505"/>
      <c r="BS652" s="505"/>
      <c r="BT652" s="505"/>
      <c r="BU652" s="505"/>
      <c r="BV652" s="505"/>
      <c r="BW652" s="505"/>
      <c r="BX652" s="505"/>
      <c r="BY652" s="505"/>
      <c r="BZ652" s="505"/>
      <c r="CA652" s="505"/>
      <c r="CB652" s="505"/>
      <c r="CC652" s="505"/>
      <c r="CD652" s="505"/>
      <c r="CE652" s="505"/>
      <c r="CF652" s="505"/>
      <c r="CG652" s="505"/>
      <c r="CH652" s="505"/>
      <c r="CI652" s="505"/>
      <c r="CJ652" s="505"/>
      <c r="CK652" s="505"/>
      <c r="CL652" s="505"/>
      <c r="CM652" s="505"/>
      <c r="CN652" s="505"/>
      <c r="CO652" s="505"/>
      <c r="CP652" s="505"/>
      <c r="CQ652" s="505"/>
      <c r="CR652" s="505"/>
      <c r="CS652" s="505"/>
      <c r="CT652" s="505"/>
      <c r="CU652" s="505"/>
      <c r="CV652" s="505"/>
      <c r="CW652" s="505"/>
      <c r="CX652" s="505"/>
      <c r="CY652" s="505"/>
      <c r="CZ652" s="505"/>
      <c r="DA652" s="505"/>
      <c r="DB652" s="505"/>
      <c r="DC652" s="505"/>
      <c r="DD652" s="505"/>
      <c r="DE652" s="505"/>
      <c r="DF652" s="505"/>
      <c r="DG652" s="505"/>
      <c r="DH652" s="505"/>
      <c r="DI652" s="505"/>
      <c r="DJ652" s="505"/>
      <c r="DK652" s="505"/>
      <c r="DL652" s="505"/>
      <c r="DM652" s="505"/>
      <c r="DN652" s="505"/>
      <c r="DO652" s="505"/>
      <c r="DP652" s="505"/>
    </row>
    <row r="653" spans="1:120" x14ac:dyDescent="0.2">
      <c r="A653" s="517">
        <f t="shared" si="93"/>
        <v>41061</v>
      </c>
      <c r="B653" s="517" t="str">
        <f t="shared" si="90"/>
        <v>2Q12</v>
      </c>
      <c r="C653" s="517" t="str">
        <f t="shared" si="94"/>
        <v>3Q12</v>
      </c>
      <c r="D653" s="518">
        <f t="shared" si="95"/>
        <v>41124</v>
      </c>
      <c r="E653" s="518">
        <f t="shared" si="95"/>
        <v>41064</v>
      </c>
      <c r="F653" s="520">
        <v>3.8460000000000001</v>
      </c>
      <c r="G653" s="521">
        <f t="shared" si="91"/>
        <v>0.54000000000000026</v>
      </c>
      <c r="H653" s="521">
        <f t="shared" si="92"/>
        <v>0.53000000000000025</v>
      </c>
      <c r="I653" s="505"/>
      <c r="J653" s="505"/>
      <c r="K653" s="505"/>
      <c r="L653" s="505"/>
      <c r="M653" s="505"/>
      <c r="N653" s="505"/>
      <c r="O653" s="505"/>
      <c r="P653" s="505"/>
      <c r="Q653" s="505"/>
      <c r="R653" s="505"/>
      <c r="S653" s="505"/>
      <c r="T653" s="505"/>
      <c r="U653" s="505"/>
      <c r="V653" s="505"/>
      <c r="W653" s="505"/>
      <c r="X653" s="505"/>
      <c r="Y653" s="505"/>
      <c r="Z653" s="505"/>
      <c r="AA653" s="505"/>
      <c r="AB653" s="505"/>
      <c r="AC653" s="505"/>
      <c r="AD653" s="505"/>
      <c r="AE653" s="505"/>
      <c r="AF653" s="505"/>
      <c r="AG653" s="505"/>
      <c r="AH653" s="505"/>
      <c r="AI653" s="505"/>
      <c r="AJ653" s="505"/>
      <c r="AK653" s="505"/>
      <c r="AL653" s="505"/>
      <c r="AM653" s="505"/>
      <c r="AN653" s="505"/>
      <c r="AO653" s="505"/>
      <c r="AP653" s="505"/>
      <c r="AQ653" s="505"/>
      <c r="AR653" s="505"/>
      <c r="AS653" s="505"/>
      <c r="AT653" s="505"/>
      <c r="AU653" s="505"/>
      <c r="AV653" s="505"/>
      <c r="AW653" s="505"/>
      <c r="AX653" s="505"/>
      <c r="AY653" s="505"/>
      <c r="AZ653" s="505"/>
      <c r="BA653" s="505"/>
      <c r="BB653" s="505"/>
      <c r="BC653" s="505"/>
      <c r="BD653" s="505"/>
      <c r="BE653" s="505"/>
      <c r="BF653" s="505"/>
      <c r="BG653" s="505"/>
      <c r="BH653" s="505"/>
      <c r="BI653" s="505"/>
      <c r="BJ653" s="505"/>
      <c r="BK653" s="505"/>
      <c r="BL653" s="505"/>
      <c r="BM653" s="505"/>
      <c r="BN653" s="505"/>
      <c r="BO653" s="505"/>
      <c r="BP653" s="505"/>
      <c r="BQ653" s="505"/>
      <c r="BR653" s="505"/>
      <c r="BS653" s="505"/>
      <c r="BT653" s="505"/>
      <c r="BU653" s="505"/>
      <c r="BV653" s="505"/>
      <c r="BW653" s="505"/>
      <c r="BX653" s="505"/>
      <c r="BY653" s="505"/>
      <c r="BZ653" s="505"/>
      <c r="CA653" s="505"/>
      <c r="CB653" s="505"/>
      <c r="CC653" s="505"/>
      <c r="CD653" s="505"/>
      <c r="CE653" s="505"/>
      <c r="CF653" s="505"/>
      <c r="CG653" s="505"/>
      <c r="CH653" s="505"/>
      <c r="CI653" s="505"/>
      <c r="CJ653" s="505"/>
      <c r="CK653" s="505"/>
      <c r="CL653" s="505"/>
      <c r="CM653" s="505"/>
      <c r="CN653" s="505"/>
      <c r="CO653" s="505"/>
      <c r="CP653" s="505"/>
      <c r="CQ653" s="505"/>
      <c r="CR653" s="505"/>
      <c r="CS653" s="505"/>
      <c r="CT653" s="505"/>
      <c r="CU653" s="505"/>
      <c r="CV653" s="505"/>
      <c r="CW653" s="505"/>
      <c r="CX653" s="505"/>
      <c r="CY653" s="505"/>
      <c r="CZ653" s="505"/>
      <c r="DA653" s="505"/>
      <c r="DB653" s="505"/>
      <c r="DC653" s="505"/>
      <c r="DD653" s="505"/>
      <c r="DE653" s="505"/>
      <c r="DF653" s="505"/>
      <c r="DG653" s="505"/>
      <c r="DH653" s="505"/>
      <c r="DI653" s="505"/>
      <c r="DJ653" s="505"/>
      <c r="DK653" s="505"/>
      <c r="DL653" s="505"/>
      <c r="DM653" s="505"/>
      <c r="DN653" s="505"/>
      <c r="DO653" s="505"/>
      <c r="DP653" s="505"/>
    </row>
    <row r="654" spans="1:120" x14ac:dyDescent="0.2">
      <c r="A654" s="517">
        <f t="shared" si="93"/>
        <v>41061</v>
      </c>
      <c r="B654" s="517" t="str">
        <f t="shared" si="90"/>
        <v>2Q12</v>
      </c>
      <c r="C654" s="517" t="str">
        <f t="shared" si="94"/>
        <v>3Q12</v>
      </c>
      <c r="D654" s="518">
        <f t="shared" si="95"/>
        <v>41131</v>
      </c>
      <c r="E654" s="518">
        <f t="shared" si="95"/>
        <v>41071</v>
      </c>
      <c r="F654" s="520">
        <v>3.7810000000000001</v>
      </c>
      <c r="G654" s="521">
        <f t="shared" si="91"/>
        <v>0.53000000000000025</v>
      </c>
      <c r="H654" s="521">
        <f t="shared" si="92"/>
        <v>0.52000000000000024</v>
      </c>
      <c r="I654" s="505"/>
      <c r="J654" s="505"/>
      <c r="K654" s="505"/>
      <c r="L654" s="505"/>
      <c r="M654" s="505"/>
      <c r="N654" s="505"/>
      <c r="O654" s="505"/>
      <c r="P654" s="505"/>
      <c r="Q654" s="505"/>
      <c r="R654" s="505"/>
      <c r="S654" s="505"/>
      <c r="T654" s="505"/>
      <c r="U654" s="505"/>
      <c r="V654" s="505"/>
      <c r="W654" s="505"/>
      <c r="X654" s="505"/>
      <c r="Y654" s="505"/>
      <c r="Z654" s="505"/>
      <c r="AA654" s="505"/>
      <c r="AB654" s="505"/>
      <c r="AC654" s="505"/>
      <c r="AD654" s="505"/>
      <c r="AE654" s="505"/>
      <c r="AF654" s="505"/>
      <c r="AG654" s="505"/>
      <c r="AH654" s="505"/>
      <c r="AI654" s="505"/>
      <c r="AJ654" s="505"/>
      <c r="AK654" s="505"/>
      <c r="AL654" s="505"/>
      <c r="AM654" s="505"/>
      <c r="AN654" s="505"/>
      <c r="AO654" s="505"/>
      <c r="AP654" s="505"/>
      <c r="AQ654" s="505"/>
      <c r="AR654" s="505"/>
      <c r="AS654" s="505"/>
      <c r="AT654" s="505"/>
      <c r="AU654" s="505"/>
      <c r="AV654" s="505"/>
      <c r="AW654" s="505"/>
      <c r="AX654" s="505"/>
      <c r="AY654" s="505"/>
      <c r="AZ654" s="505"/>
      <c r="BA654" s="505"/>
      <c r="BB654" s="505"/>
      <c r="BC654" s="505"/>
      <c r="BD654" s="505"/>
      <c r="BE654" s="505"/>
      <c r="BF654" s="505"/>
      <c r="BG654" s="505"/>
      <c r="BH654" s="505"/>
      <c r="BI654" s="505"/>
      <c r="BJ654" s="505"/>
      <c r="BK654" s="505"/>
      <c r="BL654" s="505"/>
      <c r="BM654" s="505"/>
      <c r="BN654" s="505"/>
      <c r="BO654" s="505"/>
      <c r="BP654" s="505"/>
      <c r="BQ654" s="505"/>
      <c r="BR654" s="505"/>
      <c r="BS654" s="505"/>
      <c r="BT654" s="505"/>
      <c r="BU654" s="505"/>
      <c r="BV654" s="505"/>
      <c r="BW654" s="505"/>
      <c r="BX654" s="505"/>
      <c r="BY654" s="505"/>
      <c r="BZ654" s="505"/>
      <c r="CA654" s="505"/>
      <c r="CB654" s="505"/>
      <c r="CC654" s="505"/>
      <c r="CD654" s="505"/>
      <c r="CE654" s="505"/>
      <c r="CF654" s="505"/>
      <c r="CG654" s="505"/>
      <c r="CH654" s="505"/>
      <c r="CI654" s="505"/>
      <c r="CJ654" s="505"/>
      <c r="CK654" s="505"/>
      <c r="CL654" s="505"/>
      <c r="CM654" s="505"/>
      <c r="CN654" s="505"/>
      <c r="CO654" s="505"/>
      <c r="CP654" s="505"/>
      <c r="CQ654" s="505"/>
      <c r="CR654" s="505"/>
      <c r="CS654" s="505"/>
      <c r="CT654" s="505"/>
      <c r="CU654" s="505"/>
      <c r="CV654" s="505"/>
      <c r="CW654" s="505"/>
      <c r="CX654" s="505"/>
      <c r="CY654" s="505"/>
      <c r="CZ654" s="505"/>
      <c r="DA654" s="505"/>
      <c r="DB654" s="505"/>
      <c r="DC654" s="505"/>
      <c r="DD654" s="505"/>
      <c r="DE654" s="505"/>
      <c r="DF654" s="505"/>
      <c r="DG654" s="505"/>
      <c r="DH654" s="505"/>
      <c r="DI654" s="505"/>
      <c r="DJ654" s="505"/>
      <c r="DK654" s="505"/>
      <c r="DL654" s="505"/>
      <c r="DM654" s="505"/>
      <c r="DN654" s="505"/>
      <c r="DO654" s="505"/>
      <c r="DP654" s="505"/>
    </row>
    <row r="655" spans="1:120" x14ac:dyDescent="0.2">
      <c r="A655" s="517">
        <f t="shared" si="93"/>
        <v>41061</v>
      </c>
      <c r="B655" s="517" t="str">
        <f t="shared" si="90"/>
        <v>2Q12</v>
      </c>
      <c r="C655" s="517" t="str">
        <f t="shared" si="94"/>
        <v>3Q12</v>
      </c>
      <c r="D655" s="518">
        <f t="shared" si="95"/>
        <v>41138</v>
      </c>
      <c r="E655" s="518">
        <f t="shared" si="95"/>
        <v>41078</v>
      </c>
      <c r="F655" s="520">
        <v>3.7290000000000001</v>
      </c>
      <c r="G655" s="521">
        <f t="shared" si="91"/>
        <v>0.52000000000000024</v>
      </c>
      <c r="H655" s="521">
        <f t="shared" si="92"/>
        <v>0.51000000000000023</v>
      </c>
      <c r="I655" s="505"/>
      <c r="J655" s="505"/>
      <c r="K655" s="505"/>
      <c r="L655" s="505"/>
      <c r="M655" s="505"/>
      <c r="N655" s="505"/>
      <c r="O655" s="505"/>
      <c r="P655" s="505"/>
      <c r="Q655" s="505"/>
      <c r="R655" s="505"/>
      <c r="S655" s="505"/>
      <c r="T655" s="505"/>
      <c r="U655" s="505"/>
      <c r="V655" s="505"/>
      <c r="W655" s="505"/>
      <c r="X655" s="505"/>
      <c r="Y655" s="505"/>
      <c r="Z655" s="505"/>
      <c r="AA655" s="505"/>
      <c r="AB655" s="505"/>
      <c r="AC655" s="505"/>
      <c r="AD655" s="505"/>
      <c r="AE655" s="505"/>
      <c r="AF655" s="505"/>
      <c r="AG655" s="505"/>
      <c r="AH655" s="505"/>
      <c r="AI655" s="505"/>
      <c r="AJ655" s="505"/>
      <c r="AK655" s="505"/>
      <c r="AL655" s="505"/>
      <c r="AM655" s="505"/>
      <c r="AN655" s="505"/>
      <c r="AO655" s="505"/>
      <c r="AP655" s="505"/>
      <c r="AQ655" s="505"/>
      <c r="AR655" s="505"/>
      <c r="AS655" s="505"/>
      <c r="AT655" s="505"/>
      <c r="AU655" s="505"/>
      <c r="AV655" s="505"/>
      <c r="AW655" s="505"/>
      <c r="AX655" s="505"/>
      <c r="AY655" s="505"/>
      <c r="AZ655" s="505"/>
      <c r="BA655" s="505"/>
      <c r="BB655" s="505"/>
      <c r="BC655" s="505"/>
      <c r="BD655" s="505"/>
      <c r="BE655" s="505"/>
      <c r="BF655" s="505"/>
      <c r="BG655" s="505"/>
      <c r="BH655" s="505"/>
      <c r="BI655" s="505"/>
      <c r="BJ655" s="505"/>
      <c r="BK655" s="505"/>
      <c r="BL655" s="505"/>
      <c r="BM655" s="505"/>
      <c r="BN655" s="505"/>
      <c r="BO655" s="505"/>
      <c r="BP655" s="505"/>
      <c r="BQ655" s="505"/>
      <c r="BR655" s="505"/>
      <c r="BS655" s="505"/>
      <c r="BT655" s="505"/>
      <c r="BU655" s="505"/>
      <c r="BV655" s="505"/>
      <c r="BW655" s="505"/>
      <c r="BX655" s="505"/>
      <c r="BY655" s="505"/>
      <c r="BZ655" s="505"/>
      <c r="CA655" s="505"/>
      <c r="CB655" s="505"/>
      <c r="CC655" s="505"/>
      <c r="CD655" s="505"/>
      <c r="CE655" s="505"/>
      <c r="CF655" s="505"/>
      <c r="CG655" s="505"/>
      <c r="CH655" s="505"/>
      <c r="CI655" s="505"/>
      <c r="CJ655" s="505"/>
      <c r="CK655" s="505"/>
      <c r="CL655" s="505"/>
      <c r="CM655" s="505"/>
      <c r="CN655" s="505"/>
      <c r="CO655" s="505"/>
      <c r="CP655" s="505"/>
      <c r="CQ655" s="505"/>
      <c r="CR655" s="505"/>
      <c r="CS655" s="505"/>
      <c r="CT655" s="505"/>
      <c r="CU655" s="505"/>
      <c r="CV655" s="505"/>
      <c r="CW655" s="505"/>
      <c r="CX655" s="505"/>
      <c r="CY655" s="505"/>
      <c r="CZ655" s="505"/>
      <c r="DA655" s="505"/>
      <c r="DB655" s="505"/>
      <c r="DC655" s="505"/>
      <c r="DD655" s="505"/>
      <c r="DE655" s="505"/>
      <c r="DF655" s="505"/>
      <c r="DG655" s="505"/>
      <c r="DH655" s="505"/>
      <c r="DI655" s="505"/>
      <c r="DJ655" s="505"/>
      <c r="DK655" s="505"/>
      <c r="DL655" s="505"/>
      <c r="DM655" s="505"/>
      <c r="DN655" s="505"/>
      <c r="DO655" s="505"/>
      <c r="DP655" s="505"/>
    </row>
    <row r="656" spans="1:120" x14ac:dyDescent="0.2">
      <c r="A656" s="517">
        <f t="shared" si="93"/>
        <v>41061</v>
      </c>
      <c r="B656" s="517" t="str">
        <f t="shared" si="90"/>
        <v>2Q12</v>
      </c>
      <c r="C656" s="517" t="str">
        <f t="shared" si="94"/>
        <v>3Q12</v>
      </c>
      <c r="D656" s="518">
        <f t="shared" si="95"/>
        <v>41145</v>
      </c>
      <c r="E656" s="518">
        <f t="shared" si="95"/>
        <v>41085</v>
      </c>
      <c r="F656" s="520">
        <v>3.6779999999999999</v>
      </c>
      <c r="G656" s="521">
        <f t="shared" si="91"/>
        <v>0.51000000000000023</v>
      </c>
      <c r="H656" s="521">
        <f t="shared" si="92"/>
        <v>0.50000000000000022</v>
      </c>
      <c r="I656" s="505"/>
      <c r="J656" s="505"/>
      <c r="K656" s="505"/>
      <c r="L656" s="505"/>
      <c r="M656" s="505"/>
      <c r="N656" s="505"/>
      <c r="O656" s="505"/>
      <c r="P656" s="505"/>
      <c r="Q656" s="505"/>
      <c r="R656" s="505"/>
      <c r="S656" s="505"/>
      <c r="T656" s="505"/>
      <c r="U656" s="505"/>
      <c r="V656" s="505"/>
      <c r="W656" s="505"/>
      <c r="X656" s="505"/>
      <c r="Y656" s="505"/>
      <c r="Z656" s="505"/>
      <c r="AA656" s="505"/>
      <c r="AB656" s="505"/>
      <c r="AC656" s="505"/>
      <c r="AD656" s="505"/>
      <c r="AE656" s="505"/>
      <c r="AF656" s="505"/>
      <c r="AG656" s="505"/>
      <c r="AH656" s="505"/>
      <c r="AI656" s="505"/>
      <c r="AJ656" s="505"/>
      <c r="AK656" s="505"/>
      <c r="AL656" s="505"/>
      <c r="AM656" s="505"/>
      <c r="AN656" s="505"/>
      <c r="AO656" s="505"/>
      <c r="AP656" s="505"/>
      <c r="AQ656" s="505"/>
      <c r="AR656" s="505"/>
      <c r="AS656" s="505"/>
      <c r="AT656" s="505"/>
      <c r="AU656" s="505"/>
      <c r="AV656" s="505"/>
      <c r="AW656" s="505"/>
      <c r="AX656" s="505"/>
      <c r="AY656" s="505"/>
      <c r="AZ656" s="505"/>
      <c r="BA656" s="505"/>
      <c r="BB656" s="505"/>
      <c r="BC656" s="505"/>
      <c r="BD656" s="505"/>
      <c r="BE656" s="505"/>
      <c r="BF656" s="505"/>
      <c r="BG656" s="505"/>
      <c r="BH656" s="505"/>
      <c r="BI656" s="505"/>
      <c r="BJ656" s="505"/>
      <c r="BK656" s="505"/>
      <c r="BL656" s="505"/>
      <c r="BM656" s="505"/>
      <c r="BN656" s="505"/>
      <c r="BO656" s="505"/>
      <c r="BP656" s="505"/>
      <c r="BQ656" s="505"/>
      <c r="BR656" s="505"/>
      <c r="BS656" s="505"/>
      <c r="BT656" s="505"/>
      <c r="BU656" s="505"/>
      <c r="BV656" s="505"/>
      <c r="BW656" s="505"/>
      <c r="BX656" s="505"/>
      <c r="BY656" s="505"/>
      <c r="BZ656" s="505"/>
      <c r="CA656" s="505"/>
      <c r="CB656" s="505"/>
      <c r="CC656" s="505"/>
      <c r="CD656" s="505"/>
      <c r="CE656" s="505"/>
      <c r="CF656" s="505"/>
      <c r="CG656" s="505"/>
      <c r="CH656" s="505"/>
      <c r="CI656" s="505"/>
      <c r="CJ656" s="505"/>
      <c r="CK656" s="505"/>
      <c r="CL656" s="505"/>
      <c r="CM656" s="505"/>
      <c r="CN656" s="505"/>
      <c r="CO656" s="505"/>
      <c r="CP656" s="505"/>
      <c r="CQ656" s="505"/>
      <c r="CR656" s="505"/>
      <c r="CS656" s="505"/>
      <c r="CT656" s="505"/>
      <c r="CU656" s="505"/>
      <c r="CV656" s="505"/>
      <c r="CW656" s="505"/>
      <c r="CX656" s="505"/>
      <c r="CY656" s="505"/>
      <c r="CZ656" s="505"/>
      <c r="DA656" s="505"/>
      <c r="DB656" s="505"/>
      <c r="DC656" s="505"/>
      <c r="DD656" s="505"/>
      <c r="DE656" s="505"/>
      <c r="DF656" s="505"/>
      <c r="DG656" s="505"/>
      <c r="DH656" s="505"/>
      <c r="DI656" s="505"/>
      <c r="DJ656" s="505"/>
      <c r="DK656" s="505"/>
      <c r="DL656" s="505"/>
      <c r="DM656" s="505"/>
      <c r="DN656" s="505"/>
      <c r="DO656" s="505"/>
      <c r="DP656" s="505"/>
    </row>
    <row r="657" spans="1:120" x14ac:dyDescent="0.2">
      <c r="A657" s="517">
        <f t="shared" si="93"/>
        <v>41091</v>
      </c>
      <c r="B657" s="517" t="str">
        <f t="shared" si="90"/>
        <v>3Q12</v>
      </c>
      <c r="C657" s="517" t="str">
        <f t="shared" si="94"/>
        <v>3Q12</v>
      </c>
      <c r="D657" s="518">
        <f t="shared" si="95"/>
        <v>41152</v>
      </c>
      <c r="E657" s="518">
        <f t="shared" si="95"/>
        <v>41092</v>
      </c>
      <c r="F657" s="520">
        <v>3.6480000000000001</v>
      </c>
      <c r="G657" s="521">
        <f t="shared" si="91"/>
        <v>0.50000000000000022</v>
      </c>
      <c r="H657" s="521">
        <f t="shared" si="92"/>
        <v>0.51000000000000023</v>
      </c>
      <c r="I657" s="505"/>
      <c r="J657" s="505"/>
      <c r="K657" s="505"/>
      <c r="L657" s="505"/>
      <c r="M657" s="505"/>
      <c r="N657" s="505"/>
      <c r="O657" s="505"/>
      <c r="P657" s="505"/>
      <c r="Q657" s="505"/>
      <c r="R657" s="505"/>
      <c r="S657" s="505"/>
      <c r="T657" s="505"/>
      <c r="U657" s="505"/>
      <c r="V657" s="505"/>
      <c r="W657" s="505"/>
      <c r="X657" s="505"/>
      <c r="Y657" s="505"/>
      <c r="Z657" s="505"/>
      <c r="AA657" s="505"/>
      <c r="AB657" s="505"/>
      <c r="AC657" s="505"/>
      <c r="AD657" s="505"/>
      <c r="AE657" s="505"/>
      <c r="AF657" s="505"/>
      <c r="AG657" s="505"/>
      <c r="AH657" s="505"/>
      <c r="AI657" s="505"/>
      <c r="AJ657" s="505"/>
      <c r="AK657" s="505"/>
      <c r="AL657" s="505"/>
      <c r="AM657" s="505"/>
      <c r="AN657" s="505"/>
      <c r="AO657" s="505"/>
      <c r="AP657" s="505"/>
      <c r="AQ657" s="505"/>
      <c r="AR657" s="505"/>
      <c r="AS657" s="505"/>
      <c r="AT657" s="505"/>
      <c r="AU657" s="505"/>
      <c r="AV657" s="505"/>
      <c r="AW657" s="505"/>
      <c r="AX657" s="505"/>
      <c r="AY657" s="505"/>
      <c r="AZ657" s="505"/>
      <c r="BA657" s="505"/>
      <c r="BB657" s="505"/>
      <c r="BC657" s="505"/>
      <c r="BD657" s="505"/>
      <c r="BE657" s="505"/>
      <c r="BF657" s="505"/>
      <c r="BG657" s="505"/>
      <c r="BH657" s="505"/>
      <c r="BI657" s="505"/>
      <c r="BJ657" s="505"/>
      <c r="BK657" s="505"/>
      <c r="BL657" s="505"/>
      <c r="BM657" s="505"/>
      <c r="BN657" s="505"/>
      <c r="BO657" s="505"/>
      <c r="BP657" s="505"/>
      <c r="BQ657" s="505"/>
      <c r="BR657" s="505"/>
      <c r="BS657" s="505"/>
      <c r="BT657" s="505"/>
      <c r="BU657" s="505"/>
      <c r="BV657" s="505"/>
      <c r="BW657" s="505"/>
      <c r="BX657" s="505"/>
      <c r="BY657" s="505"/>
      <c r="BZ657" s="505"/>
      <c r="CA657" s="505"/>
      <c r="CB657" s="505"/>
      <c r="CC657" s="505"/>
      <c r="CD657" s="505"/>
      <c r="CE657" s="505"/>
      <c r="CF657" s="505"/>
      <c r="CG657" s="505"/>
      <c r="CH657" s="505"/>
      <c r="CI657" s="505"/>
      <c r="CJ657" s="505"/>
      <c r="CK657" s="505"/>
      <c r="CL657" s="505"/>
      <c r="CM657" s="505"/>
      <c r="CN657" s="505"/>
      <c r="CO657" s="505"/>
      <c r="CP657" s="505"/>
      <c r="CQ657" s="505"/>
      <c r="CR657" s="505"/>
      <c r="CS657" s="505"/>
      <c r="CT657" s="505"/>
      <c r="CU657" s="505"/>
      <c r="CV657" s="505"/>
      <c r="CW657" s="505"/>
      <c r="CX657" s="505"/>
      <c r="CY657" s="505"/>
      <c r="CZ657" s="505"/>
      <c r="DA657" s="505"/>
      <c r="DB657" s="505"/>
      <c r="DC657" s="505"/>
      <c r="DD657" s="505"/>
      <c r="DE657" s="505"/>
      <c r="DF657" s="505"/>
      <c r="DG657" s="505"/>
      <c r="DH657" s="505"/>
      <c r="DI657" s="505"/>
      <c r="DJ657" s="505"/>
      <c r="DK657" s="505"/>
      <c r="DL657" s="505"/>
      <c r="DM657" s="505"/>
      <c r="DN657" s="505"/>
      <c r="DO657" s="505"/>
      <c r="DP657" s="505"/>
    </row>
    <row r="658" spans="1:120" x14ac:dyDescent="0.2">
      <c r="A658" s="517">
        <f t="shared" si="93"/>
        <v>41091</v>
      </c>
      <c r="B658" s="517" t="str">
        <f t="shared" si="90"/>
        <v>3Q12</v>
      </c>
      <c r="C658" s="517" t="str">
        <f t="shared" si="94"/>
        <v>3Q12</v>
      </c>
      <c r="D658" s="518">
        <f t="shared" si="95"/>
        <v>41159</v>
      </c>
      <c r="E658" s="518">
        <f t="shared" si="95"/>
        <v>41099</v>
      </c>
      <c r="F658" s="520">
        <v>3.6829999999999998</v>
      </c>
      <c r="G658" s="521">
        <f t="shared" si="91"/>
        <v>0.51000000000000023</v>
      </c>
      <c r="H658" s="521">
        <f t="shared" si="92"/>
        <v>0.51000000000000023</v>
      </c>
      <c r="I658" s="505"/>
      <c r="J658" s="505"/>
      <c r="K658" s="505"/>
      <c r="L658" s="505"/>
      <c r="M658" s="505"/>
      <c r="N658" s="505"/>
      <c r="O658" s="505"/>
      <c r="P658" s="505"/>
      <c r="Q658" s="505"/>
      <c r="R658" s="505"/>
      <c r="S658" s="505"/>
      <c r="T658" s="505"/>
      <c r="U658" s="505"/>
      <c r="V658" s="505"/>
      <c r="W658" s="505"/>
      <c r="X658" s="505"/>
      <c r="Y658" s="505"/>
      <c r="Z658" s="505"/>
      <c r="AA658" s="505"/>
      <c r="AB658" s="505"/>
      <c r="AC658" s="505"/>
      <c r="AD658" s="505"/>
      <c r="AE658" s="505"/>
      <c r="AF658" s="505"/>
      <c r="AG658" s="505"/>
      <c r="AH658" s="505"/>
      <c r="AI658" s="505"/>
      <c r="AJ658" s="505"/>
      <c r="AK658" s="505"/>
      <c r="AL658" s="505"/>
      <c r="AM658" s="505"/>
      <c r="AN658" s="505"/>
      <c r="AO658" s="505"/>
      <c r="AP658" s="505"/>
      <c r="AQ658" s="505"/>
      <c r="AR658" s="505"/>
      <c r="AS658" s="505"/>
      <c r="AT658" s="505"/>
      <c r="AU658" s="505"/>
      <c r="AV658" s="505"/>
      <c r="AW658" s="505"/>
      <c r="AX658" s="505"/>
      <c r="AY658" s="505"/>
      <c r="AZ658" s="505"/>
      <c r="BA658" s="505"/>
      <c r="BB658" s="505"/>
      <c r="BC658" s="505"/>
      <c r="BD658" s="505"/>
      <c r="BE658" s="505"/>
      <c r="BF658" s="505"/>
      <c r="BG658" s="505"/>
      <c r="BH658" s="505"/>
      <c r="BI658" s="505"/>
      <c r="BJ658" s="505"/>
      <c r="BK658" s="505"/>
      <c r="BL658" s="505"/>
      <c r="BM658" s="505"/>
      <c r="BN658" s="505"/>
      <c r="BO658" s="505"/>
      <c r="BP658" s="505"/>
      <c r="BQ658" s="505"/>
      <c r="BR658" s="505"/>
      <c r="BS658" s="505"/>
      <c r="BT658" s="505"/>
      <c r="BU658" s="505"/>
      <c r="BV658" s="505"/>
      <c r="BW658" s="505"/>
      <c r="BX658" s="505"/>
      <c r="BY658" s="505"/>
      <c r="BZ658" s="505"/>
      <c r="CA658" s="505"/>
      <c r="CB658" s="505"/>
      <c r="CC658" s="505"/>
      <c r="CD658" s="505"/>
      <c r="CE658" s="505"/>
      <c r="CF658" s="505"/>
      <c r="CG658" s="505"/>
      <c r="CH658" s="505"/>
      <c r="CI658" s="505"/>
      <c r="CJ658" s="505"/>
      <c r="CK658" s="505"/>
      <c r="CL658" s="505"/>
      <c r="CM658" s="505"/>
      <c r="CN658" s="505"/>
      <c r="CO658" s="505"/>
      <c r="CP658" s="505"/>
      <c r="CQ658" s="505"/>
      <c r="CR658" s="505"/>
      <c r="CS658" s="505"/>
      <c r="CT658" s="505"/>
      <c r="CU658" s="505"/>
      <c r="CV658" s="505"/>
      <c r="CW658" s="505"/>
      <c r="CX658" s="505"/>
      <c r="CY658" s="505"/>
      <c r="CZ658" s="505"/>
      <c r="DA658" s="505"/>
      <c r="DB658" s="505"/>
      <c r="DC658" s="505"/>
      <c r="DD658" s="505"/>
      <c r="DE658" s="505"/>
      <c r="DF658" s="505"/>
      <c r="DG658" s="505"/>
      <c r="DH658" s="505"/>
      <c r="DI658" s="505"/>
      <c r="DJ658" s="505"/>
      <c r="DK658" s="505"/>
      <c r="DL658" s="505"/>
      <c r="DM658" s="505"/>
      <c r="DN658" s="505"/>
      <c r="DO658" s="505"/>
      <c r="DP658" s="505"/>
    </row>
    <row r="659" spans="1:120" x14ac:dyDescent="0.2">
      <c r="A659" s="517">
        <f t="shared" si="93"/>
        <v>41091</v>
      </c>
      <c r="B659" s="517" t="str">
        <f t="shared" si="90"/>
        <v>3Q12</v>
      </c>
      <c r="C659" s="517" t="str">
        <f t="shared" si="94"/>
        <v>3Q12</v>
      </c>
      <c r="D659" s="518">
        <f t="shared" si="95"/>
        <v>41166</v>
      </c>
      <c r="E659" s="518">
        <f t="shared" si="95"/>
        <v>41106</v>
      </c>
      <c r="F659" s="520">
        <v>3.6949999999999998</v>
      </c>
      <c r="G659" s="521">
        <f t="shared" si="91"/>
        <v>0.51000000000000023</v>
      </c>
      <c r="H659" s="521">
        <f t="shared" si="92"/>
        <v>0.53000000000000025</v>
      </c>
      <c r="I659" s="505"/>
      <c r="J659" s="505"/>
      <c r="K659" s="505"/>
      <c r="L659" s="505"/>
      <c r="M659" s="505"/>
      <c r="N659" s="505"/>
      <c r="O659" s="505"/>
      <c r="P659" s="505"/>
      <c r="Q659" s="505"/>
      <c r="R659" s="505"/>
      <c r="S659" s="505"/>
      <c r="T659" s="505"/>
      <c r="U659" s="505"/>
      <c r="V659" s="505"/>
      <c r="W659" s="505"/>
      <c r="X659" s="505"/>
      <c r="Y659" s="505"/>
      <c r="Z659" s="505"/>
      <c r="AA659" s="505"/>
      <c r="AB659" s="505"/>
      <c r="AC659" s="505"/>
      <c r="AD659" s="505"/>
      <c r="AE659" s="505"/>
      <c r="AF659" s="505"/>
      <c r="AG659" s="505"/>
      <c r="AH659" s="505"/>
      <c r="AI659" s="505"/>
      <c r="AJ659" s="505"/>
      <c r="AK659" s="505"/>
      <c r="AL659" s="505"/>
      <c r="AM659" s="505"/>
      <c r="AN659" s="505"/>
      <c r="AO659" s="505"/>
      <c r="AP659" s="505"/>
      <c r="AQ659" s="505"/>
      <c r="AR659" s="505"/>
      <c r="AS659" s="505"/>
      <c r="AT659" s="505"/>
      <c r="AU659" s="505"/>
      <c r="AV659" s="505"/>
      <c r="AW659" s="505"/>
      <c r="AX659" s="505"/>
      <c r="AY659" s="505"/>
      <c r="AZ659" s="505"/>
      <c r="BA659" s="505"/>
      <c r="BB659" s="505"/>
      <c r="BC659" s="505"/>
      <c r="BD659" s="505"/>
      <c r="BE659" s="505"/>
      <c r="BF659" s="505"/>
      <c r="BG659" s="505"/>
      <c r="BH659" s="505"/>
      <c r="BI659" s="505"/>
      <c r="BJ659" s="505"/>
      <c r="BK659" s="505"/>
      <c r="BL659" s="505"/>
      <c r="BM659" s="505"/>
      <c r="BN659" s="505"/>
      <c r="BO659" s="505"/>
      <c r="BP659" s="505"/>
      <c r="BQ659" s="505"/>
      <c r="BR659" s="505"/>
      <c r="BS659" s="505"/>
      <c r="BT659" s="505"/>
      <c r="BU659" s="505"/>
      <c r="BV659" s="505"/>
      <c r="BW659" s="505"/>
      <c r="BX659" s="505"/>
      <c r="BY659" s="505"/>
      <c r="BZ659" s="505"/>
      <c r="CA659" s="505"/>
      <c r="CB659" s="505"/>
      <c r="CC659" s="505"/>
      <c r="CD659" s="505"/>
      <c r="CE659" s="505"/>
      <c r="CF659" s="505"/>
      <c r="CG659" s="505"/>
      <c r="CH659" s="505"/>
      <c r="CI659" s="505"/>
      <c r="CJ659" s="505"/>
      <c r="CK659" s="505"/>
      <c r="CL659" s="505"/>
      <c r="CM659" s="505"/>
      <c r="CN659" s="505"/>
      <c r="CO659" s="505"/>
      <c r="CP659" s="505"/>
      <c r="CQ659" s="505"/>
      <c r="CR659" s="505"/>
      <c r="CS659" s="505"/>
      <c r="CT659" s="505"/>
      <c r="CU659" s="505"/>
      <c r="CV659" s="505"/>
      <c r="CW659" s="505"/>
      <c r="CX659" s="505"/>
      <c r="CY659" s="505"/>
      <c r="CZ659" s="505"/>
      <c r="DA659" s="505"/>
      <c r="DB659" s="505"/>
      <c r="DC659" s="505"/>
      <c r="DD659" s="505"/>
      <c r="DE659" s="505"/>
      <c r="DF659" s="505"/>
      <c r="DG659" s="505"/>
      <c r="DH659" s="505"/>
      <c r="DI659" s="505"/>
      <c r="DJ659" s="505"/>
      <c r="DK659" s="505"/>
      <c r="DL659" s="505"/>
      <c r="DM659" s="505"/>
      <c r="DN659" s="505"/>
      <c r="DO659" s="505"/>
      <c r="DP659" s="505"/>
    </row>
    <row r="660" spans="1:120" x14ac:dyDescent="0.2">
      <c r="A660" s="517">
        <f t="shared" si="93"/>
        <v>41091</v>
      </c>
      <c r="B660" s="517" t="str">
        <f t="shared" si="90"/>
        <v>3Q12</v>
      </c>
      <c r="C660" s="517" t="str">
        <f t="shared" si="94"/>
        <v>3Q12</v>
      </c>
      <c r="D660" s="518">
        <f t="shared" si="95"/>
        <v>41173</v>
      </c>
      <c r="E660" s="518">
        <f t="shared" si="95"/>
        <v>41113</v>
      </c>
      <c r="F660" s="520">
        <v>3.7829999999999999</v>
      </c>
      <c r="G660" s="521">
        <f t="shared" si="91"/>
        <v>0.53000000000000025</v>
      </c>
      <c r="H660" s="521">
        <f t="shared" si="92"/>
        <v>0.53000000000000025</v>
      </c>
      <c r="I660" s="505"/>
      <c r="J660" s="505"/>
      <c r="K660" s="505"/>
      <c r="L660" s="505"/>
      <c r="M660" s="505"/>
      <c r="N660" s="505"/>
      <c r="O660" s="505"/>
      <c r="P660" s="505"/>
      <c r="Q660" s="505"/>
      <c r="R660" s="505"/>
      <c r="S660" s="505"/>
      <c r="T660" s="505"/>
      <c r="U660" s="505"/>
      <c r="V660" s="505"/>
      <c r="W660" s="505"/>
      <c r="X660" s="505"/>
      <c r="Y660" s="505"/>
      <c r="Z660" s="505"/>
      <c r="AA660" s="505"/>
      <c r="AB660" s="505"/>
      <c r="AC660" s="505"/>
      <c r="AD660" s="505"/>
      <c r="AE660" s="505"/>
      <c r="AF660" s="505"/>
      <c r="AG660" s="505"/>
      <c r="AH660" s="505"/>
      <c r="AI660" s="505"/>
      <c r="AJ660" s="505"/>
      <c r="AK660" s="505"/>
      <c r="AL660" s="505"/>
      <c r="AM660" s="505"/>
      <c r="AN660" s="505"/>
      <c r="AO660" s="505"/>
      <c r="AP660" s="505"/>
      <c r="AQ660" s="505"/>
      <c r="AR660" s="505"/>
      <c r="AS660" s="505"/>
      <c r="AT660" s="505"/>
      <c r="AU660" s="505"/>
      <c r="AV660" s="505"/>
      <c r="AW660" s="505"/>
      <c r="AX660" s="505"/>
      <c r="AY660" s="505"/>
      <c r="AZ660" s="505"/>
      <c r="BA660" s="505"/>
      <c r="BB660" s="505"/>
      <c r="BC660" s="505"/>
      <c r="BD660" s="505"/>
      <c r="BE660" s="505"/>
      <c r="BF660" s="505"/>
      <c r="BG660" s="505"/>
      <c r="BH660" s="505"/>
      <c r="BI660" s="505"/>
      <c r="BJ660" s="505"/>
      <c r="BK660" s="505"/>
      <c r="BL660" s="505"/>
      <c r="BM660" s="505"/>
      <c r="BN660" s="505"/>
      <c r="BO660" s="505"/>
      <c r="BP660" s="505"/>
      <c r="BQ660" s="505"/>
      <c r="BR660" s="505"/>
      <c r="BS660" s="505"/>
      <c r="BT660" s="505"/>
      <c r="BU660" s="505"/>
      <c r="BV660" s="505"/>
      <c r="BW660" s="505"/>
      <c r="BX660" s="505"/>
      <c r="BY660" s="505"/>
      <c r="BZ660" s="505"/>
      <c r="CA660" s="505"/>
      <c r="CB660" s="505"/>
      <c r="CC660" s="505"/>
      <c r="CD660" s="505"/>
      <c r="CE660" s="505"/>
      <c r="CF660" s="505"/>
      <c r="CG660" s="505"/>
      <c r="CH660" s="505"/>
      <c r="CI660" s="505"/>
      <c r="CJ660" s="505"/>
      <c r="CK660" s="505"/>
      <c r="CL660" s="505"/>
      <c r="CM660" s="505"/>
      <c r="CN660" s="505"/>
      <c r="CO660" s="505"/>
      <c r="CP660" s="505"/>
      <c r="CQ660" s="505"/>
      <c r="CR660" s="505"/>
      <c r="CS660" s="505"/>
      <c r="CT660" s="505"/>
      <c r="CU660" s="505"/>
      <c r="CV660" s="505"/>
      <c r="CW660" s="505"/>
      <c r="CX660" s="505"/>
      <c r="CY660" s="505"/>
      <c r="CZ660" s="505"/>
      <c r="DA660" s="505"/>
      <c r="DB660" s="505"/>
      <c r="DC660" s="505"/>
      <c r="DD660" s="505"/>
      <c r="DE660" s="505"/>
      <c r="DF660" s="505"/>
      <c r="DG660" s="505"/>
      <c r="DH660" s="505"/>
      <c r="DI660" s="505"/>
      <c r="DJ660" s="505"/>
      <c r="DK660" s="505"/>
      <c r="DL660" s="505"/>
      <c r="DM660" s="505"/>
      <c r="DN660" s="505"/>
      <c r="DO660" s="505"/>
      <c r="DP660" s="505"/>
    </row>
    <row r="661" spans="1:120" x14ac:dyDescent="0.2">
      <c r="A661" s="517">
        <f t="shared" si="93"/>
        <v>41091</v>
      </c>
      <c r="B661" s="517" t="str">
        <f t="shared" si="90"/>
        <v>3Q12</v>
      </c>
      <c r="C661" s="517" t="str">
        <f t="shared" si="94"/>
        <v>3Q12</v>
      </c>
      <c r="D661" s="518">
        <f t="shared" si="95"/>
        <v>41180</v>
      </c>
      <c r="E661" s="518">
        <f t="shared" si="95"/>
        <v>41120</v>
      </c>
      <c r="F661" s="520">
        <v>3.7959999999999998</v>
      </c>
      <c r="G661" s="521">
        <f t="shared" si="91"/>
        <v>0.53000000000000025</v>
      </c>
      <c r="H661" s="521">
        <f t="shared" si="92"/>
        <v>0.55000000000000027</v>
      </c>
      <c r="I661" s="505"/>
      <c r="J661" s="505"/>
      <c r="K661" s="505"/>
      <c r="L661" s="505"/>
      <c r="M661" s="505"/>
      <c r="N661" s="505"/>
      <c r="O661" s="505"/>
      <c r="P661" s="505"/>
      <c r="Q661" s="505"/>
      <c r="R661" s="505"/>
      <c r="S661" s="505"/>
      <c r="T661" s="505"/>
      <c r="U661" s="505"/>
      <c r="V661" s="505"/>
      <c r="W661" s="505"/>
      <c r="X661" s="505"/>
      <c r="Y661" s="505"/>
      <c r="Z661" s="505"/>
      <c r="AA661" s="505"/>
      <c r="AB661" s="505"/>
      <c r="AC661" s="505"/>
      <c r="AD661" s="505"/>
      <c r="AE661" s="505"/>
      <c r="AF661" s="505"/>
      <c r="AG661" s="505"/>
      <c r="AH661" s="505"/>
      <c r="AI661" s="505"/>
      <c r="AJ661" s="505"/>
      <c r="AK661" s="505"/>
      <c r="AL661" s="505"/>
      <c r="AM661" s="505"/>
      <c r="AN661" s="505"/>
      <c r="AO661" s="505"/>
      <c r="AP661" s="505"/>
      <c r="AQ661" s="505"/>
      <c r="AR661" s="505"/>
      <c r="AS661" s="505"/>
      <c r="AT661" s="505"/>
      <c r="AU661" s="505"/>
      <c r="AV661" s="505"/>
      <c r="AW661" s="505"/>
      <c r="AX661" s="505"/>
      <c r="AY661" s="505"/>
      <c r="AZ661" s="505"/>
      <c r="BA661" s="505"/>
      <c r="BB661" s="505"/>
      <c r="BC661" s="505"/>
      <c r="BD661" s="505"/>
      <c r="BE661" s="505"/>
      <c r="BF661" s="505"/>
      <c r="BG661" s="505"/>
      <c r="BH661" s="505"/>
      <c r="BI661" s="505"/>
      <c r="BJ661" s="505"/>
      <c r="BK661" s="505"/>
      <c r="BL661" s="505"/>
      <c r="BM661" s="505"/>
      <c r="BN661" s="505"/>
      <c r="BO661" s="505"/>
      <c r="BP661" s="505"/>
      <c r="BQ661" s="505"/>
      <c r="BR661" s="505"/>
      <c r="BS661" s="505"/>
      <c r="BT661" s="505"/>
      <c r="BU661" s="505"/>
      <c r="BV661" s="505"/>
      <c r="BW661" s="505"/>
      <c r="BX661" s="505"/>
      <c r="BY661" s="505"/>
      <c r="BZ661" s="505"/>
      <c r="CA661" s="505"/>
      <c r="CB661" s="505"/>
      <c r="CC661" s="505"/>
      <c r="CD661" s="505"/>
      <c r="CE661" s="505"/>
      <c r="CF661" s="505"/>
      <c r="CG661" s="505"/>
      <c r="CH661" s="505"/>
      <c r="CI661" s="505"/>
      <c r="CJ661" s="505"/>
      <c r="CK661" s="505"/>
      <c r="CL661" s="505"/>
      <c r="CM661" s="505"/>
      <c r="CN661" s="505"/>
      <c r="CO661" s="505"/>
      <c r="CP661" s="505"/>
      <c r="CQ661" s="505"/>
      <c r="CR661" s="505"/>
      <c r="CS661" s="505"/>
      <c r="CT661" s="505"/>
      <c r="CU661" s="505"/>
      <c r="CV661" s="505"/>
      <c r="CW661" s="505"/>
      <c r="CX661" s="505"/>
      <c r="CY661" s="505"/>
      <c r="CZ661" s="505"/>
      <c r="DA661" s="505"/>
      <c r="DB661" s="505"/>
      <c r="DC661" s="505"/>
      <c r="DD661" s="505"/>
      <c r="DE661" s="505"/>
      <c r="DF661" s="505"/>
      <c r="DG661" s="505"/>
      <c r="DH661" s="505"/>
      <c r="DI661" s="505"/>
      <c r="DJ661" s="505"/>
      <c r="DK661" s="505"/>
      <c r="DL661" s="505"/>
      <c r="DM661" s="505"/>
      <c r="DN661" s="505"/>
      <c r="DO661" s="505"/>
      <c r="DP661" s="505"/>
    </row>
    <row r="662" spans="1:120" x14ac:dyDescent="0.2">
      <c r="A662" s="517">
        <f t="shared" si="93"/>
        <v>41122</v>
      </c>
      <c r="B662" s="517" t="str">
        <f t="shared" si="90"/>
        <v>3Q12</v>
      </c>
      <c r="C662" s="517" t="str">
        <f t="shared" si="94"/>
        <v>4Q12</v>
      </c>
      <c r="D662" s="518">
        <f t="shared" si="95"/>
        <v>41187</v>
      </c>
      <c r="E662" s="518">
        <f t="shared" si="95"/>
        <v>41127</v>
      </c>
      <c r="F662" s="520">
        <v>3.85</v>
      </c>
      <c r="G662" s="521">
        <f t="shared" si="91"/>
        <v>0.55000000000000027</v>
      </c>
      <c r="H662" s="521">
        <f t="shared" si="92"/>
        <v>0.57000000000000028</v>
      </c>
      <c r="I662" s="505"/>
      <c r="J662" s="505"/>
      <c r="K662" s="505"/>
      <c r="L662" s="505"/>
      <c r="M662" s="505"/>
      <c r="N662" s="505"/>
      <c r="O662" s="505"/>
      <c r="P662" s="505"/>
      <c r="Q662" s="505"/>
      <c r="R662" s="505"/>
      <c r="S662" s="505"/>
      <c r="T662" s="505"/>
      <c r="U662" s="505"/>
      <c r="V662" s="505"/>
      <c r="W662" s="505"/>
      <c r="X662" s="505"/>
      <c r="Y662" s="505"/>
      <c r="Z662" s="505"/>
      <c r="AA662" s="505"/>
      <c r="AB662" s="505"/>
      <c r="AC662" s="505"/>
      <c r="AD662" s="505"/>
      <c r="AE662" s="505"/>
      <c r="AF662" s="505"/>
      <c r="AG662" s="505"/>
      <c r="AH662" s="505"/>
      <c r="AI662" s="505"/>
      <c r="AJ662" s="505"/>
      <c r="AK662" s="505"/>
      <c r="AL662" s="505"/>
      <c r="AM662" s="505"/>
      <c r="AN662" s="505"/>
      <c r="AO662" s="505"/>
      <c r="AP662" s="505"/>
      <c r="AQ662" s="505"/>
      <c r="AR662" s="505"/>
      <c r="AS662" s="505"/>
      <c r="AT662" s="505"/>
      <c r="AU662" s="505"/>
      <c r="AV662" s="505"/>
      <c r="AW662" s="505"/>
      <c r="AX662" s="505"/>
      <c r="AY662" s="505"/>
      <c r="AZ662" s="505"/>
      <c r="BA662" s="505"/>
      <c r="BB662" s="505"/>
      <c r="BC662" s="505"/>
      <c r="BD662" s="505"/>
      <c r="BE662" s="505"/>
      <c r="BF662" s="505"/>
      <c r="BG662" s="505"/>
      <c r="BH662" s="505"/>
      <c r="BI662" s="505"/>
      <c r="BJ662" s="505"/>
      <c r="BK662" s="505"/>
      <c r="BL662" s="505"/>
      <c r="BM662" s="505"/>
      <c r="BN662" s="505"/>
      <c r="BO662" s="505"/>
      <c r="BP662" s="505"/>
      <c r="BQ662" s="505"/>
      <c r="BR662" s="505"/>
      <c r="BS662" s="505"/>
      <c r="BT662" s="505"/>
      <c r="BU662" s="505"/>
      <c r="BV662" s="505"/>
      <c r="BW662" s="505"/>
      <c r="BX662" s="505"/>
      <c r="BY662" s="505"/>
      <c r="BZ662" s="505"/>
      <c r="CA662" s="505"/>
      <c r="CB662" s="505"/>
      <c r="CC662" s="505"/>
      <c r="CD662" s="505"/>
      <c r="CE662" s="505"/>
      <c r="CF662" s="505"/>
      <c r="CG662" s="505"/>
      <c r="CH662" s="505"/>
      <c r="CI662" s="505"/>
      <c r="CJ662" s="505"/>
      <c r="CK662" s="505"/>
      <c r="CL662" s="505"/>
      <c r="CM662" s="505"/>
      <c r="CN662" s="505"/>
      <c r="CO662" s="505"/>
      <c r="CP662" s="505"/>
      <c r="CQ662" s="505"/>
      <c r="CR662" s="505"/>
      <c r="CS662" s="505"/>
      <c r="CT662" s="505"/>
      <c r="CU662" s="505"/>
      <c r="CV662" s="505"/>
      <c r="CW662" s="505"/>
      <c r="CX662" s="505"/>
      <c r="CY662" s="505"/>
      <c r="CZ662" s="505"/>
      <c r="DA662" s="505"/>
      <c r="DB662" s="505"/>
      <c r="DC662" s="505"/>
      <c r="DD662" s="505"/>
      <c r="DE662" s="505"/>
      <c r="DF662" s="505"/>
      <c r="DG662" s="505"/>
      <c r="DH662" s="505"/>
      <c r="DI662" s="505"/>
      <c r="DJ662" s="505"/>
      <c r="DK662" s="505"/>
      <c r="DL662" s="505"/>
      <c r="DM662" s="505"/>
      <c r="DN662" s="505"/>
      <c r="DO662" s="505"/>
      <c r="DP662" s="505"/>
    </row>
    <row r="663" spans="1:120" x14ac:dyDescent="0.2">
      <c r="A663" s="517">
        <f t="shared" si="93"/>
        <v>41122</v>
      </c>
      <c r="B663" s="517" t="str">
        <f t="shared" si="90"/>
        <v>3Q12</v>
      </c>
      <c r="C663" s="517" t="str">
        <f t="shared" si="94"/>
        <v>4Q12</v>
      </c>
      <c r="D663" s="518">
        <f t="shared" si="95"/>
        <v>41194</v>
      </c>
      <c r="E663" s="518">
        <f t="shared" si="95"/>
        <v>41134</v>
      </c>
      <c r="F663" s="520">
        <v>3.9649999999999999</v>
      </c>
      <c r="G663" s="521">
        <f t="shared" si="91"/>
        <v>0.57000000000000028</v>
      </c>
      <c r="H663" s="521">
        <f t="shared" si="92"/>
        <v>0.58000000000000029</v>
      </c>
      <c r="I663" s="505"/>
      <c r="J663" s="505"/>
      <c r="K663" s="505"/>
      <c r="L663" s="505"/>
      <c r="M663" s="505"/>
      <c r="N663" s="505"/>
      <c r="O663" s="505"/>
      <c r="P663" s="505"/>
      <c r="Q663" s="505"/>
      <c r="R663" s="505"/>
      <c r="S663" s="505"/>
      <c r="T663" s="505"/>
      <c r="U663" s="505"/>
      <c r="V663" s="505"/>
      <c r="W663" s="505"/>
      <c r="X663" s="505"/>
      <c r="Y663" s="505"/>
      <c r="Z663" s="505"/>
      <c r="AA663" s="505"/>
      <c r="AB663" s="505"/>
      <c r="AC663" s="505"/>
      <c r="AD663" s="505"/>
      <c r="AE663" s="505"/>
      <c r="AF663" s="505"/>
      <c r="AG663" s="505"/>
      <c r="AH663" s="505"/>
      <c r="AI663" s="505"/>
      <c r="AJ663" s="505"/>
      <c r="AK663" s="505"/>
      <c r="AL663" s="505"/>
      <c r="AM663" s="505"/>
      <c r="AN663" s="505"/>
      <c r="AO663" s="505"/>
      <c r="AP663" s="505"/>
      <c r="AQ663" s="505"/>
      <c r="AR663" s="505"/>
      <c r="AS663" s="505"/>
      <c r="AT663" s="505"/>
      <c r="AU663" s="505"/>
      <c r="AV663" s="505"/>
      <c r="AW663" s="505"/>
      <c r="AX663" s="505"/>
      <c r="AY663" s="505"/>
      <c r="AZ663" s="505"/>
      <c r="BA663" s="505"/>
      <c r="BB663" s="505"/>
      <c r="BC663" s="505"/>
      <c r="BD663" s="505"/>
      <c r="BE663" s="505"/>
      <c r="BF663" s="505"/>
      <c r="BG663" s="505"/>
      <c r="BH663" s="505"/>
      <c r="BI663" s="505"/>
      <c r="BJ663" s="505"/>
      <c r="BK663" s="505"/>
      <c r="BL663" s="505"/>
      <c r="BM663" s="505"/>
      <c r="BN663" s="505"/>
      <c r="BO663" s="505"/>
      <c r="BP663" s="505"/>
      <c r="BQ663" s="505"/>
      <c r="BR663" s="505"/>
      <c r="BS663" s="505"/>
      <c r="BT663" s="505"/>
      <c r="BU663" s="505"/>
      <c r="BV663" s="505"/>
      <c r="BW663" s="505"/>
      <c r="BX663" s="505"/>
      <c r="BY663" s="505"/>
      <c r="BZ663" s="505"/>
      <c r="CA663" s="505"/>
      <c r="CB663" s="505"/>
      <c r="CC663" s="505"/>
      <c r="CD663" s="505"/>
      <c r="CE663" s="505"/>
      <c r="CF663" s="505"/>
      <c r="CG663" s="505"/>
      <c r="CH663" s="505"/>
      <c r="CI663" s="505"/>
      <c r="CJ663" s="505"/>
      <c r="CK663" s="505"/>
      <c r="CL663" s="505"/>
      <c r="CM663" s="505"/>
      <c r="CN663" s="505"/>
      <c r="CO663" s="505"/>
      <c r="CP663" s="505"/>
      <c r="CQ663" s="505"/>
      <c r="CR663" s="505"/>
      <c r="CS663" s="505"/>
      <c r="CT663" s="505"/>
      <c r="CU663" s="505"/>
      <c r="CV663" s="505"/>
      <c r="CW663" s="505"/>
      <c r="CX663" s="505"/>
      <c r="CY663" s="505"/>
      <c r="CZ663" s="505"/>
      <c r="DA663" s="505"/>
      <c r="DB663" s="505"/>
      <c r="DC663" s="505"/>
      <c r="DD663" s="505"/>
      <c r="DE663" s="505"/>
      <c r="DF663" s="505"/>
      <c r="DG663" s="505"/>
      <c r="DH663" s="505"/>
      <c r="DI663" s="505"/>
      <c r="DJ663" s="505"/>
      <c r="DK663" s="505"/>
      <c r="DL663" s="505"/>
      <c r="DM663" s="505"/>
      <c r="DN663" s="505"/>
      <c r="DO663" s="505"/>
      <c r="DP663" s="505"/>
    </row>
    <row r="664" spans="1:120" x14ac:dyDescent="0.2">
      <c r="A664" s="517">
        <f t="shared" si="93"/>
        <v>41122</v>
      </c>
      <c r="B664" s="517" t="str">
        <f t="shared" si="90"/>
        <v>3Q12</v>
      </c>
      <c r="C664" s="517" t="str">
        <f t="shared" si="94"/>
        <v>4Q12</v>
      </c>
      <c r="D664" s="518">
        <f t="shared" si="95"/>
        <v>41201</v>
      </c>
      <c r="E664" s="518">
        <f t="shared" si="95"/>
        <v>41141</v>
      </c>
      <c r="F664" s="520">
        <v>4.0259999999999998</v>
      </c>
      <c r="G664" s="521">
        <f t="shared" si="91"/>
        <v>0.58000000000000029</v>
      </c>
      <c r="H664" s="521">
        <f t="shared" si="92"/>
        <v>0.5900000000000003</v>
      </c>
      <c r="I664" s="505"/>
      <c r="J664" s="505"/>
      <c r="K664" s="505"/>
      <c r="L664" s="505"/>
      <c r="M664" s="505"/>
      <c r="N664" s="505"/>
      <c r="O664" s="505"/>
      <c r="P664" s="505"/>
      <c r="Q664" s="505"/>
      <c r="R664" s="505"/>
      <c r="S664" s="505"/>
      <c r="T664" s="505"/>
      <c r="U664" s="505"/>
      <c r="V664" s="505"/>
      <c r="W664" s="505"/>
      <c r="X664" s="505"/>
      <c r="Y664" s="505"/>
      <c r="Z664" s="505"/>
      <c r="AA664" s="505"/>
      <c r="AB664" s="505"/>
      <c r="AC664" s="505"/>
      <c r="AD664" s="505"/>
      <c r="AE664" s="505"/>
      <c r="AF664" s="505"/>
      <c r="AG664" s="505"/>
      <c r="AH664" s="505"/>
      <c r="AI664" s="505"/>
      <c r="AJ664" s="505"/>
      <c r="AK664" s="505"/>
      <c r="AL664" s="505"/>
      <c r="AM664" s="505"/>
      <c r="AN664" s="505"/>
      <c r="AO664" s="505"/>
      <c r="AP664" s="505"/>
      <c r="AQ664" s="505"/>
      <c r="AR664" s="505"/>
      <c r="AS664" s="505"/>
      <c r="AT664" s="505"/>
      <c r="AU664" s="505"/>
      <c r="AV664" s="505"/>
      <c r="AW664" s="505"/>
      <c r="AX664" s="505"/>
      <c r="AY664" s="505"/>
      <c r="AZ664" s="505"/>
      <c r="BA664" s="505"/>
      <c r="BB664" s="505"/>
      <c r="BC664" s="505"/>
      <c r="BD664" s="505"/>
      <c r="BE664" s="505"/>
      <c r="BF664" s="505"/>
      <c r="BG664" s="505"/>
      <c r="BH664" s="505"/>
      <c r="BI664" s="505"/>
      <c r="BJ664" s="505"/>
      <c r="BK664" s="505"/>
      <c r="BL664" s="505"/>
      <c r="BM664" s="505"/>
      <c r="BN664" s="505"/>
      <c r="BO664" s="505"/>
      <c r="BP664" s="505"/>
      <c r="BQ664" s="505"/>
      <c r="BR664" s="505"/>
      <c r="BS664" s="505"/>
      <c r="BT664" s="505"/>
      <c r="BU664" s="505"/>
      <c r="BV664" s="505"/>
      <c r="BW664" s="505"/>
      <c r="BX664" s="505"/>
      <c r="BY664" s="505"/>
      <c r="BZ664" s="505"/>
      <c r="CA664" s="505"/>
      <c r="CB664" s="505"/>
      <c r="CC664" s="505"/>
      <c r="CD664" s="505"/>
      <c r="CE664" s="505"/>
      <c r="CF664" s="505"/>
      <c r="CG664" s="505"/>
      <c r="CH664" s="505"/>
      <c r="CI664" s="505"/>
      <c r="CJ664" s="505"/>
      <c r="CK664" s="505"/>
      <c r="CL664" s="505"/>
      <c r="CM664" s="505"/>
      <c r="CN664" s="505"/>
      <c r="CO664" s="505"/>
      <c r="CP664" s="505"/>
      <c r="CQ664" s="505"/>
      <c r="CR664" s="505"/>
      <c r="CS664" s="505"/>
      <c r="CT664" s="505"/>
      <c r="CU664" s="505"/>
      <c r="CV664" s="505"/>
      <c r="CW664" s="505"/>
      <c r="CX664" s="505"/>
      <c r="CY664" s="505"/>
      <c r="CZ664" s="505"/>
      <c r="DA664" s="505"/>
      <c r="DB664" s="505"/>
      <c r="DC664" s="505"/>
      <c r="DD664" s="505"/>
      <c r="DE664" s="505"/>
      <c r="DF664" s="505"/>
      <c r="DG664" s="505"/>
      <c r="DH664" s="505"/>
      <c r="DI664" s="505"/>
      <c r="DJ664" s="505"/>
      <c r="DK664" s="505"/>
      <c r="DL664" s="505"/>
      <c r="DM664" s="505"/>
      <c r="DN664" s="505"/>
      <c r="DO664" s="505"/>
      <c r="DP664" s="505"/>
    </row>
    <row r="665" spans="1:120" x14ac:dyDescent="0.2">
      <c r="A665" s="517">
        <f t="shared" si="93"/>
        <v>41122</v>
      </c>
      <c r="B665" s="517" t="str">
        <f t="shared" si="90"/>
        <v>3Q12</v>
      </c>
      <c r="C665" s="517" t="str">
        <f t="shared" si="94"/>
        <v>4Q12</v>
      </c>
      <c r="D665" s="518">
        <f t="shared" si="95"/>
        <v>41208</v>
      </c>
      <c r="E665" s="518">
        <f t="shared" si="95"/>
        <v>41148</v>
      </c>
      <c r="F665" s="520">
        <v>4.0890000000000004</v>
      </c>
      <c r="G665" s="521">
        <f t="shared" si="91"/>
        <v>0.5900000000000003</v>
      </c>
      <c r="H665" s="521">
        <f t="shared" si="92"/>
        <v>0.60000000000000031</v>
      </c>
      <c r="I665" s="505"/>
      <c r="J665" s="505"/>
      <c r="K665" s="505"/>
      <c r="L665" s="505"/>
      <c r="M665" s="505"/>
      <c r="N665" s="505"/>
      <c r="O665" s="505"/>
      <c r="P665" s="505"/>
      <c r="Q665" s="505"/>
      <c r="R665" s="505"/>
      <c r="S665" s="505"/>
      <c r="T665" s="505"/>
      <c r="U665" s="505"/>
      <c r="V665" s="505"/>
      <c r="W665" s="505"/>
      <c r="X665" s="505"/>
      <c r="Y665" s="505"/>
      <c r="Z665" s="505"/>
      <c r="AA665" s="505"/>
      <c r="AB665" s="505"/>
      <c r="AC665" s="505"/>
      <c r="AD665" s="505"/>
      <c r="AE665" s="505"/>
      <c r="AF665" s="505"/>
      <c r="AG665" s="505"/>
      <c r="AH665" s="505"/>
      <c r="AI665" s="505"/>
      <c r="AJ665" s="505"/>
      <c r="AK665" s="505"/>
      <c r="AL665" s="505"/>
      <c r="AM665" s="505"/>
      <c r="AN665" s="505"/>
      <c r="AO665" s="505"/>
      <c r="AP665" s="505"/>
      <c r="AQ665" s="505"/>
      <c r="AR665" s="505"/>
      <c r="AS665" s="505"/>
      <c r="AT665" s="505"/>
      <c r="AU665" s="505"/>
      <c r="AV665" s="505"/>
      <c r="AW665" s="505"/>
      <c r="AX665" s="505"/>
      <c r="AY665" s="505"/>
      <c r="AZ665" s="505"/>
      <c r="BA665" s="505"/>
      <c r="BB665" s="505"/>
      <c r="BC665" s="505"/>
      <c r="BD665" s="505"/>
      <c r="BE665" s="505"/>
      <c r="BF665" s="505"/>
      <c r="BG665" s="505"/>
      <c r="BH665" s="505"/>
      <c r="BI665" s="505"/>
      <c r="BJ665" s="505"/>
      <c r="BK665" s="505"/>
      <c r="BL665" s="505"/>
      <c r="BM665" s="505"/>
      <c r="BN665" s="505"/>
      <c r="BO665" s="505"/>
      <c r="BP665" s="505"/>
      <c r="BQ665" s="505"/>
      <c r="BR665" s="505"/>
      <c r="BS665" s="505"/>
      <c r="BT665" s="505"/>
      <c r="BU665" s="505"/>
      <c r="BV665" s="505"/>
      <c r="BW665" s="505"/>
      <c r="BX665" s="505"/>
      <c r="BY665" s="505"/>
      <c r="BZ665" s="505"/>
      <c r="CA665" s="505"/>
      <c r="CB665" s="505"/>
      <c r="CC665" s="505"/>
      <c r="CD665" s="505"/>
      <c r="CE665" s="505"/>
      <c r="CF665" s="505"/>
      <c r="CG665" s="505"/>
      <c r="CH665" s="505"/>
      <c r="CI665" s="505"/>
      <c r="CJ665" s="505"/>
      <c r="CK665" s="505"/>
      <c r="CL665" s="505"/>
      <c r="CM665" s="505"/>
      <c r="CN665" s="505"/>
      <c r="CO665" s="505"/>
      <c r="CP665" s="505"/>
      <c r="CQ665" s="505"/>
      <c r="CR665" s="505"/>
      <c r="CS665" s="505"/>
      <c r="CT665" s="505"/>
      <c r="CU665" s="505"/>
      <c r="CV665" s="505"/>
      <c r="CW665" s="505"/>
      <c r="CX665" s="505"/>
      <c r="CY665" s="505"/>
      <c r="CZ665" s="505"/>
      <c r="DA665" s="505"/>
      <c r="DB665" s="505"/>
      <c r="DC665" s="505"/>
      <c r="DD665" s="505"/>
      <c r="DE665" s="505"/>
      <c r="DF665" s="505"/>
      <c r="DG665" s="505"/>
      <c r="DH665" s="505"/>
      <c r="DI665" s="505"/>
      <c r="DJ665" s="505"/>
      <c r="DK665" s="505"/>
      <c r="DL665" s="505"/>
      <c r="DM665" s="505"/>
      <c r="DN665" s="505"/>
      <c r="DO665" s="505"/>
      <c r="DP665" s="505"/>
    </row>
    <row r="666" spans="1:120" x14ac:dyDescent="0.2">
      <c r="A666" s="517">
        <f t="shared" si="93"/>
        <v>41153</v>
      </c>
      <c r="B666" s="517" t="str">
        <f t="shared" si="90"/>
        <v>3Q12</v>
      </c>
      <c r="C666" s="517" t="str">
        <f t="shared" si="94"/>
        <v>4Q12</v>
      </c>
      <c r="D666" s="518">
        <f t="shared" si="95"/>
        <v>41215</v>
      </c>
      <c r="E666" s="518">
        <f t="shared" si="95"/>
        <v>41155</v>
      </c>
      <c r="F666" s="520">
        <v>4.1269999999999998</v>
      </c>
      <c r="G666" s="521">
        <f t="shared" si="91"/>
        <v>0.60000000000000031</v>
      </c>
      <c r="H666" s="521">
        <f t="shared" si="92"/>
        <v>0.60000000000000031</v>
      </c>
      <c r="I666" s="505"/>
      <c r="J666" s="505"/>
      <c r="K666" s="505"/>
      <c r="L666" s="505"/>
      <c r="M666" s="505"/>
      <c r="N666" s="505"/>
      <c r="O666" s="505"/>
      <c r="P666" s="505"/>
      <c r="Q666" s="505"/>
      <c r="R666" s="505"/>
      <c r="S666" s="505"/>
      <c r="T666" s="505"/>
      <c r="U666" s="505"/>
      <c r="V666" s="505"/>
      <c r="W666" s="505"/>
      <c r="X666" s="505"/>
      <c r="Y666" s="505"/>
      <c r="Z666" s="505"/>
      <c r="AA666" s="505"/>
      <c r="AB666" s="505"/>
      <c r="AC666" s="505"/>
      <c r="AD666" s="505"/>
      <c r="AE666" s="505"/>
      <c r="AF666" s="505"/>
      <c r="AG666" s="505"/>
      <c r="AH666" s="505"/>
      <c r="AI666" s="505"/>
      <c r="AJ666" s="505"/>
      <c r="AK666" s="505"/>
      <c r="AL666" s="505"/>
      <c r="AM666" s="505"/>
      <c r="AN666" s="505"/>
      <c r="AO666" s="505"/>
      <c r="AP666" s="505"/>
      <c r="AQ666" s="505"/>
      <c r="AR666" s="505"/>
      <c r="AS666" s="505"/>
      <c r="AT666" s="505"/>
      <c r="AU666" s="505"/>
      <c r="AV666" s="505"/>
      <c r="AW666" s="505"/>
      <c r="AX666" s="505"/>
      <c r="AY666" s="505"/>
      <c r="AZ666" s="505"/>
      <c r="BA666" s="505"/>
      <c r="BB666" s="505"/>
      <c r="BC666" s="505"/>
      <c r="BD666" s="505"/>
      <c r="BE666" s="505"/>
      <c r="BF666" s="505"/>
      <c r="BG666" s="505"/>
      <c r="BH666" s="505"/>
      <c r="BI666" s="505"/>
      <c r="BJ666" s="505"/>
      <c r="BK666" s="505"/>
      <c r="BL666" s="505"/>
      <c r="BM666" s="505"/>
      <c r="BN666" s="505"/>
      <c r="BO666" s="505"/>
      <c r="BP666" s="505"/>
      <c r="BQ666" s="505"/>
      <c r="BR666" s="505"/>
      <c r="BS666" s="505"/>
      <c r="BT666" s="505"/>
      <c r="BU666" s="505"/>
      <c r="BV666" s="505"/>
      <c r="BW666" s="505"/>
      <c r="BX666" s="505"/>
      <c r="BY666" s="505"/>
      <c r="BZ666" s="505"/>
      <c r="CA666" s="505"/>
      <c r="CB666" s="505"/>
      <c r="CC666" s="505"/>
      <c r="CD666" s="505"/>
      <c r="CE666" s="505"/>
      <c r="CF666" s="505"/>
      <c r="CG666" s="505"/>
      <c r="CH666" s="505"/>
      <c r="CI666" s="505"/>
      <c r="CJ666" s="505"/>
      <c r="CK666" s="505"/>
      <c r="CL666" s="505"/>
      <c r="CM666" s="505"/>
      <c r="CN666" s="505"/>
      <c r="CO666" s="505"/>
      <c r="CP666" s="505"/>
      <c r="CQ666" s="505"/>
      <c r="CR666" s="505"/>
      <c r="CS666" s="505"/>
      <c r="CT666" s="505"/>
      <c r="CU666" s="505"/>
      <c r="CV666" s="505"/>
      <c r="CW666" s="505"/>
      <c r="CX666" s="505"/>
      <c r="CY666" s="505"/>
      <c r="CZ666" s="505"/>
      <c r="DA666" s="505"/>
      <c r="DB666" s="505"/>
      <c r="DC666" s="505"/>
      <c r="DD666" s="505"/>
      <c r="DE666" s="505"/>
      <c r="DF666" s="505"/>
      <c r="DG666" s="505"/>
      <c r="DH666" s="505"/>
      <c r="DI666" s="505"/>
      <c r="DJ666" s="505"/>
      <c r="DK666" s="505"/>
      <c r="DL666" s="505"/>
      <c r="DM666" s="505"/>
      <c r="DN666" s="505"/>
      <c r="DO666" s="505"/>
      <c r="DP666" s="505"/>
    </row>
    <row r="667" spans="1:120" x14ac:dyDescent="0.2">
      <c r="A667" s="517">
        <f t="shared" si="93"/>
        <v>41153</v>
      </c>
      <c r="B667" s="517" t="str">
        <f t="shared" si="90"/>
        <v>3Q12</v>
      </c>
      <c r="C667" s="517" t="str">
        <f t="shared" si="94"/>
        <v>4Q12</v>
      </c>
      <c r="D667" s="518">
        <f t="shared" si="95"/>
        <v>41222</v>
      </c>
      <c r="E667" s="518">
        <f t="shared" si="95"/>
        <v>41162</v>
      </c>
      <c r="F667" s="520">
        <v>4.1319999999999997</v>
      </c>
      <c r="G667" s="521">
        <f t="shared" si="91"/>
        <v>0.60000000000000031</v>
      </c>
      <c r="H667" s="521">
        <f t="shared" si="92"/>
        <v>0.60000000000000031</v>
      </c>
      <c r="I667" s="505"/>
      <c r="J667" s="505"/>
      <c r="K667" s="505"/>
      <c r="L667" s="505"/>
      <c r="M667" s="505"/>
      <c r="N667" s="505"/>
      <c r="O667" s="505"/>
      <c r="P667" s="505"/>
      <c r="Q667" s="505"/>
      <c r="R667" s="505"/>
      <c r="S667" s="505"/>
      <c r="T667" s="505"/>
      <c r="U667" s="505"/>
      <c r="V667" s="505"/>
      <c r="W667" s="505"/>
      <c r="X667" s="505"/>
      <c r="Y667" s="505"/>
      <c r="Z667" s="505"/>
      <c r="AA667" s="505"/>
      <c r="AB667" s="505"/>
      <c r="AC667" s="505"/>
      <c r="AD667" s="505"/>
      <c r="AE667" s="505"/>
      <c r="AF667" s="505"/>
      <c r="AG667" s="505"/>
      <c r="AH667" s="505"/>
      <c r="AI667" s="505"/>
      <c r="AJ667" s="505"/>
      <c r="AK667" s="505"/>
      <c r="AL667" s="505"/>
      <c r="AM667" s="505"/>
      <c r="AN667" s="505"/>
      <c r="AO667" s="505"/>
      <c r="AP667" s="505"/>
      <c r="AQ667" s="505"/>
      <c r="AR667" s="505"/>
      <c r="AS667" s="505"/>
      <c r="AT667" s="505"/>
      <c r="AU667" s="505"/>
      <c r="AV667" s="505"/>
      <c r="AW667" s="505"/>
      <c r="AX667" s="505"/>
      <c r="AY667" s="505"/>
      <c r="AZ667" s="505"/>
      <c r="BA667" s="505"/>
      <c r="BB667" s="505"/>
      <c r="BC667" s="505"/>
      <c r="BD667" s="505"/>
      <c r="BE667" s="505"/>
      <c r="BF667" s="505"/>
      <c r="BG667" s="505"/>
      <c r="BH667" s="505"/>
      <c r="BI667" s="505"/>
      <c r="BJ667" s="505"/>
      <c r="BK667" s="505"/>
      <c r="BL667" s="505"/>
      <c r="BM667" s="505"/>
      <c r="BN667" s="505"/>
      <c r="BO667" s="505"/>
      <c r="BP667" s="505"/>
      <c r="BQ667" s="505"/>
      <c r="BR667" s="505"/>
      <c r="BS667" s="505"/>
      <c r="BT667" s="505"/>
      <c r="BU667" s="505"/>
      <c r="BV667" s="505"/>
      <c r="BW667" s="505"/>
      <c r="BX667" s="505"/>
      <c r="BY667" s="505"/>
      <c r="BZ667" s="505"/>
      <c r="CA667" s="505"/>
      <c r="CB667" s="505"/>
      <c r="CC667" s="505"/>
      <c r="CD667" s="505"/>
      <c r="CE667" s="505"/>
      <c r="CF667" s="505"/>
      <c r="CG667" s="505"/>
      <c r="CH667" s="505"/>
      <c r="CI667" s="505"/>
      <c r="CJ667" s="505"/>
      <c r="CK667" s="505"/>
      <c r="CL667" s="505"/>
      <c r="CM667" s="505"/>
      <c r="CN667" s="505"/>
      <c r="CO667" s="505"/>
      <c r="CP667" s="505"/>
      <c r="CQ667" s="505"/>
      <c r="CR667" s="505"/>
      <c r="CS667" s="505"/>
      <c r="CT667" s="505"/>
      <c r="CU667" s="505"/>
      <c r="CV667" s="505"/>
      <c r="CW667" s="505"/>
      <c r="CX667" s="505"/>
      <c r="CY667" s="505"/>
      <c r="CZ667" s="505"/>
      <c r="DA667" s="505"/>
      <c r="DB667" s="505"/>
      <c r="DC667" s="505"/>
      <c r="DD667" s="505"/>
      <c r="DE667" s="505"/>
      <c r="DF667" s="505"/>
      <c r="DG667" s="505"/>
      <c r="DH667" s="505"/>
      <c r="DI667" s="505"/>
      <c r="DJ667" s="505"/>
      <c r="DK667" s="505"/>
      <c r="DL667" s="505"/>
      <c r="DM667" s="505"/>
      <c r="DN667" s="505"/>
      <c r="DO667" s="505"/>
      <c r="DP667" s="505"/>
    </row>
    <row r="668" spans="1:120" x14ac:dyDescent="0.2">
      <c r="A668" s="517">
        <f t="shared" si="93"/>
        <v>41153</v>
      </c>
      <c r="B668" s="517" t="str">
        <f t="shared" si="90"/>
        <v>3Q12</v>
      </c>
      <c r="C668" s="517" t="str">
        <f t="shared" si="94"/>
        <v>4Q12</v>
      </c>
      <c r="D668" s="518">
        <f t="shared" si="95"/>
        <v>41229</v>
      </c>
      <c r="E668" s="518">
        <f t="shared" si="95"/>
        <v>41169</v>
      </c>
      <c r="F668" s="520">
        <v>4.1349999999999998</v>
      </c>
      <c r="G668" s="521">
        <f t="shared" si="91"/>
        <v>0.60000000000000031</v>
      </c>
      <c r="H668" s="521">
        <f t="shared" si="92"/>
        <v>0.5900000000000003</v>
      </c>
      <c r="I668" s="505"/>
      <c r="J668" s="505"/>
      <c r="K668" s="505"/>
      <c r="L668" s="505"/>
      <c r="M668" s="505"/>
      <c r="N668" s="505"/>
      <c r="O668" s="505"/>
      <c r="P668" s="505"/>
      <c r="Q668" s="505"/>
      <c r="R668" s="505"/>
      <c r="S668" s="505"/>
      <c r="T668" s="505"/>
      <c r="U668" s="505"/>
      <c r="V668" s="505"/>
      <c r="W668" s="505"/>
      <c r="X668" s="505"/>
      <c r="Y668" s="505"/>
      <c r="Z668" s="505"/>
      <c r="AA668" s="505"/>
      <c r="AB668" s="505"/>
      <c r="AC668" s="505"/>
      <c r="AD668" s="505"/>
      <c r="AE668" s="505"/>
      <c r="AF668" s="505"/>
      <c r="AG668" s="505"/>
      <c r="AH668" s="505"/>
      <c r="AI668" s="505"/>
      <c r="AJ668" s="505"/>
      <c r="AK668" s="505"/>
      <c r="AL668" s="505"/>
      <c r="AM668" s="505"/>
      <c r="AN668" s="505"/>
      <c r="AO668" s="505"/>
      <c r="AP668" s="505"/>
      <c r="AQ668" s="505"/>
      <c r="AR668" s="505"/>
      <c r="AS668" s="505"/>
      <c r="AT668" s="505"/>
      <c r="AU668" s="505"/>
      <c r="AV668" s="505"/>
      <c r="AW668" s="505"/>
      <c r="AX668" s="505"/>
      <c r="AY668" s="505"/>
      <c r="AZ668" s="505"/>
      <c r="BA668" s="505"/>
      <c r="BB668" s="505"/>
      <c r="BC668" s="505"/>
      <c r="BD668" s="505"/>
      <c r="BE668" s="505"/>
      <c r="BF668" s="505"/>
      <c r="BG668" s="505"/>
      <c r="BH668" s="505"/>
      <c r="BI668" s="505"/>
      <c r="BJ668" s="505"/>
      <c r="BK668" s="505"/>
      <c r="BL668" s="505"/>
      <c r="BM668" s="505"/>
      <c r="BN668" s="505"/>
      <c r="BO668" s="505"/>
      <c r="BP668" s="505"/>
      <c r="BQ668" s="505"/>
      <c r="BR668" s="505"/>
      <c r="BS668" s="505"/>
      <c r="BT668" s="505"/>
      <c r="BU668" s="505"/>
      <c r="BV668" s="505"/>
      <c r="BW668" s="505"/>
      <c r="BX668" s="505"/>
      <c r="BY668" s="505"/>
      <c r="BZ668" s="505"/>
      <c r="CA668" s="505"/>
      <c r="CB668" s="505"/>
      <c r="CC668" s="505"/>
      <c r="CD668" s="505"/>
      <c r="CE668" s="505"/>
      <c r="CF668" s="505"/>
      <c r="CG668" s="505"/>
      <c r="CH668" s="505"/>
      <c r="CI668" s="505"/>
      <c r="CJ668" s="505"/>
      <c r="CK668" s="505"/>
      <c r="CL668" s="505"/>
      <c r="CM668" s="505"/>
      <c r="CN668" s="505"/>
      <c r="CO668" s="505"/>
      <c r="CP668" s="505"/>
      <c r="CQ668" s="505"/>
      <c r="CR668" s="505"/>
      <c r="CS668" s="505"/>
      <c r="CT668" s="505"/>
      <c r="CU668" s="505"/>
      <c r="CV668" s="505"/>
      <c r="CW668" s="505"/>
      <c r="CX668" s="505"/>
      <c r="CY668" s="505"/>
      <c r="CZ668" s="505"/>
      <c r="DA668" s="505"/>
      <c r="DB668" s="505"/>
      <c r="DC668" s="505"/>
      <c r="DD668" s="505"/>
      <c r="DE668" s="505"/>
      <c r="DF668" s="505"/>
      <c r="DG668" s="505"/>
      <c r="DH668" s="505"/>
      <c r="DI668" s="505"/>
      <c r="DJ668" s="505"/>
      <c r="DK668" s="505"/>
      <c r="DL668" s="505"/>
      <c r="DM668" s="505"/>
      <c r="DN668" s="505"/>
      <c r="DO668" s="505"/>
      <c r="DP668" s="505"/>
    </row>
    <row r="669" spans="1:120" x14ac:dyDescent="0.2">
      <c r="A669" s="517">
        <f t="shared" si="93"/>
        <v>41153</v>
      </c>
      <c r="B669" s="517" t="str">
        <f t="shared" si="90"/>
        <v>3Q12</v>
      </c>
      <c r="C669" s="517" t="str">
        <f t="shared" si="94"/>
        <v>4Q12</v>
      </c>
      <c r="D669" s="518">
        <f t="shared" si="95"/>
        <v>41236</v>
      </c>
      <c r="E669" s="518">
        <f t="shared" si="95"/>
        <v>41176</v>
      </c>
      <c r="F669" s="520">
        <v>4.0860000000000003</v>
      </c>
      <c r="G669" s="521">
        <f t="shared" si="91"/>
        <v>0.5900000000000003</v>
      </c>
      <c r="H669" s="521">
        <f t="shared" si="92"/>
        <v>0.5900000000000003</v>
      </c>
      <c r="I669" s="505"/>
      <c r="J669" s="505"/>
      <c r="K669" s="505"/>
      <c r="L669" s="505"/>
      <c r="M669" s="505"/>
      <c r="N669" s="505"/>
      <c r="O669" s="505"/>
      <c r="P669" s="505"/>
      <c r="Q669" s="505"/>
      <c r="R669" s="505"/>
      <c r="S669" s="505"/>
      <c r="T669" s="505"/>
      <c r="U669" s="505"/>
      <c r="V669" s="505"/>
      <c r="W669" s="505"/>
      <c r="X669" s="505"/>
      <c r="Y669" s="505"/>
      <c r="Z669" s="505"/>
      <c r="AA669" s="505"/>
      <c r="AB669" s="505"/>
      <c r="AC669" s="505"/>
      <c r="AD669" s="505"/>
      <c r="AE669" s="505"/>
      <c r="AF669" s="505"/>
      <c r="AG669" s="505"/>
      <c r="AH669" s="505"/>
      <c r="AI669" s="505"/>
      <c r="AJ669" s="505"/>
      <c r="AK669" s="505"/>
      <c r="AL669" s="505"/>
      <c r="AM669" s="505"/>
      <c r="AN669" s="505"/>
      <c r="AO669" s="505"/>
      <c r="AP669" s="505"/>
      <c r="AQ669" s="505"/>
      <c r="AR669" s="505"/>
      <c r="AS669" s="505"/>
      <c r="AT669" s="505"/>
      <c r="AU669" s="505"/>
      <c r="AV669" s="505"/>
      <c r="AW669" s="505"/>
      <c r="AX669" s="505"/>
      <c r="AY669" s="505"/>
      <c r="AZ669" s="505"/>
      <c r="BA669" s="505"/>
      <c r="BB669" s="505"/>
      <c r="BC669" s="505"/>
      <c r="BD669" s="505"/>
      <c r="BE669" s="505"/>
      <c r="BF669" s="505"/>
      <c r="BG669" s="505"/>
      <c r="BH669" s="505"/>
      <c r="BI669" s="505"/>
      <c r="BJ669" s="505"/>
      <c r="BK669" s="505"/>
      <c r="BL669" s="505"/>
      <c r="BM669" s="505"/>
      <c r="BN669" s="505"/>
      <c r="BO669" s="505"/>
      <c r="BP669" s="505"/>
      <c r="BQ669" s="505"/>
      <c r="BR669" s="505"/>
      <c r="BS669" s="505"/>
      <c r="BT669" s="505"/>
      <c r="BU669" s="505"/>
      <c r="BV669" s="505"/>
      <c r="BW669" s="505"/>
      <c r="BX669" s="505"/>
      <c r="BY669" s="505"/>
      <c r="BZ669" s="505"/>
      <c r="CA669" s="505"/>
      <c r="CB669" s="505"/>
      <c r="CC669" s="505"/>
      <c r="CD669" s="505"/>
      <c r="CE669" s="505"/>
      <c r="CF669" s="505"/>
      <c r="CG669" s="505"/>
      <c r="CH669" s="505"/>
      <c r="CI669" s="505"/>
      <c r="CJ669" s="505"/>
      <c r="CK669" s="505"/>
      <c r="CL669" s="505"/>
      <c r="CM669" s="505"/>
      <c r="CN669" s="505"/>
      <c r="CO669" s="505"/>
      <c r="CP669" s="505"/>
      <c r="CQ669" s="505"/>
      <c r="CR669" s="505"/>
      <c r="CS669" s="505"/>
      <c r="CT669" s="505"/>
      <c r="CU669" s="505"/>
      <c r="CV669" s="505"/>
      <c r="CW669" s="505"/>
      <c r="CX669" s="505"/>
      <c r="CY669" s="505"/>
      <c r="CZ669" s="505"/>
      <c r="DA669" s="505"/>
      <c r="DB669" s="505"/>
      <c r="DC669" s="505"/>
      <c r="DD669" s="505"/>
      <c r="DE669" s="505"/>
      <c r="DF669" s="505"/>
      <c r="DG669" s="505"/>
      <c r="DH669" s="505"/>
      <c r="DI669" s="505"/>
      <c r="DJ669" s="505"/>
      <c r="DK669" s="505"/>
      <c r="DL669" s="505"/>
      <c r="DM669" s="505"/>
      <c r="DN669" s="505"/>
      <c r="DO669" s="505"/>
      <c r="DP669" s="505"/>
    </row>
    <row r="670" spans="1:120" x14ac:dyDescent="0.2">
      <c r="A670" s="517">
        <f t="shared" si="93"/>
        <v>41183</v>
      </c>
      <c r="B670" s="517" t="str">
        <f t="shared" si="90"/>
        <v>4Q12</v>
      </c>
      <c r="C670" s="517" t="str">
        <f t="shared" si="94"/>
        <v>4Q12</v>
      </c>
      <c r="D670" s="518">
        <f t="shared" si="95"/>
        <v>41243</v>
      </c>
      <c r="E670" s="518">
        <f t="shared" si="95"/>
        <v>41183</v>
      </c>
      <c r="F670" s="520">
        <v>4.0789999999999997</v>
      </c>
      <c r="G670" s="521">
        <f t="shared" si="91"/>
        <v>0.5900000000000003</v>
      </c>
      <c r="H670" s="521">
        <f t="shared" si="92"/>
        <v>0.5900000000000003</v>
      </c>
      <c r="I670" s="505"/>
      <c r="J670" s="505"/>
      <c r="K670" s="505"/>
      <c r="L670" s="505"/>
      <c r="M670" s="505"/>
      <c r="N670" s="505"/>
      <c r="O670" s="505"/>
      <c r="P670" s="505"/>
      <c r="Q670" s="505"/>
      <c r="R670" s="505"/>
      <c r="S670" s="505"/>
      <c r="T670" s="505"/>
      <c r="U670" s="505"/>
      <c r="V670" s="505"/>
      <c r="W670" s="505"/>
      <c r="X670" s="505"/>
      <c r="Y670" s="505"/>
      <c r="Z670" s="505"/>
      <c r="AA670" s="505"/>
      <c r="AB670" s="505"/>
      <c r="AC670" s="505"/>
      <c r="AD670" s="505"/>
      <c r="AE670" s="505"/>
      <c r="AF670" s="505"/>
      <c r="AG670" s="505"/>
      <c r="AH670" s="505"/>
      <c r="AI670" s="505"/>
      <c r="AJ670" s="505"/>
      <c r="AK670" s="505"/>
      <c r="AL670" s="505"/>
      <c r="AM670" s="505"/>
      <c r="AN670" s="505"/>
      <c r="AO670" s="505"/>
      <c r="AP670" s="505"/>
      <c r="AQ670" s="505"/>
      <c r="AR670" s="505"/>
      <c r="AS670" s="505"/>
      <c r="AT670" s="505"/>
      <c r="AU670" s="505"/>
      <c r="AV670" s="505"/>
      <c r="AW670" s="505"/>
      <c r="AX670" s="505"/>
      <c r="AY670" s="505"/>
      <c r="AZ670" s="505"/>
      <c r="BA670" s="505"/>
      <c r="BB670" s="505"/>
      <c r="BC670" s="505"/>
      <c r="BD670" s="505"/>
      <c r="BE670" s="505"/>
      <c r="BF670" s="505"/>
      <c r="BG670" s="505"/>
      <c r="BH670" s="505"/>
      <c r="BI670" s="505"/>
      <c r="BJ670" s="505"/>
      <c r="BK670" s="505"/>
      <c r="BL670" s="505"/>
      <c r="BM670" s="505"/>
      <c r="BN670" s="505"/>
      <c r="BO670" s="505"/>
      <c r="BP670" s="505"/>
      <c r="BQ670" s="505"/>
      <c r="BR670" s="505"/>
      <c r="BS670" s="505"/>
      <c r="BT670" s="505"/>
      <c r="BU670" s="505"/>
      <c r="BV670" s="505"/>
      <c r="BW670" s="505"/>
      <c r="BX670" s="505"/>
      <c r="BY670" s="505"/>
      <c r="BZ670" s="505"/>
      <c r="CA670" s="505"/>
      <c r="CB670" s="505"/>
      <c r="CC670" s="505"/>
      <c r="CD670" s="505"/>
      <c r="CE670" s="505"/>
      <c r="CF670" s="505"/>
      <c r="CG670" s="505"/>
      <c r="CH670" s="505"/>
      <c r="CI670" s="505"/>
      <c r="CJ670" s="505"/>
      <c r="CK670" s="505"/>
      <c r="CL670" s="505"/>
      <c r="CM670" s="505"/>
      <c r="CN670" s="505"/>
      <c r="CO670" s="505"/>
      <c r="CP670" s="505"/>
      <c r="CQ670" s="505"/>
      <c r="CR670" s="505"/>
      <c r="CS670" s="505"/>
      <c r="CT670" s="505"/>
      <c r="CU670" s="505"/>
      <c r="CV670" s="505"/>
      <c r="CW670" s="505"/>
      <c r="CX670" s="505"/>
      <c r="CY670" s="505"/>
      <c r="CZ670" s="505"/>
      <c r="DA670" s="505"/>
      <c r="DB670" s="505"/>
      <c r="DC670" s="505"/>
      <c r="DD670" s="505"/>
      <c r="DE670" s="505"/>
      <c r="DF670" s="505"/>
      <c r="DG670" s="505"/>
      <c r="DH670" s="505"/>
      <c r="DI670" s="505"/>
      <c r="DJ670" s="505"/>
      <c r="DK670" s="505"/>
      <c r="DL670" s="505"/>
      <c r="DM670" s="505"/>
      <c r="DN670" s="505"/>
      <c r="DO670" s="505"/>
      <c r="DP670" s="505"/>
    </row>
    <row r="671" spans="1:120" x14ac:dyDescent="0.2">
      <c r="A671" s="517">
        <f t="shared" si="93"/>
        <v>41183</v>
      </c>
      <c r="B671" s="517" t="str">
        <f t="shared" si="90"/>
        <v>4Q12</v>
      </c>
      <c r="C671" s="517" t="str">
        <f t="shared" si="94"/>
        <v>4Q12</v>
      </c>
      <c r="D671" s="518">
        <f t="shared" si="95"/>
        <v>41250</v>
      </c>
      <c r="E671" s="518">
        <f t="shared" si="95"/>
        <v>41190</v>
      </c>
      <c r="F671" s="520">
        <v>4.0940000000000003</v>
      </c>
      <c r="G671" s="521">
        <f t="shared" si="91"/>
        <v>0.5900000000000003</v>
      </c>
      <c r="H671" s="521">
        <f t="shared" si="92"/>
        <v>0.61000000000000032</v>
      </c>
      <c r="I671" s="505"/>
      <c r="J671" s="505"/>
      <c r="K671" s="505"/>
      <c r="L671" s="505"/>
      <c r="M671" s="505"/>
      <c r="N671" s="505"/>
      <c r="O671" s="505"/>
      <c r="P671" s="505"/>
      <c r="Q671" s="505"/>
      <c r="R671" s="505"/>
      <c r="S671" s="505"/>
      <c r="T671" s="505"/>
      <c r="U671" s="505"/>
      <c r="V671" s="505"/>
      <c r="W671" s="505"/>
      <c r="X671" s="505"/>
      <c r="Y671" s="505"/>
      <c r="Z671" s="505"/>
      <c r="AA671" s="505"/>
      <c r="AB671" s="505"/>
      <c r="AC671" s="505"/>
      <c r="AD671" s="505"/>
      <c r="AE671" s="505"/>
      <c r="AF671" s="505"/>
      <c r="AG671" s="505"/>
      <c r="AH671" s="505"/>
      <c r="AI671" s="505"/>
      <c r="AJ671" s="505"/>
      <c r="AK671" s="505"/>
      <c r="AL671" s="505"/>
      <c r="AM671" s="505"/>
      <c r="AN671" s="505"/>
      <c r="AO671" s="505"/>
      <c r="AP671" s="505"/>
      <c r="AQ671" s="505"/>
      <c r="AR671" s="505"/>
      <c r="AS671" s="505"/>
      <c r="AT671" s="505"/>
      <c r="AU671" s="505"/>
      <c r="AV671" s="505"/>
      <c r="AW671" s="505"/>
      <c r="AX671" s="505"/>
      <c r="AY671" s="505"/>
      <c r="AZ671" s="505"/>
      <c r="BA671" s="505"/>
      <c r="BB671" s="505"/>
      <c r="BC671" s="505"/>
      <c r="BD671" s="505"/>
      <c r="BE671" s="505"/>
      <c r="BF671" s="505"/>
      <c r="BG671" s="505"/>
      <c r="BH671" s="505"/>
      <c r="BI671" s="505"/>
      <c r="BJ671" s="505"/>
      <c r="BK671" s="505"/>
      <c r="BL671" s="505"/>
      <c r="BM671" s="505"/>
      <c r="BN671" s="505"/>
      <c r="BO671" s="505"/>
      <c r="BP671" s="505"/>
      <c r="BQ671" s="505"/>
      <c r="BR671" s="505"/>
      <c r="BS671" s="505"/>
      <c r="BT671" s="505"/>
      <c r="BU671" s="505"/>
      <c r="BV671" s="505"/>
      <c r="BW671" s="505"/>
      <c r="BX671" s="505"/>
      <c r="BY671" s="505"/>
      <c r="BZ671" s="505"/>
      <c r="CA671" s="505"/>
      <c r="CB671" s="505"/>
      <c r="CC671" s="505"/>
      <c r="CD671" s="505"/>
      <c r="CE671" s="505"/>
      <c r="CF671" s="505"/>
      <c r="CG671" s="505"/>
      <c r="CH671" s="505"/>
      <c r="CI671" s="505"/>
      <c r="CJ671" s="505"/>
      <c r="CK671" s="505"/>
      <c r="CL671" s="505"/>
      <c r="CM671" s="505"/>
      <c r="CN671" s="505"/>
      <c r="CO671" s="505"/>
      <c r="CP671" s="505"/>
      <c r="CQ671" s="505"/>
      <c r="CR671" s="505"/>
      <c r="CS671" s="505"/>
      <c r="CT671" s="505"/>
      <c r="CU671" s="505"/>
      <c r="CV671" s="505"/>
      <c r="CW671" s="505"/>
      <c r="CX671" s="505"/>
      <c r="CY671" s="505"/>
      <c r="CZ671" s="505"/>
      <c r="DA671" s="505"/>
      <c r="DB671" s="505"/>
      <c r="DC671" s="505"/>
      <c r="DD671" s="505"/>
      <c r="DE671" s="505"/>
      <c r="DF671" s="505"/>
      <c r="DG671" s="505"/>
      <c r="DH671" s="505"/>
      <c r="DI671" s="505"/>
      <c r="DJ671" s="505"/>
      <c r="DK671" s="505"/>
      <c r="DL671" s="505"/>
      <c r="DM671" s="505"/>
      <c r="DN671" s="505"/>
      <c r="DO671" s="505"/>
      <c r="DP671" s="505"/>
    </row>
    <row r="672" spans="1:120" x14ac:dyDescent="0.2">
      <c r="A672" s="517">
        <f t="shared" si="93"/>
        <v>41183</v>
      </c>
      <c r="B672" s="517" t="str">
        <f t="shared" si="90"/>
        <v>4Q12</v>
      </c>
      <c r="C672" s="517" t="str">
        <f t="shared" si="94"/>
        <v>4Q12</v>
      </c>
      <c r="D672" s="518">
        <f t="shared" si="95"/>
        <v>41257</v>
      </c>
      <c r="E672" s="518">
        <f t="shared" si="95"/>
        <v>41197</v>
      </c>
      <c r="F672" s="520">
        <v>4.1500000000000004</v>
      </c>
      <c r="G672" s="521">
        <f t="shared" si="91"/>
        <v>0.61000000000000032</v>
      </c>
      <c r="H672" s="521">
        <f t="shared" si="92"/>
        <v>0.60000000000000031</v>
      </c>
      <c r="I672" s="505"/>
      <c r="J672" s="505"/>
      <c r="K672" s="505"/>
      <c r="L672" s="505"/>
      <c r="M672" s="505"/>
      <c r="N672" s="505"/>
      <c r="O672" s="505"/>
      <c r="P672" s="505"/>
      <c r="Q672" s="505"/>
      <c r="R672" s="505"/>
      <c r="S672" s="505"/>
      <c r="T672" s="505"/>
      <c r="U672" s="505"/>
      <c r="V672" s="505"/>
      <c r="W672" s="505"/>
      <c r="X672" s="505"/>
      <c r="Y672" s="505"/>
      <c r="Z672" s="505"/>
      <c r="AA672" s="505"/>
      <c r="AB672" s="505"/>
      <c r="AC672" s="505"/>
      <c r="AD672" s="505"/>
      <c r="AE672" s="505"/>
      <c r="AF672" s="505"/>
      <c r="AG672" s="505"/>
      <c r="AH672" s="505"/>
      <c r="AI672" s="505"/>
      <c r="AJ672" s="505"/>
      <c r="AK672" s="505"/>
      <c r="AL672" s="505"/>
      <c r="AM672" s="505"/>
      <c r="AN672" s="505"/>
      <c r="AO672" s="505"/>
      <c r="AP672" s="505"/>
      <c r="AQ672" s="505"/>
      <c r="AR672" s="505"/>
      <c r="AS672" s="505"/>
      <c r="AT672" s="505"/>
      <c r="AU672" s="505"/>
      <c r="AV672" s="505"/>
      <c r="AW672" s="505"/>
      <c r="AX672" s="505"/>
      <c r="AY672" s="505"/>
      <c r="AZ672" s="505"/>
      <c r="BA672" s="505"/>
      <c r="BB672" s="505"/>
      <c r="BC672" s="505"/>
      <c r="BD672" s="505"/>
      <c r="BE672" s="505"/>
      <c r="BF672" s="505"/>
      <c r="BG672" s="505"/>
      <c r="BH672" s="505"/>
      <c r="BI672" s="505"/>
      <c r="BJ672" s="505"/>
      <c r="BK672" s="505"/>
      <c r="BL672" s="505"/>
      <c r="BM672" s="505"/>
      <c r="BN672" s="505"/>
      <c r="BO672" s="505"/>
      <c r="BP672" s="505"/>
      <c r="BQ672" s="505"/>
      <c r="BR672" s="505"/>
      <c r="BS672" s="505"/>
      <c r="BT672" s="505"/>
      <c r="BU672" s="505"/>
      <c r="BV672" s="505"/>
      <c r="BW672" s="505"/>
      <c r="BX672" s="505"/>
      <c r="BY672" s="505"/>
      <c r="BZ672" s="505"/>
      <c r="CA672" s="505"/>
      <c r="CB672" s="505"/>
      <c r="CC672" s="505"/>
      <c r="CD672" s="505"/>
      <c r="CE672" s="505"/>
      <c r="CF672" s="505"/>
      <c r="CG672" s="505"/>
      <c r="CH672" s="505"/>
      <c r="CI672" s="505"/>
      <c r="CJ672" s="505"/>
      <c r="CK672" s="505"/>
      <c r="CL672" s="505"/>
      <c r="CM672" s="505"/>
      <c r="CN672" s="505"/>
      <c r="CO672" s="505"/>
      <c r="CP672" s="505"/>
      <c r="CQ672" s="505"/>
      <c r="CR672" s="505"/>
      <c r="CS672" s="505"/>
      <c r="CT672" s="505"/>
      <c r="CU672" s="505"/>
      <c r="CV672" s="505"/>
      <c r="CW672" s="505"/>
      <c r="CX672" s="505"/>
      <c r="CY672" s="505"/>
      <c r="CZ672" s="505"/>
      <c r="DA672" s="505"/>
      <c r="DB672" s="505"/>
      <c r="DC672" s="505"/>
      <c r="DD672" s="505"/>
      <c r="DE672" s="505"/>
      <c r="DF672" s="505"/>
      <c r="DG672" s="505"/>
      <c r="DH672" s="505"/>
      <c r="DI672" s="505"/>
      <c r="DJ672" s="505"/>
      <c r="DK672" s="505"/>
      <c r="DL672" s="505"/>
      <c r="DM672" s="505"/>
      <c r="DN672" s="505"/>
      <c r="DO672" s="505"/>
      <c r="DP672" s="505"/>
    </row>
    <row r="673" spans="1:120" x14ac:dyDescent="0.2">
      <c r="A673" s="517">
        <f t="shared" si="93"/>
        <v>41183</v>
      </c>
      <c r="B673" s="517" t="str">
        <f t="shared" si="90"/>
        <v>4Q12</v>
      </c>
      <c r="C673" s="517" t="str">
        <f t="shared" si="94"/>
        <v>4Q12</v>
      </c>
      <c r="D673" s="518">
        <f t="shared" si="95"/>
        <v>41264</v>
      </c>
      <c r="E673" s="518">
        <f t="shared" si="95"/>
        <v>41204</v>
      </c>
      <c r="F673" s="520">
        <v>4.1159999999999997</v>
      </c>
      <c r="G673" s="521">
        <f t="shared" si="91"/>
        <v>0.60000000000000031</v>
      </c>
      <c r="H673" s="521">
        <f t="shared" si="92"/>
        <v>0.58000000000000029</v>
      </c>
      <c r="I673" s="505"/>
      <c r="J673" s="505"/>
      <c r="K673" s="505"/>
      <c r="L673" s="505"/>
      <c r="M673" s="505"/>
      <c r="N673" s="505"/>
      <c r="O673" s="505"/>
      <c r="P673" s="505"/>
      <c r="Q673" s="505"/>
      <c r="R673" s="505"/>
      <c r="S673" s="505"/>
      <c r="T673" s="505"/>
      <c r="U673" s="505"/>
      <c r="V673" s="505"/>
      <c r="W673" s="505"/>
      <c r="X673" s="505"/>
      <c r="Y673" s="505"/>
      <c r="Z673" s="505"/>
      <c r="AA673" s="505"/>
      <c r="AB673" s="505"/>
      <c r="AC673" s="505"/>
      <c r="AD673" s="505"/>
      <c r="AE673" s="505"/>
      <c r="AF673" s="505"/>
      <c r="AG673" s="505"/>
      <c r="AH673" s="505"/>
      <c r="AI673" s="505"/>
      <c r="AJ673" s="505"/>
      <c r="AK673" s="505"/>
      <c r="AL673" s="505"/>
      <c r="AM673" s="505"/>
      <c r="AN673" s="505"/>
      <c r="AO673" s="505"/>
      <c r="AP673" s="505"/>
      <c r="AQ673" s="505"/>
      <c r="AR673" s="505"/>
      <c r="AS673" s="505"/>
      <c r="AT673" s="505"/>
      <c r="AU673" s="505"/>
      <c r="AV673" s="505"/>
      <c r="AW673" s="505"/>
      <c r="AX673" s="505"/>
      <c r="AY673" s="505"/>
      <c r="AZ673" s="505"/>
      <c r="BA673" s="505"/>
      <c r="BB673" s="505"/>
      <c r="BC673" s="505"/>
      <c r="BD673" s="505"/>
      <c r="BE673" s="505"/>
      <c r="BF673" s="505"/>
      <c r="BG673" s="505"/>
      <c r="BH673" s="505"/>
      <c r="BI673" s="505"/>
      <c r="BJ673" s="505"/>
      <c r="BK673" s="505"/>
      <c r="BL673" s="505"/>
      <c r="BM673" s="505"/>
      <c r="BN673" s="505"/>
      <c r="BO673" s="505"/>
      <c r="BP673" s="505"/>
      <c r="BQ673" s="505"/>
      <c r="BR673" s="505"/>
      <c r="BS673" s="505"/>
      <c r="BT673" s="505"/>
      <c r="BU673" s="505"/>
      <c r="BV673" s="505"/>
      <c r="BW673" s="505"/>
      <c r="BX673" s="505"/>
      <c r="BY673" s="505"/>
      <c r="BZ673" s="505"/>
      <c r="CA673" s="505"/>
      <c r="CB673" s="505"/>
      <c r="CC673" s="505"/>
      <c r="CD673" s="505"/>
      <c r="CE673" s="505"/>
      <c r="CF673" s="505"/>
      <c r="CG673" s="505"/>
      <c r="CH673" s="505"/>
      <c r="CI673" s="505"/>
      <c r="CJ673" s="505"/>
      <c r="CK673" s="505"/>
      <c r="CL673" s="505"/>
      <c r="CM673" s="505"/>
      <c r="CN673" s="505"/>
      <c r="CO673" s="505"/>
      <c r="CP673" s="505"/>
      <c r="CQ673" s="505"/>
      <c r="CR673" s="505"/>
      <c r="CS673" s="505"/>
      <c r="CT673" s="505"/>
      <c r="CU673" s="505"/>
      <c r="CV673" s="505"/>
      <c r="CW673" s="505"/>
      <c r="CX673" s="505"/>
      <c r="CY673" s="505"/>
      <c r="CZ673" s="505"/>
      <c r="DA673" s="505"/>
      <c r="DB673" s="505"/>
      <c r="DC673" s="505"/>
      <c r="DD673" s="505"/>
      <c r="DE673" s="505"/>
      <c r="DF673" s="505"/>
      <c r="DG673" s="505"/>
      <c r="DH673" s="505"/>
      <c r="DI673" s="505"/>
      <c r="DJ673" s="505"/>
      <c r="DK673" s="505"/>
      <c r="DL673" s="505"/>
      <c r="DM673" s="505"/>
      <c r="DN673" s="505"/>
      <c r="DO673" s="505"/>
      <c r="DP673" s="505"/>
    </row>
    <row r="674" spans="1:120" x14ac:dyDescent="0.2">
      <c r="A674" s="517">
        <f t="shared" si="93"/>
        <v>41183</v>
      </c>
      <c r="B674" s="517" t="str">
        <f t="shared" si="90"/>
        <v>4Q12</v>
      </c>
      <c r="C674" s="517" t="str">
        <f t="shared" si="94"/>
        <v>4Q12</v>
      </c>
      <c r="D674" s="518">
        <f t="shared" si="95"/>
        <v>41271</v>
      </c>
      <c r="E674" s="518">
        <f t="shared" si="95"/>
        <v>41211</v>
      </c>
      <c r="F674" s="520">
        <v>4.03</v>
      </c>
      <c r="G674" s="521">
        <f t="shared" si="91"/>
        <v>0.58000000000000029</v>
      </c>
      <c r="H674" s="521">
        <f t="shared" si="92"/>
        <v>0.58000000000000029</v>
      </c>
      <c r="I674" s="505"/>
      <c r="J674" s="505"/>
      <c r="K674" s="505"/>
      <c r="L674" s="505"/>
      <c r="M674" s="505"/>
      <c r="N674" s="505"/>
      <c r="O674" s="505"/>
      <c r="P674" s="505"/>
      <c r="Q674" s="505"/>
      <c r="R674" s="505"/>
      <c r="S674" s="505"/>
      <c r="T674" s="505"/>
      <c r="U674" s="505"/>
      <c r="V674" s="505"/>
      <c r="W674" s="505"/>
      <c r="X674" s="505"/>
      <c r="Y674" s="505"/>
      <c r="Z674" s="505"/>
      <c r="AA674" s="505"/>
      <c r="AB674" s="505"/>
      <c r="AC674" s="505"/>
      <c r="AD674" s="505"/>
      <c r="AE674" s="505"/>
      <c r="AF674" s="505"/>
      <c r="AG674" s="505"/>
      <c r="AH674" s="505"/>
      <c r="AI674" s="505"/>
      <c r="AJ674" s="505"/>
      <c r="AK674" s="505"/>
      <c r="AL674" s="505"/>
      <c r="AM674" s="505"/>
      <c r="AN674" s="505"/>
      <c r="AO674" s="505"/>
      <c r="AP674" s="505"/>
      <c r="AQ674" s="505"/>
      <c r="AR674" s="505"/>
      <c r="AS674" s="505"/>
      <c r="AT674" s="505"/>
      <c r="AU674" s="505"/>
      <c r="AV674" s="505"/>
      <c r="AW674" s="505"/>
      <c r="AX674" s="505"/>
      <c r="AY674" s="505"/>
      <c r="AZ674" s="505"/>
      <c r="BA674" s="505"/>
      <c r="BB674" s="505"/>
      <c r="BC674" s="505"/>
      <c r="BD674" s="505"/>
      <c r="BE674" s="505"/>
      <c r="BF674" s="505"/>
      <c r="BG674" s="505"/>
      <c r="BH674" s="505"/>
      <c r="BI674" s="505"/>
      <c r="BJ674" s="505"/>
      <c r="BK674" s="505"/>
      <c r="BL674" s="505"/>
      <c r="BM674" s="505"/>
      <c r="BN674" s="505"/>
      <c r="BO674" s="505"/>
      <c r="BP674" s="505"/>
      <c r="BQ674" s="505"/>
      <c r="BR674" s="505"/>
      <c r="BS674" s="505"/>
      <c r="BT674" s="505"/>
      <c r="BU674" s="505"/>
      <c r="BV674" s="505"/>
      <c r="BW674" s="505"/>
      <c r="BX674" s="505"/>
      <c r="BY674" s="505"/>
      <c r="BZ674" s="505"/>
      <c r="CA674" s="505"/>
      <c r="CB674" s="505"/>
      <c r="CC674" s="505"/>
      <c r="CD674" s="505"/>
      <c r="CE674" s="505"/>
      <c r="CF674" s="505"/>
      <c r="CG674" s="505"/>
      <c r="CH674" s="505"/>
      <c r="CI674" s="505"/>
      <c r="CJ674" s="505"/>
      <c r="CK674" s="505"/>
      <c r="CL674" s="505"/>
      <c r="CM674" s="505"/>
      <c r="CN674" s="505"/>
      <c r="CO674" s="505"/>
      <c r="CP674" s="505"/>
      <c r="CQ674" s="505"/>
      <c r="CR674" s="505"/>
      <c r="CS674" s="505"/>
      <c r="CT674" s="505"/>
      <c r="CU674" s="505"/>
      <c r="CV674" s="505"/>
      <c r="CW674" s="505"/>
      <c r="CX674" s="505"/>
      <c r="CY674" s="505"/>
      <c r="CZ674" s="505"/>
      <c r="DA674" s="505"/>
      <c r="DB674" s="505"/>
      <c r="DC674" s="505"/>
      <c r="DD674" s="505"/>
      <c r="DE674" s="505"/>
      <c r="DF674" s="505"/>
      <c r="DG674" s="505"/>
      <c r="DH674" s="505"/>
      <c r="DI674" s="505"/>
      <c r="DJ674" s="505"/>
      <c r="DK674" s="505"/>
      <c r="DL674" s="505"/>
      <c r="DM674" s="505"/>
      <c r="DN674" s="505"/>
      <c r="DO674" s="505"/>
      <c r="DP674" s="505"/>
    </row>
    <row r="675" spans="1:120" x14ac:dyDescent="0.2">
      <c r="A675" s="517">
        <f t="shared" si="93"/>
        <v>41214</v>
      </c>
      <c r="B675" s="517" t="str">
        <f t="shared" si="90"/>
        <v>4Q12</v>
      </c>
      <c r="C675" s="517" t="str">
        <f t="shared" si="94"/>
        <v>1Q13</v>
      </c>
      <c r="D675" s="518">
        <f t="shared" si="95"/>
        <v>41278</v>
      </c>
      <c r="E675" s="518">
        <f t="shared" si="95"/>
        <v>41218</v>
      </c>
      <c r="F675" s="520">
        <v>4.01</v>
      </c>
      <c r="G675" s="521">
        <f t="shared" si="91"/>
        <v>0.58000000000000029</v>
      </c>
      <c r="H675" s="521">
        <f t="shared" si="92"/>
        <v>0.57000000000000028</v>
      </c>
      <c r="I675" s="505"/>
      <c r="J675" s="505"/>
      <c r="K675" s="505"/>
      <c r="L675" s="505"/>
      <c r="M675" s="505"/>
      <c r="N675" s="505"/>
      <c r="O675" s="505"/>
      <c r="P675" s="505"/>
      <c r="Q675" s="505"/>
      <c r="R675" s="505"/>
      <c r="S675" s="505"/>
      <c r="T675" s="505"/>
      <c r="U675" s="505"/>
      <c r="V675" s="505"/>
      <c r="W675" s="505"/>
      <c r="X675" s="505"/>
      <c r="Y675" s="505"/>
      <c r="Z675" s="505"/>
      <c r="AA675" s="505"/>
      <c r="AB675" s="505"/>
      <c r="AC675" s="505"/>
      <c r="AD675" s="505"/>
      <c r="AE675" s="505"/>
      <c r="AF675" s="505"/>
      <c r="AG675" s="505"/>
      <c r="AH675" s="505"/>
      <c r="AI675" s="505"/>
      <c r="AJ675" s="505"/>
      <c r="AK675" s="505"/>
      <c r="AL675" s="505"/>
      <c r="AM675" s="505"/>
      <c r="AN675" s="505"/>
      <c r="AO675" s="505"/>
      <c r="AP675" s="505"/>
      <c r="AQ675" s="505"/>
      <c r="AR675" s="505"/>
      <c r="AS675" s="505"/>
      <c r="AT675" s="505"/>
      <c r="AU675" s="505"/>
      <c r="AV675" s="505"/>
      <c r="AW675" s="505"/>
      <c r="AX675" s="505"/>
      <c r="AY675" s="505"/>
      <c r="AZ675" s="505"/>
      <c r="BA675" s="505"/>
      <c r="BB675" s="505"/>
      <c r="BC675" s="505"/>
      <c r="BD675" s="505"/>
      <c r="BE675" s="505"/>
      <c r="BF675" s="505"/>
      <c r="BG675" s="505"/>
      <c r="BH675" s="505"/>
      <c r="BI675" s="505"/>
      <c r="BJ675" s="505"/>
      <c r="BK675" s="505"/>
      <c r="BL675" s="505"/>
      <c r="BM675" s="505"/>
      <c r="BN675" s="505"/>
      <c r="BO675" s="505"/>
      <c r="BP675" s="505"/>
      <c r="BQ675" s="505"/>
      <c r="BR675" s="505"/>
      <c r="BS675" s="505"/>
      <c r="BT675" s="505"/>
      <c r="BU675" s="505"/>
      <c r="BV675" s="505"/>
      <c r="BW675" s="505"/>
      <c r="BX675" s="505"/>
      <c r="BY675" s="505"/>
      <c r="BZ675" s="505"/>
      <c r="CA675" s="505"/>
      <c r="CB675" s="505"/>
      <c r="CC675" s="505"/>
      <c r="CD675" s="505"/>
      <c r="CE675" s="505"/>
      <c r="CF675" s="505"/>
      <c r="CG675" s="505"/>
      <c r="CH675" s="505"/>
      <c r="CI675" s="505"/>
      <c r="CJ675" s="505"/>
      <c r="CK675" s="505"/>
      <c r="CL675" s="505"/>
      <c r="CM675" s="505"/>
      <c r="CN675" s="505"/>
      <c r="CO675" s="505"/>
      <c r="CP675" s="505"/>
      <c r="CQ675" s="505"/>
      <c r="CR675" s="505"/>
      <c r="CS675" s="505"/>
      <c r="CT675" s="505"/>
      <c r="CU675" s="505"/>
      <c r="CV675" s="505"/>
      <c r="CW675" s="505"/>
      <c r="CX675" s="505"/>
      <c r="CY675" s="505"/>
      <c r="CZ675" s="505"/>
      <c r="DA675" s="505"/>
      <c r="DB675" s="505"/>
      <c r="DC675" s="505"/>
      <c r="DD675" s="505"/>
      <c r="DE675" s="505"/>
      <c r="DF675" s="505"/>
      <c r="DG675" s="505"/>
      <c r="DH675" s="505"/>
      <c r="DI675" s="505"/>
      <c r="DJ675" s="505"/>
      <c r="DK675" s="505"/>
      <c r="DL675" s="505"/>
      <c r="DM675" s="505"/>
      <c r="DN675" s="505"/>
      <c r="DO675" s="505"/>
      <c r="DP675" s="505"/>
    </row>
    <row r="676" spans="1:120" x14ac:dyDescent="0.2">
      <c r="A676" s="517">
        <f t="shared" si="93"/>
        <v>41214</v>
      </c>
      <c r="B676" s="517" t="str">
        <f t="shared" si="90"/>
        <v>4Q12</v>
      </c>
      <c r="C676" s="517" t="str">
        <f t="shared" si="94"/>
        <v>1Q13</v>
      </c>
      <c r="D676" s="518">
        <f t="shared" si="95"/>
        <v>41285</v>
      </c>
      <c r="E676" s="518">
        <f t="shared" si="95"/>
        <v>41225</v>
      </c>
      <c r="F676" s="520">
        <v>3.98</v>
      </c>
      <c r="G676" s="521">
        <f t="shared" si="91"/>
        <v>0.57000000000000028</v>
      </c>
      <c r="H676" s="521">
        <f t="shared" si="92"/>
        <v>0.57000000000000028</v>
      </c>
      <c r="I676" s="505"/>
      <c r="J676" s="505"/>
      <c r="K676" s="505"/>
      <c r="L676" s="505"/>
      <c r="M676" s="505"/>
      <c r="N676" s="505"/>
      <c r="O676" s="505"/>
      <c r="P676" s="505"/>
      <c r="Q676" s="505"/>
      <c r="R676" s="505"/>
      <c r="S676" s="505"/>
      <c r="T676" s="505"/>
      <c r="U676" s="505"/>
      <c r="V676" s="505"/>
      <c r="W676" s="505"/>
      <c r="X676" s="505"/>
      <c r="Y676" s="505"/>
      <c r="Z676" s="505"/>
      <c r="AA676" s="505"/>
      <c r="AB676" s="505"/>
      <c r="AC676" s="505"/>
      <c r="AD676" s="505"/>
      <c r="AE676" s="505"/>
      <c r="AF676" s="505"/>
      <c r="AG676" s="505"/>
      <c r="AH676" s="505"/>
      <c r="AI676" s="505"/>
      <c r="AJ676" s="505"/>
      <c r="AK676" s="505"/>
      <c r="AL676" s="505"/>
      <c r="AM676" s="505"/>
      <c r="AN676" s="505"/>
      <c r="AO676" s="505"/>
      <c r="AP676" s="505"/>
      <c r="AQ676" s="505"/>
      <c r="AR676" s="505"/>
      <c r="AS676" s="505"/>
      <c r="AT676" s="505"/>
      <c r="AU676" s="505"/>
      <c r="AV676" s="505"/>
      <c r="AW676" s="505"/>
      <c r="AX676" s="505"/>
      <c r="AY676" s="505"/>
      <c r="AZ676" s="505"/>
      <c r="BA676" s="505"/>
      <c r="BB676" s="505"/>
      <c r="BC676" s="505"/>
      <c r="BD676" s="505"/>
      <c r="BE676" s="505"/>
      <c r="BF676" s="505"/>
      <c r="BG676" s="505"/>
      <c r="BH676" s="505"/>
      <c r="BI676" s="505"/>
      <c r="BJ676" s="505"/>
      <c r="BK676" s="505"/>
      <c r="BL676" s="505"/>
      <c r="BM676" s="505"/>
      <c r="BN676" s="505"/>
      <c r="BO676" s="505"/>
      <c r="BP676" s="505"/>
      <c r="BQ676" s="505"/>
      <c r="BR676" s="505"/>
      <c r="BS676" s="505"/>
      <c r="BT676" s="505"/>
      <c r="BU676" s="505"/>
      <c r="BV676" s="505"/>
      <c r="BW676" s="505"/>
      <c r="BX676" s="505"/>
      <c r="BY676" s="505"/>
      <c r="BZ676" s="505"/>
      <c r="CA676" s="505"/>
      <c r="CB676" s="505"/>
      <c r="CC676" s="505"/>
      <c r="CD676" s="505"/>
      <c r="CE676" s="505"/>
      <c r="CF676" s="505"/>
      <c r="CG676" s="505"/>
      <c r="CH676" s="505"/>
      <c r="CI676" s="505"/>
      <c r="CJ676" s="505"/>
      <c r="CK676" s="505"/>
      <c r="CL676" s="505"/>
      <c r="CM676" s="505"/>
      <c r="CN676" s="505"/>
      <c r="CO676" s="505"/>
      <c r="CP676" s="505"/>
      <c r="CQ676" s="505"/>
      <c r="CR676" s="505"/>
      <c r="CS676" s="505"/>
      <c r="CT676" s="505"/>
      <c r="CU676" s="505"/>
      <c r="CV676" s="505"/>
      <c r="CW676" s="505"/>
      <c r="CX676" s="505"/>
      <c r="CY676" s="505"/>
      <c r="CZ676" s="505"/>
      <c r="DA676" s="505"/>
      <c r="DB676" s="505"/>
      <c r="DC676" s="505"/>
      <c r="DD676" s="505"/>
      <c r="DE676" s="505"/>
      <c r="DF676" s="505"/>
      <c r="DG676" s="505"/>
      <c r="DH676" s="505"/>
      <c r="DI676" s="505"/>
      <c r="DJ676" s="505"/>
      <c r="DK676" s="505"/>
      <c r="DL676" s="505"/>
      <c r="DM676" s="505"/>
      <c r="DN676" s="505"/>
      <c r="DO676" s="505"/>
      <c r="DP676" s="505"/>
    </row>
    <row r="677" spans="1:120" x14ac:dyDescent="0.2">
      <c r="A677" s="517">
        <f t="shared" si="93"/>
        <v>41214</v>
      </c>
      <c r="B677" s="517" t="str">
        <f t="shared" si="90"/>
        <v>4Q12</v>
      </c>
      <c r="C677" s="517" t="str">
        <f t="shared" si="94"/>
        <v>1Q13</v>
      </c>
      <c r="D677" s="518">
        <f t="shared" si="95"/>
        <v>41292</v>
      </c>
      <c r="E677" s="518">
        <f t="shared" si="95"/>
        <v>41232</v>
      </c>
      <c r="F677" s="520">
        <v>3.976</v>
      </c>
      <c r="G677" s="521">
        <f t="shared" si="91"/>
        <v>0.57000000000000028</v>
      </c>
      <c r="H677" s="521">
        <f t="shared" si="92"/>
        <v>0.58000000000000029</v>
      </c>
      <c r="I677" s="505"/>
      <c r="J677" s="505"/>
      <c r="K677" s="505"/>
      <c r="L677" s="505"/>
      <c r="M677" s="505"/>
      <c r="N677" s="505"/>
      <c r="O677" s="505"/>
      <c r="P677" s="505"/>
      <c r="Q677" s="505"/>
      <c r="R677" s="505"/>
      <c r="S677" s="505"/>
      <c r="T677" s="505"/>
      <c r="U677" s="505"/>
      <c r="V677" s="505"/>
      <c r="W677" s="505"/>
      <c r="X677" s="505"/>
      <c r="Y677" s="505"/>
      <c r="Z677" s="505"/>
      <c r="AA677" s="505"/>
      <c r="AB677" s="505"/>
      <c r="AC677" s="505"/>
      <c r="AD677" s="505"/>
      <c r="AE677" s="505"/>
      <c r="AF677" s="505"/>
      <c r="AG677" s="505"/>
      <c r="AH677" s="505"/>
      <c r="AI677" s="505"/>
      <c r="AJ677" s="505"/>
      <c r="AK677" s="505"/>
      <c r="AL677" s="505"/>
      <c r="AM677" s="505"/>
      <c r="AN677" s="505"/>
      <c r="AO677" s="505"/>
      <c r="AP677" s="505"/>
      <c r="AQ677" s="505"/>
      <c r="AR677" s="505"/>
      <c r="AS677" s="505"/>
      <c r="AT677" s="505"/>
      <c r="AU677" s="505"/>
      <c r="AV677" s="505"/>
      <c r="AW677" s="505"/>
      <c r="AX677" s="505"/>
      <c r="AY677" s="505"/>
      <c r="AZ677" s="505"/>
      <c r="BA677" s="505"/>
      <c r="BB677" s="505"/>
      <c r="BC677" s="505"/>
      <c r="BD677" s="505"/>
      <c r="BE677" s="505"/>
      <c r="BF677" s="505"/>
      <c r="BG677" s="505"/>
      <c r="BH677" s="505"/>
      <c r="BI677" s="505"/>
      <c r="BJ677" s="505"/>
      <c r="BK677" s="505"/>
      <c r="BL677" s="505"/>
      <c r="BM677" s="505"/>
      <c r="BN677" s="505"/>
      <c r="BO677" s="505"/>
      <c r="BP677" s="505"/>
      <c r="BQ677" s="505"/>
      <c r="BR677" s="505"/>
      <c r="BS677" s="505"/>
      <c r="BT677" s="505"/>
      <c r="BU677" s="505"/>
      <c r="BV677" s="505"/>
      <c r="BW677" s="505"/>
      <c r="BX677" s="505"/>
      <c r="BY677" s="505"/>
      <c r="BZ677" s="505"/>
      <c r="CA677" s="505"/>
      <c r="CB677" s="505"/>
      <c r="CC677" s="505"/>
      <c r="CD677" s="505"/>
      <c r="CE677" s="505"/>
      <c r="CF677" s="505"/>
      <c r="CG677" s="505"/>
      <c r="CH677" s="505"/>
      <c r="CI677" s="505"/>
      <c r="CJ677" s="505"/>
      <c r="CK677" s="505"/>
      <c r="CL677" s="505"/>
      <c r="CM677" s="505"/>
      <c r="CN677" s="505"/>
      <c r="CO677" s="505"/>
      <c r="CP677" s="505"/>
      <c r="CQ677" s="505"/>
      <c r="CR677" s="505"/>
      <c r="CS677" s="505"/>
      <c r="CT677" s="505"/>
      <c r="CU677" s="505"/>
      <c r="CV677" s="505"/>
      <c r="CW677" s="505"/>
      <c r="CX677" s="505"/>
      <c r="CY677" s="505"/>
      <c r="CZ677" s="505"/>
      <c r="DA677" s="505"/>
      <c r="DB677" s="505"/>
      <c r="DC677" s="505"/>
      <c r="DD677" s="505"/>
      <c r="DE677" s="505"/>
      <c r="DF677" s="505"/>
      <c r="DG677" s="505"/>
      <c r="DH677" s="505"/>
      <c r="DI677" s="505"/>
      <c r="DJ677" s="505"/>
      <c r="DK677" s="505"/>
      <c r="DL677" s="505"/>
      <c r="DM677" s="505"/>
      <c r="DN677" s="505"/>
      <c r="DO677" s="505"/>
      <c r="DP677" s="505"/>
    </row>
    <row r="678" spans="1:120" x14ac:dyDescent="0.2">
      <c r="A678" s="517">
        <f t="shared" si="93"/>
        <v>41214</v>
      </c>
      <c r="B678" s="517" t="str">
        <f t="shared" si="90"/>
        <v>4Q12</v>
      </c>
      <c r="C678" s="517" t="str">
        <f t="shared" si="94"/>
        <v>1Q13</v>
      </c>
      <c r="D678" s="518">
        <f t="shared" si="95"/>
        <v>41299</v>
      </c>
      <c r="E678" s="518">
        <f t="shared" si="95"/>
        <v>41239</v>
      </c>
      <c r="F678" s="520">
        <v>4.0339999999999998</v>
      </c>
      <c r="G678" s="521">
        <f t="shared" si="91"/>
        <v>0.58000000000000029</v>
      </c>
      <c r="H678" s="521">
        <f t="shared" si="92"/>
        <v>0.58000000000000029</v>
      </c>
      <c r="I678" s="505"/>
      <c r="J678" s="505"/>
      <c r="K678" s="505"/>
      <c r="L678" s="505"/>
      <c r="M678" s="505"/>
      <c r="N678" s="505"/>
      <c r="O678" s="505"/>
      <c r="P678" s="505"/>
      <c r="Q678" s="505"/>
      <c r="R678" s="505"/>
      <c r="S678" s="505"/>
      <c r="T678" s="505"/>
      <c r="U678" s="505"/>
      <c r="V678" s="505"/>
      <c r="W678" s="505"/>
      <c r="X678" s="505"/>
      <c r="Y678" s="505"/>
      <c r="Z678" s="505"/>
      <c r="AA678" s="505"/>
      <c r="AB678" s="505"/>
      <c r="AC678" s="505"/>
      <c r="AD678" s="505"/>
      <c r="AE678" s="505"/>
      <c r="AF678" s="505"/>
      <c r="AG678" s="505"/>
      <c r="AH678" s="505"/>
      <c r="AI678" s="505"/>
      <c r="AJ678" s="505"/>
      <c r="AK678" s="505"/>
      <c r="AL678" s="505"/>
      <c r="AM678" s="505"/>
      <c r="AN678" s="505"/>
      <c r="AO678" s="505"/>
      <c r="AP678" s="505"/>
      <c r="AQ678" s="505"/>
      <c r="AR678" s="505"/>
      <c r="AS678" s="505"/>
      <c r="AT678" s="505"/>
      <c r="AU678" s="505"/>
      <c r="AV678" s="505"/>
      <c r="AW678" s="505"/>
      <c r="AX678" s="505"/>
      <c r="AY678" s="505"/>
      <c r="AZ678" s="505"/>
      <c r="BA678" s="505"/>
      <c r="BB678" s="505"/>
      <c r="BC678" s="505"/>
      <c r="BD678" s="505"/>
      <c r="BE678" s="505"/>
      <c r="BF678" s="505"/>
      <c r="BG678" s="505"/>
      <c r="BH678" s="505"/>
      <c r="BI678" s="505"/>
      <c r="BJ678" s="505"/>
      <c r="BK678" s="505"/>
      <c r="BL678" s="505"/>
      <c r="BM678" s="505"/>
      <c r="BN678" s="505"/>
      <c r="BO678" s="505"/>
      <c r="BP678" s="505"/>
      <c r="BQ678" s="505"/>
      <c r="BR678" s="505"/>
      <c r="BS678" s="505"/>
      <c r="BT678" s="505"/>
      <c r="BU678" s="505"/>
      <c r="BV678" s="505"/>
      <c r="BW678" s="505"/>
      <c r="BX678" s="505"/>
      <c r="BY678" s="505"/>
      <c r="BZ678" s="505"/>
      <c r="CA678" s="505"/>
      <c r="CB678" s="505"/>
      <c r="CC678" s="505"/>
      <c r="CD678" s="505"/>
      <c r="CE678" s="505"/>
      <c r="CF678" s="505"/>
      <c r="CG678" s="505"/>
      <c r="CH678" s="505"/>
      <c r="CI678" s="505"/>
      <c r="CJ678" s="505"/>
      <c r="CK678" s="505"/>
      <c r="CL678" s="505"/>
      <c r="CM678" s="505"/>
      <c r="CN678" s="505"/>
      <c r="CO678" s="505"/>
      <c r="CP678" s="505"/>
      <c r="CQ678" s="505"/>
      <c r="CR678" s="505"/>
      <c r="CS678" s="505"/>
      <c r="CT678" s="505"/>
      <c r="CU678" s="505"/>
      <c r="CV678" s="505"/>
      <c r="CW678" s="505"/>
      <c r="CX678" s="505"/>
      <c r="CY678" s="505"/>
      <c r="CZ678" s="505"/>
      <c r="DA678" s="505"/>
      <c r="DB678" s="505"/>
      <c r="DC678" s="505"/>
      <c r="DD678" s="505"/>
      <c r="DE678" s="505"/>
      <c r="DF678" s="505"/>
      <c r="DG678" s="505"/>
      <c r="DH678" s="505"/>
      <c r="DI678" s="505"/>
      <c r="DJ678" s="505"/>
      <c r="DK678" s="505"/>
      <c r="DL678" s="505"/>
      <c r="DM678" s="505"/>
      <c r="DN678" s="505"/>
      <c r="DO678" s="505"/>
      <c r="DP678" s="505"/>
    </row>
    <row r="679" spans="1:120" x14ac:dyDescent="0.2">
      <c r="A679" s="517">
        <f t="shared" si="93"/>
        <v>41244</v>
      </c>
      <c r="B679" s="517" t="str">
        <f t="shared" si="90"/>
        <v>4Q12</v>
      </c>
      <c r="C679" s="517" t="str">
        <f t="shared" si="94"/>
        <v>1Q13</v>
      </c>
      <c r="D679" s="518">
        <f t="shared" si="95"/>
        <v>41306</v>
      </c>
      <c r="E679" s="518">
        <f t="shared" si="95"/>
        <v>41246</v>
      </c>
      <c r="F679" s="520">
        <v>4.0270000000000001</v>
      </c>
      <c r="G679" s="521">
        <f t="shared" si="91"/>
        <v>0.58000000000000029</v>
      </c>
      <c r="H679" s="521">
        <f t="shared" si="92"/>
        <v>0.57000000000000028</v>
      </c>
      <c r="I679" s="505"/>
      <c r="J679" s="505"/>
      <c r="K679" s="505"/>
      <c r="L679" s="505"/>
      <c r="M679" s="505"/>
      <c r="N679" s="505"/>
      <c r="O679" s="505"/>
      <c r="P679" s="505"/>
      <c r="Q679" s="505"/>
      <c r="R679" s="505"/>
      <c r="S679" s="505"/>
      <c r="T679" s="505"/>
      <c r="U679" s="505"/>
      <c r="V679" s="505"/>
      <c r="W679" s="505"/>
      <c r="X679" s="505"/>
      <c r="Y679" s="505"/>
      <c r="Z679" s="505"/>
      <c r="AA679" s="505"/>
      <c r="AB679" s="505"/>
      <c r="AC679" s="505"/>
      <c r="AD679" s="505"/>
      <c r="AE679" s="505"/>
      <c r="AF679" s="505"/>
      <c r="AG679" s="505"/>
      <c r="AH679" s="505"/>
      <c r="AI679" s="505"/>
      <c r="AJ679" s="505"/>
      <c r="AK679" s="505"/>
      <c r="AL679" s="505"/>
      <c r="AM679" s="505"/>
      <c r="AN679" s="505"/>
      <c r="AO679" s="505"/>
      <c r="AP679" s="505"/>
      <c r="AQ679" s="505"/>
      <c r="AR679" s="505"/>
      <c r="AS679" s="505"/>
      <c r="AT679" s="505"/>
      <c r="AU679" s="505"/>
      <c r="AV679" s="505"/>
      <c r="AW679" s="505"/>
      <c r="AX679" s="505"/>
      <c r="AY679" s="505"/>
      <c r="AZ679" s="505"/>
      <c r="BA679" s="505"/>
      <c r="BB679" s="505"/>
      <c r="BC679" s="505"/>
      <c r="BD679" s="505"/>
      <c r="BE679" s="505"/>
      <c r="BF679" s="505"/>
      <c r="BG679" s="505"/>
      <c r="BH679" s="505"/>
      <c r="BI679" s="505"/>
      <c r="BJ679" s="505"/>
      <c r="BK679" s="505"/>
      <c r="BL679" s="505"/>
      <c r="BM679" s="505"/>
      <c r="BN679" s="505"/>
      <c r="BO679" s="505"/>
      <c r="BP679" s="505"/>
      <c r="BQ679" s="505"/>
      <c r="BR679" s="505"/>
      <c r="BS679" s="505"/>
      <c r="BT679" s="505"/>
      <c r="BU679" s="505"/>
      <c r="BV679" s="505"/>
      <c r="BW679" s="505"/>
      <c r="BX679" s="505"/>
      <c r="BY679" s="505"/>
      <c r="BZ679" s="505"/>
      <c r="CA679" s="505"/>
      <c r="CB679" s="505"/>
      <c r="CC679" s="505"/>
      <c r="CD679" s="505"/>
      <c r="CE679" s="505"/>
      <c r="CF679" s="505"/>
      <c r="CG679" s="505"/>
      <c r="CH679" s="505"/>
      <c r="CI679" s="505"/>
      <c r="CJ679" s="505"/>
      <c r="CK679" s="505"/>
      <c r="CL679" s="505"/>
      <c r="CM679" s="505"/>
      <c r="CN679" s="505"/>
      <c r="CO679" s="505"/>
      <c r="CP679" s="505"/>
      <c r="CQ679" s="505"/>
      <c r="CR679" s="505"/>
      <c r="CS679" s="505"/>
      <c r="CT679" s="505"/>
      <c r="CU679" s="505"/>
      <c r="CV679" s="505"/>
      <c r="CW679" s="505"/>
      <c r="CX679" s="505"/>
      <c r="CY679" s="505"/>
      <c r="CZ679" s="505"/>
      <c r="DA679" s="505"/>
      <c r="DB679" s="505"/>
      <c r="DC679" s="505"/>
      <c r="DD679" s="505"/>
      <c r="DE679" s="505"/>
      <c r="DF679" s="505"/>
      <c r="DG679" s="505"/>
      <c r="DH679" s="505"/>
      <c r="DI679" s="505"/>
      <c r="DJ679" s="505"/>
      <c r="DK679" s="505"/>
      <c r="DL679" s="505"/>
      <c r="DM679" s="505"/>
      <c r="DN679" s="505"/>
      <c r="DO679" s="505"/>
      <c r="DP679" s="505"/>
    </row>
    <row r="680" spans="1:120" x14ac:dyDescent="0.2">
      <c r="A680" s="517">
        <f t="shared" si="93"/>
        <v>41244</v>
      </c>
      <c r="B680" s="517" t="str">
        <f t="shared" si="90"/>
        <v>4Q12</v>
      </c>
      <c r="C680" s="517" t="str">
        <f t="shared" si="94"/>
        <v>1Q13</v>
      </c>
      <c r="D680" s="518">
        <f t="shared" si="95"/>
        <v>41313</v>
      </c>
      <c r="E680" s="518">
        <f t="shared" si="95"/>
        <v>41253</v>
      </c>
      <c r="F680" s="520">
        <v>3.9910000000000001</v>
      </c>
      <c r="G680" s="521">
        <f t="shared" si="91"/>
        <v>0.57000000000000028</v>
      </c>
      <c r="H680" s="521">
        <f t="shared" si="92"/>
        <v>0.56000000000000028</v>
      </c>
      <c r="I680" s="505"/>
      <c r="J680" s="505"/>
      <c r="K680" s="505"/>
      <c r="L680" s="505"/>
      <c r="M680" s="505"/>
      <c r="N680" s="505"/>
      <c r="O680" s="505"/>
      <c r="P680" s="505"/>
      <c r="Q680" s="505"/>
      <c r="R680" s="505"/>
      <c r="S680" s="505"/>
      <c r="T680" s="505"/>
      <c r="U680" s="505"/>
      <c r="V680" s="505"/>
      <c r="W680" s="505"/>
      <c r="X680" s="505"/>
      <c r="Y680" s="505"/>
      <c r="Z680" s="505"/>
      <c r="AA680" s="505"/>
      <c r="AB680" s="505"/>
      <c r="AC680" s="505"/>
      <c r="AD680" s="505"/>
      <c r="AE680" s="505"/>
      <c r="AF680" s="505"/>
      <c r="AG680" s="505"/>
      <c r="AH680" s="505"/>
      <c r="AI680" s="505"/>
      <c r="AJ680" s="505"/>
      <c r="AK680" s="505"/>
      <c r="AL680" s="505"/>
      <c r="AM680" s="505"/>
      <c r="AN680" s="505"/>
      <c r="AO680" s="505"/>
      <c r="AP680" s="505"/>
      <c r="AQ680" s="505"/>
      <c r="AR680" s="505"/>
      <c r="AS680" s="505"/>
      <c r="AT680" s="505"/>
      <c r="AU680" s="505"/>
      <c r="AV680" s="505"/>
      <c r="AW680" s="505"/>
      <c r="AX680" s="505"/>
      <c r="AY680" s="505"/>
      <c r="AZ680" s="505"/>
      <c r="BA680" s="505"/>
      <c r="BB680" s="505"/>
      <c r="BC680" s="505"/>
      <c r="BD680" s="505"/>
      <c r="BE680" s="505"/>
      <c r="BF680" s="505"/>
      <c r="BG680" s="505"/>
      <c r="BH680" s="505"/>
      <c r="BI680" s="505"/>
      <c r="BJ680" s="505"/>
      <c r="BK680" s="505"/>
      <c r="BL680" s="505"/>
      <c r="BM680" s="505"/>
      <c r="BN680" s="505"/>
      <c r="BO680" s="505"/>
      <c r="BP680" s="505"/>
      <c r="BQ680" s="505"/>
      <c r="BR680" s="505"/>
      <c r="BS680" s="505"/>
      <c r="BT680" s="505"/>
      <c r="BU680" s="505"/>
      <c r="BV680" s="505"/>
      <c r="BW680" s="505"/>
      <c r="BX680" s="505"/>
      <c r="BY680" s="505"/>
      <c r="BZ680" s="505"/>
      <c r="CA680" s="505"/>
      <c r="CB680" s="505"/>
      <c r="CC680" s="505"/>
      <c r="CD680" s="505"/>
      <c r="CE680" s="505"/>
      <c r="CF680" s="505"/>
      <c r="CG680" s="505"/>
      <c r="CH680" s="505"/>
      <c r="CI680" s="505"/>
      <c r="CJ680" s="505"/>
      <c r="CK680" s="505"/>
      <c r="CL680" s="505"/>
      <c r="CM680" s="505"/>
      <c r="CN680" s="505"/>
      <c r="CO680" s="505"/>
      <c r="CP680" s="505"/>
      <c r="CQ680" s="505"/>
      <c r="CR680" s="505"/>
      <c r="CS680" s="505"/>
      <c r="CT680" s="505"/>
      <c r="CU680" s="505"/>
      <c r="CV680" s="505"/>
      <c r="CW680" s="505"/>
      <c r="CX680" s="505"/>
      <c r="CY680" s="505"/>
      <c r="CZ680" s="505"/>
      <c r="DA680" s="505"/>
      <c r="DB680" s="505"/>
      <c r="DC680" s="505"/>
      <c r="DD680" s="505"/>
      <c r="DE680" s="505"/>
      <c r="DF680" s="505"/>
      <c r="DG680" s="505"/>
      <c r="DH680" s="505"/>
      <c r="DI680" s="505"/>
      <c r="DJ680" s="505"/>
      <c r="DK680" s="505"/>
      <c r="DL680" s="505"/>
      <c r="DM680" s="505"/>
      <c r="DN680" s="505"/>
      <c r="DO680" s="505"/>
      <c r="DP680" s="505"/>
    </row>
    <row r="681" spans="1:120" x14ac:dyDescent="0.2">
      <c r="A681" s="517">
        <f t="shared" si="93"/>
        <v>41244</v>
      </c>
      <c r="B681" s="517" t="str">
        <f t="shared" si="90"/>
        <v>4Q12</v>
      </c>
      <c r="C681" s="517" t="str">
        <f t="shared" si="94"/>
        <v>1Q13</v>
      </c>
      <c r="D681" s="518">
        <f t="shared" si="95"/>
        <v>41320</v>
      </c>
      <c r="E681" s="518">
        <f t="shared" si="95"/>
        <v>41260</v>
      </c>
      <c r="F681" s="520">
        <v>3.9449999999999998</v>
      </c>
      <c r="G681" s="521">
        <f t="shared" si="91"/>
        <v>0.56000000000000028</v>
      </c>
      <c r="H681" s="521">
        <f t="shared" si="92"/>
        <v>0.56000000000000028</v>
      </c>
      <c r="I681" s="505"/>
      <c r="J681" s="505"/>
      <c r="K681" s="505"/>
      <c r="L681" s="505"/>
      <c r="M681" s="505"/>
      <c r="N681" s="505"/>
      <c r="O681" s="505"/>
      <c r="P681" s="505"/>
      <c r="Q681" s="505"/>
      <c r="R681" s="505"/>
      <c r="S681" s="505"/>
      <c r="T681" s="505"/>
      <c r="U681" s="505"/>
      <c r="V681" s="505"/>
      <c r="W681" s="505"/>
      <c r="X681" s="505"/>
      <c r="Y681" s="505"/>
      <c r="Z681" s="505"/>
      <c r="AA681" s="505"/>
      <c r="AB681" s="505"/>
      <c r="AC681" s="505"/>
      <c r="AD681" s="505"/>
      <c r="AE681" s="505"/>
      <c r="AF681" s="505"/>
      <c r="AG681" s="505"/>
      <c r="AH681" s="505"/>
      <c r="AI681" s="505"/>
      <c r="AJ681" s="505"/>
      <c r="AK681" s="505"/>
      <c r="AL681" s="505"/>
      <c r="AM681" s="505"/>
      <c r="AN681" s="505"/>
      <c r="AO681" s="505"/>
      <c r="AP681" s="505"/>
      <c r="AQ681" s="505"/>
      <c r="AR681" s="505"/>
      <c r="AS681" s="505"/>
      <c r="AT681" s="505"/>
      <c r="AU681" s="505"/>
      <c r="AV681" s="505"/>
      <c r="AW681" s="505"/>
      <c r="AX681" s="505"/>
      <c r="AY681" s="505"/>
      <c r="AZ681" s="505"/>
      <c r="BA681" s="505"/>
      <c r="BB681" s="505"/>
      <c r="BC681" s="505"/>
      <c r="BD681" s="505"/>
      <c r="BE681" s="505"/>
      <c r="BF681" s="505"/>
      <c r="BG681" s="505"/>
      <c r="BH681" s="505"/>
      <c r="BI681" s="505"/>
      <c r="BJ681" s="505"/>
      <c r="BK681" s="505"/>
      <c r="BL681" s="505"/>
      <c r="BM681" s="505"/>
      <c r="BN681" s="505"/>
      <c r="BO681" s="505"/>
      <c r="BP681" s="505"/>
      <c r="BQ681" s="505"/>
      <c r="BR681" s="505"/>
      <c r="BS681" s="505"/>
      <c r="BT681" s="505"/>
      <c r="BU681" s="505"/>
      <c r="BV681" s="505"/>
      <c r="BW681" s="505"/>
      <c r="BX681" s="505"/>
      <c r="BY681" s="505"/>
      <c r="BZ681" s="505"/>
      <c r="CA681" s="505"/>
      <c r="CB681" s="505"/>
      <c r="CC681" s="505"/>
      <c r="CD681" s="505"/>
      <c r="CE681" s="505"/>
      <c r="CF681" s="505"/>
      <c r="CG681" s="505"/>
      <c r="CH681" s="505"/>
      <c r="CI681" s="505"/>
      <c r="CJ681" s="505"/>
      <c r="CK681" s="505"/>
      <c r="CL681" s="505"/>
      <c r="CM681" s="505"/>
      <c r="CN681" s="505"/>
      <c r="CO681" s="505"/>
      <c r="CP681" s="505"/>
      <c r="CQ681" s="505"/>
      <c r="CR681" s="505"/>
      <c r="CS681" s="505"/>
      <c r="CT681" s="505"/>
      <c r="CU681" s="505"/>
      <c r="CV681" s="505"/>
      <c r="CW681" s="505"/>
      <c r="CX681" s="505"/>
      <c r="CY681" s="505"/>
      <c r="CZ681" s="505"/>
      <c r="DA681" s="505"/>
      <c r="DB681" s="505"/>
      <c r="DC681" s="505"/>
      <c r="DD681" s="505"/>
      <c r="DE681" s="505"/>
      <c r="DF681" s="505"/>
      <c r="DG681" s="505"/>
      <c r="DH681" s="505"/>
      <c r="DI681" s="505"/>
      <c r="DJ681" s="505"/>
      <c r="DK681" s="505"/>
      <c r="DL681" s="505"/>
      <c r="DM681" s="505"/>
      <c r="DN681" s="505"/>
      <c r="DO681" s="505"/>
      <c r="DP681" s="505"/>
    </row>
    <row r="682" spans="1:120" x14ac:dyDescent="0.2">
      <c r="A682" s="517">
        <f t="shared" si="93"/>
        <v>41244</v>
      </c>
      <c r="B682" s="517" t="str">
        <f t="shared" si="90"/>
        <v>4Q12</v>
      </c>
      <c r="C682" s="517" t="str">
        <f t="shared" si="94"/>
        <v>1Q13</v>
      </c>
      <c r="D682" s="518">
        <f t="shared" si="95"/>
        <v>41327</v>
      </c>
      <c r="E682" s="518">
        <f t="shared" si="95"/>
        <v>41267</v>
      </c>
      <c r="F682" s="520">
        <v>3.923</v>
      </c>
      <c r="G682" s="521">
        <f t="shared" si="91"/>
        <v>0.56000000000000028</v>
      </c>
      <c r="H682" s="521">
        <f t="shared" si="92"/>
        <v>0.56000000000000028</v>
      </c>
      <c r="I682" s="505"/>
      <c r="J682" s="505"/>
      <c r="K682" s="505"/>
      <c r="L682" s="505"/>
      <c r="M682" s="505"/>
      <c r="N682" s="505"/>
      <c r="O682" s="505"/>
      <c r="P682" s="505"/>
      <c r="Q682" s="505"/>
      <c r="R682" s="505"/>
      <c r="S682" s="505"/>
      <c r="T682" s="505"/>
      <c r="U682" s="505"/>
      <c r="V682" s="505"/>
      <c r="W682" s="505"/>
      <c r="X682" s="505"/>
      <c r="Y682" s="505"/>
      <c r="Z682" s="505"/>
      <c r="AA682" s="505"/>
      <c r="AB682" s="505"/>
      <c r="AC682" s="505"/>
      <c r="AD682" s="505"/>
      <c r="AE682" s="505"/>
      <c r="AF682" s="505"/>
      <c r="AG682" s="505"/>
      <c r="AH682" s="505"/>
      <c r="AI682" s="505"/>
      <c r="AJ682" s="505"/>
      <c r="AK682" s="505"/>
      <c r="AL682" s="505"/>
      <c r="AM682" s="505"/>
      <c r="AN682" s="505"/>
      <c r="AO682" s="505"/>
      <c r="AP682" s="505"/>
      <c r="AQ682" s="505"/>
      <c r="AR682" s="505"/>
      <c r="AS682" s="505"/>
      <c r="AT682" s="505"/>
      <c r="AU682" s="505"/>
      <c r="AV682" s="505"/>
      <c r="AW682" s="505"/>
      <c r="AX682" s="505"/>
      <c r="AY682" s="505"/>
      <c r="AZ682" s="505"/>
      <c r="BA682" s="505"/>
      <c r="BB682" s="505"/>
      <c r="BC682" s="505"/>
      <c r="BD682" s="505"/>
      <c r="BE682" s="505"/>
      <c r="BF682" s="505"/>
      <c r="BG682" s="505"/>
      <c r="BH682" s="505"/>
      <c r="BI682" s="505"/>
      <c r="BJ682" s="505"/>
      <c r="BK682" s="505"/>
      <c r="BL682" s="505"/>
      <c r="BM682" s="505"/>
      <c r="BN682" s="505"/>
      <c r="BO682" s="505"/>
      <c r="BP682" s="505"/>
      <c r="BQ682" s="505"/>
      <c r="BR682" s="505"/>
      <c r="BS682" s="505"/>
      <c r="BT682" s="505"/>
      <c r="BU682" s="505"/>
      <c r="BV682" s="505"/>
      <c r="BW682" s="505"/>
      <c r="BX682" s="505"/>
      <c r="BY682" s="505"/>
      <c r="BZ682" s="505"/>
      <c r="CA682" s="505"/>
      <c r="CB682" s="505"/>
      <c r="CC682" s="505"/>
      <c r="CD682" s="505"/>
      <c r="CE682" s="505"/>
      <c r="CF682" s="505"/>
      <c r="CG682" s="505"/>
      <c r="CH682" s="505"/>
      <c r="CI682" s="505"/>
      <c r="CJ682" s="505"/>
      <c r="CK682" s="505"/>
      <c r="CL682" s="505"/>
      <c r="CM682" s="505"/>
      <c r="CN682" s="505"/>
      <c r="CO682" s="505"/>
      <c r="CP682" s="505"/>
      <c r="CQ682" s="505"/>
      <c r="CR682" s="505"/>
      <c r="CS682" s="505"/>
      <c r="CT682" s="505"/>
      <c r="CU682" s="505"/>
      <c r="CV682" s="505"/>
      <c r="CW682" s="505"/>
      <c r="CX682" s="505"/>
      <c r="CY682" s="505"/>
      <c r="CZ682" s="505"/>
      <c r="DA682" s="505"/>
      <c r="DB682" s="505"/>
      <c r="DC682" s="505"/>
      <c r="DD682" s="505"/>
      <c r="DE682" s="505"/>
      <c r="DF682" s="505"/>
      <c r="DG682" s="505"/>
      <c r="DH682" s="505"/>
      <c r="DI682" s="505"/>
      <c r="DJ682" s="505"/>
      <c r="DK682" s="505"/>
      <c r="DL682" s="505"/>
      <c r="DM682" s="505"/>
      <c r="DN682" s="505"/>
      <c r="DO682" s="505"/>
      <c r="DP682" s="505"/>
    </row>
    <row r="683" spans="1:120" x14ac:dyDescent="0.2">
      <c r="A683" s="517">
        <f t="shared" si="93"/>
        <v>41244</v>
      </c>
      <c r="B683" s="517" t="str">
        <f t="shared" si="90"/>
        <v>4Q12</v>
      </c>
      <c r="C683" s="517" t="str">
        <f t="shared" si="94"/>
        <v>1Q13</v>
      </c>
      <c r="D683" s="518">
        <f t="shared" si="95"/>
        <v>41334</v>
      </c>
      <c r="E683" s="518">
        <f t="shared" si="95"/>
        <v>41274</v>
      </c>
      <c r="F683" s="520">
        <v>3.9180000000000001</v>
      </c>
      <c r="G683" s="521">
        <f t="shared" si="91"/>
        <v>0.56000000000000028</v>
      </c>
      <c r="H683" s="521">
        <f t="shared" si="92"/>
        <v>0.56000000000000028</v>
      </c>
      <c r="I683" s="505"/>
      <c r="J683" s="505"/>
      <c r="K683" s="505"/>
      <c r="L683" s="505"/>
      <c r="M683" s="505"/>
      <c r="N683" s="505"/>
      <c r="O683" s="505"/>
      <c r="P683" s="505"/>
      <c r="Q683" s="505"/>
      <c r="R683" s="505"/>
      <c r="S683" s="505"/>
      <c r="T683" s="505"/>
      <c r="U683" s="505"/>
      <c r="V683" s="505"/>
      <c r="W683" s="505"/>
      <c r="X683" s="505"/>
      <c r="Y683" s="505"/>
      <c r="Z683" s="505"/>
      <c r="AA683" s="505"/>
      <c r="AB683" s="505"/>
      <c r="AC683" s="505"/>
      <c r="AD683" s="505"/>
      <c r="AE683" s="505"/>
      <c r="AF683" s="505"/>
      <c r="AG683" s="505"/>
      <c r="AH683" s="505"/>
      <c r="AI683" s="505"/>
      <c r="AJ683" s="505"/>
      <c r="AK683" s="505"/>
      <c r="AL683" s="505"/>
      <c r="AM683" s="505"/>
      <c r="AN683" s="505"/>
      <c r="AO683" s="505"/>
      <c r="AP683" s="505"/>
      <c r="AQ683" s="505"/>
      <c r="AR683" s="505"/>
      <c r="AS683" s="505"/>
      <c r="AT683" s="505"/>
      <c r="AU683" s="505"/>
      <c r="AV683" s="505"/>
      <c r="AW683" s="505"/>
      <c r="AX683" s="505"/>
      <c r="AY683" s="505"/>
      <c r="AZ683" s="505"/>
      <c r="BA683" s="505"/>
      <c r="BB683" s="505"/>
      <c r="BC683" s="505"/>
      <c r="BD683" s="505"/>
      <c r="BE683" s="505"/>
      <c r="BF683" s="505"/>
      <c r="BG683" s="505"/>
      <c r="BH683" s="505"/>
      <c r="BI683" s="505"/>
      <c r="BJ683" s="505"/>
      <c r="BK683" s="505"/>
      <c r="BL683" s="505"/>
      <c r="BM683" s="505"/>
      <c r="BN683" s="505"/>
      <c r="BO683" s="505"/>
      <c r="BP683" s="505"/>
      <c r="BQ683" s="505"/>
      <c r="BR683" s="505"/>
      <c r="BS683" s="505"/>
      <c r="BT683" s="505"/>
      <c r="BU683" s="505"/>
      <c r="BV683" s="505"/>
      <c r="BW683" s="505"/>
      <c r="BX683" s="505"/>
      <c r="BY683" s="505"/>
      <c r="BZ683" s="505"/>
      <c r="CA683" s="505"/>
      <c r="CB683" s="505"/>
      <c r="CC683" s="505"/>
      <c r="CD683" s="505"/>
      <c r="CE683" s="505"/>
      <c r="CF683" s="505"/>
      <c r="CG683" s="505"/>
      <c r="CH683" s="505"/>
      <c r="CI683" s="505"/>
      <c r="CJ683" s="505"/>
      <c r="CK683" s="505"/>
      <c r="CL683" s="505"/>
      <c r="CM683" s="505"/>
      <c r="CN683" s="505"/>
      <c r="CO683" s="505"/>
      <c r="CP683" s="505"/>
      <c r="CQ683" s="505"/>
      <c r="CR683" s="505"/>
      <c r="CS683" s="505"/>
      <c r="CT683" s="505"/>
      <c r="CU683" s="505"/>
      <c r="CV683" s="505"/>
      <c r="CW683" s="505"/>
      <c r="CX683" s="505"/>
      <c r="CY683" s="505"/>
      <c r="CZ683" s="505"/>
      <c r="DA683" s="505"/>
      <c r="DB683" s="505"/>
      <c r="DC683" s="505"/>
      <c r="DD683" s="505"/>
      <c r="DE683" s="505"/>
      <c r="DF683" s="505"/>
      <c r="DG683" s="505"/>
      <c r="DH683" s="505"/>
      <c r="DI683" s="505"/>
      <c r="DJ683" s="505"/>
      <c r="DK683" s="505"/>
      <c r="DL683" s="505"/>
      <c r="DM683" s="505"/>
      <c r="DN683" s="505"/>
      <c r="DO683" s="505"/>
      <c r="DP683" s="505"/>
    </row>
    <row r="684" spans="1:120" x14ac:dyDescent="0.2">
      <c r="A684" s="517">
        <f t="shared" si="93"/>
        <v>41275</v>
      </c>
      <c r="B684" s="517" t="str">
        <f t="shared" si="90"/>
        <v>1Q13</v>
      </c>
      <c r="C684" s="517" t="str">
        <f t="shared" si="94"/>
        <v>1Q13</v>
      </c>
      <c r="D684" s="518">
        <f t="shared" si="95"/>
        <v>41341</v>
      </c>
      <c r="E684" s="518">
        <f t="shared" si="95"/>
        <v>41281</v>
      </c>
      <c r="F684" s="520">
        <v>3.911</v>
      </c>
      <c r="G684" s="521">
        <f t="shared" si="91"/>
        <v>0.56000000000000028</v>
      </c>
      <c r="H684" s="521">
        <f t="shared" si="92"/>
        <v>0.55000000000000027</v>
      </c>
      <c r="I684" s="505"/>
      <c r="J684" s="505"/>
      <c r="K684" s="505"/>
      <c r="L684" s="505"/>
      <c r="M684" s="505"/>
      <c r="N684" s="505"/>
      <c r="O684" s="505"/>
      <c r="P684" s="505"/>
      <c r="Q684" s="505"/>
      <c r="R684" s="505"/>
      <c r="S684" s="505"/>
      <c r="T684" s="505"/>
      <c r="U684" s="505"/>
      <c r="V684" s="505"/>
      <c r="W684" s="505"/>
      <c r="X684" s="505"/>
      <c r="Y684" s="505"/>
      <c r="Z684" s="505"/>
      <c r="AA684" s="505"/>
      <c r="AB684" s="505"/>
      <c r="AC684" s="505"/>
      <c r="AD684" s="505"/>
      <c r="AE684" s="505"/>
      <c r="AF684" s="505"/>
      <c r="AG684" s="505"/>
      <c r="AH684" s="505"/>
      <c r="AI684" s="505"/>
      <c r="AJ684" s="505"/>
      <c r="AK684" s="505"/>
      <c r="AL684" s="505"/>
      <c r="AM684" s="505"/>
      <c r="AN684" s="505"/>
      <c r="AO684" s="505"/>
      <c r="AP684" s="505"/>
      <c r="AQ684" s="505"/>
      <c r="AR684" s="505"/>
      <c r="AS684" s="505"/>
      <c r="AT684" s="505"/>
      <c r="AU684" s="505"/>
      <c r="AV684" s="505"/>
      <c r="AW684" s="505"/>
      <c r="AX684" s="505"/>
      <c r="AY684" s="505"/>
      <c r="AZ684" s="505"/>
      <c r="BA684" s="505"/>
      <c r="BB684" s="505"/>
      <c r="BC684" s="505"/>
      <c r="BD684" s="505"/>
      <c r="BE684" s="505"/>
      <c r="BF684" s="505"/>
      <c r="BG684" s="505"/>
      <c r="BH684" s="505"/>
      <c r="BI684" s="505"/>
      <c r="BJ684" s="505"/>
      <c r="BK684" s="505"/>
      <c r="BL684" s="505"/>
      <c r="BM684" s="505"/>
      <c r="BN684" s="505"/>
      <c r="BO684" s="505"/>
      <c r="BP684" s="505"/>
      <c r="BQ684" s="505"/>
      <c r="BR684" s="505"/>
      <c r="BS684" s="505"/>
      <c r="BT684" s="505"/>
      <c r="BU684" s="505"/>
      <c r="BV684" s="505"/>
      <c r="BW684" s="505"/>
      <c r="BX684" s="505"/>
      <c r="BY684" s="505"/>
      <c r="BZ684" s="505"/>
      <c r="CA684" s="505"/>
      <c r="CB684" s="505"/>
      <c r="CC684" s="505"/>
      <c r="CD684" s="505"/>
      <c r="CE684" s="505"/>
      <c r="CF684" s="505"/>
      <c r="CG684" s="505"/>
      <c r="CH684" s="505"/>
      <c r="CI684" s="505"/>
      <c r="CJ684" s="505"/>
      <c r="CK684" s="505"/>
      <c r="CL684" s="505"/>
      <c r="CM684" s="505"/>
      <c r="CN684" s="505"/>
      <c r="CO684" s="505"/>
      <c r="CP684" s="505"/>
      <c r="CQ684" s="505"/>
      <c r="CR684" s="505"/>
      <c r="CS684" s="505"/>
      <c r="CT684" s="505"/>
      <c r="CU684" s="505"/>
      <c r="CV684" s="505"/>
      <c r="CW684" s="505"/>
      <c r="CX684" s="505"/>
      <c r="CY684" s="505"/>
      <c r="CZ684" s="505"/>
      <c r="DA684" s="505"/>
      <c r="DB684" s="505"/>
      <c r="DC684" s="505"/>
      <c r="DD684" s="505"/>
      <c r="DE684" s="505"/>
      <c r="DF684" s="505"/>
      <c r="DG684" s="505"/>
      <c r="DH684" s="505"/>
      <c r="DI684" s="505"/>
      <c r="DJ684" s="505"/>
      <c r="DK684" s="505"/>
      <c r="DL684" s="505"/>
      <c r="DM684" s="505"/>
      <c r="DN684" s="505"/>
      <c r="DO684" s="505"/>
      <c r="DP684" s="505"/>
    </row>
    <row r="685" spans="1:120" x14ac:dyDescent="0.2">
      <c r="A685" s="517">
        <f t="shared" si="93"/>
        <v>41275</v>
      </c>
      <c r="B685" s="517" t="str">
        <f t="shared" si="90"/>
        <v>1Q13</v>
      </c>
      <c r="C685" s="517" t="str">
        <f t="shared" si="94"/>
        <v>1Q13</v>
      </c>
      <c r="D685" s="518">
        <f t="shared" si="95"/>
        <v>41348</v>
      </c>
      <c r="E685" s="518">
        <f t="shared" si="95"/>
        <v>41288</v>
      </c>
      <c r="F685" s="520">
        <v>3.8940000000000001</v>
      </c>
      <c r="G685" s="521">
        <f t="shared" si="91"/>
        <v>0.55000000000000027</v>
      </c>
      <c r="H685" s="521">
        <f t="shared" si="92"/>
        <v>0.56000000000000028</v>
      </c>
      <c r="I685" s="505"/>
      <c r="J685" s="505"/>
      <c r="K685" s="505"/>
      <c r="L685" s="505"/>
      <c r="M685" s="505"/>
      <c r="N685" s="505"/>
      <c r="O685" s="505"/>
      <c r="P685" s="505"/>
      <c r="Q685" s="505"/>
      <c r="R685" s="505"/>
      <c r="S685" s="505"/>
      <c r="T685" s="505"/>
      <c r="U685" s="505"/>
      <c r="V685" s="505"/>
      <c r="W685" s="505"/>
      <c r="X685" s="505"/>
      <c r="Y685" s="505"/>
      <c r="Z685" s="505"/>
      <c r="AA685" s="505"/>
      <c r="AB685" s="505"/>
      <c r="AC685" s="505"/>
      <c r="AD685" s="505"/>
      <c r="AE685" s="505"/>
      <c r="AF685" s="505"/>
      <c r="AG685" s="505"/>
      <c r="AH685" s="505"/>
      <c r="AI685" s="505"/>
      <c r="AJ685" s="505"/>
      <c r="AK685" s="505"/>
      <c r="AL685" s="505"/>
      <c r="AM685" s="505"/>
      <c r="AN685" s="505"/>
      <c r="AO685" s="505"/>
      <c r="AP685" s="505"/>
      <c r="AQ685" s="505"/>
      <c r="AR685" s="505"/>
      <c r="AS685" s="505"/>
      <c r="AT685" s="505"/>
      <c r="AU685" s="505"/>
      <c r="AV685" s="505"/>
      <c r="AW685" s="505"/>
      <c r="AX685" s="505"/>
      <c r="AY685" s="505"/>
      <c r="AZ685" s="505"/>
      <c r="BA685" s="505"/>
      <c r="BB685" s="505"/>
      <c r="BC685" s="505"/>
      <c r="BD685" s="505"/>
      <c r="BE685" s="505"/>
      <c r="BF685" s="505"/>
      <c r="BG685" s="505"/>
      <c r="BH685" s="505"/>
      <c r="BI685" s="505"/>
      <c r="BJ685" s="505"/>
      <c r="BK685" s="505"/>
      <c r="BL685" s="505"/>
      <c r="BM685" s="505"/>
      <c r="BN685" s="505"/>
      <c r="BO685" s="505"/>
      <c r="BP685" s="505"/>
      <c r="BQ685" s="505"/>
      <c r="BR685" s="505"/>
      <c r="BS685" s="505"/>
      <c r="BT685" s="505"/>
      <c r="BU685" s="505"/>
      <c r="BV685" s="505"/>
      <c r="BW685" s="505"/>
      <c r="BX685" s="505"/>
      <c r="BY685" s="505"/>
      <c r="BZ685" s="505"/>
      <c r="CA685" s="505"/>
      <c r="CB685" s="505"/>
      <c r="CC685" s="505"/>
      <c r="CD685" s="505"/>
      <c r="CE685" s="505"/>
      <c r="CF685" s="505"/>
      <c r="CG685" s="505"/>
      <c r="CH685" s="505"/>
      <c r="CI685" s="505"/>
      <c r="CJ685" s="505"/>
      <c r="CK685" s="505"/>
      <c r="CL685" s="505"/>
      <c r="CM685" s="505"/>
      <c r="CN685" s="505"/>
      <c r="CO685" s="505"/>
      <c r="CP685" s="505"/>
      <c r="CQ685" s="505"/>
      <c r="CR685" s="505"/>
      <c r="CS685" s="505"/>
      <c r="CT685" s="505"/>
      <c r="CU685" s="505"/>
      <c r="CV685" s="505"/>
      <c r="CW685" s="505"/>
      <c r="CX685" s="505"/>
      <c r="CY685" s="505"/>
      <c r="CZ685" s="505"/>
      <c r="DA685" s="505"/>
      <c r="DB685" s="505"/>
      <c r="DC685" s="505"/>
      <c r="DD685" s="505"/>
      <c r="DE685" s="505"/>
      <c r="DF685" s="505"/>
      <c r="DG685" s="505"/>
      <c r="DH685" s="505"/>
      <c r="DI685" s="505"/>
      <c r="DJ685" s="505"/>
      <c r="DK685" s="505"/>
      <c r="DL685" s="505"/>
      <c r="DM685" s="505"/>
      <c r="DN685" s="505"/>
      <c r="DO685" s="505"/>
      <c r="DP685" s="505"/>
    </row>
    <row r="686" spans="1:120" x14ac:dyDescent="0.2">
      <c r="A686" s="517">
        <f t="shared" si="93"/>
        <v>41275</v>
      </c>
      <c r="B686" s="517" t="str">
        <f t="shared" si="90"/>
        <v>1Q13</v>
      </c>
      <c r="C686" s="517" t="str">
        <f t="shared" si="94"/>
        <v>1Q13</v>
      </c>
      <c r="D686" s="518">
        <f t="shared" si="95"/>
        <v>41355</v>
      </c>
      <c r="E686" s="518">
        <f t="shared" si="95"/>
        <v>41295</v>
      </c>
      <c r="F686" s="520">
        <v>3.9020000000000001</v>
      </c>
      <c r="G686" s="521">
        <f t="shared" si="91"/>
        <v>0.56000000000000028</v>
      </c>
      <c r="H686" s="521">
        <f t="shared" si="92"/>
        <v>0.56000000000000028</v>
      </c>
      <c r="I686" s="505"/>
      <c r="J686" s="505"/>
      <c r="K686" s="505"/>
      <c r="L686" s="505"/>
      <c r="M686" s="505"/>
      <c r="N686" s="505"/>
      <c r="O686" s="505"/>
      <c r="P686" s="505"/>
      <c r="Q686" s="505"/>
      <c r="R686" s="505"/>
      <c r="S686" s="505"/>
      <c r="T686" s="505"/>
      <c r="U686" s="505"/>
      <c r="V686" s="505"/>
      <c r="W686" s="505"/>
      <c r="X686" s="505"/>
      <c r="Y686" s="505"/>
      <c r="Z686" s="505"/>
      <c r="AA686" s="505"/>
      <c r="AB686" s="505"/>
      <c r="AC686" s="505"/>
      <c r="AD686" s="505"/>
      <c r="AE686" s="505"/>
      <c r="AF686" s="505"/>
      <c r="AG686" s="505"/>
      <c r="AH686" s="505"/>
      <c r="AI686" s="505"/>
      <c r="AJ686" s="505"/>
      <c r="AK686" s="505"/>
      <c r="AL686" s="505"/>
      <c r="AM686" s="505"/>
      <c r="AN686" s="505"/>
      <c r="AO686" s="505"/>
      <c r="AP686" s="505"/>
      <c r="AQ686" s="505"/>
      <c r="AR686" s="505"/>
      <c r="AS686" s="505"/>
      <c r="AT686" s="505"/>
      <c r="AU686" s="505"/>
      <c r="AV686" s="505"/>
      <c r="AW686" s="505"/>
      <c r="AX686" s="505"/>
      <c r="AY686" s="505"/>
      <c r="AZ686" s="505"/>
      <c r="BA686" s="505"/>
      <c r="BB686" s="505"/>
      <c r="BC686" s="505"/>
      <c r="BD686" s="505"/>
      <c r="BE686" s="505"/>
      <c r="BF686" s="505"/>
      <c r="BG686" s="505"/>
      <c r="BH686" s="505"/>
      <c r="BI686" s="505"/>
      <c r="BJ686" s="505"/>
      <c r="BK686" s="505"/>
      <c r="BL686" s="505"/>
      <c r="BM686" s="505"/>
      <c r="BN686" s="505"/>
      <c r="BO686" s="505"/>
      <c r="BP686" s="505"/>
      <c r="BQ686" s="505"/>
      <c r="BR686" s="505"/>
      <c r="BS686" s="505"/>
      <c r="BT686" s="505"/>
      <c r="BU686" s="505"/>
      <c r="BV686" s="505"/>
      <c r="BW686" s="505"/>
      <c r="BX686" s="505"/>
      <c r="BY686" s="505"/>
      <c r="BZ686" s="505"/>
      <c r="CA686" s="505"/>
      <c r="CB686" s="505"/>
      <c r="CC686" s="505"/>
      <c r="CD686" s="505"/>
      <c r="CE686" s="505"/>
      <c r="CF686" s="505"/>
      <c r="CG686" s="505"/>
      <c r="CH686" s="505"/>
      <c r="CI686" s="505"/>
      <c r="CJ686" s="505"/>
      <c r="CK686" s="505"/>
      <c r="CL686" s="505"/>
      <c r="CM686" s="505"/>
      <c r="CN686" s="505"/>
      <c r="CO686" s="505"/>
      <c r="CP686" s="505"/>
      <c r="CQ686" s="505"/>
      <c r="CR686" s="505"/>
      <c r="CS686" s="505"/>
      <c r="CT686" s="505"/>
      <c r="CU686" s="505"/>
      <c r="CV686" s="505"/>
      <c r="CW686" s="505"/>
      <c r="CX686" s="505"/>
      <c r="CY686" s="505"/>
      <c r="CZ686" s="505"/>
      <c r="DA686" s="505"/>
      <c r="DB686" s="505"/>
      <c r="DC686" s="505"/>
      <c r="DD686" s="505"/>
      <c r="DE686" s="505"/>
      <c r="DF686" s="505"/>
      <c r="DG686" s="505"/>
      <c r="DH686" s="505"/>
      <c r="DI686" s="505"/>
      <c r="DJ686" s="505"/>
      <c r="DK686" s="505"/>
      <c r="DL686" s="505"/>
      <c r="DM686" s="505"/>
      <c r="DN686" s="505"/>
      <c r="DO686" s="505"/>
      <c r="DP686" s="505"/>
    </row>
    <row r="687" spans="1:120" x14ac:dyDescent="0.2">
      <c r="A687" s="517">
        <f t="shared" si="93"/>
        <v>41275</v>
      </c>
      <c r="B687" s="517" t="str">
        <f t="shared" si="90"/>
        <v>1Q13</v>
      </c>
      <c r="C687" s="517" t="str">
        <f t="shared" si="94"/>
        <v>1Q13</v>
      </c>
      <c r="D687" s="518">
        <f t="shared" si="95"/>
        <v>41362</v>
      </c>
      <c r="E687" s="518">
        <f t="shared" si="95"/>
        <v>41302</v>
      </c>
      <c r="F687" s="520">
        <v>3.927</v>
      </c>
      <c r="G687" s="521">
        <f t="shared" si="91"/>
        <v>0.56000000000000028</v>
      </c>
      <c r="H687" s="521">
        <f t="shared" si="92"/>
        <v>0.58000000000000029</v>
      </c>
      <c r="I687" s="505"/>
      <c r="J687" s="505"/>
      <c r="K687" s="505"/>
      <c r="L687" s="505"/>
      <c r="M687" s="505"/>
      <c r="N687" s="505"/>
      <c r="O687" s="505"/>
      <c r="P687" s="505"/>
      <c r="Q687" s="505"/>
      <c r="R687" s="505"/>
      <c r="S687" s="505"/>
      <c r="T687" s="505"/>
      <c r="U687" s="505"/>
      <c r="V687" s="505"/>
      <c r="W687" s="505"/>
      <c r="X687" s="505"/>
      <c r="Y687" s="505"/>
      <c r="Z687" s="505"/>
      <c r="AA687" s="505"/>
      <c r="AB687" s="505"/>
      <c r="AC687" s="505"/>
      <c r="AD687" s="505"/>
      <c r="AE687" s="505"/>
      <c r="AF687" s="505"/>
      <c r="AG687" s="505"/>
      <c r="AH687" s="505"/>
      <c r="AI687" s="505"/>
      <c r="AJ687" s="505"/>
      <c r="AK687" s="505"/>
      <c r="AL687" s="505"/>
      <c r="AM687" s="505"/>
      <c r="AN687" s="505"/>
      <c r="AO687" s="505"/>
      <c r="AP687" s="505"/>
      <c r="AQ687" s="505"/>
      <c r="AR687" s="505"/>
      <c r="AS687" s="505"/>
      <c r="AT687" s="505"/>
      <c r="AU687" s="505"/>
      <c r="AV687" s="505"/>
      <c r="AW687" s="505"/>
      <c r="AX687" s="505"/>
      <c r="AY687" s="505"/>
      <c r="AZ687" s="505"/>
      <c r="BA687" s="505"/>
      <c r="BB687" s="505"/>
      <c r="BC687" s="505"/>
      <c r="BD687" s="505"/>
      <c r="BE687" s="505"/>
      <c r="BF687" s="505"/>
      <c r="BG687" s="505"/>
      <c r="BH687" s="505"/>
      <c r="BI687" s="505"/>
      <c r="BJ687" s="505"/>
      <c r="BK687" s="505"/>
      <c r="BL687" s="505"/>
      <c r="BM687" s="505"/>
      <c r="BN687" s="505"/>
      <c r="BO687" s="505"/>
      <c r="BP687" s="505"/>
      <c r="BQ687" s="505"/>
      <c r="BR687" s="505"/>
      <c r="BS687" s="505"/>
      <c r="BT687" s="505"/>
      <c r="BU687" s="505"/>
      <c r="BV687" s="505"/>
      <c r="BW687" s="505"/>
      <c r="BX687" s="505"/>
      <c r="BY687" s="505"/>
      <c r="BZ687" s="505"/>
      <c r="CA687" s="505"/>
      <c r="CB687" s="505"/>
      <c r="CC687" s="505"/>
      <c r="CD687" s="505"/>
      <c r="CE687" s="505"/>
      <c r="CF687" s="505"/>
      <c r="CG687" s="505"/>
      <c r="CH687" s="505"/>
      <c r="CI687" s="505"/>
      <c r="CJ687" s="505"/>
      <c r="CK687" s="505"/>
      <c r="CL687" s="505"/>
      <c r="CM687" s="505"/>
      <c r="CN687" s="505"/>
      <c r="CO687" s="505"/>
      <c r="CP687" s="505"/>
      <c r="CQ687" s="505"/>
      <c r="CR687" s="505"/>
      <c r="CS687" s="505"/>
      <c r="CT687" s="505"/>
      <c r="CU687" s="505"/>
      <c r="CV687" s="505"/>
      <c r="CW687" s="505"/>
      <c r="CX687" s="505"/>
      <c r="CY687" s="505"/>
      <c r="CZ687" s="505"/>
      <c r="DA687" s="505"/>
      <c r="DB687" s="505"/>
      <c r="DC687" s="505"/>
      <c r="DD687" s="505"/>
      <c r="DE687" s="505"/>
      <c r="DF687" s="505"/>
      <c r="DG687" s="505"/>
      <c r="DH687" s="505"/>
      <c r="DI687" s="505"/>
      <c r="DJ687" s="505"/>
      <c r="DK687" s="505"/>
      <c r="DL687" s="505"/>
      <c r="DM687" s="505"/>
      <c r="DN687" s="505"/>
      <c r="DO687" s="505"/>
      <c r="DP687" s="505"/>
    </row>
    <row r="688" spans="1:120" x14ac:dyDescent="0.2">
      <c r="A688" s="517">
        <f t="shared" si="93"/>
        <v>41306</v>
      </c>
      <c r="B688" s="517" t="str">
        <f t="shared" si="90"/>
        <v>1Q13</v>
      </c>
      <c r="C688" s="517" t="str">
        <f t="shared" si="94"/>
        <v>2Q13</v>
      </c>
      <c r="D688" s="518">
        <f t="shared" si="95"/>
        <v>41369</v>
      </c>
      <c r="E688" s="518">
        <f t="shared" si="95"/>
        <v>41309</v>
      </c>
      <c r="F688" s="520">
        <v>4.0220000000000002</v>
      </c>
      <c r="G688" s="521">
        <f t="shared" si="91"/>
        <v>0.58000000000000029</v>
      </c>
      <c r="H688" s="521">
        <f t="shared" si="92"/>
        <v>0.60000000000000031</v>
      </c>
      <c r="I688" s="505"/>
      <c r="J688" s="505"/>
      <c r="K688" s="505"/>
      <c r="L688" s="505"/>
      <c r="M688" s="505"/>
      <c r="N688" s="505"/>
      <c r="O688" s="505"/>
      <c r="P688" s="505"/>
      <c r="Q688" s="505"/>
      <c r="R688" s="505"/>
      <c r="S688" s="505"/>
      <c r="T688" s="505"/>
      <c r="U688" s="505"/>
      <c r="V688" s="505"/>
      <c r="W688" s="505"/>
      <c r="X688" s="505"/>
      <c r="Y688" s="505"/>
      <c r="Z688" s="505"/>
      <c r="AA688" s="505"/>
      <c r="AB688" s="505"/>
      <c r="AC688" s="505"/>
      <c r="AD688" s="505"/>
      <c r="AE688" s="505"/>
      <c r="AF688" s="505"/>
      <c r="AG688" s="505"/>
      <c r="AH688" s="505"/>
      <c r="AI688" s="505"/>
      <c r="AJ688" s="505"/>
      <c r="AK688" s="505"/>
      <c r="AL688" s="505"/>
      <c r="AM688" s="505"/>
      <c r="AN688" s="505"/>
      <c r="AO688" s="505"/>
      <c r="AP688" s="505"/>
      <c r="AQ688" s="505"/>
      <c r="AR688" s="505"/>
      <c r="AS688" s="505"/>
      <c r="AT688" s="505"/>
      <c r="AU688" s="505"/>
      <c r="AV688" s="505"/>
      <c r="AW688" s="505"/>
      <c r="AX688" s="505"/>
      <c r="AY688" s="505"/>
      <c r="AZ688" s="505"/>
      <c r="BA688" s="505"/>
      <c r="BB688" s="505"/>
      <c r="BC688" s="505"/>
      <c r="BD688" s="505"/>
      <c r="BE688" s="505"/>
      <c r="BF688" s="505"/>
      <c r="BG688" s="505"/>
      <c r="BH688" s="505"/>
      <c r="BI688" s="505"/>
      <c r="BJ688" s="505"/>
      <c r="BK688" s="505"/>
      <c r="BL688" s="505"/>
      <c r="BM688" s="505"/>
      <c r="BN688" s="505"/>
      <c r="BO688" s="505"/>
      <c r="BP688" s="505"/>
      <c r="BQ688" s="505"/>
      <c r="BR688" s="505"/>
      <c r="BS688" s="505"/>
      <c r="BT688" s="505"/>
      <c r="BU688" s="505"/>
      <c r="BV688" s="505"/>
      <c r="BW688" s="505"/>
      <c r="BX688" s="505"/>
      <c r="BY688" s="505"/>
      <c r="BZ688" s="505"/>
      <c r="CA688" s="505"/>
      <c r="CB688" s="505"/>
      <c r="CC688" s="505"/>
      <c r="CD688" s="505"/>
      <c r="CE688" s="505"/>
      <c r="CF688" s="505"/>
      <c r="CG688" s="505"/>
      <c r="CH688" s="505"/>
      <c r="CI688" s="505"/>
      <c r="CJ688" s="505"/>
      <c r="CK688" s="505"/>
      <c r="CL688" s="505"/>
      <c r="CM688" s="505"/>
      <c r="CN688" s="505"/>
      <c r="CO688" s="505"/>
      <c r="CP688" s="505"/>
      <c r="CQ688" s="505"/>
      <c r="CR688" s="505"/>
      <c r="CS688" s="505"/>
      <c r="CT688" s="505"/>
      <c r="CU688" s="505"/>
      <c r="CV688" s="505"/>
      <c r="CW688" s="505"/>
      <c r="CX688" s="505"/>
      <c r="CY688" s="505"/>
      <c r="CZ688" s="505"/>
      <c r="DA688" s="505"/>
      <c r="DB688" s="505"/>
      <c r="DC688" s="505"/>
      <c r="DD688" s="505"/>
      <c r="DE688" s="505"/>
      <c r="DF688" s="505"/>
      <c r="DG688" s="505"/>
      <c r="DH688" s="505"/>
      <c r="DI688" s="505"/>
      <c r="DJ688" s="505"/>
      <c r="DK688" s="505"/>
      <c r="DL688" s="505"/>
      <c r="DM688" s="505"/>
      <c r="DN688" s="505"/>
      <c r="DO688" s="505"/>
      <c r="DP688" s="505"/>
    </row>
    <row r="689" spans="1:120" x14ac:dyDescent="0.2">
      <c r="A689" s="517">
        <f t="shared" si="93"/>
        <v>41306</v>
      </c>
      <c r="B689" s="517" t="str">
        <f t="shared" si="90"/>
        <v>1Q13</v>
      </c>
      <c r="C689" s="517" t="str">
        <f t="shared" si="94"/>
        <v>2Q13</v>
      </c>
      <c r="D689" s="518">
        <f t="shared" si="95"/>
        <v>41376</v>
      </c>
      <c r="E689" s="518">
        <f t="shared" si="95"/>
        <v>41316</v>
      </c>
      <c r="F689" s="520">
        <v>4.1040000000000001</v>
      </c>
      <c r="G689" s="521">
        <f t="shared" si="91"/>
        <v>0.60000000000000031</v>
      </c>
      <c r="H689" s="521">
        <f t="shared" si="92"/>
        <v>0.61000000000000032</v>
      </c>
      <c r="I689" s="505"/>
      <c r="J689" s="505"/>
      <c r="K689" s="505"/>
      <c r="L689" s="505"/>
      <c r="M689" s="505"/>
      <c r="N689" s="505"/>
      <c r="O689" s="505"/>
      <c r="P689" s="505"/>
      <c r="Q689" s="505"/>
      <c r="R689" s="505"/>
      <c r="S689" s="505"/>
      <c r="T689" s="505"/>
      <c r="U689" s="505"/>
      <c r="V689" s="505"/>
      <c r="W689" s="505"/>
      <c r="X689" s="505"/>
      <c r="Y689" s="505"/>
      <c r="Z689" s="505"/>
      <c r="AA689" s="505"/>
      <c r="AB689" s="505"/>
      <c r="AC689" s="505"/>
      <c r="AD689" s="505"/>
      <c r="AE689" s="505"/>
      <c r="AF689" s="505"/>
      <c r="AG689" s="505"/>
      <c r="AH689" s="505"/>
      <c r="AI689" s="505"/>
      <c r="AJ689" s="505"/>
      <c r="AK689" s="505"/>
      <c r="AL689" s="505"/>
      <c r="AM689" s="505"/>
      <c r="AN689" s="505"/>
      <c r="AO689" s="505"/>
      <c r="AP689" s="505"/>
      <c r="AQ689" s="505"/>
      <c r="AR689" s="505"/>
      <c r="AS689" s="505"/>
      <c r="AT689" s="505"/>
      <c r="AU689" s="505"/>
      <c r="AV689" s="505"/>
      <c r="AW689" s="505"/>
      <c r="AX689" s="505"/>
      <c r="AY689" s="505"/>
      <c r="AZ689" s="505"/>
      <c r="BA689" s="505"/>
      <c r="BB689" s="505"/>
      <c r="BC689" s="505"/>
      <c r="BD689" s="505"/>
      <c r="BE689" s="505"/>
      <c r="BF689" s="505"/>
      <c r="BG689" s="505"/>
      <c r="BH689" s="505"/>
      <c r="BI689" s="505"/>
      <c r="BJ689" s="505"/>
      <c r="BK689" s="505"/>
      <c r="BL689" s="505"/>
      <c r="BM689" s="505"/>
      <c r="BN689" s="505"/>
      <c r="BO689" s="505"/>
      <c r="BP689" s="505"/>
      <c r="BQ689" s="505"/>
      <c r="BR689" s="505"/>
      <c r="BS689" s="505"/>
      <c r="BT689" s="505"/>
      <c r="BU689" s="505"/>
      <c r="BV689" s="505"/>
      <c r="BW689" s="505"/>
      <c r="BX689" s="505"/>
      <c r="BY689" s="505"/>
      <c r="BZ689" s="505"/>
      <c r="CA689" s="505"/>
      <c r="CB689" s="505"/>
      <c r="CC689" s="505"/>
      <c r="CD689" s="505"/>
      <c r="CE689" s="505"/>
      <c r="CF689" s="505"/>
      <c r="CG689" s="505"/>
      <c r="CH689" s="505"/>
      <c r="CI689" s="505"/>
      <c r="CJ689" s="505"/>
      <c r="CK689" s="505"/>
      <c r="CL689" s="505"/>
      <c r="CM689" s="505"/>
      <c r="CN689" s="505"/>
      <c r="CO689" s="505"/>
      <c r="CP689" s="505"/>
      <c r="CQ689" s="505"/>
      <c r="CR689" s="505"/>
      <c r="CS689" s="505"/>
      <c r="CT689" s="505"/>
      <c r="CU689" s="505"/>
      <c r="CV689" s="505"/>
      <c r="CW689" s="505"/>
      <c r="CX689" s="505"/>
      <c r="CY689" s="505"/>
      <c r="CZ689" s="505"/>
      <c r="DA689" s="505"/>
      <c r="DB689" s="505"/>
      <c r="DC689" s="505"/>
      <c r="DD689" s="505"/>
      <c r="DE689" s="505"/>
      <c r="DF689" s="505"/>
      <c r="DG689" s="505"/>
      <c r="DH689" s="505"/>
      <c r="DI689" s="505"/>
      <c r="DJ689" s="505"/>
      <c r="DK689" s="505"/>
      <c r="DL689" s="505"/>
      <c r="DM689" s="505"/>
      <c r="DN689" s="505"/>
      <c r="DO689" s="505"/>
      <c r="DP689" s="505"/>
    </row>
    <row r="690" spans="1:120" x14ac:dyDescent="0.2">
      <c r="A690" s="517">
        <f t="shared" si="93"/>
        <v>41306</v>
      </c>
      <c r="B690" s="517" t="str">
        <f t="shared" si="90"/>
        <v>1Q13</v>
      </c>
      <c r="C690" s="517" t="str">
        <f t="shared" si="94"/>
        <v>2Q13</v>
      </c>
      <c r="D690" s="518">
        <f t="shared" si="95"/>
        <v>41383</v>
      </c>
      <c r="E690" s="518">
        <f t="shared" si="95"/>
        <v>41323</v>
      </c>
      <c r="F690" s="520">
        <v>4.157</v>
      </c>
      <c r="G690" s="521">
        <f t="shared" si="91"/>
        <v>0.61000000000000032</v>
      </c>
      <c r="H690" s="521">
        <f t="shared" si="92"/>
        <v>0.61000000000000032</v>
      </c>
      <c r="I690" s="505"/>
      <c r="J690" s="505"/>
      <c r="K690" s="505"/>
      <c r="L690" s="505"/>
      <c r="M690" s="505"/>
      <c r="N690" s="505"/>
      <c r="O690" s="505"/>
      <c r="P690" s="505"/>
      <c r="Q690" s="505"/>
      <c r="R690" s="505"/>
      <c r="S690" s="505"/>
      <c r="T690" s="505"/>
      <c r="U690" s="505"/>
      <c r="V690" s="505"/>
      <c r="W690" s="505"/>
      <c r="X690" s="505"/>
      <c r="Y690" s="505"/>
      <c r="Z690" s="505"/>
      <c r="AA690" s="505"/>
      <c r="AB690" s="505"/>
      <c r="AC690" s="505"/>
      <c r="AD690" s="505"/>
      <c r="AE690" s="505"/>
      <c r="AF690" s="505"/>
      <c r="AG690" s="505"/>
      <c r="AH690" s="505"/>
      <c r="AI690" s="505"/>
      <c r="AJ690" s="505"/>
      <c r="AK690" s="505"/>
      <c r="AL690" s="505"/>
      <c r="AM690" s="505"/>
      <c r="AN690" s="505"/>
      <c r="AO690" s="505"/>
      <c r="AP690" s="505"/>
      <c r="AQ690" s="505"/>
      <c r="AR690" s="505"/>
      <c r="AS690" s="505"/>
      <c r="AT690" s="505"/>
      <c r="AU690" s="505"/>
      <c r="AV690" s="505"/>
      <c r="AW690" s="505"/>
      <c r="AX690" s="505"/>
      <c r="AY690" s="505"/>
      <c r="AZ690" s="505"/>
      <c r="BA690" s="505"/>
      <c r="BB690" s="505"/>
      <c r="BC690" s="505"/>
      <c r="BD690" s="505"/>
      <c r="BE690" s="505"/>
      <c r="BF690" s="505"/>
      <c r="BG690" s="505"/>
      <c r="BH690" s="505"/>
      <c r="BI690" s="505"/>
      <c r="BJ690" s="505"/>
      <c r="BK690" s="505"/>
      <c r="BL690" s="505"/>
      <c r="BM690" s="505"/>
      <c r="BN690" s="505"/>
      <c r="BO690" s="505"/>
      <c r="BP690" s="505"/>
      <c r="BQ690" s="505"/>
      <c r="BR690" s="505"/>
      <c r="BS690" s="505"/>
      <c r="BT690" s="505"/>
      <c r="BU690" s="505"/>
      <c r="BV690" s="505"/>
      <c r="BW690" s="505"/>
      <c r="BX690" s="505"/>
      <c r="BY690" s="505"/>
      <c r="BZ690" s="505"/>
      <c r="CA690" s="505"/>
      <c r="CB690" s="505"/>
      <c r="CC690" s="505"/>
      <c r="CD690" s="505"/>
      <c r="CE690" s="505"/>
      <c r="CF690" s="505"/>
      <c r="CG690" s="505"/>
      <c r="CH690" s="505"/>
      <c r="CI690" s="505"/>
      <c r="CJ690" s="505"/>
      <c r="CK690" s="505"/>
      <c r="CL690" s="505"/>
      <c r="CM690" s="505"/>
      <c r="CN690" s="505"/>
      <c r="CO690" s="505"/>
      <c r="CP690" s="505"/>
      <c r="CQ690" s="505"/>
      <c r="CR690" s="505"/>
      <c r="CS690" s="505"/>
      <c r="CT690" s="505"/>
      <c r="CU690" s="505"/>
      <c r="CV690" s="505"/>
      <c r="CW690" s="505"/>
      <c r="CX690" s="505"/>
      <c r="CY690" s="505"/>
      <c r="CZ690" s="505"/>
      <c r="DA690" s="505"/>
      <c r="DB690" s="505"/>
      <c r="DC690" s="505"/>
      <c r="DD690" s="505"/>
      <c r="DE690" s="505"/>
      <c r="DF690" s="505"/>
      <c r="DG690" s="505"/>
      <c r="DH690" s="505"/>
      <c r="DI690" s="505"/>
      <c r="DJ690" s="505"/>
      <c r="DK690" s="505"/>
      <c r="DL690" s="505"/>
      <c r="DM690" s="505"/>
      <c r="DN690" s="505"/>
      <c r="DO690" s="505"/>
      <c r="DP690" s="505"/>
    </row>
    <row r="691" spans="1:120" x14ac:dyDescent="0.2">
      <c r="A691" s="517">
        <f t="shared" si="93"/>
        <v>41306</v>
      </c>
      <c r="B691" s="517" t="str">
        <f t="shared" si="90"/>
        <v>1Q13</v>
      </c>
      <c r="C691" s="517" t="str">
        <f t="shared" si="94"/>
        <v>2Q13</v>
      </c>
      <c r="D691" s="518">
        <f t="shared" si="95"/>
        <v>41390</v>
      </c>
      <c r="E691" s="518">
        <f t="shared" si="95"/>
        <v>41330</v>
      </c>
      <c r="F691" s="520">
        <v>4.1589999999999998</v>
      </c>
      <c r="G691" s="521">
        <f t="shared" si="91"/>
        <v>0.61000000000000032</v>
      </c>
      <c r="H691" s="521">
        <f t="shared" si="92"/>
        <v>0.60000000000000031</v>
      </c>
      <c r="I691" s="505"/>
      <c r="J691" s="505"/>
      <c r="K691" s="505"/>
      <c r="L691" s="505"/>
      <c r="M691" s="505"/>
      <c r="N691" s="505"/>
      <c r="O691" s="505"/>
      <c r="P691" s="505"/>
      <c r="Q691" s="505"/>
      <c r="R691" s="505"/>
      <c r="S691" s="505"/>
      <c r="T691" s="505"/>
      <c r="U691" s="505"/>
      <c r="V691" s="505"/>
      <c r="W691" s="505"/>
      <c r="X691" s="505"/>
      <c r="Y691" s="505"/>
      <c r="Z691" s="505"/>
      <c r="AA691" s="505"/>
      <c r="AB691" s="505"/>
      <c r="AC691" s="505"/>
      <c r="AD691" s="505"/>
      <c r="AE691" s="505"/>
      <c r="AF691" s="505"/>
      <c r="AG691" s="505"/>
      <c r="AH691" s="505"/>
      <c r="AI691" s="505"/>
      <c r="AJ691" s="505"/>
      <c r="AK691" s="505"/>
      <c r="AL691" s="505"/>
      <c r="AM691" s="505"/>
      <c r="AN691" s="505"/>
      <c r="AO691" s="505"/>
      <c r="AP691" s="505"/>
      <c r="AQ691" s="505"/>
      <c r="AR691" s="505"/>
      <c r="AS691" s="505"/>
      <c r="AT691" s="505"/>
      <c r="AU691" s="505"/>
      <c r="AV691" s="505"/>
      <c r="AW691" s="505"/>
      <c r="AX691" s="505"/>
      <c r="AY691" s="505"/>
      <c r="AZ691" s="505"/>
      <c r="BA691" s="505"/>
      <c r="BB691" s="505"/>
      <c r="BC691" s="505"/>
      <c r="BD691" s="505"/>
      <c r="BE691" s="505"/>
      <c r="BF691" s="505"/>
      <c r="BG691" s="505"/>
      <c r="BH691" s="505"/>
      <c r="BI691" s="505"/>
      <c r="BJ691" s="505"/>
      <c r="BK691" s="505"/>
      <c r="BL691" s="505"/>
      <c r="BM691" s="505"/>
      <c r="BN691" s="505"/>
      <c r="BO691" s="505"/>
      <c r="BP691" s="505"/>
      <c r="BQ691" s="505"/>
      <c r="BR691" s="505"/>
      <c r="BS691" s="505"/>
      <c r="BT691" s="505"/>
      <c r="BU691" s="505"/>
      <c r="BV691" s="505"/>
      <c r="BW691" s="505"/>
      <c r="BX691" s="505"/>
      <c r="BY691" s="505"/>
      <c r="BZ691" s="505"/>
      <c r="CA691" s="505"/>
      <c r="CB691" s="505"/>
      <c r="CC691" s="505"/>
      <c r="CD691" s="505"/>
      <c r="CE691" s="505"/>
      <c r="CF691" s="505"/>
      <c r="CG691" s="505"/>
      <c r="CH691" s="505"/>
      <c r="CI691" s="505"/>
      <c r="CJ691" s="505"/>
      <c r="CK691" s="505"/>
      <c r="CL691" s="505"/>
      <c r="CM691" s="505"/>
      <c r="CN691" s="505"/>
      <c r="CO691" s="505"/>
      <c r="CP691" s="505"/>
      <c r="CQ691" s="505"/>
      <c r="CR691" s="505"/>
      <c r="CS691" s="505"/>
      <c r="CT691" s="505"/>
      <c r="CU691" s="505"/>
      <c r="CV691" s="505"/>
      <c r="CW691" s="505"/>
      <c r="CX691" s="505"/>
      <c r="CY691" s="505"/>
      <c r="CZ691" s="505"/>
      <c r="DA691" s="505"/>
      <c r="DB691" s="505"/>
      <c r="DC691" s="505"/>
      <c r="DD691" s="505"/>
      <c r="DE691" s="505"/>
      <c r="DF691" s="505"/>
      <c r="DG691" s="505"/>
      <c r="DH691" s="505"/>
      <c r="DI691" s="505"/>
      <c r="DJ691" s="505"/>
      <c r="DK691" s="505"/>
      <c r="DL691" s="505"/>
      <c r="DM691" s="505"/>
      <c r="DN691" s="505"/>
      <c r="DO691" s="505"/>
      <c r="DP691" s="505"/>
    </row>
    <row r="692" spans="1:120" x14ac:dyDescent="0.2">
      <c r="A692" s="517">
        <f t="shared" si="93"/>
        <v>41334</v>
      </c>
      <c r="B692" s="517" t="str">
        <f t="shared" si="90"/>
        <v>1Q13</v>
      </c>
      <c r="C692" s="517" t="str">
        <f t="shared" si="94"/>
        <v>2Q13</v>
      </c>
      <c r="D692" s="518">
        <f t="shared" si="95"/>
        <v>41397</v>
      </c>
      <c r="E692" s="518">
        <f t="shared" si="95"/>
        <v>41337</v>
      </c>
      <c r="F692" s="520">
        <v>4.13</v>
      </c>
      <c r="G692" s="521">
        <f t="shared" si="91"/>
        <v>0.60000000000000031</v>
      </c>
      <c r="H692" s="521">
        <f t="shared" si="92"/>
        <v>0.5900000000000003</v>
      </c>
      <c r="I692" s="505"/>
      <c r="J692" s="505"/>
      <c r="K692" s="505"/>
      <c r="L692" s="505"/>
      <c r="M692" s="505"/>
      <c r="N692" s="505"/>
      <c r="O692" s="505"/>
      <c r="P692" s="505"/>
      <c r="Q692" s="505"/>
      <c r="R692" s="505"/>
      <c r="S692" s="505"/>
      <c r="T692" s="505"/>
      <c r="U692" s="505"/>
      <c r="V692" s="505"/>
      <c r="W692" s="505"/>
      <c r="X692" s="505"/>
      <c r="Y692" s="505"/>
      <c r="Z692" s="505"/>
      <c r="AA692" s="505"/>
      <c r="AB692" s="505"/>
      <c r="AC692" s="505"/>
      <c r="AD692" s="505"/>
      <c r="AE692" s="505"/>
      <c r="AF692" s="505"/>
      <c r="AG692" s="505"/>
      <c r="AH692" s="505"/>
      <c r="AI692" s="505"/>
      <c r="AJ692" s="505"/>
      <c r="AK692" s="505"/>
      <c r="AL692" s="505"/>
      <c r="AM692" s="505"/>
      <c r="AN692" s="505"/>
      <c r="AO692" s="505"/>
      <c r="AP692" s="505"/>
      <c r="AQ692" s="505"/>
      <c r="AR692" s="505"/>
      <c r="AS692" s="505"/>
      <c r="AT692" s="505"/>
      <c r="AU692" s="505"/>
      <c r="AV692" s="505"/>
      <c r="AW692" s="505"/>
      <c r="AX692" s="505"/>
      <c r="AY692" s="505"/>
      <c r="AZ692" s="505"/>
      <c r="BA692" s="505"/>
      <c r="BB692" s="505"/>
      <c r="BC692" s="505"/>
      <c r="BD692" s="505"/>
      <c r="BE692" s="505"/>
      <c r="BF692" s="505"/>
      <c r="BG692" s="505"/>
      <c r="BH692" s="505"/>
      <c r="BI692" s="505"/>
      <c r="BJ692" s="505"/>
      <c r="BK692" s="505"/>
      <c r="BL692" s="505"/>
      <c r="BM692" s="505"/>
      <c r="BN692" s="505"/>
      <c r="BO692" s="505"/>
      <c r="BP692" s="505"/>
      <c r="BQ692" s="505"/>
      <c r="BR692" s="505"/>
      <c r="BS692" s="505"/>
      <c r="BT692" s="505"/>
      <c r="BU692" s="505"/>
      <c r="BV692" s="505"/>
      <c r="BW692" s="505"/>
      <c r="BX692" s="505"/>
      <c r="BY692" s="505"/>
      <c r="BZ692" s="505"/>
      <c r="CA692" s="505"/>
      <c r="CB692" s="505"/>
      <c r="CC692" s="505"/>
      <c r="CD692" s="505"/>
      <c r="CE692" s="505"/>
      <c r="CF692" s="505"/>
      <c r="CG692" s="505"/>
      <c r="CH692" s="505"/>
      <c r="CI692" s="505"/>
      <c r="CJ692" s="505"/>
      <c r="CK692" s="505"/>
      <c r="CL692" s="505"/>
      <c r="CM692" s="505"/>
      <c r="CN692" s="505"/>
      <c r="CO692" s="505"/>
      <c r="CP692" s="505"/>
      <c r="CQ692" s="505"/>
      <c r="CR692" s="505"/>
      <c r="CS692" s="505"/>
      <c r="CT692" s="505"/>
      <c r="CU692" s="505"/>
      <c r="CV692" s="505"/>
      <c r="CW692" s="505"/>
      <c r="CX692" s="505"/>
      <c r="CY692" s="505"/>
      <c r="CZ692" s="505"/>
      <c r="DA692" s="505"/>
      <c r="DB692" s="505"/>
      <c r="DC692" s="505"/>
      <c r="DD692" s="505"/>
      <c r="DE692" s="505"/>
      <c r="DF692" s="505"/>
      <c r="DG692" s="505"/>
      <c r="DH692" s="505"/>
      <c r="DI692" s="505"/>
      <c r="DJ692" s="505"/>
      <c r="DK692" s="505"/>
      <c r="DL692" s="505"/>
      <c r="DM692" s="505"/>
      <c r="DN692" s="505"/>
      <c r="DO692" s="505"/>
      <c r="DP692" s="505"/>
    </row>
    <row r="693" spans="1:120" x14ac:dyDescent="0.2">
      <c r="A693" s="517">
        <f t="shared" si="93"/>
        <v>41334</v>
      </c>
      <c r="B693" s="517" t="str">
        <f t="shared" si="90"/>
        <v>1Q13</v>
      </c>
      <c r="C693" s="517" t="str">
        <f t="shared" si="94"/>
        <v>2Q13</v>
      </c>
      <c r="D693" s="518">
        <f t="shared" si="95"/>
        <v>41404</v>
      </c>
      <c r="E693" s="518">
        <f t="shared" si="95"/>
        <v>41344</v>
      </c>
      <c r="F693" s="520">
        <v>4.0880000000000001</v>
      </c>
      <c r="G693" s="521">
        <f t="shared" si="91"/>
        <v>0.5900000000000003</v>
      </c>
      <c r="H693" s="521">
        <f t="shared" si="92"/>
        <v>0.58000000000000029</v>
      </c>
      <c r="I693" s="505"/>
      <c r="J693" s="505"/>
      <c r="K693" s="505"/>
      <c r="L693" s="505"/>
      <c r="M693" s="505"/>
      <c r="N693" s="505"/>
      <c r="O693" s="505"/>
      <c r="P693" s="505"/>
      <c r="Q693" s="505"/>
      <c r="R693" s="505"/>
      <c r="S693" s="505"/>
      <c r="T693" s="505"/>
      <c r="U693" s="505"/>
      <c r="V693" s="505"/>
      <c r="W693" s="505"/>
      <c r="X693" s="505"/>
      <c r="Y693" s="505"/>
      <c r="Z693" s="505"/>
      <c r="AA693" s="505"/>
      <c r="AB693" s="505"/>
      <c r="AC693" s="505"/>
      <c r="AD693" s="505"/>
      <c r="AE693" s="505"/>
      <c r="AF693" s="505"/>
      <c r="AG693" s="505"/>
      <c r="AH693" s="505"/>
      <c r="AI693" s="505"/>
      <c r="AJ693" s="505"/>
      <c r="AK693" s="505"/>
      <c r="AL693" s="505"/>
      <c r="AM693" s="505"/>
      <c r="AN693" s="505"/>
      <c r="AO693" s="505"/>
      <c r="AP693" s="505"/>
      <c r="AQ693" s="505"/>
      <c r="AR693" s="505"/>
      <c r="AS693" s="505"/>
      <c r="AT693" s="505"/>
      <c r="AU693" s="505"/>
      <c r="AV693" s="505"/>
      <c r="AW693" s="505"/>
      <c r="AX693" s="505"/>
      <c r="AY693" s="505"/>
      <c r="AZ693" s="505"/>
      <c r="BA693" s="505"/>
      <c r="BB693" s="505"/>
      <c r="BC693" s="505"/>
      <c r="BD693" s="505"/>
      <c r="BE693" s="505"/>
      <c r="BF693" s="505"/>
      <c r="BG693" s="505"/>
      <c r="BH693" s="505"/>
      <c r="BI693" s="505"/>
      <c r="BJ693" s="505"/>
      <c r="BK693" s="505"/>
      <c r="BL693" s="505"/>
      <c r="BM693" s="505"/>
      <c r="BN693" s="505"/>
      <c r="BO693" s="505"/>
      <c r="BP693" s="505"/>
      <c r="BQ693" s="505"/>
      <c r="BR693" s="505"/>
      <c r="BS693" s="505"/>
      <c r="BT693" s="505"/>
      <c r="BU693" s="505"/>
      <c r="BV693" s="505"/>
      <c r="BW693" s="505"/>
      <c r="BX693" s="505"/>
      <c r="BY693" s="505"/>
      <c r="BZ693" s="505"/>
      <c r="CA693" s="505"/>
      <c r="CB693" s="505"/>
      <c r="CC693" s="505"/>
      <c r="CD693" s="505"/>
      <c r="CE693" s="505"/>
      <c r="CF693" s="505"/>
      <c r="CG693" s="505"/>
      <c r="CH693" s="505"/>
      <c r="CI693" s="505"/>
      <c r="CJ693" s="505"/>
      <c r="CK693" s="505"/>
      <c r="CL693" s="505"/>
      <c r="CM693" s="505"/>
      <c r="CN693" s="505"/>
      <c r="CO693" s="505"/>
      <c r="CP693" s="505"/>
      <c r="CQ693" s="505"/>
      <c r="CR693" s="505"/>
      <c r="CS693" s="505"/>
      <c r="CT693" s="505"/>
      <c r="CU693" s="505"/>
      <c r="CV693" s="505"/>
      <c r="CW693" s="505"/>
      <c r="CX693" s="505"/>
      <c r="CY693" s="505"/>
      <c r="CZ693" s="505"/>
      <c r="DA693" s="505"/>
      <c r="DB693" s="505"/>
      <c r="DC693" s="505"/>
      <c r="DD693" s="505"/>
      <c r="DE693" s="505"/>
      <c r="DF693" s="505"/>
      <c r="DG693" s="505"/>
      <c r="DH693" s="505"/>
      <c r="DI693" s="505"/>
      <c r="DJ693" s="505"/>
      <c r="DK693" s="505"/>
      <c r="DL693" s="505"/>
      <c r="DM693" s="505"/>
      <c r="DN693" s="505"/>
      <c r="DO693" s="505"/>
      <c r="DP693" s="505"/>
    </row>
    <row r="694" spans="1:120" x14ac:dyDescent="0.2">
      <c r="A694" s="517">
        <f t="shared" si="93"/>
        <v>41334</v>
      </c>
      <c r="B694" s="517" t="str">
        <f t="shared" si="90"/>
        <v>1Q13</v>
      </c>
      <c r="C694" s="517" t="str">
        <f t="shared" si="94"/>
        <v>2Q13</v>
      </c>
      <c r="D694" s="518">
        <f t="shared" si="95"/>
        <v>41411</v>
      </c>
      <c r="E694" s="518">
        <f t="shared" si="95"/>
        <v>41351</v>
      </c>
      <c r="F694" s="520">
        <v>4.0469999999999997</v>
      </c>
      <c r="G694" s="521">
        <f t="shared" si="91"/>
        <v>0.58000000000000029</v>
      </c>
      <c r="H694" s="521">
        <f t="shared" si="92"/>
        <v>0.58000000000000029</v>
      </c>
      <c r="I694" s="505"/>
      <c r="J694" s="505"/>
      <c r="K694" s="505"/>
      <c r="L694" s="505"/>
      <c r="M694" s="505"/>
      <c r="N694" s="505"/>
      <c r="O694" s="505"/>
      <c r="P694" s="505"/>
      <c r="Q694" s="505"/>
      <c r="R694" s="505"/>
      <c r="S694" s="505"/>
      <c r="T694" s="505"/>
      <c r="U694" s="505"/>
      <c r="V694" s="505"/>
      <c r="W694" s="505"/>
      <c r="X694" s="505"/>
      <c r="Y694" s="505"/>
      <c r="Z694" s="505"/>
      <c r="AA694" s="505"/>
      <c r="AB694" s="505"/>
      <c r="AC694" s="505"/>
      <c r="AD694" s="505"/>
      <c r="AE694" s="505"/>
      <c r="AF694" s="505"/>
      <c r="AG694" s="505"/>
      <c r="AH694" s="505"/>
      <c r="AI694" s="505"/>
      <c r="AJ694" s="505"/>
      <c r="AK694" s="505"/>
      <c r="AL694" s="505"/>
      <c r="AM694" s="505"/>
      <c r="AN694" s="505"/>
      <c r="AO694" s="505"/>
      <c r="AP694" s="505"/>
      <c r="AQ694" s="505"/>
      <c r="AR694" s="505"/>
      <c r="AS694" s="505"/>
      <c r="AT694" s="505"/>
      <c r="AU694" s="505"/>
      <c r="AV694" s="505"/>
      <c r="AW694" s="505"/>
      <c r="AX694" s="505"/>
      <c r="AY694" s="505"/>
      <c r="AZ694" s="505"/>
      <c r="BA694" s="505"/>
      <c r="BB694" s="505"/>
      <c r="BC694" s="505"/>
      <c r="BD694" s="505"/>
      <c r="BE694" s="505"/>
      <c r="BF694" s="505"/>
      <c r="BG694" s="505"/>
      <c r="BH694" s="505"/>
      <c r="BI694" s="505"/>
      <c r="BJ694" s="505"/>
      <c r="BK694" s="505"/>
      <c r="BL694" s="505"/>
      <c r="BM694" s="505"/>
      <c r="BN694" s="505"/>
      <c r="BO694" s="505"/>
      <c r="BP694" s="505"/>
      <c r="BQ694" s="505"/>
      <c r="BR694" s="505"/>
      <c r="BS694" s="505"/>
      <c r="BT694" s="505"/>
      <c r="BU694" s="505"/>
      <c r="BV694" s="505"/>
      <c r="BW694" s="505"/>
      <c r="BX694" s="505"/>
      <c r="BY694" s="505"/>
      <c r="BZ694" s="505"/>
      <c r="CA694" s="505"/>
      <c r="CB694" s="505"/>
      <c r="CC694" s="505"/>
      <c r="CD694" s="505"/>
      <c r="CE694" s="505"/>
      <c r="CF694" s="505"/>
      <c r="CG694" s="505"/>
      <c r="CH694" s="505"/>
      <c r="CI694" s="505"/>
      <c r="CJ694" s="505"/>
      <c r="CK694" s="505"/>
      <c r="CL694" s="505"/>
      <c r="CM694" s="505"/>
      <c r="CN694" s="505"/>
      <c r="CO694" s="505"/>
      <c r="CP694" s="505"/>
      <c r="CQ694" s="505"/>
      <c r="CR694" s="505"/>
      <c r="CS694" s="505"/>
      <c r="CT694" s="505"/>
      <c r="CU694" s="505"/>
      <c r="CV694" s="505"/>
      <c r="CW694" s="505"/>
      <c r="CX694" s="505"/>
      <c r="CY694" s="505"/>
      <c r="CZ694" s="505"/>
      <c r="DA694" s="505"/>
      <c r="DB694" s="505"/>
      <c r="DC694" s="505"/>
      <c r="DD694" s="505"/>
      <c r="DE694" s="505"/>
      <c r="DF694" s="505"/>
      <c r="DG694" s="505"/>
      <c r="DH694" s="505"/>
      <c r="DI694" s="505"/>
      <c r="DJ694" s="505"/>
      <c r="DK694" s="505"/>
      <c r="DL694" s="505"/>
      <c r="DM694" s="505"/>
      <c r="DN694" s="505"/>
      <c r="DO694" s="505"/>
      <c r="DP694" s="505"/>
    </row>
    <row r="695" spans="1:120" x14ac:dyDescent="0.2">
      <c r="A695" s="517">
        <f t="shared" si="93"/>
        <v>41334</v>
      </c>
      <c r="B695" s="517" t="str">
        <f t="shared" si="90"/>
        <v>1Q13</v>
      </c>
      <c r="C695" s="517" t="str">
        <f t="shared" si="94"/>
        <v>2Q13</v>
      </c>
      <c r="D695" s="518">
        <f t="shared" si="95"/>
        <v>41418</v>
      </c>
      <c r="E695" s="518">
        <f t="shared" si="95"/>
        <v>41358</v>
      </c>
      <c r="F695" s="520">
        <v>4.0060000000000002</v>
      </c>
      <c r="G695" s="521">
        <f t="shared" si="91"/>
        <v>0.58000000000000029</v>
      </c>
      <c r="H695" s="521">
        <f t="shared" si="92"/>
        <v>0.57000000000000028</v>
      </c>
      <c r="I695" s="505"/>
      <c r="J695" s="505"/>
      <c r="K695" s="505"/>
      <c r="L695" s="505"/>
      <c r="M695" s="505"/>
      <c r="N695" s="505"/>
      <c r="O695" s="505"/>
      <c r="P695" s="505"/>
      <c r="Q695" s="505"/>
      <c r="R695" s="505"/>
      <c r="S695" s="505"/>
      <c r="T695" s="505"/>
      <c r="U695" s="505"/>
      <c r="V695" s="505"/>
      <c r="W695" s="505"/>
      <c r="X695" s="505"/>
      <c r="Y695" s="505"/>
      <c r="Z695" s="505"/>
      <c r="AA695" s="505"/>
      <c r="AB695" s="505"/>
      <c r="AC695" s="505"/>
      <c r="AD695" s="505"/>
      <c r="AE695" s="505"/>
      <c r="AF695" s="505"/>
      <c r="AG695" s="505"/>
      <c r="AH695" s="505"/>
      <c r="AI695" s="505"/>
      <c r="AJ695" s="505"/>
      <c r="AK695" s="505"/>
      <c r="AL695" s="505"/>
      <c r="AM695" s="505"/>
      <c r="AN695" s="505"/>
      <c r="AO695" s="505"/>
      <c r="AP695" s="505"/>
      <c r="AQ695" s="505"/>
      <c r="AR695" s="505"/>
      <c r="AS695" s="505"/>
      <c r="AT695" s="505"/>
      <c r="AU695" s="505"/>
      <c r="AV695" s="505"/>
      <c r="AW695" s="505"/>
      <c r="AX695" s="505"/>
      <c r="AY695" s="505"/>
      <c r="AZ695" s="505"/>
      <c r="BA695" s="505"/>
      <c r="BB695" s="505"/>
      <c r="BC695" s="505"/>
      <c r="BD695" s="505"/>
      <c r="BE695" s="505"/>
      <c r="BF695" s="505"/>
      <c r="BG695" s="505"/>
      <c r="BH695" s="505"/>
      <c r="BI695" s="505"/>
      <c r="BJ695" s="505"/>
      <c r="BK695" s="505"/>
      <c r="BL695" s="505"/>
      <c r="BM695" s="505"/>
      <c r="BN695" s="505"/>
      <c r="BO695" s="505"/>
      <c r="BP695" s="505"/>
      <c r="BQ695" s="505"/>
      <c r="BR695" s="505"/>
      <c r="BS695" s="505"/>
      <c r="BT695" s="505"/>
      <c r="BU695" s="505"/>
      <c r="BV695" s="505"/>
      <c r="BW695" s="505"/>
      <c r="BX695" s="505"/>
      <c r="BY695" s="505"/>
      <c r="BZ695" s="505"/>
      <c r="CA695" s="505"/>
      <c r="CB695" s="505"/>
      <c r="CC695" s="505"/>
      <c r="CD695" s="505"/>
      <c r="CE695" s="505"/>
      <c r="CF695" s="505"/>
      <c r="CG695" s="505"/>
      <c r="CH695" s="505"/>
      <c r="CI695" s="505"/>
      <c r="CJ695" s="505"/>
      <c r="CK695" s="505"/>
      <c r="CL695" s="505"/>
      <c r="CM695" s="505"/>
      <c r="CN695" s="505"/>
      <c r="CO695" s="505"/>
      <c r="CP695" s="505"/>
      <c r="CQ695" s="505"/>
      <c r="CR695" s="505"/>
      <c r="CS695" s="505"/>
      <c r="CT695" s="505"/>
      <c r="CU695" s="505"/>
      <c r="CV695" s="505"/>
      <c r="CW695" s="505"/>
      <c r="CX695" s="505"/>
      <c r="CY695" s="505"/>
      <c r="CZ695" s="505"/>
      <c r="DA695" s="505"/>
      <c r="DB695" s="505"/>
      <c r="DC695" s="505"/>
      <c r="DD695" s="505"/>
      <c r="DE695" s="505"/>
      <c r="DF695" s="505"/>
      <c r="DG695" s="505"/>
      <c r="DH695" s="505"/>
      <c r="DI695" s="505"/>
      <c r="DJ695" s="505"/>
      <c r="DK695" s="505"/>
      <c r="DL695" s="505"/>
      <c r="DM695" s="505"/>
      <c r="DN695" s="505"/>
      <c r="DO695" s="505"/>
      <c r="DP695" s="505"/>
    </row>
    <row r="696" spans="1:120" x14ac:dyDescent="0.2">
      <c r="A696" s="517">
        <f t="shared" si="93"/>
        <v>41365</v>
      </c>
      <c r="B696" s="517" t="str">
        <f t="shared" si="90"/>
        <v>2Q13</v>
      </c>
      <c r="C696" s="517" t="str">
        <f t="shared" si="94"/>
        <v>2Q13</v>
      </c>
      <c r="D696" s="518">
        <f t="shared" si="95"/>
        <v>41425</v>
      </c>
      <c r="E696" s="518">
        <f t="shared" si="95"/>
        <v>41365</v>
      </c>
      <c r="F696" s="520">
        <v>3.9929999999999999</v>
      </c>
      <c r="G696" s="521">
        <f t="shared" si="91"/>
        <v>0.57000000000000028</v>
      </c>
      <c r="H696" s="521">
        <f t="shared" si="92"/>
        <v>0.57000000000000028</v>
      </c>
      <c r="I696" s="505"/>
      <c r="J696" s="505"/>
      <c r="K696" s="505"/>
      <c r="L696" s="505"/>
      <c r="M696" s="505"/>
      <c r="N696" s="505"/>
      <c r="O696" s="505"/>
      <c r="P696" s="505"/>
      <c r="Q696" s="505"/>
      <c r="R696" s="505"/>
      <c r="S696" s="505"/>
      <c r="T696" s="505"/>
      <c r="U696" s="505"/>
      <c r="V696" s="505"/>
      <c r="W696" s="505"/>
      <c r="X696" s="505"/>
      <c r="Y696" s="505"/>
      <c r="Z696" s="505"/>
      <c r="AA696" s="505"/>
      <c r="AB696" s="505"/>
      <c r="AC696" s="505"/>
      <c r="AD696" s="505"/>
      <c r="AE696" s="505"/>
      <c r="AF696" s="505"/>
      <c r="AG696" s="505"/>
      <c r="AH696" s="505"/>
      <c r="AI696" s="505"/>
      <c r="AJ696" s="505"/>
      <c r="AK696" s="505"/>
      <c r="AL696" s="505"/>
      <c r="AM696" s="505"/>
      <c r="AN696" s="505"/>
      <c r="AO696" s="505"/>
      <c r="AP696" s="505"/>
      <c r="AQ696" s="505"/>
      <c r="AR696" s="505"/>
      <c r="AS696" s="505"/>
      <c r="AT696" s="505"/>
      <c r="AU696" s="505"/>
      <c r="AV696" s="505"/>
      <c r="AW696" s="505"/>
      <c r="AX696" s="505"/>
      <c r="AY696" s="505"/>
      <c r="AZ696" s="505"/>
      <c r="BA696" s="505"/>
      <c r="BB696" s="505"/>
      <c r="BC696" s="505"/>
      <c r="BD696" s="505"/>
      <c r="BE696" s="505"/>
      <c r="BF696" s="505"/>
      <c r="BG696" s="505"/>
      <c r="BH696" s="505"/>
      <c r="BI696" s="505"/>
      <c r="BJ696" s="505"/>
      <c r="BK696" s="505"/>
      <c r="BL696" s="505"/>
      <c r="BM696" s="505"/>
      <c r="BN696" s="505"/>
      <c r="BO696" s="505"/>
      <c r="BP696" s="505"/>
      <c r="BQ696" s="505"/>
      <c r="BR696" s="505"/>
      <c r="BS696" s="505"/>
      <c r="BT696" s="505"/>
      <c r="BU696" s="505"/>
      <c r="BV696" s="505"/>
      <c r="BW696" s="505"/>
      <c r="BX696" s="505"/>
      <c r="BY696" s="505"/>
      <c r="BZ696" s="505"/>
      <c r="CA696" s="505"/>
      <c r="CB696" s="505"/>
      <c r="CC696" s="505"/>
      <c r="CD696" s="505"/>
      <c r="CE696" s="505"/>
      <c r="CF696" s="505"/>
      <c r="CG696" s="505"/>
      <c r="CH696" s="505"/>
      <c r="CI696" s="505"/>
      <c r="CJ696" s="505"/>
      <c r="CK696" s="505"/>
      <c r="CL696" s="505"/>
      <c r="CM696" s="505"/>
      <c r="CN696" s="505"/>
      <c r="CO696" s="505"/>
      <c r="CP696" s="505"/>
      <c r="CQ696" s="505"/>
      <c r="CR696" s="505"/>
      <c r="CS696" s="505"/>
      <c r="CT696" s="505"/>
      <c r="CU696" s="505"/>
      <c r="CV696" s="505"/>
      <c r="CW696" s="505"/>
      <c r="CX696" s="505"/>
      <c r="CY696" s="505"/>
      <c r="CZ696" s="505"/>
      <c r="DA696" s="505"/>
      <c r="DB696" s="505"/>
      <c r="DC696" s="505"/>
      <c r="DD696" s="505"/>
      <c r="DE696" s="505"/>
      <c r="DF696" s="505"/>
      <c r="DG696" s="505"/>
      <c r="DH696" s="505"/>
      <c r="DI696" s="505"/>
      <c r="DJ696" s="505"/>
      <c r="DK696" s="505"/>
      <c r="DL696" s="505"/>
      <c r="DM696" s="505"/>
      <c r="DN696" s="505"/>
      <c r="DO696" s="505"/>
      <c r="DP696" s="505"/>
    </row>
    <row r="697" spans="1:120" x14ac:dyDescent="0.2">
      <c r="A697" s="517">
        <f t="shared" si="93"/>
        <v>41365</v>
      </c>
      <c r="B697" s="517" t="str">
        <f t="shared" si="90"/>
        <v>2Q13</v>
      </c>
      <c r="C697" s="517" t="str">
        <f t="shared" si="94"/>
        <v>2Q13</v>
      </c>
      <c r="D697" s="518">
        <f t="shared" si="95"/>
        <v>41432</v>
      </c>
      <c r="E697" s="518">
        <f t="shared" si="95"/>
        <v>41372</v>
      </c>
      <c r="F697" s="520">
        <v>3.9769999999999999</v>
      </c>
      <c r="G697" s="521">
        <f t="shared" si="91"/>
        <v>0.57000000000000028</v>
      </c>
      <c r="H697" s="521">
        <f t="shared" si="92"/>
        <v>0.56000000000000028</v>
      </c>
      <c r="I697" s="505"/>
      <c r="J697" s="505"/>
      <c r="K697" s="505"/>
      <c r="L697" s="505"/>
      <c r="M697" s="505"/>
      <c r="N697" s="505"/>
      <c r="O697" s="505"/>
      <c r="P697" s="505"/>
      <c r="Q697" s="505"/>
      <c r="R697" s="505"/>
      <c r="S697" s="505"/>
      <c r="T697" s="505"/>
      <c r="U697" s="505"/>
      <c r="V697" s="505"/>
      <c r="W697" s="505"/>
      <c r="X697" s="505"/>
      <c r="Y697" s="505"/>
      <c r="Z697" s="505"/>
      <c r="AA697" s="505"/>
      <c r="AB697" s="505"/>
      <c r="AC697" s="505"/>
      <c r="AD697" s="505"/>
      <c r="AE697" s="505"/>
      <c r="AF697" s="505"/>
      <c r="AG697" s="505"/>
      <c r="AH697" s="505"/>
      <c r="AI697" s="505"/>
      <c r="AJ697" s="505"/>
      <c r="AK697" s="505"/>
      <c r="AL697" s="505"/>
      <c r="AM697" s="505"/>
      <c r="AN697" s="505"/>
      <c r="AO697" s="505"/>
      <c r="AP697" s="505"/>
      <c r="AQ697" s="505"/>
      <c r="AR697" s="505"/>
      <c r="AS697" s="505"/>
      <c r="AT697" s="505"/>
      <c r="AU697" s="505"/>
      <c r="AV697" s="505"/>
      <c r="AW697" s="505"/>
      <c r="AX697" s="505"/>
      <c r="AY697" s="505"/>
      <c r="AZ697" s="505"/>
      <c r="BA697" s="505"/>
      <c r="BB697" s="505"/>
      <c r="BC697" s="505"/>
      <c r="BD697" s="505"/>
      <c r="BE697" s="505"/>
      <c r="BF697" s="505"/>
      <c r="BG697" s="505"/>
      <c r="BH697" s="505"/>
      <c r="BI697" s="505"/>
      <c r="BJ697" s="505"/>
      <c r="BK697" s="505"/>
      <c r="BL697" s="505"/>
      <c r="BM697" s="505"/>
      <c r="BN697" s="505"/>
      <c r="BO697" s="505"/>
      <c r="BP697" s="505"/>
      <c r="BQ697" s="505"/>
      <c r="BR697" s="505"/>
      <c r="BS697" s="505"/>
      <c r="BT697" s="505"/>
      <c r="BU697" s="505"/>
      <c r="BV697" s="505"/>
      <c r="BW697" s="505"/>
      <c r="BX697" s="505"/>
      <c r="BY697" s="505"/>
      <c r="BZ697" s="505"/>
      <c r="CA697" s="505"/>
      <c r="CB697" s="505"/>
      <c r="CC697" s="505"/>
      <c r="CD697" s="505"/>
      <c r="CE697" s="505"/>
      <c r="CF697" s="505"/>
      <c r="CG697" s="505"/>
      <c r="CH697" s="505"/>
      <c r="CI697" s="505"/>
      <c r="CJ697" s="505"/>
      <c r="CK697" s="505"/>
      <c r="CL697" s="505"/>
      <c r="CM697" s="505"/>
      <c r="CN697" s="505"/>
      <c r="CO697" s="505"/>
      <c r="CP697" s="505"/>
      <c r="CQ697" s="505"/>
      <c r="CR697" s="505"/>
      <c r="CS697" s="505"/>
      <c r="CT697" s="505"/>
      <c r="CU697" s="505"/>
      <c r="CV697" s="505"/>
      <c r="CW697" s="505"/>
      <c r="CX697" s="505"/>
      <c r="CY697" s="505"/>
      <c r="CZ697" s="505"/>
      <c r="DA697" s="505"/>
      <c r="DB697" s="505"/>
      <c r="DC697" s="505"/>
      <c r="DD697" s="505"/>
      <c r="DE697" s="505"/>
      <c r="DF697" s="505"/>
      <c r="DG697" s="505"/>
      <c r="DH697" s="505"/>
      <c r="DI697" s="505"/>
      <c r="DJ697" s="505"/>
      <c r="DK697" s="505"/>
      <c r="DL697" s="505"/>
      <c r="DM697" s="505"/>
      <c r="DN697" s="505"/>
      <c r="DO697" s="505"/>
      <c r="DP697" s="505"/>
    </row>
    <row r="698" spans="1:120" x14ac:dyDescent="0.2">
      <c r="A698" s="517">
        <f t="shared" si="93"/>
        <v>41365</v>
      </c>
      <c r="B698" s="517" t="str">
        <f t="shared" si="90"/>
        <v>2Q13</v>
      </c>
      <c r="C698" s="517" t="str">
        <f t="shared" si="94"/>
        <v>2Q13</v>
      </c>
      <c r="D698" s="518">
        <f t="shared" si="95"/>
        <v>41439</v>
      </c>
      <c r="E698" s="518">
        <f t="shared" si="95"/>
        <v>41379</v>
      </c>
      <c r="F698" s="520">
        <v>3.9420000000000002</v>
      </c>
      <c r="G698" s="521">
        <f t="shared" si="91"/>
        <v>0.56000000000000028</v>
      </c>
      <c r="H698" s="521">
        <f t="shared" si="92"/>
        <v>0.55000000000000027</v>
      </c>
      <c r="I698" s="505"/>
      <c r="J698" s="505"/>
      <c r="K698" s="505"/>
      <c r="L698" s="505"/>
      <c r="M698" s="505"/>
      <c r="N698" s="505"/>
      <c r="O698" s="505"/>
      <c r="P698" s="505"/>
      <c r="Q698" s="505"/>
      <c r="R698" s="505"/>
      <c r="S698" s="505"/>
      <c r="T698" s="505"/>
      <c r="U698" s="505"/>
      <c r="V698" s="505"/>
      <c r="W698" s="505"/>
      <c r="X698" s="505"/>
      <c r="Y698" s="505"/>
      <c r="Z698" s="505"/>
      <c r="AA698" s="505"/>
      <c r="AB698" s="505"/>
      <c r="AC698" s="505"/>
      <c r="AD698" s="505"/>
      <c r="AE698" s="505"/>
      <c r="AF698" s="505"/>
      <c r="AG698" s="505"/>
      <c r="AH698" s="505"/>
      <c r="AI698" s="505"/>
      <c r="AJ698" s="505"/>
      <c r="AK698" s="505"/>
      <c r="AL698" s="505"/>
      <c r="AM698" s="505"/>
      <c r="AN698" s="505"/>
      <c r="AO698" s="505"/>
      <c r="AP698" s="505"/>
      <c r="AQ698" s="505"/>
      <c r="AR698" s="505"/>
      <c r="AS698" s="505"/>
      <c r="AT698" s="505"/>
      <c r="AU698" s="505"/>
      <c r="AV698" s="505"/>
      <c r="AW698" s="505"/>
      <c r="AX698" s="505"/>
      <c r="AY698" s="505"/>
      <c r="AZ698" s="505"/>
      <c r="BA698" s="505"/>
      <c r="BB698" s="505"/>
      <c r="BC698" s="505"/>
      <c r="BD698" s="505"/>
      <c r="BE698" s="505"/>
      <c r="BF698" s="505"/>
      <c r="BG698" s="505"/>
      <c r="BH698" s="505"/>
      <c r="BI698" s="505"/>
      <c r="BJ698" s="505"/>
      <c r="BK698" s="505"/>
      <c r="BL698" s="505"/>
      <c r="BM698" s="505"/>
      <c r="BN698" s="505"/>
      <c r="BO698" s="505"/>
      <c r="BP698" s="505"/>
      <c r="BQ698" s="505"/>
      <c r="BR698" s="505"/>
      <c r="BS698" s="505"/>
      <c r="BT698" s="505"/>
      <c r="BU698" s="505"/>
      <c r="BV698" s="505"/>
      <c r="BW698" s="505"/>
      <c r="BX698" s="505"/>
      <c r="BY698" s="505"/>
      <c r="BZ698" s="505"/>
      <c r="CA698" s="505"/>
      <c r="CB698" s="505"/>
      <c r="CC698" s="505"/>
      <c r="CD698" s="505"/>
      <c r="CE698" s="505"/>
      <c r="CF698" s="505"/>
      <c r="CG698" s="505"/>
      <c r="CH698" s="505"/>
      <c r="CI698" s="505"/>
      <c r="CJ698" s="505"/>
      <c r="CK698" s="505"/>
      <c r="CL698" s="505"/>
      <c r="CM698" s="505"/>
      <c r="CN698" s="505"/>
      <c r="CO698" s="505"/>
      <c r="CP698" s="505"/>
      <c r="CQ698" s="505"/>
      <c r="CR698" s="505"/>
      <c r="CS698" s="505"/>
      <c r="CT698" s="505"/>
      <c r="CU698" s="505"/>
      <c r="CV698" s="505"/>
      <c r="CW698" s="505"/>
      <c r="CX698" s="505"/>
      <c r="CY698" s="505"/>
      <c r="CZ698" s="505"/>
      <c r="DA698" s="505"/>
      <c r="DB698" s="505"/>
      <c r="DC698" s="505"/>
      <c r="DD698" s="505"/>
      <c r="DE698" s="505"/>
      <c r="DF698" s="505"/>
      <c r="DG698" s="505"/>
      <c r="DH698" s="505"/>
      <c r="DI698" s="505"/>
      <c r="DJ698" s="505"/>
      <c r="DK698" s="505"/>
      <c r="DL698" s="505"/>
      <c r="DM698" s="505"/>
      <c r="DN698" s="505"/>
      <c r="DO698" s="505"/>
      <c r="DP698" s="505"/>
    </row>
    <row r="699" spans="1:120" x14ac:dyDescent="0.2">
      <c r="A699" s="517">
        <f t="shared" si="93"/>
        <v>41365</v>
      </c>
      <c r="B699" s="517" t="str">
        <f t="shared" si="90"/>
        <v>2Q13</v>
      </c>
      <c r="C699" s="517" t="str">
        <f t="shared" si="94"/>
        <v>2Q13</v>
      </c>
      <c r="D699" s="518">
        <f t="shared" si="95"/>
        <v>41446</v>
      </c>
      <c r="E699" s="518">
        <f t="shared" si="95"/>
        <v>41386</v>
      </c>
      <c r="F699" s="520">
        <v>3.887</v>
      </c>
      <c r="G699" s="521">
        <f t="shared" si="91"/>
        <v>0.55000000000000027</v>
      </c>
      <c r="H699" s="521">
        <f t="shared" si="92"/>
        <v>0.55000000000000027</v>
      </c>
      <c r="I699" s="505"/>
      <c r="J699" s="505"/>
      <c r="K699" s="505"/>
      <c r="L699" s="505"/>
      <c r="M699" s="505"/>
      <c r="N699" s="505"/>
      <c r="O699" s="505"/>
      <c r="P699" s="505"/>
      <c r="Q699" s="505"/>
      <c r="R699" s="505"/>
      <c r="S699" s="505"/>
      <c r="T699" s="505"/>
      <c r="U699" s="505"/>
      <c r="V699" s="505"/>
      <c r="W699" s="505"/>
      <c r="X699" s="505"/>
      <c r="Y699" s="505"/>
      <c r="Z699" s="505"/>
      <c r="AA699" s="505"/>
      <c r="AB699" s="505"/>
      <c r="AC699" s="505"/>
      <c r="AD699" s="505"/>
      <c r="AE699" s="505"/>
      <c r="AF699" s="505"/>
      <c r="AG699" s="505"/>
      <c r="AH699" s="505"/>
      <c r="AI699" s="505"/>
      <c r="AJ699" s="505"/>
      <c r="AK699" s="505"/>
      <c r="AL699" s="505"/>
      <c r="AM699" s="505"/>
      <c r="AN699" s="505"/>
      <c r="AO699" s="505"/>
      <c r="AP699" s="505"/>
      <c r="AQ699" s="505"/>
      <c r="AR699" s="505"/>
      <c r="AS699" s="505"/>
      <c r="AT699" s="505"/>
      <c r="AU699" s="505"/>
      <c r="AV699" s="505"/>
      <c r="AW699" s="505"/>
      <c r="AX699" s="505"/>
      <c r="AY699" s="505"/>
      <c r="AZ699" s="505"/>
      <c r="BA699" s="505"/>
      <c r="BB699" s="505"/>
      <c r="BC699" s="505"/>
      <c r="BD699" s="505"/>
      <c r="BE699" s="505"/>
      <c r="BF699" s="505"/>
      <c r="BG699" s="505"/>
      <c r="BH699" s="505"/>
      <c r="BI699" s="505"/>
      <c r="BJ699" s="505"/>
      <c r="BK699" s="505"/>
      <c r="BL699" s="505"/>
      <c r="BM699" s="505"/>
      <c r="BN699" s="505"/>
      <c r="BO699" s="505"/>
      <c r="BP699" s="505"/>
      <c r="BQ699" s="505"/>
      <c r="BR699" s="505"/>
      <c r="BS699" s="505"/>
      <c r="BT699" s="505"/>
      <c r="BU699" s="505"/>
      <c r="BV699" s="505"/>
      <c r="BW699" s="505"/>
      <c r="BX699" s="505"/>
      <c r="BY699" s="505"/>
      <c r="BZ699" s="505"/>
      <c r="CA699" s="505"/>
      <c r="CB699" s="505"/>
      <c r="CC699" s="505"/>
      <c r="CD699" s="505"/>
      <c r="CE699" s="505"/>
      <c r="CF699" s="505"/>
      <c r="CG699" s="505"/>
      <c r="CH699" s="505"/>
      <c r="CI699" s="505"/>
      <c r="CJ699" s="505"/>
      <c r="CK699" s="505"/>
      <c r="CL699" s="505"/>
      <c r="CM699" s="505"/>
      <c r="CN699" s="505"/>
      <c r="CO699" s="505"/>
      <c r="CP699" s="505"/>
      <c r="CQ699" s="505"/>
      <c r="CR699" s="505"/>
      <c r="CS699" s="505"/>
      <c r="CT699" s="505"/>
      <c r="CU699" s="505"/>
      <c r="CV699" s="505"/>
      <c r="CW699" s="505"/>
      <c r="CX699" s="505"/>
      <c r="CY699" s="505"/>
      <c r="CZ699" s="505"/>
      <c r="DA699" s="505"/>
      <c r="DB699" s="505"/>
      <c r="DC699" s="505"/>
      <c r="DD699" s="505"/>
      <c r="DE699" s="505"/>
      <c r="DF699" s="505"/>
      <c r="DG699" s="505"/>
      <c r="DH699" s="505"/>
      <c r="DI699" s="505"/>
      <c r="DJ699" s="505"/>
      <c r="DK699" s="505"/>
      <c r="DL699" s="505"/>
      <c r="DM699" s="505"/>
      <c r="DN699" s="505"/>
      <c r="DO699" s="505"/>
      <c r="DP699" s="505"/>
    </row>
    <row r="700" spans="1:120" x14ac:dyDescent="0.2">
      <c r="A700" s="517">
        <f t="shared" si="93"/>
        <v>41365</v>
      </c>
      <c r="B700" s="517" t="str">
        <f t="shared" si="90"/>
        <v>2Q13</v>
      </c>
      <c r="C700" s="517" t="str">
        <f t="shared" si="94"/>
        <v>2Q13</v>
      </c>
      <c r="D700" s="518">
        <f t="shared" si="95"/>
        <v>41453</v>
      </c>
      <c r="E700" s="518">
        <f t="shared" si="95"/>
        <v>41393</v>
      </c>
      <c r="F700" s="520">
        <v>3.851</v>
      </c>
      <c r="G700" s="521">
        <f t="shared" si="91"/>
        <v>0.55000000000000027</v>
      </c>
      <c r="H700" s="521">
        <f t="shared" si="92"/>
        <v>0.54000000000000026</v>
      </c>
      <c r="I700" s="505"/>
      <c r="J700" s="505"/>
      <c r="K700" s="505"/>
      <c r="L700" s="505"/>
      <c r="M700" s="505"/>
      <c r="N700" s="505"/>
      <c r="O700" s="505"/>
      <c r="P700" s="505"/>
      <c r="Q700" s="505"/>
      <c r="R700" s="505"/>
      <c r="S700" s="505"/>
      <c r="T700" s="505"/>
      <c r="U700" s="505"/>
      <c r="V700" s="505"/>
      <c r="W700" s="505"/>
      <c r="X700" s="505"/>
      <c r="Y700" s="505"/>
      <c r="Z700" s="505"/>
      <c r="AA700" s="505"/>
      <c r="AB700" s="505"/>
      <c r="AC700" s="505"/>
      <c r="AD700" s="505"/>
      <c r="AE700" s="505"/>
      <c r="AF700" s="505"/>
      <c r="AG700" s="505"/>
      <c r="AH700" s="505"/>
      <c r="AI700" s="505"/>
      <c r="AJ700" s="505"/>
      <c r="AK700" s="505"/>
      <c r="AL700" s="505"/>
      <c r="AM700" s="505"/>
      <c r="AN700" s="505"/>
      <c r="AO700" s="505"/>
      <c r="AP700" s="505"/>
      <c r="AQ700" s="505"/>
      <c r="AR700" s="505"/>
      <c r="AS700" s="505"/>
      <c r="AT700" s="505"/>
      <c r="AU700" s="505"/>
      <c r="AV700" s="505"/>
      <c r="AW700" s="505"/>
      <c r="AX700" s="505"/>
      <c r="AY700" s="505"/>
      <c r="AZ700" s="505"/>
      <c r="BA700" s="505"/>
      <c r="BB700" s="505"/>
      <c r="BC700" s="505"/>
      <c r="BD700" s="505"/>
      <c r="BE700" s="505"/>
      <c r="BF700" s="505"/>
      <c r="BG700" s="505"/>
      <c r="BH700" s="505"/>
      <c r="BI700" s="505"/>
      <c r="BJ700" s="505"/>
      <c r="BK700" s="505"/>
      <c r="BL700" s="505"/>
      <c r="BM700" s="505"/>
      <c r="BN700" s="505"/>
      <c r="BO700" s="505"/>
      <c r="BP700" s="505"/>
      <c r="BQ700" s="505"/>
      <c r="BR700" s="505"/>
      <c r="BS700" s="505"/>
      <c r="BT700" s="505"/>
      <c r="BU700" s="505"/>
      <c r="BV700" s="505"/>
      <c r="BW700" s="505"/>
      <c r="BX700" s="505"/>
      <c r="BY700" s="505"/>
      <c r="BZ700" s="505"/>
      <c r="CA700" s="505"/>
      <c r="CB700" s="505"/>
      <c r="CC700" s="505"/>
      <c r="CD700" s="505"/>
      <c r="CE700" s="505"/>
      <c r="CF700" s="505"/>
      <c r="CG700" s="505"/>
      <c r="CH700" s="505"/>
      <c r="CI700" s="505"/>
      <c r="CJ700" s="505"/>
      <c r="CK700" s="505"/>
      <c r="CL700" s="505"/>
      <c r="CM700" s="505"/>
      <c r="CN700" s="505"/>
      <c r="CO700" s="505"/>
      <c r="CP700" s="505"/>
      <c r="CQ700" s="505"/>
      <c r="CR700" s="505"/>
      <c r="CS700" s="505"/>
      <c r="CT700" s="505"/>
      <c r="CU700" s="505"/>
      <c r="CV700" s="505"/>
      <c r="CW700" s="505"/>
      <c r="CX700" s="505"/>
      <c r="CY700" s="505"/>
      <c r="CZ700" s="505"/>
      <c r="DA700" s="505"/>
      <c r="DB700" s="505"/>
      <c r="DC700" s="505"/>
      <c r="DD700" s="505"/>
      <c r="DE700" s="505"/>
      <c r="DF700" s="505"/>
      <c r="DG700" s="505"/>
      <c r="DH700" s="505"/>
      <c r="DI700" s="505"/>
      <c r="DJ700" s="505"/>
      <c r="DK700" s="505"/>
      <c r="DL700" s="505"/>
      <c r="DM700" s="505"/>
      <c r="DN700" s="505"/>
      <c r="DO700" s="505"/>
      <c r="DP700" s="505"/>
    </row>
    <row r="701" spans="1:120" x14ac:dyDescent="0.2">
      <c r="A701" s="517">
        <f t="shared" si="93"/>
        <v>41395</v>
      </c>
      <c r="B701" s="517" t="str">
        <f t="shared" si="90"/>
        <v>2Q13</v>
      </c>
      <c r="C701" s="517" t="str">
        <f t="shared" si="94"/>
        <v>3Q13</v>
      </c>
      <c r="D701" s="518">
        <f t="shared" si="95"/>
        <v>41460</v>
      </c>
      <c r="E701" s="518">
        <f t="shared" si="95"/>
        <v>41400</v>
      </c>
      <c r="F701" s="520">
        <v>3.8450000000000002</v>
      </c>
      <c r="G701" s="521">
        <f t="shared" si="91"/>
        <v>0.54000000000000026</v>
      </c>
      <c r="H701" s="521">
        <f t="shared" si="92"/>
        <v>0.55000000000000027</v>
      </c>
      <c r="I701" s="505"/>
      <c r="J701" s="505"/>
      <c r="K701" s="505"/>
      <c r="L701" s="505"/>
      <c r="M701" s="505"/>
      <c r="N701" s="505"/>
      <c r="O701" s="505"/>
      <c r="P701" s="505"/>
      <c r="Q701" s="505"/>
      <c r="R701" s="505"/>
      <c r="S701" s="505"/>
      <c r="T701" s="505"/>
      <c r="U701" s="505"/>
      <c r="V701" s="505"/>
      <c r="W701" s="505"/>
      <c r="X701" s="505"/>
      <c r="Y701" s="505"/>
      <c r="Z701" s="505"/>
      <c r="AA701" s="505"/>
      <c r="AB701" s="505"/>
      <c r="AC701" s="505"/>
      <c r="AD701" s="505"/>
      <c r="AE701" s="505"/>
      <c r="AF701" s="505"/>
      <c r="AG701" s="505"/>
      <c r="AH701" s="505"/>
      <c r="AI701" s="505"/>
      <c r="AJ701" s="505"/>
      <c r="AK701" s="505"/>
      <c r="AL701" s="505"/>
      <c r="AM701" s="505"/>
      <c r="AN701" s="505"/>
      <c r="AO701" s="505"/>
      <c r="AP701" s="505"/>
      <c r="AQ701" s="505"/>
      <c r="AR701" s="505"/>
      <c r="AS701" s="505"/>
      <c r="AT701" s="505"/>
      <c r="AU701" s="505"/>
      <c r="AV701" s="505"/>
      <c r="AW701" s="505"/>
      <c r="AX701" s="505"/>
      <c r="AY701" s="505"/>
      <c r="AZ701" s="505"/>
      <c r="BA701" s="505"/>
      <c r="BB701" s="505"/>
      <c r="BC701" s="505"/>
      <c r="BD701" s="505"/>
      <c r="BE701" s="505"/>
      <c r="BF701" s="505"/>
      <c r="BG701" s="505"/>
      <c r="BH701" s="505"/>
      <c r="BI701" s="505"/>
      <c r="BJ701" s="505"/>
      <c r="BK701" s="505"/>
      <c r="BL701" s="505"/>
      <c r="BM701" s="505"/>
      <c r="BN701" s="505"/>
      <c r="BO701" s="505"/>
      <c r="BP701" s="505"/>
      <c r="BQ701" s="505"/>
      <c r="BR701" s="505"/>
      <c r="BS701" s="505"/>
      <c r="BT701" s="505"/>
      <c r="BU701" s="505"/>
      <c r="BV701" s="505"/>
      <c r="BW701" s="505"/>
      <c r="BX701" s="505"/>
      <c r="BY701" s="505"/>
      <c r="BZ701" s="505"/>
      <c r="CA701" s="505"/>
      <c r="CB701" s="505"/>
      <c r="CC701" s="505"/>
      <c r="CD701" s="505"/>
      <c r="CE701" s="505"/>
      <c r="CF701" s="505"/>
      <c r="CG701" s="505"/>
      <c r="CH701" s="505"/>
      <c r="CI701" s="505"/>
      <c r="CJ701" s="505"/>
      <c r="CK701" s="505"/>
      <c r="CL701" s="505"/>
      <c r="CM701" s="505"/>
      <c r="CN701" s="505"/>
      <c r="CO701" s="505"/>
      <c r="CP701" s="505"/>
      <c r="CQ701" s="505"/>
      <c r="CR701" s="505"/>
      <c r="CS701" s="505"/>
      <c r="CT701" s="505"/>
      <c r="CU701" s="505"/>
      <c r="CV701" s="505"/>
      <c r="CW701" s="505"/>
      <c r="CX701" s="505"/>
      <c r="CY701" s="505"/>
      <c r="CZ701" s="505"/>
      <c r="DA701" s="505"/>
      <c r="DB701" s="505"/>
      <c r="DC701" s="505"/>
      <c r="DD701" s="505"/>
      <c r="DE701" s="505"/>
      <c r="DF701" s="505"/>
      <c r="DG701" s="505"/>
      <c r="DH701" s="505"/>
      <c r="DI701" s="505"/>
      <c r="DJ701" s="505"/>
      <c r="DK701" s="505"/>
      <c r="DL701" s="505"/>
      <c r="DM701" s="505"/>
      <c r="DN701" s="505"/>
      <c r="DO701" s="505"/>
      <c r="DP701" s="505"/>
    </row>
    <row r="702" spans="1:120" x14ac:dyDescent="0.2">
      <c r="A702" s="517">
        <f t="shared" si="93"/>
        <v>41395</v>
      </c>
      <c r="B702" s="517" t="str">
        <f t="shared" si="90"/>
        <v>2Q13</v>
      </c>
      <c r="C702" s="517" t="str">
        <f t="shared" si="94"/>
        <v>3Q13</v>
      </c>
      <c r="D702" s="518">
        <f t="shared" si="95"/>
        <v>41467</v>
      </c>
      <c r="E702" s="518">
        <f t="shared" si="95"/>
        <v>41407</v>
      </c>
      <c r="F702" s="520">
        <v>3.8660000000000001</v>
      </c>
      <c r="G702" s="521">
        <f t="shared" si="91"/>
        <v>0.55000000000000027</v>
      </c>
      <c r="H702" s="521">
        <f t="shared" si="92"/>
        <v>0.55000000000000027</v>
      </c>
      <c r="I702" s="505"/>
      <c r="J702" s="505"/>
      <c r="K702" s="505"/>
      <c r="L702" s="505"/>
      <c r="M702" s="505"/>
      <c r="N702" s="505"/>
      <c r="O702" s="505"/>
      <c r="P702" s="505"/>
      <c r="Q702" s="505"/>
      <c r="R702" s="505"/>
      <c r="S702" s="505"/>
      <c r="T702" s="505"/>
      <c r="U702" s="505"/>
      <c r="V702" s="505"/>
      <c r="W702" s="505"/>
      <c r="X702" s="505"/>
      <c r="Y702" s="505"/>
      <c r="Z702" s="505"/>
      <c r="AA702" s="505"/>
      <c r="AB702" s="505"/>
      <c r="AC702" s="505"/>
      <c r="AD702" s="505"/>
      <c r="AE702" s="505"/>
      <c r="AF702" s="505"/>
      <c r="AG702" s="505"/>
      <c r="AH702" s="505"/>
      <c r="AI702" s="505"/>
      <c r="AJ702" s="505"/>
      <c r="AK702" s="505"/>
      <c r="AL702" s="505"/>
      <c r="AM702" s="505"/>
      <c r="AN702" s="505"/>
      <c r="AO702" s="505"/>
      <c r="AP702" s="505"/>
      <c r="AQ702" s="505"/>
      <c r="AR702" s="505"/>
      <c r="AS702" s="505"/>
      <c r="AT702" s="505"/>
      <c r="AU702" s="505"/>
      <c r="AV702" s="505"/>
      <c r="AW702" s="505"/>
      <c r="AX702" s="505"/>
      <c r="AY702" s="505"/>
      <c r="AZ702" s="505"/>
      <c r="BA702" s="505"/>
      <c r="BB702" s="505"/>
      <c r="BC702" s="505"/>
      <c r="BD702" s="505"/>
      <c r="BE702" s="505"/>
      <c r="BF702" s="505"/>
      <c r="BG702" s="505"/>
      <c r="BH702" s="505"/>
      <c r="BI702" s="505"/>
      <c r="BJ702" s="505"/>
      <c r="BK702" s="505"/>
      <c r="BL702" s="505"/>
      <c r="BM702" s="505"/>
      <c r="BN702" s="505"/>
      <c r="BO702" s="505"/>
      <c r="BP702" s="505"/>
      <c r="BQ702" s="505"/>
      <c r="BR702" s="505"/>
      <c r="BS702" s="505"/>
      <c r="BT702" s="505"/>
      <c r="BU702" s="505"/>
      <c r="BV702" s="505"/>
      <c r="BW702" s="505"/>
      <c r="BX702" s="505"/>
      <c r="BY702" s="505"/>
      <c r="BZ702" s="505"/>
      <c r="CA702" s="505"/>
      <c r="CB702" s="505"/>
      <c r="CC702" s="505"/>
      <c r="CD702" s="505"/>
      <c r="CE702" s="505"/>
      <c r="CF702" s="505"/>
      <c r="CG702" s="505"/>
      <c r="CH702" s="505"/>
      <c r="CI702" s="505"/>
      <c r="CJ702" s="505"/>
      <c r="CK702" s="505"/>
      <c r="CL702" s="505"/>
      <c r="CM702" s="505"/>
      <c r="CN702" s="505"/>
      <c r="CO702" s="505"/>
      <c r="CP702" s="505"/>
      <c r="CQ702" s="505"/>
      <c r="CR702" s="505"/>
      <c r="CS702" s="505"/>
      <c r="CT702" s="505"/>
      <c r="CU702" s="505"/>
      <c r="CV702" s="505"/>
      <c r="CW702" s="505"/>
      <c r="CX702" s="505"/>
      <c r="CY702" s="505"/>
      <c r="CZ702" s="505"/>
      <c r="DA702" s="505"/>
      <c r="DB702" s="505"/>
      <c r="DC702" s="505"/>
      <c r="DD702" s="505"/>
      <c r="DE702" s="505"/>
      <c r="DF702" s="505"/>
      <c r="DG702" s="505"/>
      <c r="DH702" s="505"/>
      <c r="DI702" s="505"/>
      <c r="DJ702" s="505"/>
      <c r="DK702" s="505"/>
      <c r="DL702" s="505"/>
      <c r="DM702" s="505"/>
      <c r="DN702" s="505"/>
      <c r="DO702" s="505"/>
      <c r="DP702" s="505"/>
    </row>
    <row r="703" spans="1:120" x14ac:dyDescent="0.2">
      <c r="A703" s="517">
        <f t="shared" si="93"/>
        <v>41395</v>
      </c>
      <c r="B703" s="517" t="str">
        <f t="shared" si="90"/>
        <v>2Q13</v>
      </c>
      <c r="C703" s="517" t="str">
        <f t="shared" si="94"/>
        <v>3Q13</v>
      </c>
      <c r="D703" s="518">
        <f t="shared" si="95"/>
        <v>41474</v>
      </c>
      <c r="E703" s="518">
        <f t="shared" si="95"/>
        <v>41414</v>
      </c>
      <c r="F703" s="520">
        <v>3.89</v>
      </c>
      <c r="G703" s="521">
        <f t="shared" si="91"/>
        <v>0.55000000000000027</v>
      </c>
      <c r="H703" s="521">
        <f t="shared" si="92"/>
        <v>0.55000000000000027</v>
      </c>
      <c r="I703" s="505"/>
      <c r="J703" s="505"/>
      <c r="K703" s="505"/>
      <c r="L703" s="505"/>
      <c r="M703" s="505"/>
      <c r="N703" s="505"/>
      <c r="O703" s="505"/>
      <c r="P703" s="505"/>
      <c r="Q703" s="505"/>
      <c r="R703" s="505"/>
      <c r="S703" s="505"/>
      <c r="T703" s="505"/>
      <c r="U703" s="505"/>
      <c r="V703" s="505"/>
      <c r="W703" s="505"/>
      <c r="X703" s="505"/>
      <c r="Y703" s="505"/>
      <c r="Z703" s="505"/>
      <c r="AA703" s="505"/>
      <c r="AB703" s="505"/>
      <c r="AC703" s="505"/>
      <c r="AD703" s="505"/>
      <c r="AE703" s="505"/>
      <c r="AF703" s="505"/>
      <c r="AG703" s="505"/>
      <c r="AH703" s="505"/>
      <c r="AI703" s="505"/>
      <c r="AJ703" s="505"/>
      <c r="AK703" s="505"/>
      <c r="AL703" s="505"/>
      <c r="AM703" s="505"/>
      <c r="AN703" s="505"/>
      <c r="AO703" s="505"/>
      <c r="AP703" s="505"/>
      <c r="AQ703" s="505"/>
      <c r="AR703" s="505"/>
      <c r="AS703" s="505"/>
      <c r="AT703" s="505"/>
      <c r="AU703" s="505"/>
      <c r="AV703" s="505"/>
      <c r="AW703" s="505"/>
      <c r="AX703" s="505"/>
      <c r="AY703" s="505"/>
      <c r="AZ703" s="505"/>
      <c r="BA703" s="505"/>
      <c r="BB703" s="505"/>
      <c r="BC703" s="505"/>
      <c r="BD703" s="505"/>
      <c r="BE703" s="505"/>
      <c r="BF703" s="505"/>
      <c r="BG703" s="505"/>
      <c r="BH703" s="505"/>
      <c r="BI703" s="505"/>
      <c r="BJ703" s="505"/>
      <c r="BK703" s="505"/>
      <c r="BL703" s="505"/>
      <c r="BM703" s="505"/>
      <c r="BN703" s="505"/>
      <c r="BO703" s="505"/>
      <c r="BP703" s="505"/>
      <c r="BQ703" s="505"/>
      <c r="BR703" s="505"/>
      <c r="BS703" s="505"/>
      <c r="BT703" s="505"/>
      <c r="BU703" s="505"/>
      <c r="BV703" s="505"/>
      <c r="BW703" s="505"/>
      <c r="BX703" s="505"/>
      <c r="BY703" s="505"/>
      <c r="BZ703" s="505"/>
      <c r="CA703" s="505"/>
      <c r="CB703" s="505"/>
      <c r="CC703" s="505"/>
      <c r="CD703" s="505"/>
      <c r="CE703" s="505"/>
      <c r="CF703" s="505"/>
      <c r="CG703" s="505"/>
      <c r="CH703" s="505"/>
      <c r="CI703" s="505"/>
      <c r="CJ703" s="505"/>
      <c r="CK703" s="505"/>
      <c r="CL703" s="505"/>
      <c r="CM703" s="505"/>
      <c r="CN703" s="505"/>
      <c r="CO703" s="505"/>
      <c r="CP703" s="505"/>
      <c r="CQ703" s="505"/>
      <c r="CR703" s="505"/>
      <c r="CS703" s="505"/>
      <c r="CT703" s="505"/>
      <c r="CU703" s="505"/>
      <c r="CV703" s="505"/>
      <c r="CW703" s="505"/>
      <c r="CX703" s="505"/>
      <c r="CY703" s="505"/>
      <c r="CZ703" s="505"/>
      <c r="DA703" s="505"/>
      <c r="DB703" s="505"/>
      <c r="DC703" s="505"/>
      <c r="DD703" s="505"/>
      <c r="DE703" s="505"/>
      <c r="DF703" s="505"/>
      <c r="DG703" s="505"/>
      <c r="DH703" s="505"/>
      <c r="DI703" s="505"/>
      <c r="DJ703" s="505"/>
      <c r="DK703" s="505"/>
      <c r="DL703" s="505"/>
      <c r="DM703" s="505"/>
      <c r="DN703" s="505"/>
      <c r="DO703" s="505"/>
      <c r="DP703" s="505"/>
    </row>
    <row r="704" spans="1:120" x14ac:dyDescent="0.2">
      <c r="A704" s="517">
        <f t="shared" si="93"/>
        <v>41395</v>
      </c>
      <c r="B704" s="517" t="str">
        <f t="shared" si="90"/>
        <v>2Q13</v>
      </c>
      <c r="C704" s="517" t="str">
        <f t="shared" si="94"/>
        <v>3Q13</v>
      </c>
      <c r="D704" s="518">
        <f t="shared" si="95"/>
        <v>41481</v>
      </c>
      <c r="E704" s="518">
        <f t="shared" si="95"/>
        <v>41421</v>
      </c>
      <c r="F704" s="520">
        <v>3.88</v>
      </c>
      <c r="G704" s="521">
        <f t="shared" si="91"/>
        <v>0.55000000000000027</v>
      </c>
      <c r="H704" s="521">
        <f t="shared" si="92"/>
        <v>0.55000000000000027</v>
      </c>
      <c r="I704" s="505"/>
      <c r="J704" s="505"/>
      <c r="K704" s="505"/>
      <c r="L704" s="505"/>
      <c r="M704" s="505"/>
      <c r="N704" s="505"/>
      <c r="O704" s="505"/>
      <c r="P704" s="505"/>
      <c r="Q704" s="505"/>
      <c r="R704" s="505"/>
      <c r="S704" s="505"/>
      <c r="T704" s="505"/>
      <c r="U704" s="505"/>
      <c r="V704" s="505"/>
      <c r="W704" s="505"/>
      <c r="X704" s="505"/>
      <c r="Y704" s="505"/>
      <c r="Z704" s="505"/>
      <c r="AA704" s="505"/>
      <c r="AB704" s="505"/>
      <c r="AC704" s="505"/>
      <c r="AD704" s="505"/>
      <c r="AE704" s="505"/>
      <c r="AF704" s="505"/>
      <c r="AG704" s="505"/>
      <c r="AH704" s="505"/>
      <c r="AI704" s="505"/>
      <c r="AJ704" s="505"/>
      <c r="AK704" s="505"/>
      <c r="AL704" s="505"/>
      <c r="AM704" s="505"/>
      <c r="AN704" s="505"/>
      <c r="AO704" s="505"/>
      <c r="AP704" s="505"/>
      <c r="AQ704" s="505"/>
      <c r="AR704" s="505"/>
      <c r="AS704" s="505"/>
      <c r="AT704" s="505"/>
      <c r="AU704" s="505"/>
      <c r="AV704" s="505"/>
      <c r="AW704" s="505"/>
      <c r="AX704" s="505"/>
      <c r="AY704" s="505"/>
      <c r="AZ704" s="505"/>
      <c r="BA704" s="505"/>
      <c r="BB704" s="505"/>
      <c r="BC704" s="505"/>
      <c r="BD704" s="505"/>
      <c r="BE704" s="505"/>
      <c r="BF704" s="505"/>
      <c r="BG704" s="505"/>
      <c r="BH704" s="505"/>
      <c r="BI704" s="505"/>
      <c r="BJ704" s="505"/>
      <c r="BK704" s="505"/>
      <c r="BL704" s="505"/>
      <c r="BM704" s="505"/>
      <c r="BN704" s="505"/>
      <c r="BO704" s="505"/>
      <c r="BP704" s="505"/>
      <c r="BQ704" s="505"/>
      <c r="BR704" s="505"/>
      <c r="BS704" s="505"/>
      <c r="BT704" s="505"/>
      <c r="BU704" s="505"/>
      <c r="BV704" s="505"/>
      <c r="BW704" s="505"/>
      <c r="BX704" s="505"/>
      <c r="BY704" s="505"/>
      <c r="BZ704" s="505"/>
      <c r="CA704" s="505"/>
      <c r="CB704" s="505"/>
      <c r="CC704" s="505"/>
      <c r="CD704" s="505"/>
      <c r="CE704" s="505"/>
      <c r="CF704" s="505"/>
      <c r="CG704" s="505"/>
      <c r="CH704" s="505"/>
      <c r="CI704" s="505"/>
      <c r="CJ704" s="505"/>
      <c r="CK704" s="505"/>
      <c r="CL704" s="505"/>
      <c r="CM704" s="505"/>
      <c r="CN704" s="505"/>
      <c r="CO704" s="505"/>
      <c r="CP704" s="505"/>
      <c r="CQ704" s="505"/>
      <c r="CR704" s="505"/>
      <c r="CS704" s="505"/>
      <c r="CT704" s="505"/>
      <c r="CU704" s="505"/>
      <c r="CV704" s="505"/>
      <c r="CW704" s="505"/>
      <c r="CX704" s="505"/>
      <c r="CY704" s="505"/>
      <c r="CZ704" s="505"/>
      <c r="DA704" s="505"/>
      <c r="DB704" s="505"/>
      <c r="DC704" s="505"/>
      <c r="DD704" s="505"/>
      <c r="DE704" s="505"/>
      <c r="DF704" s="505"/>
      <c r="DG704" s="505"/>
      <c r="DH704" s="505"/>
      <c r="DI704" s="505"/>
      <c r="DJ704" s="505"/>
      <c r="DK704" s="505"/>
      <c r="DL704" s="505"/>
      <c r="DM704" s="505"/>
      <c r="DN704" s="505"/>
      <c r="DO704" s="505"/>
      <c r="DP704" s="505"/>
    </row>
    <row r="705" spans="1:120" x14ac:dyDescent="0.2">
      <c r="A705" s="517">
        <f t="shared" si="93"/>
        <v>41426</v>
      </c>
      <c r="B705" s="517" t="str">
        <f t="shared" si="90"/>
        <v>2Q13</v>
      </c>
      <c r="C705" s="517" t="str">
        <f t="shared" si="94"/>
        <v>3Q13</v>
      </c>
      <c r="D705" s="518">
        <f t="shared" si="95"/>
        <v>41488</v>
      </c>
      <c r="E705" s="518">
        <f t="shared" si="95"/>
        <v>41428</v>
      </c>
      <c r="F705" s="520">
        <v>3.8690000000000002</v>
      </c>
      <c r="G705" s="521">
        <f t="shared" si="91"/>
        <v>0.55000000000000027</v>
      </c>
      <c r="H705" s="521">
        <f t="shared" si="92"/>
        <v>0.54000000000000026</v>
      </c>
      <c r="I705" s="505"/>
      <c r="J705" s="505"/>
      <c r="K705" s="505"/>
      <c r="L705" s="505"/>
      <c r="M705" s="505"/>
      <c r="N705" s="505"/>
      <c r="O705" s="505"/>
      <c r="P705" s="505"/>
      <c r="Q705" s="505"/>
      <c r="R705" s="505"/>
      <c r="S705" s="505"/>
      <c r="T705" s="505"/>
      <c r="U705" s="505"/>
      <c r="V705" s="505"/>
      <c r="W705" s="505"/>
      <c r="X705" s="505"/>
      <c r="Y705" s="505"/>
      <c r="Z705" s="505"/>
      <c r="AA705" s="505"/>
      <c r="AB705" s="505"/>
      <c r="AC705" s="505"/>
      <c r="AD705" s="505"/>
      <c r="AE705" s="505"/>
      <c r="AF705" s="505"/>
      <c r="AG705" s="505"/>
      <c r="AH705" s="505"/>
      <c r="AI705" s="505"/>
      <c r="AJ705" s="505"/>
      <c r="AK705" s="505"/>
      <c r="AL705" s="505"/>
      <c r="AM705" s="505"/>
      <c r="AN705" s="505"/>
      <c r="AO705" s="505"/>
      <c r="AP705" s="505"/>
      <c r="AQ705" s="505"/>
      <c r="AR705" s="505"/>
      <c r="AS705" s="505"/>
      <c r="AT705" s="505"/>
      <c r="AU705" s="505"/>
      <c r="AV705" s="505"/>
      <c r="AW705" s="505"/>
      <c r="AX705" s="505"/>
      <c r="AY705" s="505"/>
      <c r="AZ705" s="505"/>
      <c r="BA705" s="505"/>
      <c r="BB705" s="505"/>
      <c r="BC705" s="505"/>
      <c r="BD705" s="505"/>
      <c r="BE705" s="505"/>
      <c r="BF705" s="505"/>
      <c r="BG705" s="505"/>
      <c r="BH705" s="505"/>
      <c r="BI705" s="505"/>
      <c r="BJ705" s="505"/>
      <c r="BK705" s="505"/>
      <c r="BL705" s="505"/>
      <c r="BM705" s="505"/>
      <c r="BN705" s="505"/>
      <c r="BO705" s="505"/>
      <c r="BP705" s="505"/>
      <c r="BQ705" s="505"/>
      <c r="BR705" s="505"/>
      <c r="BS705" s="505"/>
      <c r="BT705" s="505"/>
      <c r="BU705" s="505"/>
      <c r="BV705" s="505"/>
      <c r="BW705" s="505"/>
      <c r="BX705" s="505"/>
      <c r="BY705" s="505"/>
      <c r="BZ705" s="505"/>
      <c r="CA705" s="505"/>
      <c r="CB705" s="505"/>
      <c r="CC705" s="505"/>
      <c r="CD705" s="505"/>
      <c r="CE705" s="505"/>
      <c r="CF705" s="505"/>
      <c r="CG705" s="505"/>
      <c r="CH705" s="505"/>
      <c r="CI705" s="505"/>
      <c r="CJ705" s="505"/>
      <c r="CK705" s="505"/>
      <c r="CL705" s="505"/>
      <c r="CM705" s="505"/>
      <c r="CN705" s="505"/>
      <c r="CO705" s="505"/>
      <c r="CP705" s="505"/>
      <c r="CQ705" s="505"/>
      <c r="CR705" s="505"/>
      <c r="CS705" s="505"/>
      <c r="CT705" s="505"/>
      <c r="CU705" s="505"/>
      <c r="CV705" s="505"/>
      <c r="CW705" s="505"/>
      <c r="CX705" s="505"/>
      <c r="CY705" s="505"/>
      <c r="CZ705" s="505"/>
      <c r="DA705" s="505"/>
      <c r="DB705" s="505"/>
      <c r="DC705" s="505"/>
      <c r="DD705" s="505"/>
      <c r="DE705" s="505"/>
      <c r="DF705" s="505"/>
      <c r="DG705" s="505"/>
      <c r="DH705" s="505"/>
      <c r="DI705" s="505"/>
      <c r="DJ705" s="505"/>
      <c r="DK705" s="505"/>
      <c r="DL705" s="505"/>
      <c r="DM705" s="505"/>
      <c r="DN705" s="505"/>
      <c r="DO705" s="505"/>
      <c r="DP705" s="505"/>
    </row>
    <row r="706" spans="1:120" x14ac:dyDescent="0.2">
      <c r="A706" s="517">
        <f t="shared" si="93"/>
        <v>41426</v>
      </c>
      <c r="B706" s="517" t="str">
        <f t="shared" si="90"/>
        <v>2Q13</v>
      </c>
      <c r="C706" s="517" t="str">
        <f t="shared" si="94"/>
        <v>3Q13</v>
      </c>
      <c r="D706" s="518">
        <f t="shared" si="95"/>
        <v>41495</v>
      </c>
      <c r="E706" s="518">
        <f t="shared" si="95"/>
        <v>41435</v>
      </c>
      <c r="F706" s="520">
        <v>3.8490000000000002</v>
      </c>
      <c r="G706" s="521">
        <f t="shared" si="91"/>
        <v>0.54000000000000026</v>
      </c>
      <c r="H706" s="521">
        <f t="shared" si="92"/>
        <v>0.54000000000000026</v>
      </c>
      <c r="I706" s="505"/>
      <c r="J706" s="505"/>
      <c r="K706" s="505"/>
      <c r="L706" s="505"/>
      <c r="M706" s="505"/>
      <c r="N706" s="505"/>
      <c r="O706" s="505"/>
      <c r="P706" s="505"/>
      <c r="Q706" s="505"/>
      <c r="R706" s="505"/>
      <c r="S706" s="505"/>
      <c r="T706" s="505"/>
      <c r="U706" s="505"/>
      <c r="V706" s="505"/>
      <c r="W706" s="505"/>
      <c r="X706" s="505"/>
      <c r="Y706" s="505"/>
      <c r="Z706" s="505"/>
      <c r="AA706" s="505"/>
      <c r="AB706" s="505"/>
      <c r="AC706" s="505"/>
      <c r="AD706" s="505"/>
      <c r="AE706" s="505"/>
      <c r="AF706" s="505"/>
      <c r="AG706" s="505"/>
      <c r="AH706" s="505"/>
      <c r="AI706" s="505"/>
      <c r="AJ706" s="505"/>
      <c r="AK706" s="505"/>
      <c r="AL706" s="505"/>
      <c r="AM706" s="505"/>
      <c r="AN706" s="505"/>
      <c r="AO706" s="505"/>
      <c r="AP706" s="505"/>
      <c r="AQ706" s="505"/>
      <c r="AR706" s="505"/>
      <c r="AS706" s="505"/>
      <c r="AT706" s="505"/>
      <c r="AU706" s="505"/>
      <c r="AV706" s="505"/>
      <c r="AW706" s="505"/>
      <c r="AX706" s="505"/>
      <c r="AY706" s="505"/>
      <c r="AZ706" s="505"/>
      <c r="BA706" s="505"/>
      <c r="BB706" s="505"/>
      <c r="BC706" s="505"/>
      <c r="BD706" s="505"/>
      <c r="BE706" s="505"/>
      <c r="BF706" s="505"/>
      <c r="BG706" s="505"/>
      <c r="BH706" s="505"/>
      <c r="BI706" s="505"/>
      <c r="BJ706" s="505"/>
      <c r="BK706" s="505"/>
      <c r="BL706" s="505"/>
      <c r="BM706" s="505"/>
      <c r="BN706" s="505"/>
      <c r="BO706" s="505"/>
      <c r="BP706" s="505"/>
      <c r="BQ706" s="505"/>
      <c r="BR706" s="505"/>
      <c r="BS706" s="505"/>
      <c r="BT706" s="505"/>
      <c r="BU706" s="505"/>
      <c r="BV706" s="505"/>
      <c r="BW706" s="505"/>
      <c r="BX706" s="505"/>
      <c r="BY706" s="505"/>
      <c r="BZ706" s="505"/>
      <c r="CA706" s="505"/>
      <c r="CB706" s="505"/>
      <c r="CC706" s="505"/>
      <c r="CD706" s="505"/>
      <c r="CE706" s="505"/>
      <c r="CF706" s="505"/>
      <c r="CG706" s="505"/>
      <c r="CH706" s="505"/>
      <c r="CI706" s="505"/>
      <c r="CJ706" s="505"/>
      <c r="CK706" s="505"/>
      <c r="CL706" s="505"/>
      <c r="CM706" s="505"/>
      <c r="CN706" s="505"/>
      <c r="CO706" s="505"/>
      <c r="CP706" s="505"/>
      <c r="CQ706" s="505"/>
      <c r="CR706" s="505"/>
      <c r="CS706" s="505"/>
      <c r="CT706" s="505"/>
      <c r="CU706" s="505"/>
      <c r="CV706" s="505"/>
      <c r="CW706" s="505"/>
      <c r="CX706" s="505"/>
      <c r="CY706" s="505"/>
      <c r="CZ706" s="505"/>
      <c r="DA706" s="505"/>
      <c r="DB706" s="505"/>
      <c r="DC706" s="505"/>
      <c r="DD706" s="505"/>
      <c r="DE706" s="505"/>
      <c r="DF706" s="505"/>
      <c r="DG706" s="505"/>
      <c r="DH706" s="505"/>
      <c r="DI706" s="505"/>
      <c r="DJ706" s="505"/>
      <c r="DK706" s="505"/>
      <c r="DL706" s="505"/>
      <c r="DM706" s="505"/>
      <c r="DN706" s="505"/>
      <c r="DO706" s="505"/>
      <c r="DP706" s="505"/>
    </row>
    <row r="707" spans="1:120" x14ac:dyDescent="0.2">
      <c r="A707" s="517">
        <f t="shared" si="93"/>
        <v>41426</v>
      </c>
      <c r="B707" s="517" t="str">
        <f t="shared" si="90"/>
        <v>2Q13</v>
      </c>
      <c r="C707" s="517" t="str">
        <f t="shared" si="94"/>
        <v>3Q13</v>
      </c>
      <c r="D707" s="518">
        <f t="shared" si="95"/>
        <v>41502</v>
      </c>
      <c r="E707" s="518">
        <f t="shared" si="95"/>
        <v>41442</v>
      </c>
      <c r="F707" s="520">
        <v>3.8410000000000002</v>
      </c>
      <c r="G707" s="521">
        <f t="shared" si="91"/>
        <v>0.54000000000000026</v>
      </c>
      <c r="H707" s="521">
        <f t="shared" si="92"/>
        <v>0.54000000000000026</v>
      </c>
      <c r="I707" s="505"/>
      <c r="J707" s="505"/>
      <c r="K707" s="505"/>
      <c r="L707" s="505"/>
      <c r="M707" s="505"/>
      <c r="N707" s="505"/>
      <c r="O707" s="505"/>
      <c r="P707" s="505"/>
      <c r="Q707" s="505"/>
      <c r="R707" s="505"/>
      <c r="S707" s="505"/>
      <c r="T707" s="505"/>
      <c r="U707" s="505"/>
      <c r="V707" s="505"/>
      <c r="W707" s="505"/>
      <c r="X707" s="505"/>
      <c r="Y707" s="505"/>
      <c r="Z707" s="505"/>
      <c r="AA707" s="505"/>
      <c r="AB707" s="505"/>
      <c r="AC707" s="505"/>
      <c r="AD707" s="505"/>
      <c r="AE707" s="505"/>
      <c r="AF707" s="505"/>
      <c r="AG707" s="505"/>
      <c r="AH707" s="505"/>
      <c r="AI707" s="505"/>
      <c r="AJ707" s="505"/>
      <c r="AK707" s="505"/>
      <c r="AL707" s="505"/>
      <c r="AM707" s="505"/>
      <c r="AN707" s="505"/>
      <c r="AO707" s="505"/>
      <c r="AP707" s="505"/>
      <c r="AQ707" s="505"/>
      <c r="AR707" s="505"/>
      <c r="AS707" s="505"/>
      <c r="AT707" s="505"/>
      <c r="AU707" s="505"/>
      <c r="AV707" s="505"/>
      <c r="AW707" s="505"/>
      <c r="AX707" s="505"/>
      <c r="AY707" s="505"/>
      <c r="AZ707" s="505"/>
      <c r="BA707" s="505"/>
      <c r="BB707" s="505"/>
      <c r="BC707" s="505"/>
      <c r="BD707" s="505"/>
      <c r="BE707" s="505"/>
      <c r="BF707" s="505"/>
      <c r="BG707" s="505"/>
      <c r="BH707" s="505"/>
      <c r="BI707" s="505"/>
      <c r="BJ707" s="505"/>
      <c r="BK707" s="505"/>
      <c r="BL707" s="505"/>
      <c r="BM707" s="505"/>
      <c r="BN707" s="505"/>
      <c r="BO707" s="505"/>
      <c r="BP707" s="505"/>
      <c r="BQ707" s="505"/>
      <c r="BR707" s="505"/>
      <c r="BS707" s="505"/>
      <c r="BT707" s="505"/>
      <c r="BU707" s="505"/>
      <c r="BV707" s="505"/>
      <c r="BW707" s="505"/>
      <c r="BX707" s="505"/>
      <c r="BY707" s="505"/>
      <c r="BZ707" s="505"/>
      <c r="CA707" s="505"/>
      <c r="CB707" s="505"/>
      <c r="CC707" s="505"/>
      <c r="CD707" s="505"/>
      <c r="CE707" s="505"/>
      <c r="CF707" s="505"/>
      <c r="CG707" s="505"/>
      <c r="CH707" s="505"/>
      <c r="CI707" s="505"/>
      <c r="CJ707" s="505"/>
      <c r="CK707" s="505"/>
      <c r="CL707" s="505"/>
      <c r="CM707" s="505"/>
      <c r="CN707" s="505"/>
      <c r="CO707" s="505"/>
      <c r="CP707" s="505"/>
      <c r="CQ707" s="505"/>
      <c r="CR707" s="505"/>
      <c r="CS707" s="505"/>
      <c r="CT707" s="505"/>
      <c r="CU707" s="505"/>
      <c r="CV707" s="505"/>
      <c r="CW707" s="505"/>
      <c r="CX707" s="505"/>
      <c r="CY707" s="505"/>
      <c r="CZ707" s="505"/>
      <c r="DA707" s="505"/>
      <c r="DB707" s="505"/>
      <c r="DC707" s="505"/>
      <c r="DD707" s="505"/>
      <c r="DE707" s="505"/>
      <c r="DF707" s="505"/>
      <c r="DG707" s="505"/>
      <c r="DH707" s="505"/>
      <c r="DI707" s="505"/>
      <c r="DJ707" s="505"/>
      <c r="DK707" s="505"/>
      <c r="DL707" s="505"/>
      <c r="DM707" s="505"/>
      <c r="DN707" s="505"/>
      <c r="DO707" s="505"/>
      <c r="DP707" s="505"/>
    </row>
    <row r="708" spans="1:120" x14ac:dyDescent="0.2">
      <c r="A708" s="517">
        <f t="shared" si="93"/>
        <v>41426</v>
      </c>
      <c r="B708" s="517" t="str">
        <f t="shared" ref="B708:B771" si="96">VLOOKUP(MONTH(A708),$N$4:$O$16,2,FALSE) &amp; "Q" &amp; RIGHT(YEAR(A708),2)</f>
        <v>2Q13</v>
      </c>
      <c r="C708" s="517" t="str">
        <f t="shared" si="94"/>
        <v>3Q13</v>
      </c>
      <c r="D708" s="518">
        <f t="shared" si="95"/>
        <v>41509</v>
      </c>
      <c r="E708" s="518">
        <f t="shared" si="95"/>
        <v>41449</v>
      </c>
      <c r="F708" s="520">
        <v>3.8380000000000001</v>
      </c>
      <c r="G708" s="521">
        <f t="shared" ref="G708:G771" si="97">INDEX($I$4:$K$153,MATCH(F708,$I$4:$I$153,1),3)</f>
        <v>0.54000000000000026</v>
      </c>
      <c r="H708" s="521">
        <f t="shared" ref="H708:H733" si="98">G709</f>
        <v>0.54000000000000026</v>
      </c>
      <c r="I708" s="505"/>
      <c r="J708" s="505"/>
      <c r="K708" s="505"/>
      <c r="L708" s="505"/>
      <c r="M708" s="505"/>
      <c r="N708" s="505"/>
      <c r="O708" s="505"/>
      <c r="P708" s="505"/>
      <c r="Q708" s="505"/>
      <c r="R708" s="505"/>
      <c r="S708" s="505"/>
      <c r="T708" s="505"/>
      <c r="U708" s="505"/>
      <c r="V708" s="505"/>
      <c r="W708" s="505"/>
      <c r="X708" s="505"/>
      <c r="Y708" s="505"/>
      <c r="Z708" s="505"/>
      <c r="AA708" s="505"/>
      <c r="AB708" s="505"/>
      <c r="AC708" s="505"/>
      <c r="AD708" s="505"/>
      <c r="AE708" s="505"/>
      <c r="AF708" s="505"/>
      <c r="AG708" s="505"/>
      <c r="AH708" s="505"/>
      <c r="AI708" s="505"/>
      <c r="AJ708" s="505"/>
      <c r="AK708" s="505"/>
      <c r="AL708" s="505"/>
      <c r="AM708" s="505"/>
      <c r="AN708" s="505"/>
      <c r="AO708" s="505"/>
      <c r="AP708" s="505"/>
      <c r="AQ708" s="505"/>
      <c r="AR708" s="505"/>
      <c r="AS708" s="505"/>
      <c r="AT708" s="505"/>
      <c r="AU708" s="505"/>
      <c r="AV708" s="505"/>
      <c r="AW708" s="505"/>
      <c r="AX708" s="505"/>
      <c r="AY708" s="505"/>
      <c r="AZ708" s="505"/>
      <c r="BA708" s="505"/>
      <c r="BB708" s="505"/>
      <c r="BC708" s="505"/>
      <c r="BD708" s="505"/>
      <c r="BE708" s="505"/>
      <c r="BF708" s="505"/>
      <c r="BG708" s="505"/>
      <c r="BH708" s="505"/>
      <c r="BI708" s="505"/>
      <c r="BJ708" s="505"/>
      <c r="BK708" s="505"/>
      <c r="BL708" s="505"/>
      <c r="BM708" s="505"/>
      <c r="BN708" s="505"/>
      <c r="BO708" s="505"/>
      <c r="BP708" s="505"/>
      <c r="BQ708" s="505"/>
      <c r="BR708" s="505"/>
      <c r="BS708" s="505"/>
      <c r="BT708" s="505"/>
      <c r="BU708" s="505"/>
      <c r="BV708" s="505"/>
      <c r="BW708" s="505"/>
      <c r="BX708" s="505"/>
      <c r="BY708" s="505"/>
      <c r="BZ708" s="505"/>
      <c r="CA708" s="505"/>
      <c r="CB708" s="505"/>
      <c r="CC708" s="505"/>
      <c r="CD708" s="505"/>
      <c r="CE708" s="505"/>
      <c r="CF708" s="505"/>
      <c r="CG708" s="505"/>
      <c r="CH708" s="505"/>
      <c r="CI708" s="505"/>
      <c r="CJ708" s="505"/>
      <c r="CK708" s="505"/>
      <c r="CL708" s="505"/>
      <c r="CM708" s="505"/>
      <c r="CN708" s="505"/>
      <c r="CO708" s="505"/>
      <c r="CP708" s="505"/>
      <c r="CQ708" s="505"/>
      <c r="CR708" s="505"/>
      <c r="CS708" s="505"/>
      <c r="CT708" s="505"/>
      <c r="CU708" s="505"/>
      <c r="CV708" s="505"/>
      <c r="CW708" s="505"/>
      <c r="CX708" s="505"/>
      <c r="CY708" s="505"/>
      <c r="CZ708" s="505"/>
      <c r="DA708" s="505"/>
      <c r="DB708" s="505"/>
      <c r="DC708" s="505"/>
      <c r="DD708" s="505"/>
      <c r="DE708" s="505"/>
      <c r="DF708" s="505"/>
      <c r="DG708" s="505"/>
      <c r="DH708" s="505"/>
      <c r="DI708" s="505"/>
      <c r="DJ708" s="505"/>
      <c r="DK708" s="505"/>
      <c r="DL708" s="505"/>
      <c r="DM708" s="505"/>
      <c r="DN708" s="505"/>
      <c r="DO708" s="505"/>
      <c r="DP708" s="505"/>
    </row>
    <row r="709" spans="1:120" x14ac:dyDescent="0.2">
      <c r="A709" s="517">
        <f t="shared" ref="A709:A733" si="99">DATE(YEAR(E709),MONTH(E709),1)</f>
        <v>41456</v>
      </c>
      <c r="B709" s="517" t="str">
        <f t="shared" si="96"/>
        <v>3Q13</v>
      </c>
      <c r="C709" s="517" t="str">
        <f t="shared" ref="C709:C733" si="100">VLOOKUP(MONTH(D709),$N$4:$O$16,2,FALSE) &amp; "Q" &amp; RIGHT(YEAR(D709),2)</f>
        <v>3Q13</v>
      </c>
      <c r="D709" s="518">
        <f t="shared" ref="D709:E733" si="101">D708+7</f>
        <v>41516</v>
      </c>
      <c r="E709" s="518">
        <f t="shared" si="101"/>
        <v>41456</v>
      </c>
      <c r="F709" s="520">
        <v>3.8170000000000002</v>
      </c>
      <c r="G709" s="521">
        <f t="shared" si="97"/>
        <v>0.54000000000000026</v>
      </c>
      <c r="H709" s="521">
        <f t="shared" si="98"/>
        <v>0.54000000000000026</v>
      </c>
      <c r="I709" s="505"/>
      <c r="J709" s="505"/>
      <c r="K709" s="505"/>
      <c r="L709" s="505"/>
      <c r="M709" s="505"/>
      <c r="N709" s="505"/>
      <c r="O709" s="505"/>
      <c r="P709" s="505"/>
      <c r="Q709" s="505"/>
      <c r="R709" s="505"/>
      <c r="S709" s="505"/>
      <c r="T709" s="505"/>
      <c r="U709" s="505"/>
      <c r="V709" s="505"/>
      <c r="W709" s="505"/>
      <c r="X709" s="505"/>
      <c r="Y709" s="505"/>
      <c r="Z709" s="505"/>
      <c r="AA709" s="505"/>
      <c r="AB709" s="505"/>
      <c r="AC709" s="505"/>
      <c r="AD709" s="505"/>
      <c r="AE709" s="505"/>
      <c r="AF709" s="505"/>
      <c r="AG709" s="505"/>
      <c r="AH709" s="505"/>
      <c r="AI709" s="505"/>
      <c r="AJ709" s="505"/>
      <c r="AK709" s="505"/>
      <c r="AL709" s="505"/>
      <c r="AM709" s="505"/>
      <c r="AN709" s="505"/>
      <c r="AO709" s="505"/>
      <c r="AP709" s="505"/>
      <c r="AQ709" s="505"/>
      <c r="AR709" s="505"/>
      <c r="AS709" s="505"/>
      <c r="AT709" s="505"/>
      <c r="AU709" s="505"/>
      <c r="AV709" s="505"/>
      <c r="AW709" s="505"/>
      <c r="AX709" s="505"/>
      <c r="AY709" s="505"/>
      <c r="AZ709" s="505"/>
      <c r="BA709" s="505"/>
      <c r="BB709" s="505"/>
      <c r="BC709" s="505"/>
      <c r="BD709" s="505"/>
      <c r="BE709" s="505"/>
      <c r="BF709" s="505"/>
      <c r="BG709" s="505"/>
      <c r="BH709" s="505"/>
      <c r="BI709" s="505"/>
      <c r="BJ709" s="505"/>
      <c r="BK709" s="505"/>
      <c r="BL709" s="505"/>
      <c r="BM709" s="505"/>
      <c r="BN709" s="505"/>
      <c r="BO709" s="505"/>
      <c r="BP709" s="505"/>
      <c r="BQ709" s="505"/>
      <c r="BR709" s="505"/>
      <c r="BS709" s="505"/>
      <c r="BT709" s="505"/>
      <c r="BU709" s="505"/>
      <c r="BV709" s="505"/>
      <c r="BW709" s="505"/>
      <c r="BX709" s="505"/>
      <c r="BY709" s="505"/>
      <c r="BZ709" s="505"/>
      <c r="CA709" s="505"/>
      <c r="CB709" s="505"/>
      <c r="CC709" s="505"/>
      <c r="CD709" s="505"/>
      <c r="CE709" s="505"/>
      <c r="CF709" s="505"/>
      <c r="CG709" s="505"/>
      <c r="CH709" s="505"/>
      <c r="CI709" s="505"/>
      <c r="CJ709" s="505"/>
      <c r="CK709" s="505"/>
      <c r="CL709" s="505"/>
      <c r="CM709" s="505"/>
      <c r="CN709" s="505"/>
      <c r="CO709" s="505"/>
      <c r="CP709" s="505"/>
      <c r="CQ709" s="505"/>
      <c r="CR709" s="505"/>
      <c r="CS709" s="505"/>
      <c r="CT709" s="505"/>
      <c r="CU709" s="505"/>
      <c r="CV709" s="505"/>
      <c r="CW709" s="505"/>
      <c r="CX709" s="505"/>
      <c r="CY709" s="505"/>
      <c r="CZ709" s="505"/>
      <c r="DA709" s="505"/>
      <c r="DB709" s="505"/>
      <c r="DC709" s="505"/>
      <c r="DD709" s="505"/>
      <c r="DE709" s="505"/>
      <c r="DF709" s="505"/>
      <c r="DG709" s="505"/>
      <c r="DH709" s="505"/>
      <c r="DI709" s="505"/>
      <c r="DJ709" s="505"/>
      <c r="DK709" s="505"/>
      <c r="DL709" s="505"/>
      <c r="DM709" s="505"/>
      <c r="DN709" s="505"/>
      <c r="DO709" s="505"/>
      <c r="DP709" s="505"/>
    </row>
    <row r="710" spans="1:120" x14ac:dyDescent="0.2">
      <c r="A710" s="517">
        <f t="shared" si="99"/>
        <v>41456</v>
      </c>
      <c r="B710" s="517" t="str">
        <f t="shared" si="96"/>
        <v>3Q13</v>
      </c>
      <c r="C710" s="517" t="str">
        <f t="shared" si="100"/>
        <v>3Q13</v>
      </c>
      <c r="D710" s="518">
        <f t="shared" si="101"/>
        <v>41523</v>
      </c>
      <c r="E710" s="518">
        <f t="shared" si="101"/>
        <v>41463</v>
      </c>
      <c r="F710" s="520">
        <v>3.8279999999999998</v>
      </c>
      <c r="G710" s="521">
        <f t="shared" si="97"/>
        <v>0.54000000000000026</v>
      </c>
      <c r="H710" s="521">
        <f t="shared" si="98"/>
        <v>0.55000000000000027</v>
      </c>
      <c r="I710" s="505"/>
      <c r="J710" s="505"/>
      <c r="K710" s="505"/>
      <c r="L710" s="505"/>
      <c r="M710" s="505"/>
      <c r="N710" s="505"/>
      <c r="O710" s="505"/>
      <c r="P710" s="505"/>
      <c r="Q710" s="505"/>
      <c r="R710" s="505"/>
      <c r="S710" s="505"/>
      <c r="T710" s="505"/>
      <c r="U710" s="505"/>
      <c r="V710" s="505"/>
      <c r="W710" s="505"/>
      <c r="X710" s="505"/>
      <c r="Y710" s="505"/>
      <c r="Z710" s="505"/>
      <c r="AA710" s="505"/>
      <c r="AB710" s="505"/>
      <c r="AC710" s="505"/>
      <c r="AD710" s="505"/>
      <c r="AE710" s="505"/>
      <c r="AF710" s="505"/>
      <c r="AG710" s="505"/>
      <c r="AH710" s="505"/>
      <c r="AI710" s="505"/>
      <c r="AJ710" s="505"/>
      <c r="AK710" s="505"/>
      <c r="AL710" s="505"/>
      <c r="AM710" s="505"/>
      <c r="AN710" s="505"/>
      <c r="AO710" s="505"/>
      <c r="AP710" s="505"/>
      <c r="AQ710" s="505"/>
      <c r="AR710" s="505"/>
      <c r="AS710" s="505"/>
      <c r="AT710" s="505"/>
      <c r="AU710" s="505"/>
      <c r="AV710" s="505"/>
      <c r="AW710" s="505"/>
      <c r="AX710" s="505"/>
      <c r="AY710" s="505"/>
      <c r="AZ710" s="505"/>
      <c r="BA710" s="505"/>
      <c r="BB710" s="505"/>
      <c r="BC710" s="505"/>
      <c r="BD710" s="505"/>
      <c r="BE710" s="505"/>
      <c r="BF710" s="505"/>
      <c r="BG710" s="505"/>
      <c r="BH710" s="505"/>
      <c r="BI710" s="505"/>
      <c r="BJ710" s="505"/>
      <c r="BK710" s="505"/>
      <c r="BL710" s="505"/>
      <c r="BM710" s="505"/>
      <c r="BN710" s="505"/>
      <c r="BO710" s="505"/>
      <c r="BP710" s="505"/>
      <c r="BQ710" s="505"/>
      <c r="BR710" s="505"/>
      <c r="BS710" s="505"/>
      <c r="BT710" s="505"/>
      <c r="BU710" s="505"/>
      <c r="BV710" s="505"/>
      <c r="BW710" s="505"/>
      <c r="BX710" s="505"/>
      <c r="BY710" s="505"/>
      <c r="BZ710" s="505"/>
      <c r="CA710" s="505"/>
      <c r="CB710" s="505"/>
      <c r="CC710" s="505"/>
      <c r="CD710" s="505"/>
      <c r="CE710" s="505"/>
      <c r="CF710" s="505"/>
      <c r="CG710" s="505"/>
      <c r="CH710" s="505"/>
      <c r="CI710" s="505"/>
      <c r="CJ710" s="505"/>
      <c r="CK710" s="505"/>
      <c r="CL710" s="505"/>
      <c r="CM710" s="505"/>
      <c r="CN710" s="505"/>
      <c r="CO710" s="505"/>
      <c r="CP710" s="505"/>
      <c r="CQ710" s="505"/>
      <c r="CR710" s="505"/>
      <c r="CS710" s="505"/>
      <c r="CT710" s="505"/>
      <c r="CU710" s="505"/>
      <c r="CV710" s="505"/>
      <c r="CW710" s="505"/>
      <c r="CX710" s="505"/>
      <c r="CY710" s="505"/>
      <c r="CZ710" s="505"/>
      <c r="DA710" s="505"/>
      <c r="DB710" s="505"/>
      <c r="DC710" s="505"/>
      <c r="DD710" s="505"/>
      <c r="DE710" s="505"/>
      <c r="DF710" s="505"/>
      <c r="DG710" s="505"/>
      <c r="DH710" s="505"/>
      <c r="DI710" s="505"/>
      <c r="DJ710" s="505"/>
      <c r="DK710" s="505"/>
      <c r="DL710" s="505"/>
      <c r="DM710" s="505"/>
      <c r="DN710" s="505"/>
      <c r="DO710" s="505"/>
      <c r="DP710" s="505"/>
    </row>
    <row r="711" spans="1:120" x14ac:dyDescent="0.2">
      <c r="A711" s="517">
        <f t="shared" si="99"/>
        <v>41456</v>
      </c>
      <c r="B711" s="517" t="str">
        <f t="shared" si="96"/>
        <v>3Q13</v>
      </c>
      <c r="C711" s="517" t="str">
        <f t="shared" si="100"/>
        <v>3Q13</v>
      </c>
      <c r="D711" s="518">
        <f t="shared" si="101"/>
        <v>41530</v>
      </c>
      <c r="E711" s="518">
        <f t="shared" si="101"/>
        <v>41470</v>
      </c>
      <c r="F711" s="520">
        <v>3.867</v>
      </c>
      <c r="G711" s="521">
        <f t="shared" si="97"/>
        <v>0.55000000000000027</v>
      </c>
      <c r="H711" s="521">
        <f t="shared" si="98"/>
        <v>0.56000000000000028</v>
      </c>
      <c r="I711" s="505"/>
      <c r="J711" s="505"/>
      <c r="K711" s="505"/>
      <c r="L711" s="505"/>
      <c r="M711" s="505"/>
      <c r="N711" s="505"/>
      <c r="O711" s="505"/>
      <c r="P711" s="505"/>
      <c r="Q711" s="505"/>
      <c r="R711" s="505"/>
      <c r="S711" s="505"/>
      <c r="T711" s="505"/>
      <c r="U711" s="505"/>
      <c r="V711" s="505"/>
      <c r="W711" s="505"/>
      <c r="X711" s="505"/>
      <c r="Y711" s="505"/>
      <c r="Z711" s="505"/>
      <c r="AA711" s="505"/>
      <c r="AB711" s="505"/>
      <c r="AC711" s="505"/>
      <c r="AD711" s="505"/>
      <c r="AE711" s="505"/>
      <c r="AF711" s="505"/>
      <c r="AG711" s="505"/>
      <c r="AH711" s="505"/>
      <c r="AI711" s="505"/>
      <c r="AJ711" s="505"/>
      <c r="AK711" s="505"/>
      <c r="AL711" s="505"/>
      <c r="AM711" s="505"/>
      <c r="AN711" s="505"/>
      <c r="AO711" s="505"/>
      <c r="AP711" s="505"/>
      <c r="AQ711" s="505"/>
      <c r="AR711" s="505"/>
      <c r="AS711" s="505"/>
      <c r="AT711" s="505"/>
      <c r="AU711" s="505"/>
      <c r="AV711" s="505"/>
      <c r="AW711" s="505"/>
      <c r="AX711" s="505"/>
      <c r="AY711" s="505"/>
      <c r="AZ711" s="505"/>
      <c r="BA711" s="505"/>
      <c r="BB711" s="505"/>
      <c r="BC711" s="505"/>
      <c r="BD711" s="505"/>
      <c r="BE711" s="505"/>
      <c r="BF711" s="505"/>
      <c r="BG711" s="505"/>
      <c r="BH711" s="505"/>
      <c r="BI711" s="505"/>
      <c r="BJ711" s="505"/>
      <c r="BK711" s="505"/>
      <c r="BL711" s="505"/>
      <c r="BM711" s="505"/>
      <c r="BN711" s="505"/>
      <c r="BO711" s="505"/>
      <c r="BP711" s="505"/>
      <c r="BQ711" s="505"/>
      <c r="BR711" s="505"/>
      <c r="BS711" s="505"/>
      <c r="BT711" s="505"/>
      <c r="BU711" s="505"/>
      <c r="BV711" s="505"/>
      <c r="BW711" s="505"/>
      <c r="BX711" s="505"/>
      <c r="BY711" s="505"/>
      <c r="BZ711" s="505"/>
      <c r="CA711" s="505"/>
      <c r="CB711" s="505"/>
      <c r="CC711" s="505"/>
      <c r="CD711" s="505"/>
      <c r="CE711" s="505"/>
      <c r="CF711" s="505"/>
      <c r="CG711" s="505"/>
      <c r="CH711" s="505"/>
      <c r="CI711" s="505"/>
      <c r="CJ711" s="505"/>
      <c r="CK711" s="505"/>
      <c r="CL711" s="505"/>
      <c r="CM711" s="505"/>
      <c r="CN711" s="505"/>
      <c r="CO711" s="505"/>
      <c r="CP711" s="505"/>
      <c r="CQ711" s="505"/>
      <c r="CR711" s="505"/>
      <c r="CS711" s="505"/>
      <c r="CT711" s="505"/>
      <c r="CU711" s="505"/>
      <c r="CV711" s="505"/>
      <c r="CW711" s="505"/>
      <c r="CX711" s="505"/>
      <c r="CY711" s="505"/>
      <c r="CZ711" s="505"/>
      <c r="DA711" s="505"/>
      <c r="DB711" s="505"/>
      <c r="DC711" s="505"/>
      <c r="DD711" s="505"/>
      <c r="DE711" s="505"/>
      <c r="DF711" s="505"/>
      <c r="DG711" s="505"/>
      <c r="DH711" s="505"/>
      <c r="DI711" s="505"/>
      <c r="DJ711" s="505"/>
      <c r="DK711" s="505"/>
      <c r="DL711" s="505"/>
      <c r="DM711" s="505"/>
      <c r="DN711" s="505"/>
      <c r="DO711" s="505"/>
      <c r="DP711" s="505"/>
    </row>
    <row r="712" spans="1:120" x14ac:dyDescent="0.2">
      <c r="A712" s="517">
        <f t="shared" si="99"/>
        <v>41456</v>
      </c>
      <c r="B712" s="517" t="str">
        <f t="shared" si="96"/>
        <v>3Q13</v>
      </c>
      <c r="C712" s="517" t="str">
        <f t="shared" si="100"/>
        <v>3Q13</v>
      </c>
      <c r="D712" s="518">
        <f t="shared" si="101"/>
        <v>41537</v>
      </c>
      <c r="E712" s="518">
        <f t="shared" si="101"/>
        <v>41477</v>
      </c>
      <c r="F712" s="520">
        <v>3.903</v>
      </c>
      <c r="G712" s="521">
        <f t="shared" si="97"/>
        <v>0.56000000000000028</v>
      </c>
      <c r="H712" s="521">
        <f t="shared" si="98"/>
        <v>0.56000000000000028</v>
      </c>
      <c r="I712" s="505"/>
      <c r="J712" s="505"/>
      <c r="K712" s="505"/>
      <c r="L712" s="505"/>
      <c r="M712" s="505"/>
      <c r="N712" s="505"/>
      <c r="O712" s="505"/>
      <c r="P712" s="505"/>
      <c r="Q712" s="505"/>
      <c r="R712" s="505"/>
      <c r="S712" s="505"/>
      <c r="T712" s="505"/>
      <c r="U712" s="505"/>
      <c r="V712" s="505"/>
      <c r="W712" s="505"/>
      <c r="X712" s="505"/>
      <c r="Y712" s="505"/>
      <c r="Z712" s="505"/>
      <c r="AA712" s="505"/>
      <c r="AB712" s="505"/>
      <c r="AC712" s="505"/>
      <c r="AD712" s="505"/>
      <c r="AE712" s="505"/>
      <c r="AF712" s="505"/>
      <c r="AG712" s="505"/>
      <c r="AH712" s="505"/>
      <c r="AI712" s="505"/>
      <c r="AJ712" s="505"/>
      <c r="AK712" s="505"/>
      <c r="AL712" s="505"/>
      <c r="AM712" s="505"/>
      <c r="AN712" s="505"/>
      <c r="AO712" s="505"/>
      <c r="AP712" s="505"/>
      <c r="AQ712" s="505"/>
      <c r="AR712" s="505"/>
      <c r="AS712" s="505"/>
      <c r="AT712" s="505"/>
      <c r="AU712" s="505"/>
      <c r="AV712" s="505"/>
      <c r="AW712" s="505"/>
      <c r="AX712" s="505"/>
      <c r="AY712" s="505"/>
      <c r="AZ712" s="505"/>
      <c r="BA712" s="505"/>
      <c r="BB712" s="505"/>
      <c r="BC712" s="505"/>
      <c r="BD712" s="505"/>
      <c r="BE712" s="505"/>
      <c r="BF712" s="505"/>
      <c r="BG712" s="505"/>
      <c r="BH712" s="505"/>
      <c r="BI712" s="505"/>
      <c r="BJ712" s="505"/>
      <c r="BK712" s="505"/>
      <c r="BL712" s="505"/>
      <c r="BM712" s="505"/>
      <c r="BN712" s="505"/>
      <c r="BO712" s="505"/>
      <c r="BP712" s="505"/>
      <c r="BQ712" s="505"/>
      <c r="BR712" s="505"/>
      <c r="BS712" s="505"/>
      <c r="BT712" s="505"/>
      <c r="BU712" s="505"/>
      <c r="BV712" s="505"/>
      <c r="BW712" s="505"/>
      <c r="BX712" s="505"/>
      <c r="BY712" s="505"/>
      <c r="BZ712" s="505"/>
      <c r="CA712" s="505"/>
      <c r="CB712" s="505"/>
      <c r="CC712" s="505"/>
      <c r="CD712" s="505"/>
      <c r="CE712" s="505"/>
      <c r="CF712" s="505"/>
      <c r="CG712" s="505"/>
      <c r="CH712" s="505"/>
      <c r="CI712" s="505"/>
      <c r="CJ712" s="505"/>
      <c r="CK712" s="505"/>
      <c r="CL712" s="505"/>
      <c r="CM712" s="505"/>
      <c r="CN712" s="505"/>
      <c r="CO712" s="505"/>
      <c r="CP712" s="505"/>
      <c r="CQ712" s="505"/>
      <c r="CR712" s="505"/>
      <c r="CS712" s="505"/>
      <c r="CT712" s="505"/>
      <c r="CU712" s="505"/>
      <c r="CV712" s="505"/>
      <c r="CW712" s="505"/>
      <c r="CX712" s="505"/>
      <c r="CY712" s="505"/>
      <c r="CZ712" s="505"/>
      <c r="DA712" s="505"/>
      <c r="DB712" s="505"/>
      <c r="DC712" s="505"/>
      <c r="DD712" s="505"/>
      <c r="DE712" s="505"/>
      <c r="DF712" s="505"/>
      <c r="DG712" s="505"/>
      <c r="DH712" s="505"/>
      <c r="DI712" s="505"/>
      <c r="DJ712" s="505"/>
      <c r="DK712" s="505"/>
      <c r="DL712" s="505"/>
      <c r="DM712" s="505"/>
      <c r="DN712" s="505"/>
      <c r="DO712" s="505"/>
      <c r="DP712" s="505"/>
    </row>
    <row r="713" spans="1:120" x14ac:dyDescent="0.2">
      <c r="A713" s="517">
        <f t="shared" si="99"/>
        <v>41456</v>
      </c>
      <c r="B713" s="517" t="str">
        <f t="shared" si="96"/>
        <v>3Q13</v>
      </c>
      <c r="C713" s="517" t="str">
        <f t="shared" si="100"/>
        <v>3Q13</v>
      </c>
      <c r="D713" s="518">
        <f t="shared" si="101"/>
        <v>41544</v>
      </c>
      <c r="E713" s="518">
        <f t="shared" si="101"/>
        <v>41484</v>
      </c>
      <c r="F713" s="520">
        <v>3.915</v>
      </c>
      <c r="G713" s="521">
        <f t="shared" si="97"/>
        <v>0.56000000000000028</v>
      </c>
      <c r="H713" s="521">
        <f t="shared" si="98"/>
        <v>0.56000000000000028</v>
      </c>
      <c r="I713" s="505"/>
      <c r="J713" s="505"/>
      <c r="K713" s="505"/>
      <c r="L713" s="505"/>
      <c r="M713" s="505"/>
      <c r="N713" s="505"/>
      <c r="O713" s="505"/>
      <c r="P713" s="505"/>
      <c r="Q713" s="505"/>
      <c r="R713" s="505"/>
      <c r="S713" s="505"/>
      <c r="T713" s="505"/>
      <c r="U713" s="505"/>
      <c r="V713" s="505"/>
      <c r="W713" s="505"/>
      <c r="X713" s="505"/>
      <c r="Y713" s="505"/>
      <c r="Z713" s="505"/>
      <c r="AA713" s="505"/>
      <c r="AB713" s="505"/>
      <c r="AC713" s="505"/>
      <c r="AD713" s="505"/>
      <c r="AE713" s="505"/>
      <c r="AF713" s="505"/>
      <c r="AG713" s="505"/>
      <c r="AH713" s="505"/>
      <c r="AI713" s="505"/>
      <c r="AJ713" s="505"/>
      <c r="AK713" s="505"/>
      <c r="AL713" s="505"/>
      <c r="AM713" s="505"/>
      <c r="AN713" s="505"/>
      <c r="AO713" s="505"/>
      <c r="AP713" s="505"/>
      <c r="AQ713" s="505"/>
      <c r="AR713" s="505"/>
      <c r="AS713" s="505"/>
      <c r="AT713" s="505"/>
      <c r="AU713" s="505"/>
      <c r="AV713" s="505"/>
      <c r="AW713" s="505"/>
      <c r="AX713" s="505"/>
      <c r="AY713" s="505"/>
      <c r="AZ713" s="505"/>
      <c r="BA713" s="505"/>
      <c r="BB713" s="505"/>
      <c r="BC713" s="505"/>
      <c r="BD713" s="505"/>
      <c r="BE713" s="505"/>
      <c r="BF713" s="505"/>
      <c r="BG713" s="505"/>
      <c r="BH713" s="505"/>
      <c r="BI713" s="505"/>
      <c r="BJ713" s="505"/>
      <c r="BK713" s="505"/>
      <c r="BL713" s="505"/>
      <c r="BM713" s="505"/>
      <c r="BN713" s="505"/>
      <c r="BO713" s="505"/>
      <c r="BP713" s="505"/>
      <c r="BQ713" s="505"/>
      <c r="BR713" s="505"/>
      <c r="BS713" s="505"/>
      <c r="BT713" s="505"/>
      <c r="BU713" s="505"/>
      <c r="BV713" s="505"/>
      <c r="BW713" s="505"/>
      <c r="BX713" s="505"/>
      <c r="BY713" s="505"/>
      <c r="BZ713" s="505"/>
      <c r="CA713" s="505"/>
      <c r="CB713" s="505"/>
      <c r="CC713" s="505"/>
      <c r="CD713" s="505"/>
      <c r="CE713" s="505"/>
      <c r="CF713" s="505"/>
      <c r="CG713" s="505"/>
      <c r="CH713" s="505"/>
      <c r="CI713" s="505"/>
      <c r="CJ713" s="505"/>
      <c r="CK713" s="505"/>
      <c r="CL713" s="505"/>
      <c r="CM713" s="505"/>
      <c r="CN713" s="505"/>
      <c r="CO713" s="505"/>
      <c r="CP713" s="505"/>
      <c r="CQ713" s="505"/>
      <c r="CR713" s="505"/>
      <c r="CS713" s="505"/>
      <c r="CT713" s="505"/>
      <c r="CU713" s="505"/>
      <c r="CV713" s="505"/>
      <c r="CW713" s="505"/>
      <c r="CX713" s="505"/>
      <c r="CY713" s="505"/>
      <c r="CZ713" s="505"/>
      <c r="DA713" s="505"/>
      <c r="DB713" s="505"/>
      <c r="DC713" s="505"/>
      <c r="DD713" s="505"/>
      <c r="DE713" s="505"/>
      <c r="DF713" s="505"/>
      <c r="DG713" s="505"/>
      <c r="DH713" s="505"/>
      <c r="DI713" s="505"/>
      <c r="DJ713" s="505"/>
      <c r="DK713" s="505"/>
      <c r="DL713" s="505"/>
      <c r="DM713" s="505"/>
      <c r="DN713" s="505"/>
      <c r="DO713" s="505"/>
      <c r="DP713" s="505"/>
    </row>
    <row r="714" spans="1:120" x14ac:dyDescent="0.2">
      <c r="A714" s="517">
        <f t="shared" si="99"/>
        <v>41487</v>
      </c>
      <c r="B714" s="517" t="str">
        <f t="shared" si="96"/>
        <v>3Q13</v>
      </c>
      <c r="C714" s="517" t="str">
        <f t="shared" si="100"/>
        <v>4Q13</v>
      </c>
      <c r="D714" s="518">
        <f t="shared" si="101"/>
        <v>41551</v>
      </c>
      <c r="E714" s="518">
        <f t="shared" si="101"/>
        <v>41491</v>
      </c>
      <c r="F714" s="520">
        <v>3.9089999999999998</v>
      </c>
      <c r="G714" s="521">
        <f t="shared" si="97"/>
        <v>0.56000000000000028</v>
      </c>
      <c r="H714" s="521">
        <f t="shared" si="98"/>
        <v>0.55000000000000027</v>
      </c>
      <c r="I714" s="505"/>
      <c r="J714" s="505"/>
      <c r="K714" s="505"/>
      <c r="L714" s="505"/>
      <c r="M714" s="505"/>
      <c r="N714" s="505"/>
      <c r="O714" s="505"/>
      <c r="P714" s="505"/>
      <c r="Q714" s="505"/>
      <c r="R714" s="505"/>
      <c r="S714" s="505"/>
      <c r="T714" s="505"/>
      <c r="U714" s="505"/>
      <c r="V714" s="505"/>
      <c r="W714" s="505"/>
      <c r="X714" s="505"/>
      <c r="Y714" s="505"/>
      <c r="Z714" s="505"/>
      <c r="AA714" s="505"/>
      <c r="AB714" s="505"/>
      <c r="AC714" s="505"/>
      <c r="AD714" s="505"/>
      <c r="AE714" s="505"/>
      <c r="AF714" s="505"/>
      <c r="AG714" s="505"/>
      <c r="AH714" s="505"/>
      <c r="AI714" s="505"/>
      <c r="AJ714" s="505"/>
      <c r="AK714" s="505"/>
      <c r="AL714" s="505"/>
      <c r="AM714" s="505"/>
      <c r="AN714" s="505"/>
      <c r="AO714" s="505"/>
      <c r="AP714" s="505"/>
      <c r="AQ714" s="505"/>
      <c r="AR714" s="505"/>
      <c r="AS714" s="505"/>
      <c r="AT714" s="505"/>
      <c r="AU714" s="505"/>
      <c r="AV714" s="505"/>
      <c r="AW714" s="505"/>
      <c r="AX714" s="505"/>
      <c r="AY714" s="505"/>
      <c r="AZ714" s="505"/>
      <c r="BA714" s="505"/>
      <c r="BB714" s="505"/>
      <c r="BC714" s="505"/>
      <c r="BD714" s="505"/>
      <c r="BE714" s="505"/>
      <c r="BF714" s="505"/>
      <c r="BG714" s="505"/>
      <c r="BH714" s="505"/>
      <c r="BI714" s="505"/>
      <c r="BJ714" s="505"/>
      <c r="BK714" s="505"/>
      <c r="BL714" s="505"/>
      <c r="BM714" s="505"/>
      <c r="BN714" s="505"/>
      <c r="BO714" s="505"/>
      <c r="BP714" s="505"/>
      <c r="BQ714" s="505"/>
      <c r="BR714" s="505"/>
      <c r="BS714" s="505"/>
      <c r="BT714" s="505"/>
      <c r="BU714" s="505"/>
      <c r="BV714" s="505"/>
      <c r="BW714" s="505"/>
      <c r="BX714" s="505"/>
      <c r="BY714" s="505"/>
      <c r="BZ714" s="505"/>
      <c r="CA714" s="505"/>
      <c r="CB714" s="505"/>
      <c r="CC714" s="505"/>
      <c r="CD714" s="505"/>
      <c r="CE714" s="505"/>
      <c r="CF714" s="505"/>
      <c r="CG714" s="505"/>
      <c r="CH714" s="505"/>
      <c r="CI714" s="505"/>
      <c r="CJ714" s="505"/>
      <c r="CK714" s="505"/>
      <c r="CL714" s="505"/>
      <c r="CM714" s="505"/>
      <c r="CN714" s="505"/>
      <c r="CO714" s="505"/>
      <c r="CP714" s="505"/>
      <c r="CQ714" s="505"/>
      <c r="CR714" s="505"/>
      <c r="CS714" s="505"/>
      <c r="CT714" s="505"/>
      <c r="CU714" s="505"/>
      <c r="CV714" s="505"/>
      <c r="CW714" s="505"/>
      <c r="CX714" s="505"/>
      <c r="CY714" s="505"/>
      <c r="CZ714" s="505"/>
      <c r="DA714" s="505"/>
      <c r="DB714" s="505"/>
      <c r="DC714" s="505"/>
      <c r="DD714" s="505"/>
      <c r="DE714" s="505"/>
      <c r="DF714" s="505"/>
      <c r="DG714" s="505"/>
      <c r="DH714" s="505"/>
      <c r="DI714" s="505"/>
      <c r="DJ714" s="505"/>
      <c r="DK714" s="505"/>
      <c r="DL714" s="505"/>
      <c r="DM714" s="505"/>
      <c r="DN714" s="505"/>
      <c r="DO714" s="505"/>
      <c r="DP714" s="505"/>
    </row>
    <row r="715" spans="1:120" x14ac:dyDescent="0.2">
      <c r="A715" s="517">
        <f t="shared" si="99"/>
        <v>41487</v>
      </c>
      <c r="B715" s="517" t="str">
        <f t="shared" si="96"/>
        <v>3Q13</v>
      </c>
      <c r="C715" s="517" t="str">
        <f t="shared" si="100"/>
        <v>4Q13</v>
      </c>
      <c r="D715" s="518">
        <f t="shared" si="101"/>
        <v>41558</v>
      </c>
      <c r="E715" s="518">
        <f t="shared" si="101"/>
        <v>41498</v>
      </c>
      <c r="F715" s="520">
        <v>3.8959999999999999</v>
      </c>
      <c r="G715" s="521">
        <f t="shared" si="97"/>
        <v>0.55000000000000027</v>
      </c>
      <c r="H715" s="521">
        <f t="shared" si="98"/>
        <v>0.56000000000000028</v>
      </c>
      <c r="I715" s="505"/>
      <c r="J715" s="505"/>
      <c r="K715" s="505"/>
      <c r="L715" s="505"/>
      <c r="M715" s="505"/>
      <c r="N715" s="505"/>
      <c r="O715" s="505"/>
      <c r="P715" s="505"/>
      <c r="Q715" s="505"/>
      <c r="R715" s="505"/>
      <c r="S715" s="505"/>
      <c r="T715" s="505"/>
      <c r="U715" s="505"/>
      <c r="V715" s="505"/>
      <c r="W715" s="505"/>
      <c r="X715" s="505"/>
      <c r="Y715" s="505"/>
      <c r="Z715" s="505"/>
      <c r="AA715" s="505"/>
      <c r="AB715" s="505"/>
      <c r="AC715" s="505"/>
      <c r="AD715" s="505"/>
      <c r="AE715" s="505"/>
      <c r="AF715" s="505"/>
      <c r="AG715" s="505"/>
      <c r="AH715" s="505"/>
      <c r="AI715" s="505"/>
      <c r="AJ715" s="505"/>
      <c r="AK715" s="505"/>
      <c r="AL715" s="505"/>
      <c r="AM715" s="505"/>
      <c r="AN715" s="505"/>
      <c r="AO715" s="505"/>
      <c r="AP715" s="505"/>
      <c r="AQ715" s="505"/>
      <c r="AR715" s="505"/>
      <c r="AS715" s="505"/>
      <c r="AT715" s="505"/>
      <c r="AU715" s="505"/>
      <c r="AV715" s="505"/>
      <c r="AW715" s="505"/>
      <c r="AX715" s="505"/>
      <c r="AY715" s="505"/>
      <c r="AZ715" s="505"/>
      <c r="BA715" s="505"/>
      <c r="BB715" s="505"/>
      <c r="BC715" s="505"/>
      <c r="BD715" s="505"/>
      <c r="BE715" s="505"/>
      <c r="BF715" s="505"/>
      <c r="BG715" s="505"/>
      <c r="BH715" s="505"/>
      <c r="BI715" s="505"/>
      <c r="BJ715" s="505"/>
      <c r="BK715" s="505"/>
      <c r="BL715" s="505"/>
      <c r="BM715" s="505"/>
      <c r="BN715" s="505"/>
      <c r="BO715" s="505"/>
      <c r="BP715" s="505"/>
      <c r="BQ715" s="505"/>
      <c r="BR715" s="505"/>
      <c r="BS715" s="505"/>
      <c r="BT715" s="505"/>
      <c r="BU715" s="505"/>
      <c r="BV715" s="505"/>
      <c r="BW715" s="505"/>
      <c r="BX715" s="505"/>
      <c r="BY715" s="505"/>
      <c r="BZ715" s="505"/>
      <c r="CA715" s="505"/>
      <c r="CB715" s="505"/>
      <c r="CC715" s="505"/>
      <c r="CD715" s="505"/>
      <c r="CE715" s="505"/>
      <c r="CF715" s="505"/>
      <c r="CG715" s="505"/>
      <c r="CH715" s="505"/>
      <c r="CI715" s="505"/>
      <c r="CJ715" s="505"/>
      <c r="CK715" s="505"/>
      <c r="CL715" s="505"/>
      <c r="CM715" s="505"/>
      <c r="CN715" s="505"/>
      <c r="CO715" s="505"/>
      <c r="CP715" s="505"/>
      <c r="CQ715" s="505"/>
      <c r="CR715" s="505"/>
      <c r="CS715" s="505"/>
      <c r="CT715" s="505"/>
      <c r="CU715" s="505"/>
      <c r="CV715" s="505"/>
      <c r="CW715" s="505"/>
      <c r="CX715" s="505"/>
      <c r="CY715" s="505"/>
      <c r="CZ715" s="505"/>
      <c r="DA715" s="505"/>
      <c r="DB715" s="505"/>
      <c r="DC715" s="505"/>
      <c r="DD715" s="505"/>
      <c r="DE715" s="505"/>
      <c r="DF715" s="505"/>
      <c r="DG715" s="505"/>
      <c r="DH715" s="505"/>
      <c r="DI715" s="505"/>
      <c r="DJ715" s="505"/>
      <c r="DK715" s="505"/>
      <c r="DL715" s="505"/>
      <c r="DM715" s="505"/>
      <c r="DN715" s="505"/>
      <c r="DO715" s="505"/>
      <c r="DP715" s="505"/>
    </row>
    <row r="716" spans="1:120" x14ac:dyDescent="0.2">
      <c r="A716" s="517">
        <f t="shared" si="99"/>
        <v>41487</v>
      </c>
      <c r="B716" s="517" t="str">
        <f t="shared" si="96"/>
        <v>3Q13</v>
      </c>
      <c r="C716" s="517" t="str">
        <f t="shared" si="100"/>
        <v>4Q13</v>
      </c>
      <c r="D716" s="518">
        <f t="shared" si="101"/>
        <v>41565</v>
      </c>
      <c r="E716" s="518">
        <f t="shared" si="101"/>
        <v>41505</v>
      </c>
      <c r="F716" s="520">
        <v>3.9</v>
      </c>
      <c r="G716" s="521">
        <f t="shared" si="97"/>
        <v>0.56000000000000028</v>
      </c>
      <c r="H716" s="521">
        <f t="shared" si="98"/>
        <v>0.56000000000000028</v>
      </c>
      <c r="I716" s="505"/>
      <c r="J716" s="505"/>
      <c r="K716" s="505"/>
      <c r="L716" s="505"/>
      <c r="M716" s="505"/>
      <c r="N716" s="505"/>
      <c r="O716" s="505"/>
      <c r="P716" s="505"/>
      <c r="Q716" s="505"/>
      <c r="R716" s="505"/>
      <c r="S716" s="505"/>
      <c r="T716" s="505"/>
      <c r="U716" s="505"/>
      <c r="V716" s="505"/>
      <c r="W716" s="505"/>
      <c r="X716" s="505"/>
      <c r="Y716" s="505"/>
      <c r="Z716" s="505"/>
      <c r="AA716" s="505"/>
      <c r="AB716" s="505"/>
      <c r="AC716" s="505"/>
      <c r="AD716" s="505"/>
      <c r="AE716" s="505"/>
      <c r="AF716" s="505"/>
      <c r="AG716" s="505"/>
      <c r="AH716" s="505"/>
      <c r="AI716" s="505"/>
      <c r="AJ716" s="505"/>
      <c r="AK716" s="505"/>
      <c r="AL716" s="505"/>
      <c r="AM716" s="505"/>
      <c r="AN716" s="505"/>
      <c r="AO716" s="505"/>
      <c r="AP716" s="505"/>
      <c r="AQ716" s="505"/>
      <c r="AR716" s="505"/>
      <c r="AS716" s="505"/>
      <c r="AT716" s="505"/>
      <c r="AU716" s="505"/>
      <c r="AV716" s="505"/>
      <c r="AW716" s="505"/>
      <c r="AX716" s="505"/>
      <c r="AY716" s="505"/>
      <c r="AZ716" s="505"/>
      <c r="BA716" s="505"/>
      <c r="BB716" s="505"/>
      <c r="BC716" s="505"/>
      <c r="BD716" s="505"/>
      <c r="BE716" s="505"/>
      <c r="BF716" s="505"/>
      <c r="BG716" s="505"/>
      <c r="BH716" s="505"/>
      <c r="BI716" s="505"/>
      <c r="BJ716" s="505"/>
      <c r="BK716" s="505"/>
      <c r="BL716" s="505"/>
      <c r="BM716" s="505"/>
      <c r="BN716" s="505"/>
      <c r="BO716" s="505"/>
      <c r="BP716" s="505"/>
      <c r="BQ716" s="505"/>
      <c r="BR716" s="505"/>
      <c r="BS716" s="505"/>
      <c r="BT716" s="505"/>
      <c r="BU716" s="505"/>
      <c r="BV716" s="505"/>
      <c r="BW716" s="505"/>
      <c r="BX716" s="505"/>
      <c r="BY716" s="505"/>
      <c r="BZ716" s="505"/>
      <c r="CA716" s="505"/>
      <c r="CB716" s="505"/>
      <c r="CC716" s="505"/>
      <c r="CD716" s="505"/>
      <c r="CE716" s="505"/>
      <c r="CF716" s="505"/>
      <c r="CG716" s="505"/>
      <c r="CH716" s="505"/>
      <c r="CI716" s="505"/>
      <c r="CJ716" s="505"/>
      <c r="CK716" s="505"/>
      <c r="CL716" s="505"/>
      <c r="CM716" s="505"/>
      <c r="CN716" s="505"/>
      <c r="CO716" s="505"/>
      <c r="CP716" s="505"/>
      <c r="CQ716" s="505"/>
      <c r="CR716" s="505"/>
      <c r="CS716" s="505"/>
      <c r="CT716" s="505"/>
      <c r="CU716" s="505"/>
      <c r="CV716" s="505"/>
      <c r="CW716" s="505"/>
      <c r="CX716" s="505"/>
      <c r="CY716" s="505"/>
      <c r="CZ716" s="505"/>
      <c r="DA716" s="505"/>
      <c r="DB716" s="505"/>
      <c r="DC716" s="505"/>
      <c r="DD716" s="505"/>
      <c r="DE716" s="505"/>
      <c r="DF716" s="505"/>
      <c r="DG716" s="505"/>
      <c r="DH716" s="505"/>
      <c r="DI716" s="505"/>
      <c r="DJ716" s="505"/>
      <c r="DK716" s="505"/>
      <c r="DL716" s="505"/>
      <c r="DM716" s="505"/>
      <c r="DN716" s="505"/>
      <c r="DO716" s="505"/>
      <c r="DP716" s="505"/>
    </row>
    <row r="717" spans="1:120" x14ac:dyDescent="0.2">
      <c r="A717" s="517">
        <f t="shared" si="99"/>
        <v>41487</v>
      </c>
      <c r="B717" s="517" t="str">
        <f t="shared" si="96"/>
        <v>3Q13</v>
      </c>
      <c r="C717" s="517" t="str">
        <f t="shared" si="100"/>
        <v>4Q13</v>
      </c>
      <c r="D717" s="518">
        <f t="shared" si="101"/>
        <v>41572</v>
      </c>
      <c r="E717" s="518">
        <f t="shared" si="101"/>
        <v>41512</v>
      </c>
      <c r="F717" s="520">
        <v>3.9129999999999998</v>
      </c>
      <c r="G717" s="521">
        <f t="shared" si="97"/>
        <v>0.56000000000000028</v>
      </c>
      <c r="H717" s="521">
        <f t="shared" si="98"/>
        <v>0.57000000000000028</v>
      </c>
      <c r="I717" s="505"/>
      <c r="J717" s="505"/>
      <c r="K717" s="505"/>
      <c r="L717" s="505"/>
      <c r="M717" s="505"/>
      <c r="N717" s="505"/>
      <c r="O717" s="505"/>
      <c r="P717" s="505"/>
      <c r="Q717" s="505"/>
      <c r="R717" s="505"/>
      <c r="S717" s="505"/>
      <c r="T717" s="505"/>
      <c r="U717" s="505"/>
      <c r="V717" s="505"/>
      <c r="W717" s="505"/>
      <c r="X717" s="505"/>
      <c r="Y717" s="505"/>
      <c r="Z717" s="505"/>
      <c r="AA717" s="505"/>
      <c r="AB717" s="505"/>
      <c r="AC717" s="505"/>
      <c r="AD717" s="505"/>
      <c r="AE717" s="505"/>
      <c r="AF717" s="505"/>
      <c r="AG717" s="505"/>
      <c r="AH717" s="505"/>
      <c r="AI717" s="505"/>
      <c r="AJ717" s="505"/>
      <c r="AK717" s="505"/>
      <c r="AL717" s="505"/>
      <c r="AM717" s="505"/>
      <c r="AN717" s="505"/>
      <c r="AO717" s="505"/>
      <c r="AP717" s="505"/>
      <c r="AQ717" s="505"/>
      <c r="AR717" s="505"/>
      <c r="AS717" s="505"/>
      <c r="AT717" s="505"/>
      <c r="AU717" s="505"/>
      <c r="AV717" s="505"/>
      <c r="AW717" s="505"/>
      <c r="AX717" s="505"/>
      <c r="AY717" s="505"/>
      <c r="AZ717" s="505"/>
      <c r="BA717" s="505"/>
      <c r="BB717" s="505"/>
      <c r="BC717" s="505"/>
      <c r="BD717" s="505"/>
      <c r="BE717" s="505"/>
      <c r="BF717" s="505"/>
      <c r="BG717" s="505"/>
      <c r="BH717" s="505"/>
      <c r="BI717" s="505"/>
      <c r="BJ717" s="505"/>
      <c r="BK717" s="505"/>
      <c r="BL717" s="505"/>
      <c r="BM717" s="505"/>
      <c r="BN717" s="505"/>
      <c r="BO717" s="505"/>
      <c r="BP717" s="505"/>
      <c r="BQ717" s="505"/>
      <c r="BR717" s="505"/>
      <c r="BS717" s="505"/>
      <c r="BT717" s="505"/>
      <c r="BU717" s="505"/>
      <c r="BV717" s="505"/>
      <c r="BW717" s="505"/>
      <c r="BX717" s="505"/>
      <c r="BY717" s="505"/>
      <c r="BZ717" s="505"/>
      <c r="CA717" s="505"/>
      <c r="CB717" s="505"/>
      <c r="CC717" s="505"/>
      <c r="CD717" s="505"/>
      <c r="CE717" s="505"/>
      <c r="CF717" s="505"/>
      <c r="CG717" s="505"/>
      <c r="CH717" s="505"/>
      <c r="CI717" s="505"/>
      <c r="CJ717" s="505"/>
      <c r="CK717" s="505"/>
      <c r="CL717" s="505"/>
      <c r="CM717" s="505"/>
      <c r="CN717" s="505"/>
      <c r="CO717" s="505"/>
      <c r="CP717" s="505"/>
      <c r="CQ717" s="505"/>
      <c r="CR717" s="505"/>
      <c r="CS717" s="505"/>
      <c r="CT717" s="505"/>
      <c r="CU717" s="505"/>
      <c r="CV717" s="505"/>
      <c r="CW717" s="505"/>
      <c r="CX717" s="505"/>
      <c r="CY717" s="505"/>
      <c r="CZ717" s="505"/>
      <c r="DA717" s="505"/>
      <c r="DB717" s="505"/>
      <c r="DC717" s="505"/>
      <c r="DD717" s="505"/>
      <c r="DE717" s="505"/>
      <c r="DF717" s="505"/>
      <c r="DG717" s="505"/>
      <c r="DH717" s="505"/>
      <c r="DI717" s="505"/>
      <c r="DJ717" s="505"/>
      <c r="DK717" s="505"/>
      <c r="DL717" s="505"/>
      <c r="DM717" s="505"/>
      <c r="DN717" s="505"/>
      <c r="DO717" s="505"/>
      <c r="DP717" s="505"/>
    </row>
    <row r="718" spans="1:120" x14ac:dyDescent="0.2">
      <c r="A718" s="517">
        <f t="shared" si="99"/>
        <v>41518</v>
      </c>
      <c r="B718" s="517" t="str">
        <f t="shared" si="96"/>
        <v>3Q13</v>
      </c>
      <c r="C718" s="517" t="str">
        <f t="shared" si="100"/>
        <v>4Q13</v>
      </c>
      <c r="D718" s="518">
        <f t="shared" si="101"/>
        <v>41579</v>
      </c>
      <c r="E718" s="518">
        <f t="shared" si="101"/>
        <v>41519</v>
      </c>
      <c r="F718" s="520">
        <v>3.9809999999999999</v>
      </c>
      <c r="G718" s="521">
        <f t="shared" si="97"/>
        <v>0.57000000000000028</v>
      </c>
      <c r="H718" s="521">
        <f t="shared" si="98"/>
        <v>0.57000000000000028</v>
      </c>
      <c r="I718" s="505"/>
      <c r="J718" s="505"/>
      <c r="K718" s="505"/>
      <c r="L718" s="505"/>
      <c r="M718" s="505"/>
      <c r="N718" s="505"/>
      <c r="O718" s="505"/>
      <c r="P718" s="505"/>
      <c r="Q718" s="505"/>
      <c r="R718" s="505"/>
      <c r="S718" s="505"/>
      <c r="T718" s="505"/>
      <c r="U718" s="505"/>
      <c r="V718" s="505"/>
      <c r="W718" s="505"/>
      <c r="X718" s="505"/>
      <c r="Y718" s="505"/>
      <c r="Z718" s="505"/>
      <c r="AA718" s="505"/>
      <c r="AB718" s="505"/>
      <c r="AC718" s="505"/>
      <c r="AD718" s="505"/>
      <c r="AE718" s="505"/>
      <c r="AF718" s="505"/>
      <c r="AG718" s="505"/>
      <c r="AH718" s="505"/>
      <c r="AI718" s="505"/>
      <c r="AJ718" s="505"/>
      <c r="AK718" s="505"/>
      <c r="AL718" s="505"/>
      <c r="AM718" s="505"/>
      <c r="AN718" s="505"/>
      <c r="AO718" s="505"/>
      <c r="AP718" s="505"/>
      <c r="AQ718" s="505"/>
      <c r="AR718" s="505"/>
      <c r="AS718" s="505"/>
      <c r="AT718" s="505"/>
      <c r="AU718" s="505"/>
      <c r="AV718" s="505"/>
      <c r="AW718" s="505"/>
      <c r="AX718" s="505"/>
      <c r="AY718" s="505"/>
      <c r="AZ718" s="505"/>
      <c r="BA718" s="505"/>
      <c r="BB718" s="505"/>
      <c r="BC718" s="505"/>
      <c r="BD718" s="505"/>
      <c r="BE718" s="505"/>
      <c r="BF718" s="505"/>
      <c r="BG718" s="505"/>
      <c r="BH718" s="505"/>
      <c r="BI718" s="505"/>
      <c r="BJ718" s="505"/>
      <c r="BK718" s="505"/>
      <c r="BL718" s="505"/>
      <c r="BM718" s="505"/>
      <c r="BN718" s="505"/>
      <c r="BO718" s="505"/>
      <c r="BP718" s="505"/>
      <c r="BQ718" s="505"/>
      <c r="BR718" s="505"/>
      <c r="BS718" s="505"/>
      <c r="BT718" s="505"/>
      <c r="BU718" s="505"/>
      <c r="BV718" s="505"/>
      <c r="BW718" s="505"/>
      <c r="BX718" s="505"/>
      <c r="BY718" s="505"/>
      <c r="BZ718" s="505"/>
      <c r="CA718" s="505"/>
      <c r="CB718" s="505"/>
      <c r="CC718" s="505"/>
      <c r="CD718" s="505"/>
      <c r="CE718" s="505"/>
      <c r="CF718" s="505"/>
      <c r="CG718" s="505"/>
      <c r="CH718" s="505"/>
      <c r="CI718" s="505"/>
      <c r="CJ718" s="505"/>
      <c r="CK718" s="505"/>
      <c r="CL718" s="505"/>
      <c r="CM718" s="505"/>
      <c r="CN718" s="505"/>
      <c r="CO718" s="505"/>
      <c r="CP718" s="505"/>
      <c r="CQ718" s="505"/>
      <c r="CR718" s="505"/>
      <c r="CS718" s="505"/>
      <c r="CT718" s="505"/>
      <c r="CU718" s="505"/>
      <c r="CV718" s="505"/>
      <c r="CW718" s="505"/>
      <c r="CX718" s="505"/>
      <c r="CY718" s="505"/>
      <c r="CZ718" s="505"/>
      <c r="DA718" s="505"/>
      <c r="DB718" s="505"/>
      <c r="DC718" s="505"/>
      <c r="DD718" s="505"/>
      <c r="DE718" s="505"/>
      <c r="DF718" s="505"/>
      <c r="DG718" s="505"/>
      <c r="DH718" s="505"/>
      <c r="DI718" s="505"/>
      <c r="DJ718" s="505"/>
      <c r="DK718" s="505"/>
      <c r="DL718" s="505"/>
      <c r="DM718" s="505"/>
      <c r="DN718" s="505"/>
      <c r="DO718" s="505"/>
      <c r="DP718" s="505"/>
    </row>
    <row r="719" spans="1:120" x14ac:dyDescent="0.2">
      <c r="A719" s="517">
        <f t="shared" si="99"/>
        <v>41518</v>
      </c>
      <c r="B719" s="517" t="str">
        <f t="shared" si="96"/>
        <v>3Q13</v>
      </c>
      <c r="C719" s="517" t="str">
        <f t="shared" si="100"/>
        <v>4Q13</v>
      </c>
      <c r="D719" s="518">
        <f t="shared" si="101"/>
        <v>41586</v>
      </c>
      <c r="E719" s="518">
        <f t="shared" si="101"/>
        <v>41526</v>
      </c>
      <c r="F719" s="520">
        <v>3.9809999999999999</v>
      </c>
      <c r="G719" s="521">
        <f t="shared" si="97"/>
        <v>0.57000000000000028</v>
      </c>
      <c r="H719" s="521">
        <f t="shared" si="98"/>
        <v>0.57000000000000028</v>
      </c>
      <c r="I719" s="505"/>
      <c r="J719" s="505"/>
      <c r="K719" s="505"/>
      <c r="L719" s="505"/>
      <c r="M719" s="505"/>
      <c r="N719" s="505"/>
      <c r="O719" s="505"/>
      <c r="P719" s="505"/>
      <c r="Q719" s="505"/>
      <c r="R719" s="505"/>
      <c r="S719" s="505"/>
      <c r="T719" s="505"/>
      <c r="U719" s="505"/>
      <c r="V719" s="505"/>
      <c r="W719" s="505"/>
      <c r="X719" s="505"/>
      <c r="Y719" s="505"/>
      <c r="Z719" s="505"/>
      <c r="AA719" s="505"/>
      <c r="AB719" s="505"/>
      <c r="AC719" s="505"/>
      <c r="AD719" s="505"/>
      <c r="AE719" s="505"/>
      <c r="AF719" s="505"/>
      <c r="AG719" s="505"/>
      <c r="AH719" s="505"/>
      <c r="AI719" s="505"/>
      <c r="AJ719" s="505"/>
      <c r="AK719" s="505"/>
      <c r="AL719" s="505"/>
      <c r="AM719" s="505"/>
      <c r="AN719" s="505"/>
      <c r="AO719" s="505"/>
      <c r="AP719" s="505"/>
      <c r="AQ719" s="505"/>
      <c r="AR719" s="505"/>
      <c r="AS719" s="505"/>
      <c r="AT719" s="505"/>
      <c r="AU719" s="505"/>
      <c r="AV719" s="505"/>
      <c r="AW719" s="505"/>
      <c r="AX719" s="505"/>
      <c r="AY719" s="505"/>
      <c r="AZ719" s="505"/>
      <c r="BA719" s="505"/>
      <c r="BB719" s="505"/>
      <c r="BC719" s="505"/>
      <c r="BD719" s="505"/>
      <c r="BE719" s="505"/>
      <c r="BF719" s="505"/>
      <c r="BG719" s="505"/>
      <c r="BH719" s="505"/>
      <c r="BI719" s="505"/>
      <c r="BJ719" s="505"/>
      <c r="BK719" s="505"/>
      <c r="BL719" s="505"/>
      <c r="BM719" s="505"/>
      <c r="BN719" s="505"/>
      <c r="BO719" s="505"/>
      <c r="BP719" s="505"/>
      <c r="BQ719" s="505"/>
      <c r="BR719" s="505"/>
      <c r="BS719" s="505"/>
      <c r="BT719" s="505"/>
      <c r="BU719" s="505"/>
      <c r="BV719" s="505"/>
      <c r="BW719" s="505"/>
      <c r="BX719" s="505"/>
      <c r="BY719" s="505"/>
      <c r="BZ719" s="505"/>
      <c r="CA719" s="505"/>
      <c r="CB719" s="505"/>
      <c r="CC719" s="505"/>
      <c r="CD719" s="505"/>
      <c r="CE719" s="505"/>
      <c r="CF719" s="505"/>
      <c r="CG719" s="505"/>
      <c r="CH719" s="505"/>
      <c r="CI719" s="505"/>
      <c r="CJ719" s="505"/>
      <c r="CK719" s="505"/>
      <c r="CL719" s="505"/>
      <c r="CM719" s="505"/>
      <c r="CN719" s="505"/>
      <c r="CO719" s="505"/>
      <c r="CP719" s="505"/>
      <c r="CQ719" s="505"/>
      <c r="CR719" s="505"/>
      <c r="CS719" s="505"/>
      <c r="CT719" s="505"/>
      <c r="CU719" s="505"/>
      <c r="CV719" s="505"/>
      <c r="CW719" s="505"/>
      <c r="CX719" s="505"/>
      <c r="CY719" s="505"/>
      <c r="CZ719" s="505"/>
      <c r="DA719" s="505"/>
      <c r="DB719" s="505"/>
      <c r="DC719" s="505"/>
      <c r="DD719" s="505"/>
      <c r="DE719" s="505"/>
      <c r="DF719" s="505"/>
      <c r="DG719" s="505"/>
      <c r="DH719" s="505"/>
      <c r="DI719" s="505"/>
      <c r="DJ719" s="505"/>
      <c r="DK719" s="505"/>
      <c r="DL719" s="505"/>
      <c r="DM719" s="505"/>
      <c r="DN719" s="505"/>
      <c r="DO719" s="505"/>
      <c r="DP719" s="505"/>
    </row>
    <row r="720" spans="1:120" x14ac:dyDescent="0.2">
      <c r="A720" s="517">
        <f t="shared" si="99"/>
        <v>41518</v>
      </c>
      <c r="B720" s="517" t="str">
        <f t="shared" si="96"/>
        <v>3Q13</v>
      </c>
      <c r="C720" s="517" t="str">
        <f t="shared" si="100"/>
        <v>4Q13</v>
      </c>
      <c r="D720" s="518">
        <f t="shared" si="101"/>
        <v>41593</v>
      </c>
      <c r="E720" s="518">
        <f t="shared" si="101"/>
        <v>41533</v>
      </c>
      <c r="F720" s="520">
        <v>3.9740000000000002</v>
      </c>
      <c r="G720" s="521">
        <f t="shared" si="97"/>
        <v>0.57000000000000028</v>
      </c>
      <c r="H720" s="521">
        <f t="shared" si="98"/>
        <v>0.56000000000000028</v>
      </c>
      <c r="I720" s="505"/>
      <c r="J720" s="505"/>
      <c r="K720" s="505"/>
      <c r="L720" s="505"/>
      <c r="M720" s="505"/>
      <c r="N720" s="505"/>
      <c r="O720" s="505"/>
      <c r="P720" s="505"/>
      <c r="Q720" s="505"/>
      <c r="R720" s="505"/>
      <c r="S720" s="505"/>
      <c r="T720" s="505"/>
      <c r="U720" s="505"/>
      <c r="V720" s="505"/>
      <c r="W720" s="505"/>
      <c r="X720" s="505"/>
      <c r="Y720" s="505"/>
      <c r="Z720" s="505"/>
      <c r="AA720" s="505"/>
      <c r="AB720" s="505"/>
      <c r="AC720" s="505"/>
      <c r="AD720" s="505"/>
      <c r="AE720" s="505"/>
      <c r="AF720" s="505"/>
      <c r="AG720" s="505"/>
      <c r="AH720" s="505"/>
      <c r="AI720" s="505"/>
      <c r="AJ720" s="505"/>
      <c r="AK720" s="505"/>
      <c r="AL720" s="505"/>
      <c r="AM720" s="505"/>
      <c r="AN720" s="505"/>
      <c r="AO720" s="505"/>
      <c r="AP720" s="505"/>
      <c r="AQ720" s="505"/>
      <c r="AR720" s="505"/>
      <c r="AS720" s="505"/>
      <c r="AT720" s="505"/>
      <c r="AU720" s="505"/>
      <c r="AV720" s="505"/>
      <c r="AW720" s="505"/>
      <c r="AX720" s="505"/>
      <c r="AY720" s="505"/>
      <c r="AZ720" s="505"/>
      <c r="BA720" s="505"/>
      <c r="BB720" s="505"/>
      <c r="BC720" s="505"/>
      <c r="BD720" s="505"/>
      <c r="BE720" s="505"/>
      <c r="BF720" s="505"/>
      <c r="BG720" s="505"/>
      <c r="BH720" s="505"/>
      <c r="BI720" s="505"/>
      <c r="BJ720" s="505"/>
      <c r="BK720" s="505"/>
      <c r="BL720" s="505"/>
      <c r="BM720" s="505"/>
      <c r="BN720" s="505"/>
      <c r="BO720" s="505"/>
      <c r="BP720" s="505"/>
      <c r="BQ720" s="505"/>
      <c r="BR720" s="505"/>
      <c r="BS720" s="505"/>
      <c r="BT720" s="505"/>
      <c r="BU720" s="505"/>
      <c r="BV720" s="505"/>
      <c r="BW720" s="505"/>
      <c r="BX720" s="505"/>
      <c r="BY720" s="505"/>
      <c r="BZ720" s="505"/>
      <c r="CA720" s="505"/>
      <c r="CB720" s="505"/>
      <c r="CC720" s="505"/>
      <c r="CD720" s="505"/>
      <c r="CE720" s="505"/>
      <c r="CF720" s="505"/>
      <c r="CG720" s="505"/>
      <c r="CH720" s="505"/>
      <c r="CI720" s="505"/>
      <c r="CJ720" s="505"/>
      <c r="CK720" s="505"/>
      <c r="CL720" s="505"/>
      <c r="CM720" s="505"/>
      <c r="CN720" s="505"/>
      <c r="CO720" s="505"/>
      <c r="CP720" s="505"/>
      <c r="CQ720" s="505"/>
      <c r="CR720" s="505"/>
      <c r="CS720" s="505"/>
      <c r="CT720" s="505"/>
      <c r="CU720" s="505"/>
      <c r="CV720" s="505"/>
      <c r="CW720" s="505"/>
      <c r="CX720" s="505"/>
      <c r="CY720" s="505"/>
      <c r="CZ720" s="505"/>
      <c r="DA720" s="505"/>
      <c r="DB720" s="505"/>
      <c r="DC720" s="505"/>
      <c r="DD720" s="505"/>
      <c r="DE720" s="505"/>
      <c r="DF720" s="505"/>
      <c r="DG720" s="505"/>
      <c r="DH720" s="505"/>
      <c r="DI720" s="505"/>
      <c r="DJ720" s="505"/>
      <c r="DK720" s="505"/>
      <c r="DL720" s="505"/>
      <c r="DM720" s="505"/>
      <c r="DN720" s="505"/>
      <c r="DO720" s="505"/>
      <c r="DP720" s="505"/>
    </row>
    <row r="721" spans="1:120" x14ac:dyDescent="0.2">
      <c r="A721" s="517">
        <f t="shared" si="99"/>
        <v>41518</v>
      </c>
      <c r="B721" s="517" t="str">
        <f t="shared" si="96"/>
        <v>3Q13</v>
      </c>
      <c r="C721" s="517" t="str">
        <f t="shared" si="100"/>
        <v>4Q13</v>
      </c>
      <c r="D721" s="518">
        <f t="shared" si="101"/>
        <v>41600</v>
      </c>
      <c r="E721" s="518">
        <f t="shared" si="101"/>
        <v>41540</v>
      </c>
      <c r="F721" s="520">
        <v>3.9489999999999998</v>
      </c>
      <c r="G721" s="521">
        <f t="shared" si="97"/>
        <v>0.56000000000000028</v>
      </c>
      <c r="H721" s="521">
        <f t="shared" si="98"/>
        <v>0.56000000000000028</v>
      </c>
      <c r="I721" s="505"/>
      <c r="J721" s="505"/>
      <c r="K721" s="505"/>
      <c r="L721" s="505"/>
      <c r="M721" s="505"/>
      <c r="N721" s="505"/>
      <c r="O721" s="505"/>
      <c r="P721" s="505"/>
      <c r="Q721" s="505"/>
      <c r="R721" s="505"/>
      <c r="S721" s="505"/>
      <c r="T721" s="505"/>
      <c r="U721" s="505"/>
      <c r="V721" s="505"/>
      <c r="W721" s="505"/>
      <c r="X721" s="505"/>
      <c r="Y721" s="505"/>
      <c r="Z721" s="505"/>
      <c r="AA721" s="505"/>
      <c r="AB721" s="505"/>
      <c r="AC721" s="505"/>
      <c r="AD721" s="505"/>
      <c r="AE721" s="505"/>
      <c r="AF721" s="505"/>
      <c r="AG721" s="505"/>
      <c r="AH721" s="505"/>
      <c r="AI721" s="505"/>
      <c r="AJ721" s="505"/>
      <c r="AK721" s="505"/>
      <c r="AL721" s="505"/>
      <c r="AM721" s="505"/>
      <c r="AN721" s="505"/>
      <c r="AO721" s="505"/>
      <c r="AP721" s="505"/>
      <c r="AQ721" s="505"/>
      <c r="AR721" s="505"/>
      <c r="AS721" s="505"/>
      <c r="AT721" s="505"/>
      <c r="AU721" s="505"/>
      <c r="AV721" s="505"/>
      <c r="AW721" s="505"/>
      <c r="AX721" s="505"/>
      <c r="AY721" s="505"/>
      <c r="AZ721" s="505"/>
      <c r="BA721" s="505"/>
      <c r="BB721" s="505"/>
      <c r="BC721" s="505"/>
      <c r="BD721" s="505"/>
      <c r="BE721" s="505"/>
      <c r="BF721" s="505"/>
      <c r="BG721" s="505"/>
      <c r="BH721" s="505"/>
      <c r="BI721" s="505"/>
      <c r="BJ721" s="505"/>
      <c r="BK721" s="505"/>
      <c r="BL721" s="505"/>
      <c r="BM721" s="505"/>
      <c r="BN721" s="505"/>
      <c r="BO721" s="505"/>
      <c r="BP721" s="505"/>
      <c r="BQ721" s="505"/>
      <c r="BR721" s="505"/>
      <c r="BS721" s="505"/>
      <c r="BT721" s="505"/>
      <c r="BU721" s="505"/>
      <c r="BV721" s="505"/>
      <c r="BW721" s="505"/>
      <c r="BX721" s="505"/>
      <c r="BY721" s="505"/>
      <c r="BZ721" s="505"/>
      <c r="CA721" s="505"/>
      <c r="CB721" s="505"/>
      <c r="CC721" s="505"/>
      <c r="CD721" s="505"/>
      <c r="CE721" s="505"/>
      <c r="CF721" s="505"/>
      <c r="CG721" s="505"/>
      <c r="CH721" s="505"/>
      <c r="CI721" s="505"/>
      <c r="CJ721" s="505"/>
      <c r="CK721" s="505"/>
      <c r="CL721" s="505"/>
      <c r="CM721" s="505"/>
      <c r="CN721" s="505"/>
      <c r="CO721" s="505"/>
      <c r="CP721" s="505"/>
      <c r="CQ721" s="505"/>
      <c r="CR721" s="505"/>
      <c r="CS721" s="505"/>
      <c r="CT721" s="505"/>
      <c r="CU721" s="505"/>
      <c r="CV721" s="505"/>
      <c r="CW721" s="505"/>
      <c r="CX721" s="505"/>
      <c r="CY721" s="505"/>
      <c r="CZ721" s="505"/>
      <c r="DA721" s="505"/>
      <c r="DB721" s="505"/>
      <c r="DC721" s="505"/>
      <c r="DD721" s="505"/>
      <c r="DE721" s="505"/>
      <c r="DF721" s="505"/>
      <c r="DG721" s="505"/>
      <c r="DH721" s="505"/>
      <c r="DI721" s="505"/>
      <c r="DJ721" s="505"/>
      <c r="DK721" s="505"/>
      <c r="DL721" s="505"/>
      <c r="DM721" s="505"/>
      <c r="DN721" s="505"/>
      <c r="DO721" s="505"/>
      <c r="DP721" s="505"/>
    </row>
    <row r="722" spans="1:120" x14ac:dyDescent="0.2">
      <c r="A722" s="517">
        <f t="shared" si="99"/>
        <v>41518</v>
      </c>
      <c r="B722" s="517" t="str">
        <f t="shared" si="96"/>
        <v>3Q13</v>
      </c>
      <c r="C722" s="517" t="str">
        <f t="shared" si="100"/>
        <v>4Q13</v>
      </c>
      <c r="D722" s="518">
        <f t="shared" si="101"/>
        <v>41607</v>
      </c>
      <c r="E722" s="518">
        <f t="shared" si="101"/>
        <v>41547</v>
      </c>
      <c r="F722" s="520">
        <v>3.919</v>
      </c>
      <c r="G722" s="521">
        <f t="shared" si="97"/>
        <v>0.56000000000000028</v>
      </c>
      <c r="H722" s="521">
        <f t="shared" si="98"/>
        <v>0.55000000000000027</v>
      </c>
      <c r="I722" s="505"/>
      <c r="J722" s="505"/>
      <c r="K722" s="505"/>
      <c r="L722" s="505"/>
      <c r="M722" s="505"/>
      <c r="N722" s="505"/>
      <c r="O722" s="505"/>
      <c r="P722" s="505"/>
      <c r="Q722" s="505"/>
      <c r="R722" s="505"/>
      <c r="S722" s="505"/>
      <c r="T722" s="505"/>
      <c r="U722" s="505"/>
      <c r="V722" s="505"/>
      <c r="W722" s="505"/>
      <c r="X722" s="505"/>
      <c r="Y722" s="505"/>
      <c r="Z722" s="505"/>
      <c r="AA722" s="505"/>
      <c r="AB722" s="505"/>
      <c r="AC722" s="505"/>
      <c r="AD722" s="505"/>
      <c r="AE722" s="505"/>
      <c r="AF722" s="505"/>
      <c r="AG722" s="505"/>
      <c r="AH722" s="505"/>
      <c r="AI722" s="505"/>
      <c r="AJ722" s="505"/>
      <c r="AK722" s="505"/>
      <c r="AL722" s="505"/>
      <c r="AM722" s="505"/>
      <c r="AN722" s="505"/>
      <c r="AO722" s="505"/>
      <c r="AP722" s="505"/>
      <c r="AQ722" s="505"/>
      <c r="AR722" s="505"/>
      <c r="AS722" s="505"/>
      <c r="AT722" s="505"/>
      <c r="AU722" s="505"/>
      <c r="AV722" s="505"/>
      <c r="AW722" s="505"/>
      <c r="AX722" s="505"/>
      <c r="AY722" s="505"/>
      <c r="AZ722" s="505"/>
      <c r="BA722" s="505"/>
      <c r="BB722" s="505"/>
      <c r="BC722" s="505"/>
      <c r="BD722" s="505"/>
      <c r="BE722" s="505"/>
      <c r="BF722" s="505"/>
      <c r="BG722" s="505"/>
      <c r="BH722" s="505"/>
      <c r="BI722" s="505"/>
      <c r="BJ722" s="505"/>
      <c r="BK722" s="505"/>
      <c r="BL722" s="505"/>
      <c r="BM722" s="505"/>
      <c r="BN722" s="505"/>
      <c r="BO722" s="505"/>
      <c r="BP722" s="505"/>
      <c r="BQ722" s="505"/>
      <c r="BR722" s="505"/>
      <c r="BS722" s="505"/>
      <c r="BT722" s="505"/>
      <c r="BU722" s="505"/>
      <c r="BV722" s="505"/>
      <c r="BW722" s="505"/>
      <c r="BX722" s="505"/>
      <c r="BY722" s="505"/>
      <c r="BZ722" s="505"/>
      <c r="CA722" s="505"/>
      <c r="CB722" s="505"/>
      <c r="CC722" s="505"/>
      <c r="CD722" s="505"/>
      <c r="CE722" s="505"/>
      <c r="CF722" s="505"/>
      <c r="CG722" s="505"/>
      <c r="CH722" s="505"/>
      <c r="CI722" s="505"/>
      <c r="CJ722" s="505"/>
      <c r="CK722" s="505"/>
      <c r="CL722" s="505"/>
      <c r="CM722" s="505"/>
      <c r="CN722" s="505"/>
      <c r="CO722" s="505"/>
      <c r="CP722" s="505"/>
      <c r="CQ722" s="505"/>
      <c r="CR722" s="505"/>
      <c r="CS722" s="505"/>
      <c r="CT722" s="505"/>
      <c r="CU722" s="505"/>
      <c r="CV722" s="505"/>
      <c r="CW722" s="505"/>
      <c r="CX722" s="505"/>
      <c r="CY722" s="505"/>
      <c r="CZ722" s="505"/>
      <c r="DA722" s="505"/>
      <c r="DB722" s="505"/>
      <c r="DC722" s="505"/>
      <c r="DD722" s="505"/>
      <c r="DE722" s="505"/>
      <c r="DF722" s="505"/>
      <c r="DG722" s="505"/>
      <c r="DH722" s="505"/>
      <c r="DI722" s="505"/>
      <c r="DJ722" s="505"/>
      <c r="DK722" s="505"/>
      <c r="DL722" s="505"/>
      <c r="DM722" s="505"/>
      <c r="DN722" s="505"/>
      <c r="DO722" s="505"/>
      <c r="DP722" s="505"/>
    </row>
    <row r="723" spans="1:120" x14ac:dyDescent="0.2">
      <c r="A723" s="517">
        <f t="shared" si="99"/>
        <v>41548</v>
      </c>
      <c r="B723" s="517" t="str">
        <f t="shared" si="96"/>
        <v>4Q13</v>
      </c>
      <c r="C723" s="517" t="str">
        <f t="shared" si="100"/>
        <v>4Q13</v>
      </c>
      <c r="D723" s="518">
        <f t="shared" si="101"/>
        <v>41614</v>
      </c>
      <c r="E723" s="518">
        <f t="shared" si="101"/>
        <v>41554</v>
      </c>
      <c r="F723" s="520">
        <v>3.8969999999999998</v>
      </c>
      <c r="G723" s="521">
        <f t="shared" si="97"/>
        <v>0.55000000000000027</v>
      </c>
      <c r="H723" s="521">
        <f t="shared" si="98"/>
        <v>0.55000000000000027</v>
      </c>
      <c r="I723" s="505"/>
      <c r="J723" s="505"/>
      <c r="K723" s="505"/>
      <c r="L723" s="505"/>
      <c r="M723" s="505"/>
      <c r="N723" s="505"/>
      <c r="O723" s="505"/>
      <c r="P723" s="505"/>
      <c r="Q723" s="505"/>
      <c r="R723" s="505"/>
      <c r="S723" s="505"/>
      <c r="T723" s="505"/>
      <c r="U723" s="505"/>
      <c r="V723" s="505"/>
      <c r="W723" s="505"/>
      <c r="X723" s="505"/>
      <c r="Y723" s="505"/>
      <c r="Z723" s="505"/>
      <c r="AA723" s="505"/>
      <c r="AB723" s="505"/>
      <c r="AC723" s="505"/>
      <c r="AD723" s="505"/>
      <c r="AE723" s="505"/>
      <c r="AF723" s="505"/>
      <c r="AG723" s="505"/>
      <c r="AH723" s="505"/>
      <c r="AI723" s="505"/>
      <c r="AJ723" s="505"/>
      <c r="AK723" s="505"/>
      <c r="AL723" s="505"/>
      <c r="AM723" s="505"/>
      <c r="AN723" s="505"/>
      <c r="AO723" s="505"/>
      <c r="AP723" s="505"/>
      <c r="AQ723" s="505"/>
      <c r="AR723" s="505"/>
      <c r="AS723" s="505"/>
      <c r="AT723" s="505"/>
      <c r="AU723" s="505"/>
      <c r="AV723" s="505"/>
      <c r="AW723" s="505"/>
      <c r="AX723" s="505"/>
      <c r="AY723" s="505"/>
      <c r="AZ723" s="505"/>
      <c r="BA723" s="505"/>
      <c r="BB723" s="505"/>
      <c r="BC723" s="505"/>
      <c r="BD723" s="505"/>
      <c r="BE723" s="505"/>
      <c r="BF723" s="505"/>
      <c r="BG723" s="505"/>
      <c r="BH723" s="505"/>
      <c r="BI723" s="505"/>
      <c r="BJ723" s="505"/>
      <c r="BK723" s="505"/>
      <c r="BL723" s="505"/>
      <c r="BM723" s="505"/>
      <c r="BN723" s="505"/>
      <c r="BO723" s="505"/>
      <c r="BP723" s="505"/>
      <c r="BQ723" s="505"/>
      <c r="BR723" s="505"/>
      <c r="BS723" s="505"/>
      <c r="BT723" s="505"/>
      <c r="BU723" s="505"/>
      <c r="BV723" s="505"/>
      <c r="BW723" s="505"/>
      <c r="BX723" s="505"/>
      <c r="BY723" s="505"/>
      <c r="BZ723" s="505"/>
      <c r="CA723" s="505"/>
      <c r="CB723" s="505"/>
      <c r="CC723" s="505"/>
      <c r="CD723" s="505"/>
      <c r="CE723" s="505"/>
      <c r="CF723" s="505"/>
      <c r="CG723" s="505"/>
      <c r="CH723" s="505"/>
      <c r="CI723" s="505"/>
      <c r="CJ723" s="505"/>
      <c r="CK723" s="505"/>
      <c r="CL723" s="505"/>
      <c r="CM723" s="505"/>
      <c r="CN723" s="505"/>
      <c r="CO723" s="505"/>
      <c r="CP723" s="505"/>
      <c r="CQ723" s="505"/>
      <c r="CR723" s="505"/>
      <c r="CS723" s="505"/>
      <c r="CT723" s="505"/>
      <c r="CU723" s="505"/>
      <c r="CV723" s="505"/>
      <c r="CW723" s="505"/>
      <c r="CX723" s="505"/>
      <c r="CY723" s="505"/>
      <c r="CZ723" s="505"/>
      <c r="DA723" s="505"/>
      <c r="DB723" s="505"/>
      <c r="DC723" s="505"/>
      <c r="DD723" s="505"/>
      <c r="DE723" s="505"/>
      <c r="DF723" s="505"/>
      <c r="DG723" s="505"/>
      <c r="DH723" s="505"/>
      <c r="DI723" s="505"/>
      <c r="DJ723" s="505"/>
      <c r="DK723" s="505"/>
      <c r="DL723" s="505"/>
      <c r="DM723" s="505"/>
      <c r="DN723" s="505"/>
      <c r="DO723" s="505"/>
      <c r="DP723" s="505"/>
    </row>
    <row r="724" spans="1:120" x14ac:dyDescent="0.2">
      <c r="A724" s="517">
        <f t="shared" si="99"/>
        <v>41548</v>
      </c>
      <c r="B724" s="517" t="str">
        <f t="shared" si="96"/>
        <v>4Q13</v>
      </c>
      <c r="C724" s="517" t="str">
        <f t="shared" si="100"/>
        <v>4Q13</v>
      </c>
      <c r="D724" s="518">
        <f t="shared" si="101"/>
        <v>41621</v>
      </c>
      <c r="E724" s="518">
        <f t="shared" si="101"/>
        <v>41561</v>
      </c>
      <c r="F724" s="520">
        <v>3.8860000000000001</v>
      </c>
      <c r="G724" s="521">
        <f t="shared" si="97"/>
        <v>0.55000000000000027</v>
      </c>
      <c r="H724" s="521">
        <f t="shared" si="98"/>
        <v>0.55000000000000027</v>
      </c>
      <c r="I724" s="505"/>
      <c r="J724" s="505"/>
      <c r="K724" s="505"/>
      <c r="L724" s="505"/>
      <c r="M724" s="505"/>
      <c r="N724" s="505"/>
      <c r="O724" s="505"/>
      <c r="P724" s="505"/>
      <c r="Q724" s="505"/>
      <c r="R724" s="505"/>
      <c r="S724" s="505"/>
      <c r="T724" s="505"/>
      <c r="U724" s="505"/>
      <c r="V724" s="505"/>
      <c r="W724" s="505"/>
      <c r="X724" s="505"/>
      <c r="Y724" s="505"/>
      <c r="Z724" s="505"/>
      <c r="AA724" s="505"/>
      <c r="AB724" s="505"/>
      <c r="AC724" s="505"/>
      <c r="AD724" s="505"/>
      <c r="AE724" s="505"/>
      <c r="AF724" s="505"/>
      <c r="AG724" s="505"/>
      <c r="AH724" s="505"/>
      <c r="AI724" s="505"/>
      <c r="AJ724" s="505"/>
      <c r="AK724" s="505"/>
      <c r="AL724" s="505"/>
      <c r="AM724" s="505"/>
      <c r="AN724" s="505"/>
      <c r="AO724" s="505"/>
      <c r="AP724" s="505"/>
      <c r="AQ724" s="505"/>
      <c r="AR724" s="505"/>
      <c r="AS724" s="505"/>
      <c r="AT724" s="505"/>
      <c r="AU724" s="505"/>
      <c r="AV724" s="505"/>
      <c r="AW724" s="505"/>
      <c r="AX724" s="505"/>
      <c r="AY724" s="505"/>
      <c r="AZ724" s="505"/>
      <c r="BA724" s="505"/>
      <c r="BB724" s="505"/>
      <c r="BC724" s="505"/>
      <c r="BD724" s="505"/>
      <c r="BE724" s="505"/>
      <c r="BF724" s="505"/>
      <c r="BG724" s="505"/>
      <c r="BH724" s="505"/>
      <c r="BI724" s="505"/>
      <c r="BJ724" s="505"/>
      <c r="BK724" s="505"/>
      <c r="BL724" s="505"/>
      <c r="BM724" s="505"/>
      <c r="BN724" s="505"/>
      <c r="BO724" s="505"/>
      <c r="BP724" s="505"/>
      <c r="BQ724" s="505"/>
      <c r="BR724" s="505"/>
      <c r="BS724" s="505"/>
      <c r="BT724" s="505"/>
      <c r="BU724" s="505"/>
      <c r="BV724" s="505"/>
      <c r="BW724" s="505"/>
      <c r="BX724" s="505"/>
      <c r="BY724" s="505"/>
      <c r="BZ724" s="505"/>
      <c r="CA724" s="505"/>
      <c r="CB724" s="505"/>
      <c r="CC724" s="505"/>
      <c r="CD724" s="505"/>
      <c r="CE724" s="505"/>
      <c r="CF724" s="505"/>
      <c r="CG724" s="505"/>
      <c r="CH724" s="505"/>
      <c r="CI724" s="505"/>
      <c r="CJ724" s="505"/>
      <c r="CK724" s="505"/>
      <c r="CL724" s="505"/>
      <c r="CM724" s="505"/>
      <c r="CN724" s="505"/>
      <c r="CO724" s="505"/>
      <c r="CP724" s="505"/>
      <c r="CQ724" s="505"/>
      <c r="CR724" s="505"/>
      <c r="CS724" s="505"/>
      <c r="CT724" s="505"/>
      <c r="CU724" s="505"/>
      <c r="CV724" s="505"/>
      <c r="CW724" s="505"/>
      <c r="CX724" s="505"/>
      <c r="CY724" s="505"/>
      <c r="CZ724" s="505"/>
      <c r="DA724" s="505"/>
      <c r="DB724" s="505"/>
      <c r="DC724" s="505"/>
      <c r="DD724" s="505"/>
      <c r="DE724" s="505"/>
      <c r="DF724" s="505"/>
      <c r="DG724" s="505"/>
      <c r="DH724" s="505"/>
      <c r="DI724" s="505"/>
      <c r="DJ724" s="505"/>
      <c r="DK724" s="505"/>
      <c r="DL724" s="505"/>
      <c r="DM724" s="505"/>
      <c r="DN724" s="505"/>
      <c r="DO724" s="505"/>
      <c r="DP724" s="505"/>
    </row>
    <row r="725" spans="1:120" x14ac:dyDescent="0.2">
      <c r="A725" s="517">
        <f t="shared" si="99"/>
        <v>41548</v>
      </c>
      <c r="B725" s="517" t="str">
        <f t="shared" si="96"/>
        <v>4Q13</v>
      </c>
      <c r="C725" s="517" t="str">
        <f t="shared" si="100"/>
        <v>4Q13</v>
      </c>
      <c r="D725" s="518">
        <f t="shared" si="101"/>
        <v>41628</v>
      </c>
      <c r="E725" s="518">
        <f t="shared" si="101"/>
        <v>41568</v>
      </c>
      <c r="F725" s="520">
        <v>3.8860000000000001</v>
      </c>
      <c r="G725" s="521">
        <f t="shared" si="97"/>
        <v>0.55000000000000027</v>
      </c>
      <c r="H725" s="521">
        <f t="shared" si="98"/>
        <v>0.55000000000000027</v>
      </c>
      <c r="I725" s="505"/>
      <c r="J725" s="505"/>
      <c r="K725" s="505"/>
      <c r="L725" s="505"/>
      <c r="M725" s="505"/>
      <c r="N725" s="505"/>
      <c r="O725" s="505"/>
      <c r="P725" s="505"/>
      <c r="Q725" s="505"/>
      <c r="R725" s="505"/>
      <c r="S725" s="505"/>
      <c r="T725" s="505"/>
      <c r="U725" s="505"/>
      <c r="V725" s="505"/>
      <c r="W725" s="505"/>
      <c r="X725" s="505"/>
      <c r="Y725" s="505"/>
      <c r="Z725" s="505"/>
      <c r="AA725" s="505"/>
      <c r="AB725" s="505"/>
      <c r="AC725" s="505"/>
      <c r="AD725" s="505"/>
      <c r="AE725" s="505"/>
      <c r="AF725" s="505"/>
      <c r="AG725" s="505"/>
      <c r="AH725" s="505"/>
      <c r="AI725" s="505"/>
      <c r="AJ725" s="505"/>
      <c r="AK725" s="505"/>
      <c r="AL725" s="505"/>
      <c r="AM725" s="505"/>
      <c r="AN725" s="505"/>
      <c r="AO725" s="505"/>
      <c r="AP725" s="505"/>
      <c r="AQ725" s="505"/>
      <c r="AR725" s="505"/>
      <c r="AS725" s="505"/>
      <c r="AT725" s="505"/>
      <c r="AU725" s="505"/>
      <c r="AV725" s="505"/>
      <c r="AW725" s="505"/>
      <c r="AX725" s="505"/>
      <c r="AY725" s="505"/>
      <c r="AZ725" s="505"/>
      <c r="BA725" s="505"/>
      <c r="BB725" s="505"/>
      <c r="BC725" s="505"/>
      <c r="BD725" s="505"/>
      <c r="BE725" s="505"/>
      <c r="BF725" s="505"/>
      <c r="BG725" s="505"/>
      <c r="BH725" s="505"/>
      <c r="BI725" s="505"/>
      <c r="BJ725" s="505"/>
      <c r="BK725" s="505"/>
      <c r="BL725" s="505"/>
      <c r="BM725" s="505"/>
      <c r="BN725" s="505"/>
      <c r="BO725" s="505"/>
      <c r="BP725" s="505"/>
      <c r="BQ725" s="505"/>
      <c r="BR725" s="505"/>
      <c r="BS725" s="505"/>
      <c r="BT725" s="505"/>
      <c r="BU725" s="505"/>
      <c r="BV725" s="505"/>
      <c r="BW725" s="505"/>
      <c r="BX725" s="505"/>
      <c r="BY725" s="505"/>
      <c r="BZ725" s="505"/>
      <c r="CA725" s="505"/>
      <c r="CB725" s="505"/>
      <c r="CC725" s="505"/>
      <c r="CD725" s="505"/>
      <c r="CE725" s="505"/>
      <c r="CF725" s="505"/>
      <c r="CG725" s="505"/>
      <c r="CH725" s="505"/>
      <c r="CI725" s="505"/>
      <c r="CJ725" s="505"/>
      <c r="CK725" s="505"/>
      <c r="CL725" s="505"/>
      <c r="CM725" s="505"/>
      <c r="CN725" s="505"/>
      <c r="CO725" s="505"/>
      <c r="CP725" s="505"/>
      <c r="CQ725" s="505"/>
      <c r="CR725" s="505"/>
      <c r="CS725" s="505"/>
      <c r="CT725" s="505"/>
      <c r="CU725" s="505"/>
      <c r="CV725" s="505"/>
      <c r="CW725" s="505"/>
      <c r="CX725" s="505"/>
      <c r="CY725" s="505"/>
      <c r="CZ725" s="505"/>
      <c r="DA725" s="505"/>
      <c r="DB725" s="505"/>
      <c r="DC725" s="505"/>
      <c r="DD725" s="505"/>
      <c r="DE725" s="505"/>
      <c r="DF725" s="505"/>
      <c r="DG725" s="505"/>
      <c r="DH725" s="505"/>
      <c r="DI725" s="505"/>
      <c r="DJ725" s="505"/>
      <c r="DK725" s="505"/>
      <c r="DL725" s="505"/>
      <c r="DM725" s="505"/>
      <c r="DN725" s="505"/>
      <c r="DO725" s="505"/>
      <c r="DP725" s="505"/>
    </row>
    <row r="726" spans="1:120" x14ac:dyDescent="0.2">
      <c r="A726" s="517">
        <f t="shared" si="99"/>
        <v>41548</v>
      </c>
      <c r="B726" s="517" t="str">
        <f t="shared" si="96"/>
        <v>4Q13</v>
      </c>
      <c r="C726" s="517" t="str">
        <f t="shared" si="100"/>
        <v>4Q13</v>
      </c>
      <c r="D726" s="518">
        <f t="shared" si="101"/>
        <v>41635</v>
      </c>
      <c r="E726" s="518">
        <f t="shared" si="101"/>
        <v>41575</v>
      </c>
      <c r="F726" s="520">
        <v>3.87</v>
      </c>
      <c r="G726" s="521">
        <f t="shared" si="97"/>
        <v>0.55000000000000027</v>
      </c>
      <c r="H726" s="521">
        <f t="shared" si="98"/>
        <v>0.55000000000000027</v>
      </c>
      <c r="I726" s="505"/>
      <c r="J726" s="505"/>
      <c r="K726" s="505"/>
      <c r="L726" s="505"/>
      <c r="M726" s="505"/>
      <c r="N726" s="505"/>
      <c r="O726" s="505"/>
      <c r="P726" s="505"/>
      <c r="Q726" s="505"/>
      <c r="R726" s="505"/>
      <c r="S726" s="505"/>
      <c r="T726" s="505"/>
      <c r="U726" s="505"/>
      <c r="V726" s="505"/>
      <c r="W726" s="505"/>
      <c r="X726" s="505"/>
      <c r="Y726" s="505"/>
      <c r="Z726" s="505"/>
      <c r="AA726" s="505"/>
      <c r="AB726" s="505"/>
      <c r="AC726" s="505"/>
      <c r="AD726" s="505"/>
      <c r="AE726" s="505"/>
      <c r="AF726" s="505"/>
      <c r="AG726" s="505"/>
      <c r="AH726" s="505"/>
      <c r="AI726" s="505"/>
      <c r="AJ726" s="505"/>
      <c r="AK726" s="505"/>
      <c r="AL726" s="505"/>
      <c r="AM726" s="505"/>
      <c r="AN726" s="505"/>
      <c r="AO726" s="505"/>
      <c r="AP726" s="505"/>
      <c r="AQ726" s="505"/>
      <c r="AR726" s="505"/>
      <c r="AS726" s="505"/>
      <c r="AT726" s="505"/>
      <c r="AU726" s="505"/>
      <c r="AV726" s="505"/>
      <c r="AW726" s="505"/>
      <c r="AX726" s="505"/>
      <c r="AY726" s="505"/>
      <c r="AZ726" s="505"/>
      <c r="BA726" s="505"/>
      <c r="BB726" s="505"/>
      <c r="BC726" s="505"/>
      <c r="BD726" s="505"/>
      <c r="BE726" s="505"/>
      <c r="BF726" s="505"/>
      <c r="BG726" s="505"/>
      <c r="BH726" s="505"/>
      <c r="BI726" s="505"/>
      <c r="BJ726" s="505"/>
      <c r="BK726" s="505"/>
      <c r="BL726" s="505"/>
      <c r="BM726" s="505"/>
      <c r="BN726" s="505"/>
      <c r="BO726" s="505"/>
      <c r="BP726" s="505"/>
      <c r="BQ726" s="505"/>
      <c r="BR726" s="505"/>
      <c r="BS726" s="505"/>
      <c r="BT726" s="505"/>
      <c r="BU726" s="505"/>
      <c r="BV726" s="505"/>
      <c r="BW726" s="505"/>
      <c r="BX726" s="505"/>
      <c r="BY726" s="505"/>
      <c r="BZ726" s="505"/>
      <c r="CA726" s="505"/>
      <c r="CB726" s="505"/>
      <c r="CC726" s="505"/>
      <c r="CD726" s="505"/>
      <c r="CE726" s="505"/>
      <c r="CF726" s="505"/>
      <c r="CG726" s="505"/>
      <c r="CH726" s="505"/>
      <c r="CI726" s="505"/>
      <c r="CJ726" s="505"/>
      <c r="CK726" s="505"/>
      <c r="CL726" s="505"/>
      <c r="CM726" s="505"/>
      <c r="CN726" s="505"/>
      <c r="CO726" s="505"/>
      <c r="CP726" s="505"/>
      <c r="CQ726" s="505"/>
      <c r="CR726" s="505"/>
      <c r="CS726" s="505"/>
      <c r="CT726" s="505"/>
      <c r="CU726" s="505"/>
      <c r="CV726" s="505"/>
      <c r="CW726" s="505"/>
      <c r="CX726" s="505"/>
      <c r="CY726" s="505"/>
      <c r="CZ726" s="505"/>
      <c r="DA726" s="505"/>
      <c r="DB726" s="505"/>
      <c r="DC726" s="505"/>
      <c r="DD726" s="505"/>
      <c r="DE726" s="505"/>
      <c r="DF726" s="505"/>
      <c r="DG726" s="505"/>
      <c r="DH726" s="505"/>
      <c r="DI726" s="505"/>
      <c r="DJ726" s="505"/>
      <c r="DK726" s="505"/>
      <c r="DL726" s="505"/>
      <c r="DM726" s="505"/>
      <c r="DN726" s="505"/>
      <c r="DO726" s="505"/>
      <c r="DP726" s="505"/>
    </row>
    <row r="727" spans="1:120" x14ac:dyDescent="0.2">
      <c r="A727" s="517">
        <f t="shared" si="99"/>
        <v>41579</v>
      </c>
      <c r="B727" s="517" t="str">
        <f t="shared" si="96"/>
        <v>4Q13</v>
      </c>
      <c r="C727" s="517" t="str">
        <f t="shared" si="100"/>
        <v>1Q14</v>
      </c>
      <c r="D727" s="518">
        <f t="shared" si="101"/>
        <v>41642</v>
      </c>
      <c r="E727" s="518">
        <f t="shared" si="101"/>
        <v>41582</v>
      </c>
      <c r="F727" s="520">
        <v>3.8570000000000002</v>
      </c>
      <c r="G727" s="521">
        <f t="shared" si="97"/>
        <v>0.55000000000000027</v>
      </c>
      <c r="H727" s="521">
        <f t="shared" si="98"/>
        <v>0.54000000000000026</v>
      </c>
      <c r="I727" s="505"/>
      <c r="J727" s="505"/>
      <c r="K727" s="505"/>
      <c r="L727" s="505"/>
      <c r="M727" s="505"/>
      <c r="N727" s="505"/>
      <c r="O727" s="505"/>
      <c r="P727" s="505"/>
      <c r="Q727" s="505"/>
      <c r="R727" s="505"/>
      <c r="S727" s="505"/>
      <c r="T727" s="505"/>
      <c r="U727" s="505"/>
      <c r="V727" s="505"/>
      <c r="W727" s="505"/>
      <c r="X727" s="505"/>
      <c r="Y727" s="505"/>
      <c r="Z727" s="505"/>
      <c r="AA727" s="505"/>
      <c r="AB727" s="505"/>
      <c r="AC727" s="505"/>
      <c r="AD727" s="505"/>
      <c r="AE727" s="505"/>
      <c r="AF727" s="505"/>
      <c r="AG727" s="505"/>
      <c r="AH727" s="505"/>
      <c r="AI727" s="505"/>
      <c r="AJ727" s="505"/>
      <c r="AK727" s="505"/>
      <c r="AL727" s="505"/>
      <c r="AM727" s="505"/>
      <c r="AN727" s="505"/>
      <c r="AO727" s="505"/>
      <c r="AP727" s="505"/>
      <c r="AQ727" s="505"/>
      <c r="AR727" s="505"/>
      <c r="AS727" s="505"/>
      <c r="AT727" s="505"/>
      <c r="AU727" s="505"/>
      <c r="AV727" s="505"/>
      <c r="AW727" s="505"/>
      <c r="AX727" s="505"/>
      <c r="AY727" s="505"/>
      <c r="AZ727" s="505"/>
      <c r="BA727" s="505"/>
      <c r="BB727" s="505"/>
      <c r="BC727" s="505"/>
      <c r="BD727" s="505"/>
      <c r="BE727" s="505"/>
      <c r="BF727" s="505"/>
      <c r="BG727" s="505"/>
      <c r="BH727" s="505"/>
      <c r="BI727" s="505"/>
      <c r="BJ727" s="505"/>
      <c r="BK727" s="505"/>
      <c r="BL727" s="505"/>
      <c r="BM727" s="505"/>
      <c r="BN727" s="505"/>
      <c r="BO727" s="505"/>
      <c r="BP727" s="505"/>
      <c r="BQ727" s="505"/>
      <c r="BR727" s="505"/>
      <c r="BS727" s="505"/>
      <c r="BT727" s="505"/>
      <c r="BU727" s="505"/>
      <c r="BV727" s="505"/>
      <c r="BW727" s="505"/>
      <c r="BX727" s="505"/>
      <c r="BY727" s="505"/>
      <c r="BZ727" s="505"/>
      <c r="CA727" s="505"/>
      <c r="CB727" s="505"/>
      <c r="CC727" s="505"/>
      <c r="CD727" s="505"/>
      <c r="CE727" s="505"/>
      <c r="CF727" s="505"/>
      <c r="CG727" s="505"/>
      <c r="CH727" s="505"/>
      <c r="CI727" s="505"/>
      <c r="CJ727" s="505"/>
      <c r="CK727" s="505"/>
      <c r="CL727" s="505"/>
      <c r="CM727" s="505"/>
      <c r="CN727" s="505"/>
      <c r="CO727" s="505"/>
      <c r="CP727" s="505"/>
      <c r="CQ727" s="505"/>
      <c r="CR727" s="505"/>
      <c r="CS727" s="505"/>
      <c r="CT727" s="505"/>
      <c r="CU727" s="505"/>
      <c r="CV727" s="505"/>
      <c r="CW727" s="505"/>
      <c r="CX727" s="505"/>
      <c r="CY727" s="505"/>
      <c r="CZ727" s="505"/>
      <c r="DA727" s="505"/>
      <c r="DB727" s="505"/>
      <c r="DC727" s="505"/>
      <c r="DD727" s="505"/>
      <c r="DE727" s="505"/>
      <c r="DF727" s="505"/>
      <c r="DG727" s="505"/>
      <c r="DH727" s="505"/>
      <c r="DI727" s="505"/>
      <c r="DJ727" s="505"/>
      <c r="DK727" s="505"/>
      <c r="DL727" s="505"/>
      <c r="DM727" s="505"/>
      <c r="DN727" s="505"/>
      <c r="DO727" s="505"/>
      <c r="DP727" s="505"/>
    </row>
    <row r="728" spans="1:120" x14ac:dyDescent="0.2">
      <c r="A728" s="517">
        <f t="shared" si="99"/>
        <v>41579</v>
      </c>
      <c r="B728" s="517" t="str">
        <f t="shared" si="96"/>
        <v>4Q13</v>
      </c>
      <c r="C728" s="517" t="str">
        <f t="shared" si="100"/>
        <v>1Q14</v>
      </c>
      <c r="D728" s="518">
        <f t="shared" si="101"/>
        <v>41649</v>
      </c>
      <c r="E728" s="518">
        <f t="shared" si="101"/>
        <v>41589</v>
      </c>
      <c r="F728" s="520">
        <v>3.8319999999999999</v>
      </c>
      <c r="G728" s="521">
        <f t="shared" si="97"/>
        <v>0.54000000000000026</v>
      </c>
      <c r="H728" s="521">
        <f t="shared" si="98"/>
        <v>0.54000000000000026</v>
      </c>
      <c r="I728" s="505"/>
      <c r="J728" s="505"/>
      <c r="K728" s="505"/>
      <c r="L728" s="505"/>
      <c r="M728" s="505"/>
      <c r="N728" s="505"/>
      <c r="O728" s="505"/>
      <c r="P728" s="505"/>
      <c r="Q728" s="505"/>
      <c r="R728" s="505"/>
      <c r="S728" s="505"/>
      <c r="T728" s="505"/>
      <c r="U728" s="505"/>
      <c r="V728" s="505"/>
      <c r="W728" s="505"/>
      <c r="X728" s="505"/>
      <c r="Y728" s="505"/>
      <c r="Z728" s="505"/>
      <c r="AA728" s="505"/>
      <c r="AB728" s="505"/>
      <c r="AC728" s="505"/>
      <c r="AD728" s="505"/>
      <c r="AE728" s="505"/>
      <c r="AF728" s="505"/>
      <c r="AG728" s="505"/>
      <c r="AH728" s="505"/>
      <c r="AI728" s="505"/>
      <c r="AJ728" s="505"/>
      <c r="AK728" s="505"/>
      <c r="AL728" s="505"/>
      <c r="AM728" s="505"/>
      <c r="AN728" s="505"/>
      <c r="AO728" s="505"/>
      <c r="AP728" s="505"/>
      <c r="AQ728" s="505"/>
      <c r="AR728" s="505"/>
      <c r="AS728" s="505"/>
      <c r="AT728" s="505"/>
      <c r="AU728" s="505"/>
      <c r="AV728" s="505"/>
      <c r="AW728" s="505"/>
      <c r="AX728" s="505"/>
      <c r="AY728" s="505"/>
      <c r="AZ728" s="505"/>
      <c r="BA728" s="505"/>
      <c r="BB728" s="505"/>
      <c r="BC728" s="505"/>
      <c r="BD728" s="505"/>
      <c r="BE728" s="505"/>
      <c r="BF728" s="505"/>
      <c r="BG728" s="505"/>
      <c r="BH728" s="505"/>
      <c r="BI728" s="505"/>
      <c r="BJ728" s="505"/>
      <c r="BK728" s="505"/>
      <c r="BL728" s="505"/>
      <c r="BM728" s="505"/>
      <c r="BN728" s="505"/>
      <c r="BO728" s="505"/>
      <c r="BP728" s="505"/>
      <c r="BQ728" s="505"/>
      <c r="BR728" s="505"/>
      <c r="BS728" s="505"/>
      <c r="BT728" s="505"/>
      <c r="BU728" s="505"/>
      <c r="BV728" s="505"/>
      <c r="BW728" s="505"/>
      <c r="BX728" s="505"/>
      <c r="BY728" s="505"/>
      <c r="BZ728" s="505"/>
      <c r="CA728" s="505"/>
      <c r="CB728" s="505"/>
      <c r="CC728" s="505"/>
      <c r="CD728" s="505"/>
      <c r="CE728" s="505"/>
      <c r="CF728" s="505"/>
      <c r="CG728" s="505"/>
      <c r="CH728" s="505"/>
      <c r="CI728" s="505"/>
      <c r="CJ728" s="505"/>
      <c r="CK728" s="505"/>
      <c r="CL728" s="505"/>
      <c r="CM728" s="505"/>
      <c r="CN728" s="505"/>
      <c r="CO728" s="505"/>
      <c r="CP728" s="505"/>
      <c r="CQ728" s="505"/>
      <c r="CR728" s="505"/>
      <c r="CS728" s="505"/>
      <c r="CT728" s="505"/>
      <c r="CU728" s="505"/>
      <c r="CV728" s="505"/>
      <c r="CW728" s="505"/>
      <c r="CX728" s="505"/>
      <c r="CY728" s="505"/>
      <c r="CZ728" s="505"/>
      <c r="DA728" s="505"/>
      <c r="DB728" s="505"/>
      <c r="DC728" s="505"/>
      <c r="DD728" s="505"/>
      <c r="DE728" s="505"/>
      <c r="DF728" s="505"/>
      <c r="DG728" s="505"/>
      <c r="DH728" s="505"/>
      <c r="DI728" s="505"/>
      <c r="DJ728" s="505"/>
      <c r="DK728" s="505"/>
      <c r="DL728" s="505"/>
      <c r="DM728" s="505"/>
      <c r="DN728" s="505"/>
      <c r="DO728" s="505"/>
      <c r="DP728" s="505"/>
    </row>
    <row r="729" spans="1:120" x14ac:dyDescent="0.2">
      <c r="A729" s="517">
        <f t="shared" si="99"/>
        <v>41579</v>
      </c>
      <c r="B729" s="517" t="str">
        <f t="shared" si="96"/>
        <v>4Q13</v>
      </c>
      <c r="C729" s="517" t="str">
        <f t="shared" si="100"/>
        <v>1Q14</v>
      </c>
      <c r="D729" s="518">
        <f t="shared" si="101"/>
        <v>41656</v>
      </c>
      <c r="E729" s="518">
        <f t="shared" si="101"/>
        <v>41596</v>
      </c>
      <c r="F729" s="520">
        <v>3.8220000000000001</v>
      </c>
      <c r="G729" s="521">
        <f t="shared" si="97"/>
        <v>0.54000000000000026</v>
      </c>
      <c r="H729" s="521">
        <f t="shared" si="98"/>
        <v>0.54000000000000026</v>
      </c>
      <c r="I729" s="505"/>
      <c r="J729" s="505"/>
      <c r="K729" s="505"/>
      <c r="L729" s="505"/>
      <c r="M729" s="505"/>
      <c r="N729" s="505"/>
      <c r="O729" s="505"/>
      <c r="P729" s="505"/>
      <c r="Q729" s="505"/>
      <c r="R729" s="505"/>
      <c r="S729" s="505"/>
      <c r="T729" s="505"/>
      <c r="U729" s="505"/>
      <c r="V729" s="505"/>
      <c r="W729" s="505"/>
      <c r="X729" s="505"/>
      <c r="Y729" s="505"/>
      <c r="Z729" s="505"/>
      <c r="AA729" s="505"/>
      <c r="AB729" s="505"/>
      <c r="AC729" s="505"/>
      <c r="AD729" s="505"/>
      <c r="AE729" s="505"/>
      <c r="AF729" s="505"/>
      <c r="AG729" s="505"/>
      <c r="AH729" s="505"/>
      <c r="AI729" s="505"/>
      <c r="AJ729" s="505"/>
      <c r="AK729" s="505"/>
      <c r="AL729" s="505"/>
      <c r="AM729" s="505"/>
      <c r="AN729" s="505"/>
      <c r="AO729" s="505"/>
      <c r="AP729" s="505"/>
      <c r="AQ729" s="505"/>
      <c r="AR729" s="505"/>
      <c r="AS729" s="505"/>
      <c r="AT729" s="505"/>
      <c r="AU729" s="505"/>
      <c r="AV729" s="505"/>
      <c r="AW729" s="505"/>
      <c r="AX729" s="505"/>
      <c r="AY729" s="505"/>
      <c r="AZ729" s="505"/>
      <c r="BA729" s="505"/>
      <c r="BB729" s="505"/>
      <c r="BC729" s="505"/>
      <c r="BD729" s="505"/>
      <c r="BE729" s="505"/>
      <c r="BF729" s="505"/>
      <c r="BG729" s="505"/>
      <c r="BH729" s="505"/>
      <c r="BI729" s="505"/>
      <c r="BJ729" s="505"/>
      <c r="BK729" s="505"/>
      <c r="BL729" s="505"/>
      <c r="BM729" s="505"/>
      <c r="BN729" s="505"/>
      <c r="BO729" s="505"/>
      <c r="BP729" s="505"/>
      <c r="BQ729" s="505"/>
      <c r="BR729" s="505"/>
      <c r="BS729" s="505"/>
      <c r="BT729" s="505"/>
      <c r="BU729" s="505"/>
      <c r="BV729" s="505"/>
      <c r="BW729" s="505"/>
      <c r="BX729" s="505"/>
      <c r="BY729" s="505"/>
      <c r="BZ729" s="505"/>
      <c r="CA729" s="505"/>
      <c r="CB729" s="505"/>
      <c r="CC729" s="505"/>
      <c r="CD729" s="505"/>
      <c r="CE729" s="505"/>
      <c r="CF729" s="505"/>
      <c r="CG729" s="505"/>
      <c r="CH729" s="505"/>
      <c r="CI729" s="505"/>
      <c r="CJ729" s="505"/>
      <c r="CK729" s="505"/>
      <c r="CL729" s="505"/>
      <c r="CM729" s="505"/>
      <c r="CN729" s="505"/>
      <c r="CO729" s="505"/>
      <c r="CP729" s="505"/>
      <c r="CQ729" s="505"/>
      <c r="CR729" s="505"/>
      <c r="CS729" s="505"/>
      <c r="CT729" s="505"/>
      <c r="CU729" s="505"/>
      <c r="CV729" s="505"/>
      <c r="CW729" s="505"/>
      <c r="CX729" s="505"/>
      <c r="CY729" s="505"/>
      <c r="CZ729" s="505"/>
      <c r="DA729" s="505"/>
      <c r="DB729" s="505"/>
      <c r="DC729" s="505"/>
      <c r="DD729" s="505"/>
      <c r="DE729" s="505"/>
      <c r="DF729" s="505"/>
      <c r="DG729" s="505"/>
      <c r="DH729" s="505"/>
      <c r="DI729" s="505"/>
      <c r="DJ729" s="505"/>
      <c r="DK729" s="505"/>
      <c r="DL729" s="505"/>
      <c r="DM729" s="505"/>
      <c r="DN729" s="505"/>
      <c r="DO729" s="505"/>
      <c r="DP729" s="505"/>
    </row>
    <row r="730" spans="1:120" x14ac:dyDescent="0.2">
      <c r="A730" s="517">
        <f t="shared" si="99"/>
        <v>41579</v>
      </c>
      <c r="B730" s="517" t="str">
        <f t="shared" si="96"/>
        <v>4Q13</v>
      </c>
      <c r="C730" s="517" t="str">
        <f t="shared" si="100"/>
        <v>1Q14</v>
      </c>
      <c r="D730" s="518">
        <f t="shared" si="101"/>
        <v>41663</v>
      </c>
      <c r="E730" s="518">
        <f t="shared" si="101"/>
        <v>41603</v>
      </c>
      <c r="F730" s="520">
        <v>3.8439999999999999</v>
      </c>
      <c r="G730" s="521">
        <f t="shared" si="97"/>
        <v>0.54000000000000026</v>
      </c>
      <c r="H730" s="521">
        <f t="shared" si="98"/>
        <v>0.55000000000000027</v>
      </c>
      <c r="I730" s="505"/>
      <c r="J730" s="505"/>
      <c r="K730" s="505"/>
      <c r="L730" s="505"/>
      <c r="M730" s="505"/>
      <c r="N730" s="505"/>
      <c r="O730" s="505"/>
      <c r="P730" s="505"/>
      <c r="Q730" s="505"/>
      <c r="R730" s="505"/>
      <c r="S730" s="505"/>
      <c r="T730" s="505"/>
      <c r="U730" s="505"/>
      <c r="V730" s="505"/>
      <c r="W730" s="505"/>
      <c r="X730" s="505"/>
      <c r="Y730" s="505"/>
      <c r="Z730" s="505"/>
      <c r="AA730" s="505"/>
      <c r="AB730" s="505"/>
      <c r="AC730" s="505"/>
      <c r="AD730" s="505"/>
      <c r="AE730" s="505"/>
      <c r="AF730" s="505"/>
      <c r="AG730" s="505"/>
      <c r="AH730" s="505"/>
      <c r="AI730" s="505"/>
      <c r="AJ730" s="505"/>
      <c r="AK730" s="505"/>
      <c r="AL730" s="505"/>
      <c r="AM730" s="505"/>
      <c r="AN730" s="505"/>
      <c r="AO730" s="505"/>
      <c r="AP730" s="505"/>
      <c r="AQ730" s="505"/>
      <c r="AR730" s="505"/>
      <c r="AS730" s="505"/>
      <c r="AT730" s="505"/>
      <c r="AU730" s="505"/>
      <c r="AV730" s="505"/>
      <c r="AW730" s="505"/>
      <c r="AX730" s="505"/>
      <c r="AY730" s="505"/>
      <c r="AZ730" s="505"/>
      <c r="BA730" s="505"/>
      <c r="BB730" s="505"/>
      <c r="BC730" s="505"/>
      <c r="BD730" s="505"/>
      <c r="BE730" s="505"/>
      <c r="BF730" s="505"/>
      <c r="BG730" s="505"/>
      <c r="BH730" s="505"/>
      <c r="BI730" s="505"/>
      <c r="BJ730" s="505"/>
      <c r="BK730" s="505"/>
      <c r="BL730" s="505"/>
      <c r="BM730" s="505"/>
      <c r="BN730" s="505"/>
      <c r="BO730" s="505"/>
      <c r="BP730" s="505"/>
      <c r="BQ730" s="505"/>
      <c r="BR730" s="505"/>
      <c r="BS730" s="505"/>
      <c r="BT730" s="505"/>
      <c r="BU730" s="505"/>
      <c r="BV730" s="505"/>
      <c r="BW730" s="505"/>
      <c r="BX730" s="505"/>
      <c r="BY730" s="505"/>
      <c r="BZ730" s="505"/>
      <c r="CA730" s="505"/>
      <c r="CB730" s="505"/>
      <c r="CC730" s="505"/>
      <c r="CD730" s="505"/>
      <c r="CE730" s="505"/>
      <c r="CF730" s="505"/>
      <c r="CG730" s="505"/>
      <c r="CH730" s="505"/>
      <c r="CI730" s="505"/>
      <c r="CJ730" s="505"/>
      <c r="CK730" s="505"/>
      <c r="CL730" s="505"/>
      <c r="CM730" s="505"/>
      <c r="CN730" s="505"/>
      <c r="CO730" s="505"/>
      <c r="CP730" s="505"/>
      <c r="CQ730" s="505"/>
      <c r="CR730" s="505"/>
      <c r="CS730" s="505"/>
      <c r="CT730" s="505"/>
      <c r="CU730" s="505"/>
      <c r="CV730" s="505"/>
      <c r="CW730" s="505"/>
      <c r="CX730" s="505"/>
      <c r="CY730" s="505"/>
      <c r="CZ730" s="505"/>
      <c r="DA730" s="505"/>
      <c r="DB730" s="505"/>
      <c r="DC730" s="505"/>
      <c r="DD730" s="505"/>
      <c r="DE730" s="505"/>
      <c r="DF730" s="505"/>
      <c r="DG730" s="505"/>
      <c r="DH730" s="505"/>
      <c r="DI730" s="505"/>
      <c r="DJ730" s="505"/>
      <c r="DK730" s="505"/>
      <c r="DL730" s="505"/>
      <c r="DM730" s="505"/>
      <c r="DN730" s="505"/>
      <c r="DO730" s="505"/>
      <c r="DP730" s="505"/>
    </row>
    <row r="731" spans="1:120" x14ac:dyDescent="0.2">
      <c r="A731" s="517">
        <f t="shared" si="99"/>
        <v>41609</v>
      </c>
      <c r="B731" s="517" t="str">
        <f t="shared" si="96"/>
        <v>4Q13</v>
      </c>
      <c r="C731" s="517" t="str">
        <f t="shared" si="100"/>
        <v>1Q14</v>
      </c>
      <c r="D731" s="518">
        <f t="shared" si="101"/>
        <v>41670</v>
      </c>
      <c r="E731" s="518">
        <f t="shared" si="101"/>
        <v>41610</v>
      </c>
      <c r="F731" s="520">
        <v>3.883</v>
      </c>
      <c r="G731" s="521">
        <f t="shared" si="97"/>
        <v>0.55000000000000027</v>
      </c>
      <c r="H731" s="521">
        <f t="shared" si="98"/>
        <v>0.55000000000000027</v>
      </c>
      <c r="I731" s="505"/>
      <c r="J731" s="505"/>
      <c r="K731" s="505"/>
      <c r="L731" s="505"/>
      <c r="M731" s="505"/>
      <c r="N731" s="505"/>
      <c r="O731" s="505"/>
      <c r="P731" s="505"/>
      <c r="Q731" s="505"/>
      <c r="R731" s="505"/>
      <c r="S731" s="505"/>
      <c r="T731" s="505"/>
      <c r="U731" s="505"/>
      <c r="V731" s="505"/>
      <c r="W731" s="505"/>
      <c r="X731" s="505"/>
      <c r="Y731" s="505"/>
      <c r="Z731" s="505"/>
      <c r="AA731" s="505"/>
      <c r="AB731" s="505"/>
      <c r="AC731" s="505"/>
      <c r="AD731" s="505"/>
      <c r="AE731" s="505"/>
      <c r="AF731" s="505"/>
      <c r="AG731" s="505"/>
      <c r="AH731" s="505"/>
      <c r="AI731" s="505"/>
      <c r="AJ731" s="505"/>
      <c r="AK731" s="505"/>
      <c r="AL731" s="505"/>
      <c r="AM731" s="505"/>
      <c r="AN731" s="505"/>
      <c r="AO731" s="505"/>
      <c r="AP731" s="505"/>
      <c r="AQ731" s="505"/>
      <c r="AR731" s="505"/>
      <c r="AS731" s="505"/>
      <c r="AT731" s="505"/>
      <c r="AU731" s="505"/>
      <c r="AV731" s="505"/>
      <c r="AW731" s="505"/>
      <c r="AX731" s="505"/>
      <c r="AY731" s="505"/>
      <c r="AZ731" s="505"/>
      <c r="BA731" s="505"/>
      <c r="BB731" s="505"/>
      <c r="BC731" s="505"/>
      <c r="BD731" s="505"/>
      <c r="BE731" s="505"/>
      <c r="BF731" s="505"/>
      <c r="BG731" s="505"/>
      <c r="BH731" s="505"/>
      <c r="BI731" s="505"/>
      <c r="BJ731" s="505"/>
      <c r="BK731" s="505"/>
      <c r="BL731" s="505"/>
      <c r="BM731" s="505"/>
      <c r="BN731" s="505"/>
      <c r="BO731" s="505"/>
      <c r="BP731" s="505"/>
      <c r="BQ731" s="505"/>
      <c r="BR731" s="505"/>
      <c r="BS731" s="505"/>
      <c r="BT731" s="505"/>
      <c r="BU731" s="505"/>
      <c r="BV731" s="505"/>
      <c r="BW731" s="505"/>
      <c r="BX731" s="505"/>
      <c r="BY731" s="505"/>
      <c r="BZ731" s="505"/>
      <c r="CA731" s="505"/>
      <c r="CB731" s="505"/>
      <c r="CC731" s="505"/>
      <c r="CD731" s="505"/>
      <c r="CE731" s="505"/>
      <c r="CF731" s="505"/>
      <c r="CG731" s="505"/>
      <c r="CH731" s="505"/>
      <c r="CI731" s="505"/>
      <c r="CJ731" s="505"/>
      <c r="CK731" s="505"/>
      <c r="CL731" s="505"/>
      <c r="CM731" s="505"/>
      <c r="CN731" s="505"/>
      <c r="CO731" s="505"/>
      <c r="CP731" s="505"/>
      <c r="CQ731" s="505"/>
      <c r="CR731" s="505"/>
      <c r="CS731" s="505"/>
      <c r="CT731" s="505"/>
      <c r="CU731" s="505"/>
      <c r="CV731" s="505"/>
      <c r="CW731" s="505"/>
      <c r="CX731" s="505"/>
      <c r="CY731" s="505"/>
      <c r="CZ731" s="505"/>
      <c r="DA731" s="505"/>
      <c r="DB731" s="505"/>
      <c r="DC731" s="505"/>
      <c r="DD731" s="505"/>
      <c r="DE731" s="505"/>
      <c r="DF731" s="505"/>
      <c r="DG731" s="505"/>
      <c r="DH731" s="505"/>
      <c r="DI731" s="505"/>
      <c r="DJ731" s="505"/>
      <c r="DK731" s="505"/>
      <c r="DL731" s="505"/>
      <c r="DM731" s="505"/>
      <c r="DN731" s="505"/>
      <c r="DO731" s="505"/>
      <c r="DP731" s="505"/>
    </row>
    <row r="732" spans="1:120" x14ac:dyDescent="0.2">
      <c r="A732" s="517">
        <f t="shared" si="99"/>
        <v>41609</v>
      </c>
      <c r="B732" s="517" t="str">
        <f t="shared" si="96"/>
        <v>4Q13</v>
      </c>
      <c r="C732" s="517" t="str">
        <f t="shared" si="100"/>
        <v>1Q14</v>
      </c>
      <c r="D732" s="518">
        <f t="shared" si="101"/>
        <v>41677</v>
      </c>
      <c r="E732" s="518">
        <f t="shared" si="101"/>
        <v>41617</v>
      </c>
      <c r="F732" s="520">
        <v>3.879</v>
      </c>
      <c r="G732" s="521">
        <f t="shared" si="97"/>
        <v>0.55000000000000027</v>
      </c>
      <c r="H732" s="521">
        <f t="shared" si="98"/>
        <v>0.55000000000000027</v>
      </c>
      <c r="I732" s="505"/>
      <c r="J732" s="505"/>
      <c r="K732" s="505"/>
      <c r="L732" s="505"/>
      <c r="M732" s="505"/>
      <c r="N732" s="505"/>
      <c r="O732" s="505"/>
      <c r="P732" s="505"/>
      <c r="Q732" s="505"/>
      <c r="R732" s="505"/>
      <c r="S732" s="505"/>
      <c r="T732" s="505"/>
      <c r="U732" s="505"/>
      <c r="V732" s="505"/>
      <c r="W732" s="505"/>
      <c r="X732" s="505"/>
      <c r="Y732" s="505"/>
      <c r="Z732" s="505"/>
      <c r="AA732" s="505"/>
      <c r="AB732" s="505"/>
      <c r="AC732" s="505"/>
      <c r="AD732" s="505"/>
      <c r="AE732" s="505"/>
      <c r="AF732" s="505"/>
      <c r="AG732" s="505"/>
      <c r="AH732" s="505"/>
      <c r="AI732" s="505"/>
      <c r="AJ732" s="505"/>
      <c r="AK732" s="505"/>
      <c r="AL732" s="505"/>
      <c r="AM732" s="505"/>
      <c r="AN732" s="505"/>
      <c r="AO732" s="505"/>
      <c r="AP732" s="505"/>
      <c r="AQ732" s="505"/>
      <c r="AR732" s="505"/>
      <c r="AS732" s="505"/>
      <c r="AT732" s="505"/>
      <c r="AU732" s="505"/>
      <c r="AV732" s="505"/>
      <c r="AW732" s="505"/>
      <c r="AX732" s="505"/>
      <c r="AY732" s="505"/>
      <c r="AZ732" s="505"/>
      <c r="BA732" s="505"/>
      <c r="BB732" s="505"/>
      <c r="BC732" s="505"/>
      <c r="BD732" s="505"/>
      <c r="BE732" s="505"/>
      <c r="BF732" s="505"/>
      <c r="BG732" s="505"/>
      <c r="BH732" s="505"/>
      <c r="BI732" s="505"/>
      <c r="BJ732" s="505"/>
      <c r="BK732" s="505"/>
      <c r="BL732" s="505"/>
      <c r="BM732" s="505"/>
      <c r="BN732" s="505"/>
      <c r="BO732" s="505"/>
      <c r="BP732" s="505"/>
      <c r="BQ732" s="505"/>
      <c r="BR732" s="505"/>
      <c r="BS732" s="505"/>
      <c r="BT732" s="505"/>
      <c r="BU732" s="505"/>
      <c r="BV732" s="505"/>
      <c r="BW732" s="505"/>
      <c r="BX732" s="505"/>
      <c r="BY732" s="505"/>
      <c r="BZ732" s="505"/>
      <c r="CA732" s="505"/>
      <c r="CB732" s="505"/>
      <c r="CC732" s="505"/>
      <c r="CD732" s="505"/>
      <c r="CE732" s="505"/>
      <c r="CF732" s="505"/>
      <c r="CG732" s="505"/>
      <c r="CH732" s="505"/>
      <c r="CI732" s="505"/>
      <c r="CJ732" s="505"/>
      <c r="CK732" s="505"/>
      <c r="CL732" s="505"/>
      <c r="CM732" s="505"/>
      <c r="CN732" s="505"/>
      <c r="CO732" s="505"/>
      <c r="CP732" s="505"/>
      <c r="CQ732" s="505"/>
      <c r="CR732" s="505"/>
      <c r="CS732" s="505"/>
      <c r="CT732" s="505"/>
      <c r="CU732" s="505"/>
      <c r="CV732" s="505"/>
      <c r="CW732" s="505"/>
      <c r="CX732" s="505"/>
      <c r="CY732" s="505"/>
      <c r="CZ732" s="505"/>
      <c r="DA732" s="505"/>
      <c r="DB732" s="505"/>
      <c r="DC732" s="505"/>
      <c r="DD732" s="505"/>
      <c r="DE732" s="505"/>
      <c r="DF732" s="505"/>
      <c r="DG732" s="505"/>
      <c r="DH732" s="505"/>
      <c r="DI732" s="505"/>
      <c r="DJ732" s="505"/>
      <c r="DK732" s="505"/>
      <c r="DL732" s="505"/>
      <c r="DM732" s="505"/>
      <c r="DN732" s="505"/>
      <c r="DO732" s="505"/>
      <c r="DP732" s="505"/>
    </row>
    <row r="733" spans="1:120" x14ac:dyDescent="0.2">
      <c r="A733" s="517">
        <f t="shared" si="99"/>
        <v>41609</v>
      </c>
      <c r="B733" s="517" t="str">
        <f t="shared" si="96"/>
        <v>4Q13</v>
      </c>
      <c r="C733" s="517" t="str">
        <f t="shared" si="100"/>
        <v>1Q14</v>
      </c>
      <c r="D733" s="518">
        <f t="shared" si="101"/>
        <v>41684</v>
      </c>
      <c r="E733" s="518">
        <f t="shared" si="101"/>
        <v>41624</v>
      </c>
      <c r="F733" s="520">
        <v>3.871</v>
      </c>
      <c r="G733" s="521">
        <f t="shared" si="97"/>
        <v>0.55000000000000027</v>
      </c>
      <c r="H733" s="521">
        <f t="shared" si="98"/>
        <v>0.55000000000000027</v>
      </c>
      <c r="I733" s="505"/>
      <c r="J733" s="505"/>
      <c r="K733" s="505"/>
      <c r="L733" s="505"/>
      <c r="M733" s="505"/>
      <c r="N733" s="505"/>
      <c r="O733" s="505"/>
      <c r="P733" s="505"/>
      <c r="Q733" s="505"/>
      <c r="R733" s="505"/>
      <c r="S733" s="505"/>
      <c r="T733" s="505"/>
      <c r="U733" s="505"/>
      <c r="V733" s="505"/>
      <c r="W733" s="505"/>
      <c r="X733" s="505"/>
      <c r="Y733" s="505"/>
      <c r="Z733" s="505"/>
      <c r="AA733" s="505"/>
      <c r="AB733" s="505"/>
      <c r="AC733" s="505"/>
      <c r="AD733" s="505"/>
      <c r="AE733" s="505"/>
      <c r="AF733" s="505"/>
      <c r="AG733" s="505"/>
      <c r="AH733" s="505"/>
      <c r="AI733" s="505"/>
      <c r="AJ733" s="505"/>
      <c r="AK733" s="505"/>
      <c r="AL733" s="505"/>
      <c r="AM733" s="505"/>
      <c r="AN733" s="505"/>
      <c r="AO733" s="505"/>
      <c r="AP733" s="505"/>
      <c r="AQ733" s="505"/>
      <c r="AR733" s="505"/>
      <c r="AS733" s="505"/>
      <c r="AT733" s="505"/>
      <c r="AU733" s="505"/>
      <c r="AV733" s="505"/>
      <c r="AW733" s="505"/>
      <c r="AX733" s="505"/>
      <c r="AY733" s="505"/>
      <c r="AZ733" s="505"/>
      <c r="BA733" s="505"/>
      <c r="BB733" s="505"/>
      <c r="BC733" s="505"/>
      <c r="BD733" s="505"/>
      <c r="BE733" s="505"/>
      <c r="BF733" s="505"/>
      <c r="BG733" s="505"/>
      <c r="BH733" s="505"/>
      <c r="BI733" s="505"/>
      <c r="BJ733" s="505"/>
      <c r="BK733" s="505"/>
      <c r="BL733" s="505"/>
      <c r="BM733" s="505"/>
      <c r="BN733" s="505"/>
      <c r="BO733" s="505"/>
      <c r="BP733" s="505"/>
      <c r="BQ733" s="505"/>
      <c r="BR733" s="505"/>
      <c r="BS733" s="505"/>
      <c r="BT733" s="505"/>
      <c r="BU733" s="505"/>
      <c r="BV733" s="505"/>
      <c r="BW733" s="505"/>
      <c r="BX733" s="505"/>
      <c r="BY733" s="505"/>
      <c r="BZ733" s="505"/>
      <c r="CA733" s="505"/>
      <c r="CB733" s="505"/>
      <c r="CC733" s="505"/>
      <c r="CD733" s="505"/>
      <c r="CE733" s="505"/>
      <c r="CF733" s="505"/>
      <c r="CG733" s="505"/>
      <c r="CH733" s="505"/>
      <c r="CI733" s="505"/>
      <c r="CJ733" s="505"/>
      <c r="CK733" s="505"/>
      <c r="CL733" s="505"/>
      <c r="CM733" s="505"/>
      <c r="CN733" s="505"/>
      <c r="CO733" s="505"/>
      <c r="CP733" s="505"/>
      <c r="CQ733" s="505"/>
      <c r="CR733" s="505"/>
      <c r="CS733" s="505"/>
      <c r="CT733" s="505"/>
      <c r="CU733" s="505"/>
      <c r="CV733" s="505"/>
      <c r="CW733" s="505"/>
      <c r="CX733" s="505"/>
      <c r="CY733" s="505"/>
      <c r="CZ733" s="505"/>
      <c r="DA733" s="505"/>
      <c r="DB733" s="505"/>
      <c r="DC733" s="505"/>
      <c r="DD733" s="505"/>
      <c r="DE733" s="505"/>
      <c r="DF733" s="505"/>
      <c r="DG733" s="505"/>
      <c r="DH733" s="505"/>
      <c r="DI733" s="505"/>
      <c r="DJ733" s="505"/>
      <c r="DK733" s="505"/>
      <c r="DL733" s="505"/>
      <c r="DM733" s="505"/>
      <c r="DN733" s="505"/>
      <c r="DO733" s="505"/>
      <c r="DP733" s="505"/>
    </row>
    <row r="734" spans="1:120" x14ac:dyDescent="0.2">
      <c r="A734" s="517">
        <f t="shared" ref="A734:A797" si="102">DATE(YEAR(E734),MONTH(E734),1)</f>
        <v>41609</v>
      </c>
      <c r="B734" s="517" t="str">
        <f t="shared" si="96"/>
        <v>4Q13</v>
      </c>
      <c r="C734" s="517" t="str">
        <f t="shared" ref="C734:C797" si="103">VLOOKUP(MONTH(D734),$N$4:$O$16,2,FALSE) &amp; "Q" &amp; RIGHT(YEAR(D734),2)</f>
        <v>1Q14</v>
      </c>
      <c r="D734" s="518">
        <f t="shared" ref="D734:D797" si="104">D733+7</f>
        <v>41691</v>
      </c>
      <c r="E734" s="518">
        <f t="shared" ref="E734:E797" si="105">E733+7</f>
        <v>41631</v>
      </c>
      <c r="F734" s="520">
        <v>3.8730000000000002</v>
      </c>
      <c r="G734" s="521">
        <f t="shared" si="97"/>
        <v>0.55000000000000027</v>
      </c>
      <c r="H734" s="521">
        <f t="shared" ref="H734:H797" si="106">G735</f>
        <v>0.56000000000000028</v>
      </c>
      <c r="I734" s="505"/>
      <c r="J734" s="505"/>
      <c r="K734" s="505"/>
      <c r="L734" s="505"/>
      <c r="M734" s="505"/>
      <c r="N734" s="505"/>
      <c r="O734" s="505"/>
      <c r="P734" s="505"/>
      <c r="Q734" s="505"/>
      <c r="R734" s="505"/>
      <c r="S734" s="505"/>
      <c r="T734" s="505"/>
      <c r="U734" s="505"/>
      <c r="V734" s="505"/>
      <c r="W734" s="505"/>
      <c r="X734" s="505"/>
      <c r="Y734" s="505"/>
      <c r="Z734" s="505"/>
      <c r="AA734" s="505"/>
      <c r="AB734" s="505"/>
      <c r="AC734" s="505"/>
      <c r="AD734" s="505"/>
      <c r="AE734" s="505"/>
      <c r="AF734" s="505"/>
      <c r="AG734" s="505"/>
      <c r="AH734" s="505"/>
      <c r="AI734" s="505"/>
      <c r="AJ734" s="505"/>
      <c r="AK734" s="505"/>
      <c r="AL734" s="505"/>
      <c r="AM734" s="505"/>
      <c r="AN734" s="505"/>
      <c r="AO734" s="505"/>
      <c r="AP734" s="505"/>
      <c r="AQ734" s="505"/>
      <c r="AR734" s="505"/>
      <c r="AS734" s="505"/>
      <c r="AT734" s="505"/>
      <c r="AU734" s="505"/>
      <c r="AV734" s="505"/>
      <c r="AW734" s="505"/>
      <c r="AX734" s="505"/>
      <c r="AY734" s="505"/>
      <c r="AZ734" s="505"/>
      <c r="BA734" s="505"/>
      <c r="BB734" s="505"/>
      <c r="BC734" s="505"/>
      <c r="BD734" s="505"/>
      <c r="BE734" s="505"/>
      <c r="BF734" s="505"/>
      <c r="BG734" s="505"/>
      <c r="BH734" s="505"/>
      <c r="BI734" s="505"/>
      <c r="BJ734" s="505"/>
      <c r="BK734" s="505"/>
      <c r="BL734" s="505"/>
      <c r="BM734" s="505"/>
      <c r="BN734" s="505"/>
      <c r="BO734" s="505"/>
      <c r="BP734" s="505"/>
      <c r="BQ734" s="505"/>
      <c r="BR734" s="505"/>
      <c r="BS734" s="505"/>
      <c r="BT734" s="505"/>
      <c r="BU734" s="505"/>
      <c r="BV734" s="505"/>
      <c r="BW734" s="505"/>
      <c r="BX734" s="505"/>
      <c r="BY734" s="505"/>
      <c r="BZ734" s="505"/>
      <c r="CA734" s="505"/>
      <c r="CB734" s="505"/>
      <c r="CC734" s="505"/>
      <c r="CD734" s="505"/>
      <c r="CE734" s="505"/>
      <c r="CF734" s="505"/>
      <c r="CG734" s="505"/>
      <c r="CH734" s="505"/>
      <c r="CI734" s="505"/>
      <c r="CJ734" s="505"/>
      <c r="CK734" s="505"/>
      <c r="CL734" s="505"/>
      <c r="CM734" s="505"/>
      <c r="CN734" s="505"/>
      <c r="CO734" s="505"/>
      <c r="CP734" s="505"/>
      <c r="CQ734" s="505"/>
      <c r="CR734" s="505"/>
      <c r="CS734" s="505"/>
      <c r="CT734" s="505"/>
      <c r="CU734" s="505"/>
      <c r="CV734" s="505"/>
      <c r="CW734" s="505"/>
      <c r="CX734" s="505"/>
      <c r="CY734" s="505"/>
      <c r="CZ734" s="505"/>
      <c r="DA734" s="505"/>
      <c r="DB734" s="505"/>
      <c r="DC734" s="505"/>
      <c r="DD734" s="505"/>
      <c r="DE734" s="505"/>
      <c r="DF734" s="505"/>
      <c r="DG734" s="505"/>
      <c r="DH734" s="505"/>
      <c r="DI734" s="505"/>
      <c r="DJ734" s="505"/>
      <c r="DK734" s="505"/>
      <c r="DL734" s="505"/>
      <c r="DM734" s="505"/>
      <c r="DN734" s="505"/>
      <c r="DO734" s="505"/>
      <c r="DP734" s="505"/>
    </row>
    <row r="735" spans="1:120" x14ac:dyDescent="0.2">
      <c r="A735" s="517">
        <f t="shared" si="102"/>
        <v>41609</v>
      </c>
      <c r="B735" s="517" t="str">
        <f t="shared" si="96"/>
        <v>4Q13</v>
      </c>
      <c r="C735" s="517" t="str">
        <f t="shared" si="103"/>
        <v>1Q14</v>
      </c>
      <c r="D735" s="518">
        <f t="shared" si="104"/>
        <v>41698</v>
      </c>
      <c r="E735" s="518">
        <f t="shared" si="105"/>
        <v>41638</v>
      </c>
      <c r="F735" s="520">
        <v>3.903</v>
      </c>
      <c r="G735" s="521">
        <f t="shared" si="97"/>
        <v>0.56000000000000028</v>
      </c>
      <c r="H735" s="521">
        <f t="shared" si="106"/>
        <v>0.56000000000000028</v>
      </c>
      <c r="I735" s="511"/>
      <c r="J735" s="511"/>
      <c r="K735" s="511"/>
      <c r="L735" s="511"/>
      <c r="M735" s="511"/>
      <c r="N735" s="511"/>
      <c r="O735" s="511"/>
      <c r="P735" s="511"/>
      <c r="Q735" s="511"/>
      <c r="R735" s="511"/>
      <c r="S735" s="511"/>
      <c r="T735" s="511"/>
      <c r="U735" s="511"/>
      <c r="V735" s="511"/>
      <c r="W735" s="511"/>
      <c r="X735" s="511"/>
      <c r="Y735" s="511"/>
      <c r="Z735" s="511"/>
      <c r="AA735" s="511"/>
      <c r="AB735" s="511"/>
      <c r="AC735" s="511"/>
      <c r="AD735" s="511"/>
      <c r="AE735" s="511"/>
      <c r="AF735" s="511"/>
      <c r="AG735" s="511"/>
      <c r="AH735" s="511"/>
      <c r="AI735" s="511"/>
      <c r="AJ735" s="511"/>
      <c r="AK735" s="511"/>
      <c r="AL735" s="511"/>
      <c r="AM735" s="511"/>
      <c r="AN735" s="511"/>
      <c r="AO735" s="511"/>
      <c r="AP735" s="511"/>
      <c r="AQ735" s="511"/>
      <c r="AR735" s="511"/>
      <c r="AS735" s="511"/>
      <c r="AT735" s="511"/>
      <c r="AU735" s="511"/>
      <c r="AV735" s="511"/>
      <c r="AW735" s="511"/>
      <c r="AX735" s="511"/>
      <c r="AY735" s="511"/>
      <c r="AZ735" s="511"/>
      <c r="BA735" s="511"/>
      <c r="BB735" s="511"/>
      <c r="BC735" s="511"/>
      <c r="BD735" s="511"/>
      <c r="BE735" s="511"/>
      <c r="BF735" s="511"/>
      <c r="BG735" s="511"/>
      <c r="BH735" s="511"/>
      <c r="BI735" s="511"/>
      <c r="BJ735" s="511"/>
      <c r="BK735" s="511"/>
      <c r="BL735" s="511"/>
      <c r="BM735" s="511"/>
      <c r="BN735" s="511"/>
      <c r="BO735" s="511"/>
      <c r="BP735" s="511"/>
      <c r="BQ735" s="511"/>
      <c r="BR735" s="511"/>
      <c r="BS735" s="511"/>
      <c r="BT735" s="511"/>
      <c r="BU735" s="511"/>
      <c r="BV735" s="511"/>
      <c r="BW735" s="511"/>
      <c r="BX735" s="511"/>
      <c r="BY735" s="511"/>
      <c r="BZ735" s="511"/>
      <c r="CA735" s="511"/>
      <c r="CB735" s="511"/>
      <c r="CC735" s="511"/>
      <c r="CD735" s="511"/>
      <c r="CE735" s="511"/>
      <c r="CF735" s="511"/>
      <c r="CG735" s="511"/>
      <c r="CH735" s="511"/>
      <c r="CI735" s="511"/>
      <c r="CJ735" s="511"/>
      <c r="CK735" s="511"/>
      <c r="CL735" s="511"/>
      <c r="CM735" s="511"/>
      <c r="CN735" s="511"/>
      <c r="CO735" s="511"/>
      <c r="CP735" s="511"/>
      <c r="CQ735" s="511"/>
      <c r="CR735" s="511"/>
      <c r="CS735" s="511"/>
      <c r="CT735" s="511"/>
      <c r="CU735" s="511"/>
      <c r="CV735" s="511"/>
      <c r="CW735" s="511"/>
      <c r="CX735" s="511"/>
      <c r="CY735" s="511"/>
      <c r="CZ735" s="511"/>
      <c r="DA735" s="511"/>
      <c r="DB735" s="511"/>
      <c r="DC735" s="511"/>
      <c r="DD735" s="511"/>
      <c r="DE735" s="511"/>
      <c r="DF735" s="511"/>
      <c r="DG735" s="511"/>
      <c r="DH735" s="511"/>
      <c r="DI735" s="511"/>
      <c r="DJ735" s="511"/>
      <c r="DK735" s="511"/>
      <c r="DL735" s="511"/>
      <c r="DM735" s="511"/>
      <c r="DN735" s="511"/>
      <c r="DO735" s="511"/>
      <c r="DP735" s="511"/>
    </row>
    <row r="736" spans="1:120" x14ac:dyDescent="0.2">
      <c r="A736" s="517">
        <f t="shared" si="102"/>
        <v>41640</v>
      </c>
      <c r="B736" s="517" t="str">
        <f t="shared" si="96"/>
        <v>1Q14</v>
      </c>
      <c r="C736" s="517" t="str">
        <f t="shared" si="103"/>
        <v>1Q14</v>
      </c>
      <c r="D736" s="518">
        <f t="shared" si="104"/>
        <v>41705</v>
      </c>
      <c r="E736" s="518">
        <f t="shared" si="105"/>
        <v>41645</v>
      </c>
      <c r="F736" s="520">
        <v>3.91</v>
      </c>
      <c r="G736" s="521">
        <f t="shared" si="97"/>
        <v>0.56000000000000028</v>
      </c>
      <c r="H736" s="521">
        <f t="shared" si="106"/>
        <v>0.55000000000000027</v>
      </c>
      <c r="I736" s="511"/>
      <c r="J736" s="511"/>
      <c r="K736" s="511"/>
      <c r="L736" s="511"/>
      <c r="M736" s="511"/>
      <c r="N736" s="511"/>
      <c r="O736" s="511"/>
      <c r="P736" s="511"/>
      <c r="Q736" s="511"/>
      <c r="R736" s="511"/>
      <c r="S736" s="511"/>
      <c r="T736" s="511"/>
      <c r="U736" s="511"/>
      <c r="V736" s="511"/>
      <c r="W736" s="511"/>
      <c r="X736" s="511"/>
      <c r="Y736" s="511"/>
      <c r="Z736" s="511"/>
      <c r="AA736" s="511"/>
      <c r="AB736" s="511"/>
      <c r="AC736" s="511"/>
      <c r="AD736" s="511"/>
      <c r="AE736" s="511"/>
      <c r="AF736" s="511"/>
      <c r="AG736" s="511"/>
      <c r="AH736" s="511"/>
      <c r="AI736" s="511"/>
      <c r="AJ736" s="511"/>
      <c r="AK736" s="511"/>
      <c r="AL736" s="511"/>
      <c r="AM736" s="511"/>
      <c r="AN736" s="511"/>
      <c r="AO736" s="511"/>
      <c r="AP736" s="511"/>
      <c r="AQ736" s="511"/>
      <c r="AR736" s="511"/>
      <c r="AS736" s="511"/>
      <c r="AT736" s="511"/>
      <c r="AU736" s="511"/>
      <c r="AV736" s="511"/>
      <c r="AW736" s="511"/>
      <c r="AX736" s="511"/>
      <c r="AY736" s="511"/>
      <c r="AZ736" s="511"/>
      <c r="BA736" s="511"/>
      <c r="BB736" s="511"/>
      <c r="BC736" s="511"/>
      <c r="BD736" s="511"/>
      <c r="BE736" s="511"/>
      <c r="BF736" s="511"/>
      <c r="BG736" s="511"/>
      <c r="BH736" s="511"/>
      <c r="BI736" s="511"/>
      <c r="BJ736" s="511"/>
      <c r="BK736" s="511"/>
      <c r="BL736" s="511"/>
      <c r="BM736" s="511"/>
      <c r="BN736" s="511"/>
      <c r="BO736" s="511"/>
      <c r="BP736" s="511"/>
      <c r="BQ736" s="511"/>
      <c r="BR736" s="511"/>
      <c r="BS736" s="511"/>
      <c r="BT736" s="511"/>
      <c r="BU736" s="511"/>
      <c r="BV736" s="511"/>
      <c r="BW736" s="511"/>
      <c r="BX736" s="511"/>
      <c r="BY736" s="511"/>
      <c r="BZ736" s="511"/>
      <c r="CA736" s="511"/>
      <c r="CB736" s="511"/>
      <c r="CC736" s="511"/>
      <c r="CD736" s="511"/>
      <c r="CE736" s="511"/>
      <c r="CF736" s="511"/>
      <c r="CG736" s="511"/>
      <c r="CH736" s="511"/>
      <c r="CI736" s="511"/>
      <c r="CJ736" s="511"/>
      <c r="CK736" s="511"/>
      <c r="CL736" s="511"/>
      <c r="CM736" s="511"/>
      <c r="CN736" s="511"/>
      <c r="CO736" s="511"/>
      <c r="CP736" s="511"/>
      <c r="CQ736" s="511"/>
      <c r="CR736" s="511"/>
      <c r="CS736" s="511"/>
      <c r="CT736" s="511"/>
      <c r="CU736" s="511"/>
      <c r="CV736" s="511"/>
      <c r="CW736" s="511"/>
      <c r="CX736" s="511"/>
      <c r="CY736" s="511"/>
      <c r="CZ736" s="511"/>
      <c r="DA736" s="511"/>
      <c r="DB736" s="511"/>
      <c r="DC736" s="511"/>
      <c r="DD736" s="511"/>
      <c r="DE736" s="511"/>
      <c r="DF736" s="511"/>
      <c r="DG736" s="511"/>
      <c r="DH736" s="511"/>
      <c r="DI736" s="511"/>
      <c r="DJ736" s="511"/>
      <c r="DK736" s="511"/>
      <c r="DL736" s="511"/>
      <c r="DM736" s="511"/>
      <c r="DN736" s="511"/>
      <c r="DO736" s="511"/>
      <c r="DP736" s="511"/>
    </row>
    <row r="737" spans="1:120" x14ac:dyDescent="0.2">
      <c r="A737" s="517">
        <f t="shared" si="102"/>
        <v>41640</v>
      </c>
      <c r="B737" s="517" t="str">
        <f t="shared" si="96"/>
        <v>1Q14</v>
      </c>
      <c r="C737" s="517" t="str">
        <f t="shared" si="103"/>
        <v>1Q14</v>
      </c>
      <c r="D737" s="518">
        <f t="shared" si="104"/>
        <v>41712</v>
      </c>
      <c r="E737" s="518">
        <f t="shared" si="105"/>
        <v>41652</v>
      </c>
      <c r="F737" s="520">
        <v>3.8860000000000001</v>
      </c>
      <c r="G737" s="521">
        <f t="shared" si="97"/>
        <v>0.55000000000000027</v>
      </c>
      <c r="H737" s="521">
        <f t="shared" si="106"/>
        <v>0.55000000000000027</v>
      </c>
      <c r="I737" s="511"/>
      <c r="J737" s="511"/>
      <c r="K737" s="511"/>
      <c r="L737" s="511"/>
      <c r="M737" s="511"/>
      <c r="N737" s="511"/>
      <c r="O737" s="511"/>
      <c r="P737" s="511"/>
      <c r="Q737" s="511"/>
      <c r="R737" s="511"/>
      <c r="S737" s="511"/>
      <c r="T737" s="511"/>
      <c r="U737" s="511"/>
      <c r="V737" s="511"/>
      <c r="W737" s="511"/>
      <c r="X737" s="511"/>
      <c r="Y737" s="511"/>
      <c r="Z737" s="511"/>
      <c r="AA737" s="511"/>
      <c r="AB737" s="511"/>
      <c r="AC737" s="511"/>
      <c r="AD737" s="511"/>
      <c r="AE737" s="511"/>
      <c r="AF737" s="511"/>
      <c r="AG737" s="511"/>
      <c r="AH737" s="511"/>
      <c r="AI737" s="511"/>
      <c r="AJ737" s="511"/>
      <c r="AK737" s="511"/>
      <c r="AL737" s="511"/>
      <c r="AM737" s="511"/>
      <c r="AN737" s="511"/>
      <c r="AO737" s="511"/>
      <c r="AP737" s="511"/>
      <c r="AQ737" s="511"/>
      <c r="AR737" s="511"/>
      <c r="AS737" s="511"/>
      <c r="AT737" s="511"/>
      <c r="AU737" s="511"/>
      <c r="AV737" s="511"/>
      <c r="AW737" s="511"/>
      <c r="AX737" s="511"/>
      <c r="AY737" s="511"/>
      <c r="AZ737" s="511"/>
      <c r="BA737" s="511"/>
      <c r="BB737" s="511"/>
      <c r="BC737" s="511"/>
      <c r="BD737" s="511"/>
      <c r="BE737" s="511"/>
      <c r="BF737" s="511"/>
      <c r="BG737" s="511"/>
      <c r="BH737" s="511"/>
      <c r="BI737" s="511"/>
      <c r="BJ737" s="511"/>
      <c r="BK737" s="511"/>
      <c r="BL737" s="511"/>
      <c r="BM737" s="511"/>
      <c r="BN737" s="511"/>
      <c r="BO737" s="511"/>
      <c r="BP737" s="511"/>
      <c r="BQ737" s="511"/>
      <c r="BR737" s="511"/>
      <c r="BS737" s="511"/>
      <c r="BT737" s="511"/>
      <c r="BU737" s="511"/>
      <c r="BV737" s="511"/>
      <c r="BW737" s="511"/>
      <c r="BX737" s="511"/>
      <c r="BY737" s="511"/>
      <c r="BZ737" s="511"/>
      <c r="CA737" s="511"/>
      <c r="CB737" s="511"/>
      <c r="CC737" s="511"/>
      <c r="CD737" s="511"/>
      <c r="CE737" s="511"/>
      <c r="CF737" s="511"/>
      <c r="CG737" s="511"/>
      <c r="CH737" s="511"/>
      <c r="CI737" s="511"/>
      <c r="CJ737" s="511"/>
      <c r="CK737" s="511"/>
      <c r="CL737" s="511"/>
      <c r="CM737" s="511"/>
      <c r="CN737" s="511"/>
      <c r="CO737" s="511"/>
      <c r="CP737" s="511"/>
      <c r="CQ737" s="511"/>
      <c r="CR737" s="511"/>
      <c r="CS737" s="511"/>
      <c r="CT737" s="511"/>
      <c r="CU737" s="511"/>
      <c r="CV737" s="511"/>
      <c r="CW737" s="511"/>
      <c r="CX737" s="511"/>
      <c r="CY737" s="511"/>
      <c r="CZ737" s="511"/>
      <c r="DA737" s="511"/>
      <c r="DB737" s="511"/>
      <c r="DC737" s="511"/>
      <c r="DD737" s="511"/>
      <c r="DE737" s="511"/>
      <c r="DF737" s="511"/>
      <c r="DG737" s="511"/>
      <c r="DH737" s="511"/>
      <c r="DI737" s="511"/>
      <c r="DJ737" s="511"/>
      <c r="DK737" s="511"/>
      <c r="DL737" s="511"/>
      <c r="DM737" s="511"/>
      <c r="DN737" s="511"/>
      <c r="DO737" s="511"/>
      <c r="DP737" s="511"/>
    </row>
    <row r="738" spans="1:120" x14ac:dyDescent="0.2">
      <c r="A738" s="517">
        <f t="shared" si="102"/>
        <v>41640</v>
      </c>
      <c r="B738" s="517" t="str">
        <f t="shared" si="96"/>
        <v>1Q14</v>
      </c>
      <c r="C738" s="517" t="str">
        <f t="shared" si="103"/>
        <v>1Q14</v>
      </c>
      <c r="D738" s="518">
        <f t="shared" si="104"/>
        <v>41719</v>
      </c>
      <c r="E738" s="518">
        <f t="shared" si="105"/>
        <v>41659</v>
      </c>
      <c r="F738" s="520">
        <v>3.8730000000000002</v>
      </c>
      <c r="G738" s="521">
        <f t="shared" si="97"/>
        <v>0.55000000000000027</v>
      </c>
      <c r="H738" s="521">
        <f t="shared" si="106"/>
        <v>0.56000000000000028</v>
      </c>
      <c r="I738" s="511"/>
      <c r="J738" s="511"/>
      <c r="K738" s="511"/>
      <c r="L738" s="511"/>
      <c r="M738" s="511"/>
      <c r="N738" s="511"/>
      <c r="O738" s="511"/>
      <c r="P738" s="511"/>
      <c r="Q738" s="511"/>
      <c r="R738" s="511"/>
      <c r="S738" s="511"/>
      <c r="T738" s="511"/>
      <c r="U738" s="511"/>
      <c r="V738" s="511"/>
      <c r="W738" s="511"/>
      <c r="X738" s="511"/>
      <c r="Y738" s="511"/>
      <c r="Z738" s="511"/>
      <c r="AA738" s="511"/>
      <c r="AB738" s="511"/>
      <c r="AC738" s="511"/>
      <c r="AD738" s="511"/>
      <c r="AE738" s="511"/>
      <c r="AF738" s="511"/>
      <c r="AG738" s="511"/>
      <c r="AH738" s="511"/>
      <c r="AI738" s="511"/>
      <c r="AJ738" s="511"/>
      <c r="AK738" s="511"/>
      <c r="AL738" s="511"/>
      <c r="AM738" s="511"/>
      <c r="AN738" s="511"/>
      <c r="AO738" s="511"/>
      <c r="AP738" s="511"/>
      <c r="AQ738" s="511"/>
      <c r="AR738" s="511"/>
      <c r="AS738" s="511"/>
      <c r="AT738" s="511"/>
      <c r="AU738" s="511"/>
      <c r="AV738" s="511"/>
      <c r="AW738" s="511"/>
      <c r="AX738" s="511"/>
      <c r="AY738" s="511"/>
      <c r="AZ738" s="511"/>
      <c r="BA738" s="511"/>
      <c r="BB738" s="511"/>
      <c r="BC738" s="511"/>
      <c r="BD738" s="511"/>
      <c r="BE738" s="511"/>
      <c r="BF738" s="511"/>
      <c r="BG738" s="511"/>
      <c r="BH738" s="511"/>
      <c r="BI738" s="511"/>
      <c r="BJ738" s="511"/>
      <c r="BK738" s="511"/>
      <c r="BL738" s="511"/>
      <c r="BM738" s="511"/>
      <c r="BN738" s="511"/>
      <c r="BO738" s="511"/>
      <c r="BP738" s="511"/>
      <c r="BQ738" s="511"/>
      <c r="BR738" s="511"/>
      <c r="BS738" s="511"/>
      <c r="BT738" s="511"/>
      <c r="BU738" s="511"/>
      <c r="BV738" s="511"/>
      <c r="BW738" s="511"/>
      <c r="BX738" s="511"/>
      <c r="BY738" s="511"/>
      <c r="BZ738" s="511"/>
      <c r="CA738" s="511"/>
      <c r="CB738" s="511"/>
      <c r="CC738" s="511"/>
      <c r="CD738" s="511"/>
      <c r="CE738" s="511"/>
      <c r="CF738" s="511"/>
      <c r="CG738" s="511"/>
      <c r="CH738" s="511"/>
      <c r="CI738" s="511"/>
      <c r="CJ738" s="511"/>
      <c r="CK738" s="511"/>
      <c r="CL738" s="511"/>
      <c r="CM738" s="511"/>
      <c r="CN738" s="511"/>
      <c r="CO738" s="511"/>
      <c r="CP738" s="511"/>
      <c r="CQ738" s="511"/>
      <c r="CR738" s="511"/>
      <c r="CS738" s="511"/>
      <c r="CT738" s="511"/>
      <c r="CU738" s="511"/>
      <c r="CV738" s="511"/>
      <c r="CW738" s="511"/>
      <c r="CX738" s="511"/>
      <c r="CY738" s="511"/>
      <c r="CZ738" s="511"/>
      <c r="DA738" s="511"/>
      <c r="DB738" s="511"/>
      <c r="DC738" s="511"/>
      <c r="DD738" s="511"/>
      <c r="DE738" s="511"/>
      <c r="DF738" s="511"/>
      <c r="DG738" s="511"/>
      <c r="DH738" s="511"/>
      <c r="DI738" s="511"/>
      <c r="DJ738" s="511"/>
      <c r="DK738" s="511"/>
      <c r="DL738" s="511"/>
      <c r="DM738" s="511"/>
      <c r="DN738" s="511"/>
      <c r="DO738" s="511"/>
      <c r="DP738" s="511"/>
    </row>
    <row r="739" spans="1:120" x14ac:dyDescent="0.2">
      <c r="A739" s="517">
        <f t="shared" si="102"/>
        <v>41640</v>
      </c>
      <c r="B739" s="517" t="str">
        <f t="shared" si="96"/>
        <v>1Q14</v>
      </c>
      <c r="C739" s="517" t="str">
        <f t="shared" si="103"/>
        <v>1Q14</v>
      </c>
      <c r="D739" s="518">
        <f t="shared" si="104"/>
        <v>41726</v>
      </c>
      <c r="E739" s="518">
        <f t="shared" si="105"/>
        <v>41666</v>
      </c>
      <c r="F739" s="520">
        <v>3.9039999999999999</v>
      </c>
      <c r="G739" s="521">
        <f t="shared" si="97"/>
        <v>0.56000000000000028</v>
      </c>
      <c r="H739" s="521">
        <f t="shared" si="106"/>
        <v>0.57000000000000028</v>
      </c>
      <c r="I739" s="511"/>
      <c r="J739" s="511"/>
      <c r="K739" s="511"/>
      <c r="L739" s="511"/>
      <c r="M739" s="511"/>
      <c r="N739" s="511"/>
      <c r="O739" s="511"/>
      <c r="P739" s="511"/>
      <c r="Q739" s="511"/>
      <c r="R739" s="511"/>
      <c r="S739" s="511"/>
      <c r="T739" s="511"/>
      <c r="U739" s="511"/>
      <c r="V739" s="511"/>
      <c r="W739" s="511"/>
      <c r="X739" s="511"/>
      <c r="Y739" s="511"/>
      <c r="Z739" s="511"/>
      <c r="AA739" s="511"/>
      <c r="AB739" s="511"/>
      <c r="AC739" s="511"/>
      <c r="AD739" s="511"/>
      <c r="AE739" s="511"/>
      <c r="AF739" s="511"/>
      <c r="AG739" s="511"/>
      <c r="AH739" s="511"/>
      <c r="AI739" s="511"/>
      <c r="AJ739" s="511"/>
      <c r="AK739" s="511"/>
      <c r="AL739" s="511"/>
      <c r="AM739" s="511"/>
      <c r="AN739" s="511"/>
      <c r="AO739" s="511"/>
      <c r="AP739" s="511"/>
      <c r="AQ739" s="511"/>
      <c r="AR739" s="511"/>
      <c r="AS739" s="511"/>
      <c r="AT739" s="511"/>
      <c r="AU739" s="511"/>
      <c r="AV739" s="511"/>
      <c r="AW739" s="511"/>
      <c r="AX739" s="511"/>
      <c r="AY739" s="511"/>
      <c r="AZ739" s="511"/>
      <c r="BA739" s="511"/>
      <c r="BB739" s="511"/>
      <c r="BC739" s="511"/>
      <c r="BD739" s="511"/>
      <c r="BE739" s="511"/>
      <c r="BF739" s="511"/>
      <c r="BG739" s="511"/>
      <c r="BH739" s="511"/>
      <c r="BI739" s="511"/>
      <c r="BJ739" s="511"/>
      <c r="BK739" s="511"/>
      <c r="BL739" s="511"/>
      <c r="BM739" s="511"/>
      <c r="BN739" s="511"/>
      <c r="BO739" s="511"/>
      <c r="BP739" s="511"/>
      <c r="BQ739" s="511"/>
      <c r="BR739" s="511"/>
      <c r="BS739" s="511"/>
      <c r="BT739" s="511"/>
      <c r="BU739" s="511"/>
      <c r="BV739" s="511"/>
      <c r="BW739" s="511"/>
      <c r="BX739" s="511"/>
      <c r="BY739" s="511"/>
      <c r="BZ739" s="511"/>
      <c r="CA739" s="511"/>
      <c r="CB739" s="511"/>
      <c r="CC739" s="511"/>
      <c r="CD739" s="511"/>
      <c r="CE739" s="511"/>
      <c r="CF739" s="511"/>
      <c r="CG739" s="511"/>
      <c r="CH739" s="511"/>
      <c r="CI739" s="511"/>
      <c r="CJ739" s="511"/>
      <c r="CK739" s="511"/>
      <c r="CL739" s="511"/>
      <c r="CM739" s="511"/>
      <c r="CN739" s="511"/>
      <c r="CO739" s="511"/>
      <c r="CP739" s="511"/>
      <c r="CQ739" s="511"/>
      <c r="CR739" s="511"/>
      <c r="CS739" s="511"/>
      <c r="CT739" s="511"/>
      <c r="CU739" s="511"/>
      <c r="CV739" s="511"/>
      <c r="CW739" s="511"/>
      <c r="CX739" s="511"/>
      <c r="CY739" s="511"/>
      <c r="CZ739" s="511"/>
      <c r="DA739" s="511"/>
      <c r="DB739" s="511"/>
      <c r="DC739" s="511"/>
      <c r="DD739" s="511"/>
      <c r="DE739" s="511"/>
      <c r="DF739" s="511"/>
      <c r="DG739" s="511"/>
      <c r="DH739" s="511"/>
      <c r="DI739" s="511"/>
      <c r="DJ739" s="511"/>
      <c r="DK739" s="511"/>
      <c r="DL739" s="511"/>
      <c r="DM739" s="511"/>
      <c r="DN739" s="511"/>
      <c r="DO739" s="511"/>
      <c r="DP739" s="511"/>
    </row>
    <row r="740" spans="1:120" x14ac:dyDescent="0.2">
      <c r="A740" s="517">
        <f t="shared" si="102"/>
        <v>41671</v>
      </c>
      <c r="B740" s="517" t="str">
        <f t="shared" si="96"/>
        <v>1Q14</v>
      </c>
      <c r="C740" s="517" t="str">
        <f t="shared" si="103"/>
        <v>2Q14</v>
      </c>
      <c r="D740" s="518">
        <f t="shared" si="104"/>
        <v>41733</v>
      </c>
      <c r="E740" s="518">
        <f t="shared" si="105"/>
        <v>41673</v>
      </c>
      <c r="F740" s="520">
        <v>3.9510000000000001</v>
      </c>
      <c r="G740" s="521">
        <f t="shared" si="97"/>
        <v>0.57000000000000028</v>
      </c>
      <c r="H740" s="521">
        <f t="shared" si="106"/>
        <v>0.57000000000000028</v>
      </c>
      <c r="I740" s="511"/>
      <c r="J740" s="511"/>
      <c r="K740" s="511"/>
      <c r="L740" s="511"/>
      <c r="M740" s="511"/>
      <c r="N740" s="511"/>
      <c r="O740" s="511"/>
      <c r="P740" s="511"/>
      <c r="Q740" s="511"/>
      <c r="R740" s="511"/>
      <c r="S740" s="511"/>
      <c r="T740" s="511"/>
      <c r="U740" s="511"/>
      <c r="V740" s="511"/>
      <c r="W740" s="511"/>
      <c r="X740" s="511"/>
      <c r="Y740" s="511"/>
      <c r="Z740" s="511"/>
      <c r="AA740" s="511"/>
      <c r="AB740" s="511"/>
      <c r="AC740" s="511"/>
      <c r="AD740" s="511"/>
      <c r="AE740" s="511"/>
      <c r="AF740" s="511"/>
      <c r="AG740" s="511"/>
      <c r="AH740" s="511"/>
      <c r="AI740" s="511"/>
      <c r="AJ740" s="511"/>
      <c r="AK740" s="511"/>
      <c r="AL740" s="511"/>
      <c r="AM740" s="511"/>
      <c r="AN740" s="511"/>
      <c r="AO740" s="511"/>
      <c r="AP740" s="511"/>
      <c r="AQ740" s="511"/>
      <c r="AR740" s="511"/>
      <c r="AS740" s="511"/>
      <c r="AT740" s="511"/>
      <c r="AU740" s="511"/>
      <c r="AV740" s="511"/>
      <c r="AW740" s="511"/>
      <c r="AX740" s="511"/>
      <c r="AY740" s="511"/>
      <c r="AZ740" s="511"/>
      <c r="BA740" s="511"/>
      <c r="BB740" s="511"/>
      <c r="BC740" s="511"/>
      <c r="BD740" s="511"/>
      <c r="BE740" s="511"/>
      <c r="BF740" s="511"/>
      <c r="BG740" s="511"/>
      <c r="BH740" s="511"/>
      <c r="BI740" s="511"/>
      <c r="BJ740" s="511"/>
      <c r="BK740" s="511"/>
      <c r="BL740" s="511"/>
      <c r="BM740" s="511"/>
      <c r="BN740" s="511"/>
      <c r="BO740" s="511"/>
      <c r="BP740" s="511"/>
      <c r="BQ740" s="511"/>
      <c r="BR740" s="511"/>
      <c r="BS740" s="511"/>
      <c r="BT740" s="511"/>
      <c r="BU740" s="511"/>
      <c r="BV740" s="511"/>
      <c r="BW740" s="511"/>
      <c r="BX740" s="511"/>
      <c r="BY740" s="511"/>
      <c r="BZ740" s="511"/>
      <c r="CA740" s="511"/>
      <c r="CB740" s="511"/>
      <c r="CC740" s="511"/>
      <c r="CD740" s="511"/>
      <c r="CE740" s="511"/>
      <c r="CF740" s="511"/>
      <c r="CG740" s="511"/>
      <c r="CH740" s="511"/>
      <c r="CI740" s="511"/>
      <c r="CJ740" s="511"/>
      <c r="CK740" s="511"/>
      <c r="CL740" s="511"/>
      <c r="CM740" s="511"/>
      <c r="CN740" s="511"/>
      <c r="CO740" s="511"/>
      <c r="CP740" s="511"/>
      <c r="CQ740" s="511"/>
      <c r="CR740" s="511"/>
      <c r="CS740" s="511"/>
      <c r="CT740" s="511"/>
      <c r="CU740" s="511"/>
      <c r="CV740" s="511"/>
      <c r="CW740" s="511"/>
      <c r="CX740" s="511"/>
      <c r="CY740" s="511"/>
      <c r="CZ740" s="511"/>
      <c r="DA740" s="511"/>
      <c r="DB740" s="511"/>
      <c r="DC740" s="511"/>
      <c r="DD740" s="511"/>
      <c r="DE740" s="511"/>
      <c r="DF740" s="511"/>
      <c r="DG740" s="511"/>
      <c r="DH740" s="511"/>
      <c r="DI740" s="511"/>
      <c r="DJ740" s="511"/>
      <c r="DK740" s="511"/>
      <c r="DL740" s="511"/>
      <c r="DM740" s="511"/>
      <c r="DN740" s="511"/>
      <c r="DO740" s="511"/>
      <c r="DP740" s="511"/>
    </row>
    <row r="741" spans="1:120" x14ac:dyDescent="0.2">
      <c r="A741" s="517">
        <f t="shared" si="102"/>
        <v>41671</v>
      </c>
      <c r="B741" s="517" t="str">
        <f t="shared" si="96"/>
        <v>1Q14</v>
      </c>
      <c r="C741" s="517" t="str">
        <f t="shared" si="103"/>
        <v>2Q14</v>
      </c>
      <c r="D741" s="518">
        <f t="shared" si="104"/>
        <v>41740</v>
      </c>
      <c r="E741" s="518">
        <f t="shared" si="105"/>
        <v>41680</v>
      </c>
      <c r="F741" s="520">
        <v>3.9769999999999999</v>
      </c>
      <c r="G741" s="521">
        <f t="shared" si="97"/>
        <v>0.57000000000000028</v>
      </c>
      <c r="H741" s="521">
        <f t="shared" si="106"/>
        <v>0.57000000000000028</v>
      </c>
      <c r="I741" s="511"/>
      <c r="J741" s="511"/>
      <c r="K741" s="511"/>
      <c r="L741" s="511"/>
      <c r="M741" s="511"/>
      <c r="N741" s="511"/>
      <c r="O741" s="511"/>
      <c r="P741" s="511"/>
      <c r="Q741" s="511"/>
      <c r="R741" s="511"/>
      <c r="S741" s="511"/>
      <c r="T741" s="511"/>
      <c r="U741" s="511"/>
      <c r="V741" s="511"/>
      <c r="W741" s="511"/>
      <c r="X741" s="511"/>
      <c r="Y741" s="511"/>
      <c r="Z741" s="511"/>
      <c r="AA741" s="511"/>
      <c r="AB741" s="511"/>
      <c r="AC741" s="511"/>
      <c r="AD741" s="511"/>
      <c r="AE741" s="511"/>
      <c r="AF741" s="511"/>
      <c r="AG741" s="511"/>
      <c r="AH741" s="511"/>
      <c r="AI741" s="511"/>
      <c r="AJ741" s="511"/>
      <c r="AK741" s="511"/>
      <c r="AL741" s="511"/>
      <c r="AM741" s="511"/>
      <c r="AN741" s="511"/>
      <c r="AO741" s="511"/>
      <c r="AP741" s="511"/>
      <c r="AQ741" s="511"/>
      <c r="AR741" s="511"/>
      <c r="AS741" s="511"/>
      <c r="AT741" s="511"/>
      <c r="AU741" s="511"/>
      <c r="AV741" s="511"/>
      <c r="AW741" s="511"/>
      <c r="AX741" s="511"/>
      <c r="AY741" s="511"/>
      <c r="AZ741" s="511"/>
      <c r="BA741" s="511"/>
      <c r="BB741" s="511"/>
      <c r="BC741" s="511"/>
      <c r="BD741" s="511"/>
      <c r="BE741" s="511"/>
      <c r="BF741" s="511"/>
      <c r="BG741" s="511"/>
      <c r="BH741" s="511"/>
      <c r="BI741" s="511"/>
      <c r="BJ741" s="511"/>
      <c r="BK741" s="511"/>
      <c r="BL741" s="511"/>
      <c r="BM741" s="511"/>
      <c r="BN741" s="511"/>
      <c r="BO741" s="511"/>
      <c r="BP741" s="511"/>
      <c r="BQ741" s="511"/>
      <c r="BR741" s="511"/>
      <c r="BS741" s="511"/>
      <c r="BT741" s="511"/>
      <c r="BU741" s="511"/>
      <c r="BV741" s="511"/>
      <c r="BW741" s="511"/>
      <c r="BX741" s="511"/>
      <c r="BY741" s="511"/>
      <c r="BZ741" s="511"/>
      <c r="CA741" s="511"/>
      <c r="CB741" s="511"/>
      <c r="CC741" s="511"/>
      <c r="CD741" s="511"/>
      <c r="CE741" s="511"/>
      <c r="CF741" s="511"/>
      <c r="CG741" s="511"/>
      <c r="CH741" s="511"/>
      <c r="CI741" s="511"/>
      <c r="CJ741" s="511"/>
      <c r="CK741" s="511"/>
      <c r="CL741" s="511"/>
      <c r="CM741" s="511"/>
      <c r="CN741" s="511"/>
      <c r="CO741" s="511"/>
      <c r="CP741" s="511"/>
      <c r="CQ741" s="511"/>
      <c r="CR741" s="511"/>
      <c r="CS741" s="511"/>
      <c r="CT741" s="511"/>
      <c r="CU741" s="511"/>
      <c r="CV741" s="511"/>
      <c r="CW741" s="511"/>
      <c r="CX741" s="511"/>
      <c r="CY741" s="511"/>
      <c r="CZ741" s="511"/>
      <c r="DA741" s="511"/>
      <c r="DB741" s="511"/>
      <c r="DC741" s="511"/>
      <c r="DD741" s="511"/>
      <c r="DE741" s="511"/>
      <c r="DF741" s="511"/>
      <c r="DG741" s="511"/>
      <c r="DH741" s="511"/>
      <c r="DI741" s="511"/>
      <c r="DJ741" s="511"/>
      <c r="DK741" s="511"/>
      <c r="DL741" s="511"/>
      <c r="DM741" s="511"/>
      <c r="DN741" s="511"/>
      <c r="DO741" s="511"/>
      <c r="DP741" s="511"/>
    </row>
    <row r="742" spans="1:120" x14ac:dyDescent="0.2">
      <c r="A742" s="517">
        <f t="shared" si="102"/>
        <v>41671</v>
      </c>
      <c r="B742" s="517" t="str">
        <f t="shared" si="96"/>
        <v>1Q14</v>
      </c>
      <c r="C742" s="517" t="str">
        <f t="shared" si="103"/>
        <v>2Q14</v>
      </c>
      <c r="D742" s="518">
        <f t="shared" si="104"/>
        <v>41747</v>
      </c>
      <c r="E742" s="518">
        <f t="shared" si="105"/>
        <v>41687</v>
      </c>
      <c r="F742" s="520">
        <v>3.9889999999999999</v>
      </c>
      <c r="G742" s="521">
        <f t="shared" si="97"/>
        <v>0.57000000000000028</v>
      </c>
      <c r="H742" s="521">
        <f t="shared" si="106"/>
        <v>0.58000000000000029</v>
      </c>
      <c r="I742" s="511"/>
      <c r="J742" s="511"/>
      <c r="K742" s="511"/>
      <c r="L742" s="511"/>
      <c r="M742" s="511"/>
      <c r="N742" s="511"/>
      <c r="O742" s="511"/>
      <c r="P742" s="511"/>
      <c r="Q742" s="511"/>
      <c r="R742" s="511"/>
      <c r="S742" s="511"/>
      <c r="T742" s="511"/>
      <c r="U742" s="511"/>
      <c r="V742" s="511"/>
      <c r="W742" s="511"/>
      <c r="X742" s="511"/>
      <c r="Y742" s="511"/>
      <c r="Z742" s="511"/>
      <c r="AA742" s="511"/>
      <c r="AB742" s="511"/>
      <c r="AC742" s="511"/>
      <c r="AD742" s="511"/>
      <c r="AE742" s="511"/>
      <c r="AF742" s="511"/>
      <c r="AG742" s="511"/>
      <c r="AH742" s="511"/>
      <c r="AI742" s="511"/>
      <c r="AJ742" s="511"/>
      <c r="AK742" s="511"/>
      <c r="AL742" s="511"/>
      <c r="AM742" s="511"/>
      <c r="AN742" s="511"/>
      <c r="AO742" s="511"/>
      <c r="AP742" s="511"/>
      <c r="AQ742" s="511"/>
      <c r="AR742" s="511"/>
      <c r="AS742" s="511"/>
      <c r="AT742" s="511"/>
      <c r="AU742" s="511"/>
      <c r="AV742" s="511"/>
      <c r="AW742" s="511"/>
      <c r="AX742" s="511"/>
      <c r="AY742" s="511"/>
      <c r="AZ742" s="511"/>
      <c r="BA742" s="511"/>
      <c r="BB742" s="511"/>
      <c r="BC742" s="511"/>
      <c r="BD742" s="511"/>
      <c r="BE742" s="511"/>
      <c r="BF742" s="511"/>
      <c r="BG742" s="511"/>
      <c r="BH742" s="511"/>
      <c r="BI742" s="511"/>
      <c r="BJ742" s="511"/>
      <c r="BK742" s="511"/>
      <c r="BL742" s="511"/>
      <c r="BM742" s="511"/>
      <c r="BN742" s="511"/>
      <c r="BO742" s="511"/>
      <c r="BP742" s="511"/>
      <c r="BQ742" s="511"/>
      <c r="BR742" s="511"/>
      <c r="BS742" s="511"/>
      <c r="BT742" s="511"/>
      <c r="BU742" s="511"/>
      <c r="BV742" s="511"/>
      <c r="BW742" s="511"/>
      <c r="BX742" s="511"/>
      <c r="BY742" s="511"/>
      <c r="BZ742" s="511"/>
      <c r="CA742" s="511"/>
      <c r="CB742" s="511"/>
      <c r="CC742" s="511"/>
      <c r="CD742" s="511"/>
      <c r="CE742" s="511"/>
      <c r="CF742" s="511"/>
      <c r="CG742" s="511"/>
      <c r="CH742" s="511"/>
      <c r="CI742" s="511"/>
      <c r="CJ742" s="511"/>
      <c r="CK742" s="511"/>
      <c r="CL742" s="511"/>
      <c r="CM742" s="511"/>
      <c r="CN742" s="511"/>
      <c r="CO742" s="511"/>
      <c r="CP742" s="511"/>
      <c r="CQ742" s="511"/>
      <c r="CR742" s="511"/>
      <c r="CS742" s="511"/>
      <c r="CT742" s="511"/>
      <c r="CU742" s="511"/>
      <c r="CV742" s="511"/>
      <c r="CW742" s="511"/>
      <c r="CX742" s="511"/>
      <c r="CY742" s="511"/>
      <c r="CZ742" s="511"/>
      <c r="DA742" s="511"/>
      <c r="DB742" s="511"/>
      <c r="DC742" s="511"/>
      <c r="DD742" s="511"/>
      <c r="DE742" s="511"/>
      <c r="DF742" s="511"/>
      <c r="DG742" s="511"/>
      <c r="DH742" s="511"/>
      <c r="DI742" s="511"/>
      <c r="DJ742" s="511"/>
      <c r="DK742" s="511"/>
      <c r="DL742" s="511"/>
      <c r="DM742" s="511"/>
      <c r="DN742" s="511"/>
      <c r="DO742" s="511"/>
      <c r="DP742" s="511"/>
    </row>
    <row r="743" spans="1:120" x14ac:dyDescent="0.2">
      <c r="A743" s="517">
        <f t="shared" si="102"/>
        <v>41671</v>
      </c>
      <c r="B743" s="517" t="str">
        <f t="shared" si="96"/>
        <v>1Q14</v>
      </c>
      <c r="C743" s="517" t="str">
        <f t="shared" si="103"/>
        <v>2Q14</v>
      </c>
      <c r="D743" s="518">
        <f t="shared" si="104"/>
        <v>41754</v>
      </c>
      <c r="E743" s="518">
        <f t="shared" si="105"/>
        <v>41694</v>
      </c>
      <c r="F743" s="520">
        <v>4.0170000000000003</v>
      </c>
      <c r="G743" s="521">
        <f t="shared" si="97"/>
        <v>0.58000000000000029</v>
      </c>
      <c r="H743" s="521">
        <f t="shared" si="106"/>
        <v>0.58000000000000029</v>
      </c>
      <c r="I743" s="511"/>
      <c r="J743" s="511"/>
      <c r="K743" s="511"/>
      <c r="L743" s="511"/>
      <c r="M743" s="511"/>
      <c r="N743" s="511"/>
      <c r="O743" s="511"/>
      <c r="P743" s="511"/>
      <c r="Q743" s="511"/>
      <c r="R743" s="511"/>
      <c r="S743" s="511"/>
      <c r="T743" s="511"/>
      <c r="U743" s="511"/>
      <c r="V743" s="511"/>
      <c r="W743" s="511"/>
      <c r="X743" s="511"/>
      <c r="Y743" s="511"/>
      <c r="Z743" s="511"/>
      <c r="AA743" s="511"/>
      <c r="AB743" s="511"/>
      <c r="AC743" s="511"/>
      <c r="AD743" s="511"/>
      <c r="AE743" s="511"/>
      <c r="AF743" s="511"/>
      <c r="AG743" s="511"/>
      <c r="AH743" s="511"/>
      <c r="AI743" s="511"/>
      <c r="AJ743" s="511"/>
      <c r="AK743" s="511"/>
      <c r="AL743" s="511"/>
      <c r="AM743" s="511"/>
      <c r="AN743" s="511"/>
      <c r="AO743" s="511"/>
      <c r="AP743" s="511"/>
      <c r="AQ743" s="511"/>
      <c r="AR743" s="511"/>
      <c r="AS743" s="511"/>
      <c r="AT743" s="511"/>
      <c r="AU743" s="511"/>
      <c r="AV743" s="511"/>
      <c r="AW743" s="511"/>
      <c r="AX743" s="511"/>
      <c r="AY743" s="511"/>
      <c r="AZ743" s="511"/>
      <c r="BA743" s="511"/>
      <c r="BB743" s="511"/>
      <c r="BC743" s="511"/>
      <c r="BD743" s="511"/>
      <c r="BE743" s="511"/>
      <c r="BF743" s="511"/>
      <c r="BG743" s="511"/>
      <c r="BH743" s="511"/>
      <c r="BI743" s="511"/>
      <c r="BJ743" s="511"/>
      <c r="BK743" s="511"/>
      <c r="BL743" s="511"/>
      <c r="BM743" s="511"/>
      <c r="BN743" s="511"/>
      <c r="BO743" s="511"/>
      <c r="BP743" s="511"/>
      <c r="BQ743" s="511"/>
      <c r="BR743" s="511"/>
      <c r="BS743" s="511"/>
      <c r="BT743" s="511"/>
      <c r="BU743" s="511"/>
      <c r="BV743" s="511"/>
      <c r="BW743" s="511"/>
      <c r="BX743" s="511"/>
      <c r="BY743" s="511"/>
      <c r="BZ743" s="511"/>
      <c r="CA743" s="511"/>
      <c r="CB743" s="511"/>
      <c r="CC743" s="511"/>
      <c r="CD743" s="511"/>
      <c r="CE743" s="511"/>
      <c r="CF743" s="511"/>
      <c r="CG743" s="511"/>
      <c r="CH743" s="511"/>
      <c r="CI743" s="511"/>
      <c r="CJ743" s="511"/>
      <c r="CK743" s="511"/>
      <c r="CL743" s="511"/>
      <c r="CM743" s="511"/>
      <c r="CN743" s="511"/>
      <c r="CO743" s="511"/>
      <c r="CP743" s="511"/>
      <c r="CQ743" s="511"/>
      <c r="CR743" s="511"/>
      <c r="CS743" s="511"/>
      <c r="CT743" s="511"/>
      <c r="CU743" s="511"/>
      <c r="CV743" s="511"/>
      <c r="CW743" s="511"/>
      <c r="CX743" s="511"/>
      <c r="CY743" s="511"/>
      <c r="CZ743" s="511"/>
      <c r="DA743" s="511"/>
      <c r="DB743" s="511"/>
      <c r="DC743" s="511"/>
      <c r="DD743" s="511"/>
      <c r="DE743" s="511"/>
      <c r="DF743" s="511"/>
      <c r="DG743" s="511"/>
      <c r="DH743" s="511"/>
      <c r="DI743" s="511"/>
      <c r="DJ743" s="511"/>
      <c r="DK743" s="511"/>
      <c r="DL743" s="511"/>
      <c r="DM743" s="511"/>
      <c r="DN743" s="511"/>
      <c r="DO743" s="511"/>
      <c r="DP743" s="511"/>
    </row>
    <row r="744" spans="1:120" x14ac:dyDescent="0.2">
      <c r="A744" s="517">
        <f t="shared" si="102"/>
        <v>41699</v>
      </c>
      <c r="B744" s="517" t="str">
        <f t="shared" si="96"/>
        <v>1Q14</v>
      </c>
      <c r="C744" s="517" t="str">
        <f t="shared" si="103"/>
        <v>2Q14</v>
      </c>
      <c r="D744" s="518">
        <f t="shared" si="104"/>
        <v>41761</v>
      </c>
      <c r="E744" s="518">
        <f t="shared" si="105"/>
        <v>41701</v>
      </c>
      <c r="F744" s="520">
        <v>4.016</v>
      </c>
      <c r="G744" s="521">
        <f t="shared" si="97"/>
        <v>0.58000000000000029</v>
      </c>
      <c r="H744" s="521">
        <f t="shared" si="106"/>
        <v>0.58000000000000029</v>
      </c>
      <c r="I744" s="511"/>
      <c r="J744" s="511"/>
      <c r="K744" s="511"/>
      <c r="L744" s="511"/>
      <c r="M744" s="511"/>
      <c r="N744" s="511"/>
      <c r="O744" s="511"/>
      <c r="P744" s="511"/>
      <c r="Q744" s="511"/>
      <c r="R744" s="511"/>
      <c r="S744" s="511"/>
      <c r="T744" s="511"/>
      <c r="U744" s="511"/>
      <c r="V744" s="511"/>
      <c r="W744" s="511"/>
      <c r="X744" s="511"/>
      <c r="Y744" s="511"/>
      <c r="Z744" s="511"/>
      <c r="AA744" s="511"/>
      <c r="AB744" s="511"/>
      <c r="AC744" s="511"/>
      <c r="AD744" s="511"/>
      <c r="AE744" s="511"/>
      <c r="AF744" s="511"/>
      <c r="AG744" s="511"/>
      <c r="AH744" s="511"/>
      <c r="AI744" s="511"/>
      <c r="AJ744" s="511"/>
      <c r="AK744" s="511"/>
      <c r="AL744" s="511"/>
      <c r="AM744" s="511"/>
      <c r="AN744" s="511"/>
      <c r="AO744" s="511"/>
      <c r="AP744" s="511"/>
      <c r="AQ744" s="511"/>
      <c r="AR744" s="511"/>
      <c r="AS744" s="511"/>
      <c r="AT744" s="511"/>
      <c r="AU744" s="511"/>
      <c r="AV744" s="511"/>
      <c r="AW744" s="511"/>
      <c r="AX744" s="511"/>
      <c r="AY744" s="511"/>
      <c r="AZ744" s="511"/>
      <c r="BA744" s="511"/>
      <c r="BB744" s="511"/>
      <c r="BC744" s="511"/>
      <c r="BD744" s="511"/>
      <c r="BE744" s="511"/>
      <c r="BF744" s="511"/>
      <c r="BG744" s="511"/>
      <c r="BH744" s="511"/>
      <c r="BI744" s="511"/>
      <c r="BJ744" s="511"/>
      <c r="BK744" s="511"/>
      <c r="BL744" s="511"/>
      <c r="BM744" s="511"/>
      <c r="BN744" s="511"/>
      <c r="BO744" s="511"/>
      <c r="BP744" s="511"/>
      <c r="BQ744" s="511"/>
      <c r="BR744" s="511"/>
      <c r="BS744" s="511"/>
      <c r="BT744" s="511"/>
      <c r="BU744" s="511"/>
      <c r="BV744" s="511"/>
      <c r="BW744" s="511"/>
      <c r="BX744" s="511"/>
      <c r="BY744" s="511"/>
      <c r="BZ744" s="511"/>
      <c r="CA744" s="511"/>
      <c r="CB744" s="511"/>
      <c r="CC744" s="511"/>
      <c r="CD744" s="511"/>
      <c r="CE744" s="511"/>
      <c r="CF744" s="511"/>
      <c r="CG744" s="511"/>
      <c r="CH744" s="511"/>
      <c r="CI744" s="511"/>
      <c r="CJ744" s="511"/>
      <c r="CK744" s="511"/>
      <c r="CL744" s="511"/>
      <c r="CM744" s="511"/>
      <c r="CN744" s="511"/>
      <c r="CO744" s="511"/>
      <c r="CP744" s="511"/>
      <c r="CQ744" s="511"/>
      <c r="CR744" s="511"/>
      <c r="CS744" s="511"/>
      <c r="CT744" s="511"/>
      <c r="CU744" s="511"/>
      <c r="CV744" s="511"/>
      <c r="CW744" s="511"/>
      <c r="CX744" s="511"/>
      <c r="CY744" s="511"/>
      <c r="CZ744" s="511"/>
      <c r="DA744" s="511"/>
      <c r="DB744" s="511"/>
      <c r="DC744" s="511"/>
      <c r="DD744" s="511"/>
      <c r="DE744" s="511"/>
      <c r="DF744" s="511"/>
      <c r="DG744" s="511"/>
      <c r="DH744" s="511"/>
      <c r="DI744" s="511"/>
      <c r="DJ744" s="511"/>
      <c r="DK744" s="511"/>
      <c r="DL744" s="511"/>
      <c r="DM744" s="511"/>
      <c r="DN744" s="511"/>
      <c r="DO744" s="511"/>
      <c r="DP744" s="511"/>
    </row>
    <row r="745" spans="1:120" x14ac:dyDescent="0.2">
      <c r="A745" s="517">
        <f t="shared" si="102"/>
        <v>41699</v>
      </c>
      <c r="B745" s="517" t="str">
        <f t="shared" si="96"/>
        <v>1Q14</v>
      </c>
      <c r="C745" s="517" t="str">
        <f t="shared" si="103"/>
        <v>2Q14</v>
      </c>
      <c r="D745" s="518">
        <f t="shared" si="104"/>
        <v>41768</v>
      </c>
      <c r="E745" s="518">
        <f t="shared" si="105"/>
        <v>41708</v>
      </c>
      <c r="F745" s="520">
        <v>4.0209999999999999</v>
      </c>
      <c r="G745" s="521">
        <f t="shared" si="97"/>
        <v>0.58000000000000029</v>
      </c>
      <c r="H745" s="521">
        <f t="shared" si="106"/>
        <v>0.58000000000000029</v>
      </c>
      <c r="I745" s="511"/>
      <c r="J745" s="511"/>
      <c r="K745" s="511"/>
      <c r="L745" s="511"/>
      <c r="M745" s="511"/>
      <c r="N745" s="511"/>
      <c r="O745" s="511"/>
      <c r="P745" s="511"/>
      <c r="Q745" s="511"/>
      <c r="R745" s="511"/>
      <c r="S745" s="511"/>
      <c r="T745" s="511"/>
      <c r="U745" s="511"/>
      <c r="V745" s="511"/>
      <c r="W745" s="511"/>
      <c r="X745" s="511"/>
      <c r="Y745" s="511"/>
      <c r="Z745" s="511"/>
      <c r="AA745" s="511"/>
      <c r="AB745" s="511"/>
      <c r="AC745" s="511"/>
      <c r="AD745" s="511"/>
      <c r="AE745" s="511"/>
      <c r="AF745" s="511"/>
      <c r="AG745" s="511"/>
      <c r="AH745" s="511"/>
      <c r="AI745" s="511"/>
      <c r="AJ745" s="511"/>
      <c r="AK745" s="511"/>
      <c r="AL745" s="511"/>
      <c r="AM745" s="511"/>
      <c r="AN745" s="511"/>
      <c r="AO745" s="511"/>
      <c r="AP745" s="511"/>
      <c r="AQ745" s="511"/>
      <c r="AR745" s="511"/>
      <c r="AS745" s="511"/>
      <c r="AT745" s="511"/>
      <c r="AU745" s="511"/>
      <c r="AV745" s="511"/>
      <c r="AW745" s="511"/>
      <c r="AX745" s="511"/>
      <c r="AY745" s="511"/>
      <c r="AZ745" s="511"/>
      <c r="BA745" s="511"/>
      <c r="BB745" s="511"/>
      <c r="BC745" s="511"/>
      <c r="BD745" s="511"/>
      <c r="BE745" s="511"/>
      <c r="BF745" s="511"/>
      <c r="BG745" s="511"/>
      <c r="BH745" s="511"/>
      <c r="BI745" s="511"/>
      <c r="BJ745" s="511"/>
      <c r="BK745" s="511"/>
      <c r="BL745" s="511"/>
      <c r="BM745" s="511"/>
      <c r="BN745" s="511"/>
      <c r="BO745" s="511"/>
      <c r="BP745" s="511"/>
      <c r="BQ745" s="511"/>
      <c r="BR745" s="511"/>
      <c r="BS745" s="511"/>
      <c r="BT745" s="511"/>
      <c r="BU745" s="511"/>
      <c r="BV745" s="511"/>
      <c r="BW745" s="511"/>
      <c r="BX745" s="511"/>
      <c r="BY745" s="511"/>
      <c r="BZ745" s="511"/>
      <c r="CA745" s="511"/>
      <c r="CB745" s="511"/>
      <c r="CC745" s="511"/>
      <c r="CD745" s="511"/>
      <c r="CE745" s="511"/>
      <c r="CF745" s="511"/>
      <c r="CG745" s="511"/>
      <c r="CH745" s="511"/>
      <c r="CI745" s="511"/>
      <c r="CJ745" s="511"/>
      <c r="CK745" s="511"/>
      <c r="CL745" s="511"/>
      <c r="CM745" s="511"/>
      <c r="CN745" s="511"/>
      <c r="CO745" s="511"/>
      <c r="CP745" s="511"/>
      <c r="CQ745" s="511"/>
      <c r="CR745" s="511"/>
      <c r="CS745" s="511"/>
      <c r="CT745" s="511"/>
      <c r="CU745" s="511"/>
      <c r="CV745" s="511"/>
      <c r="CW745" s="511"/>
      <c r="CX745" s="511"/>
      <c r="CY745" s="511"/>
      <c r="CZ745" s="511"/>
      <c r="DA745" s="511"/>
      <c r="DB745" s="511"/>
      <c r="DC745" s="511"/>
      <c r="DD745" s="511"/>
      <c r="DE745" s="511"/>
      <c r="DF745" s="511"/>
      <c r="DG745" s="511"/>
      <c r="DH745" s="511"/>
      <c r="DI745" s="511"/>
      <c r="DJ745" s="511"/>
      <c r="DK745" s="511"/>
      <c r="DL745" s="511"/>
      <c r="DM745" s="511"/>
      <c r="DN745" s="511"/>
      <c r="DO745" s="511"/>
      <c r="DP745" s="511"/>
    </row>
    <row r="746" spans="1:120" x14ac:dyDescent="0.2">
      <c r="A746" s="517">
        <f t="shared" si="102"/>
        <v>41699</v>
      </c>
      <c r="B746" s="517" t="str">
        <f t="shared" si="96"/>
        <v>1Q14</v>
      </c>
      <c r="C746" s="517" t="str">
        <f t="shared" si="103"/>
        <v>2Q14</v>
      </c>
      <c r="D746" s="518">
        <f t="shared" si="104"/>
        <v>41775</v>
      </c>
      <c r="E746" s="518">
        <f t="shared" si="105"/>
        <v>41715</v>
      </c>
      <c r="F746" s="520">
        <v>4.0030000000000001</v>
      </c>
      <c r="G746" s="521">
        <f t="shared" si="97"/>
        <v>0.58000000000000029</v>
      </c>
      <c r="H746" s="521">
        <f t="shared" si="106"/>
        <v>0.57000000000000028</v>
      </c>
      <c r="I746" s="511"/>
      <c r="J746" s="511"/>
      <c r="K746" s="511"/>
      <c r="L746" s="511"/>
      <c r="M746" s="511"/>
      <c r="N746" s="511"/>
      <c r="O746" s="511"/>
      <c r="P746" s="511"/>
      <c r="Q746" s="511"/>
      <c r="R746" s="511"/>
      <c r="S746" s="511"/>
      <c r="T746" s="511"/>
      <c r="U746" s="511"/>
      <c r="V746" s="511"/>
      <c r="W746" s="511"/>
      <c r="X746" s="511"/>
      <c r="Y746" s="511"/>
      <c r="Z746" s="511"/>
      <c r="AA746" s="511"/>
      <c r="AB746" s="511"/>
      <c r="AC746" s="511"/>
      <c r="AD746" s="511"/>
      <c r="AE746" s="511"/>
      <c r="AF746" s="511"/>
      <c r="AG746" s="511"/>
      <c r="AH746" s="511"/>
      <c r="AI746" s="511"/>
      <c r="AJ746" s="511"/>
      <c r="AK746" s="511"/>
      <c r="AL746" s="511"/>
      <c r="AM746" s="511"/>
      <c r="AN746" s="511"/>
      <c r="AO746" s="511"/>
      <c r="AP746" s="511"/>
      <c r="AQ746" s="511"/>
      <c r="AR746" s="511"/>
      <c r="AS746" s="511"/>
      <c r="AT746" s="511"/>
      <c r="AU746" s="511"/>
      <c r="AV746" s="511"/>
      <c r="AW746" s="511"/>
      <c r="AX746" s="511"/>
      <c r="AY746" s="511"/>
      <c r="AZ746" s="511"/>
      <c r="BA746" s="511"/>
      <c r="BB746" s="511"/>
      <c r="BC746" s="511"/>
      <c r="BD746" s="511"/>
      <c r="BE746" s="511"/>
      <c r="BF746" s="511"/>
      <c r="BG746" s="511"/>
      <c r="BH746" s="511"/>
      <c r="BI746" s="511"/>
      <c r="BJ746" s="511"/>
      <c r="BK746" s="511"/>
      <c r="BL746" s="511"/>
      <c r="BM746" s="511"/>
      <c r="BN746" s="511"/>
      <c r="BO746" s="511"/>
      <c r="BP746" s="511"/>
      <c r="BQ746" s="511"/>
      <c r="BR746" s="511"/>
      <c r="BS746" s="511"/>
      <c r="BT746" s="511"/>
      <c r="BU746" s="511"/>
      <c r="BV746" s="511"/>
      <c r="BW746" s="511"/>
      <c r="BX746" s="511"/>
      <c r="BY746" s="511"/>
      <c r="BZ746" s="511"/>
      <c r="CA746" s="511"/>
      <c r="CB746" s="511"/>
      <c r="CC746" s="511"/>
      <c r="CD746" s="511"/>
      <c r="CE746" s="511"/>
      <c r="CF746" s="511"/>
      <c r="CG746" s="511"/>
      <c r="CH746" s="511"/>
      <c r="CI746" s="511"/>
      <c r="CJ746" s="511"/>
      <c r="CK746" s="511"/>
      <c r="CL746" s="511"/>
      <c r="CM746" s="511"/>
      <c r="CN746" s="511"/>
      <c r="CO746" s="511"/>
      <c r="CP746" s="511"/>
      <c r="CQ746" s="511"/>
      <c r="CR746" s="511"/>
      <c r="CS746" s="511"/>
      <c r="CT746" s="511"/>
      <c r="CU746" s="511"/>
      <c r="CV746" s="511"/>
      <c r="CW746" s="511"/>
      <c r="CX746" s="511"/>
      <c r="CY746" s="511"/>
      <c r="CZ746" s="511"/>
      <c r="DA746" s="511"/>
      <c r="DB746" s="511"/>
      <c r="DC746" s="511"/>
      <c r="DD746" s="511"/>
      <c r="DE746" s="511"/>
      <c r="DF746" s="511"/>
      <c r="DG746" s="511"/>
      <c r="DH746" s="511"/>
      <c r="DI746" s="511"/>
      <c r="DJ746" s="511"/>
      <c r="DK746" s="511"/>
      <c r="DL746" s="511"/>
      <c r="DM746" s="511"/>
      <c r="DN746" s="511"/>
      <c r="DO746" s="511"/>
      <c r="DP746" s="511"/>
    </row>
    <row r="747" spans="1:120" x14ac:dyDescent="0.2">
      <c r="A747" s="517">
        <f t="shared" si="102"/>
        <v>41699</v>
      </c>
      <c r="B747" s="517" t="str">
        <f t="shared" si="96"/>
        <v>1Q14</v>
      </c>
      <c r="C747" s="517" t="str">
        <f t="shared" si="103"/>
        <v>2Q14</v>
      </c>
      <c r="D747" s="518">
        <f t="shared" si="104"/>
        <v>41782</v>
      </c>
      <c r="E747" s="518">
        <f t="shared" si="105"/>
        <v>41722</v>
      </c>
      <c r="F747" s="520">
        <v>3.988</v>
      </c>
      <c r="G747" s="521">
        <f t="shared" si="97"/>
        <v>0.57000000000000028</v>
      </c>
      <c r="H747" s="521">
        <f t="shared" si="106"/>
        <v>0.57000000000000028</v>
      </c>
      <c r="I747" s="511"/>
      <c r="J747" s="511"/>
      <c r="K747" s="511"/>
      <c r="L747" s="511"/>
      <c r="M747" s="511"/>
      <c r="N747" s="511"/>
      <c r="O747" s="511"/>
      <c r="P747" s="511"/>
      <c r="Q747" s="511"/>
      <c r="R747" s="511"/>
      <c r="S747" s="511"/>
      <c r="T747" s="511"/>
      <c r="U747" s="511"/>
      <c r="V747" s="511"/>
      <c r="W747" s="511"/>
      <c r="X747" s="511"/>
      <c r="Y747" s="511"/>
      <c r="Z747" s="511"/>
      <c r="AA747" s="511"/>
      <c r="AB747" s="511"/>
      <c r="AC747" s="511"/>
      <c r="AD747" s="511"/>
      <c r="AE747" s="511"/>
      <c r="AF747" s="511"/>
      <c r="AG747" s="511"/>
      <c r="AH747" s="511"/>
      <c r="AI747" s="511"/>
      <c r="AJ747" s="511"/>
      <c r="AK747" s="511"/>
      <c r="AL747" s="511"/>
      <c r="AM747" s="511"/>
      <c r="AN747" s="511"/>
      <c r="AO747" s="511"/>
      <c r="AP747" s="511"/>
      <c r="AQ747" s="511"/>
      <c r="AR747" s="511"/>
      <c r="AS747" s="511"/>
      <c r="AT747" s="511"/>
      <c r="AU747" s="511"/>
      <c r="AV747" s="511"/>
      <c r="AW747" s="511"/>
      <c r="AX747" s="511"/>
      <c r="AY747" s="511"/>
      <c r="AZ747" s="511"/>
      <c r="BA747" s="511"/>
      <c r="BB747" s="511"/>
      <c r="BC747" s="511"/>
      <c r="BD747" s="511"/>
      <c r="BE747" s="511"/>
      <c r="BF747" s="511"/>
      <c r="BG747" s="511"/>
      <c r="BH747" s="511"/>
      <c r="BI747" s="511"/>
      <c r="BJ747" s="511"/>
      <c r="BK747" s="511"/>
      <c r="BL747" s="511"/>
      <c r="BM747" s="511"/>
      <c r="BN747" s="511"/>
      <c r="BO747" s="511"/>
      <c r="BP747" s="511"/>
      <c r="BQ747" s="511"/>
      <c r="BR747" s="511"/>
      <c r="BS747" s="511"/>
      <c r="BT747" s="511"/>
      <c r="BU747" s="511"/>
      <c r="BV747" s="511"/>
      <c r="BW747" s="511"/>
      <c r="BX747" s="511"/>
      <c r="BY747" s="511"/>
      <c r="BZ747" s="511"/>
      <c r="CA747" s="511"/>
      <c r="CB747" s="511"/>
      <c r="CC747" s="511"/>
      <c r="CD747" s="511"/>
      <c r="CE747" s="511"/>
      <c r="CF747" s="511"/>
      <c r="CG747" s="511"/>
      <c r="CH747" s="511"/>
      <c r="CI747" s="511"/>
      <c r="CJ747" s="511"/>
      <c r="CK747" s="511"/>
      <c r="CL747" s="511"/>
      <c r="CM747" s="511"/>
      <c r="CN747" s="511"/>
      <c r="CO747" s="511"/>
      <c r="CP747" s="511"/>
      <c r="CQ747" s="511"/>
      <c r="CR747" s="511"/>
      <c r="CS747" s="511"/>
      <c r="CT747" s="511"/>
      <c r="CU747" s="511"/>
      <c r="CV747" s="511"/>
      <c r="CW747" s="511"/>
      <c r="CX747" s="511"/>
      <c r="CY747" s="511"/>
      <c r="CZ747" s="511"/>
      <c r="DA747" s="511"/>
      <c r="DB747" s="511"/>
      <c r="DC747" s="511"/>
      <c r="DD747" s="511"/>
      <c r="DE747" s="511"/>
      <c r="DF747" s="511"/>
      <c r="DG747" s="511"/>
      <c r="DH747" s="511"/>
      <c r="DI747" s="511"/>
      <c r="DJ747" s="511"/>
      <c r="DK747" s="511"/>
      <c r="DL747" s="511"/>
      <c r="DM747" s="511"/>
      <c r="DN747" s="511"/>
      <c r="DO747" s="511"/>
      <c r="DP747" s="511"/>
    </row>
    <row r="748" spans="1:120" x14ac:dyDescent="0.2">
      <c r="A748" s="517">
        <f t="shared" si="102"/>
        <v>41699</v>
      </c>
      <c r="B748" s="517" t="str">
        <f t="shared" si="96"/>
        <v>1Q14</v>
      </c>
      <c r="C748" s="517" t="str">
        <f t="shared" si="103"/>
        <v>2Q14</v>
      </c>
      <c r="D748" s="518">
        <f t="shared" si="104"/>
        <v>41789</v>
      </c>
      <c r="E748" s="518">
        <f t="shared" si="105"/>
        <v>41729</v>
      </c>
      <c r="F748" s="520">
        <v>3.9750000000000001</v>
      </c>
      <c r="G748" s="521">
        <f t="shared" si="97"/>
        <v>0.57000000000000028</v>
      </c>
      <c r="H748" s="521">
        <f t="shared" si="106"/>
        <v>0.57000000000000028</v>
      </c>
      <c r="I748" s="511"/>
      <c r="J748" s="511"/>
      <c r="K748" s="511"/>
      <c r="L748" s="511"/>
      <c r="M748" s="511"/>
      <c r="N748" s="511"/>
      <c r="O748" s="511"/>
      <c r="P748" s="511"/>
      <c r="Q748" s="511"/>
      <c r="R748" s="511"/>
      <c r="S748" s="511"/>
      <c r="T748" s="511"/>
      <c r="U748" s="511"/>
      <c r="V748" s="511"/>
      <c r="W748" s="511"/>
      <c r="X748" s="511"/>
      <c r="Y748" s="511"/>
      <c r="Z748" s="511"/>
      <c r="AA748" s="511"/>
      <c r="AB748" s="511"/>
      <c r="AC748" s="511"/>
      <c r="AD748" s="511"/>
      <c r="AE748" s="511"/>
      <c r="AF748" s="511"/>
      <c r="AG748" s="511"/>
      <c r="AH748" s="511"/>
      <c r="AI748" s="511"/>
      <c r="AJ748" s="511"/>
      <c r="AK748" s="511"/>
      <c r="AL748" s="511"/>
      <c r="AM748" s="511"/>
      <c r="AN748" s="511"/>
      <c r="AO748" s="511"/>
      <c r="AP748" s="511"/>
      <c r="AQ748" s="511"/>
      <c r="AR748" s="511"/>
      <c r="AS748" s="511"/>
      <c r="AT748" s="511"/>
      <c r="AU748" s="511"/>
      <c r="AV748" s="511"/>
      <c r="AW748" s="511"/>
      <c r="AX748" s="511"/>
      <c r="AY748" s="511"/>
      <c r="AZ748" s="511"/>
      <c r="BA748" s="511"/>
      <c r="BB748" s="511"/>
      <c r="BC748" s="511"/>
      <c r="BD748" s="511"/>
      <c r="BE748" s="511"/>
      <c r="BF748" s="511"/>
      <c r="BG748" s="511"/>
      <c r="BH748" s="511"/>
      <c r="BI748" s="511"/>
      <c r="BJ748" s="511"/>
      <c r="BK748" s="511"/>
      <c r="BL748" s="511"/>
      <c r="BM748" s="511"/>
      <c r="BN748" s="511"/>
      <c r="BO748" s="511"/>
      <c r="BP748" s="511"/>
      <c r="BQ748" s="511"/>
      <c r="BR748" s="511"/>
      <c r="BS748" s="511"/>
      <c r="BT748" s="511"/>
      <c r="BU748" s="511"/>
      <c r="BV748" s="511"/>
      <c r="BW748" s="511"/>
      <c r="BX748" s="511"/>
      <c r="BY748" s="511"/>
      <c r="BZ748" s="511"/>
      <c r="CA748" s="511"/>
      <c r="CB748" s="511"/>
      <c r="CC748" s="511"/>
      <c r="CD748" s="511"/>
      <c r="CE748" s="511"/>
      <c r="CF748" s="511"/>
      <c r="CG748" s="511"/>
      <c r="CH748" s="511"/>
      <c r="CI748" s="511"/>
      <c r="CJ748" s="511"/>
      <c r="CK748" s="511"/>
      <c r="CL748" s="511"/>
      <c r="CM748" s="511"/>
      <c r="CN748" s="511"/>
      <c r="CO748" s="511"/>
      <c r="CP748" s="511"/>
      <c r="CQ748" s="511"/>
      <c r="CR748" s="511"/>
      <c r="CS748" s="511"/>
      <c r="CT748" s="511"/>
      <c r="CU748" s="511"/>
      <c r="CV748" s="511"/>
      <c r="CW748" s="511"/>
      <c r="CX748" s="511"/>
      <c r="CY748" s="511"/>
      <c r="CZ748" s="511"/>
      <c r="DA748" s="511"/>
      <c r="DB748" s="511"/>
      <c r="DC748" s="511"/>
      <c r="DD748" s="511"/>
      <c r="DE748" s="511"/>
      <c r="DF748" s="511"/>
      <c r="DG748" s="511"/>
      <c r="DH748" s="511"/>
      <c r="DI748" s="511"/>
      <c r="DJ748" s="511"/>
      <c r="DK748" s="511"/>
      <c r="DL748" s="511"/>
      <c r="DM748" s="511"/>
      <c r="DN748" s="511"/>
      <c r="DO748" s="511"/>
      <c r="DP748" s="511"/>
    </row>
    <row r="749" spans="1:120" x14ac:dyDescent="0.2">
      <c r="A749" s="517">
        <f t="shared" si="102"/>
        <v>41730</v>
      </c>
      <c r="B749" s="517" t="str">
        <f t="shared" si="96"/>
        <v>2Q14</v>
      </c>
      <c r="C749" s="517" t="str">
        <f t="shared" si="103"/>
        <v>2Q14</v>
      </c>
      <c r="D749" s="518">
        <f t="shared" si="104"/>
        <v>41796</v>
      </c>
      <c r="E749" s="518">
        <f t="shared" si="105"/>
        <v>41736</v>
      </c>
      <c r="F749" s="520">
        <v>3.9590000000000001</v>
      </c>
      <c r="G749" s="521">
        <f t="shared" si="97"/>
        <v>0.57000000000000028</v>
      </c>
      <c r="H749" s="521">
        <f t="shared" si="106"/>
        <v>0.57000000000000028</v>
      </c>
      <c r="I749" s="511"/>
      <c r="J749" s="511"/>
      <c r="K749" s="511"/>
      <c r="L749" s="511"/>
      <c r="M749" s="511"/>
      <c r="N749" s="511"/>
      <c r="O749" s="511"/>
      <c r="P749" s="511"/>
      <c r="Q749" s="511"/>
      <c r="R749" s="511"/>
      <c r="S749" s="511"/>
      <c r="T749" s="511"/>
      <c r="U749" s="511"/>
      <c r="V749" s="511"/>
      <c r="W749" s="511"/>
      <c r="X749" s="511"/>
      <c r="Y749" s="511"/>
      <c r="Z749" s="511"/>
      <c r="AA749" s="511"/>
      <c r="AB749" s="511"/>
      <c r="AC749" s="511"/>
      <c r="AD749" s="511"/>
      <c r="AE749" s="511"/>
      <c r="AF749" s="511"/>
      <c r="AG749" s="511"/>
      <c r="AH749" s="511"/>
      <c r="AI749" s="511"/>
      <c r="AJ749" s="511"/>
      <c r="AK749" s="511"/>
      <c r="AL749" s="511"/>
      <c r="AM749" s="511"/>
      <c r="AN749" s="511"/>
      <c r="AO749" s="511"/>
      <c r="AP749" s="511"/>
      <c r="AQ749" s="511"/>
      <c r="AR749" s="511"/>
      <c r="AS749" s="511"/>
      <c r="AT749" s="511"/>
      <c r="AU749" s="511"/>
      <c r="AV749" s="511"/>
      <c r="AW749" s="511"/>
      <c r="AX749" s="511"/>
      <c r="AY749" s="511"/>
      <c r="AZ749" s="511"/>
      <c r="BA749" s="511"/>
      <c r="BB749" s="511"/>
      <c r="BC749" s="511"/>
      <c r="BD749" s="511"/>
      <c r="BE749" s="511"/>
      <c r="BF749" s="511"/>
      <c r="BG749" s="511"/>
      <c r="BH749" s="511"/>
      <c r="BI749" s="511"/>
      <c r="BJ749" s="511"/>
      <c r="BK749" s="511"/>
      <c r="BL749" s="511"/>
      <c r="BM749" s="511"/>
      <c r="BN749" s="511"/>
      <c r="BO749" s="511"/>
      <c r="BP749" s="511"/>
      <c r="BQ749" s="511"/>
      <c r="BR749" s="511"/>
      <c r="BS749" s="511"/>
      <c r="BT749" s="511"/>
      <c r="BU749" s="511"/>
      <c r="BV749" s="511"/>
      <c r="BW749" s="511"/>
      <c r="BX749" s="511"/>
      <c r="BY749" s="511"/>
      <c r="BZ749" s="511"/>
      <c r="CA749" s="511"/>
      <c r="CB749" s="511"/>
      <c r="CC749" s="511"/>
      <c r="CD749" s="511"/>
      <c r="CE749" s="511"/>
      <c r="CF749" s="511"/>
      <c r="CG749" s="511"/>
      <c r="CH749" s="511"/>
      <c r="CI749" s="511"/>
      <c r="CJ749" s="511"/>
      <c r="CK749" s="511"/>
      <c r="CL749" s="511"/>
      <c r="CM749" s="511"/>
      <c r="CN749" s="511"/>
      <c r="CO749" s="511"/>
      <c r="CP749" s="511"/>
      <c r="CQ749" s="511"/>
      <c r="CR749" s="511"/>
      <c r="CS749" s="511"/>
      <c r="CT749" s="511"/>
      <c r="CU749" s="511"/>
      <c r="CV749" s="511"/>
      <c r="CW749" s="511"/>
      <c r="CX749" s="511"/>
      <c r="CY749" s="511"/>
      <c r="CZ749" s="511"/>
      <c r="DA749" s="511"/>
      <c r="DB749" s="511"/>
      <c r="DC749" s="511"/>
      <c r="DD749" s="511"/>
      <c r="DE749" s="511"/>
      <c r="DF749" s="511"/>
      <c r="DG749" s="511"/>
      <c r="DH749" s="511"/>
      <c r="DI749" s="511"/>
      <c r="DJ749" s="511"/>
      <c r="DK749" s="511"/>
      <c r="DL749" s="511"/>
      <c r="DM749" s="511"/>
      <c r="DN749" s="511"/>
      <c r="DO749" s="511"/>
      <c r="DP749" s="511"/>
    </row>
    <row r="750" spans="1:120" x14ac:dyDescent="0.2">
      <c r="A750" s="517">
        <f t="shared" si="102"/>
        <v>41730</v>
      </c>
      <c r="B750" s="517" t="str">
        <f t="shared" si="96"/>
        <v>2Q14</v>
      </c>
      <c r="C750" s="517" t="str">
        <f t="shared" si="103"/>
        <v>2Q14</v>
      </c>
      <c r="D750" s="518">
        <f t="shared" si="104"/>
        <v>41803</v>
      </c>
      <c r="E750" s="518">
        <f t="shared" si="105"/>
        <v>41743</v>
      </c>
      <c r="F750" s="520">
        <v>3.952</v>
      </c>
      <c r="G750" s="521">
        <f t="shared" si="97"/>
        <v>0.57000000000000028</v>
      </c>
      <c r="H750" s="521">
        <f t="shared" si="106"/>
        <v>0.57000000000000028</v>
      </c>
      <c r="I750" s="511"/>
      <c r="J750" s="511"/>
      <c r="K750" s="511"/>
      <c r="L750" s="511"/>
      <c r="M750" s="511"/>
      <c r="N750" s="511"/>
      <c r="O750" s="511"/>
      <c r="P750" s="511"/>
      <c r="Q750" s="511"/>
      <c r="R750" s="511"/>
      <c r="S750" s="511"/>
      <c r="T750" s="511"/>
      <c r="U750" s="511"/>
      <c r="V750" s="511"/>
      <c r="W750" s="511"/>
      <c r="X750" s="511"/>
      <c r="Y750" s="511"/>
      <c r="Z750" s="511"/>
      <c r="AA750" s="511"/>
      <c r="AB750" s="511"/>
      <c r="AC750" s="511"/>
      <c r="AD750" s="511"/>
      <c r="AE750" s="511"/>
      <c r="AF750" s="511"/>
      <c r="AG750" s="511"/>
      <c r="AH750" s="511"/>
      <c r="AI750" s="511"/>
      <c r="AJ750" s="511"/>
      <c r="AK750" s="511"/>
      <c r="AL750" s="511"/>
      <c r="AM750" s="511"/>
      <c r="AN750" s="511"/>
      <c r="AO750" s="511"/>
      <c r="AP750" s="511"/>
      <c r="AQ750" s="511"/>
      <c r="AR750" s="511"/>
      <c r="AS750" s="511"/>
      <c r="AT750" s="511"/>
      <c r="AU750" s="511"/>
      <c r="AV750" s="511"/>
      <c r="AW750" s="511"/>
      <c r="AX750" s="511"/>
      <c r="AY750" s="511"/>
      <c r="AZ750" s="511"/>
      <c r="BA750" s="511"/>
      <c r="BB750" s="511"/>
      <c r="BC750" s="511"/>
      <c r="BD750" s="511"/>
      <c r="BE750" s="511"/>
      <c r="BF750" s="511"/>
      <c r="BG750" s="511"/>
      <c r="BH750" s="511"/>
      <c r="BI750" s="511"/>
      <c r="BJ750" s="511"/>
      <c r="BK750" s="511"/>
      <c r="BL750" s="511"/>
      <c r="BM750" s="511"/>
      <c r="BN750" s="511"/>
      <c r="BO750" s="511"/>
      <c r="BP750" s="511"/>
      <c r="BQ750" s="511"/>
      <c r="BR750" s="511"/>
      <c r="BS750" s="511"/>
      <c r="BT750" s="511"/>
      <c r="BU750" s="511"/>
      <c r="BV750" s="511"/>
      <c r="BW750" s="511"/>
      <c r="BX750" s="511"/>
      <c r="BY750" s="511"/>
      <c r="BZ750" s="511"/>
      <c r="CA750" s="511"/>
      <c r="CB750" s="511"/>
      <c r="CC750" s="511"/>
      <c r="CD750" s="511"/>
      <c r="CE750" s="511"/>
      <c r="CF750" s="511"/>
      <c r="CG750" s="511"/>
      <c r="CH750" s="511"/>
      <c r="CI750" s="511"/>
      <c r="CJ750" s="511"/>
      <c r="CK750" s="511"/>
      <c r="CL750" s="511"/>
      <c r="CM750" s="511"/>
      <c r="CN750" s="511"/>
      <c r="CO750" s="511"/>
      <c r="CP750" s="511"/>
      <c r="CQ750" s="511"/>
      <c r="CR750" s="511"/>
      <c r="CS750" s="511"/>
      <c r="CT750" s="511"/>
      <c r="CU750" s="511"/>
      <c r="CV750" s="511"/>
      <c r="CW750" s="511"/>
      <c r="CX750" s="511"/>
      <c r="CY750" s="511"/>
      <c r="CZ750" s="511"/>
      <c r="DA750" s="511"/>
      <c r="DB750" s="511"/>
      <c r="DC750" s="511"/>
      <c r="DD750" s="511"/>
      <c r="DE750" s="511"/>
      <c r="DF750" s="511"/>
      <c r="DG750" s="511"/>
      <c r="DH750" s="511"/>
      <c r="DI750" s="511"/>
      <c r="DJ750" s="511"/>
      <c r="DK750" s="511"/>
      <c r="DL750" s="511"/>
      <c r="DM750" s="511"/>
      <c r="DN750" s="511"/>
      <c r="DO750" s="511"/>
      <c r="DP750" s="511"/>
    </row>
    <row r="751" spans="1:120" x14ac:dyDescent="0.2">
      <c r="A751" s="517">
        <f t="shared" si="102"/>
        <v>41730</v>
      </c>
      <c r="B751" s="517" t="str">
        <f t="shared" si="96"/>
        <v>2Q14</v>
      </c>
      <c r="C751" s="517" t="str">
        <f t="shared" si="103"/>
        <v>2Q14</v>
      </c>
      <c r="D751" s="518">
        <f t="shared" si="104"/>
        <v>41810</v>
      </c>
      <c r="E751" s="518">
        <f t="shared" si="105"/>
        <v>41750</v>
      </c>
      <c r="F751" s="520">
        <v>3.9710000000000001</v>
      </c>
      <c r="G751" s="521">
        <f t="shared" si="97"/>
        <v>0.57000000000000028</v>
      </c>
      <c r="H751" s="521">
        <f t="shared" si="106"/>
        <v>0.57000000000000028</v>
      </c>
      <c r="I751" s="511"/>
      <c r="J751" s="511"/>
      <c r="K751" s="511"/>
      <c r="L751" s="511"/>
      <c r="M751" s="511"/>
      <c r="N751" s="511"/>
      <c r="O751" s="511"/>
      <c r="P751" s="511"/>
      <c r="Q751" s="511"/>
      <c r="R751" s="511"/>
      <c r="S751" s="511"/>
      <c r="T751" s="511"/>
      <c r="U751" s="511"/>
      <c r="V751" s="511"/>
      <c r="W751" s="511"/>
      <c r="X751" s="511"/>
      <c r="Y751" s="511"/>
      <c r="Z751" s="511"/>
      <c r="AA751" s="511"/>
      <c r="AB751" s="511"/>
      <c r="AC751" s="511"/>
      <c r="AD751" s="511"/>
      <c r="AE751" s="511"/>
      <c r="AF751" s="511"/>
      <c r="AG751" s="511"/>
      <c r="AH751" s="511"/>
      <c r="AI751" s="511"/>
      <c r="AJ751" s="511"/>
      <c r="AK751" s="511"/>
      <c r="AL751" s="511"/>
      <c r="AM751" s="511"/>
      <c r="AN751" s="511"/>
      <c r="AO751" s="511"/>
      <c r="AP751" s="511"/>
      <c r="AQ751" s="511"/>
      <c r="AR751" s="511"/>
      <c r="AS751" s="511"/>
      <c r="AT751" s="511"/>
      <c r="AU751" s="511"/>
      <c r="AV751" s="511"/>
      <c r="AW751" s="511"/>
      <c r="AX751" s="511"/>
      <c r="AY751" s="511"/>
      <c r="AZ751" s="511"/>
      <c r="BA751" s="511"/>
      <c r="BB751" s="511"/>
      <c r="BC751" s="511"/>
      <c r="BD751" s="511"/>
      <c r="BE751" s="511"/>
      <c r="BF751" s="511"/>
      <c r="BG751" s="511"/>
      <c r="BH751" s="511"/>
      <c r="BI751" s="511"/>
      <c r="BJ751" s="511"/>
      <c r="BK751" s="511"/>
      <c r="BL751" s="511"/>
      <c r="BM751" s="511"/>
      <c r="BN751" s="511"/>
      <c r="BO751" s="511"/>
      <c r="BP751" s="511"/>
      <c r="BQ751" s="511"/>
      <c r="BR751" s="511"/>
      <c r="BS751" s="511"/>
      <c r="BT751" s="511"/>
      <c r="BU751" s="511"/>
      <c r="BV751" s="511"/>
      <c r="BW751" s="511"/>
      <c r="BX751" s="511"/>
      <c r="BY751" s="511"/>
      <c r="BZ751" s="511"/>
      <c r="CA751" s="511"/>
      <c r="CB751" s="511"/>
      <c r="CC751" s="511"/>
      <c r="CD751" s="511"/>
      <c r="CE751" s="511"/>
      <c r="CF751" s="511"/>
      <c r="CG751" s="511"/>
      <c r="CH751" s="511"/>
      <c r="CI751" s="511"/>
      <c r="CJ751" s="511"/>
      <c r="CK751" s="511"/>
      <c r="CL751" s="511"/>
      <c r="CM751" s="511"/>
      <c r="CN751" s="511"/>
      <c r="CO751" s="511"/>
      <c r="CP751" s="511"/>
      <c r="CQ751" s="511"/>
      <c r="CR751" s="511"/>
      <c r="CS751" s="511"/>
      <c r="CT751" s="511"/>
      <c r="CU751" s="511"/>
      <c r="CV751" s="511"/>
      <c r="CW751" s="511"/>
      <c r="CX751" s="511"/>
      <c r="CY751" s="511"/>
      <c r="CZ751" s="511"/>
      <c r="DA751" s="511"/>
      <c r="DB751" s="511"/>
      <c r="DC751" s="511"/>
      <c r="DD751" s="511"/>
      <c r="DE751" s="511"/>
      <c r="DF751" s="511"/>
      <c r="DG751" s="511"/>
      <c r="DH751" s="511"/>
      <c r="DI751" s="511"/>
      <c r="DJ751" s="511"/>
      <c r="DK751" s="511"/>
      <c r="DL751" s="511"/>
      <c r="DM751" s="511"/>
      <c r="DN751" s="511"/>
      <c r="DO751" s="511"/>
      <c r="DP751" s="511"/>
    </row>
    <row r="752" spans="1:120" x14ac:dyDescent="0.2">
      <c r="A752" s="517">
        <f t="shared" si="102"/>
        <v>41730</v>
      </c>
      <c r="B752" s="517" t="str">
        <f t="shared" si="96"/>
        <v>2Q14</v>
      </c>
      <c r="C752" s="517" t="str">
        <f t="shared" si="103"/>
        <v>2Q14</v>
      </c>
      <c r="D752" s="518">
        <f t="shared" si="104"/>
        <v>41817</v>
      </c>
      <c r="E752" s="518">
        <f t="shared" si="105"/>
        <v>41757</v>
      </c>
      <c r="F752" s="520">
        <v>3.9750000000000001</v>
      </c>
      <c r="G752" s="521">
        <f t="shared" si="97"/>
        <v>0.57000000000000028</v>
      </c>
      <c r="H752" s="521">
        <f t="shared" si="106"/>
        <v>0.57000000000000028</v>
      </c>
      <c r="I752" s="511"/>
      <c r="J752" s="511"/>
      <c r="K752" s="511"/>
      <c r="L752" s="511"/>
      <c r="M752" s="511"/>
      <c r="N752" s="511"/>
      <c r="O752" s="511"/>
      <c r="P752" s="511"/>
      <c r="Q752" s="511"/>
      <c r="R752" s="511"/>
      <c r="S752" s="511"/>
      <c r="T752" s="511"/>
      <c r="U752" s="511"/>
      <c r="V752" s="511"/>
      <c r="W752" s="511"/>
      <c r="X752" s="511"/>
      <c r="Y752" s="511"/>
      <c r="Z752" s="511"/>
      <c r="AA752" s="511"/>
      <c r="AB752" s="511"/>
      <c r="AC752" s="511"/>
      <c r="AD752" s="511"/>
      <c r="AE752" s="511"/>
      <c r="AF752" s="511"/>
      <c r="AG752" s="511"/>
      <c r="AH752" s="511"/>
      <c r="AI752" s="511"/>
      <c r="AJ752" s="511"/>
      <c r="AK752" s="511"/>
      <c r="AL752" s="511"/>
      <c r="AM752" s="511"/>
      <c r="AN752" s="511"/>
      <c r="AO752" s="511"/>
      <c r="AP752" s="511"/>
      <c r="AQ752" s="511"/>
      <c r="AR752" s="511"/>
      <c r="AS752" s="511"/>
      <c r="AT752" s="511"/>
      <c r="AU752" s="511"/>
      <c r="AV752" s="511"/>
      <c r="AW752" s="511"/>
      <c r="AX752" s="511"/>
      <c r="AY752" s="511"/>
      <c r="AZ752" s="511"/>
      <c r="BA752" s="511"/>
      <c r="BB752" s="511"/>
      <c r="BC752" s="511"/>
      <c r="BD752" s="511"/>
      <c r="BE752" s="511"/>
      <c r="BF752" s="511"/>
      <c r="BG752" s="511"/>
      <c r="BH752" s="511"/>
      <c r="BI752" s="511"/>
      <c r="BJ752" s="511"/>
      <c r="BK752" s="511"/>
      <c r="BL752" s="511"/>
      <c r="BM752" s="511"/>
      <c r="BN752" s="511"/>
      <c r="BO752" s="511"/>
      <c r="BP752" s="511"/>
      <c r="BQ752" s="511"/>
      <c r="BR752" s="511"/>
      <c r="BS752" s="511"/>
      <c r="BT752" s="511"/>
      <c r="BU752" s="511"/>
      <c r="BV752" s="511"/>
      <c r="BW752" s="511"/>
      <c r="BX752" s="511"/>
      <c r="BY752" s="511"/>
      <c r="BZ752" s="511"/>
      <c r="CA752" s="511"/>
      <c r="CB752" s="511"/>
      <c r="CC752" s="511"/>
      <c r="CD752" s="511"/>
      <c r="CE752" s="511"/>
      <c r="CF752" s="511"/>
      <c r="CG752" s="511"/>
      <c r="CH752" s="511"/>
      <c r="CI752" s="511"/>
      <c r="CJ752" s="511"/>
      <c r="CK752" s="511"/>
      <c r="CL752" s="511"/>
      <c r="CM752" s="511"/>
      <c r="CN752" s="511"/>
      <c r="CO752" s="511"/>
      <c r="CP752" s="511"/>
      <c r="CQ752" s="511"/>
      <c r="CR752" s="511"/>
      <c r="CS752" s="511"/>
      <c r="CT752" s="511"/>
      <c r="CU752" s="511"/>
      <c r="CV752" s="511"/>
      <c r="CW752" s="511"/>
      <c r="CX752" s="511"/>
      <c r="CY752" s="511"/>
      <c r="CZ752" s="511"/>
      <c r="DA752" s="511"/>
      <c r="DB752" s="511"/>
      <c r="DC752" s="511"/>
      <c r="DD752" s="511"/>
      <c r="DE752" s="511"/>
      <c r="DF752" s="511"/>
      <c r="DG752" s="511"/>
      <c r="DH752" s="511"/>
      <c r="DI752" s="511"/>
      <c r="DJ752" s="511"/>
      <c r="DK752" s="511"/>
      <c r="DL752" s="511"/>
      <c r="DM752" s="511"/>
      <c r="DN752" s="511"/>
      <c r="DO752" s="511"/>
      <c r="DP752" s="511"/>
    </row>
    <row r="753" spans="1:120" x14ac:dyDescent="0.2">
      <c r="A753" s="517">
        <f t="shared" si="102"/>
        <v>41760</v>
      </c>
      <c r="B753" s="517" t="str">
        <f t="shared" si="96"/>
        <v>2Q14</v>
      </c>
      <c r="C753" s="517" t="str">
        <f t="shared" si="103"/>
        <v>3Q14</v>
      </c>
      <c r="D753" s="518">
        <f t="shared" si="104"/>
        <v>41824</v>
      </c>
      <c r="E753" s="518">
        <f t="shared" si="105"/>
        <v>41764</v>
      </c>
      <c r="F753" s="520">
        <v>3.964</v>
      </c>
      <c r="G753" s="521">
        <f t="shared" si="97"/>
        <v>0.57000000000000028</v>
      </c>
      <c r="H753" s="521">
        <f t="shared" si="106"/>
        <v>0.56000000000000028</v>
      </c>
      <c r="I753" s="511"/>
      <c r="J753" s="511"/>
      <c r="K753" s="511"/>
      <c r="L753" s="511"/>
      <c r="M753" s="511"/>
      <c r="N753" s="511"/>
      <c r="O753" s="511"/>
      <c r="P753" s="511"/>
      <c r="Q753" s="511"/>
      <c r="R753" s="511"/>
      <c r="S753" s="511"/>
      <c r="T753" s="511"/>
      <c r="U753" s="511"/>
      <c r="V753" s="511"/>
      <c r="W753" s="511"/>
      <c r="X753" s="511"/>
      <c r="Y753" s="511"/>
      <c r="Z753" s="511"/>
      <c r="AA753" s="511"/>
      <c r="AB753" s="511"/>
      <c r="AC753" s="511"/>
      <c r="AD753" s="511"/>
      <c r="AE753" s="511"/>
      <c r="AF753" s="511"/>
      <c r="AG753" s="511"/>
      <c r="AH753" s="511"/>
      <c r="AI753" s="511"/>
      <c r="AJ753" s="511"/>
      <c r="AK753" s="511"/>
      <c r="AL753" s="511"/>
      <c r="AM753" s="511"/>
      <c r="AN753" s="511"/>
      <c r="AO753" s="511"/>
      <c r="AP753" s="511"/>
      <c r="AQ753" s="511"/>
      <c r="AR753" s="511"/>
      <c r="AS753" s="511"/>
      <c r="AT753" s="511"/>
      <c r="AU753" s="511"/>
      <c r="AV753" s="511"/>
      <c r="AW753" s="511"/>
      <c r="AX753" s="511"/>
      <c r="AY753" s="511"/>
      <c r="AZ753" s="511"/>
      <c r="BA753" s="511"/>
      <c r="BB753" s="511"/>
      <c r="BC753" s="511"/>
      <c r="BD753" s="511"/>
      <c r="BE753" s="511"/>
      <c r="BF753" s="511"/>
      <c r="BG753" s="511"/>
      <c r="BH753" s="511"/>
      <c r="BI753" s="511"/>
      <c r="BJ753" s="511"/>
      <c r="BK753" s="511"/>
      <c r="BL753" s="511"/>
      <c r="BM753" s="511"/>
      <c r="BN753" s="511"/>
      <c r="BO753" s="511"/>
      <c r="BP753" s="511"/>
      <c r="BQ753" s="511"/>
      <c r="BR753" s="511"/>
      <c r="BS753" s="511"/>
      <c r="BT753" s="511"/>
      <c r="BU753" s="511"/>
      <c r="BV753" s="511"/>
      <c r="BW753" s="511"/>
      <c r="BX753" s="511"/>
      <c r="BY753" s="511"/>
      <c r="BZ753" s="511"/>
      <c r="CA753" s="511"/>
      <c r="CB753" s="511"/>
      <c r="CC753" s="511"/>
      <c r="CD753" s="511"/>
      <c r="CE753" s="511"/>
      <c r="CF753" s="511"/>
      <c r="CG753" s="511"/>
      <c r="CH753" s="511"/>
      <c r="CI753" s="511"/>
      <c r="CJ753" s="511"/>
      <c r="CK753" s="511"/>
      <c r="CL753" s="511"/>
      <c r="CM753" s="511"/>
      <c r="CN753" s="511"/>
      <c r="CO753" s="511"/>
      <c r="CP753" s="511"/>
      <c r="CQ753" s="511"/>
      <c r="CR753" s="511"/>
      <c r="CS753" s="511"/>
      <c r="CT753" s="511"/>
      <c r="CU753" s="511"/>
      <c r="CV753" s="511"/>
      <c r="CW753" s="511"/>
      <c r="CX753" s="511"/>
      <c r="CY753" s="511"/>
      <c r="CZ753" s="511"/>
      <c r="DA753" s="511"/>
      <c r="DB753" s="511"/>
      <c r="DC753" s="511"/>
      <c r="DD753" s="511"/>
      <c r="DE753" s="511"/>
      <c r="DF753" s="511"/>
      <c r="DG753" s="511"/>
      <c r="DH753" s="511"/>
      <c r="DI753" s="511"/>
      <c r="DJ753" s="511"/>
      <c r="DK753" s="511"/>
      <c r="DL753" s="511"/>
      <c r="DM753" s="511"/>
      <c r="DN753" s="511"/>
      <c r="DO753" s="511"/>
      <c r="DP753" s="511"/>
    </row>
    <row r="754" spans="1:120" x14ac:dyDescent="0.2">
      <c r="A754" s="517">
        <f t="shared" si="102"/>
        <v>41760</v>
      </c>
      <c r="B754" s="517" t="str">
        <f t="shared" si="96"/>
        <v>2Q14</v>
      </c>
      <c r="C754" s="517" t="str">
        <f t="shared" si="103"/>
        <v>3Q14</v>
      </c>
      <c r="D754" s="518">
        <f t="shared" si="104"/>
        <v>41831</v>
      </c>
      <c r="E754" s="518">
        <f t="shared" si="105"/>
        <v>41771</v>
      </c>
      <c r="F754" s="520">
        <v>3.948</v>
      </c>
      <c r="G754" s="521">
        <f t="shared" si="97"/>
        <v>0.56000000000000028</v>
      </c>
      <c r="H754" s="521">
        <f t="shared" si="106"/>
        <v>0.56000000000000028</v>
      </c>
      <c r="I754" s="511"/>
      <c r="J754" s="511"/>
      <c r="K754" s="511"/>
      <c r="L754" s="511"/>
      <c r="M754" s="511"/>
      <c r="N754" s="511"/>
      <c r="O754" s="511"/>
      <c r="P754" s="511"/>
      <c r="Q754" s="511"/>
      <c r="R754" s="511"/>
      <c r="S754" s="511"/>
      <c r="T754" s="511"/>
      <c r="U754" s="511"/>
      <c r="V754" s="511"/>
      <c r="W754" s="511"/>
      <c r="X754" s="511"/>
      <c r="Y754" s="511"/>
      <c r="Z754" s="511"/>
      <c r="AA754" s="511"/>
      <c r="AB754" s="511"/>
      <c r="AC754" s="511"/>
      <c r="AD754" s="511"/>
      <c r="AE754" s="511"/>
      <c r="AF754" s="511"/>
      <c r="AG754" s="511"/>
      <c r="AH754" s="511"/>
      <c r="AI754" s="511"/>
      <c r="AJ754" s="511"/>
      <c r="AK754" s="511"/>
      <c r="AL754" s="511"/>
      <c r="AM754" s="511"/>
      <c r="AN754" s="511"/>
      <c r="AO754" s="511"/>
      <c r="AP754" s="511"/>
      <c r="AQ754" s="511"/>
      <c r="AR754" s="511"/>
      <c r="AS754" s="511"/>
      <c r="AT754" s="511"/>
      <c r="AU754" s="511"/>
      <c r="AV754" s="511"/>
      <c r="AW754" s="511"/>
      <c r="AX754" s="511"/>
      <c r="AY754" s="511"/>
      <c r="AZ754" s="511"/>
      <c r="BA754" s="511"/>
      <c r="BB754" s="511"/>
      <c r="BC754" s="511"/>
      <c r="BD754" s="511"/>
      <c r="BE754" s="511"/>
      <c r="BF754" s="511"/>
      <c r="BG754" s="511"/>
      <c r="BH754" s="511"/>
      <c r="BI754" s="511"/>
      <c r="BJ754" s="511"/>
      <c r="BK754" s="511"/>
      <c r="BL754" s="511"/>
      <c r="BM754" s="511"/>
      <c r="BN754" s="511"/>
      <c r="BO754" s="511"/>
      <c r="BP754" s="511"/>
      <c r="BQ754" s="511"/>
      <c r="BR754" s="511"/>
      <c r="BS754" s="511"/>
      <c r="BT754" s="511"/>
      <c r="BU754" s="511"/>
      <c r="BV754" s="511"/>
      <c r="BW754" s="511"/>
      <c r="BX754" s="511"/>
      <c r="BY754" s="511"/>
      <c r="BZ754" s="511"/>
      <c r="CA754" s="511"/>
      <c r="CB754" s="511"/>
      <c r="CC754" s="511"/>
      <c r="CD754" s="511"/>
      <c r="CE754" s="511"/>
      <c r="CF754" s="511"/>
      <c r="CG754" s="511"/>
      <c r="CH754" s="511"/>
      <c r="CI754" s="511"/>
      <c r="CJ754" s="511"/>
      <c r="CK754" s="511"/>
      <c r="CL754" s="511"/>
      <c r="CM754" s="511"/>
      <c r="CN754" s="511"/>
      <c r="CO754" s="511"/>
      <c r="CP754" s="511"/>
      <c r="CQ754" s="511"/>
      <c r="CR754" s="511"/>
      <c r="CS754" s="511"/>
      <c r="CT754" s="511"/>
      <c r="CU754" s="511"/>
      <c r="CV754" s="511"/>
      <c r="CW754" s="511"/>
      <c r="CX754" s="511"/>
      <c r="CY754" s="511"/>
      <c r="CZ754" s="511"/>
      <c r="DA754" s="511"/>
      <c r="DB754" s="511"/>
      <c r="DC754" s="511"/>
      <c r="DD754" s="511"/>
      <c r="DE754" s="511"/>
      <c r="DF754" s="511"/>
      <c r="DG754" s="511"/>
      <c r="DH754" s="511"/>
      <c r="DI754" s="511"/>
      <c r="DJ754" s="511"/>
      <c r="DK754" s="511"/>
      <c r="DL754" s="511"/>
      <c r="DM754" s="511"/>
      <c r="DN754" s="511"/>
      <c r="DO754" s="511"/>
      <c r="DP754" s="511"/>
    </row>
    <row r="755" spans="1:120" x14ac:dyDescent="0.2">
      <c r="A755" s="517">
        <f t="shared" si="102"/>
        <v>41760</v>
      </c>
      <c r="B755" s="517" t="str">
        <f t="shared" si="96"/>
        <v>2Q14</v>
      </c>
      <c r="C755" s="517" t="str">
        <f t="shared" si="103"/>
        <v>3Q14</v>
      </c>
      <c r="D755" s="518">
        <f t="shared" si="104"/>
        <v>41838</v>
      </c>
      <c r="E755" s="518">
        <f t="shared" si="105"/>
        <v>41778</v>
      </c>
      <c r="F755" s="520">
        <v>3.9340000000000002</v>
      </c>
      <c r="G755" s="521">
        <f t="shared" si="97"/>
        <v>0.56000000000000028</v>
      </c>
      <c r="H755" s="521">
        <f t="shared" si="106"/>
        <v>0.56000000000000028</v>
      </c>
      <c r="I755" s="511"/>
      <c r="J755" s="511"/>
      <c r="K755" s="511"/>
      <c r="L755" s="511"/>
      <c r="M755" s="511"/>
      <c r="N755" s="511"/>
      <c r="O755" s="511"/>
      <c r="P755" s="511"/>
      <c r="Q755" s="511"/>
      <c r="R755" s="511"/>
      <c r="S755" s="511"/>
      <c r="T755" s="511"/>
      <c r="U755" s="511"/>
      <c r="V755" s="511"/>
      <c r="W755" s="511"/>
      <c r="X755" s="511"/>
      <c r="Y755" s="511"/>
      <c r="Z755" s="511"/>
      <c r="AA755" s="511"/>
      <c r="AB755" s="511"/>
      <c r="AC755" s="511"/>
      <c r="AD755" s="511"/>
      <c r="AE755" s="511"/>
      <c r="AF755" s="511"/>
      <c r="AG755" s="511"/>
      <c r="AH755" s="511"/>
      <c r="AI755" s="511"/>
      <c r="AJ755" s="511"/>
      <c r="AK755" s="511"/>
      <c r="AL755" s="511"/>
      <c r="AM755" s="511"/>
      <c r="AN755" s="511"/>
      <c r="AO755" s="511"/>
      <c r="AP755" s="511"/>
      <c r="AQ755" s="511"/>
      <c r="AR755" s="511"/>
      <c r="AS755" s="511"/>
      <c r="AT755" s="511"/>
      <c r="AU755" s="511"/>
      <c r="AV755" s="511"/>
      <c r="AW755" s="511"/>
      <c r="AX755" s="511"/>
      <c r="AY755" s="511"/>
      <c r="AZ755" s="511"/>
      <c r="BA755" s="511"/>
      <c r="BB755" s="511"/>
      <c r="BC755" s="511"/>
      <c r="BD755" s="511"/>
      <c r="BE755" s="511"/>
      <c r="BF755" s="511"/>
      <c r="BG755" s="511"/>
      <c r="BH755" s="511"/>
      <c r="BI755" s="511"/>
      <c r="BJ755" s="511"/>
      <c r="BK755" s="511"/>
      <c r="BL755" s="511"/>
      <c r="BM755" s="511"/>
      <c r="BN755" s="511"/>
      <c r="BO755" s="511"/>
      <c r="BP755" s="511"/>
      <c r="BQ755" s="511"/>
      <c r="BR755" s="511"/>
      <c r="BS755" s="511"/>
      <c r="BT755" s="511"/>
      <c r="BU755" s="511"/>
      <c r="BV755" s="511"/>
      <c r="BW755" s="511"/>
      <c r="BX755" s="511"/>
      <c r="BY755" s="511"/>
      <c r="BZ755" s="511"/>
      <c r="CA755" s="511"/>
      <c r="CB755" s="511"/>
      <c r="CC755" s="511"/>
      <c r="CD755" s="511"/>
      <c r="CE755" s="511"/>
      <c r="CF755" s="511"/>
      <c r="CG755" s="511"/>
      <c r="CH755" s="511"/>
      <c r="CI755" s="511"/>
      <c r="CJ755" s="511"/>
      <c r="CK755" s="511"/>
      <c r="CL755" s="511"/>
      <c r="CM755" s="511"/>
      <c r="CN755" s="511"/>
      <c r="CO755" s="511"/>
      <c r="CP755" s="511"/>
      <c r="CQ755" s="511"/>
      <c r="CR755" s="511"/>
      <c r="CS755" s="511"/>
      <c r="CT755" s="511"/>
      <c r="CU755" s="511"/>
      <c r="CV755" s="511"/>
      <c r="CW755" s="511"/>
      <c r="CX755" s="511"/>
      <c r="CY755" s="511"/>
      <c r="CZ755" s="511"/>
      <c r="DA755" s="511"/>
      <c r="DB755" s="511"/>
      <c r="DC755" s="511"/>
      <c r="DD755" s="511"/>
      <c r="DE755" s="511"/>
      <c r="DF755" s="511"/>
      <c r="DG755" s="511"/>
      <c r="DH755" s="511"/>
      <c r="DI755" s="511"/>
      <c r="DJ755" s="511"/>
      <c r="DK755" s="511"/>
      <c r="DL755" s="511"/>
      <c r="DM755" s="511"/>
      <c r="DN755" s="511"/>
      <c r="DO755" s="511"/>
      <c r="DP755" s="511"/>
    </row>
    <row r="756" spans="1:120" x14ac:dyDescent="0.2">
      <c r="A756" s="517">
        <f t="shared" si="102"/>
        <v>41760</v>
      </c>
      <c r="B756" s="517" t="str">
        <f t="shared" si="96"/>
        <v>2Q14</v>
      </c>
      <c r="C756" s="517" t="str">
        <f t="shared" si="103"/>
        <v>3Q14</v>
      </c>
      <c r="D756" s="518">
        <f t="shared" si="104"/>
        <v>41845</v>
      </c>
      <c r="E756" s="518">
        <f t="shared" si="105"/>
        <v>41785</v>
      </c>
      <c r="F756" s="520">
        <v>3.9249999999999998</v>
      </c>
      <c r="G756" s="521">
        <f t="shared" si="97"/>
        <v>0.56000000000000028</v>
      </c>
      <c r="H756" s="521">
        <f t="shared" si="106"/>
        <v>0.56000000000000028</v>
      </c>
      <c r="I756" s="511"/>
      <c r="J756" s="511"/>
      <c r="K756" s="511"/>
      <c r="L756" s="511"/>
      <c r="M756" s="511"/>
      <c r="N756" s="511"/>
      <c r="O756" s="511"/>
      <c r="P756" s="511"/>
      <c r="Q756" s="511"/>
      <c r="R756" s="511"/>
      <c r="S756" s="511"/>
      <c r="T756" s="511"/>
      <c r="U756" s="511"/>
      <c r="V756" s="511"/>
      <c r="W756" s="511"/>
      <c r="X756" s="511"/>
      <c r="Y756" s="511"/>
      <c r="Z756" s="511"/>
      <c r="AA756" s="511"/>
      <c r="AB756" s="511"/>
      <c r="AC756" s="511"/>
      <c r="AD756" s="511"/>
      <c r="AE756" s="511"/>
      <c r="AF756" s="511"/>
      <c r="AG756" s="511"/>
      <c r="AH756" s="511"/>
      <c r="AI756" s="511"/>
      <c r="AJ756" s="511"/>
      <c r="AK756" s="511"/>
      <c r="AL756" s="511"/>
      <c r="AM756" s="511"/>
      <c r="AN756" s="511"/>
      <c r="AO756" s="511"/>
      <c r="AP756" s="511"/>
      <c r="AQ756" s="511"/>
      <c r="AR756" s="511"/>
      <c r="AS756" s="511"/>
      <c r="AT756" s="511"/>
      <c r="AU756" s="511"/>
      <c r="AV756" s="511"/>
      <c r="AW756" s="511"/>
      <c r="AX756" s="511"/>
      <c r="AY756" s="511"/>
      <c r="AZ756" s="511"/>
      <c r="BA756" s="511"/>
      <c r="BB756" s="511"/>
      <c r="BC756" s="511"/>
      <c r="BD756" s="511"/>
      <c r="BE756" s="511"/>
      <c r="BF756" s="511"/>
      <c r="BG756" s="511"/>
      <c r="BH756" s="511"/>
      <c r="BI756" s="511"/>
      <c r="BJ756" s="511"/>
      <c r="BK756" s="511"/>
      <c r="BL756" s="511"/>
      <c r="BM756" s="511"/>
      <c r="BN756" s="511"/>
      <c r="BO756" s="511"/>
      <c r="BP756" s="511"/>
      <c r="BQ756" s="511"/>
      <c r="BR756" s="511"/>
      <c r="BS756" s="511"/>
      <c r="BT756" s="511"/>
      <c r="BU756" s="511"/>
      <c r="BV756" s="511"/>
      <c r="BW756" s="511"/>
      <c r="BX756" s="511"/>
      <c r="BY756" s="511"/>
      <c r="BZ756" s="511"/>
      <c r="CA756" s="511"/>
      <c r="CB756" s="511"/>
      <c r="CC756" s="511"/>
      <c r="CD756" s="511"/>
      <c r="CE756" s="511"/>
      <c r="CF756" s="511"/>
      <c r="CG756" s="511"/>
      <c r="CH756" s="511"/>
      <c r="CI756" s="511"/>
      <c r="CJ756" s="511"/>
      <c r="CK756" s="511"/>
      <c r="CL756" s="511"/>
      <c r="CM756" s="511"/>
      <c r="CN756" s="511"/>
      <c r="CO756" s="511"/>
      <c r="CP756" s="511"/>
      <c r="CQ756" s="511"/>
      <c r="CR756" s="511"/>
      <c r="CS756" s="511"/>
      <c r="CT756" s="511"/>
      <c r="CU756" s="511"/>
      <c r="CV756" s="511"/>
      <c r="CW756" s="511"/>
      <c r="CX756" s="511"/>
      <c r="CY756" s="511"/>
      <c r="CZ756" s="511"/>
      <c r="DA756" s="511"/>
      <c r="DB756" s="511"/>
      <c r="DC756" s="511"/>
      <c r="DD756" s="511"/>
      <c r="DE756" s="511"/>
      <c r="DF756" s="511"/>
      <c r="DG756" s="511"/>
      <c r="DH756" s="511"/>
      <c r="DI756" s="511"/>
      <c r="DJ756" s="511"/>
      <c r="DK756" s="511"/>
      <c r="DL756" s="511"/>
      <c r="DM756" s="511"/>
      <c r="DN756" s="511"/>
      <c r="DO756" s="511"/>
      <c r="DP756" s="511"/>
    </row>
    <row r="757" spans="1:120" x14ac:dyDescent="0.2">
      <c r="A757" s="517">
        <f t="shared" si="102"/>
        <v>41791</v>
      </c>
      <c r="B757" s="517" t="str">
        <f t="shared" si="96"/>
        <v>2Q14</v>
      </c>
      <c r="C757" s="517" t="str">
        <f t="shared" si="103"/>
        <v>3Q14</v>
      </c>
      <c r="D757" s="518">
        <f t="shared" si="104"/>
        <v>41852</v>
      </c>
      <c r="E757" s="518">
        <f t="shared" si="105"/>
        <v>41792</v>
      </c>
      <c r="F757" s="520">
        <v>3.9180000000000001</v>
      </c>
      <c r="G757" s="521">
        <f t="shared" si="97"/>
        <v>0.56000000000000028</v>
      </c>
      <c r="H757" s="521">
        <f t="shared" si="106"/>
        <v>0.55000000000000027</v>
      </c>
      <c r="I757" s="511"/>
      <c r="J757" s="511"/>
      <c r="K757" s="511"/>
      <c r="L757" s="511"/>
      <c r="M757" s="511"/>
      <c r="N757" s="511"/>
      <c r="O757" s="511"/>
      <c r="P757" s="511"/>
      <c r="Q757" s="511"/>
      <c r="R757" s="511"/>
      <c r="S757" s="511"/>
      <c r="T757" s="511"/>
      <c r="U757" s="511"/>
      <c r="V757" s="511"/>
      <c r="W757" s="511"/>
      <c r="X757" s="511"/>
      <c r="Y757" s="511"/>
      <c r="Z757" s="511"/>
      <c r="AA757" s="511"/>
      <c r="AB757" s="511"/>
      <c r="AC757" s="511"/>
      <c r="AD757" s="511"/>
      <c r="AE757" s="511"/>
      <c r="AF757" s="511"/>
      <c r="AG757" s="511"/>
      <c r="AH757" s="511"/>
      <c r="AI757" s="511"/>
      <c r="AJ757" s="511"/>
      <c r="AK757" s="511"/>
      <c r="AL757" s="511"/>
      <c r="AM757" s="511"/>
      <c r="AN757" s="511"/>
      <c r="AO757" s="511"/>
      <c r="AP757" s="511"/>
      <c r="AQ757" s="511"/>
      <c r="AR757" s="511"/>
      <c r="AS757" s="511"/>
      <c r="AT757" s="511"/>
      <c r="AU757" s="511"/>
      <c r="AV757" s="511"/>
      <c r="AW757" s="511"/>
      <c r="AX757" s="511"/>
      <c r="AY757" s="511"/>
      <c r="AZ757" s="511"/>
      <c r="BA757" s="511"/>
      <c r="BB757" s="511"/>
      <c r="BC757" s="511"/>
      <c r="BD757" s="511"/>
      <c r="BE757" s="511"/>
      <c r="BF757" s="511"/>
      <c r="BG757" s="511"/>
      <c r="BH757" s="511"/>
      <c r="BI757" s="511"/>
      <c r="BJ757" s="511"/>
      <c r="BK757" s="511"/>
      <c r="BL757" s="511"/>
      <c r="BM757" s="511"/>
      <c r="BN757" s="511"/>
      <c r="BO757" s="511"/>
      <c r="BP757" s="511"/>
      <c r="BQ757" s="511"/>
      <c r="BR757" s="511"/>
      <c r="BS757" s="511"/>
      <c r="BT757" s="511"/>
      <c r="BU757" s="511"/>
      <c r="BV757" s="511"/>
      <c r="BW757" s="511"/>
      <c r="BX757" s="511"/>
      <c r="BY757" s="511"/>
      <c r="BZ757" s="511"/>
      <c r="CA757" s="511"/>
      <c r="CB757" s="511"/>
      <c r="CC757" s="511"/>
      <c r="CD757" s="511"/>
      <c r="CE757" s="511"/>
      <c r="CF757" s="511"/>
      <c r="CG757" s="511"/>
      <c r="CH757" s="511"/>
      <c r="CI757" s="511"/>
      <c r="CJ757" s="511"/>
      <c r="CK757" s="511"/>
      <c r="CL757" s="511"/>
      <c r="CM757" s="511"/>
      <c r="CN757" s="511"/>
      <c r="CO757" s="511"/>
      <c r="CP757" s="511"/>
      <c r="CQ757" s="511"/>
      <c r="CR757" s="511"/>
      <c r="CS757" s="511"/>
      <c r="CT757" s="511"/>
      <c r="CU757" s="511"/>
      <c r="CV757" s="511"/>
      <c r="CW757" s="511"/>
      <c r="CX757" s="511"/>
      <c r="CY757" s="511"/>
      <c r="CZ757" s="511"/>
      <c r="DA757" s="511"/>
      <c r="DB757" s="511"/>
      <c r="DC757" s="511"/>
      <c r="DD757" s="511"/>
      <c r="DE757" s="511"/>
      <c r="DF757" s="511"/>
      <c r="DG757" s="511"/>
      <c r="DH757" s="511"/>
      <c r="DI757" s="511"/>
      <c r="DJ757" s="511"/>
      <c r="DK757" s="511"/>
      <c r="DL757" s="511"/>
      <c r="DM757" s="511"/>
      <c r="DN757" s="511"/>
      <c r="DO757" s="511"/>
      <c r="DP757" s="511"/>
    </row>
    <row r="758" spans="1:120" x14ac:dyDescent="0.2">
      <c r="A758" s="517">
        <f t="shared" si="102"/>
        <v>41791</v>
      </c>
      <c r="B758" s="517" t="str">
        <f t="shared" si="96"/>
        <v>2Q14</v>
      </c>
      <c r="C758" s="517" t="str">
        <f t="shared" si="103"/>
        <v>3Q14</v>
      </c>
      <c r="D758" s="518">
        <f t="shared" si="104"/>
        <v>41859</v>
      </c>
      <c r="E758" s="518">
        <f t="shared" si="105"/>
        <v>41799</v>
      </c>
      <c r="F758" s="520">
        <v>3.8919999999999999</v>
      </c>
      <c r="G758" s="521">
        <f t="shared" si="97"/>
        <v>0.55000000000000027</v>
      </c>
      <c r="H758" s="521">
        <f t="shared" si="106"/>
        <v>0.55000000000000027</v>
      </c>
      <c r="I758" s="511"/>
      <c r="J758" s="511"/>
      <c r="K758" s="511">
        <f>(300/226.53)^(1/3)</f>
        <v>1.0981588770547208</v>
      </c>
      <c r="L758" s="511"/>
      <c r="M758" s="511"/>
      <c r="N758" s="511"/>
      <c r="O758" s="511"/>
      <c r="P758" s="511"/>
      <c r="Q758" s="511"/>
      <c r="R758" s="511"/>
      <c r="S758" s="511"/>
      <c r="T758" s="511"/>
      <c r="U758" s="511"/>
      <c r="V758" s="511"/>
      <c r="W758" s="511"/>
      <c r="X758" s="511"/>
      <c r="Y758" s="511"/>
      <c r="Z758" s="511"/>
      <c r="AA758" s="511"/>
      <c r="AB758" s="511"/>
      <c r="AC758" s="511"/>
      <c r="AD758" s="511"/>
      <c r="AE758" s="511"/>
      <c r="AF758" s="511"/>
      <c r="AG758" s="511"/>
      <c r="AH758" s="511"/>
      <c r="AI758" s="511"/>
      <c r="AJ758" s="511"/>
      <c r="AK758" s="511"/>
      <c r="AL758" s="511"/>
      <c r="AM758" s="511"/>
      <c r="AN758" s="511"/>
      <c r="AO758" s="511"/>
      <c r="AP758" s="511"/>
      <c r="AQ758" s="511"/>
      <c r="AR758" s="511"/>
      <c r="AS758" s="511"/>
      <c r="AT758" s="511"/>
      <c r="AU758" s="511"/>
      <c r="AV758" s="511"/>
      <c r="AW758" s="511"/>
      <c r="AX758" s="511"/>
      <c r="AY758" s="511"/>
      <c r="AZ758" s="511"/>
      <c r="BA758" s="511"/>
      <c r="BB758" s="511"/>
      <c r="BC758" s="511"/>
      <c r="BD758" s="511"/>
      <c r="BE758" s="511"/>
      <c r="BF758" s="511"/>
      <c r="BG758" s="511"/>
      <c r="BH758" s="511"/>
      <c r="BI758" s="511"/>
      <c r="BJ758" s="511"/>
      <c r="BK758" s="511"/>
      <c r="BL758" s="511"/>
      <c r="BM758" s="511"/>
      <c r="BN758" s="511"/>
      <c r="BO758" s="511"/>
      <c r="BP758" s="511"/>
      <c r="BQ758" s="511"/>
      <c r="BR758" s="511"/>
      <c r="BS758" s="511"/>
      <c r="BT758" s="511"/>
      <c r="BU758" s="511"/>
      <c r="BV758" s="511"/>
      <c r="BW758" s="511"/>
      <c r="BX758" s="511"/>
      <c r="BY758" s="511"/>
      <c r="BZ758" s="511"/>
      <c r="CA758" s="511"/>
      <c r="CB758" s="511"/>
      <c r="CC758" s="511"/>
      <c r="CD758" s="511"/>
      <c r="CE758" s="511"/>
      <c r="CF758" s="511"/>
      <c r="CG758" s="511"/>
      <c r="CH758" s="511"/>
      <c r="CI758" s="511"/>
      <c r="CJ758" s="511"/>
      <c r="CK758" s="511"/>
      <c r="CL758" s="511"/>
      <c r="CM758" s="511"/>
      <c r="CN758" s="511"/>
      <c r="CO758" s="511"/>
      <c r="CP758" s="511"/>
      <c r="CQ758" s="511"/>
      <c r="CR758" s="511"/>
      <c r="CS758" s="511"/>
      <c r="CT758" s="511"/>
      <c r="CU758" s="511"/>
      <c r="CV758" s="511"/>
      <c r="CW758" s="511"/>
      <c r="CX758" s="511"/>
      <c r="CY758" s="511"/>
      <c r="CZ758" s="511"/>
      <c r="DA758" s="511"/>
      <c r="DB758" s="511"/>
      <c r="DC758" s="511"/>
      <c r="DD758" s="511"/>
      <c r="DE758" s="511"/>
      <c r="DF758" s="511"/>
      <c r="DG758" s="511"/>
      <c r="DH758" s="511"/>
      <c r="DI758" s="511"/>
      <c r="DJ758" s="511"/>
      <c r="DK758" s="511"/>
      <c r="DL758" s="511"/>
      <c r="DM758" s="511"/>
      <c r="DN758" s="511"/>
      <c r="DO758" s="511"/>
      <c r="DP758" s="511"/>
    </row>
    <row r="759" spans="1:120" x14ac:dyDescent="0.2">
      <c r="A759" s="517">
        <f t="shared" si="102"/>
        <v>41791</v>
      </c>
      <c r="B759" s="517" t="str">
        <f t="shared" si="96"/>
        <v>2Q14</v>
      </c>
      <c r="C759" s="517" t="str">
        <f t="shared" si="103"/>
        <v>3Q14</v>
      </c>
      <c r="D759" s="518">
        <f t="shared" si="104"/>
        <v>41866</v>
      </c>
      <c r="E759" s="518">
        <f t="shared" si="105"/>
        <v>41806</v>
      </c>
      <c r="F759" s="520">
        <v>3.8820000000000001</v>
      </c>
      <c r="G759" s="521">
        <f t="shared" si="97"/>
        <v>0.55000000000000027</v>
      </c>
      <c r="H759" s="521">
        <f t="shared" si="106"/>
        <v>0.56000000000000028</v>
      </c>
      <c r="I759" s="511"/>
      <c r="J759" s="511"/>
      <c r="K759" s="511"/>
      <c r="L759" s="511"/>
      <c r="M759" s="511"/>
      <c r="N759" s="511"/>
      <c r="O759" s="511"/>
      <c r="P759" s="511"/>
      <c r="Q759" s="511"/>
      <c r="R759" s="511"/>
      <c r="S759" s="511"/>
      <c r="T759" s="511"/>
      <c r="U759" s="511"/>
      <c r="V759" s="511"/>
      <c r="W759" s="511"/>
      <c r="X759" s="511"/>
      <c r="Y759" s="511"/>
      <c r="Z759" s="511"/>
      <c r="AA759" s="511"/>
      <c r="AB759" s="511"/>
      <c r="AC759" s="511"/>
      <c r="AD759" s="511"/>
      <c r="AE759" s="511"/>
      <c r="AF759" s="511"/>
      <c r="AG759" s="511"/>
      <c r="AH759" s="511"/>
      <c r="AI759" s="511"/>
      <c r="AJ759" s="511"/>
      <c r="AK759" s="511"/>
      <c r="AL759" s="511"/>
      <c r="AM759" s="511"/>
      <c r="AN759" s="511"/>
      <c r="AO759" s="511"/>
      <c r="AP759" s="511"/>
      <c r="AQ759" s="511"/>
      <c r="AR759" s="511"/>
      <c r="AS759" s="511"/>
      <c r="AT759" s="511"/>
      <c r="AU759" s="511"/>
      <c r="AV759" s="511"/>
      <c r="AW759" s="511"/>
      <c r="AX759" s="511"/>
      <c r="AY759" s="511"/>
      <c r="AZ759" s="511"/>
      <c r="BA759" s="511"/>
      <c r="BB759" s="511"/>
      <c r="BC759" s="511"/>
      <c r="BD759" s="511"/>
      <c r="BE759" s="511"/>
      <c r="BF759" s="511"/>
      <c r="BG759" s="511"/>
      <c r="BH759" s="511"/>
      <c r="BI759" s="511"/>
      <c r="BJ759" s="511"/>
      <c r="BK759" s="511"/>
      <c r="BL759" s="511"/>
      <c r="BM759" s="511"/>
      <c r="BN759" s="511"/>
      <c r="BO759" s="511"/>
      <c r="BP759" s="511"/>
      <c r="BQ759" s="511"/>
      <c r="BR759" s="511"/>
      <c r="BS759" s="511"/>
      <c r="BT759" s="511"/>
      <c r="BU759" s="511"/>
      <c r="BV759" s="511"/>
      <c r="BW759" s="511"/>
      <c r="BX759" s="511"/>
      <c r="BY759" s="511"/>
      <c r="BZ759" s="511"/>
      <c r="CA759" s="511"/>
      <c r="CB759" s="511"/>
      <c r="CC759" s="511"/>
      <c r="CD759" s="511"/>
      <c r="CE759" s="511"/>
      <c r="CF759" s="511"/>
      <c r="CG759" s="511"/>
      <c r="CH759" s="511"/>
      <c r="CI759" s="511"/>
      <c r="CJ759" s="511"/>
      <c r="CK759" s="511"/>
      <c r="CL759" s="511"/>
      <c r="CM759" s="511"/>
      <c r="CN759" s="511"/>
      <c r="CO759" s="511"/>
      <c r="CP759" s="511"/>
      <c r="CQ759" s="511"/>
      <c r="CR759" s="511"/>
      <c r="CS759" s="511"/>
      <c r="CT759" s="511"/>
      <c r="CU759" s="511"/>
      <c r="CV759" s="511"/>
      <c r="CW759" s="511"/>
      <c r="CX759" s="511"/>
      <c r="CY759" s="511"/>
      <c r="CZ759" s="511"/>
      <c r="DA759" s="511"/>
      <c r="DB759" s="511"/>
      <c r="DC759" s="511"/>
      <c r="DD759" s="511"/>
      <c r="DE759" s="511"/>
      <c r="DF759" s="511"/>
      <c r="DG759" s="511"/>
      <c r="DH759" s="511"/>
      <c r="DI759" s="511"/>
      <c r="DJ759" s="511"/>
      <c r="DK759" s="511"/>
      <c r="DL759" s="511"/>
      <c r="DM759" s="511"/>
      <c r="DN759" s="511"/>
      <c r="DO759" s="511"/>
      <c r="DP759" s="511"/>
    </row>
    <row r="760" spans="1:120" x14ac:dyDescent="0.2">
      <c r="A760" s="517">
        <f t="shared" si="102"/>
        <v>41791</v>
      </c>
      <c r="B760" s="517" t="str">
        <f t="shared" si="96"/>
        <v>2Q14</v>
      </c>
      <c r="C760" s="517" t="str">
        <f t="shared" si="103"/>
        <v>3Q14</v>
      </c>
      <c r="D760" s="518">
        <f t="shared" si="104"/>
        <v>41873</v>
      </c>
      <c r="E760" s="518">
        <f t="shared" si="105"/>
        <v>41813</v>
      </c>
      <c r="F760" s="520">
        <v>3.919</v>
      </c>
      <c r="G760" s="521">
        <f t="shared" si="97"/>
        <v>0.56000000000000028</v>
      </c>
      <c r="H760" s="521">
        <f t="shared" si="106"/>
        <v>0.56000000000000028</v>
      </c>
      <c r="I760" s="511"/>
      <c r="J760" s="511"/>
      <c r="K760" s="511"/>
      <c r="L760" s="511"/>
      <c r="M760" s="511"/>
      <c r="N760" s="511"/>
      <c r="O760" s="511"/>
      <c r="P760" s="511"/>
      <c r="Q760" s="511"/>
      <c r="R760" s="511"/>
      <c r="S760" s="511"/>
      <c r="T760" s="511"/>
      <c r="U760" s="511"/>
      <c r="V760" s="511"/>
      <c r="W760" s="511"/>
      <c r="X760" s="511"/>
      <c r="Y760" s="511"/>
      <c r="Z760" s="511"/>
      <c r="AA760" s="511"/>
      <c r="AB760" s="511"/>
      <c r="AC760" s="511"/>
      <c r="AD760" s="511"/>
      <c r="AE760" s="511"/>
      <c r="AF760" s="511"/>
      <c r="AG760" s="511"/>
      <c r="AH760" s="511"/>
      <c r="AI760" s="511"/>
      <c r="AJ760" s="511"/>
      <c r="AK760" s="511"/>
      <c r="AL760" s="511"/>
      <c r="AM760" s="511"/>
      <c r="AN760" s="511"/>
      <c r="AO760" s="511"/>
      <c r="AP760" s="511"/>
      <c r="AQ760" s="511"/>
      <c r="AR760" s="511"/>
      <c r="AS760" s="511"/>
      <c r="AT760" s="511"/>
      <c r="AU760" s="511"/>
      <c r="AV760" s="511"/>
      <c r="AW760" s="511"/>
      <c r="AX760" s="511"/>
      <c r="AY760" s="511"/>
      <c r="AZ760" s="511"/>
      <c r="BA760" s="511"/>
      <c r="BB760" s="511"/>
      <c r="BC760" s="511"/>
      <c r="BD760" s="511"/>
      <c r="BE760" s="511"/>
      <c r="BF760" s="511"/>
      <c r="BG760" s="511"/>
      <c r="BH760" s="511"/>
      <c r="BI760" s="511"/>
      <c r="BJ760" s="511"/>
      <c r="BK760" s="511"/>
      <c r="BL760" s="511"/>
      <c r="BM760" s="511"/>
      <c r="BN760" s="511"/>
      <c r="BO760" s="511"/>
      <c r="BP760" s="511"/>
      <c r="BQ760" s="511"/>
      <c r="BR760" s="511"/>
      <c r="BS760" s="511"/>
      <c r="BT760" s="511"/>
      <c r="BU760" s="511"/>
      <c r="BV760" s="511"/>
      <c r="BW760" s="511"/>
      <c r="BX760" s="511"/>
      <c r="BY760" s="511"/>
      <c r="BZ760" s="511"/>
      <c r="CA760" s="511"/>
      <c r="CB760" s="511"/>
      <c r="CC760" s="511"/>
      <c r="CD760" s="511"/>
      <c r="CE760" s="511"/>
      <c r="CF760" s="511"/>
      <c r="CG760" s="511"/>
      <c r="CH760" s="511"/>
      <c r="CI760" s="511"/>
      <c r="CJ760" s="511"/>
      <c r="CK760" s="511"/>
      <c r="CL760" s="511"/>
      <c r="CM760" s="511"/>
      <c r="CN760" s="511"/>
      <c r="CO760" s="511"/>
      <c r="CP760" s="511"/>
      <c r="CQ760" s="511"/>
      <c r="CR760" s="511"/>
      <c r="CS760" s="511"/>
      <c r="CT760" s="511"/>
      <c r="CU760" s="511"/>
      <c r="CV760" s="511"/>
      <c r="CW760" s="511"/>
      <c r="CX760" s="511"/>
      <c r="CY760" s="511"/>
      <c r="CZ760" s="511"/>
      <c r="DA760" s="511"/>
      <c r="DB760" s="511"/>
      <c r="DC760" s="511"/>
      <c r="DD760" s="511"/>
      <c r="DE760" s="511"/>
      <c r="DF760" s="511"/>
      <c r="DG760" s="511"/>
      <c r="DH760" s="511"/>
      <c r="DI760" s="511"/>
      <c r="DJ760" s="511"/>
      <c r="DK760" s="511"/>
      <c r="DL760" s="511"/>
      <c r="DM760" s="511"/>
      <c r="DN760" s="511"/>
      <c r="DO760" s="511"/>
      <c r="DP760" s="511"/>
    </row>
    <row r="761" spans="1:120" x14ac:dyDescent="0.2">
      <c r="A761" s="517">
        <f t="shared" si="102"/>
        <v>41791</v>
      </c>
      <c r="B761" s="517" t="str">
        <f t="shared" si="96"/>
        <v>2Q14</v>
      </c>
      <c r="C761" s="517" t="str">
        <f t="shared" si="103"/>
        <v>3Q14</v>
      </c>
      <c r="D761" s="518">
        <f t="shared" si="104"/>
        <v>41880</v>
      </c>
      <c r="E761" s="518">
        <f t="shared" si="105"/>
        <v>41820</v>
      </c>
      <c r="F761" s="520">
        <v>3.92</v>
      </c>
      <c r="G761" s="521">
        <f t="shared" si="97"/>
        <v>0.56000000000000028</v>
      </c>
      <c r="H761" s="521">
        <f t="shared" si="106"/>
        <v>0.56000000000000028</v>
      </c>
      <c r="I761" s="511"/>
      <c r="J761" s="511"/>
      <c r="K761" s="511"/>
      <c r="L761" s="511"/>
      <c r="M761" s="511"/>
      <c r="N761" s="511"/>
      <c r="O761" s="511"/>
      <c r="P761" s="511"/>
      <c r="Q761" s="511"/>
      <c r="R761" s="511"/>
      <c r="S761" s="511"/>
      <c r="T761" s="511"/>
      <c r="U761" s="511"/>
      <c r="V761" s="511"/>
      <c r="W761" s="511"/>
      <c r="X761" s="511"/>
      <c r="Y761" s="511"/>
      <c r="Z761" s="511"/>
      <c r="AA761" s="511"/>
      <c r="AB761" s="511"/>
      <c r="AC761" s="511"/>
      <c r="AD761" s="511"/>
      <c r="AE761" s="511"/>
      <c r="AF761" s="511"/>
      <c r="AG761" s="511"/>
      <c r="AH761" s="511"/>
      <c r="AI761" s="511"/>
      <c r="AJ761" s="511"/>
      <c r="AK761" s="511"/>
      <c r="AL761" s="511"/>
      <c r="AM761" s="511"/>
      <c r="AN761" s="511"/>
      <c r="AO761" s="511"/>
      <c r="AP761" s="511"/>
      <c r="AQ761" s="511"/>
      <c r="AR761" s="511"/>
      <c r="AS761" s="511"/>
      <c r="AT761" s="511"/>
      <c r="AU761" s="511"/>
      <c r="AV761" s="511"/>
      <c r="AW761" s="511"/>
      <c r="AX761" s="511"/>
      <c r="AY761" s="511"/>
      <c r="AZ761" s="511"/>
      <c r="BA761" s="511"/>
      <c r="BB761" s="511"/>
      <c r="BC761" s="511"/>
      <c r="BD761" s="511"/>
      <c r="BE761" s="511"/>
      <c r="BF761" s="511"/>
      <c r="BG761" s="511"/>
      <c r="BH761" s="511"/>
      <c r="BI761" s="511"/>
      <c r="BJ761" s="511"/>
      <c r="BK761" s="511"/>
      <c r="BL761" s="511"/>
      <c r="BM761" s="511"/>
      <c r="BN761" s="511"/>
      <c r="BO761" s="511"/>
      <c r="BP761" s="511"/>
      <c r="BQ761" s="511"/>
      <c r="BR761" s="511"/>
      <c r="BS761" s="511"/>
      <c r="BT761" s="511"/>
      <c r="BU761" s="511"/>
      <c r="BV761" s="511"/>
      <c r="BW761" s="511"/>
      <c r="BX761" s="511"/>
      <c r="BY761" s="511"/>
      <c r="BZ761" s="511"/>
      <c r="CA761" s="511"/>
      <c r="CB761" s="511"/>
      <c r="CC761" s="511"/>
      <c r="CD761" s="511"/>
      <c r="CE761" s="511"/>
      <c r="CF761" s="511"/>
      <c r="CG761" s="511"/>
      <c r="CH761" s="511"/>
      <c r="CI761" s="511"/>
      <c r="CJ761" s="511"/>
      <c r="CK761" s="511"/>
      <c r="CL761" s="511"/>
      <c r="CM761" s="511"/>
      <c r="CN761" s="511"/>
      <c r="CO761" s="511"/>
      <c r="CP761" s="511"/>
      <c r="CQ761" s="511"/>
      <c r="CR761" s="511"/>
      <c r="CS761" s="511"/>
      <c r="CT761" s="511"/>
      <c r="CU761" s="511"/>
      <c r="CV761" s="511"/>
      <c r="CW761" s="511"/>
      <c r="CX761" s="511"/>
      <c r="CY761" s="511"/>
      <c r="CZ761" s="511"/>
      <c r="DA761" s="511"/>
      <c r="DB761" s="511"/>
      <c r="DC761" s="511"/>
      <c r="DD761" s="511"/>
      <c r="DE761" s="511"/>
      <c r="DF761" s="511"/>
      <c r="DG761" s="511"/>
      <c r="DH761" s="511"/>
      <c r="DI761" s="511"/>
      <c r="DJ761" s="511"/>
      <c r="DK761" s="511"/>
      <c r="DL761" s="511"/>
      <c r="DM761" s="511"/>
      <c r="DN761" s="511"/>
      <c r="DO761" s="511"/>
      <c r="DP761" s="511"/>
    </row>
    <row r="762" spans="1:120" x14ac:dyDescent="0.2">
      <c r="A762" s="517">
        <f t="shared" si="102"/>
        <v>41821</v>
      </c>
      <c r="B762" s="517" t="str">
        <f t="shared" si="96"/>
        <v>3Q14</v>
      </c>
      <c r="C762" s="517" t="str">
        <f t="shared" si="103"/>
        <v>3Q14</v>
      </c>
      <c r="D762" s="518">
        <f t="shared" si="104"/>
        <v>41887</v>
      </c>
      <c r="E762" s="518">
        <f t="shared" si="105"/>
        <v>41827</v>
      </c>
      <c r="F762" s="520">
        <v>3.9129999999999998</v>
      </c>
      <c r="G762" s="521">
        <f t="shared" si="97"/>
        <v>0.56000000000000028</v>
      </c>
      <c r="H762" s="521">
        <f t="shared" si="106"/>
        <v>0.55000000000000027</v>
      </c>
      <c r="I762" s="511"/>
      <c r="J762" s="511"/>
      <c r="K762" s="511"/>
      <c r="L762" s="511"/>
      <c r="M762" s="511"/>
      <c r="N762" s="511"/>
      <c r="O762" s="511"/>
      <c r="P762" s="511"/>
      <c r="Q762" s="511"/>
      <c r="R762" s="511"/>
      <c r="S762" s="511"/>
      <c r="T762" s="511"/>
      <c r="U762" s="511"/>
      <c r="V762" s="511"/>
      <c r="W762" s="511"/>
      <c r="X762" s="511"/>
      <c r="Y762" s="511"/>
      <c r="Z762" s="511"/>
      <c r="AA762" s="511"/>
      <c r="AB762" s="511"/>
      <c r="AC762" s="511"/>
      <c r="AD762" s="511"/>
      <c r="AE762" s="511"/>
      <c r="AF762" s="511"/>
      <c r="AG762" s="511"/>
      <c r="AH762" s="511"/>
      <c r="AI762" s="511"/>
      <c r="AJ762" s="511"/>
      <c r="AK762" s="511"/>
      <c r="AL762" s="511"/>
      <c r="AM762" s="511"/>
      <c r="AN762" s="511"/>
      <c r="AO762" s="511"/>
      <c r="AP762" s="511"/>
      <c r="AQ762" s="511"/>
      <c r="AR762" s="511"/>
      <c r="AS762" s="511"/>
      <c r="AT762" s="511"/>
      <c r="AU762" s="511"/>
      <c r="AV762" s="511"/>
      <c r="AW762" s="511"/>
      <c r="AX762" s="511"/>
      <c r="AY762" s="511"/>
      <c r="AZ762" s="511"/>
      <c r="BA762" s="511"/>
      <c r="BB762" s="511"/>
      <c r="BC762" s="511"/>
      <c r="BD762" s="511"/>
      <c r="BE762" s="511"/>
      <c r="BF762" s="511"/>
      <c r="BG762" s="511"/>
      <c r="BH762" s="511"/>
      <c r="BI762" s="511"/>
      <c r="BJ762" s="511"/>
      <c r="BK762" s="511"/>
      <c r="BL762" s="511"/>
      <c r="BM762" s="511"/>
      <c r="BN762" s="511"/>
      <c r="BO762" s="511"/>
      <c r="BP762" s="511"/>
      <c r="BQ762" s="511"/>
      <c r="BR762" s="511"/>
      <c r="BS762" s="511"/>
      <c r="BT762" s="511"/>
      <c r="BU762" s="511"/>
      <c r="BV762" s="511"/>
      <c r="BW762" s="511"/>
      <c r="BX762" s="511"/>
      <c r="BY762" s="511"/>
      <c r="BZ762" s="511"/>
      <c r="CA762" s="511"/>
      <c r="CB762" s="511"/>
      <c r="CC762" s="511"/>
      <c r="CD762" s="511"/>
      <c r="CE762" s="511"/>
      <c r="CF762" s="511"/>
      <c r="CG762" s="511"/>
      <c r="CH762" s="511"/>
      <c r="CI762" s="511"/>
      <c r="CJ762" s="511"/>
      <c r="CK762" s="511"/>
      <c r="CL762" s="511"/>
      <c r="CM762" s="511"/>
      <c r="CN762" s="511"/>
      <c r="CO762" s="511"/>
      <c r="CP762" s="511"/>
      <c r="CQ762" s="511"/>
      <c r="CR762" s="511"/>
      <c r="CS762" s="511"/>
      <c r="CT762" s="511"/>
      <c r="CU762" s="511"/>
      <c r="CV762" s="511"/>
      <c r="CW762" s="511"/>
      <c r="CX762" s="511"/>
      <c r="CY762" s="511"/>
      <c r="CZ762" s="511"/>
      <c r="DA762" s="511"/>
      <c r="DB762" s="511"/>
      <c r="DC762" s="511"/>
      <c r="DD762" s="511"/>
      <c r="DE762" s="511"/>
      <c r="DF762" s="511"/>
      <c r="DG762" s="511"/>
      <c r="DH762" s="511"/>
      <c r="DI762" s="511"/>
      <c r="DJ762" s="511"/>
      <c r="DK762" s="511"/>
      <c r="DL762" s="511"/>
      <c r="DM762" s="511"/>
      <c r="DN762" s="511"/>
      <c r="DO762" s="511"/>
      <c r="DP762" s="511"/>
    </row>
    <row r="763" spans="1:120" x14ac:dyDescent="0.2">
      <c r="A763" s="517">
        <f t="shared" si="102"/>
        <v>41821</v>
      </c>
      <c r="B763" s="517" t="str">
        <f t="shared" si="96"/>
        <v>3Q14</v>
      </c>
      <c r="C763" s="517" t="str">
        <f t="shared" si="103"/>
        <v>3Q14</v>
      </c>
      <c r="D763" s="518">
        <f t="shared" si="104"/>
        <v>41894</v>
      </c>
      <c r="E763" s="518">
        <f t="shared" si="105"/>
        <v>41834</v>
      </c>
      <c r="F763" s="520">
        <v>3.8940000000000001</v>
      </c>
      <c r="G763" s="521">
        <f t="shared" si="97"/>
        <v>0.55000000000000027</v>
      </c>
      <c r="H763" s="521">
        <f t="shared" si="106"/>
        <v>0.55000000000000027</v>
      </c>
      <c r="I763" s="511"/>
      <c r="J763" s="511"/>
      <c r="K763" s="511"/>
      <c r="L763" s="511"/>
      <c r="M763" s="511"/>
      <c r="N763" s="511"/>
      <c r="O763" s="511"/>
      <c r="P763" s="511"/>
      <c r="Q763" s="511"/>
      <c r="R763" s="511"/>
      <c r="S763" s="511"/>
      <c r="T763" s="511"/>
      <c r="U763" s="511"/>
      <c r="V763" s="511"/>
      <c r="W763" s="511"/>
      <c r="X763" s="511"/>
      <c r="Y763" s="511"/>
      <c r="Z763" s="511"/>
      <c r="AA763" s="511"/>
      <c r="AB763" s="511"/>
      <c r="AC763" s="511"/>
      <c r="AD763" s="511"/>
      <c r="AE763" s="511"/>
      <c r="AF763" s="511"/>
      <c r="AG763" s="511"/>
      <c r="AH763" s="511"/>
      <c r="AI763" s="511"/>
      <c r="AJ763" s="511"/>
      <c r="AK763" s="511"/>
      <c r="AL763" s="511"/>
      <c r="AM763" s="511"/>
      <c r="AN763" s="511"/>
      <c r="AO763" s="511"/>
      <c r="AP763" s="511"/>
      <c r="AQ763" s="511"/>
      <c r="AR763" s="511"/>
      <c r="AS763" s="511"/>
      <c r="AT763" s="511"/>
      <c r="AU763" s="511"/>
      <c r="AV763" s="511"/>
      <c r="AW763" s="511"/>
      <c r="AX763" s="511"/>
      <c r="AY763" s="511"/>
      <c r="AZ763" s="511"/>
      <c r="BA763" s="511"/>
      <c r="BB763" s="511"/>
      <c r="BC763" s="511"/>
      <c r="BD763" s="511"/>
      <c r="BE763" s="511"/>
      <c r="BF763" s="511"/>
      <c r="BG763" s="511"/>
      <c r="BH763" s="511"/>
      <c r="BI763" s="511"/>
      <c r="BJ763" s="511"/>
      <c r="BK763" s="511"/>
      <c r="BL763" s="511"/>
      <c r="BM763" s="511"/>
      <c r="BN763" s="511"/>
      <c r="BO763" s="511"/>
      <c r="BP763" s="511"/>
      <c r="BQ763" s="511"/>
      <c r="BR763" s="511"/>
      <c r="BS763" s="511"/>
      <c r="BT763" s="511"/>
      <c r="BU763" s="511"/>
      <c r="BV763" s="511"/>
      <c r="BW763" s="511"/>
      <c r="BX763" s="511"/>
      <c r="BY763" s="511"/>
      <c r="BZ763" s="511"/>
      <c r="CA763" s="511"/>
      <c r="CB763" s="511"/>
      <c r="CC763" s="511"/>
      <c r="CD763" s="511"/>
      <c r="CE763" s="511"/>
      <c r="CF763" s="511"/>
      <c r="CG763" s="511"/>
      <c r="CH763" s="511"/>
      <c r="CI763" s="511"/>
      <c r="CJ763" s="511"/>
      <c r="CK763" s="511"/>
      <c r="CL763" s="511"/>
      <c r="CM763" s="511"/>
      <c r="CN763" s="511"/>
      <c r="CO763" s="511"/>
      <c r="CP763" s="511"/>
      <c r="CQ763" s="511"/>
      <c r="CR763" s="511"/>
      <c r="CS763" s="511"/>
      <c r="CT763" s="511"/>
      <c r="CU763" s="511"/>
      <c r="CV763" s="511"/>
      <c r="CW763" s="511"/>
      <c r="CX763" s="511"/>
      <c r="CY763" s="511"/>
      <c r="CZ763" s="511"/>
      <c r="DA763" s="511"/>
      <c r="DB763" s="511"/>
      <c r="DC763" s="511"/>
      <c r="DD763" s="511"/>
      <c r="DE763" s="511"/>
      <c r="DF763" s="511"/>
      <c r="DG763" s="511"/>
      <c r="DH763" s="511"/>
      <c r="DI763" s="511"/>
      <c r="DJ763" s="511"/>
      <c r="DK763" s="511"/>
      <c r="DL763" s="511"/>
      <c r="DM763" s="511"/>
      <c r="DN763" s="511"/>
      <c r="DO763" s="511"/>
      <c r="DP763" s="511"/>
    </row>
    <row r="764" spans="1:120" x14ac:dyDescent="0.2">
      <c r="A764" s="517">
        <f t="shared" si="102"/>
        <v>41821</v>
      </c>
      <c r="B764" s="517" t="str">
        <f t="shared" si="96"/>
        <v>3Q14</v>
      </c>
      <c r="C764" s="517" t="str">
        <f t="shared" si="103"/>
        <v>3Q14</v>
      </c>
      <c r="D764" s="518">
        <f t="shared" si="104"/>
        <v>41901</v>
      </c>
      <c r="E764" s="518">
        <f t="shared" si="105"/>
        <v>41841</v>
      </c>
      <c r="F764" s="520">
        <v>3.8690000000000002</v>
      </c>
      <c r="G764" s="521">
        <f t="shared" si="97"/>
        <v>0.55000000000000027</v>
      </c>
      <c r="H764" s="521">
        <f t="shared" si="106"/>
        <v>0.55000000000000027</v>
      </c>
      <c r="I764" s="511"/>
      <c r="J764" s="511"/>
      <c r="K764" s="511"/>
      <c r="L764" s="511"/>
      <c r="M764" s="511"/>
      <c r="N764" s="511"/>
      <c r="O764" s="511"/>
      <c r="P764" s="511"/>
      <c r="Q764" s="511"/>
      <c r="R764" s="511"/>
      <c r="S764" s="511"/>
      <c r="T764" s="511"/>
      <c r="U764" s="511"/>
      <c r="V764" s="511"/>
      <c r="W764" s="511"/>
      <c r="X764" s="511"/>
      <c r="Y764" s="511"/>
      <c r="Z764" s="511"/>
      <c r="AA764" s="511"/>
      <c r="AB764" s="511"/>
      <c r="AC764" s="511"/>
      <c r="AD764" s="511"/>
      <c r="AE764" s="511"/>
      <c r="AF764" s="511"/>
      <c r="AG764" s="511"/>
      <c r="AH764" s="511"/>
      <c r="AI764" s="511"/>
      <c r="AJ764" s="511"/>
      <c r="AK764" s="511"/>
      <c r="AL764" s="511"/>
      <c r="AM764" s="511"/>
      <c r="AN764" s="511"/>
      <c r="AO764" s="511"/>
      <c r="AP764" s="511"/>
      <c r="AQ764" s="511"/>
      <c r="AR764" s="511"/>
      <c r="AS764" s="511"/>
      <c r="AT764" s="511"/>
      <c r="AU764" s="511"/>
      <c r="AV764" s="511"/>
      <c r="AW764" s="511"/>
      <c r="AX764" s="511"/>
      <c r="AY764" s="511"/>
      <c r="AZ764" s="511"/>
      <c r="BA764" s="511"/>
      <c r="BB764" s="511"/>
      <c r="BC764" s="511"/>
      <c r="BD764" s="511"/>
      <c r="BE764" s="511"/>
      <c r="BF764" s="511"/>
      <c r="BG764" s="511"/>
      <c r="BH764" s="511"/>
      <c r="BI764" s="511"/>
      <c r="BJ764" s="511"/>
      <c r="BK764" s="511"/>
      <c r="BL764" s="511"/>
      <c r="BM764" s="511"/>
      <c r="BN764" s="511"/>
      <c r="BO764" s="511"/>
      <c r="BP764" s="511"/>
      <c r="BQ764" s="511"/>
      <c r="BR764" s="511"/>
      <c r="BS764" s="511"/>
      <c r="BT764" s="511"/>
      <c r="BU764" s="511"/>
      <c r="BV764" s="511"/>
      <c r="BW764" s="511"/>
      <c r="BX764" s="511"/>
      <c r="BY764" s="511"/>
      <c r="BZ764" s="511"/>
      <c r="CA764" s="511"/>
      <c r="CB764" s="511"/>
      <c r="CC764" s="511"/>
      <c r="CD764" s="511"/>
      <c r="CE764" s="511"/>
      <c r="CF764" s="511"/>
      <c r="CG764" s="511"/>
      <c r="CH764" s="511"/>
      <c r="CI764" s="511"/>
      <c r="CJ764" s="511"/>
      <c r="CK764" s="511"/>
      <c r="CL764" s="511"/>
      <c r="CM764" s="511"/>
      <c r="CN764" s="511"/>
      <c r="CO764" s="511"/>
      <c r="CP764" s="511"/>
      <c r="CQ764" s="511"/>
      <c r="CR764" s="511"/>
      <c r="CS764" s="511"/>
      <c r="CT764" s="511"/>
      <c r="CU764" s="511"/>
      <c r="CV764" s="511"/>
      <c r="CW764" s="511"/>
      <c r="CX764" s="511"/>
      <c r="CY764" s="511"/>
      <c r="CZ764" s="511"/>
      <c r="DA764" s="511"/>
      <c r="DB764" s="511"/>
      <c r="DC764" s="511"/>
      <c r="DD764" s="511"/>
      <c r="DE764" s="511"/>
      <c r="DF764" s="511"/>
      <c r="DG764" s="511"/>
      <c r="DH764" s="511"/>
      <c r="DI764" s="511"/>
      <c r="DJ764" s="511"/>
      <c r="DK764" s="511"/>
      <c r="DL764" s="511"/>
      <c r="DM764" s="511"/>
      <c r="DN764" s="511"/>
      <c r="DO764" s="511"/>
      <c r="DP764" s="511"/>
    </row>
    <row r="765" spans="1:120" x14ac:dyDescent="0.2">
      <c r="A765" s="517">
        <f t="shared" si="102"/>
        <v>41821</v>
      </c>
      <c r="B765" s="517" t="str">
        <f t="shared" si="96"/>
        <v>3Q14</v>
      </c>
      <c r="C765" s="517" t="str">
        <f t="shared" si="103"/>
        <v>3Q14</v>
      </c>
      <c r="D765" s="518">
        <f t="shared" si="104"/>
        <v>41908</v>
      </c>
      <c r="E765" s="518">
        <f t="shared" si="105"/>
        <v>41848</v>
      </c>
      <c r="F765" s="520">
        <v>3.8580000000000001</v>
      </c>
      <c r="G765" s="521">
        <f t="shared" si="97"/>
        <v>0.55000000000000027</v>
      </c>
      <c r="H765" s="521">
        <f t="shared" si="106"/>
        <v>0.55000000000000027</v>
      </c>
      <c r="I765" s="511"/>
      <c r="J765" s="511"/>
      <c r="K765" s="511"/>
      <c r="L765" s="511"/>
      <c r="M765" s="511"/>
      <c r="N765" s="511"/>
      <c r="O765" s="511"/>
      <c r="P765" s="511"/>
      <c r="Q765" s="511"/>
      <c r="R765" s="511"/>
      <c r="S765" s="511"/>
      <c r="T765" s="511"/>
      <c r="U765" s="511"/>
      <c r="V765" s="511"/>
      <c r="W765" s="511"/>
      <c r="X765" s="511"/>
      <c r="Y765" s="511"/>
      <c r="Z765" s="511"/>
      <c r="AA765" s="511"/>
      <c r="AB765" s="511"/>
      <c r="AC765" s="511"/>
      <c r="AD765" s="511"/>
      <c r="AE765" s="511"/>
      <c r="AF765" s="511"/>
      <c r="AG765" s="511"/>
      <c r="AH765" s="511"/>
      <c r="AI765" s="511"/>
      <c r="AJ765" s="511"/>
      <c r="AK765" s="511"/>
      <c r="AL765" s="511"/>
      <c r="AM765" s="511"/>
      <c r="AN765" s="511"/>
      <c r="AO765" s="511"/>
      <c r="AP765" s="511"/>
      <c r="AQ765" s="511"/>
      <c r="AR765" s="511"/>
      <c r="AS765" s="511"/>
      <c r="AT765" s="511"/>
      <c r="AU765" s="511"/>
      <c r="AV765" s="511"/>
      <c r="AW765" s="511"/>
      <c r="AX765" s="511"/>
      <c r="AY765" s="511"/>
      <c r="AZ765" s="511"/>
      <c r="BA765" s="511"/>
      <c r="BB765" s="511"/>
      <c r="BC765" s="511"/>
      <c r="BD765" s="511"/>
      <c r="BE765" s="511"/>
      <c r="BF765" s="511"/>
      <c r="BG765" s="511"/>
      <c r="BH765" s="511"/>
      <c r="BI765" s="511"/>
      <c r="BJ765" s="511"/>
      <c r="BK765" s="511"/>
      <c r="BL765" s="511"/>
      <c r="BM765" s="511"/>
      <c r="BN765" s="511"/>
      <c r="BO765" s="511"/>
      <c r="BP765" s="511"/>
      <c r="BQ765" s="511"/>
      <c r="BR765" s="511"/>
      <c r="BS765" s="511"/>
      <c r="BT765" s="511"/>
      <c r="BU765" s="511"/>
      <c r="BV765" s="511"/>
      <c r="BW765" s="511"/>
      <c r="BX765" s="511"/>
      <c r="BY765" s="511"/>
      <c r="BZ765" s="511"/>
      <c r="CA765" s="511"/>
      <c r="CB765" s="511"/>
      <c r="CC765" s="511"/>
      <c r="CD765" s="511"/>
      <c r="CE765" s="511"/>
      <c r="CF765" s="511"/>
      <c r="CG765" s="511"/>
      <c r="CH765" s="511"/>
      <c r="CI765" s="511"/>
      <c r="CJ765" s="511"/>
      <c r="CK765" s="511"/>
      <c r="CL765" s="511"/>
      <c r="CM765" s="511"/>
      <c r="CN765" s="511"/>
      <c r="CO765" s="511"/>
      <c r="CP765" s="511"/>
      <c r="CQ765" s="511"/>
      <c r="CR765" s="511"/>
      <c r="CS765" s="511"/>
      <c r="CT765" s="511"/>
      <c r="CU765" s="511"/>
      <c r="CV765" s="511"/>
      <c r="CW765" s="511"/>
      <c r="CX765" s="511"/>
      <c r="CY765" s="511"/>
      <c r="CZ765" s="511"/>
      <c r="DA765" s="511"/>
      <c r="DB765" s="511"/>
      <c r="DC765" s="511"/>
      <c r="DD765" s="511"/>
      <c r="DE765" s="511"/>
      <c r="DF765" s="511"/>
      <c r="DG765" s="511"/>
      <c r="DH765" s="511"/>
      <c r="DI765" s="511"/>
      <c r="DJ765" s="511"/>
      <c r="DK765" s="511"/>
      <c r="DL765" s="511"/>
      <c r="DM765" s="511"/>
      <c r="DN765" s="511"/>
      <c r="DO765" s="511"/>
      <c r="DP765" s="511"/>
    </row>
    <row r="766" spans="1:120" x14ac:dyDescent="0.2">
      <c r="A766" s="517">
        <f t="shared" si="102"/>
        <v>41852</v>
      </c>
      <c r="B766" s="517" t="str">
        <f t="shared" si="96"/>
        <v>3Q14</v>
      </c>
      <c r="C766" s="517" t="str">
        <f t="shared" si="103"/>
        <v>4Q14</v>
      </c>
      <c r="D766" s="518">
        <f t="shared" si="104"/>
        <v>41915</v>
      </c>
      <c r="E766" s="518">
        <f t="shared" si="105"/>
        <v>41855</v>
      </c>
      <c r="F766" s="520">
        <v>3.8530000000000002</v>
      </c>
      <c r="G766" s="521">
        <f t="shared" si="97"/>
        <v>0.55000000000000027</v>
      </c>
      <c r="H766" s="521">
        <f t="shared" si="106"/>
        <v>0.54000000000000026</v>
      </c>
      <c r="I766" s="511"/>
      <c r="J766" s="511"/>
      <c r="K766" s="511"/>
      <c r="L766" s="511"/>
      <c r="M766" s="511"/>
      <c r="N766" s="511"/>
      <c r="O766" s="511"/>
      <c r="P766" s="511"/>
      <c r="Q766" s="511"/>
      <c r="R766" s="511"/>
      <c r="S766" s="511"/>
      <c r="T766" s="511"/>
      <c r="U766" s="511"/>
      <c r="V766" s="511"/>
      <c r="W766" s="511"/>
      <c r="X766" s="511"/>
      <c r="Y766" s="511"/>
      <c r="Z766" s="511"/>
      <c r="AA766" s="511"/>
      <c r="AB766" s="511"/>
      <c r="AC766" s="511"/>
      <c r="AD766" s="511"/>
      <c r="AE766" s="511"/>
      <c r="AF766" s="511"/>
      <c r="AG766" s="511"/>
      <c r="AH766" s="511"/>
      <c r="AI766" s="511"/>
      <c r="AJ766" s="511"/>
      <c r="AK766" s="511"/>
      <c r="AL766" s="511"/>
      <c r="AM766" s="511"/>
      <c r="AN766" s="511"/>
      <c r="AO766" s="511"/>
      <c r="AP766" s="511"/>
      <c r="AQ766" s="511"/>
      <c r="AR766" s="511"/>
      <c r="AS766" s="511"/>
      <c r="AT766" s="511"/>
      <c r="AU766" s="511"/>
      <c r="AV766" s="511"/>
      <c r="AW766" s="511"/>
      <c r="AX766" s="511"/>
      <c r="AY766" s="511"/>
      <c r="AZ766" s="511"/>
      <c r="BA766" s="511"/>
      <c r="BB766" s="511"/>
      <c r="BC766" s="511"/>
      <c r="BD766" s="511"/>
      <c r="BE766" s="511"/>
      <c r="BF766" s="511"/>
      <c r="BG766" s="511"/>
      <c r="BH766" s="511"/>
      <c r="BI766" s="511"/>
      <c r="BJ766" s="511"/>
      <c r="BK766" s="511"/>
      <c r="BL766" s="511"/>
      <c r="BM766" s="511"/>
      <c r="BN766" s="511"/>
      <c r="BO766" s="511"/>
      <c r="BP766" s="511"/>
      <c r="BQ766" s="511"/>
      <c r="BR766" s="511"/>
      <c r="BS766" s="511"/>
      <c r="BT766" s="511"/>
      <c r="BU766" s="511"/>
      <c r="BV766" s="511"/>
      <c r="BW766" s="511"/>
      <c r="BX766" s="511"/>
      <c r="BY766" s="511"/>
      <c r="BZ766" s="511"/>
      <c r="CA766" s="511"/>
      <c r="CB766" s="511"/>
      <c r="CC766" s="511"/>
      <c r="CD766" s="511"/>
      <c r="CE766" s="511"/>
      <c r="CF766" s="511"/>
      <c r="CG766" s="511"/>
      <c r="CH766" s="511"/>
      <c r="CI766" s="511"/>
      <c r="CJ766" s="511"/>
      <c r="CK766" s="511"/>
      <c r="CL766" s="511"/>
      <c r="CM766" s="511"/>
      <c r="CN766" s="511"/>
      <c r="CO766" s="511"/>
      <c r="CP766" s="511"/>
      <c r="CQ766" s="511"/>
      <c r="CR766" s="511"/>
      <c r="CS766" s="511"/>
      <c r="CT766" s="511"/>
      <c r="CU766" s="511"/>
      <c r="CV766" s="511"/>
      <c r="CW766" s="511"/>
      <c r="CX766" s="511"/>
      <c r="CY766" s="511"/>
      <c r="CZ766" s="511"/>
      <c r="DA766" s="511"/>
      <c r="DB766" s="511"/>
      <c r="DC766" s="511"/>
      <c r="DD766" s="511"/>
      <c r="DE766" s="511"/>
      <c r="DF766" s="511"/>
      <c r="DG766" s="511"/>
      <c r="DH766" s="511"/>
      <c r="DI766" s="511"/>
      <c r="DJ766" s="511"/>
      <c r="DK766" s="511"/>
      <c r="DL766" s="511"/>
      <c r="DM766" s="511"/>
      <c r="DN766" s="511"/>
      <c r="DO766" s="511"/>
      <c r="DP766" s="511"/>
    </row>
    <row r="767" spans="1:120" x14ac:dyDescent="0.2">
      <c r="A767" s="517">
        <f t="shared" si="102"/>
        <v>41852</v>
      </c>
      <c r="B767" s="517" t="str">
        <f t="shared" si="96"/>
        <v>3Q14</v>
      </c>
      <c r="C767" s="517" t="str">
        <f t="shared" si="103"/>
        <v>4Q14</v>
      </c>
      <c r="D767" s="518">
        <f t="shared" si="104"/>
        <v>41922</v>
      </c>
      <c r="E767" s="518">
        <f t="shared" si="105"/>
        <v>41862</v>
      </c>
      <c r="F767" s="520">
        <v>3.843</v>
      </c>
      <c r="G767" s="521">
        <f t="shared" si="97"/>
        <v>0.54000000000000026</v>
      </c>
      <c r="H767" s="521">
        <f t="shared" si="106"/>
        <v>0.54000000000000026</v>
      </c>
      <c r="I767" s="511"/>
      <c r="J767" s="511"/>
      <c r="K767" s="511"/>
      <c r="L767" s="511"/>
      <c r="M767" s="511"/>
      <c r="N767" s="511"/>
      <c r="O767" s="511"/>
      <c r="P767" s="511"/>
      <c r="Q767" s="511"/>
      <c r="R767" s="511"/>
      <c r="S767" s="511"/>
      <c r="T767" s="511"/>
      <c r="U767" s="511"/>
      <c r="V767" s="511"/>
      <c r="W767" s="511"/>
      <c r="X767" s="511"/>
      <c r="Y767" s="511"/>
      <c r="Z767" s="511"/>
      <c r="AA767" s="511"/>
      <c r="AB767" s="511"/>
      <c r="AC767" s="511"/>
      <c r="AD767" s="511"/>
      <c r="AE767" s="511"/>
      <c r="AF767" s="511"/>
      <c r="AG767" s="511"/>
      <c r="AH767" s="511"/>
      <c r="AI767" s="511"/>
      <c r="AJ767" s="511"/>
      <c r="AK767" s="511"/>
      <c r="AL767" s="511"/>
      <c r="AM767" s="511"/>
      <c r="AN767" s="511"/>
      <c r="AO767" s="511"/>
      <c r="AP767" s="511"/>
      <c r="AQ767" s="511"/>
      <c r="AR767" s="511"/>
      <c r="AS767" s="511"/>
      <c r="AT767" s="511"/>
      <c r="AU767" s="511"/>
      <c r="AV767" s="511"/>
      <c r="AW767" s="511"/>
      <c r="AX767" s="511"/>
      <c r="AY767" s="511"/>
      <c r="AZ767" s="511"/>
      <c r="BA767" s="511"/>
      <c r="BB767" s="511"/>
      <c r="BC767" s="511"/>
      <c r="BD767" s="511"/>
      <c r="BE767" s="511"/>
      <c r="BF767" s="511"/>
      <c r="BG767" s="511"/>
      <c r="BH767" s="511"/>
      <c r="BI767" s="511"/>
      <c r="BJ767" s="511"/>
      <c r="BK767" s="511"/>
      <c r="BL767" s="511"/>
      <c r="BM767" s="511"/>
      <c r="BN767" s="511"/>
      <c r="BO767" s="511"/>
      <c r="BP767" s="511"/>
      <c r="BQ767" s="511"/>
      <c r="BR767" s="511"/>
      <c r="BS767" s="511"/>
      <c r="BT767" s="511"/>
      <c r="BU767" s="511"/>
      <c r="BV767" s="511"/>
      <c r="BW767" s="511"/>
      <c r="BX767" s="511"/>
      <c r="BY767" s="511"/>
      <c r="BZ767" s="511"/>
      <c r="CA767" s="511"/>
      <c r="CB767" s="511"/>
      <c r="CC767" s="511"/>
      <c r="CD767" s="511"/>
      <c r="CE767" s="511"/>
      <c r="CF767" s="511"/>
      <c r="CG767" s="511"/>
      <c r="CH767" s="511"/>
      <c r="CI767" s="511"/>
      <c r="CJ767" s="511"/>
      <c r="CK767" s="511"/>
      <c r="CL767" s="511"/>
      <c r="CM767" s="511"/>
      <c r="CN767" s="511"/>
      <c r="CO767" s="511"/>
      <c r="CP767" s="511"/>
      <c r="CQ767" s="511"/>
      <c r="CR767" s="511"/>
      <c r="CS767" s="511"/>
      <c r="CT767" s="511"/>
      <c r="CU767" s="511"/>
      <c r="CV767" s="511"/>
      <c r="CW767" s="511"/>
      <c r="CX767" s="511"/>
      <c r="CY767" s="511"/>
      <c r="CZ767" s="511"/>
      <c r="DA767" s="511"/>
      <c r="DB767" s="511"/>
      <c r="DC767" s="511"/>
      <c r="DD767" s="511"/>
      <c r="DE767" s="511"/>
      <c r="DF767" s="511"/>
      <c r="DG767" s="511"/>
      <c r="DH767" s="511"/>
      <c r="DI767" s="511"/>
      <c r="DJ767" s="511"/>
      <c r="DK767" s="511"/>
      <c r="DL767" s="511"/>
      <c r="DM767" s="511"/>
      <c r="DN767" s="511"/>
      <c r="DO767" s="511"/>
      <c r="DP767" s="511"/>
    </row>
    <row r="768" spans="1:120" x14ac:dyDescent="0.2">
      <c r="A768" s="517">
        <f t="shared" si="102"/>
        <v>41852</v>
      </c>
      <c r="B768" s="517" t="str">
        <f t="shared" si="96"/>
        <v>3Q14</v>
      </c>
      <c r="C768" s="517" t="str">
        <f t="shared" si="103"/>
        <v>4Q14</v>
      </c>
      <c r="D768" s="518">
        <f t="shared" si="104"/>
        <v>41929</v>
      </c>
      <c r="E768" s="518">
        <f t="shared" si="105"/>
        <v>41869</v>
      </c>
      <c r="F768" s="520">
        <v>3.835</v>
      </c>
      <c r="G768" s="521">
        <f t="shared" si="97"/>
        <v>0.54000000000000026</v>
      </c>
      <c r="H768" s="521">
        <f t="shared" si="106"/>
        <v>0.54000000000000026</v>
      </c>
      <c r="I768" s="511"/>
      <c r="J768" s="511"/>
      <c r="K768" s="511"/>
      <c r="L768" s="511"/>
      <c r="M768" s="511"/>
      <c r="N768" s="511"/>
      <c r="O768" s="511"/>
      <c r="P768" s="511"/>
      <c r="Q768" s="511"/>
      <c r="R768" s="511"/>
      <c r="S768" s="511"/>
      <c r="T768" s="511"/>
      <c r="U768" s="511"/>
      <c r="V768" s="511"/>
      <c r="W768" s="511"/>
      <c r="X768" s="511"/>
      <c r="Y768" s="511"/>
      <c r="Z768" s="511"/>
      <c r="AA768" s="511"/>
      <c r="AB768" s="511"/>
      <c r="AC768" s="511"/>
      <c r="AD768" s="511"/>
      <c r="AE768" s="511"/>
      <c r="AF768" s="511"/>
      <c r="AG768" s="511"/>
      <c r="AH768" s="511"/>
      <c r="AI768" s="511"/>
      <c r="AJ768" s="511"/>
      <c r="AK768" s="511"/>
      <c r="AL768" s="511"/>
      <c r="AM768" s="511"/>
      <c r="AN768" s="511"/>
      <c r="AO768" s="511"/>
      <c r="AP768" s="511"/>
      <c r="AQ768" s="511"/>
      <c r="AR768" s="511"/>
      <c r="AS768" s="511"/>
      <c r="AT768" s="511"/>
      <c r="AU768" s="511"/>
      <c r="AV768" s="511"/>
      <c r="AW768" s="511"/>
      <c r="AX768" s="511"/>
      <c r="AY768" s="511"/>
      <c r="AZ768" s="511"/>
      <c r="BA768" s="511"/>
      <c r="BB768" s="511"/>
      <c r="BC768" s="511"/>
      <c r="BD768" s="511"/>
      <c r="BE768" s="511"/>
      <c r="BF768" s="511"/>
      <c r="BG768" s="511"/>
      <c r="BH768" s="511"/>
      <c r="BI768" s="511"/>
      <c r="BJ768" s="511"/>
      <c r="BK768" s="511"/>
      <c r="BL768" s="511"/>
      <c r="BM768" s="511"/>
      <c r="BN768" s="511"/>
      <c r="BO768" s="511"/>
      <c r="BP768" s="511"/>
      <c r="BQ768" s="511"/>
      <c r="BR768" s="511"/>
      <c r="BS768" s="511"/>
      <c r="BT768" s="511"/>
      <c r="BU768" s="511"/>
      <c r="BV768" s="511"/>
      <c r="BW768" s="511"/>
      <c r="BX768" s="511"/>
      <c r="BY768" s="511"/>
      <c r="BZ768" s="511"/>
      <c r="CA768" s="511"/>
      <c r="CB768" s="511"/>
      <c r="CC768" s="511"/>
      <c r="CD768" s="511"/>
      <c r="CE768" s="511"/>
      <c r="CF768" s="511"/>
      <c r="CG768" s="511"/>
      <c r="CH768" s="511"/>
      <c r="CI768" s="511"/>
      <c r="CJ768" s="511"/>
      <c r="CK768" s="511"/>
      <c r="CL768" s="511"/>
      <c r="CM768" s="511"/>
      <c r="CN768" s="511"/>
      <c r="CO768" s="511"/>
      <c r="CP768" s="511"/>
      <c r="CQ768" s="511"/>
      <c r="CR768" s="511"/>
      <c r="CS768" s="511"/>
      <c r="CT768" s="511"/>
      <c r="CU768" s="511"/>
      <c r="CV768" s="511"/>
      <c r="CW768" s="511"/>
      <c r="CX768" s="511"/>
      <c r="CY768" s="511"/>
      <c r="CZ768" s="511"/>
      <c r="DA768" s="511"/>
      <c r="DB768" s="511"/>
      <c r="DC768" s="511"/>
      <c r="DD768" s="511"/>
      <c r="DE768" s="511"/>
      <c r="DF768" s="511"/>
      <c r="DG768" s="511"/>
      <c r="DH768" s="511"/>
      <c r="DI768" s="511"/>
      <c r="DJ768" s="511"/>
      <c r="DK768" s="511"/>
      <c r="DL768" s="511"/>
      <c r="DM768" s="511"/>
      <c r="DN768" s="511"/>
      <c r="DO768" s="511"/>
      <c r="DP768" s="511"/>
    </row>
    <row r="769" spans="1:120" x14ac:dyDescent="0.2">
      <c r="A769" s="517">
        <f t="shared" si="102"/>
        <v>41852</v>
      </c>
      <c r="B769" s="517" t="str">
        <f t="shared" si="96"/>
        <v>3Q14</v>
      </c>
      <c r="C769" s="517" t="str">
        <f t="shared" si="103"/>
        <v>4Q14</v>
      </c>
      <c r="D769" s="518">
        <f t="shared" si="104"/>
        <v>41936</v>
      </c>
      <c r="E769" s="518">
        <f t="shared" si="105"/>
        <v>41876</v>
      </c>
      <c r="F769" s="520">
        <v>3.8210000000000002</v>
      </c>
      <c r="G769" s="521">
        <f t="shared" si="97"/>
        <v>0.54000000000000026</v>
      </c>
      <c r="H769" s="521">
        <f t="shared" si="106"/>
        <v>0.54000000000000026</v>
      </c>
      <c r="I769" s="511"/>
      <c r="J769" s="511"/>
      <c r="K769" s="511"/>
      <c r="L769" s="511"/>
      <c r="M769" s="511"/>
      <c r="N769" s="511"/>
      <c r="O769" s="511"/>
      <c r="P769" s="511"/>
      <c r="Q769" s="511"/>
      <c r="R769" s="511"/>
      <c r="S769" s="511"/>
      <c r="T769" s="511"/>
      <c r="U769" s="511"/>
      <c r="V769" s="511"/>
      <c r="W769" s="511"/>
      <c r="X769" s="511"/>
      <c r="Y769" s="511"/>
      <c r="Z769" s="511"/>
      <c r="AA769" s="511"/>
      <c r="AB769" s="511"/>
      <c r="AC769" s="511"/>
      <c r="AD769" s="511"/>
      <c r="AE769" s="511"/>
      <c r="AF769" s="511"/>
      <c r="AG769" s="511"/>
      <c r="AH769" s="511"/>
      <c r="AI769" s="511"/>
      <c r="AJ769" s="511"/>
      <c r="AK769" s="511"/>
      <c r="AL769" s="511"/>
      <c r="AM769" s="511"/>
      <c r="AN769" s="511"/>
      <c r="AO769" s="511"/>
      <c r="AP769" s="511"/>
      <c r="AQ769" s="511"/>
      <c r="AR769" s="511"/>
      <c r="AS769" s="511"/>
      <c r="AT769" s="511"/>
      <c r="AU769" s="511"/>
      <c r="AV769" s="511"/>
      <c r="AW769" s="511"/>
      <c r="AX769" s="511"/>
      <c r="AY769" s="511"/>
      <c r="AZ769" s="511"/>
      <c r="BA769" s="511"/>
      <c r="BB769" s="511"/>
      <c r="BC769" s="511"/>
      <c r="BD769" s="511"/>
      <c r="BE769" s="511"/>
      <c r="BF769" s="511"/>
      <c r="BG769" s="511"/>
      <c r="BH769" s="511"/>
      <c r="BI769" s="511"/>
      <c r="BJ769" s="511"/>
      <c r="BK769" s="511"/>
      <c r="BL769" s="511"/>
      <c r="BM769" s="511"/>
      <c r="BN769" s="511"/>
      <c r="BO769" s="511"/>
      <c r="BP769" s="511"/>
      <c r="BQ769" s="511"/>
      <c r="BR769" s="511"/>
      <c r="BS769" s="511"/>
      <c r="BT769" s="511"/>
      <c r="BU769" s="511"/>
      <c r="BV769" s="511"/>
      <c r="BW769" s="511"/>
      <c r="BX769" s="511"/>
      <c r="BY769" s="511"/>
      <c r="BZ769" s="511"/>
      <c r="CA769" s="511"/>
      <c r="CB769" s="511"/>
      <c r="CC769" s="511"/>
      <c r="CD769" s="511"/>
      <c r="CE769" s="511"/>
      <c r="CF769" s="511"/>
      <c r="CG769" s="511"/>
      <c r="CH769" s="511"/>
      <c r="CI769" s="511"/>
      <c r="CJ769" s="511"/>
      <c r="CK769" s="511"/>
      <c r="CL769" s="511"/>
      <c r="CM769" s="511"/>
      <c r="CN769" s="511"/>
      <c r="CO769" s="511"/>
      <c r="CP769" s="511"/>
      <c r="CQ769" s="511"/>
      <c r="CR769" s="511"/>
      <c r="CS769" s="511"/>
      <c r="CT769" s="511"/>
      <c r="CU769" s="511"/>
      <c r="CV769" s="511"/>
      <c r="CW769" s="511"/>
      <c r="CX769" s="511"/>
      <c r="CY769" s="511"/>
      <c r="CZ769" s="511"/>
      <c r="DA769" s="511"/>
      <c r="DB769" s="511"/>
      <c r="DC769" s="511"/>
      <c r="DD769" s="511"/>
      <c r="DE769" s="511"/>
      <c r="DF769" s="511"/>
      <c r="DG769" s="511"/>
      <c r="DH769" s="511"/>
      <c r="DI769" s="511"/>
      <c r="DJ769" s="511"/>
      <c r="DK769" s="511"/>
      <c r="DL769" s="511"/>
      <c r="DM769" s="511"/>
      <c r="DN769" s="511"/>
      <c r="DO769" s="511"/>
      <c r="DP769" s="511"/>
    </row>
    <row r="770" spans="1:120" x14ac:dyDescent="0.2">
      <c r="A770" s="517">
        <f t="shared" si="102"/>
        <v>41883</v>
      </c>
      <c r="B770" s="517" t="str">
        <f t="shared" si="96"/>
        <v>3Q14</v>
      </c>
      <c r="C770" s="517" t="str">
        <f t="shared" si="103"/>
        <v>4Q14</v>
      </c>
      <c r="D770" s="518">
        <f t="shared" si="104"/>
        <v>41943</v>
      </c>
      <c r="E770" s="518">
        <f t="shared" si="105"/>
        <v>41883</v>
      </c>
      <c r="F770" s="520">
        <v>3.8140000000000001</v>
      </c>
      <c r="G770" s="521">
        <f t="shared" si="97"/>
        <v>0.54000000000000026</v>
      </c>
      <c r="H770" s="521">
        <f t="shared" si="106"/>
        <v>0.54000000000000026</v>
      </c>
      <c r="I770" s="511"/>
      <c r="J770" s="511"/>
      <c r="K770" s="511"/>
      <c r="L770" s="511"/>
      <c r="M770" s="511"/>
      <c r="N770" s="511"/>
      <c r="O770" s="511"/>
      <c r="P770" s="511"/>
      <c r="Q770" s="511"/>
      <c r="R770" s="511"/>
      <c r="S770" s="511"/>
      <c r="T770" s="511"/>
      <c r="U770" s="511"/>
      <c r="V770" s="511"/>
      <c r="W770" s="511"/>
      <c r="X770" s="511"/>
      <c r="Y770" s="511"/>
      <c r="Z770" s="511"/>
      <c r="AA770" s="511"/>
      <c r="AB770" s="511"/>
      <c r="AC770" s="511"/>
      <c r="AD770" s="511"/>
      <c r="AE770" s="511"/>
      <c r="AF770" s="511"/>
      <c r="AG770" s="511"/>
      <c r="AH770" s="511"/>
      <c r="AI770" s="511"/>
      <c r="AJ770" s="511"/>
      <c r="AK770" s="511"/>
      <c r="AL770" s="511"/>
      <c r="AM770" s="511"/>
      <c r="AN770" s="511"/>
      <c r="AO770" s="511"/>
      <c r="AP770" s="511"/>
      <c r="AQ770" s="511"/>
      <c r="AR770" s="511"/>
      <c r="AS770" s="511"/>
      <c r="AT770" s="511"/>
      <c r="AU770" s="511"/>
      <c r="AV770" s="511"/>
      <c r="AW770" s="511"/>
      <c r="AX770" s="511"/>
      <c r="AY770" s="511"/>
      <c r="AZ770" s="511"/>
      <c r="BA770" s="511"/>
      <c r="BB770" s="511"/>
      <c r="BC770" s="511"/>
      <c r="BD770" s="511"/>
      <c r="BE770" s="511"/>
      <c r="BF770" s="511"/>
      <c r="BG770" s="511"/>
      <c r="BH770" s="511"/>
      <c r="BI770" s="511"/>
      <c r="BJ770" s="511"/>
      <c r="BK770" s="511"/>
      <c r="BL770" s="511"/>
      <c r="BM770" s="511"/>
      <c r="BN770" s="511"/>
      <c r="BO770" s="511"/>
      <c r="BP770" s="511"/>
      <c r="BQ770" s="511"/>
      <c r="BR770" s="511"/>
      <c r="BS770" s="511"/>
      <c r="BT770" s="511"/>
      <c r="BU770" s="511"/>
      <c r="BV770" s="511"/>
      <c r="BW770" s="511"/>
      <c r="BX770" s="511"/>
      <c r="BY770" s="511"/>
      <c r="BZ770" s="511"/>
      <c r="CA770" s="511"/>
      <c r="CB770" s="511"/>
      <c r="CC770" s="511"/>
      <c r="CD770" s="511"/>
      <c r="CE770" s="511"/>
      <c r="CF770" s="511"/>
      <c r="CG770" s="511"/>
      <c r="CH770" s="511"/>
      <c r="CI770" s="511"/>
      <c r="CJ770" s="511"/>
      <c r="CK770" s="511"/>
      <c r="CL770" s="511"/>
      <c r="CM770" s="511"/>
      <c r="CN770" s="511"/>
      <c r="CO770" s="511"/>
      <c r="CP770" s="511"/>
      <c r="CQ770" s="511"/>
      <c r="CR770" s="511"/>
      <c r="CS770" s="511"/>
      <c r="CT770" s="511"/>
      <c r="CU770" s="511"/>
      <c r="CV770" s="511"/>
      <c r="CW770" s="511"/>
      <c r="CX770" s="511"/>
      <c r="CY770" s="511"/>
      <c r="CZ770" s="511"/>
      <c r="DA770" s="511"/>
      <c r="DB770" s="511"/>
      <c r="DC770" s="511"/>
      <c r="DD770" s="511"/>
      <c r="DE770" s="511"/>
      <c r="DF770" s="511"/>
      <c r="DG770" s="511"/>
      <c r="DH770" s="511"/>
      <c r="DI770" s="511"/>
      <c r="DJ770" s="511"/>
      <c r="DK770" s="511"/>
      <c r="DL770" s="511"/>
      <c r="DM770" s="511"/>
      <c r="DN770" s="511"/>
      <c r="DO770" s="511"/>
      <c r="DP770" s="511"/>
    </row>
    <row r="771" spans="1:120" x14ac:dyDescent="0.2">
      <c r="A771" s="517">
        <f t="shared" si="102"/>
        <v>41883</v>
      </c>
      <c r="B771" s="517" t="str">
        <f t="shared" si="96"/>
        <v>3Q14</v>
      </c>
      <c r="C771" s="517" t="str">
        <f t="shared" si="103"/>
        <v>4Q14</v>
      </c>
      <c r="D771" s="518">
        <f t="shared" si="104"/>
        <v>41950</v>
      </c>
      <c r="E771" s="518">
        <f t="shared" si="105"/>
        <v>41890</v>
      </c>
      <c r="F771" s="520">
        <v>3.8140000000000001</v>
      </c>
      <c r="G771" s="521">
        <f t="shared" si="97"/>
        <v>0.54000000000000026</v>
      </c>
      <c r="H771" s="521">
        <f t="shared" si="106"/>
        <v>0.54000000000000026</v>
      </c>
      <c r="I771" s="511"/>
      <c r="J771" s="511"/>
      <c r="K771" s="511"/>
      <c r="L771" s="511"/>
      <c r="M771" s="511"/>
      <c r="N771" s="511"/>
      <c r="O771" s="511"/>
      <c r="P771" s="511"/>
      <c r="Q771" s="511"/>
      <c r="R771" s="511"/>
      <c r="S771" s="511"/>
      <c r="T771" s="511"/>
      <c r="U771" s="511"/>
      <c r="V771" s="511"/>
      <c r="W771" s="511"/>
      <c r="X771" s="511"/>
      <c r="Y771" s="511"/>
      <c r="Z771" s="511"/>
      <c r="AA771" s="511"/>
      <c r="AB771" s="511"/>
      <c r="AC771" s="511"/>
      <c r="AD771" s="511"/>
      <c r="AE771" s="511"/>
      <c r="AF771" s="511"/>
      <c r="AG771" s="511"/>
      <c r="AH771" s="511"/>
      <c r="AI771" s="511"/>
      <c r="AJ771" s="511"/>
      <c r="AK771" s="511"/>
      <c r="AL771" s="511"/>
      <c r="AM771" s="511"/>
      <c r="AN771" s="511"/>
      <c r="AO771" s="511"/>
      <c r="AP771" s="511"/>
      <c r="AQ771" s="511"/>
      <c r="AR771" s="511"/>
      <c r="AS771" s="511"/>
      <c r="AT771" s="511"/>
      <c r="AU771" s="511"/>
      <c r="AV771" s="511"/>
      <c r="AW771" s="511"/>
      <c r="AX771" s="511"/>
      <c r="AY771" s="511"/>
      <c r="AZ771" s="511"/>
      <c r="BA771" s="511"/>
      <c r="BB771" s="511"/>
      <c r="BC771" s="511"/>
      <c r="BD771" s="511"/>
      <c r="BE771" s="511"/>
      <c r="BF771" s="511"/>
      <c r="BG771" s="511"/>
      <c r="BH771" s="511"/>
      <c r="BI771" s="511"/>
      <c r="BJ771" s="511"/>
      <c r="BK771" s="511"/>
      <c r="BL771" s="511"/>
      <c r="BM771" s="511"/>
      <c r="BN771" s="511"/>
      <c r="BO771" s="511"/>
      <c r="BP771" s="511"/>
      <c r="BQ771" s="511"/>
      <c r="BR771" s="511"/>
      <c r="BS771" s="511"/>
      <c r="BT771" s="511"/>
      <c r="BU771" s="511"/>
      <c r="BV771" s="511"/>
      <c r="BW771" s="511"/>
      <c r="BX771" s="511"/>
      <c r="BY771" s="511"/>
      <c r="BZ771" s="511"/>
      <c r="CA771" s="511"/>
      <c r="CB771" s="511"/>
      <c r="CC771" s="511"/>
      <c r="CD771" s="511"/>
      <c r="CE771" s="511"/>
      <c r="CF771" s="511"/>
      <c r="CG771" s="511"/>
      <c r="CH771" s="511"/>
      <c r="CI771" s="511"/>
      <c r="CJ771" s="511"/>
      <c r="CK771" s="511"/>
      <c r="CL771" s="511"/>
      <c r="CM771" s="511"/>
      <c r="CN771" s="511"/>
      <c r="CO771" s="511"/>
      <c r="CP771" s="511"/>
      <c r="CQ771" s="511"/>
      <c r="CR771" s="511"/>
      <c r="CS771" s="511"/>
      <c r="CT771" s="511"/>
      <c r="CU771" s="511"/>
      <c r="CV771" s="511"/>
      <c r="CW771" s="511"/>
      <c r="CX771" s="511"/>
      <c r="CY771" s="511"/>
      <c r="CZ771" s="511"/>
      <c r="DA771" s="511"/>
      <c r="DB771" s="511"/>
      <c r="DC771" s="511"/>
      <c r="DD771" s="511"/>
      <c r="DE771" s="511"/>
      <c r="DF771" s="511"/>
      <c r="DG771" s="511"/>
      <c r="DH771" s="511"/>
      <c r="DI771" s="511"/>
      <c r="DJ771" s="511"/>
      <c r="DK771" s="511"/>
      <c r="DL771" s="511"/>
      <c r="DM771" s="511"/>
      <c r="DN771" s="511"/>
      <c r="DO771" s="511"/>
      <c r="DP771" s="511"/>
    </row>
    <row r="772" spans="1:120" x14ac:dyDescent="0.2">
      <c r="A772" s="517">
        <f t="shared" si="102"/>
        <v>41883</v>
      </c>
      <c r="B772" s="517" t="str">
        <f t="shared" ref="B772:B835" si="107">VLOOKUP(MONTH(A772),$N$4:$O$16,2,FALSE) &amp; "Q" &amp; RIGHT(YEAR(A772),2)</f>
        <v>3Q14</v>
      </c>
      <c r="C772" s="517" t="str">
        <f t="shared" si="103"/>
        <v>4Q14</v>
      </c>
      <c r="D772" s="518">
        <f t="shared" si="104"/>
        <v>41957</v>
      </c>
      <c r="E772" s="518">
        <f t="shared" si="105"/>
        <v>41897</v>
      </c>
      <c r="F772" s="520">
        <v>3.8010000000000002</v>
      </c>
      <c r="G772" s="521">
        <f t="shared" ref="G772:G835" si="108">INDEX($I$4:$K$153,MATCH(F772,$I$4:$I$153,1),3)</f>
        <v>0.54000000000000026</v>
      </c>
      <c r="H772" s="521">
        <f t="shared" si="106"/>
        <v>0.53000000000000025</v>
      </c>
      <c r="I772" s="511"/>
      <c r="J772" s="511"/>
      <c r="K772" s="511"/>
      <c r="L772" s="511"/>
      <c r="M772" s="511"/>
      <c r="N772" s="511"/>
      <c r="O772" s="511"/>
      <c r="P772" s="511"/>
      <c r="Q772" s="511"/>
      <c r="R772" s="511"/>
      <c r="S772" s="511"/>
      <c r="T772" s="511"/>
      <c r="U772" s="511"/>
      <c r="V772" s="511"/>
      <c r="W772" s="511"/>
      <c r="X772" s="511"/>
      <c r="Y772" s="511"/>
      <c r="Z772" s="511"/>
      <c r="AA772" s="511"/>
      <c r="AB772" s="511"/>
      <c r="AC772" s="511"/>
      <c r="AD772" s="511"/>
      <c r="AE772" s="511"/>
      <c r="AF772" s="511"/>
      <c r="AG772" s="511"/>
      <c r="AH772" s="511"/>
      <c r="AI772" s="511"/>
      <c r="AJ772" s="511"/>
      <c r="AK772" s="511"/>
      <c r="AL772" s="511"/>
      <c r="AM772" s="511"/>
      <c r="AN772" s="511"/>
      <c r="AO772" s="511"/>
      <c r="AP772" s="511"/>
      <c r="AQ772" s="511"/>
      <c r="AR772" s="511"/>
      <c r="AS772" s="511"/>
      <c r="AT772" s="511"/>
      <c r="AU772" s="511"/>
      <c r="AV772" s="511"/>
      <c r="AW772" s="511"/>
      <c r="AX772" s="511"/>
      <c r="AY772" s="511"/>
      <c r="AZ772" s="511"/>
      <c r="BA772" s="511"/>
      <c r="BB772" s="511"/>
      <c r="BC772" s="511"/>
      <c r="BD772" s="511"/>
      <c r="BE772" s="511"/>
      <c r="BF772" s="511"/>
      <c r="BG772" s="511"/>
      <c r="BH772" s="511"/>
      <c r="BI772" s="511"/>
      <c r="BJ772" s="511"/>
      <c r="BK772" s="511"/>
      <c r="BL772" s="511"/>
      <c r="BM772" s="511"/>
      <c r="BN772" s="511"/>
      <c r="BO772" s="511"/>
      <c r="BP772" s="511"/>
      <c r="BQ772" s="511"/>
      <c r="BR772" s="511"/>
      <c r="BS772" s="511"/>
      <c r="BT772" s="511"/>
      <c r="BU772" s="511"/>
      <c r="BV772" s="511"/>
      <c r="BW772" s="511"/>
      <c r="BX772" s="511"/>
      <c r="BY772" s="511"/>
      <c r="BZ772" s="511"/>
      <c r="CA772" s="511"/>
      <c r="CB772" s="511"/>
      <c r="CC772" s="511"/>
      <c r="CD772" s="511"/>
      <c r="CE772" s="511"/>
      <c r="CF772" s="511"/>
      <c r="CG772" s="511"/>
      <c r="CH772" s="511"/>
      <c r="CI772" s="511"/>
      <c r="CJ772" s="511"/>
      <c r="CK772" s="511"/>
      <c r="CL772" s="511"/>
      <c r="CM772" s="511"/>
      <c r="CN772" s="511"/>
      <c r="CO772" s="511"/>
      <c r="CP772" s="511"/>
      <c r="CQ772" s="511"/>
      <c r="CR772" s="511"/>
      <c r="CS772" s="511"/>
      <c r="CT772" s="511"/>
      <c r="CU772" s="511"/>
      <c r="CV772" s="511"/>
      <c r="CW772" s="511"/>
      <c r="CX772" s="511"/>
      <c r="CY772" s="511"/>
      <c r="CZ772" s="511"/>
      <c r="DA772" s="511"/>
      <c r="DB772" s="511"/>
      <c r="DC772" s="511"/>
      <c r="DD772" s="511"/>
      <c r="DE772" s="511"/>
      <c r="DF772" s="511"/>
      <c r="DG772" s="511"/>
      <c r="DH772" s="511"/>
      <c r="DI772" s="511"/>
      <c r="DJ772" s="511"/>
      <c r="DK772" s="511"/>
      <c r="DL772" s="511"/>
      <c r="DM772" s="511"/>
      <c r="DN772" s="511"/>
      <c r="DO772" s="511"/>
      <c r="DP772" s="511"/>
    </row>
    <row r="773" spans="1:120" x14ac:dyDescent="0.2">
      <c r="A773" s="517">
        <f t="shared" si="102"/>
        <v>41883</v>
      </c>
      <c r="B773" s="517" t="str">
        <f t="shared" si="107"/>
        <v>3Q14</v>
      </c>
      <c r="C773" s="517" t="str">
        <f t="shared" si="103"/>
        <v>4Q14</v>
      </c>
      <c r="D773" s="518">
        <f t="shared" si="104"/>
        <v>41964</v>
      </c>
      <c r="E773" s="518">
        <f t="shared" si="105"/>
        <v>41904</v>
      </c>
      <c r="F773" s="520">
        <v>3.778</v>
      </c>
      <c r="G773" s="521">
        <f t="shared" si="108"/>
        <v>0.53000000000000025</v>
      </c>
      <c r="H773" s="521">
        <f t="shared" si="106"/>
        <v>0.53000000000000025</v>
      </c>
      <c r="I773" s="511"/>
      <c r="J773" s="511"/>
      <c r="K773" s="511"/>
      <c r="L773" s="511"/>
      <c r="M773" s="511"/>
      <c r="N773" s="511"/>
      <c r="O773" s="511"/>
      <c r="P773" s="511"/>
      <c r="Q773" s="511"/>
      <c r="R773" s="511"/>
      <c r="S773" s="511"/>
      <c r="T773" s="511"/>
      <c r="U773" s="511"/>
      <c r="V773" s="511"/>
      <c r="W773" s="511"/>
      <c r="X773" s="511"/>
      <c r="Y773" s="511"/>
      <c r="Z773" s="511"/>
      <c r="AA773" s="511"/>
      <c r="AB773" s="511"/>
      <c r="AC773" s="511"/>
      <c r="AD773" s="511"/>
      <c r="AE773" s="511"/>
      <c r="AF773" s="511"/>
      <c r="AG773" s="511"/>
      <c r="AH773" s="511"/>
      <c r="AI773" s="511"/>
      <c r="AJ773" s="511"/>
      <c r="AK773" s="511"/>
      <c r="AL773" s="511"/>
      <c r="AM773" s="511"/>
      <c r="AN773" s="511"/>
      <c r="AO773" s="511"/>
      <c r="AP773" s="511"/>
      <c r="AQ773" s="511"/>
      <c r="AR773" s="511"/>
      <c r="AS773" s="511"/>
      <c r="AT773" s="511"/>
      <c r="AU773" s="511"/>
      <c r="AV773" s="511"/>
      <c r="AW773" s="511"/>
      <c r="AX773" s="511"/>
      <c r="AY773" s="511"/>
      <c r="AZ773" s="511"/>
      <c r="BA773" s="511"/>
      <c r="BB773" s="511"/>
      <c r="BC773" s="511"/>
      <c r="BD773" s="511"/>
      <c r="BE773" s="511"/>
      <c r="BF773" s="511"/>
      <c r="BG773" s="511"/>
      <c r="BH773" s="511"/>
      <c r="BI773" s="511"/>
      <c r="BJ773" s="511"/>
      <c r="BK773" s="511"/>
      <c r="BL773" s="511"/>
      <c r="BM773" s="511"/>
      <c r="BN773" s="511"/>
      <c r="BO773" s="511"/>
      <c r="BP773" s="511"/>
      <c r="BQ773" s="511"/>
      <c r="BR773" s="511"/>
      <c r="BS773" s="511"/>
      <c r="BT773" s="511"/>
      <c r="BU773" s="511"/>
      <c r="BV773" s="511"/>
      <c r="BW773" s="511"/>
      <c r="BX773" s="511"/>
      <c r="BY773" s="511"/>
      <c r="BZ773" s="511"/>
      <c r="CA773" s="511"/>
      <c r="CB773" s="511"/>
      <c r="CC773" s="511"/>
      <c r="CD773" s="511"/>
      <c r="CE773" s="511"/>
      <c r="CF773" s="511"/>
      <c r="CG773" s="511"/>
      <c r="CH773" s="511"/>
      <c r="CI773" s="511"/>
      <c r="CJ773" s="511"/>
      <c r="CK773" s="511"/>
      <c r="CL773" s="511"/>
      <c r="CM773" s="511"/>
      <c r="CN773" s="511"/>
      <c r="CO773" s="511"/>
      <c r="CP773" s="511"/>
      <c r="CQ773" s="511"/>
      <c r="CR773" s="511"/>
      <c r="CS773" s="511"/>
      <c r="CT773" s="511"/>
      <c r="CU773" s="511"/>
      <c r="CV773" s="511"/>
      <c r="CW773" s="511"/>
      <c r="CX773" s="511"/>
      <c r="CY773" s="511"/>
      <c r="CZ773" s="511"/>
      <c r="DA773" s="511"/>
      <c r="DB773" s="511"/>
      <c r="DC773" s="511"/>
      <c r="DD773" s="511"/>
      <c r="DE773" s="511"/>
      <c r="DF773" s="511"/>
      <c r="DG773" s="511"/>
      <c r="DH773" s="511"/>
      <c r="DI773" s="511"/>
      <c r="DJ773" s="511"/>
      <c r="DK773" s="511"/>
      <c r="DL773" s="511"/>
      <c r="DM773" s="511"/>
      <c r="DN773" s="511"/>
      <c r="DO773" s="511"/>
      <c r="DP773" s="511"/>
    </row>
    <row r="774" spans="1:120" x14ac:dyDescent="0.2">
      <c r="A774" s="517">
        <f t="shared" si="102"/>
        <v>41883</v>
      </c>
      <c r="B774" s="517" t="str">
        <f t="shared" si="107"/>
        <v>3Q14</v>
      </c>
      <c r="C774" s="517" t="str">
        <f t="shared" si="103"/>
        <v>4Q14</v>
      </c>
      <c r="D774" s="518">
        <f t="shared" si="104"/>
        <v>41971</v>
      </c>
      <c r="E774" s="518">
        <f t="shared" si="105"/>
        <v>41911</v>
      </c>
      <c r="F774" s="520">
        <v>3.7549999999999999</v>
      </c>
      <c r="G774" s="521">
        <f t="shared" si="108"/>
        <v>0.53000000000000025</v>
      </c>
      <c r="H774" s="521">
        <f t="shared" si="106"/>
        <v>0.52000000000000024</v>
      </c>
      <c r="I774" s="511"/>
      <c r="J774" s="511"/>
      <c r="K774" s="511"/>
      <c r="L774" s="511"/>
      <c r="M774" s="511"/>
      <c r="N774" s="511"/>
      <c r="O774" s="511"/>
      <c r="P774" s="511"/>
      <c r="Q774" s="511"/>
      <c r="R774" s="511"/>
      <c r="S774" s="511"/>
      <c r="T774" s="511"/>
      <c r="U774" s="511"/>
      <c r="V774" s="511"/>
      <c r="W774" s="511"/>
      <c r="X774" s="511"/>
      <c r="Y774" s="511"/>
      <c r="Z774" s="511"/>
      <c r="AA774" s="511"/>
      <c r="AB774" s="511"/>
      <c r="AC774" s="511"/>
      <c r="AD774" s="511"/>
      <c r="AE774" s="511"/>
      <c r="AF774" s="511"/>
      <c r="AG774" s="511"/>
      <c r="AH774" s="511"/>
      <c r="AI774" s="511"/>
      <c r="AJ774" s="511"/>
      <c r="AK774" s="511"/>
      <c r="AL774" s="511"/>
      <c r="AM774" s="511"/>
      <c r="AN774" s="511"/>
      <c r="AO774" s="511"/>
      <c r="AP774" s="511"/>
      <c r="AQ774" s="511"/>
      <c r="AR774" s="511"/>
      <c r="AS774" s="511"/>
      <c r="AT774" s="511"/>
      <c r="AU774" s="511"/>
      <c r="AV774" s="511"/>
      <c r="AW774" s="511"/>
      <c r="AX774" s="511"/>
      <c r="AY774" s="511"/>
      <c r="AZ774" s="511"/>
      <c r="BA774" s="511"/>
      <c r="BB774" s="511"/>
      <c r="BC774" s="511"/>
      <c r="BD774" s="511"/>
      <c r="BE774" s="511"/>
      <c r="BF774" s="511"/>
      <c r="BG774" s="511"/>
      <c r="BH774" s="511"/>
      <c r="BI774" s="511"/>
      <c r="BJ774" s="511"/>
      <c r="BK774" s="511"/>
      <c r="BL774" s="511"/>
      <c r="BM774" s="511"/>
      <c r="BN774" s="511"/>
      <c r="BO774" s="511"/>
      <c r="BP774" s="511"/>
      <c r="BQ774" s="511"/>
      <c r="BR774" s="511"/>
      <c r="BS774" s="511"/>
      <c r="BT774" s="511"/>
      <c r="BU774" s="511"/>
      <c r="BV774" s="511"/>
      <c r="BW774" s="511"/>
      <c r="BX774" s="511"/>
      <c r="BY774" s="511"/>
      <c r="BZ774" s="511"/>
      <c r="CA774" s="511"/>
      <c r="CB774" s="511"/>
      <c r="CC774" s="511"/>
      <c r="CD774" s="511"/>
      <c r="CE774" s="511"/>
      <c r="CF774" s="511"/>
      <c r="CG774" s="511"/>
      <c r="CH774" s="511"/>
      <c r="CI774" s="511"/>
      <c r="CJ774" s="511"/>
      <c r="CK774" s="511"/>
      <c r="CL774" s="511"/>
      <c r="CM774" s="511"/>
      <c r="CN774" s="511"/>
      <c r="CO774" s="511"/>
      <c r="CP774" s="511"/>
      <c r="CQ774" s="511"/>
      <c r="CR774" s="511"/>
      <c r="CS774" s="511"/>
      <c r="CT774" s="511"/>
      <c r="CU774" s="511"/>
      <c r="CV774" s="511"/>
      <c r="CW774" s="511"/>
      <c r="CX774" s="511"/>
      <c r="CY774" s="511"/>
      <c r="CZ774" s="511"/>
      <c r="DA774" s="511"/>
      <c r="DB774" s="511"/>
      <c r="DC774" s="511"/>
      <c r="DD774" s="511"/>
      <c r="DE774" s="511"/>
      <c r="DF774" s="511"/>
      <c r="DG774" s="511"/>
      <c r="DH774" s="511"/>
      <c r="DI774" s="511"/>
      <c r="DJ774" s="511"/>
      <c r="DK774" s="511"/>
      <c r="DL774" s="511"/>
      <c r="DM774" s="511"/>
      <c r="DN774" s="511"/>
      <c r="DO774" s="511"/>
      <c r="DP774" s="511"/>
    </row>
    <row r="775" spans="1:120" x14ac:dyDescent="0.2">
      <c r="A775" s="517">
        <f t="shared" si="102"/>
        <v>41913</v>
      </c>
      <c r="B775" s="517" t="str">
        <f t="shared" si="107"/>
        <v>4Q14</v>
      </c>
      <c r="C775" s="517" t="str">
        <f t="shared" si="103"/>
        <v>4Q14</v>
      </c>
      <c r="D775" s="518">
        <f t="shared" si="104"/>
        <v>41978</v>
      </c>
      <c r="E775" s="518">
        <f t="shared" si="105"/>
        <v>41918</v>
      </c>
      <c r="F775" s="520">
        <v>3.7330000000000001</v>
      </c>
      <c r="G775" s="521">
        <f t="shared" si="108"/>
        <v>0.52000000000000024</v>
      </c>
      <c r="H775" s="521">
        <f t="shared" si="106"/>
        <v>0.51000000000000023</v>
      </c>
      <c r="I775" s="511"/>
      <c r="J775" s="511"/>
      <c r="K775" s="511"/>
      <c r="L775" s="511"/>
      <c r="M775" s="511"/>
      <c r="N775" s="511"/>
      <c r="O775" s="511"/>
      <c r="P775" s="511"/>
      <c r="Q775" s="511"/>
      <c r="R775" s="511"/>
      <c r="S775" s="511"/>
      <c r="T775" s="511"/>
      <c r="U775" s="511"/>
      <c r="V775" s="511"/>
      <c r="W775" s="511"/>
      <c r="X775" s="511"/>
      <c r="Y775" s="511"/>
      <c r="Z775" s="511"/>
      <c r="AA775" s="511"/>
      <c r="AB775" s="511"/>
      <c r="AC775" s="511"/>
      <c r="AD775" s="511"/>
      <c r="AE775" s="511"/>
      <c r="AF775" s="511"/>
      <c r="AG775" s="511"/>
      <c r="AH775" s="511"/>
      <c r="AI775" s="511"/>
      <c r="AJ775" s="511"/>
      <c r="AK775" s="511"/>
      <c r="AL775" s="511"/>
      <c r="AM775" s="511"/>
      <c r="AN775" s="511"/>
      <c r="AO775" s="511"/>
      <c r="AP775" s="511"/>
      <c r="AQ775" s="511"/>
      <c r="AR775" s="511"/>
      <c r="AS775" s="511"/>
      <c r="AT775" s="511"/>
      <c r="AU775" s="511"/>
      <c r="AV775" s="511"/>
      <c r="AW775" s="511"/>
      <c r="AX775" s="511"/>
      <c r="AY775" s="511"/>
      <c r="AZ775" s="511"/>
      <c r="BA775" s="511"/>
      <c r="BB775" s="511"/>
      <c r="BC775" s="511"/>
      <c r="BD775" s="511"/>
      <c r="BE775" s="511"/>
      <c r="BF775" s="511"/>
      <c r="BG775" s="511"/>
      <c r="BH775" s="511"/>
      <c r="BI775" s="511"/>
      <c r="BJ775" s="511"/>
      <c r="BK775" s="511"/>
      <c r="BL775" s="511"/>
      <c r="BM775" s="511"/>
      <c r="BN775" s="511"/>
      <c r="BO775" s="511"/>
      <c r="BP775" s="511"/>
      <c r="BQ775" s="511"/>
      <c r="BR775" s="511"/>
      <c r="BS775" s="511"/>
      <c r="BT775" s="511"/>
      <c r="BU775" s="511"/>
      <c r="BV775" s="511"/>
      <c r="BW775" s="511"/>
      <c r="BX775" s="511"/>
      <c r="BY775" s="511"/>
      <c r="BZ775" s="511"/>
      <c r="CA775" s="511"/>
      <c r="CB775" s="511"/>
      <c r="CC775" s="511"/>
      <c r="CD775" s="511"/>
      <c r="CE775" s="511"/>
      <c r="CF775" s="511"/>
      <c r="CG775" s="511"/>
      <c r="CH775" s="511"/>
      <c r="CI775" s="511"/>
      <c r="CJ775" s="511"/>
      <c r="CK775" s="511"/>
      <c r="CL775" s="511"/>
      <c r="CM775" s="511"/>
      <c r="CN775" s="511"/>
      <c r="CO775" s="511"/>
      <c r="CP775" s="511"/>
      <c r="CQ775" s="511"/>
      <c r="CR775" s="511"/>
      <c r="CS775" s="511"/>
      <c r="CT775" s="511"/>
      <c r="CU775" s="511"/>
      <c r="CV775" s="511"/>
      <c r="CW775" s="511"/>
      <c r="CX775" s="511"/>
      <c r="CY775" s="511"/>
      <c r="CZ775" s="511"/>
      <c r="DA775" s="511"/>
      <c r="DB775" s="511"/>
      <c r="DC775" s="511"/>
      <c r="DD775" s="511"/>
      <c r="DE775" s="511"/>
      <c r="DF775" s="511"/>
      <c r="DG775" s="511"/>
      <c r="DH775" s="511"/>
      <c r="DI775" s="511"/>
      <c r="DJ775" s="511"/>
      <c r="DK775" s="511"/>
      <c r="DL775" s="511"/>
      <c r="DM775" s="511"/>
      <c r="DN775" s="511"/>
      <c r="DO775" s="511"/>
      <c r="DP775" s="511"/>
    </row>
    <row r="776" spans="1:120" x14ac:dyDescent="0.2">
      <c r="A776" s="517">
        <f t="shared" si="102"/>
        <v>41913</v>
      </c>
      <c r="B776" s="517" t="str">
        <f t="shared" si="107"/>
        <v>4Q14</v>
      </c>
      <c r="C776" s="517" t="str">
        <f t="shared" si="103"/>
        <v>4Q14</v>
      </c>
      <c r="D776" s="518">
        <f t="shared" si="104"/>
        <v>41985</v>
      </c>
      <c r="E776" s="518">
        <f t="shared" si="105"/>
        <v>41925</v>
      </c>
      <c r="F776" s="520">
        <v>3.698</v>
      </c>
      <c r="G776" s="521">
        <f t="shared" si="108"/>
        <v>0.51000000000000023</v>
      </c>
      <c r="H776" s="521">
        <f t="shared" si="106"/>
        <v>0.51000000000000023</v>
      </c>
      <c r="I776" s="511"/>
      <c r="J776" s="511"/>
      <c r="K776" s="511"/>
      <c r="L776" s="511"/>
      <c r="M776" s="511"/>
      <c r="N776" s="511"/>
      <c r="O776" s="511"/>
      <c r="P776" s="511"/>
      <c r="Q776" s="511"/>
      <c r="R776" s="511"/>
      <c r="S776" s="511"/>
      <c r="T776" s="511"/>
      <c r="U776" s="511"/>
      <c r="V776" s="511"/>
      <c r="W776" s="511"/>
      <c r="X776" s="511"/>
      <c r="Y776" s="511"/>
      <c r="Z776" s="511"/>
      <c r="AA776" s="511"/>
      <c r="AB776" s="511"/>
      <c r="AC776" s="511"/>
      <c r="AD776" s="511"/>
      <c r="AE776" s="511"/>
      <c r="AF776" s="511"/>
      <c r="AG776" s="511"/>
      <c r="AH776" s="511"/>
      <c r="AI776" s="511"/>
      <c r="AJ776" s="511"/>
      <c r="AK776" s="511"/>
      <c r="AL776" s="511"/>
      <c r="AM776" s="511"/>
      <c r="AN776" s="511"/>
      <c r="AO776" s="511"/>
      <c r="AP776" s="511"/>
      <c r="AQ776" s="511"/>
      <c r="AR776" s="511"/>
      <c r="AS776" s="511"/>
      <c r="AT776" s="511"/>
      <c r="AU776" s="511"/>
      <c r="AV776" s="511"/>
      <c r="AW776" s="511"/>
      <c r="AX776" s="511"/>
      <c r="AY776" s="511"/>
      <c r="AZ776" s="511"/>
      <c r="BA776" s="511"/>
      <c r="BB776" s="511"/>
      <c r="BC776" s="511"/>
      <c r="BD776" s="511"/>
      <c r="BE776" s="511"/>
      <c r="BF776" s="511"/>
      <c r="BG776" s="511"/>
      <c r="BH776" s="511"/>
      <c r="BI776" s="511"/>
      <c r="BJ776" s="511"/>
      <c r="BK776" s="511"/>
      <c r="BL776" s="511"/>
      <c r="BM776" s="511"/>
      <c r="BN776" s="511"/>
      <c r="BO776" s="511"/>
      <c r="BP776" s="511"/>
      <c r="BQ776" s="511"/>
      <c r="BR776" s="511"/>
      <c r="BS776" s="511"/>
      <c r="BT776" s="511"/>
      <c r="BU776" s="511"/>
      <c r="BV776" s="511"/>
      <c r="BW776" s="511"/>
      <c r="BX776" s="511"/>
      <c r="BY776" s="511"/>
      <c r="BZ776" s="511"/>
      <c r="CA776" s="511"/>
      <c r="CB776" s="511"/>
      <c r="CC776" s="511"/>
      <c r="CD776" s="511"/>
      <c r="CE776" s="511"/>
      <c r="CF776" s="511"/>
      <c r="CG776" s="511"/>
      <c r="CH776" s="511"/>
      <c r="CI776" s="511"/>
      <c r="CJ776" s="511"/>
      <c r="CK776" s="511"/>
      <c r="CL776" s="511"/>
      <c r="CM776" s="511"/>
      <c r="CN776" s="511"/>
      <c r="CO776" s="511"/>
      <c r="CP776" s="511"/>
      <c r="CQ776" s="511"/>
      <c r="CR776" s="511"/>
      <c r="CS776" s="511"/>
      <c r="CT776" s="511"/>
      <c r="CU776" s="511"/>
      <c r="CV776" s="511"/>
      <c r="CW776" s="511"/>
      <c r="CX776" s="511"/>
      <c r="CY776" s="511"/>
      <c r="CZ776" s="511"/>
      <c r="DA776" s="511"/>
      <c r="DB776" s="511"/>
      <c r="DC776" s="511"/>
      <c r="DD776" s="511"/>
      <c r="DE776" s="511"/>
      <c r="DF776" s="511"/>
      <c r="DG776" s="511"/>
      <c r="DH776" s="511"/>
      <c r="DI776" s="511"/>
      <c r="DJ776" s="511"/>
      <c r="DK776" s="511"/>
      <c r="DL776" s="511"/>
      <c r="DM776" s="511"/>
      <c r="DN776" s="511"/>
      <c r="DO776" s="511"/>
      <c r="DP776" s="511"/>
    </row>
    <row r="777" spans="1:120" x14ac:dyDescent="0.2">
      <c r="A777" s="517">
        <f t="shared" si="102"/>
        <v>41913</v>
      </c>
      <c r="B777" s="517" t="str">
        <f t="shared" si="107"/>
        <v>4Q14</v>
      </c>
      <c r="C777" s="517" t="str">
        <f t="shared" si="103"/>
        <v>4Q14</v>
      </c>
      <c r="D777" s="518">
        <f t="shared" si="104"/>
        <v>41992</v>
      </c>
      <c r="E777" s="518">
        <f t="shared" si="105"/>
        <v>41932</v>
      </c>
      <c r="F777" s="520">
        <v>3.6560000000000001</v>
      </c>
      <c r="G777" s="521">
        <f t="shared" si="108"/>
        <v>0.51000000000000023</v>
      </c>
      <c r="H777" s="521">
        <f t="shared" si="106"/>
        <v>0.50000000000000022</v>
      </c>
      <c r="I777" s="511"/>
      <c r="J777" s="511"/>
      <c r="K777" s="511"/>
      <c r="L777" s="511"/>
      <c r="M777" s="511"/>
      <c r="N777" s="511"/>
      <c r="O777" s="511"/>
      <c r="P777" s="511"/>
      <c r="Q777" s="511"/>
      <c r="R777" s="511"/>
      <c r="S777" s="511"/>
      <c r="T777" s="511"/>
      <c r="U777" s="511"/>
      <c r="V777" s="511"/>
      <c r="W777" s="511"/>
      <c r="X777" s="511"/>
      <c r="Y777" s="511"/>
      <c r="Z777" s="511"/>
      <c r="AA777" s="511"/>
      <c r="AB777" s="511"/>
      <c r="AC777" s="511"/>
      <c r="AD777" s="511"/>
      <c r="AE777" s="511"/>
      <c r="AF777" s="511"/>
      <c r="AG777" s="511"/>
      <c r="AH777" s="511"/>
      <c r="AI777" s="511"/>
      <c r="AJ777" s="511"/>
      <c r="AK777" s="511"/>
      <c r="AL777" s="511"/>
      <c r="AM777" s="511"/>
      <c r="AN777" s="511"/>
      <c r="AO777" s="511"/>
      <c r="AP777" s="511"/>
      <c r="AQ777" s="511"/>
      <c r="AR777" s="511"/>
      <c r="AS777" s="511"/>
      <c r="AT777" s="511"/>
      <c r="AU777" s="511"/>
      <c r="AV777" s="511"/>
      <c r="AW777" s="511"/>
      <c r="AX777" s="511"/>
      <c r="AY777" s="511"/>
      <c r="AZ777" s="511"/>
      <c r="BA777" s="511"/>
      <c r="BB777" s="511"/>
      <c r="BC777" s="511"/>
      <c r="BD777" s="511"/>
      <c r="BE777" s="511"/>
      <c r="BF777" s="511"/>
      <c r="BG777" s="511"/>
      <c r="BH777" s="511"/>
      <c r="BI777" s="511"/>
      <c r="BJ777" s="511"/>
      <c r="BK777" s="511"/>
      <c r="BL777" s="511"/>
      <c r="BM777" s="511"/>
      <c r="BN777" s="511"/>
      <c r="BO777" s="511"/>
      <c r="BP777" s="511"/>
      <c r="BQ777" s="511"/>
      <c r="BR777" s="511"/>
      <c r="BS777" s="511"/>
      <c r="BT777" s="511"/>
      <c r="BU777" s="511"/>
      <c r="BV777" s="511"/>
      <c r="BW777" s="511"/>
      <c r="BX777" s="511"/>
      <c r="BY777" s="511"/>
      <c r="BZ777" s="511"/>
      <c r="CA777" s="511"/>
      <c r="CB777" s="511"/>
      <c r="CC777" s="511"/>
      <c r="CD777" s="511"/>
      <c r="CE777" s="511"/>
      <c r="CF777" s="511"/>
      <c r="CG777" s="511"/>
      <c r="CH777" s="511"/>
      <c r="CI777" s="511"/>
      <c r="CJ777" s="511"/>
      <c r="CK777" s="511"/>
      <c r="CL777" s="511"/>
      <c r="CM777" s="511"/>
      <c r="CN777" s="511"/>
      <c r="CO777" s="511"/>
      <c r="CP777" s="511"/>
      <c r="CQ777" s="511"/>
      <c r="CR777" s="511"/>
      <c r="CS777" s="511"/>
      <c r="CT777" s="511"/>
      <c r="CU777" s="511"/>
      <c r="CV777" s="511"/>
      <c r="CW777" s="511"/>
      <c r="CX777" s="511"/>
      <c r="CY777" s="511"/>
      <c r="CZ777" s="511"/>
      <c r="DA777" s="511"/>
      <c r="DB777" s="511"/>
      <c r="DC777" s="511"/>
      <c r="DD777" s="511"/>
      <c r="DE777" s="511"/>
      <c r="DF777" s="511"/>
      <c r="DG777" s="511"/>
      <c r="DH777" s="511"/>
      <c r="DI777" s="511"/>
      <c r="DJ777" s="511"/>
      <c r="DK777" s="511"/>
      <c r="DL777" s="511"/>
      <c r="DM777" s="511"/>
      <c r="DN777" s="511"/>
      <c r="DO777" s="511"/>
      <c r="DP777" s="511"/>
    </row>
    <row r="778" spans="1:120" x14ac:dyDescent="0.2">
      <c r="A778" s="517">
        <f t="shared" si="102"/>
        <v>41913</v>
      </c>
      <c r="B778" s="517" t="str">
        <f t="shared" si="107"/>
        <v>4Q14</v>
      </c>
      <c r="C778" s="517" t="str">
        <f t="shared" si="103"/>
        <v>4Q14</v>
      </c>
      <c r="D778" s="518">
        <f t="shared" si="104"/>
        <v>41999</v>
      </c>
      <c r="E778" s="518">
        <f t="shared" si="105"/>
        <v>41939</v>
      </c>
      <c r="F778" s="520">
        <v>3.6349999999999998</v>
      </c>
      <c r="G778" s="521">
        <f t="shared" si="108"/>
        <v>0.50000000000000022</v>
      </c>
      <c r="H778" s="521">
        <f t="shared" si="106"/>
        <v>0.50000000000000022</v>
      </c>
      <c r="I778" s="511"/>
      <c r="J778" s="511"/>
      <c r="K778" s="511"/>
      <c r="L778" s="511"/>
      <c r="M778" s="511"/>
      <c r="N778" s="511"/>
      <c r="O778" s="511"/>
      <c r="P778" s="511"/>
      <c r="Q778" s="511"/>
      <c r="R778" s="511"/>
      <c r="S778" s="511"/>
      <c r="T778" s="511"/>
      <c r="U778" s="511"/>
      <c r="V778" s="511"/>
      <c r="W778" s="511"/>
      <c r="X778" s="511"/>
      <c r="Y778" s="511"/>
      <c r="Z778" s="511"/>
      <c r="AA778" s="511"/>
      <c r="AB778" s="511"/>
      <c r="AC778" s="511"/>
      <c r="AD778" s="511"/>
      <c r="AE778" s="511"/>
      <c r="AF778" s="511"/>
      <c r="AG778" s="511"/>
      <c r="AH778" s="511"/>
      <c r="AI778" s="511"/>
      <c r="AJ778" s="511"/>
      <c r="AK778" s="511"/>
      <c r="AL778" s="511"/>
      <c r="AM778" s="511"/>
      <c r="AN778" s="511"/>
      <c r="AO778" s="511"/>
      <c r="AP778" s="511"/>
      <c r="AQ778" s="511"/>
      <c r="AR778" s="511"/>
      <c r="AS778" s="511"/>
      <c r="AT778" s="511"/>
      <c r="AU778" s="511"/>
      <c r="AV778" s="511"/>
      <c r="AW778" s="511"/>
      <c r="AX778" s="511"/>
      <c r="AY778" s="511"/>
      <c r="AZ778" s="511"/>
      <c r="BA778" s="511"/>
      <c r="BB778" s="511"/>
      <c r="BC778" s="511"/>
      <c r="BD778" s="511"/>
      <c r="BE778" s="511"/>
      <c r="BF778" s="511"/>
      <c r="BG778" s="511"/>
      <c r="BH778" s="511"/>
      <c r="BI778" s="511"/>
      <c r="BJ778" s="511"/>
      <c r="BK778" s="511"/>
      <c r="BL778" s="511"/>
      <c r="BM778" s="511"/>
      <c r="BN778" s="511"/>
      <c r="BO778" s="511"/>
      <c r="BP778" s="511"/>
      <c r="BQ778" s="511"/>
      <c r="BR778" s="511"/>
      <c r="BS778" s="511"/>
      <c r="BT778" s="511"/>
      <c r="BU778" s="511"/>
      <c r="BV778" s="511"/>
      <c r="BW778" s="511"/>
      <c r="BX778" s="511"/>
      <c r="BY778" s="511"/>
      <c r="BZ778" s="511"/>
      <c r="CA778" s="511"/>
      <c r="CB778" s="511"/>
      <c r="CC778" s="511"/>
      <c r="CD778" s="511"/>
      <c r="CE778" s="511"/>
      <c r="CF778" s="511"/>
      <c r="CG778" s="511"/>
      <c r="CH778" s="511"/>
      <c r="CI778" s="511"/>
      <c r="CJ778" s="511"/>
      <c r="CK778" s="511"/>
      <c r="CL778" s="511"/>
      <c r="CM778" s="511"/>
      <c r="CN778" s="511"/>
      <c r="CO778" s="511"/>
      <c r="CP778" s="511"/>
      <c r="CQ778" s="511"/>
      <c r="CR778" s="511"/>
      <c r="CS778" s="511"/>
      <c r="CT778" s="511"/>
      <c r="CU778" s="511"/>
      <c r="CV778" s="511"/>
      <c r="CW778" s="511"/>
      <c r="CX778" s="511"/>
      <c r="CY778" s="511"/>
      <c r="CZ778" s="511"/>
      <c r="DA778" s="511"/>
      <c r="DB778" s="511"/>
      <c r="DC778" s="511"/>
      <c r="DD778" s="511"/>
      <c r="DE778" s="511"/>
      <c r="DF778" s="511"/>
      <c r="DG778" s="511"/>
      <c r="DH778" s="511"/>
      <c r="DI778" s="511"/>
      <c r="DJ778" s="511"/>
      <c r="DK778" s="511"/>
      <c r="DL778" s="511"/>
      <c r="DM778" s="511"/>
      <c r="DN778" s="511"/>
      <c r="DO778" s="511"/>
      <c r="DP778" s="511"/>
    </row>
    <row r="779" spans="1:120" x14ac:dyDescent="0.2">
      <c r="A779" s="517">
        <f t="shared" si="102"/>
        <v>41944</v>
      </c>
      <c r="B779" s="517" t="str">
        <f t="shared" si="107"/>
        <v>4Q14</v>
      </c>
      <c r="C779" s="517" t="str">
        <f t="shared" si="103"/>
        <v>1Q15</v>
      </c>
      <c r="D779" s="518">
        <f t="shared" si="104"/>
        <v>42006</v>
      </c>
      <c r="E779" s="518">
        <f t="shared" si="105"/>
        <v>41946</v>
      </c>
      <c r="F779" s="520">
        <v>3.6230000000000002</v>
      </c>
      <c r="G779" s="521">
        <f t="shared" si="108"/>
        <v>0.50000000000000022</v>
      </c>
      <c r="H779" s="521">
        <f t="shared" si="106"/>
        <v>0.51000000000000023</v>
      </c>
      <c r="I779" s="511"/>
      <c r="J779" s="511"/>
      <c r="K779" s="511"/>
      <c r="L779" s="511"/>
      <c r="M779" s="511"/>
      <c r="N779" s="511"/>
      <c r="O779" s="511"/>
      <c r="P779" s="511"/>
      <c r="Q779" s="511"/>
      <c r="R779" s="511"/>
      <c r="S779" s="511"/>
      <c r="T779" s="511"/>
      <c r="U779" s="511"/>
      <c r="V779" s="511"/>
      <c r="W779" s="511"/>
      <c r="X779" s="511"/>
      <c r="Y779" s="511"/>
      <c r="Z779" s="511"/>
      <c r="AA779" s="511"/>
      <c r="AB779" s="511"/>
      <c r="AC779" s="511"/>
      <c r="AD779" s="511"/>
      <c r="AE779" s="511"/>
      <c r="AF779" s="511"/>
      <c r="AG779" s="511"/>
      <c r="AH779" s="511"/>
      <c r="AI779" s="511"/>
      <c r="AJ779" s="511"/>
      <c r="AK779" s="511"/>
      <c r="AL779" s="511"/>
      <c r="AM779" s="511"/>
      <c r="AN779" s="511"/>
      <c r="AO779" s="511"/>
      <c r="AP779" s="511"/>
      <c r="AQ779" s="511"/>
      <c r="AR779" s="511"/>
      <c r="AS779" s="511"/>
      <c r="AT779" s="511"/>
      <c r="AU779" s="511"/>
      <c r="AV779" s="511"/>
      <c r="AW779" s="511"/>
      <c r="AX779" s="511"/>
      <c r="AY779" s="511"/>
      <c r="AZ779" s="511"/>
      <c r="BA779" s="511"/>
      <c r="BB779" s="511"/>
      <c r="BC779" s="511"/>
      <c r="BD779" s="511"/>
      <c r="BE779" s="511"/>
      <c r="BF779" s="511"/>
      <c r="BG779" s="511"/>
      <c r="BH779" s="511"/>
      <c r="BI779" s="511"/>
      <c r="BJ779" s="511"/>
      <c r="BK779" s="511"/>
      <c r="BL779" s="511"/>
      <c r="BM779" s="511"/>
      <c r="BN779" s="511"/>
      <c r="BO779" s="511"/>
      <c r="BP779" s="511"/>
      <c r="BQ779" s="511"/>
      <c r="BR779" s="511"/>
      <c r="BS779" s="511"/>
      <c r="BT779" s="511"/>
      <c r="BU779" s="511"/>
      <c r="BV779" s="511"/>
      <c r="BW779" s="511"/>
      <c r="BX779" s="511"/>
      <c r="BY779" s="511"/>
      <c r="BZ779" s="511"/>
      <c r="CA779" s="511"/>
      <c r="CB779" s="511"/>
      <c r="CC779" s="511"/>
      <c r="CD779" s="511"/>
      <c r="CE779" s="511"/>
      <c r="CF779" s="511"/>
      <c r="CG779" s="511"/>
      <c r="CH779" s="511"/>
      <c r="CI779" s="511"/>
      <c r="CJ779" s="511"/>
      <c r="CK779" s="511"/>
      <c r="CL779" s="511"/>
      <c r="CM779" s="511"/>
      <c r="CN779" s="511"/>
      <c r="CO779" s="511"/>
      <c r="CP779" s="511"/>
      <c r="CQ779" s="511"/>
      <c r="CR779" s="511"/>
      <c r="CS779" s="511"/>
      <c r="CT779" s="511"/>
      <c r="CU779" s="511"/>
      <c r="CV779" s="511"/>
      <c r="CW779" s="511"/>
      <c r="CX779" s="511"/>
      <c r="CY779" s="511"/>
      <c r="CZ779" s="511"/>
      <c r="DA779" s="511"/>
      <c r="DB779" s="511"/>
      <c r="DC779" s="511"/>
      <c r="DD779" s="511"/>
      <c r="DE779" s="511"/>
      <c r="DF779" s="511"/>
      <c r="DG779" s="511"/>
      <c r="DH779" s="511"/>
      <c r="DI779" s="511"/>
      <c r="DJ779" s="511"/>
      <c r="DK779" s="511"/>
      <c r="DL779" s="511"/>
      <c r="DM779" s="511"/>
      <c r="DN779" s="511"/>
      <c r="DO779" s="511"/>
      <c r="DP779" s="511"/>
    </row>
    <row r="780" spans="1:120" x14ac:dyDescent="0.2">
      <c r="A780" s="517">
        <f t="shared" si="102"/>
        <v>41944</v>
      </c>
      <c r="B780" s="517" t="str">
        <f t="shared" si="107"/>
        <v>4Q14</v>
      </c>
      <c r="C780" s="517" t="str">
        <f t="shared" si="103"/>
        <v>1Q15</v>
      </c>
      <c r="D780" s="518">
        <f t="shared" si="104"/>
        <v>42013</v>
      </c>
      <c r="E780" s="518">
        <f t="shared" si="105"/>
        <v>41953</v>
      </c>
      <c r="F780" s="520">
        <v>3.677</v>
      </c>
      <c r="G780" s="521">
        <f t="shared" si="108"/>
        <v>0.51000000000000023</v>
      </c>
      <c r="H780" s="521">
        <f t="shared" si="106"/>
        <v>0.51000000000000023</v>
      </c>
      <c r="I780" s="511"/>
      <c r="J780" s="511"/>
      <c r="K780" s="511"/>
      <c r="L780" s="511"/>
      <c r="M780" s="511"/>
      <c r="N780" s="511"/>
      <c r="O780" s="511"/>
      <c r="P780" s="511"/>
      <c r="Q780" s="511"/>
      <c r="R780" s="511"/>
      <c r="S780" s="511"/>
      <c r="T780" s="511"/>
      <c r="U780" s="511"/>
      <c r="V780" s="511"/>
      <c r="W780" s="511"/>
      <c r="X780" s="511"/>
      <c r="Y780" s="511"/>
      <c r="Z780" s="511"/>
      <c r="AA780" s="511"/>
      <c r="AB780" s="511"/>
      <c r="AC780" s="511"/>
      <c r="AD780" s="511"/>
      <c r="AE780" s="511"/>
      <c r="AF780" s="511"/>
      <c r="AG780" s="511"/>
      <c r="AH780" s="511"/>
      <c r="AI780" s="511"/>
      <c r="AJ780" s="511"/>
      <c r="AK780" s="511"/>
      <c r="AL780" s="511"/>
      <c r="AM780" s="511"/>
      <c r="AN780" s="511"/>
      <c r="AO780" s="511"/>
      <c r="AP780" s="511"/>
      <c r="AQ780" s="511"/>
      <c r="AR780" s="511"/>
      <c r="AS780" s="511"/>
      <c r="AT780" s="511"/>
      <c r="AU780" s="511"/>
      <c r="AV780" s="511"/>
      <c r="AW780" s="511"/>
      <c r="AX780" s="511"/>
      <c r="AY780" s="511"/>
      <c r="AZ780" s="511"/>
      <c r="BA780" s="511"/>
      <c r="BB780" s="511"/>
      <c r="BC780" s="511"/>
      <c r="BD780" s="511"/>
      <c r="BE780" s="511"/>
      <c r="BF780" s="511"/>
      <c r="BG780" s="511"/>
      <c r="BH780" s="511"/>
      <c r="BI780" s="511"/>
      <c r="BJ780" s="511"/>
      <c r="BK780" s="511"/>
      <c r="BL780" s="511"/>
      <c r="BM780" s="511"/>
      <c r="BN780" s="511"/>
      <c r="BO780" s="511"/>
      <c r="BP780" s="511"/>
      <c r="BQ780" s="511"/>
      <c r="BR780" s="511"/>
      <c r="BS780" s="511"/>
      <c r="BT780" s="511"/>
      <c r="BU780" s="511"/>
      <c r="BV780" s="511"/>
      <c r="BW780" s="511"/>
      <c r="BX780" s="511"/>
      <c r="BY780" s="511"/>
      <c r="BZ780" s="511"/>
      <c r="CA780" s="511"/>
      <c r="CB780" s="511"/>
      <c r="CC780" s="511"/>
      <c r="CD780" s="511"/>
      <c r="CE780" s="511"/>
      <c r="CF780" s="511"/>
      <c r="CG780" s="511"/>
      <c r="CH780" s="511"/>
      <c r="CI780" s="511"/>
      <c r="CJ780" s="511"/>
      <c r="CK780" s="511"/>
      <c r="CL780" s="511"/>
      <c r="CM780" s="511"/>
      <c r="CN780" s="511"/>
      <c r="CO780" s="511"/>
      <c r="CP780" s="511"/>
      <c r="CQ780" s="511"/>
      <c r="CR780" s="511"/>
      <c r="CS780" s="511"/>
      <c r="CT780" s="511"/>
      <c r="CU780" s="511"/>
      <c r="CV780" s="511"/>
      <c r="CW780" s="511"/>
      <c r="CX780" s="511"/>
      <c r="CY780" s="511"/>
      <c r="CZ780" s="511"/>
      <c r="DA780" s="511"/>
      <c r="DB780" s="511"/>
      <c r="DC780" s="511"/>
      <c r="DD780" s="511"/>
      <c r="DE780" s="511"/>
      <c r="DF780" s="511"/>
      <c r="DG780" s="511"/>
      <c r="DH780" s="511"/>
      <c r="DI780" s="511"/>
      <c r="DJ780" s="511"/>
      <c r="DK780" s="511"/>
      <c r="DL780" s="511"/>
      <c r="DM780" s="511"/>
      <c r="DN780" s="511"/>
      <c r="DO780" s="511"/>
      <c r="DP780" s="511"/>
    </row>
    <row r="781" spans="1:120" x14ac:dyDescent="0.2">
      <c r="A781" s="517">
        <f t="shared" si="102"/>
        <v>41944</v>
      </c>
      <c r="B781" s="517" t="str">
        <f t="shared" si="107"/>
        <v>4Q14</v>
      </c>
      <c r="C781" s="517" t="str">
        <f t="shared" si="103"/>
        <v>1Q15</v>
      </c>
      <c r="D781" s="518">
        <f t="shared" si="104"/>
        <v>42020</v>
      </c>
      <c r="E781" s="518">
        <f t="shared" si="105"/>
        <v>41960</v>
      </c>
      <c r="F781" s="520">
        <v>3.661</v>
      </c>
      <c r="G781" s="521">
        <f t="shared" si="108"/>
        <v>0.51000000000000023</v>
      </c>
      <c r="H781" s="521">
        <f t="shared" si="106"/>
        <v>0.50000000000000022</v>
      </c>
      <c r="I781" s="511"/>
      <c r="J781" s="511"/>
      <c r="K781" s="511"/>
      <c r="L781" s="511"/>
      <c r="M781" s="511"/>
      <c r="N781" s="511"/>
      <c r="O781" s="511"/>
      <c r="P781" s="511"/>
      <c r="Q781" s="511"/>
      <c r="R781" s="511"/>
      <c r="S781" s="511"/>
      <c r="T781" s="511"/>
      <c r="U781" s="511"/>
      <c r="V781" s="511"/>
      <c r="W781" s="511"/>
      <c r="X781" s="511"/>
      <c r="Y781" s="511"/>
      <c r="Z781" s="511"/>
      <c r="AA781" s="511"/>
      <c r="AB781" s="511"/>
      <c r="AC781" s="511"/>
      <c r="AD781" s="511"/>
      <c r="AE781" s="511"/>
      <c r="AF781" s="511"/>
      <c r="AG781" s="511"/>
      <c r="AH781" s="511"/>
      <c r="AI781" s="511"/>
      <c r="AJ781" s="511"/>
      <c r="AK781" s="511"/>
      <c r="AL781" s="511"/>
      <c r="AM781" s="511"/>
      <c r="AN781" s="511"/>
      <c r="AO781" s="511"/>
      <c r="AP781" s="511"/>
      <c r="AQ781" s="511"/>
      <c r="AR781" s="511"/>
      <c r="AS781" s="511"/>
      <c r="AT781" s="511"/>
      <c r="AU781" s="511"/>
      <c r="AV781" s="511"/>
      <c r="AW781" s="511"/>
      <c r="AX781" s="511"/>
      <c r="AY781" s="511"/>
      <c r="AZ781" s="511"/>
      <c r="BA781" s="511"/>
      <c r="BB781" s="511"/>
      <c r="BC781" s="511"/>
      <c r="BD781" s="511"/>
      <c r="BE781" s="511"/>
      <c r="BF781" s="511"/>
      <c r="BG781" s="511"/>
      <c r="BH781" s="511"/>
      <c r="BI781" s="511"/>
      <c r="BJ781" s="511"/>
      <c r="BK781" s="511"/>
      <c r="BL781" s="511"/>
      <c r="BM781" s="511"/>
      <c r="BN781" s="511"/>
      <c r="BO781" s="511"/>
      <c r="BP781" s="511"/>
      <c r="BQ781" s="511"/>
      <c r="BR781" s="511"/>
      <c r="BS781" s="511"/>
      <c r="BT781" s="511"/>
      <c r="BU781" s="511"/>
      <c r="BV781" s="511"/>
      <c r="BW781" s="511"/>
      <c r="BX781" s="511"/>
      <c r="BY781" s="511"/>
      <c r="BZ781" s="511"/>
      <c r="CA781" s="511"/>
      <c r="CB781" s="511"/>
      <c r="CC781" s="511"/>
      <c r="CD781" s="511"/>
      <c r="CE781" s="511"/>
      <c r="CF781" s="511"/>
      <c r="CG781" s="511"/>
      <c r="CH781" s="511"/>
      <c r="CI781" s="511"/>
      <c r="CJ781" s="511"/>
      <c r="CK781" s="511"/>
      <c r="CL781" s="511"/>
      <c r="CM781" s="511"/>
      <c r="CN781" s="511"/>
      <c r="CO781" s="511"/>
      <c r="CP781" s="511"/>
      <c r="CQ781" s="511"/>
      <c r="CR781" s="511"/>
      <c r="CS781" s="511"/>
      <c r="CT781" s="511"/>
      <c r="CU781" s="511"/>
      <c r="CV781" s="511"/>
      <c r="CW781" s="511"/>
      <c r="CX781" s="511"/>
      <c r="CY781" s="511"/>
      <c r="CZ781" s="511"/>
      <c r="DA781" s="511"/>
      <c r="DB781" s="511"/>
      <c r="DC781" s="511"/>
      <c r="DD781" s="511"/>
      <c r="DE781" s="511"/>
      <c r="DF781" s="511"/>
      <c r="DG781" s="511"/>
      <c r="DH781" s="511"/>
      <c r="DI781" s="511"/>
      <c r="DJ781" s="511"/>
      <c r="DK781" s="511"/>
      <c r="DL781" s="511"/>
      <c r="DM781" s="511"/>
      <c r="DN781" s="511"/>
      <c r="DO781" s="511"/>
      <c r="DP781" s="511"/>
    </row>
    <row r="782" spans="1:120" x14ac:dyDescent="0.2">
      <c r="A782" s="517">
        <f t="shared" si="102"/>
        <v>41944</v>
      </c>
      <c r="B782" s="517" t="str">
        <f t="shared" si="107"/>
        <v>4Q14</v>
      </c>
      <c r="C782" s="517" t="str">
        <f t="shared" si="103"/>
        <v>1Q15</v>
      </c>
      <c r="D782" s="518">
        <f t="shared" si="104"/>
        <v>42027</v>
      </c>
      <c r="E782" s="518">
        <f t="shared" si="105"/>
        <v>41967</v>
      </c>
      <c r="F782" s="520">
        <v>3.6280000000000001</v>
      </c>
      <c r="G782" s="521">
        <f t="shared" si="108"/>
        <v>0.50000000000000022</v>
      </c>
      <c r="H782" s="521">
        <f t="shared" si="106"/>
        <v>0.50000000000000022</v>
      </c>
      <c r="I782" s="511"/>
      <c r="J782" s="511"/>
      <c r="K782" s="511"/>
      <c r="L782" s="511"/>
      <c r="M782" s="511"/>
      <c r="N782" s="511"/>
      <c r="O782" s="511"/>
      <c r="P782" s="511"/>
      <c r="Q782" s="511"/>
      <c r="R782" s="511"/>
      <c r="S782" s="511"/>
      <c r="T782" s="511"/>
      <c r="U782" s="511"/>
      <c r="V782" s="511"/>
      <c r="W782" s="511"/>
      <c r="X782" s="511"/>
      <c r="Y782" s="511"/>
      <c r="Z782" s="511"/>
      <c r="AA782" s="511"/>
      <c r="AB782" s="511"/>
      <c r="AC782" s="511"/>
      <c r="AD782" s="511"/>
      <c r="AE782" s="511"/>
      <c r="AF782" s="511"/>
      <c r="AG782" s="511"/>
      <c r="AH782" s="511"/>
      <c r="AI782" s="511"/>
      <c r="AJ782" s="511"/>
      <c r="AK782" s="511"/>
      <c r="AL782" s="511"/>
      <c r="AM782" s="511"/>
      <c r="AN782" s="511"/>
      <c r="AO782" s="511"/>
      <c r="AP782" s="511"/>
      <c r="AQ782" s="511"/>
      <c r="AR782" s="511"/>
      <c r="AS782" s="511"/>
      <c r="AT782" s="511"/>
      <c r="AU782" s="511"/>
      <c r="AV782" s="511"/>
      <c r="AW782" s="511"/>
      <c r="AX782" s="511"/>
      <c r="AY782" s="511"/>
      <c r="AZ782" s="511"/>
      <c r="BA782" s="511"/>
      <c r="BB782" s="511"/>
      <c r="BC782" s="511"/>
      <c r="BD782" s="511"/>
      <c r="BE782" s="511"/>
      <c r="BF782" s="511"/>
      <c r="BG782" s="511"/>
      <c r="BH782" s="511"/>
      <c r="BI782" s="511"/>
      <c r="BJ782" s="511"/>
      <c r="BK782" s="511"/>
      <c r="BL782" s="511"/>
      <c r="BM782" s="511"/>
      <c r="BN782" s="511"/>
      <c r="BO782" s="511"/>
      <c r="BP782" s="511"/>
      <c r="BQ782" s="511"/>
      <c r="BR782" s="511"/>
      <c r="BS782" s="511"/>
      <c r="BT782" s="511"/>
      <c r="BU782" s="511"/>
      <c r="BV782" s="511"/>
      <c r="BW782" s="511"/>
      <c r="BX782" s="511"/>
      <c r="BY782" s="511"/>
      <c r="BZ782" s="511"/>
      <c r="CA782" s="511"/>
      <c r="CB782" s="511"/>
      <c r="CC782" s="511"/>
      <c r="CD782" s="511"/>
      <c r="CE782" s="511"/>
      <c r="CF782" s="511"/>
      <c r="CG782" s="511"/>
      <c r="CH782" s="511"/>
      <c r="CI782" s="511"/>
      <c r="CJ782" s="511"/>
      <c r="CK782" s="511"/>
      <c r="CL782" s="511"/>
      <c r="CM782" s="511"/>
      <c r="CN782" s="511"/>
      <c r="CO782" s="511"/>
      <c r="CP782" s="511"/>
      <c r="CQ782" s="511"/>
      <c r="CR782" s="511"/>
      <c r="CS782" s="511"/>
      <c r="CT782" s="511"/>
      <c r="CU782" s="511"/>
      <c r="CV782" s="511"/>
      <c r="CW782" s="511"/>
      <c r="CX782" s="511"/>
      <c r="CY782" s="511"/>
      <c r="CZ782" s="511"/>
      <c r="DA782" s="511"/>
      <c r="DB782" s="511"/>
      <c r="DC782" s="511"/>
      <c r="DD782" s="511"/>
      <c r="DE782" s="511"/>
      <c r="DF782" s="511"/>
      <c r="DG782" s="511"/>
      <c r="DH782" s="511"/>
      <c r="DI782" s="511"/>
      <c r="DJ782" s="511"/>
      <c r="DK782" s="511"/>
      <c r="DL782" s="511"/>
      <c r="DM782" s="511"/>
      <c r="DN782" s="511"/>
      <c r="DO782" s="511"/>
      <c r="DP782" s="511"/>
    </row>
    <row r="783" spans="1:120" x14ac:dyDescent="0.2">
      <c r="A783" s="517">
        <f t="shared" si="102"/>
        <v>41974</v>
      </c>
      <c r="B783" s="517" t="str">
        <f t="shared" si="107"/>
        <v>4Q14</v>
      </c>
      <c r="C783" s="517" t="str">
        <f t="shared" si="103"/>
        <v>1Q15</v>
      </c>
      <c r="D783" s="518">
        <f t="shared" si="104"/>
        <v>42034</v>
      </c>
      <c r="E783" s="518">
        <f t="shared" si="105"/>
        <v>41974</v>
      </c>
      <c r="F783" s="520">
        <v>3.605</v>
      </c>
      <c r="G783" s="521">
        <f t="shared" si="108"/>
        <v>0.50000000000000022</v>
      </c>
      <c r="H783" s="521">
        <f t="shared" si="106"/>
        <v>0.48000000000000026</v>
      </c>
      <c r="I783" s="511"/>
      <c r="J783" s="511"/>
      <c r="K783" s="511"/>
      <c r="L783" s="511"/>
      <c r="M783" s="511"/>
      <c r="N783" s="511"/>
      <c r="O783" s="511"/>
      <c r="P783" s="511"/>
      <c r="Q783" s="511"/>
      <c r="R783" s="511"/>
      <c r="S783" s="511"/>
      <c r="T783" s="511"/>
      <c r="U783" s="511"/>
      <c r="V783" s="511"/>
      <c r="W783" s="511"/>
      <c r="X783" s="511"/>
      <c r="Y783" s="511"/>
      <c r="Z783" s="511"/>
      <c r="AA783" s="511"/>
      <c r="AB783" s="511"/>
      <c r="AC783" s="511"/>
      <c r="AD783" s="511"/>
      <c r="AE783" s="511"/>
      <c r="AF783" s="511"/>
      <c r="AG783" s="511"/>
      <c r="AH783" s="511"/>
      <c r="AI783" s="511"/>
      <c r="AJ783" s="511"/>
      <c r="AK783" s="511"/>
      <c r="AL783" s="511"/>
      <c r="AM783" s="511"/>
      <c r="AN783" s="511"/>
      <c r="AO783" s="511"/>
      <c r="AP783" s="511"/>
      <c r="AQ783" s="511"/>
      <c r="AR783" s="511"/>
      <c r="AS783" s="511"/>
      <c r="AT783" s="511"/>
      <c r="AU783" s="511"/>
      <c r="AV783" s="511"/>
      <c r="AW783" s="511"/>
      <c r="AX783" s="511"/>
      <c r="AY783" s="511"/>
      <c r="AZ783" s="511"/>
      <c r="BA783" s="511"/>
      <c r="BB783" s="511"/>
      <c r="BC783" s="511"/>
      <c r="BD783" s="511"/>
      <c r="BE783" s="511"/>
      <c r="BF783" s="511"/>
      <c r="BG783" s="511"/>
      <c r="BH783" s="511"/>
      <c r="BI783" s="511"/>
      <c r="BJ783" s="511"/>
      <c r="BK783" s="511"/>
      <c r="BL783" s="511"/>
      <c r="BM783" s="511"/>
      <c r="BN783" s="511"/>
      <c r="BO783" s="511"/>
      <c r="BP783" s="511"/>
      <c r="BQ783" s="511"/>
      <c r="BR783" s="511"/>
      <c r="BS783" s="511"/>
      <c r="BT783" s="511"/>
      <c r="BU783" s="511"/>
      <c r="BV783" s="511"/>
      <c r="BW783" s="511"/>
      <c r="BX783" s="511"/>
      <c r="BY783" s="511"/>
      <c r="BZ783" s="511"/>
      <c r="CA783" s="511"/>
      <c r="CB783" s="511"/>
      <c r="CC783" s="511"/>
      <c r="CD783" s="511"/>
      <c r="CE783" s="511"/>
      <c r="CF783" s="511"/>
      <c r="CG783" s="511"/>
      <c r="CH783" s="511"/>
      <c r="CI783" s="511"/>
      <c r="CJ783" s="511"/>
      <c r="CK783" s="511"/>
      <c r="CL783" s="511"/>
      <c r="CM783" s="511"/>
      <c r="CN783" s="511"/>
      <c r="CO783" s="511"/>
      <c r="CP783" s="511"/>
      <c r="CQ783" s="511"/>
      <c r="CR783" s="511"/>
      <c r="CS783" s="511"/>
      <c r="CT783" s="511"/>
      <c r="CU783" s="511"/>
      <c r="CV783" s="511"/>
      <c r="CW783" s="511"/>
      <c r="CX783" s="511"/>
      <c r="CY783" s="511"/>
      <c r="CZ783" s="511"/>
      <c r="DA783" s="511"/>
      <c r="DB783" s="511"/>
      <c r="DC783" s="511"/>
      <c r="DD783" s="511"/>
      <c r="DE783" s="511"/>
      <c r="DF783" s="511"/>
      <c r="DG783" s="511"/>
      <c r="DH783" s="511"/>
      <c r="DI783" s="511"/>
      <c r="DJ783" s="511"/>
      <c r="DK783" s="511"/>
      <c r="DL783" s="511"/>
      <c r="DM783" s="511"/>
      <c r="DN783" s="511"/>
      <c r="DO783" s="511"/>
      <c r="DP783" s="511"/>
    </row>
    <row r="784" spans="1:120" x14ac:dyDescent="0.2">
      <c r="A784" s="517">
        <f t="shared" si="102"/>
        <v>41974</v>
      </c>
      <c r="B784" s="517" t="str">
        <f t="shared" si="107"/>
        <v>4Q14</v>
      </c>
      <c r="C784" s="517" t="str">
        <f t="shared" si="103"/>
        <v>1Q15</v>
      </c>
      <c r="D784" s="518">
        <f t="shared" si="104"/>
        <v>42041</v>
      </c>
      <c r="E784" s="518">
        <f t="shared" si="105"/>
        <v>41981</v>
      </c>
      <c r="F784" s="520">
        <v>3.5350000000000001</v>
      </c>
      <c r="G784" s="521">
        <f t="shared" si="108"/>
        <v>0.48000000000000026</v>
      </c>
      <c r="H784" s="521">
        <f t="shared" si="106"/>
        <v>0.46000000000000024</v>
      </c>
      <c r="I784" s="511"/>
      <c r="J784" s="511"/>
      <c r="K784" s="511"/>
      <c r="L784" s="511"/>
      <c r="M784" s="511"/>
      <c r="N784" s="511"/>
      <c r="O784" s="511"/>
      <c r="P784" s="511"/>
      <c r="Q784" s="511"/>
      <c r="R784" s="511"/>
      <c r="S784" s="511"/>
      <c r="T784" s="511"/>
      <c r="U784" s="511"/>
      <c r="V784" s="511"/>
      <c r="W784" s="511"/>
      <c r="X784" s="511"/>
      <c r="Y784" s="511"/>
      <c r="Z784" s="511"/>
      <c r="AA784" s="511"/>
      <c r="AB784" s="511"/>
      <c r="AC784" s="511"/>
      <c r="AD784" s="511"/>
      <c r="AE784" s="511"/>
      <c r="AF784" s="511"/>
      <c r="AG784" s="511"/>
      <c r="AH784" s="511"/>
      <c r="AI784" s="511"/>
      <c r="AJ784" s="511"/>
      <c r="AK784" s="511"/>
      <c r="AL784" s="511"/>
      <c r="AM784" s="511"/>
      <c r="AN784" s="511"/>
      <c r="AO784" s="511"/>
      <c r="AP784" s="511"/>
      <c r="AQ784" s="511"/>
      <c r="AR784" s="511"/>
      <c r="AS784" s="511"/>
      <c r="AT784" s="511"/>
      <c r="AU784" s="511"/>
      <c r="AV784" s="511"/>
      <c r="AW784" s="511"/>
      <c r="AX784" s="511"/>
      <c r="AY784" s="511"/>
      <c r="AZ784" s="511"/>
      <c r="BA784" s="511"/>
      <c r="BB784" s="511"/>
      <c r="BC784" s="511"/>
      <c r="BD784" s="511"/>
      <c r="BE784" s="511"/>
      <c r="BF784" s="511"/>
      <c r="BG784" s="511"/>
      <c r="BH784" s="511"/>
      <c r="BI784" s="511"/>
      <c r="BJ784" s="511"/>
      <c r="BK784" s="511"/>
      <c r="BL784" s="511"/>
      <c r="BM784" s="511"/>
      <c r="BN784" s="511"/>
      <c r="BO784" s="511"/>
      <c r="BP784" s="511"/>
      <c r="BQ784" s="511"/>
      <c r="BR784" s="511"/>
      <c r="BS784" s="511"/>
      <c r="BT784" s="511"/>
      <c r="BU784" s="511"/>
      <c r="BV784" s="511"/>
      <c r="BW784" s="511"/>
      <c r="BX784" s="511"/>
      <c r="BY784" s="511"/>
      <c r="BZ784" s="511"/>
      <c r="CA784" s="511"/>
      <c r="CB784" s="511"/>
      <c r="CC784" s="511"/>
      <c r="CD784" s="511"/>
      <c r="CE784" s="511"/>
      <c r="CF784" s="511"/>
      <c r="CG784" s="511"/>
      <c r="CH784" s="511"/>
      <c r="CI784" s="511"/>
      <c r="CJ784" s="511"/>
      <c r="CK784" s="511"/>
      <c r="CL784" s="511"/>
      <c r="CM784" s="511"/>
      <c r="CN784" s="511"/>
      <c r="CO784" s="511"/>
      <c r="CP784" s="511"/>
      <c r="CQ784" s="511"/>
      <c r="CR784" s="511"/>
      <c r="CS784" s="511"/>
      <c r="CT784" s="511"/>
      <c r="CU784" s="511"/>
      <c r="CV784" s="511"/>
      <c r="CW784" s="511"/>
      <c r="CX784" s="511"/>
      <c r="CY784" s="511"/>
      <c r="CZ784" s="511"/>
      <c r="DA784" s="511"/>
      <c r="DB784" s="511"/>
      <c r="DC784" s="511"/>
      <c r="DD784" s="511"/>
      <c r="DE784" s="511"/>
      <c r="DF784" s="511"/>
      <c r="DG784" s="511"/>
      <c r="DH784" s="511"/>
      <c r="DI784" s="511"/>
      <c r="DJ784" s="511"/>
      <c r="DK784" s="511"/>
      <c r="DL784" s="511"/>
      <c r="DM784" s="511"/>
      <c r="DN784" s="511"/>
      <c r="DO784" s="511"/>
      <c r="DP784" s="511"/>
    </row>
    <row r="785" spans="1:120" x14ac:dyDescent="0.2">
      <c r="A785" s="517">
        <f t="shared" si="102"/>
        <v>41974</v>
      </c>
      <c r="B785" s="517" t="str">
        <f t="shared" si="107"/>
        <v>4Q14</v>
      </c>
      <c r="C785" s="517" t="str">
        <f t="shared" si="103"/>
        <v>1Q15</v>
      </c>
      <c r="D785" s="518">
        <f t="shared" si="104"/>
        <v>42048</v>
      </c>
      <c r="E785" s="518">
        <f t="shared" si="105"/>
        <v>41988</v>
      </c>
      <c r="F785" s="520">
        <v>3.419</v>
      </c>
      <c r="G785" s="521">
        <f t="shared" si="108"/>
        <v>0.46000000000000024</v>
      </c>
      <c r="H785" s="521">
        <f t="shared" si="106"/>
        <v>0.43000000000000022</v>
      </c>
      <c r="I785" s="511"/>
      <c r="J785" s="511"/>
      <c r="K785" s="511"/>
      <c r="L785" s="511"/>
      <c r="M785" s="511"/>
      <c r="N785" s="511"/>
      <c r="O785" s="511"/>
      <c r="P785" s="511"/>
      <c r="Q785" s="511"/>
      <c r="R785" s="511"/>
      <c r="S785" s="511"/>
      <c r="T785" s="511"/>
      <c r="U785" s="511"/>
      <c r="V785" s="511"/>
      <c r="W785" s="511"/>
      <c r="X785" s="511"/>
      <c r="Y785" s="511"/>
      <c r="Z785" s="511"/>
      <c r="AA785" s="511"/>
      <c r="AB785" s="511"/>
      <c r="AC785" s="511"/>
      <c r="AD785" s="511"/>
      <c r="AE785" s="511"/>
      <c r="AF785" s="511"/>
      <c r="AG785" s="511"/>
      <c r="AH785" s="511"/>
      <c r="AI785" s="511"/>
      <c r="AJ785" s="511"/>
      <c r="AK785" s="511"/>
      <c r="AL785" s="511"/>
      <c r="AM785" s="511"/>
      <c r="AN785" s="511"/>
      <c r="AO785" s="511"/>
      <c r="AP785" s="511"/>
      <c r="AQ785" s="511"/>
      <c r="AR785" s="511"/>
      <c r="AS785" s="511"/>
      <c r="AT785" s="511"/>
      <c r="AU785" s="511"/>
      <c r="AV785" s="511"/>
      <c r="AW785" s="511"/>
      <c r="AX785" s="511"/>
      <c r="AY785" s="511"/>
      <c r="AZ785" s="511"/>
      <c r="BA785" s="511"/>
      <c r="BB785" s="511"/>
      <c r="BC785" s="511"/>
      <c r="BD785" s="511"/>
      <c r="BE785" s="511"/>
      <c r="BF785" s="511"/>
      <c r="BG785" s="511"/>
      <c r="BH785" s="511"/>
      <c r="BI785" s="511"/>
      <c r="BJ785" s="511"/>
      <c r="BK785" s="511"/>
      <c r="BL785" s="511"/>
      <c r="BM785" s="511"/>
      <c r="BN785" s="511"/>
      <c r="BO785" s="511"/>
      <c r="BP785" s="511"/>
      <c r="BQ785" s="511"/>
      <c r="BR785" s="511"/>
      <c r="BS785" s="511"/>
      <c r="BT785" s="511"/>
      <c r="BU785" s="511"/>
      <c r="BV785" s="511"/>
      <c r="BW785" s="511"/>
      <c r="BX785" s="511"/>
      <c r="BY785" s="511"/>
      <c r="BZ785" s="511"/>
      <c r="CA785" s="511"/>
      <c r="CB785" s="511"/>
      <c r="CC785" s="511"/>
      <c r="CD785" s="511"/>
      <c r="CE785" s="511"/>
      <c r="CF785" s="511"/>
      <c r="CG785" s="511"/>
      <c r="CH785" s="511"/>
      <c r="CI785" s="511"/>
      <c r="CJ785" s="511"/>
      <c r="CK785" s="511"/>
      <c r="CL785" s="511"/>
      <c r="CM785" s="511"/>
      <c r="CN785" s="511"/>
      <c r="CO785" s="511"/>
      <c r="CP785" s="511"/>
      <c r="CQ785" s="511"/>
      <c r="CR785" s="511"/>
      <c r="CS785" s="511"/>
      <c r="CT785" s="511"/>
      <c r="CU785" s="511"/>
      <c r="CV785" s="511"/>
      <c r="CW785" s="511"/>
      <c r="CX785" s="511"/>
      <c r="CY785" s="511"/>
      <c r="CZ785" s="511"/>
      <c r="DA785" s="511"/>
      <c r="DB785" s="511"/>
      <c r="DC785" s="511"/>
      <c r="DD785" s="511"/>
      <c r="DE785" s="511"/>
      <c r="DF785" s="511"/>
      <c r="DG785" s="511"/>
      <c r="DH785" s="511"/>
      <c r="DI785" s="511"/>
      <c r="DJ785" s="511"/>
      <c r="DK785" s="511"/>
      <c r="DL785" s="511"/>
      <c r="DM785" s="511"/>
      <c r="DN785" s="511"/>
      <c r="DO785" s="511"/>
      <c r="DP785" s="511"/>
    </row>
    <row r="786" spans="1:120" x14ac:dyDescent="0.2">
      <c r="A786" s="517">
        <f t="shared" si="102"/>
        <v>41974</v>
      </c>
      <c r="B786" s="517" t="str">
        <f t="shared" si="107"/>
        <v>4Q14</v>
      </c>
      <c r="C786" s="517" t="str">
        <f t="shared" si="103"/>
        <v>1Q15</v>
      </c>
      <c r="D786" s="518">
        <f t="shared" si="104"/>
        <v>42055</v>
      </c>
      <c r="E786" s="518">
        <f t="shared" si="105"/>
        <v>41995</v>
      </c>
      <c r="F786" s="520">
        <v>3.2810000000000001</v>
      </c>
      <c r="G786" s="521">
        <f t="shared" si="108"/>
        <v>0.43000000000000022</v>
      </c>
      <c r="H786" s="521">
        <f t="shared" si="106"/>
        <v>0.42000000000000021</v>
      </c>
      <c r="I786" s="511"/>
      <c r="J786" s="511"/>
      <c r="K786" s="511"/>
      <c r="L786" s="511"/>
      <c r="M786" s="511"/>
      <c r="N786" s="511"/>
      <c r="O786" s="511"/>
      <c r="P786" s="511"/>
      <c r="Q786" s="511"/>
      <c r="R786" s="511"/>
      <c r="S786" s="511"/>
      <c r="T786" s="511"/>
      <c r="U786" s="511"/>
      <c r="V786" s="511"/>
      <c r="W786" s="511"/>
      <c r="X786" s="511"/>
      <c r="Y786" s="511"/>
      <c r="Z786" s="511"/>
      <c r="AA786" s="511"/>
      <c r="AB786" s="511"/>
      <c r="AC786" s="511"/>
      <c r="AD786" s="511"/>
      <c r="AE786" s="511"/>
      <c r="AF786" s="511"/>
      <c r="AG786" s="511"/>
      <c r="AH786" s="511"/>
      <c r="AI786" s="511"/>
      <c r="AJ786" s="511"/>
      <c r="AK786" s="511"/>
      <c r="AL786" s="511"/>
      <c r="AM786" s="511"/>
      <c r="AN786" s="511"/>
      <c r="AO786" s="511"/>
      <c r="AP786" s="511"/>
      <c r="AQ786" s="511"/>
      <c r="AR786" s="511"/>
      <c r="AS786" s="511"/>
      <c r="AT786" s="511"/>
      <c r="AU786" s="511"/>
      <c r="AV786" s="511"/>
      <c r="AW786" s="511"/>
      <c r="AX786" s="511"/>
      <c r="AY786" s="511"/>
      <c r="AZ786" s="511"/>
      <c r="BA786" s="511"/>
      <c r="BB786" s="511"/>
      <c r="BC786" s="511"/>
      <c r="BD786" s="511"/>
      <c r="BE786" s="511"/>
      <c r="BF786" s="511"/>
      <c r="BG786" s="511"/>
      <c r="BH786" s="511"/>
      <c r="BI786" s="511"/>
      <c r="BJ786" s="511"/>
      <c r="BK786" s="511"/>
      <c r="BL786" s="511"/>
      <c r="BM786" s="511"/>
      <c r="BN786" s="511"/>
      <c r="BO786" s="511"/>
      <c r="BP786" s="511"/>
      <c r="BQ786" s="511"/>
      <c r="BR786" s="511"/>
      <c r="BS786" s="511"/>
      <c r="BT786" s="511"/>
      <c r="BU786" s="511"/>
      <c r="BV786" s="511"/>
      <c r="BW786" s="511"/>
      <c r="BX786" s="511"/>
      <c r="BY786" s="511"/>
      <c r="BZ786" s="511"/>
      <c r="CA786" s="511"/>
      <c r="CB786" s="511"/>
      <c r="CC786" s="511"/>
      <c r="CD786" s="511"/>
      <c r="CE786" s="511"/>
      <c r="CF786" s="511"/>
      <c r="CG786" s="511"/>
      <c r="CH786" s="511"/>
      <c r="CI786" s="511"/>
      <c r="CJ786" s="511"/>
      <c r="CK786" s="511"/>
      <c r="CL786" s="511"/>
      <c r="CM786" s="511"/>
      <c r="CN786" s="511"/>
      <c r="CO786" s="511"/>
      <c r="CP786" s="511"/>
      <c r="CQ786" s="511"/>
      <c r="CR786" s="511"/>
      <c r="CS786" s="511"/>
      <c r="CT786" s="511"/>
      <c r="CU786" s="511"/>
      <c r="CV786" s="511"/>
      <c r="CW786" s="511"/>
      <c r="CX786" s="511"/>
      <c r="CY786" s="511"/>
      <c r="CZ786" s="511"/>
      <c r="DA786" s="511"/>
      <c r="DB786" s="511"/>
      <c r="DC786" s="511"/>
      <c r="DD786" s="511"/>
      <c r="DE786" s="511"/>
      <c r="DF786" s="511"/>
      <c r="DG786" s="511"/>
      <c r="DH786" s="511"/>
      <c r="DI786" s="511"/>
      <c r="DJ786" s="511"/>
      <c r="DK786" s="511"/>
      <c r="DL786" s="511"/>
      <c r="DM786" s="511"/>
      <c r="DN786" s="511"/>
      <c r="DO786" s="511"/>
      <c r="DP786" s="511"/>
    </row>
    <row r="787" spans="1:120" x14ac:dyDescent="0.2">
      <c r="A787" s="517">
        <f t="shared" si="102"/>
        <v>41974</v>
      </c>
      <c r="B787" s="517" t="str">
        <f t="shared" si="107"/>
        <v>4Q14</v>
      </c>
      <c r="C787" s="517" t="str">
        <f t="shared" si="103"/>
        <v>1Q15</v>
      </c>
      <c r="D787" s="518">
        <f t="shared" si="104"/>
        <v>42062</v>
      </c>
      <c r="E787" s="518">
        <f t="shared" si="105"/>
        <v>42002</v>
      </c>
      <c r="F787" s="520">
        <v>3.2130000000000001</v>
      </c>
      <c r="G787" s="521">
        <f t="shared" si="108"/>
        <v>0.42000000000000021</v>
      </c>
      <c r="H787" s="521">
        <f t="shared" si="106"/>
        <v>0.40000000000000019</v>
      </c>
      <c r="I787" s="511"/>
      <c r="J787" s="511"/>
      <c r="K787" s="511"/>
      <c r="L787" s="511"/>
      <c r="M787" s="511"/>
      <c r="N787" s="511"/>
      <c r="O787" s="511"/>
      <c r="P787" s="511"/>
      <c r="Q787" s="511"/>
      <c r="R787" s="511"/>
      <c r="S787" s="511"/>
      <c r="T787" s="511"/>
      <c r="U787" s="511"/>
      <c r="V787" s="511"/>
      <c r="W787" s="511"/>
      <c r="X787" s="511"/>
      <c r="Y787" s="511"/>
      <c r="Z787" s="511"/>
      <c r="AA787" s="511"/>
      <c r="AB787" s="511"/>
      <c r="AC787" s="511"/>
      <c r="AD787" s="511"/>
      <c r="AE787" s="511"/>
      <c r="AF787" s="511"/>
      <c r="AG787" s="511"/>
      <c r="AH787" s="511"/>
      <c r="AI787" s="511"/>
      <c r="AJ787" s="511"/>
      <c r="AK787" s="511"/>
      <c r="AL787" s="511"/>
      <c r="AM787" s="511"/>
      <c r="AN787" s="511"/>
      <c r="AO787" s="511"/>
      <c r="AP787" s="511"/>
      <c r="AQ787" s="511"/>
      <c r="AR787" s="511"/>
      <c r="AS787" s="511"/>
      <c r="AT787" s="511"/>
      <c r="AU787" s="511"/>
      <c r="AV787" s="511"/>
      <c r="AW787" s="511"/>
      <c r="AX787" s="511"/>
      <c r="AY787" s="511"/>
      <c r="AZ787" s="511"/>
      <c r="BA787" s="511"/>
      <c r="BB787" s="511"/>
      <c r="BC787" s="511"/>
      <c r="BD787" s="511"/>
      <c r="BE787" s="511"/>
      <c r="BF787" s="511"/>
      <c r="BG787" s="511"/>
      <c r="BH787" s="511"/>
      <c r="BI787" s="511"/>
      <c r="BJ787" s="511"/>
      <c r="BK787" s="511"/>
      <c r="BL787" s="511"/>
      <c r="BM787" s="511"/>
      <c r="BN787" s="511"/>
      <c r="BO787" s="511"/>
      <c r="BP787" s="511"/>
      <c r="BQ787" s="511"/>
      <c r="BR787" s="511"/>
      <c r="BS787" s="511"/>
      <c r="BT787" s="511"/>
      <c r="BU787" s="511"/>
      <c r="BV787" s="511"/>
      <c r="BW787" s="511"/>
      <c r="BX787" s="511"/>
      <c r="BY787" s="511"/>
      <c r="BZ787" s="511"/>
      <c r="CA787" s="511"/>
      <c r="CB787" s="511"/>
      <c r="CC787" s="511"/>
      <c r="CD787" s="511"/>
      <c r="CE787" s="511"/>
      <c r="CF787" s="511"/>
      <c r="CG787" s="511"/>
      <c r="CH787" s="511"/>
      <c r="CI787" s="511"/>
      <c r="CJ787" s="511"/>
      <c r="CK787" s="511"/>
      <c r="CL787" s="511"/>
      <c r="CM787" s="511"/>
      <c r="CN787" s="511"/>
      <c r="CO787" s="511"/>
      <c r="CP787" s="511"/>
      <c r="CQ787" s="511"/>
      <c r="CR787" s="511"/>
      <c r="CS787" s="511"/>
      <c r="CT787" s="511"/>
      <c r="CU787" s="511"/>
      <c r="CV787" s="511"/>
      <c r="CW787" s="511"/>
      <c r="CX787" s="511"/>
      <c r="CY787" s="511"/>
      <c r="CZ787" s="511"/>
      <c r="DA787" s="511"/>
      <c r="DB787" s="511"/>
      <c r="DC787" s="511"/>
      <c r="DD787" s="511"/>
      <c r="DE787" s="511"/>
      <c r="DF787" s="511"/>
      <c r="DG787" s="511"/>
      <c r="DH787" s="511"/>
      <c r="DI787" s="511"/>
      <c r="DJ787" s="511"/>
      <c r="DK787" s="511"/>
      <c r="DL787" s="511"/>
      <c r="DM787" s="511"/>
      <c r="DN787" s="511"/>
      <c r="DO787" s="511"/>
      <c r="DP787" s="511"/>
    </row>
    <row r="788" spans="1:120" x14ac:dyDescent="0.2">
      <c r="A788" s="517">
        <f t="shared" si="102"/>
        <v>42005</v>
      </c>
      <c r="B788" s="517" t="str">
        <f t="shared" si="107"/>
        <v>1Q15</v>
      </c>
      <c r="C788" s="517" t="str">
        <f t="shared" si="103"/>
        <v>1Q15</v>
      </c>
      <c r="D788" s="518">
        <f t="shared" si="104"/>
        <v>42069</v>
      </c>
      <c r="E788" s="518">
        <f t="shared" si="105"/>
        <v>42009</v>
      </c>
      <c r="F788" s="520">
        <v>3.137</v>
      </c>
      <c r="G788" s="521">
        <f t="shared" si="108"/>
        <v>0.40000000000000019</v>
      </c>
      <c r="H788" s="521">
        <f t="shared" si="106"/>
        <v>0.39000000000000018</v>
      </c>
      <c r="I788" s="511"/>
      <c r="J788" s="511"/>
      <c r="K788" s="511"/>
      <c r="L788" s="511"/>
      <c r="M788" s="511"/>
      <c r="N788" s="511"/>
      <c r="O788" s="511"/>
      <c r="P788" s="511"/>
      <c r="Q788" s="511"/>
      <c r="R788" s="511"/>
      <c r="S788" s="511"/>
      <c r="T788" s="511"/>
      <c r="U788" s="511"/>
      <c r="V788" s="511"/>
      <c r="W788" s="511"/>
      <c r="X788" s="511"/>
      <c r="Y788" s="511"/>
      <c r="Z788" s="511"/>
      <c r="AA788" s="511"/>
      <c r="AB788" s="511"/>
      <c r="AC788" s="511"/>
      <c r="AD788" s="511"/>
      <c r="AE788" s="511"/>
      <c r="AF788" s="511"/>
      <c r="AG788" s="511"/>
      <c r="AH788" s="511"/>
      <c r="AI788" s="511"/>
      <c r="AJ788" s="511"/>
      <c r="AK788" s="511"/>
      <c r="AL788" s="511"/>
      <c r="AM788" s="511"/>
      <c r="AN788" s="511"/>
      <c r="AO788" s="511"/>
      <c r="AP788" s="511"/>
      <c r="AQ788" s="511"/>
      <c r="AR788" s="511"/>
      <c r="AS788" s="511"/>
      <c r="AT788" s="511"/>
      <c r="AU788" s="511"/>
      <c r="AV788" s="511"/>
      <c r="AW788" s="511"/>
      <c r="AX788" s="511"/>
      <c r="AY788" s="511"/>
      <c r="AZ788" s="511"/>
      <c r="BA788" s="511"/>
      <c r="BB788" s="511"/>
      <c r="BC788" s="511"/>
      <c r="BD788" s="511"/>
      <c r="BE788" s="511"/>
      <c r="BF788" s="511"/>
      <c r="BG788" s="511"/>
      <c r="BH788" s="511"/>
      <c r="BI788" s="511"/>
      <c r="BJ788" s="511"/>
      <c r="BK788" s="511"/>
      <c r="BL788" s="511"/>
      <c r="BM788" s="511"/>
      <c r="BN788" s="511"/>
      <c r="BO788" s="511"/>
      <c r="BP788" s="511"/>
      <c r="BQ788" s="511"/>
      <c r="BR788" s="511"/>
      <c r="BS788" s="511"/>
      <c r="BT788" s="511"/>
      <c r="BU788" s="511"/>
      <c r="BV788" s="511"/>
      <c r="BW788" s="511"/>
      <c r="BX788" s="511"/>
      <c r="BY788" s="511"/>
      <c r="BZ788" s="511"/>
      <c r="CA788" s="511"/>
      <c r="CB788" s="511"/>
      <c r="CC788" s="511"/>
      <c r="CD788" s="511"/>
      <c r="CE788" s="511"/>
      <c r="CF788" s="511"/>
      <c r="CG788" s="511"/>
      <c r="CH788" s="511"/>
      <c r="CI788" s="511"/>
      <c r="CJ788" s="511"/>
      <c r="CK788" s="511"/>
      <c r="CL788" s="511"/>
      <c r="CM788" s="511"/>
      <c r="CN788" s="511"/>
      <c r="CO788" s="511"/>
      <c r="CP788" s="511"/>
      <c r="CQ788" s="511"/>
      <c r="CR788" s="511"/>
      <c r="CS788" s="511"/>
      <c r="CT788" s="511"/>
      <c r="CU788" s="511"/>
      <c r="CV788" s="511"/>
      <c r="CW788" s="511"/>
      <c r="CX788" s="511"/>
      <c r="CY788" s="511"/>
      <c r="CZ788" s="511"/>
      <c r="DA788" s="511"/>
      <c r="DB788" s="511"/>
      <c r="DC788" s="511"/>
      <c r="DD788" s="511"/>
      <c r="DE788" s="511"/>
      <c r="DF788" s="511"/>
      <c r="DG788" s="511"/>
      <c r="DH788" s="511"/>
      <c r="DI788" s="511"/>
      <c r="DJ788" s="511"/>
      <c r="DK788" s="511"/>
      <c r="DL788" s="511"/>
      <c r="DM788" s="511"/>
      <c r="DN788" s="511"/>
      <c r="DO788" s="511"/>
      <c r="DP788" s="511"/>
    </row>
    <row r="789" spans="1:120" x14ac:dyDescent="0.2">
      <c r="A789" s="517">
        <f t="shared" si="102"/>
        <v>42005</v>
      </c>
      <c r="B789" s="517" t="str">
        <f t="shared" si="107"/>
        <v>1Q15</v>
      </c>
      <c r="C789" s="517" t="str">
        <f t="shared" si="103"/>
        <v>1Q15</v>
      </c>
      <c r="D789" s="518">
        <f t="shared" si="104"/>
        <v>42076</v>
      </c>
      <c r="E789" s="518">
        <f t="shared" si="105"/>
        <v>42016</v>
      </c>
      <c r="F789" s="520">
        <v>3.0529999999999999</v>
      </c>
      <c r="G789" s="521">
        <f t="shared" si="108"/>
        <v>0.39000000000000018</v>
      </c>
      <c r="H789" s="521">
        <f t="shared" si="106"/>
        <v>0.36000000000000015</v>
      </c>
      <c r="I789" s="511"/>
      <c r="J789" s="511"/>
      <c r="K789" s="511"/>
      <c r="L789" s="511"/>
      <c r="M789" s="511"/>
      <c r="N789" s="511"/>
      <c r="O789" s="511"/>
      <c r="P789" s="511"/>
      <c r="Q789" s="511"/>
      <c r="R789" s="511"/>
      <c r="S789" s="511"/>
      <c r="T789" s="511"/>
      <c r="U789" s="511"/>
      <c r="V789" s="511"/>
      <c r="W789" s="511"/>
      <c r="X789" s="511"/>
      <c r="Y789" s="511"/>
      <c r="Z789" s="511"/>
      <c r="AA789" s="511"/>
      <c r="AB789" s="511"/>
      <c r="AC789" s="511"/>
      <c r="AD789" s="511"/>
      <c r="AE789" s="511"/>
      <c r="AF789" s="511"/>
      <c r="AG789" s="511"/>
      <c r="AH789" s="511"/>
      <c r="AI789" s="511"/>
      <c r="AJ789" s="511"/>
      <c r="AK789" s="511"/>
      <c r="AL789" s="511"/>
      <c r="AM789" s="511"/>
      <c r="AN789" s="511"/>
      <c r="AO789" s="511"/>
      <c r="AP789" s="511"/>
      <c r="AQ789" s="511"/>
      <c r="AR789" s="511"/>
      <c r="AS789" s="511"/>
      <c r="AT789" s="511"/>
      <c r="AU789" s="511"/>
      <c r="AV789" s="511"/>
      <c r="AW789" s="511"/>
      <c r="AX789" s="511"/>
      <c r="AY789" s="511"/>
      <c r="AZ789" s="511"/>
      <c r="BA789" s="511"/>
      <c r="BB789" s="511"/>
      <c r="BC789" s="511"/>
      <c r="BD789" s="511"/>
      <c r="BE789" s="511"/>
      <c r="BF789" s="511"/>
      <c r="BG789" s="511"/>
      <c r="BH789" s="511"/>
      <c r="BI789" s="511"/>
      <c r="BJ789" s="511"/>
      <c r="BK789" s="511"/>
      <c r="BL789" s="511"/>
      <c r="BM789" s="511"/>
      <c r="BN789" s="511"/>
      <c r="BO789" s="511"/>
      <c r="BP789" s="511"/>
      <c r="BQ789" s="511"/>
      <c r="BR789" s="511"/>
      <c r="BS789" s="511"/>
      <c r="BT789" s="511"/>
      <c r="BU789" s="511"/>
      <c r="BV789" s="511"/>
      <c r="BW789" s="511"/>
      <c r="BX789" s="511"/>
      <c r="BY789" s="511"/>
      <c r="BZ789" s="511"/>
      <c r="CA789" s="511"/>
      <c r="CB789" s="511"/>
      <c r="CC789" s="511"/>
      <c r="CD789" s="511"/>
      <c r="CE789" s="511"/>
      <c r="CF789" s="511"/>
      <c r="CG789" s="511"/>
      <c r="CH789" s="511"/>
      <c r="CI789" s="511"/>
      <c r="CJ789" s="511"/>
      <c r="CK789" s="511"/>
      <c r="CL789" s="511"/>
      <c r="CM789" s="511"/>
      <c r="CN789" s="511"/>
      <c r="CO789" s="511"/>
      <c r="CP789" s="511"/>
      <c r="CQ789" s="511"/>
      <c r="CR789" s="511"/>
      <c r="CS789" s="511"/>
      <c r="CT789" s="511"/>
      <c r="CU789" s="511"/>
      <c r="CV789" s="511"/>
      <c r="CW789" s="511"/>
      <c r="CX789" s="511"/>
      <c r="CY789" s="511"/>
      <c r="CZ789" s="511"/>
      <c r="DA789" s="511"/>
      <c r="DB789" s="511"/>
      <c r="DC789" s="511"/>
      <c r="DD789" s="511"/>
      <c r="DE789" s="511"/>
      <c r="DF789" s="511"/>
      <c r="DG789" s="511"/>
      <c r="DH789" s="511"/>
      <c r="DI789" s="511"/>
      <c r="DJ789" s="511"/>
      <c r="DK789" s="511"/>
      <c r="DL789" s="511"/>
      <c r="DM789" s="511"/>
      <c r="DN789" s="511"/>
      <c r="DO789" s="511"/>
      <c r="DP789" s="511"/>
    </row>
    <row r="790" spans="1:120" x14ac:dyDescent="0.2">
      <c r="A790" s="517">
        <f t="shared" si="102"/>
        <v>42005</v>
      </c>
      <c r="B790" s="517" t="str">
        <f t="shared" si="107"/>
        <v>1Q15</v>
      </c>
      <c r="C790" s="517" t="str">
        <f t="shared" si="103"/>
        <v>1Q15</v>
      </c>
      <c r="D790" s="518">
        <f t="shared" si="104"/>
        <v>42083</v>
      </c>
      <c r="E790" s="518">
        <f t="shared" si="105"/>
        <v>42023</v>
      </c>
      <c r="F790" s="520">
        <v>2.9329999999999998</v>
      </c>
      <c r="G790" s="521">
        <f t="shared" si="108"/>
        <v>0.36000000000000015</v>
      </c>
      <c r="H790" s="521">
        <f t="shared" si="106"/>
        <v>0.35000000000000014</v>
      </c>
      <c r="I790" s="511"/>
      <c r="J790" s="511"/>
      <c r="K790" s="511"/>
      <c r="L790" s="511"/>
      <c r="M790" s="511"/>
      <c r="N790" s="511"/>
      <c r="O790" s="511"/>
      <c r="P790" s="511"/>
      <c r="Q790" s="511"/>
      <c r="R790" s="511"/>
      <c r="S790" s="511"/>
      <c r="T790" s="511"/>
      <c r="U790" s="511"/>
      <c r="V790" s="511"/>
      <c r="W790" s="511"/>
      <c r="X790" s="511"/>
      <c r="Y790" s="511"/>
      <c r="Z790" s="511"/>
      <c r="AA790" s="511"/>
      <c r="AB790" s="511"/>
      <c r="AC790" s="511"/>
      <c r="AD790" s="511"/>
      <c r="AE790" s="511"/>
      <c r="AF790" s="511"/>
      <c r="AG790" s="511"/>
      <c r="AH790" s="511"/>
      <c r="AI790" s="511"/>
      <c r="AJ790" s="511"/>
      <c r="AK790" s="511"/>
      <c r="AL790" s="511"/>
      <c r="AM790" s="511"/>
      <c r="AN790" s="511"/>
      <c r="AO790" s="511"/>
      <c r="AP790" s="511"/>
      <c r="AQ790" s="511"/>
      <c r="AR790" s="511"/>
      <c r="AS790" s="511"/>
      <c r="AT790" s="511"/>
      <c r="AU790" s="511"/>
      <c r="AV790" s="511"/>
      <c r="AW790" s="511"/>
      <c r="AX790" s="511"/>
      <c r="AY790" s="511"/>
      <c r="AZ790" s="511"/>
      <c r="BA790" s="511"/>
      <c r="BB790" s="511"/>
      <c r="BC790" s="511"/>
      <c r="BD790" s="511"/>
      <c r="BE790" s="511"/>
      <c r="BF790" s="511"/>
      <c r="BG790" s="511"/>
      <c r="BH790" s="511"/>
      <c r="BI790" s="511"/>
      <c r="BJ790" s="511"/>
      <c r="BK790" s="511"/>
      <c r="BL790" s="511"/>
      <c r="BM790" s="511"/>
      <c r="BN790" s="511"/>
      <c r="BO790" s="511"/>
      <c r="BP790" s="511"/>
      <c r="BQ790" s="511"/>
      <c r="BR790" s="511"/>
      <c r="BS790" s="511"/>
      <c r="BT790" s="511"/>
      <c r="BU790" s="511"/>
      <c r="BV790" s="511"/>
      <c r="BW790" s="511"/>
      <c r="BX790" s="511"/>
      <c r="BY790" s="511"/>
      <c r="BZ790" s="511"/>
      <c r="CA790" s="511"/>
      <c r="CB790" s="511"/>
      <c r="CC790" s="511"/>
      <c r="CD790" s="511"/>
      <c r="CE790" s="511"/>
      <c r="CF790" s="511"/>
      <c r="CG790" s="511"/>
      <c r="CH790" s="511"/>
      <c r="CI790" s="511"/>
      <c r="CJ790" s="511"/>
      <c r="CK790" s="511"/>
      <c r="CL790" s="511"/>
      <c r="CM790" s="511"/>
      <c r="CN790" s="511"/>
      <c r="CO790" s="511"/>
      <c r="CP790" s="511"/>
      <c r="CQ790" s="511"/>
      <c r="CR790" s="511"/>
      <c r="CS790" s="511"/>
      <c r="CT790" s="511"/>
      <c r="CU790" s="511"/>
      <c r="CV790" s="511"/>
      <c r="CW790" s="511"/>
      <c r="CX790" s="511"/>
      <c r="CY790" s="511"/>
      <c r="CZ790" s="511"/>
      <c r="DA790" s="511"/>
      <c r="DB790" s="511"/>
      <c r="DC790" s="511"/>
      <c r="DD790" s="511"/>
      <c r="DE790" s="511"/>
      <c r="DF790" s="511"/>
      <c r="DG790" s="511"/>
      <c r="DH790" s="511"/>
      <c r="DI790" s="511"/>
      <c r="DJ790" s="511"/>
      <c r="DK790" s="511"/>
      <c r="DL790" s="511"/>
      <c r="DM790" s="511"/>
      <c r="DN790" s="511"/>
      <c r="DO790" s="511"/>
      <c r="DP790" s="511"/>
    </row>
    <row r="791" spans="1:120" x14ac:dyDescent="0.2">
      <c r="A791" s="517">
        <f t="shared" si="102"/>
        <v>42005</v>
      </c>
      <c r="B791" s="517" t="str">
        <f t="shared" si="107"/>
        <v>1Q15</v>
      </c>
      <c r="C791" s="517" t="str">
        <f t="shared" si="103"/>
        <v>1Q15</v>
      </c>
      <c r="D791" s="518">
        <f t="shared" si="104"/>
        <v>42090</v>
      </c>
      <c r="E791" s="518">
        <f t="shared" si="105"/>
        <v>42030</v>
      </c>
      <c r="F791" s="520">
        <v>2.8660000000000001</v>
      </c>
      <c r="G791" s="521">
        <f t="shared" si="108"/>
        <v>0.35000000000000014</v>
      </c>
      <c r="H791" s="521">
        <f t="shared" si="106"/>
        <v>0.34000000000000014</v>
      </c>
      <c r="I791" s="511"/>
      <c r="J791" s="511"/>
      <c r="K791" s="511"/>
      <c r="L791" s="511"/>
      <c r="M791" s="511"/>
      <c r="N791" s="511"/>
      <c r="O791" s="511"/>
      <c r="P791" s="511"/>
      <c r="Q791" s="511"/>
      <c r="R791" s="511"/>
      <c r="S791" s="511"/>
      <c r="T791" s="511"/>
      <c r="U791" s="511"/>
      <c r="V791" s="511"/>
      <c r="W791" s="511"/>
      <c r="X791" s="511"/>
      <c r="Y791" s="511"/>
      <c r="Z791" s="511"/>
      <c r="AA791" s="511"/>
      <c r="AB791" s="511"/>
      <c r="AC791" s="511"/>
      <c r="AD791" s="511"/>
      <c r="AE791" s="511"/>
      <c r="AF791" s="511"/>
      <c r="AG791" s="511"/>
      <c r="AH791" s="511"/>
      <c r="AI791" s="511"/>
      <c r="AJ791" s="511"/>
      <c r="AK791" s="511"/>
      <c r="AL791" s="511"/>
      <c r="AM791" s="511"/>
      <c r="AN791" s="511"/>
      <c r="AO791" s="511"/>
      <c r="AP791" s="511"/>
      <c r="AQ791" s="511"/>
      <c r="AR791" s="511"/>
      <c r="AS791" s="511"/>
      <c r="AT791" s="511"/>
      <c r="AU791" s="511"/>
      <c r="AV791" s="511"/>
      <c r="AW791" s="511"/>
      <c r="AX791" s="511"/>
      <c r="AY791" s="511"/>
      <c r="AZ791" s="511"/>
      <c r="BA791" s="511"/>
      <c r="BB791" s="511"/>
      <c r="BC791" s="511"/>
      <c r="BD791" s="511"/>
      <c r="BE791" s="511"/>
      <c r="BF791" s="511"/>
      <c r="BG791" s="511"/>
      <c r="BH791" s="511"/>
      <c r="BI791" s="511"/>
      <c r="BJ791" s="511"/>
      <c r="BK791" s="511"/>
      <c r="BL791" s="511"/>
      <c r="BM791" s="511"/>
      <c r="BN791" s="511"/>
      <c r="BO791" s="511"/>
      <c r="BP791" s="511"/>
      <c r="BQ791" s="511"/>
      <c r="BR791" s="511"/>
      <c r="BS791" s="511"/>
      <c r="BT791" s="511"/>
      <c r="BU791" s="511"/>
      <c r="BV791" s="511"/>
      <c r="BW791" s="511"/>
      <c r="BX791" s="511"/>
      <c r="BY791" s="511"/>
      <c r="BZ791" s="511"/>
      <c r="CA791" s="511"/>
      <c r="CB791" s="511"/>
      <c r="CC791" s="511"/>
      <c r="CD791" s="511"/>
      <c r="CE791" s="511"/>
      <c r="CF791" s="511"/>
      <c r="CG791" s="511"/>
      <c r="CH791" s="511"/>
      <c r="CI791" s="511"/>
      <c r="CJ791" s="511"/>
      <c r="CK791" s="511"/>
      <c r="CL791" s="511"/>
      <c r="CM791" s="511"/>
      <c r="CN791" s="511"/>
      <c r="CO791" s="511"/>
      <c r="CP791" s="511"/>
      <c r="CQ791" s="511"/>
      <c r="CR791" s="511"/>
      <c r="CS791" s="511"/>
      <c r="CT791" s="511"/>
      <c r="CU791" s="511"/>
      <c r="CV791" s="511"/>
      <c r="CW791" s="511"/>
      <c r="CX791" s="511"/>
      <c r="CY791" s="511"/>
      <c r="CZ791" s="511"/>
      <c r="DA791" s="511"/>
      <c r="DB791" s="511"/>
      <c r="DC791" s="511"/>
      <c r="DD791" s="511"/>
      <c r="DE791" s="511"/>
      <c r="DF791" s="511"/>
      <c r="DG791" s="511"/>
      <c r="DH791" s="511"/>
      <c r="DI791" s="511"/>
      <c r="DJ791" s="511"/>
      <c r="DK791" s="511"/>
      <c r="DL791" s="511"/>
      <c r="DM791" s="511"/>
      <c r="DN791" s="511"/>
      <c r="DO791" s="511"/>
      <c r="DP791" s="511"/>
    </row>
    <row r="792" spans="1:120" x14ac:dyDescent="0.2">
      <c r="A792" s="517">
        <f t="shared" si="102"/>
        <v>42036</v>
      </c>
      <c r="B792" s="517" t="str">
        <f t="shared" si="107"/>
        <v>1Q15</v>
      </c>
      <c r="C792" s="517" t="str">
        <f t="shared" si="103"/>
        <v>2Q15</v>
      </c>
      <c r="D792" s="518">
        <f t="shared" si="104"/>
        <v>42097</v>
      </c>
      <c r="E792" s="518">
        <f t="shared" si="105"/>
        <v>42037</v>
      </c>
      <c r="F792" s="520">
        <v>2.831</v>
      </c>
      <c r="G792" s="521">
        <f t="shared" si="108"/>
        <v>0.34000000000000014</v>
      </c>
      <c r="H792" s="521">
        <f t="shared" si="106"/>
        <v>0.34000000000000014</v>
      </c>
      <c r="I792" s="511"/>
      <c r="J792" s="511"/>
      <c r="K792" s="511"/>
      <c r="L792" s="511"/>
      <c r="M792" s="511"/>
      <c r="N792" s="511"/>
      <c r="O792" s="511"/>
      <c r="P792" s="511"/>
      <c r="Q792" s="511"/>
      <c r="R792" s="511"/>
      <c r="S792" s="511"/>
      <c r="T792" s="511"/>
      <c r="U792" s="511"/>
      <c r="V792" s="511"/>
      <c r="W792" s="511"/>
      <c r="X792" s="511"/>
      <c r="Y792" s="511"/>
      <c r="Z792" s="511"/>
      <c r="AA792" s="511"/>
      <c r="AB792" s="511"/>
      <c r="AC792" s="511"/>
      <c r="AD792" s="511"/>
      <c r="AE792" s="511"/>
      <c r="AF792" s="511"/>
      <c r="AG792" s="511"/>
      <c r="AH792" s="511"/>
      <c r="AI792" s="511"/>
      <c r="AJ792" s="511"/>
      <c r="AK792" s="511"/>
      <c r="AL792" s="511"/>
      <c r="AM792" s="511"/>
      <c r="AN792" s="511"/>
      <c r="AO792" s="511"/>
      <c r="AP792" s="511"/>
      <c r="AQ792" s="511"/>
      <c r="AR792" s="511"/>
      <c r="AS792" s="511"/>
      <c r="AT792" s="511"/>
      <c r="AU792" s="511"/>
      <c r="AV792" s="511"/>
      <c r="AW792" s="511"/>
      <c r="AX792" s="511"/>
      <c r="AY792" s="511"/>
      <c r="AZ792" s="511"/>
      <c r="BA792" s="511"/>
      <c r="BB792" s="511"/>
      <c r="BC792" s="511"/>
      <c r="BD792" s="511"/>
      <c r="BE792" s="511"/>
      <c r="BF792" s="511"/>
      <c r="BG792" s="511"/>
      <c r="BH792" s="511"/>
      <c r="BI792" s="511"/>
      <c r="BJ792" s="511"/>
      <c r="BK792" s="511"/>
      <c r="BL792" s="511"/>
      <c r="BM792" s="511"/>
      <c r="BN792" s="511"/>
      <c r="BO792" s="511"/>
      <c r="BP792" s="511"/>
      <c r="BQ792" s="511"/>
      <c r="BR792" s="511"/>
      <c r="BS792" s="511"/>
      <c r="BT792" s="511"/>
      <c r="BU792" s="511"/>
      <c r="BV792" s="511"/>
      <c r="BW792" s="511"/>
      <c r="BX792" s="511"/>
      <c r="BY792" s="511"/>
      <c r="BZ792" s="511"/>
      <c r="CA792" s="511"/>
      <c r="CB792" s="511"/>
      <c r="CC792" s="511"/>
      <c r="CD792" s="511"/>
      <c r="CE792" s="511"/>
      <c r="CF792" s="511"/>
      <c r="CG792" s="511"/>
      <c r="CH792" s="511"/>
      <c r="CI792" s="511"/>
      <c r="CJ792" s="511"/>
      <c r="CK792" s="511"/>
      <c r="CL792" s="511"/>
      <c r="CM792" s="511"/>
      <c r="CN792" s="511"/>
      <c r="CO792" s="511"/>
      <c r="CP792" s="511"/>
      <c r="CQ792" s="511"/>
      <c r="CR792" s="511"/>
      <c r="CS792" s="511"/>
      <c r="CT792" s="511"/>
      <c r="CU792" s="511"/>
      <c r="CV792" s="511"/>
      <c r="CW792" s="511"/>
      <c r="CX792" s="511"/>
      <c r="CY792" s="511"/>
      <c r="CZ792" s="511"/>
      <c r="DA792" s="511"/>
      <c r="DB792" s="511"/>
      <c r="DC792" s="511"/>
      <c r="DD792" s="511"/>
      <c r="DE792" s="511"/>
      <c r="DF792" s="511"/>
      <c r="DG792" s="511"/>
      <c r="DH792" s="511"/>
      <c r="DI792" s="511"/>
      <c r="DJ792" s="511"/>
      <c r="DK792" s="511"/>
      <c r="DL792" s="511"/>
      <c r="DM792" s="511"/>
      <c r="DN792" s="511"/>
      <c r="DO792" s="511"/>
      <c r="DP792" s="511"/>
    </row>
    <row r="793" spans="1:120" x14ac:dyDescent="0.2">
      <c r="A793" s="517">
        <f t="shared" si="102"/>
        <v>42036</v>
      </c>
      <c r="B793" s="517" t="str">
        <f t="shared" si="107"/>
        <v>1Q15</v>
      </c>
      <c r="C793" s="517" t="str">
        <f t="shared" si="103"/>
        <v>2Q15</v>
      </c>
      <c r="D793" s="518">
        <f t="shared" si="104"/>
        <v>42104</v>
      </c>
      <c r="E793" s="518">
        <f t="shared" si="105"/>
        <v>42044</v>
      </c>
      <c r="F793" s="520">
        <v>2.835</v>
      </c>
      <c r="G793" s="521">
        <f t="shared" si="108"/>
        <v>0.34000000000000014</v>
      </c>
      <c r="H793" s="521">
        <f t="shared" si="106"/>
        <v>0.35000000000000014</v>
      </c>
      <c r="I793" s="511"/>
      <c r="J793" s="511"/>
      <c r="K793" s="511"/>
      <c r="L793" s="511"/>
      <c r="M793" s="511"/>
      <c r="N793" s="511"/>
      <c r="O793" s="511"/>
      <c r="P793" s="511"/>
      <c r="Q793" s="511"/>
      <c r="R793" s="511"/>
      <c r="S793" s="511"/>
      <c r="T793" s="511"/>
      <c r="U793" s="511"/>
      <c r="V793" s="511"/>
      <c r="W793" s="511"/>
      <c r="X793" s="511"/>
      <c r="Y793" s="511"/>
      <c r="Z793" s="511"/>
      <c r="AA793" s="511"/>
      <c r="AB793" s="511"/>
      <c r="AC793" s="511"/>
      <c r="AD793" s="511"/>
      <c r="AE793" s="511"/>
      <c r="AF793" s="511"/>
      <c r="AG793" s="511"/>
      <c r="AH793" s="511"/>
      <c r="AI793" s="511"/>
      <c r="AJ793" s="511"/>
      <c r="AK793" s="511"/>
      <c r="AL793" s="511"/>
      <c r="AM793" s="511"/>
      <c r="AN793" s="511"/>
      <c r="AO793" s="511"/>
      <c r="AP793" s="511"/>
      <c r="AQ793" s="511"/>
      <c r="AR793" s="511"/>
      <c r="AS793" s="511"/>
      <c r="AT793" s="511"/>
      <c r="AU793" s="511"/>
      <c r="AV793" s="511"/>
      <c r="AW793" s="511"/>
      <c r="AX793" s="511"/>
      <c r="AY793" s="511"/>
      <c r="AZ793" s="511"/>
      <c r="BA793" s="511"/>
      <c r="BB793" s="511"/>
      <c r="BC793" s="511"/>
      <c r="BD793" s="511"/>
      <c r="BE793" s="511"/>
      <c r="BF793" s="511"/>
      <c r="BG793" s="511"/>
      <c r="BH793" s="511"/>
      <c r="BI793" s="511"/>
      <c r="BJ793" s="511"/>
      <c r="BK793" s="511"/>
      <c r="BL793" s="511"/>
      <c r="BM793" s="511"/>
      <c r="BN793" s="511"/>
      <c r="BO793" s="511"/>
      <c r="BP793" s="511"/>
      <c r="BQ793" s="511"/>
      <c r="BR793" s="511"/>
      <c r="BS793" s="511"/>
      <c r="BT793" s="511"/>
      <c r="BU793" s="511"/>
      <c r="BV793" s="511"/>
      <c r="BW793" s="511"/>
      <c r="BX793" s="511"/>
      <c r="BY793" s="511"/>
      <c r="BZ793" s="511"/>
      <c r="CA793" s="511"/>
      <c r="CB793" s="511"/>
      <c r="CC793" s="511"/>
      <c r="CD793" s="511"/>
      <c r="CE793" s="511"/>
      <c r="CF793" s="511"/>
      <c r="CG793" s="511"/>
      <c r="CH793" s="511"/>
      <c r="CI793" s="511"/>
      <c r="CJ793" s="511"/>
      <c r="CK793" s="511"/>
      <c r="CL793" s="511"/>
      <c r="CM793" s="511"/>
      <c r="CN793" s="511"/>
      <c r="CO793" s="511"/>
      <c r="CP793" s="511"/>
      <c r="CQ793" s="511"/>
      <c r="CR793" s="511"/>
      <c r="CS793" s="511"/>
      <c r="CT793" s="511"/>
      <c r="CU793" s="511"/>
      <c r="CV793" s="511"/>
      <c r="CW793" s="511"/>
      <c r="CX793" s="511"/>
      <c r="CY793" s="511"/>
      <c r="CZ793" s="511"/>
      <c r="DA793" s="511"/>
      <c r="DB793" s="511"/>
      <c r="DC793" s="511"/>
      <c r="DD793" s="511"/>
      <c r="DE793" s="511"/>
      <c r="DF793" s="511"/>
      <c r="DG793" s="511"/>
      <c r="DH793" s="511"/>
      <c r="DI793" s="511"/>
      <c r="DJ793" s="511"/>
      <c r="DK793" s="511"/>
      <c r="DL793" s="511"/>
      <c r="DM793" s="511"/>
      <c r="DN793" s="511"/>
      <c r="DO793" s="511"/>
      <c r="DP793" s="511"/>
    </row>
    <row r="794" spans="1:120" x14ac:dyDescent="0.2">
      <c r="A794" s="517">
        <f t="shared" si="102"/>
        <v>42036</v>
      </c>
      <c r="B794" s="517" t="str">
        <f t="shared" si="107"/>
        <v>1Q15</v>
      </c>
      <c r="C794" s="517" t="str">
        <f t="shared" si="103"/>
        <v>2Q15</v>
      </c>
      <c r="D794" s="518">
        <f t="shared" si="104"/>
        <v>42111</v>
      </c>
      <c r="E794" s="518">
        <f t="shared" si="105"/>
        <v>42051</v>
      </c>
      <c r="F794" s="520">
        <v>2.8650000000000002</v>
      </c>
      <c r="G794" s="521">
        <f t="shared" si="108"/>
        <v>0.35000000000000014</v>
      </c>
      <c r="H794" s="521">
        <f t="shared" si="106"/>
        <v>0.36000000000000015</v>
      </c>
      <c r="I794" s="511"/>
      <c r="J794" s="511"/>
      <c r="K794" s="511"/>
      <c r="L794" s="511"/>
      <c r="M794" s="511"/>
      <c r="N794" s="511"/>
      <c r="O794" s="511"/>
      <c r="P794" s="511"/>
      <c r="Q794" s="511"/>
      <c r="R794" s="511"/>
      <c r="S794" s="511"/>
      <c r="T794" s="511"/>
      <c r="U794" s="511"/>
      <c r="V794" s="511"/>
      <c r="W794" s="511"/>
      <c r="X794" s="511"/>
      <c r="Y794" s="511"/>
      <c r="Z794" s="511"/>
      <c r="AA794" s="511"/>
      <c r="AB794" s="511"/>
      <c r="AC794" s="511"/>
      <c r="AD794" s="511"/>
      <c r="AE794" s="511"/>
      <c r="AF794" s="511"/>
      <c r="AG794" s="511"/>
      <c r="AH794" s="511"/>
      <c r="AI794" s="511"/>
      <c r="AJ794" s="511"/>
      <c r="AK794" s="511"/>
      <c r="AL794" s="511"/>
      <c r="AM794" s="511"/>
      <c r="AN794" s="511"/>
      <c r="AO794" s="511"/>
      <c r="AP794" s="511"/>
      <c r="AQ794" s="511"/>
      <c r="AR794" s="511"/>
      <c r="AS794" s="511"/>
      <c r="AT794" s="511"/>
      <c r="AU794" s="511"/>
      <c r="AV794" s="511"/>
      <c r="AW794" s="511"/>
      <c r="AX794" s="511"/>
      <c r="AY794" s="511"/>
      <c r="AZ794" s="511"/>
      <c r="BA794" s="511"/>
      <c r="BB794" s="511"/>
      <c r="BC794" s="511"/>
      <c r="BD794" s="511"/>
      <c r="BE794" s="511"/>
      <c r="BF794" s="511"/>
      <c r="BG794" s="511"/>
      <c r="BH794" s="511"/>
      <c r="BI794" s="511"/>
      <c r="BJ794" s="511"/>
      <c r="BK794" s="511"/>
      <c r="BL794" s="511"/>
      <c r="BM794" s="511"/>
      <c r="BN794" s="511"/>
      <c r="BO794" s="511"/>
      <c r="BP794" s="511"/>
      <c r="BQ794" s="511"/>
      <c r="BR794" s="511"/>
      <c r="BS794" s="511"/>
      <c r="BT794" s="511"/>
      <c r="BU794" s="511"/>
      <c r="BV794" s="511"/>
      <c r="BW794" s="511"/>
      <c r="BX794" s="511"/>
      <c r="BY794" s="511"/>
      <c r="BZ794" s="511"/>
      <c r="CA794" s="511"/>
      <c r="CB794" s="511"/>
      <c r="CC794" s="511"/>
      <c r="CD794" s="511"/>
      <c r="CE794" s="511"/>
      <c r="CF794" s="511"/>
      <c r="CG794" s="511"/>
      <c r="CH794" s="511"/>
      <c r="CI794" s="511"/>
      <c r="CJ794" s="511"/>
      <c r="CK794" s="511"/>
      <c r="CL794" s="511"/>
      <c r="CM794" s="511"/>
      <c r="CN794" s="511"/>
      <c r="CO794" s="511"/>
      <c r="CP794" s="511"/>
      <c r="CQ794" s="511"/>
      <c r="CR794" s="511"/>
      <c r="CS794" s="511"/>
      <c r="CT794" s="511"/>
      <c r="CU794" s="511"/>
      <c r="CV794" s="511"/>
      <c r="CW794" s="511"/>
      <c r="CX794" s="511"/>
      <c r="CY794" s="511"/>
      <c r="CZ794" s="511"/>
      <c r="DA794" s="511"/>
      <c r="DB794" s="511"/>
      <c r="DC794" s="511"/>
      <c r="DD794" s="511"/>
      <c r="DE794" s="511"/>
      <c r="DF794" s="511"/>
      <c r="DG794" s="511"/>
      <c r="DH794" s="511"/>
      <c r="DI794" s="511"/>
      <c r="DJ794" s="511"/>
      <c r="DK794" s="511"/>
      <c r="DL794" s="511"/>
      <c r="DM794" s="511"/>
      <c r="DN794" s="511"/>
      <c r="DO794" s="511"/>
      <c r="DP794" s="511"/>
    </row>
    <row r="795" spans="1:120" x14ac:dyDescent="0.2">
      <c r="A795" s="517">
        <f t="shared" si="102"/>
        <v>42036</v>
      </c>
      <c r="B795" s="517" t="str">
        <f t="shared" si="107"/>
        <v>1Q15</v>
      </c>
      <c r="C795" s="517" t="str">
        <f t="shared" si="103"/>
        <v>2Q15</v>
      </c>
      <c r="D795" s="518">
        <f t="shared" si="104"/>
        <v>42118</v>
      </c>
      <c r="E795" s="518">
        <f t="shared" si="105"/>
        <v>42058</v>
      </c>
      <c r="F795" s="520">
        <v>2.9</v>
      </c>
      <c r="G795" s="521">
        <f t="shared" si="108"/>
        <v>0.36000000000000015</v>
      </c>
      <c r="H795" s="521">
        <f t="shared" si="106"/>
        <v>0.36000000000000015</v>
      </c>
      <c r="I795" s="511"/>
      <c r="J795" s="511"/>
      <c r="K795" s="511"/>
      <c r="L795" s="511"/>
      <c r="M795" s="511"/>
      <c r="N795" s="511"/>
      <c r="O795" s="511"/>
      <c r="P795" s="511"/>
      <c r="Q795" s="511"/>
      <c r="R795" s="511"/>
      <c r="S795" s="511"/>
      <c r="T795" s="511"/>
      <c r="U795" s="511"/>
      <c r="V795" s="511"/>
      <c r="W795" s="511"/>
      <c r="X795" s="511"/>
      <c r="Y795" s="511"/>
      <c r="Z795" s="511"/>
      <c r="AA795" s="511"/>
      <c r="AB795" s="511"/>
      <c r="AC795" s="511"/>
      <c r="AD795" s="511"/>
      <c r="AE795" s="511"/>
      <c r="AF795" s="511"/>
      <c r="AG795" s="511"/>
      <c r="AH795" s="511"/>
      <c r="AI795" s="511"/>
      <c r="AJ795" s="511"/>
      <c r="AK795" s="511"/>
      <c r="AL795" s="511"/>
      <c r="AM795" s="511"/>
      <c r="AN795" s="511"/>
      <c r="AO795" s="511"/>
      <c r="AP795" s="511"/>
      <c r="AQ795" s="511"/>
      <c r="AR795" s="511"/>
      <c r="AS795" s="511"/>
      <c r="AT795" s="511"/>
      <c r="AU795" s="511"/>
      <c r="AV795" s="511"/>
      <c r="AW795" s="511"/>
      <c r="AX795" s="511"/>
      <c r="AY795" s="511"/>
      <c r="AZ795" s="511"/>
      <c r="BA795" s="511"/>
      <c r="BB795" s="511"/>
      <c r="BC795" s="511"/>
      <c r="BD795" s="511"/>
      <c r="BE795" s="511"/>
      <c r="BF795" s="511"/>
      <c r="BG795" s="511"/>
      <c r="BH795" s="511"/>
      <c r="BI795" s="511"/>
      <c r="BJ795" s="511"/>
      <c r="BK795" s="511"/>
      <c r="BL795" s="511"/>
      <c r="BM795" s="511"/>
      <c r="BN795" s="511"/>
      <c r="BO795" s="511"/>
      <c r="BP795" s="511"/>
      <c r="BQ795" s="511"/>
      <c r="BR795" s="511"/>
      <c r="BS795" s="511"/>
      <c r="BT795" s="511"/>
      <c r="BU795" s="511"/>
      <c r="BV795" s="511"/>
      <c r="BW795" s="511"/>
      <c r="BX795" s="511"/>
      <c r="BY795" s="511"/>
      <c r="BZ795" s="511"/>
      <c r="CA795" s="511"/>
      <c r="CB795" s="511"/>
      <c r="CC795" s="511"/>
      <c r="CD795" s="511"/>
      <c r="CE795" s="511"/>
      <c r="CF795" s="511"/>
      <c r="CG795" s="511"/>
      <c r="CH795" s="511"/>
      <c r="CI795" s="511"/>
      <c r="CJ795" s="511"/>
      <c r="CK795" s="511"/>
      <c r="CL795" s="511"/>
      <c r="CM795" s="511"/>
      <c r="CN795" s="511"/>
      <c r="CO795" s="511"/>
      <c r="CP795" s="511"/>
      <c r="CQ795" s="511"/>
      <c r="CR795" s="511"/>
      <c r="CS795" s="511"/>
      <c r="CT795" s="511"/>
      <c r="CU795" s="511"/>
      <c r="CV795" s="511"/>
      <c r="CW795" s="511"/>
      <c r="CX795" s="511"/>
      <c r="CY795" s="511"/>
      <c r="CZ795" s="511"/>
      <c r="DA795" s="511"/>
      <c r="DB795" s="511"/>
      <c r="DC795" s="511"/>
      <c r="DD795" s="511"/>
      <c r="DE795" s="511"/>
      <c r="DF795" s="511"/>
      <c r="DG795" s="511"/>
      <c r="DH795" s="511"/>
      <c r="DI795" s="511"/>
      <c r="DJ795" s="511"/>
      <c r="DK795" s="511"/>
      <c r="DL795" s="511"/>
      <c r="DM795" s="511"/>
      <c r="DN795" s="511"/>
      <c r="DO795" s="511"/>
      <c r="DP795" s="511"/>
    </row>
    <row r="796" spans="1:120" x14ac:dyDescent="0.2">
      <c r="A796" s="517">
        <f t="shared" si="102"/>
        <v>42064</v>
      </c>
      <c r="B796" s="517" t="str">
        <f t="shared" si="107"/>
        <v>1Q15</v>
      </c>
      <c r="C796" s="517" t="str">
        <f t="shared" si="103"/>
        <v>2Q15</v>
      </c>
      <c r="D796" s="518">
        <f t="shared" si="104"/>
        <v>42125</v>
      </c>
      <c r="E796" s="518">
        <f t="shared" si="105"/>
        <v>42065</v>
      </c>
      <c r="F796" s="520">
        <v>2.9359999999999999</v>
      </c>
      <c r="G796" s="521">
        <f t="shared" si="108"/>
        <v>0.36000000000000015</v>
      </c>
      <c r="H796" s="521">
        <f t="shared" si="106"/>
        <v>0.36000000000000015</v>
      </c>
      <c r="I796" s="511"/>
      <c r="J796" s="511"/>
      <c r="K796" s="511"/>
      <c r="L796" s="511"/>
      <c r="M796" s="511"/>
      <c r="N796" s="511"/>
      <c r="O796" s="511"/>
      <c r="P796" s="511"/>
      <c r="Q796" s="511"/>
      <c r="R796" s="511"/>
      <c r="S796" s="511"/>
      <c r="T796" s="511"/>
      <c r="U796" s="511"/>
      <c r="V796" s="511"/>
      <c r="W796" s="511"/>
      <c r="X796" s="511"/>
      <c r="Y796" s="511"/>
      <c r="Z796" s="511"/>
      <c r="AA796" s="511"/>
      <c r="AB796" s="511"/>
      <c r="AC796" s="511"/>
      <c r="AD796" s="511"/>
      <c r="AE796" s="511"/>
      <c r="AF796" s="511"/>
      <c r="AG796" s="511"/>
      <c r="AH796" s="511"/>
      <c r="AI796" s="511"/>
      <c r="AJ796" s="511"/>
      <c r="AK796" s="511"/>
      <c r="AL796" s="511"/>
      <c r="AM796" s="511"/>
      <c r="AN796" s="511"/>
      <c r="AO796" s="511"/>
      <c r="AP796" s="511"/>
      <c r="AQ796" s="511"/>
      <c r="AR796" s="511"/>
      <c r="AS796" s="511"/>
      <c r="AT796" s="511"/>
      <c r="AU796" s="511"/>
      <c r="AV796" s="511"/>
      <c r="AW796" s="511"/>
      <c r="AX796" s="511"/>
      <c r="AY796" s="511"/>
      <c r="AZ796" s="511"/>
      <c r="BA796" s="511"/>
      <c r="BB796" s="511"/>
      <c r="BC796" s="511"/>
      <c r="BD796" s="511"/>
      <c r="BE796" s="511"/>
      <c r="BF796" s="511"/>
      <c r="BG796" s="511"/>
      <c r="BH796" s="511"/>
      <c r="BI796" s="511"/>
      <c r="BJ796" s="511"/>
      <c r="BK796" s="511"/>
      <c r="BL796" s="511"/>
      <c r="BM796" s="511"/>
      <c r="BN796" s="511"/>
      <c r="BO796" s="511"/>
      <c r="BP796" s="511"/>
      <c r="BQ796" s="511"/>
      <c r="BR796" s="511"/>
      <c r="BS796" s="511"/>
      <c r="BT796" s="511"/>
      <c r="BU796" s="511"/>
      <c r="BV796" s="511"/>
      <c r="BW796" s="511"/>
      <c r="BX796" s="511"/>
      <c r="BY796" s="511"/>
      <c r="BZ796" s="511"/>
      <c r="CA796" s="511"/>
      <c r="CB796" s="511"/>
      <c r="CC796" s="511"/>
      <c r="CD796" s="511"/>
      <c r="CE796" s="511"/>
      <c r="CF796" s="511"/>
      <c r="CG796" s="511"/>
      <c r="CH796" s="511"/>
      <c r="CI796" s="511"/>
      <c r="CJ796" s="511"/>
      <c r="CK796" s="511"/>
      <c r="CL796" s="511"/>
      <c r="CM796" s="511"/>
      <c r="CN796" s="511"/>
      <c r="CO796" s="511"/>
      <c r="CP796" s="511"/>
      <c r="CQ796" s="511"/>
      <c r="CR796" s="511"/>
      <c r="CS796" s="511"/>
      <c r="CT796" s="511"/>
      <c r="CU796" s="511"/>
      <c r="CV796" s="511"/>
      <c r="CW796" s="511"/>
      <c r="CX796" s="511"/>
      <c r="CY796" s="511"/>
      <c r="CZ796" s="511"/>
      <c r="DA796" s="511"/>
      <c r="DB796" s="511"/>
      <c r="DC796" s="511"/>
      <c r="DD796" s="511"/>
      <c r="DE796" s="511"/>
      <c r="DF796" s="511"/>
      <c r="DG796" s="511"/>
      <c r="DH796" s="511"/>
      <c r="DI796" s="511"/>
      <c r="DJ796" s="511"/>
      <c r="DK796" s="511"/>
      <c r="DL796" s="511"/>
      <c r="DM796" s="511"/>
      <c r="DN796" s="511"/>
      <c r="DO796" s="511"/>
      <c r="DP796" s="511"/>
    </row>
    <row r="797" spans="1:120" x14ac:dyDescent="0.2">
      <c r="A797" s="517">
        <f t="shared" si="102"/>
        <v>42064</v>
      </c>
      <c r="B797" s="517" t="str">
        <f t="shared" si="107"/>
        <v>1Q15</v>
      </c>
      <c r="C797" s="517" t="str">
        <f t="shared" si="103"/>
        <v>2Q15</v>
      </c>
      <c r="D797" s="518">
        <f t="shared" si="104"/>
        <v>42132</v>
      </c>
      <c r="E797" s="518">
        <f t="shared" si="105"/>
        <v>42072</v>
      </c>
      <c r="F797" s="520">
        <v>2.944</v>
      </c>
      <c r="G797" s="521">
        <f t="shared" si="108"/>
        <v>0.36000000000000015</v>
      </c>
      <c r="H797" s="521">
        <f t="shared" si="106"/>
        <v>0.36000000000000015</v>
      </c>
      <c r="I797" s="511"/>
      <c r="J797" s="511"/>
      <c r="K797" s="511"/>
      <c r="L797" s="511"/>
      <c r="M797" s="511"/>
      <c r="N797" s="511"/>
      <c r="O797" s="511"/>
      <c r="P797" s="511"/>
      <c r="Q797" s="511"/>
      <c r="R797" s="511"/>
      <c r="S797" s="511"/>
      <c r="T797" s="511"/>
      <c r="U797" s="511"/>
      <c r="V797" s="511"/>
      <c r="W797" s="511"/>
      <c r="X797" s="511"/>
      <c r="Y797" s="511"/>
      <c r="Z797" s="511"/>
      <c r="AA797" s="511"/>
      <c r="AB797" s="511"/>
      <c r="AC797" s="511"/>
      <c r="AD797" s="511"/>
      <c r="AE797" s="511"/>
      <c r="AF797" s="511"/>
      <c r="AG797" s="511"/>
      <c r="AH797" s="511"/>
      <c r="AI797" s="511"/>
      <c r="AJ797" s="511"/>
      <c r="AK797" s="511"/>
      <c r="AL797" s="511"/>
      <c r="AM797" s="511"/>
      <c r="AN797" s="511"/>
      <c r="AO797" s="511"/>
      <c r="AP797" s="511"/>
      <c r="AQ797" s="511"/>
      <c r="AR797" s="511"/>
      <c r="AS797" s="511"/>
      <c r="AT797" s="511"/>
      <c r="AU797" s="511"/>
      <c r="AV797" s="511"/>
      <c r="AW797" s="511"/>
      <c r="AX797" s="511"/>
      <c r="AY797" s="511"/>
      <c r="AZ797" s="511"/>
      <c r="BA797" s="511"/>
      <c r="BB797" s="511"/>
      <c r="BC797" s="511"/>
      <c r="BD797" s="511"/>
      <c r="BE797" s="511"/>
      <c r="BF797" s="511"/>
      <c r="BG797" s="511"/>
      <c r="BH797" s="511"/>
      <c r="BI797" s="511"/>
      <c r="BJ797" s="511"/>
      <c r="BK797" s="511"/>
      <c r="BL797" s="511"/>
      <c r="BM797" s="511"/>
      <c r="BN797" s="511"/>
      <c r="BO797" s="511"/>
      <c r="BP797" s="511"/>
      <c r="BQ797" s="511"/>
      <c r="BR797" s="511"/>
      <c r="BS797" s="511"/>
      <c r="BT797" s="511"/>
      <c r="BU797" s="511"/>
      <c r="BV797" s="511"/>
      <c r="BW797" s="511"/>
      <c r="BX797" s="511"/>
      <c r="BY797" s="511"/>
      <c r="BZ797" s="511"/>
      <c r="CA797" s="511"/>
      <c r="CB797" s="511"/>
      <c r="CC797" s="511"/>
      <c r="CD797" s="511"/>
      <c r="CE797" s="511"/>
      <c r="CF797" s="511"/>
      <c r="CG797" s="511"/>
      <c r="CH797" s="511"/>
      <c r="CI797" s="511"/>
      <c r="CJ797" s="511"/>
      <c r="CK797" s="511"/>
      <c r="CL797" s="511"/>
      <c r="CM797" s="511"/>
      <c r="CN797" s="511"/>
      <c r="CO797" s="511"/>
      <c r="CP797" s="511"/>
      <c r="CQ797" s="511"/>
      <c r="CR797" s="511"/>
      <c r="CS797" s="511"/>
      <c r="CT797" s="511"/>
      <c r="CU797" s="511"/>
      <c r="CV797" s="511"/>
      <c r="CW797" s="511"/>
      <c r="CX797" s="511"/>
      <c r="CY797" s="511"/>
      <c r="CZ797" s="511"/>
      <c r="DA797" s="511"/>
      <c r="DB797" s="511"/>
      <c r="DC797" s="511"/>
      <c r="DD797" s="511"/>
      <c r="DE797" s="511"/>
      <c r="DF797" s="511"/>
      <c r="DG797" s="511"/>
      <c r="DH797" s="511"/>
      <c r="DI797" s="511"/>
      <c r="DJ797" s="511"/>
      <c r="DK797" s="511"/>
      <c r="DL797" s="511"/>
      <c r="DM797" s="511"/>
      <c r="DN797" s="511"/>
      <c r="DO797" s="511"/>
      <c r="DP797" s="511"/>
    </row>
    <row r="798" spans="1:120" x14ac:dyDescent="0.2">
      <c r="A798" s="517">
        <f t="shared" ref="A798:A824" si="109">DATE(YEAR(E798),MONTH(E798),1)</f>
        <v>42064</v>
      </c>
      <c r="B798" s="517" t="str">
        <f t="shared" si="107"/>
        <v>1Q15</v>
      </c>
      <c r="C798" s="517" t="str">
        <f t="shared" ref="C798:C824" si="110">VLOOKUP(MONTH(D798),$N$4:$O$16,2,FALSE) &amp; "Q" &amp; RIGHT(YEAR(D798),2)</f>
        <v>2Q15</v>
      </c>
      <c r="D798" s="518">
        <f t="shared" ref="D798:D824" si="111">D797+7</f>
        <v>42139</v>
      </c>
      <c r="E798" s="518">
        <f t="shared" ref="E798:E824" si="112">E797+7</f>
        <v>42079</v>
      </c>
      <c r="F798" s="520">
        <v>2.9169999999999998</v>
      </c>
      <c r="G798" s="521">
        <f t="shared" si="108"/>
        <v>0.36000000000000015</v>
      </c>
      <c r="H798" s="521">
        <f t="shared" ref="H798:H824" si="113">G799</f>
        <v>0.35000000000000014</v>
      </c>
      <c r="I798" s="511"/>
      <c r="J798" s="511"/>
      <c r="K798" s="511"/>
      <c r="L798" s="511"/>
      <c r="M798" s="511"/>
      <c r="N798" s="511"/>
      <c r="O798" s="511"/>
      <c r="P798" s="511"/>
      <c r="Q798" s="511"/>
      <c r="R798" s="511"/>
      <c r="S798" s="511"/>
      <c r="T798" s="511"/>
      <c r="U798" s="511"/>
      <c r="V798" s="511"/>
      <c r="W798" s="511"/>
      <c r="X798" s="511"/>
      <c r="Y798" s="511"/>
      <c r="Z798" s="511"/>
      <c r="AA798" s="511"/>
      <c r="AB798" s="511"/>
      <c r="AC798" s="511"/>
      <c r="AD798" s="511"/>
      <c r="AE798" s="511"/>
      <c r="AF798" s="511"/>
      <c r="AG798" s="511"/>
      <c r="AH798" s="511"/>
      <c r="AI798" s="511"/>
      <c r="AJ798" s="511"/>
      <c r="AK798" s="511"/>
      <c r="AL798" s="511"/>
      <c r="AM798" s="511"/>
      <c r="AN798" s="511"/>
      <c r="AO798" s="511"/>
      <c r="AP798" s="511"/>
      <c r="AQ798" s="511"/>
      <c r="AR798" s="511"/>
      <c r="AS798" s="511"/>
      <c r="AT798" s="511"/>
      <c r="AU798" s="511"/>
      <c r="AV798" s="511"/>
      <c r="AW798" s="511"/>
      <c r="AX798" s="511"/>
      <c r="AY798" s="511"/>
      <c r="AZ798" s="511"/>
      <c r="BA798" s="511"/>
      <c r="BB798" s="511"/>
      <c r="BC798" s="511"/>
      <c r="BD798" s="511"/>
      <c r="BE798" s="511"/>
      <c r="BF798" s="511"/>
      <c r="BG798" s="511"/>
      <c r="BH798" s="511"/>
      <c r="BI798" s="511"/>
      <c r="BJ798" s="511"/>
      <c r="BK798" s="511"/>
      <c r="BL798" s="511"/>
      <c r="BM798" s="511"/>
      <c r="BN798" s="511"/>
      <c r="BO798" s="511"/>
      <c r="BP798" s="511"/>
      <c r="BQ798" s="511"/>
      <c r="BR798" s="511"/>
      <c r="BS798" s="511"/>
      <c r="BT798" s="511"/>
      <c r="BU798" s="511"/>
      <c r="BV798" s="511"/>
      <c r="BW798" s="511"/>
      <c r="BX798" s="511"/>
      <c r="BY798" s="511"/>
      <c r="BZ798" s="511"/>
      <c r="CA798" s="511"/>
      <c r="CB798" s="511"/>
      <c r="CC798" s="511"/>
      <c r="CD798" s="511"/>
      <c r="CE798" s="511"/>
      <c r="CF798" s="511"/>
      <c r="CG798" s="511"/>
      <c r="CH798" s="511"/>
      <c r="CI798" s="511"/>
      <c r="CJ798" s="511"/>
      <c r="CK798" s="511"/>
      <c r="CL798" s="511"/>
      <c r="CM798" s="511"/>
      <c r="CN798" s="511"/>
      <c r="CO798" s="511"/>
      <c r="CP798" s="511"/>
      <c r="CQ798" s="511"/>
      <c r="CR798" s="511"/>
      <c r="CS798" s="511"/>
      <c r="CT798" s="511"/>
      <c r="CU798" s="511"/>
      <c r="CV798" s="511"/>
      <c r="CW798" s="511"/>
      <c r="CX798" s="511"/>
      <c r="CY798" s="511"/>
      <c r="CZ798" s="511"/>
      <c r="DA798" s="511"/>
      <c r="DB798" s="511"/>
      <c r="DC798" s="511"/>
      <c r="DD798" s="511"/>
      <c r="DE798" s="511"/>
      <c r="DF798" s="511"/>
      <c r="DG798" s="511"/>
      <c r="DH798" s="511"/>
      <c r="DI798" s="511"/>
      <c r="DJ798" s="511"/>
      <c r="DK798" s="511"/>
      <c r="DL798" s="511"/>
      <c r="DM798" s="511"/>
      <c r="DN798" s="511"/>
      <c r="DO798" s="511"/>
      <c r="DP798" s="511"/>
    </row>
    <row r="799" spans="1:120" x14ac:dyDescent="0.2">
      <c r="A799" s="517">
        <f t="shared" si="109"/>
        <v>42064</v>
      </c>
      <c r="B799" s="517" t="str">
        <f t="shared" si="107"/>
        <v>1Q15</v>
      </c>
      <c r="C799" s="517" t="str">
        <f t="shared" si="110"/>
        <v>2Q15</v>
      </c>
      <c r="D799" s="518">
        <f t="shared" si="111"/>
        <v>42146</v>
      </c>
      <c r="E799" s="518">
        <f t="shared" si="112"/>
        <v>42086</v>
      </c>
      <c r="F799" s="520">
        <v>2.8639999999999999</v>
      </c>
      <c r="G799" s="521">
        <f t="shared" si="108"/>
        <v>0.35000000000000014</v>
      </c>
      <c r="H799" s="521">
        <f t="shared" si="113"/>
        <v>0.34000000000000014</v>
      </c>
      <c r="I799" s="511"/>
      <c r="J799" s="511"/>
      <c r="K799" s="511"/>
      <c r="L799" s="511"/>
      <c r="M799" s="511"/>
      <c r="N799" s="511"/>
      <c r="O799" s="511"/>
      <c r="P799" s="511"/>
      <c r="Q799" s="511"/>
      <c r="R799" s="511"/>
      <c r="S799" s="511"/>
      <c r="T799" s="511"/>
      <c r="U799" s="511"/>
      <c r="V799" s="511"/>
      <c r="W799" s="511"/>
      <c r="X799" s="511"/>
      <c r="Y799" s="511"/>
      <c r="Z799" s="511"/>
      <c r="AA799" s="511"/>
      <c r="AB799" s="511"/>
      <c r="AC799" s="511"/>
      <c r="AD799" s="511"/>
      <c r="AE799" s="511"/>
      <c r="AF799" s="511"/>
      <c r="AG799" s="511"/>
      <c r="AH799" s="511"/>
      <c r="AI799" s="511"/>
      <c r="AJ799" s="511"/>
      <c r="AK799" s="511"/>
      <c r="AL799" s="511"/>
      <c r="AM799" s="511"/>
      <c r="AN799" s="511"/>
      <c r="AO799" s="511"/>
      <c r="AP799" s="511"/>
      <c r="AQ799" s="511"/>
      <c r="AR799" s="511"/>
      <c r="AS799" s="511"/>
      <c r="AT799" s="511"/>
      <c r="AU799" s="511"/>
      <c r="AV799" s="511"/>
      <c r="AW799" s="511"/>
      <c r="AX799" s="511"/>
      <c r="AY799" s="511"/>
      <c r="AZ799" s="511"/>
      <c r="BA799" s="511"/>
      <c r="BB799" s="511"/>
      <c r="BC799" s="511"/>
      <c r="BD799" s="511"/>
      <c r="BE799" s="511"/>
      <c r="BF799" s="511"/>
      <c r="BG799" s="511"/>
      <c r="BH799" s="511"/>
      <c r="BI799" s="511"/>
      <c r="BJ799" s="511"/>
      <c r="BK799" s="511"/>
      <c r="BL799" s="511"/>
      <c r="BM799" s="511"/>
      <c r="BN799" s="511"/>
      <c r="BO799" s="511"/>
      <c r="BP799" s="511"/>
      <c r="BQ799" s="511"/>
      <c r="BR799" s="511"/>
      <c r="BS799" s="511"/>
      <c r="BT799" s="511"/>
      <c r="BU799" s="511"/>
      <c r="BV799" s="511"/>
      <c r="BW799" s="511"/>
      <c r="BX799" s="511"/>
      <c r="BY799" s="511"/>
      <c r="BZ799" s="511"/>
      <c r="CA799" s="511"/>
      <c r="CB799" s="511"/>
      <c r="CC799" s="511"/>
      <c r="CD799" s="511"/>
      <c r="CE799" s="511"/>
      <c r="CF799" s="511"/>
      <c r="CG799" s="511"/>
      <c r="CH799" s="511"/>
      <c r="CI799" s="511"/>
      <c r="CJ799" s="511"/>
      <c r="CK799" s="511"/>
      <c r="CL799" s="511"/>
      <c r="CM799" s="511"/>
      <c r="CN799" s="511"/>
      <c r="CO799" s="511"/>
      <c r="CP799" s="511"/>
      <c r="CQ799" s="511"/>
      <c r="CR799" s="511"/>
      <c r="CS799" s="511"/>
      <c r="CT799" s="511"/>
      <c r="CU799" s="511"/>
      <c r="CV799" s="511"/>
      <c r="CW799" s="511"/>
      <c r="CX799" s="511"/>
      <c r="CY799" s="511"/>
      <c r="CZ799" s="511"/>
      <c r="DA799" s="511"/>
      <c r="DB799" s="511"/>
      <c r="DC799" s="511"/>
      <c r="DD799" s="511"/>
      <c r="DE799" s="511"/>
      <c r="DF799" s="511"/>
      <c r="DG799" s="511"/>
      <c r="DH799" s="511"/>
      <c r="DI799" s="511"/>
      <c r="DJ799" s="511"/>
      <c r="DK799" s="511"/>
      <c r="DL799" s="511"/>
      <c r="DM799" s="511"/>
      <c r="DN799" s="511"/>
      <c r="DO799" s="511"/>
      <c r="DP799" s="511"/>
    </row>
    <row r="800" spans="1:120" x14ac:dyDescent="0.2">
      <c r="A800" s="517">
        <f t="shared" si="109"/>
        <v>42064</v>
      </c>
      <c r="B800" s="517" t="str">
        <f t="shared" si="107"/>
        <v>1Q15</v>
      </c>
      <c r="C800" s="517" t="str">
        <f t="shared" si="110"/>
        <v>2Q15</v>
      </c>
      <c r="D800" s="518">
        <f t="shared" si="111"/>
        <v>42153</v>
      </c>
      <c r="E800" s="518">
        <f t="shared" si="112"/>
        <v>42093</v>
      </c>
      <c r="F800" s="520">
        <v>2.8239999999999998</v>
      </c>
      <c r="G800" s="521">
        <f t="shared" si="108"/>
        <v>0.34000000000000014</v>
      </c>
      <c r="H800" s="521">
        <f t="shared" si="113"/>
        <v>0.33000000000000013</v>
      </c>
      <c r="I800" s="511"/>
      <c r="J800" s="511"/>
      <c r="K800" s="511"/>
      <c r="L800" s="511"/>
      <c r="M800" s="511"/>
      <c r="N800" s="511"/>
      <c r="O800" s="511"/>
      <c r="P800" s="511"/>
      <c r="Q800" s="511"/>
      <c r="R800" s="511"/>
      <c r="S800" s="511"/>
      <c r="T800" s="511"/>
      <c r="U800" s="511"/>
      <c r="V800" s="511"/>
      <c r="W800" s="511"/>
      <c r="X800" s="511"/>
      <c r="Y800" s="511"/>
      <c r="Z800" s="511"/>
      <c r="AA800" s="511"/>
      <c r="AB800" s="511"/>
      <c r="AC800" s="511"/>
      <c r="AD800" s="511"/>
      <c r="AE800" s="511"/>
      <c r="AF800" s="511"/>
      <c r="AG800" s="511"/>
      <c r="AH800" s="511"/>
      <c r="AI800" s="511"/>
      <c r="AJ800" s="511"/>
      <c r="AK800" s="511"/>
      <c r="AL800" s="511"/>
      <c r="AM800" s="511"/>
      <c r="AN800" s="511"/>
      <c r="AO800" s="511"/>
      <c r="AP800" s="511"/>
      <c r="AQ800" s="511"/>
      <c r="AR800" s="511"/>
      <c r="AS800" s="511"/>
      <c r="AT800" s="511"/>
      <c r="AU800" s="511"/>
      <c r="AV800" s="511"/>
      <c r="AW800" s="511"/>
      <c r="AX800" s="511"/>
      <c r="AY800" s="511"/>
      <c r="AZ800" s="511"/>
      <c r="BA800" s="511"/>
      <c r="BB800" s="511"/>
      <c r="BC800" s="511"/>
      <c r="BD800" s="511"/>
      <c r="BE800" s="511"/>
      <c r="BF800" s="511"/>
      <c r="BG800" s="511"/>
      <c r="BH800" s="511"/>
      <c r="BI800" s="511"/>
      <c r="BJ800" s="511"/>
      <c r="BK800" s="511"/>
      <c r="BL800" s="511"/>
      <c r="BM800" s="511"/>
      <c r="BN800" s="511"/>
      <c r="BO800" s="511"/>
      <c r="BP800" s="511"/>
      <c r="BQ800" s="511"/>
      <c r="BR800" s="511"/>
      <c r="BS800" s="511"/>
      <c r="BT800" s="511"/>
      <c r="BU800" s="511"/>
      <c r="BV800" s="511"/>
      <c r="BW800" s="511"/>
      <c r="BX800" s="511"/>
      <c r="BY800" s="511"/>
      <c r="BZ800" s="511"/>
      <c r="CA800" s="511"/>
      <c r="CB800" s="511"/>
      <c r="CC800" s="511"/>
      <c r="CD800" s="511"/>
      <c r="CE800" s="511"/>
      <c r="CF800" s="511"/>
      <c r="CG800" s="511"/>
      <c r="CH800" s="511"/>
      <c r="CI800" s="511"/>
      <c r="CJ800" s="511"/>
      <c r="CK800" s="511"/>
      <c r="CL800" s="511"/>
      <c r="CM800" s="511"/>
      <c r="CN800" s="511"/>
      <c r="CO800" s="511"/>
      <c r="CP800" s="511"/>
      <c r="CQ800" s="511"/>
      <c r="CR800" s="511"/>
      <c r="CS800" s="511"/>
      <c r="CT800" s="511"/>
      <c r="CU800" s="511"/>
      <c r="CV800" s="511"/>
      <c r="CW800" s="511"/>
      <c r="CX800" s="511"/>
      <c r="CY800" s="511"/>
      <c r="CZ800" s="511"/>
      <c r="DA800" s="511"/>
      <c r="DB800" s="511"/>
      <c r="DC800" s="511"/>
      <c r="DD800" s="511"/>
      <c r="DE800" s="511"/>
      <c r="DF800" s="511"/>
      <c r="DG800" s="511"/>
      <c r="DH800" s="511"/>
      <c r="DI800" s="511"/>
      <c r="DJ800" s="511"/>
      <c r="DK800" s="511"/>
      <c r="DL800" s="511"/>
      <c r="DM800" s="511"/>
      <c r="DN800" s="511"/>
      <c r="DO800" s="511"/>
      <c r="DP800" s="511"/>
    </row>
    <row r="801" spans="1:120" x14ac:dyDescent="0.2">
      <c r="A801" s="517">
        <f t="shared" si="109"/>
        <v>42095</v>
      </c>
      <c r="B801" s="517" t="str">
        <f t="shared" si="107"/>
        <v>2Q15</v>
      </c>
      <c r="C801" s="517" t="str">
        <f t="shared" si="110"/>
        <v>2Q15</v>
      </c>
      <c r="D801" s="518">
        <f t="shared" si="111"/>
        <v>42160</v>
      </c>
      <c r="E801" s="518">
        <f t="shared" si="112"/>
        <v>42100</v>
      </c>
      <c r="F801" s="520">
        <v>2.7839999999999998</v>
      </c>
      <c r="G801" s="521">
        <f t="shared" si="108"/>
        <v>0.33000000000000013</v>
      </c>
      <c r="H801" s="521">
        <f t="shared" si="113"/>
        <v>0.33000000000000013</v>
      </c>
      <c r="I801" s="511"/>
      <c r="J801" s="511"/>
      <c r="K801" s="511"/>
      <c r="L801" s="511"/>
      <c r="M801" s="511"/>
      <c r="N801" s="511"/>
      <c r="O801" s="511"/>
      <c r="P801" s="511"/>
      <c r="Q801" s="511"/>
      <c r="R801" s="511"/>
      <c r="S801" s="511"/>
      <c r="T801" s="511"/>
      <c r="U801" s="511"/>
      <c r="V801" s="511"/>
      <c r="W801" s="511"/>
      <c r="X801" s="511"/>
      <c r="Y801" s="511"/>
      <c r="Z801" s="511"/>
      <c r="AA801" s="511"/>
      <c r="AB801" s="511"/>
      <c r="AC801" s="511"/>
      <c r="AD801" s="511"/>
      <c r="AE801" s="511"/>
      <c r="AF801" s="511"/>
      <c r="AG801" s="511"/>
      <c r="AH801" s="511"/>
      <c r="AI801" s="511"/>
      <c r="AJ801" s="511"/>
      <c r="AK801" s="511"/>
      <c r="AL801" s="511"/>
      <c r="AM801" s="511"/>
      <c r="AN801" s="511"/>
      <c r="AO801" s="511"/>
      <c r="AP801" s="511"/>
      <c r="AQ801" s="511"/>
      <c r="AR801" s="511"/>
      <c r="AS801" s="511"/>
      <c r="AT801" s="511"/>
      <c r="AU801" s="511"/>
      <c r="AV801" s="511"/>
      <c r="AW801" s="511"/>
      <c r="AX801" s="511"/>
      <c r="AY801" s="511"/>
      <c r="AZ801" s="511"/>
      <c r="BA801" s="511"/>
      <c r="BB801" s="511"/>
      <c r="BC801" s="511"/>
      <c r="BD801" s="511"/>
      <c r="BE801" s="511"/>
      <c r="BF801" s="511"/>
      <c r="BG801" s="511"/>
      <c r="BH801" s="511"/>
      <c r="BI801" s="511"/>
      <c r="BJ801" s="511"/>
      <c r="BK801" s="511"/>
      <c r="BL801" s="511"/>
      <c r="BM801" s="511"/>
      <c r="BN801" s="511"/>
      <c r="BO801" s="511"/>
      <c r="BP801" s="511"/>
      <c r="BQ801" s="511"/>
      <c r="BR801" s="511"/>
      <c r="BS801" s="511"/>
      <c r="BT801" s="511"/>
      <c r="BU801" s="511"/>
      <c r="BV801" s="511"/>
      <c r="BW801" s="511"/>
      <c r="BX801" s="511"/>
      <c r="BY801" s="511"/>
      <c r="BZ801" s="511"/>
      <c r="CA801" s="511"/>
      <c r="CB801" s="511"/>
      <c r="CC801" s="511"/>
      <c r="CD801" s="511"/>
      <c r="CE801" s="511"/>
      <c r="CF801" s="511"/>
      <c r="CG801" s="511"/>
      <c r="CH801" s="511"/>
      <c r="CI801" s="511"/>
      <c r="CJ801" s="511"/>
      <c r="CK801" s="511"/>
      <c r="CL801" s="511"/>
      <c r="CM801" s="511"/>
      <c r="CN801" s="511"/>
      <c r="CO801" s="511"/>
      <c r="CP801" s="511"/>
      <c r="CQ801" s="511"/>
      <c r="CR801" s="511"/>
      <c r="CS801" s="511"/>
      <c r="CT801" s="511"/>
      <c r="CU801" s="511"/>
      <c r="CV801" s="511"/>
      <c r="CW801" s="511"/>
      <c r="CX801" s="511"/>
      <c r="CY801" s="511"/>
      <c r="CZ801" s="511"/>
      <c r="DA801" s="511"/>
      <c r="DB801" s="511"/>
      <c r="DC801" s="511"/>
      <c r="DD801" s="511"/>
      <c r="DE801" s="511"/>
      <c r="DF801" s="511"/>
      <c r="DG801" s="511"/>
      <c r="DH801" s="511"/>
      <c r="DI801" s="511"/>
      <c r="DJ801" s="511"/>
      <c r="DK801" s="511"/>
      <c r="DL801" s="511"/>
      <c r="DM801" s="511"/>
      <c r="DN801" s="511"/>
      <c r="DO801" s="511"/>
      <c r="DP801" s="511"/>
    </row>
    <row r="802" spans="1:120" x14ac:dyDescent="0.2">
      <c r="A802" s="517">
        <f t="shared" si="109"/>
        <v>42095</v>
      </c>
      <c r="B802" s="517" t="str">
        <f t="shared" si="107"/>
        <v>2Q15</v>
      </c>
      <c r="C802" s="517" t="str">
        <f t="shared" si="110"/>
        <v>2Q15</v>
      </c>
      <c r="D802" s="518">
        <f t="shared" si="111"/>
        <v>42167</v>
      </c>
      <c r="E802" s="518">
        <f t="shared" si="112"/>
        <v>42107</v>
      </c>
      <c r="F802" s="520">
        <v>2.754</v>
      </c>
      <c r="G802" s="521">
        <f t="shared" si="108"/>
        <v>0.33000000000000013</v>
      </c>
      <c r="H802" s="521">
        <f t="shared" si="113"/>
        <v>0.33000000000000013</v>
      </c>
      <c r="I802" s="511"/>
      <c r="J802" s="511"/>
      <c r="K802" s="511"/>
      <c r="L802" s="511"/>
      <c r="M802" s="511"/>
      <c r="N802" s="511"/>
      <c r="O802" s="511"/>
      <c r="P802" s="511"/>
      <c r="Q802" s="511"/>
      <c r="R802" s="511"/>
      <c r="S802" s="511"/>
      <c r="T802" s="511"/>
      <c r="U802" s="511"/>
      <c r="V802" s="511"/>
      <c r="W802" s="511"/>
      <c r="X802" s="511"/>
      <c r="Y802" s="511"/>
      <c r="Z802" s="511"/>
      <c r="AA802" s="511"/>
      <c r="AB802" s="511"/>
      <c r="AC802" s="511"/>
      <c r="AD802" s="511"/>
      <c r="AE802" s="511"/>
      <c r="AF802" s="511"/>
      <c r="AG802" s="511"/>
      <c r="AH802" s="511"/>
      <c r="AI802" s="511"/>
      <c r="AJ802" s="511"/>
      <c r="AK802" s="511"/>
      <c r="AL802" s="511"/>
      <c r="AM802" s="511"/>
      <c r="AN802" s="511"/>
      <c r="AO802" s="511"/>
      <c r="AP802" s="511"/>
      <c r="AQ802" s="511"/>
      <c r="AR802" s="511"/>
      <c r="AS802" s="511"/>
      <c r="AT802" s="511"/>
      <c r="AU802" s="511"/>
      <c r="AV802" s="511"/>
      <c r="AW802" s="511"/>
      <c r="AX802" s="511"/>
      <c r="AY802" s="511"/>
      <c r="AZ802" s="511"/>
      <c r="BA802" s="511"/>
      <c r="BB802" s="511"/>
      <c r="BC802" s="511"/>
      <c r="BD802" s="511"/>
      <c r="BE802" s="511"/>
      <c r="BF802" s="511"/>
      <c r="BG802" s="511"/>
      <c r="BH802" s="511"/>
      <c r="BI802" s="511"/>
      <c r="BJ802" s="511"/>
      <c r="BK802" s="511"/>
      <c r="BL802" s="511"/>
      <c r="BM802" s="511"/>
      <c r="BN802" s="511"/>
      <c r="BO802" s="511"/>
      <c r="BP802" s="511"/>
      <c r="BQ802" s="511"/>
      <c r="BR802" s="511"/>
      <c r="BS802" s="511"/>
      <c r="BT802" s="511"/>
      <c r="BU802" s="511"/>
      <c r="BV802" s="511"/>
      <c r="BW802" s="511"/>
      <c r="BX802" s="511"/>
      <c r="BY802" s="511"/>
      <c r="BZ802" s="511"/>
      <c r="CA802" s="511"/>
      <c r="CB802" s="511"/>
      <c r="CC802" s="511"/>
      <c r="CD802" s="511"/>
      <c r="CE802" s="511"/>
      <c r="CF802" s="511"/>
      <c r="CG802" s="511"/>
      <c r="CH802" s="511"/>
      <c r="CI802" s="511"/>
      <c r="CJ802" s="511"/>
      <c r="CK802" s="511"/>
      <c r="CL802" s="511"/>
      <c r="CM802" s="511"/>
      <c r="CN802" s="511"/>
      <c r="CO802" s="511"/>
      <c r="CP802" s="511"/>
      <c r="CQ802" s="511"/>
      <c r="CR802" s="511"/>
      <c r="CS802" s="511"/>
      <c r="CT802" s="511"/>
      <c r="CU802" s="511"/>
      <c r="CV802" s="511"/>
      <c r="CW802" s="511"/>
      <c r="CX802" s="511"/>
      <c r="CY802" s="511"/>
      <c r="CZ802" s="511"/>
      <c r="DA802" s="511"/>
      <c r="DB802" s="511"/>
      <c r="DC802" s="511"/>
      <c r="DD802" s="511"/>
      <c r="DE802" s="511"/>
      <c r="DF802" s="511"/>
      <c r="DG802" s="511"/>
      <c r="DH802" s="511"/>
      <c r="DI802" s="511"/>
      <c r="DJ802" s="511"/>
      <c r="DK802" s="511"/>
      <c r="DL802" s="511"/>
      <c r="DM802" s="511"/>
      <c r="DN802" s="511"/>
      <c r="DO802" s="511"/>
      <c r="DP802" s="511"/>
    </row>
    <row r="803" spans="1:120" x14ac:dyDescent="0.2">
      <c r="A803" s="517">
        <f t="shared" si="109"/>
        <v>42095</v>
      </c>
      <c r="B803" s="517" t="str">
        <f t="shared" si="107"/>
        <v>2Q15</v>
      </c>
      <c r="C803" s="517" t="str">
        <f t="shared" si="110"/>
        <v>2Q15</v>
      </c>
      <c r="D803" s="518">
        <f t="shared" si="111"/>
        <v>42174</v>
      </c>
      <c r="E803" s="518">
        <f t="shared" si="112"/>
        <v>42114</v>
      </c>
      <c r="F803" s="520">
        <v>2.78</v>
      </c>
      <c r="G803" s="521">
        <f t="shared" si="108"/>
        <v>0.33000000000000013</v>
      </c>
      <c r="H803" s="521">
        <f t="shared" si="113"/>
        <v>0.34000000000000014</v>
      </c>
      <c r="I803" s="511"/>
      <c r="J803" s="511"/>
      <c r="K803" s="511"/>
      <c r="L803" s="511"/>
      <c r="M803" s="511"/>
      <c r="N803" s="511"/>
      <c r="O803" s="511"/>
      <c r="P803" s="511"/>
      <c r="Q803" s="511"/>
      <c r="R803" s="511"/>
      <c r="S803" s="511"/>
      <c r="T803" s="511"/>
      <c r="U803" s="511"/>
      <c r="V803" s="511"/>
      <c r="W803" s="511"/>
      <c r="X803" s="511"/>
      <c r="Y803" s="511"/>
      <c r="Z803" s="511"/>
      <c r="AA803" s="511"/>
      <c r="AB803" s="511"/>
      <c r="AC803" s="511"/>
      <c r="AD803" s="511"/>
      <c r="AE803" s="511"/>
      <c r="AF803" s="511"/>
      <c r="AG803" s="511"/>
      <c r="AH803" s="511"/>
      <c r="AI803" s="511"/>
      <c r="AJ803" s="511"/>
      <c r="AK803" s="511"/>
      <c r="AL803" s="511"/>
      <c r="AM803" s="511"/>
      <c r="AN803" s="511"/>
      <c r="AO803" s="511"/>
      <c r="AP803" s="511"/>
      <c r="AQ803" s="511"/>
      <c r="AR803" s="511"/>
      <c r="AS803" s="511"/>
      <c r="AT803" s="511"/>
      <c r="AU803" s="511"/>
      <c r="AV803" s="511"/>
      <c r="AW803" s="511"/>
      <c r="AX803" s="511"/>
      <c r="AY803" s="511"/>
      <c r="AZ803" s="511"/>
      <c r="BA803" s="511"/>
      <c r="BB803" s="511"/>
      <c r="BC803" s="511"/>
      <c r="BD803" s="511"/>
      <c r="BE803" s="511"/>
      <c r="BF803" s="511"/>
      <c r="BG803" s="511"/>
      <c r="BH803" s="511"/>
      <c r="BI803" s="511"/>
      <c r="BJ803" s="511"/>
      <c r="BK803" s="511"/>
      <c r="BL803" s="511"/>
      <c r="BM803" s="511"/>
      <c r="BN803" s="511"/>
      <c r="BO803" s="511"/>
      <c r="BP803" s="511"/>
      <c r="BQ803" s="511"/>
      <c r="BR803" s="511"/>
      <c r="BS803" s="511"/>
      <c r="BT803" s="511"/>
      <c r="BU803" s="511"/>
      <c r="BV803" s="511"/>
      <c r="BW803" s="511"/>
      <c r="BX803" s="511"/>
      <c r="BY803" s="511"/>
      <c r="BZ803" s="511"/>
      <c r="CA803" s="511"/>
      <c r="CB803" s="511"/>
      <c r="CC803" s="511"/>
      <c r="CD803" s="511"/>
      <c r="CE803" s="511"/>
      <c r="CF803" s="511"/>
      <c r="CG803" s="511"/>
      <c r="CH803" s="511"/>
      <c r="CI803" s="511"/>
      <c r="CJ803" s="511"/>
      <c r="CK803" s="511"/>
      <c r="CL803" s="511"/>
      <c r="CM803" s="511"/>
      <c r="CN803" s="511"/>
      <c r="CO803" s="511"/>
      <c r="CP803" s="511"/>
      <c r="CQ803" s="511"/>
      <c r="CR803" s="511"/>
      <c r="CS803" s="511"/>
      <c r="CT803" s="511"/>
      <c r="CU803" s="511"/>
      <c r="CV803" s="511"/>
      <c r="CW803" s="511"/>
      <c r="CX803" s="511"/>
      <c r="CY803" s="511"/>
      <c r="CZ803" s="511"/>
      <c r="DA803" s="511"/>
      <c r="DB803" s="511"/>
      <c r="DC803" s="511"/>
      <c r="DD803" s="511"/>
      <c r="DE803" s="511"/>
      <c r="DF803" s="511"/>
      <c r="DG803" s="511"/>
      <c r="DH803" s="511"/>
      <c r="DI803" s="511"/>
      <c r="DJ803" s="511"/>
      <c r="DK803" s="511"/>
      <c r="DL803" s="511"/>
      <c r="DM803" s="511"/>
      <c r="DN803" s="511"/>
      <c r="DO803" s="511"/>
      <c r="DP803" s="511"/>
    </row>
    <row r="804" spans="1:120" x14ac:dyDescent="0.2">
      <c r="A804" s="517">
        <f t="shared" si="109"/>
        <v>42095</v>
      </c>
      <c r="B804" s="517" t="str">
        <f t="shared" si="107"/>
        <v>2Q15</v>
      </c>
      <c r="C804" s="517" t="str">
        <f t="shared" si="110"/>
        <v>2Q15</v>
      </c>
      <c r="D804" s="518">
        <f t="shared" si="111"/>
        <v>42181</v>
      </c>
      <c r="E804" s="518">
        <f t="shared" si="112"/>
        <v>42121</v>
      </c>
      <c r="F804" s="520">
        <v>2.8109999999999999</v>
      </c>
      <c r="G804" s="521">
        <f t="shared" si="108"/>
        <v>0.34000000000000014</v>
      </c>
      <c r="H804" s="521">
        <f t="shared" si="113"/>
        <v>0.35000000000000014</v>
      </c>
      <c r="I804" s="511"/>
      <c r="J804" s="511"/>
      <c r="K804" s="511"/>
      <c r="L804" s="511"/>
      <c r="M804" s="511"/>
      <c r="N804" s="511"/>
      <c r="O804" s="511"/>
      <c r="P804" s="511"/>
      <c r="Q804" s="511"/>
      <c r="R804" s="511"/>
      <c r="S804" s="511"/>
      <c r="T804" s="511"/>
      <c r="U804" s="511"/>
      <c r="V804" s="511"/>
      <c r="W804" s="511"/>
      <c r="X804" s="511"/>
      <c r="Y804" s="511"/>
      <c r="Z804" s="511"/>
      <c r="AA804" s="511"/>
      <c r="AB804" s="511"/>
      <c r="AC804" s="511"/>
      <c r="AD804" s="511"/>
      <c r="AE804" s="511"/>
      <c r="AF804" s="511"/>
      <c r="AG804" s="511"/>
      <c r="AH804" s="511"/>
      <c r="AI804" s="511"/>
      <c r="AJ804" s="511"/>
      <c r="AK804" s="511"/>
      <c r="AL804" s="511"/>
      <c r="AM804" s="511"/>
      <c r="AN804" s="511"/>
      <c r="AO804" s="511"/>
      <c r="AP804" s="511"/>
      <c r="AQ804" s="511"/>
      <c r="AR804" s="511"/>
      <c r="AS804" s="511"/>
      <c r="AT804" s="511"/>
      <c r="AU804" s="511"/>
      <c r="AV804" s="511"/>
      <c r="AW804" s="511"/>
      <c r="AX804" s="511"/>
      <c r="AY804" s="511"/>
      <c r="AZ804" s="511"/>
      <c r="BA804" s="511"/>
      <c r="BB804" s="511"/>
      <c r="BC804" s="511"/>
      <c r="BD804" s="511"/>
      <c r="BE804" s="511"/>
      <c r="BF804" s="511"/>
      <c r="BG804" s="511"/>
      <c r="BH804" s="511"/>
      <c r="BI804" s="511"/>
      <c r="BJ804" s="511"/>
      <c r="BK804" s="511"/>
      <c r="BL804" s="511"/>
      <c r="BM804" s="511"/>
      <c r="BN804" s="511"/>
      <c r="BO804" s="511"/>
      <c r="BP804" s="511"/>
      <c r="BQ804" s="511"/>
      <c r="BR804" s="511"/>
      <c r="BS804" s="511"/>
      <c r="BT804" s="511"/>
      <c r="BU804" s="511"/>
      <c r="BV804" s="511"/>
      <c r="BW804" s="511"/>
      <c r="BX804" s="511"/>
      <c r="BY804" s="511"/>
      <c r="BZ804" s="511"/>
      <c r="CA804" s="511"/>
      <c r="CB804" s="511"/>
      <c r="CC804" s="511"/>
      <c r="CD804" s="511"/>
      <c r="CE804" s="511"/>
      <c r="CF804" s="511"/>
      <c r="CG804" s="511"/>
      <c r="CH804" s="511"/>
      <c r="CI804" s="511"/>
      <c r="CJ804" s="511"/>
      <c r="CK804" s="511"/>
      <c r="CL804" s="511"/>
      <c r="CM804" s="511"/>
      <c r="CN804" s="511"/>
      <c r="CO804" s="511"/>
      <c r="CP804" s="511"/>
      <c r="CQ804" s="511"/>
      <c r="CR804" s="511"/>
      <c r="CS804" s="511"/>
      <c r="CT804" s="511"/>
      <c r="CU804" s="511"/>
      <c r="CV804" s="511"/>
      <c r="CW804" s="511"/>
      <c r="CX804" s="511"/>
      <c r="CY804" s="511"/>
      <c r="CZ804" s="511"/>
      <c r="DA804" s="511"/>
      <c r="DB804" s="511"/>
      <c r="DC804" s="511"/>
      <c r="DD804" s="511"/>
      <c r="DE804" s="511"/>
      <c r="DF804" s="511"/>
      <c r="DG804" s="511"/>
      <c r="DH804" s="511"/>
      <c r="DI804" s="511"/>
      <c r="DJ804" s="511"/>
      <c r="DK804" s="511"/>
      <c r="DL804" s="511"/>
      <c r="DM804" s="511"/>
      <c r="DN804" s="511"/>
      <c r="DO804" s="511"/>
      <c r="DP804" s="511"/>
    </row>
    <row r="805" spans="1:120" x14ac:dyDescent="0.2">
      <c r="A805" s="517">
        <f t="shared" si="109"/>
        <v>42125</v>
      </c>
      <c r="B805" s="517" t="str">
        <f t="shared" si="107"/>
        <v>2Q15</v>
      </c>
      <c r="C805" s="517" t="str">
        <f t="shared" si="110"/>
        <v>3Q15</v>
      </c>
      <c r="D805" s="518">
        <f t="shared" si="111"/>
        <v>42188</v>
      </c>
      <c r="E805" s="518">
        <f t="shared" si="112"/>
        <v>42128</v>
      </c>
      <c r="F805" s="520">
        <v>2.8540000000000001</v>
      </c>
      <c r="G805" s="521">
        <f t="shared" si="108"/>
        <v>0.35000000000000014</v>
      </c>
      <c r="H805" s="521">
        <f t="shared" si="113"/>
        <v>0.35000000000000014</v>
      </c>
      <c r="I805" s="511"/>
      <c r="J805" s="511"/>
      <c r="K805" s="511"/>
      <c r="L805" s="511"/>
      <c r="M805" s="511"/>
      <c r="N805" s="511"/>
      <c r="O805" s="511"/>
      <c r="P805" s="511"/>
      <c r="Q805" s="511"/>
      <c r="R805" s="511"/>
      <c r="S805" s="511"/>
      <c r="T805" s="511"/>
      <c r="U805" s="511"/>
      <c r="V805" s="511"/>
      <c r="W805" s="511"/>
      <c r="X805" s="511"/>
      <c r="Y805" s="511"/>
      <c r="Z805" s="511"/>
      <c r="AA805" s="511"/>
      <c r="AB805" s="511"/>
      <c r="AC805" s="511"/>
      <c r="AD805" s="511"/>
      <c r="AE805" s="511"/>
      <c r="AF805" s="511"/>
      <c r="AG805" s="511"/>
      <c r="AH805" s="511"/>
      <c r="AI805" s="511"/>
      <c r="AJ805" s="511"/>
      <c r="AK805" s="511"/>
      <c r="AL805" s="511"/>
      <c r="AM805" s="511"/>
      <c r="AN805" s="511"/>
      <c r="AO805" s="511"/>
      <c r="AP805" s="511"/>
      <c r="AQ805" s="511"/>
      <c r="AR805" s="511"/>
      <c r="AS805" s="511"/>
      <c r="AT805" s="511"/>
      <c r="AU805" s="511"/>
      <c r="AV805" s="511"/>
      <c r="AW805" s="511"/>
      <c r="AX805" s="511"/>
      <c r="AY805" s="511"/>
      <c r="AZ805" s="511"/>
      <c r="BA805" s="511"/>
      <c r="BB805" s="511"/>
      <c r="BC805" s="511"/>
      <c r="BD805" s="511"/>
      <c r="BE805" s="511"/>
      <c r="BF805" s="511"/>
      <c r="BG805" s="511"/>
      <c r="BH805" s="511"/>
      <c r="BI805" s="511"/>
      <c r="BJ805" s="511"/>
      <c r="BK805" s="511"/>
      <c r="BL805" s="511"/>
      <c r="BM805" s="511"/>
      <c r="BN805" s="511"/>
      <c r="BO805" s="511"/>
      <c r="BP805" s="511"/>
      <c r="BQ805" s="511"/>
      <c r="BR805" s="511"/>
      <c r="BS805" s="511"/>
      <c r="BT805" s="511"/>
      <c r="BU805" s="511"/>
      <c r="BV805" s="511"/>
      <c r="BW805" s="511"/>
      <c r="BX805" s="511"/>
      <c r="BY805" s="511"/>
      <c r="BZ805" s="511"/>
      <c r="CA805" s="511"/>
      <c r="CB805" s="511"/>
      <c r="CC805" s="511"/>
      <c r="CD805" s="511"/>
      <c r="CE805" s="511"/>
      <c r="CF805" s="511"/>
      <c r="CG805" s="511"/>
      <c r="CH805" s="511"/>
      <c r="CI805" s="511"/>
      <c r="CJ805" s="511"/>
      <c r="CK805" s="511"/>
      <c r="CL805" s="511"/>
      <c r="CM805" s="511"/>
      <c r="CN805" s="511"/>
      <c r="CO805" s="511"/>
      <c r="CP805" s="511"/>
      <c r="CQ805" s="511"/>
      <c r="CR805" s="511"/>
      <c r="CS805" s="511"/>
      <c r="CT805" s="511"/>
      <c r="CU805" s="511"/>
      <c r="CV805" s="511"/>
      <c r="CW805" s="511"/>
      <c r="CX805" s="511"/>
      <c r="CY805" s="511"/>
      <c r="CZ805" s="511"/>
      <c r="DA805" s="511"/>
      <c r="DB805" s="511"/>
      <c r="DC805" s="511"/>
      <c r="DD805" s="511"/>
      <c r="DE805" s="511"/>
      <c r="DF805" s="511"/>
      <c r="DG805" s="511"/>
      <c r="DH805" s="511"/>
      <c r="DI805" s="511"/>
      <c r="DJ805" s="511"/>
      <c r="DK805" s="511"/>
      <c r="DL805" s="511"/>
      <c r="DM805" s="511"/>
      <c r="DN805" s="511"/>
      <c r="DO805" s="511"/>
      <c r="DP805" s="511"/>
    </row>
    <row r="806" spans="1:120" x14ac:dyDescent="0.2">
      <c r="A806" s="517">
        <f t="shared" si="109"/>
        <v>42125</v>
      </c>
      <c r="B806" s="517" t="str">
        <f t="shared" si="107"/>
        <v>2Q15</v>
      </c>
      <c r="C806" s="517" t="str">
        <f t="shared" si="110"/>
        <v>3Q15</v>
      </c>
      <c r="D806" s="518">
        <f t="shared" si="111"/>
        <v>42195</v>
      </c>
      <c r="E806" s="518">
        <f t="shared" si="112"/>
        <v>42135</v>
      </c>
      <c r="F806" s="520">
        <v>2.8780000000000001</v>
      </c>
      <c r="G806" s="521">
        <f t="shared" si="108"/>
        <v>0.35000000000000014</v>
      </c>
      <c r="H806" s="521">
        <f t="shared" si="113"/>
        <v>0.36000000000000015</v>
      </c>
      <c r="I806" s="511"/>
      <c r="J806" s="511"/>
      <c r="K806" s="511"/>
      <c r="L806" s="511"/>
      <c r="M806" s="511"/>
      <c r="N806" s="511"/>
      <c r="O806" s="511"/>
      <c r="P806" s="511"/>
      <c r="Q806" s="511"/>
      <c r="R806" s="511"/>
      <c r="S806" s="511"/>
      <c r="T806" s="511"/>
      <c r="U806" s="511"/>
      <c r="V806" s="511"/>
      <c r="W806" s="511"/>
      <c r="X806" s="511"/>
      <c r="Y806" s="511"/>
      <c r="Z806" s="511"/>
      <c r="AA806" s="511"/>
      <c r="AB806" s="511"/>
      <c r="AC806" s="511"/>
      <c r="AD806" s="511"/>
      <c r="AE806" s="511"/>
      <c r="AF806" s="511"/>
      <c r="AG806" s="511"/>
      <c r="AH806" s="511"/>
      <c r="AI806" s="511"/>
      <c r="AJ806" s="511"/>
      <c r="AK806" s="511"/>
      <c r="AL806" s="511"/>
      <c r="AM806" s="511"/>
      <c r="AN806" s="511"/>
      <c r="AO806" s="511"/>
      <c r="AP806" s="511"/>
      <c r="AQ806" s="511"/>
      <c r="AR806" s="511"/>
      <c r="AS806" s="511"/>
      <c r="AT806" s="511"/>
      <c r="AU806" s="511"/>
      <c r="AV806" s="511"/>
      <c r="AW806" s="511"/>
      <c r="AX806" s="511"/>
      <c r="AY806" s="511"/>
      <c r="AZ806" s="511"/>
      <c r="BA806" s="511"/>
      <c r="BB806" s="511"/>
      <c r="BC806" s="511"/>
      <c r="BD806" s="511"/>
      <c r="BE806" s="511"/>
      <c r="BF806" s="511"/>
      <c r="BG806" s="511"/>
      <c r="BH806" s="511"/>
      <c r="BI806" s="511"/>
      <c r="BJ806" s="511"/>
      <c r="BK806" s="511"/>
      <c r="BL806" s="511"/>
      <c r="BM806" s="511"/>
      <c r="BN806" s="511"/>
      <c r="BO806" s="511"/>
      <c r="BP806" s="511"/>
      <c r="BQ806" s="511"/>
      <c r="BR806" s="511"/>
      <c r="BS806" s="511"/>
      <c r="BT806" s="511"/>
      <c r="BU806" s="511"/>
      <c r="BV806" s="511"/>
      <c r="BW806" s="511"/>
      <c r="BX806" s="511"/>
      <c r="BY806" s="511"/>
      <c r="BZ806" s="511"/>
      <c r="CA806" s="511"/>
      <c r="CB806" s="511"/>
      <c r="CC806" s="511"/>
      <c r="CD806" s="511"/>
      <c r="CE806" s="511"/>
      <c r="CF806" s="511"/>
      <c r="CG806" s="511"/>
      <c r="CH806" s="511"/>
      <c r="CI806" s="511"/>
      <c r="CJ806" s="511"/>
      <c r="CK806" s="511"/>
      <c r="CL806" s="511"/>
      <c r="CM806" s="511"/>
      <c r="CN806" s="511"/>
      <c r="CO806" s="511"/>
      <c r="CP806" s="511"/>
      <c r="CQ806" s="511"/>
      <c r="CR806" s="511"/>
      <c r="CS806" s="511"/>
      <c r="CT806" s="511"/>
      <c r="CU806" s="511"/>
      <c r="CV806" s="511"/>
      <c r="CW806" s="511"/>
      <c r="CX806" s="511"/>
      <c r="CY806" s="511"/>
      <c r="CZ806" s="511"/>
      <c r="DA806" s="511"/>
      <c r="DB806" s="511"/>
      <c r="DC806" s="511"/>
      <c r="DD806" s="511"/>
      <c r="DE806" s="511"/>
      <c r="DF806" s="511"/>
      <c r="DG806" s="511"/>
      <c r="DH806" s="511"/>
      <c r="DI806" s="511"/>
      <c r="DJ806" s="511"/>
      <c r="DK806" s="511"/>
      <c r="DL806" s="511"/>
      <c r="DM806" s="511"/>
      <c r="DN806" s="511"/>
      <c r="DO806" s="511"/>
      <c r="DP806" s="511"/>
    </row>
    <row r="807" spans="1:120" x14ac:dyDescent="0.2">
      <c r="A807" s="517">
        <f t="shared" si="109"/>
        <v>42125</v>
      </c>
      <c r="B807" s="517" t="str">
        <f t="shared" si="107"/>
        <v>2Q15</v>
      </c>
      <c r="C807" s="517" t="str">
        <f t="shared" si="110"/>
        <v>3Q15</v>
      </c>
      <c r="D807" s="518">
        <f t="shared" si="111"/>
        <v>42202</v>
      </c>
      <c r="E807" s="518">
        <f t="shared" si="112"/>
        <v>42142</v>
      </c>
      <c r="F807" s="520">
        <v>2.9039999999999999</v>
      </c>
      <c r="G807" s="521">
        <f t="shared" si="108"/>
        <v>0.36000000000000015</v>
      </c>
      <c r="H807" s="521">
        <f t="shared" si="113"/>
        <v>0.36000000000000015</v>
      </c>
      <c r="I807" s="511"/>
      <c r="J807" s="511"/>
      <c r="K807" s="511"/>
      <c r="L807" s="511"/>
      <c r="M807" s="511"/>
      <c r="N807" s="511"/>
      <c r="O807" s="511"/>
      <c r="P807" s="511"/>
      <c r="Q807" s="511"/>
      <c r="R807" s="511"/>
      <c r="S807" s="511"/>
      <c r="T807" s="511"/>
      <c r="U807" s="511"/>
      <c r="V807" s="511"/>
      <c r="W807" s="511"/>
      <c r="X807" s="511"/>
      <c r="Y807" s="511"/>
      <c r="Z807" s="511"/>
      <c r="AA807" s="511"/>
      <c r="AB807" s="511"/>
      <c r="AC807" s="511"/>
      <c r="AD807" s="511"/>
      <c r="AE807" s="511"/>
      <c r="AF807" s="511"/>
      <c r="AG807" s="511"/>
      <c r="AH807" s="511"/>
      <c r="AI807" s="511"/>
      <c r="AJ807" s="511"/>
      <c r="AK807" s="511"/>
      <c r="AL807" s="511"/>
      <c r="AM807" s="511"/>
      <c r="AN807" s="511"/>
      <c r="AO807" s="511"/>
      <c r="AP807" s="511"/>
      <c r="AQ807" s="511"/>
      <c r="AR807" s="511"/>
      <c r="AS807" s="511"/>
      <c r="AT807" s="511"/>
      <c r="AU807" s="511"/>
      <c r="AV807" s="511"/>
      <c r="AW807" s="511"/>
      <c r="AX807" s="511"/>
      <c r="AY807" s="511"/>
      <c r="AZ807" s="511"/>
      <c r="BA807" s="511"/>
      <c r="BB807" s="511"/>
      <c r="BC807" s="511"/>
      <c r="BD807" s="511"/>
      <c r="BE807" s="511"/>
      <c r="BF807" s="511"/>
      <c r="BG807" s="511"/>
      <c r="BH807" s="511"/>
      <c r="BI807" s="511"/>
      <c r="BJ807" s="511"/>
      <c r="BK807" s="511"/>
      <c r="BL807" s="511"/>
      <c r="BM807" s="511"/>
      <c r="BN807" s="511"/>
      <c r="BO807" s="511"/>
      <c r="BP807" s="511"/>
      <c r="BQ807" s="511"/>
      <c r="BR807" s="511"/>
      <c r="BS807" s="511"/>
      <c r="BT807" s="511"/>
      <c r="BU807" s="511"/>
      <c r="BV807" s="511"/>
      <c r="BW807" s="511"/>
      <c r="BX807" s="511"/>
      <c r="BY807" s="511"/>
      <c r="BZ807" s="511"/>
      <c r="CA807" s="511"/>
      <c r="CB807" s="511"/>
      <c r="CC807" s="511"/>
      <c r="CD807" s="511"/>
      <c r="CE807" s="511"/>
      <c r="CF807" s="511"/>
      <c r="CG807" s="511"/>
      <c r="CH807" s="511"/>
      <c r="CI807" s="511"/>
      <c r="CJ807" s="511"/>
      <c r="CK807" s="511"/>
      <c r="CL807" s="511"/>
      <c r="CM807" s="511"/>
      <c r="CN807" s="511"/>
      <c r="CO807" s="511"/>
      <c r="CP807" s="511"/>
      <c r="CQ807" s="511"/>
      <c r="CR807" s="511"/>
      <c r="CS807" s="511"/>
      <c r="CT807" s="511"/>
      <c r="CU807" s="511"/>
      <c r="CV807" s="511"/>
      <c r="CW807" s="511"/>
      <c r="CX807" s="511"/>
      <c r="CY807" s="511"/>
      <c r="CZ807" s="511"/>
      <c r="DA807" s="511"/>
      <c r="DB807" s="511"/>
      <c r="DC807" s="511"/>
      <c r="DD807" s="511"/>
      <c r="DE807" s="511"/>
      <c r="DF807" s="511"/>
      <c r="DG807" s="511"/>
      <c r="DH807" s="511"/>
      <c r="DI807" s="511"/>
      <c r="DJ807" s="511"/>
      <c r="DK807" s="511"/>
      <c r="DL807" s="511"/>
      <c r="DM807" s="511"/>
      <c r="DN807" s="511"/>
      <c r="DO807" s="511"/>
      <c r="DP807" s="511"/>
    </row>
    <row r="808" spans="1:120" x14ac:dyDescent="0.2">
      <c r="A808" s="517">
        <f t="shared" si="109"/>
        <v>42125</v>
      </c>
      <c r="B808" s="517" t="str">
        <f t="shared" si="107"/>
        <v>2Q15</v>
      </c>
      <c r="C808" s="517" t="str">
        <f t="shared" si="110"/>
        <v>3Q15</v>
      </c>
      <c r="D808" s="518">
        <f t="shared" si="111"/>
        <v>42209</v>
      </c>
      <c r="E808" s="518">
        <f t="shared" si="112"/>
        <v>42149</v>
      </c>
      <c r="F808" s="520">
        <v>2.9140000000000001</v>
      </c>
      <c r="G808" s="521">
        <f t="shared" si="108"/>
        <v>0.36000000000000015</v>
      </c>
      <c r="H808" s="521">
        <f t="shared" si="113"/>
        <v>0.36000000000000015</v>
      </c>
      <c r="I808" s="511"/>
      <c r="J808" s="511"/>
      <c r="K808" s="511"/>
      <c r="L808" s="511"/>
      <c r="M808" s="511"/>
      <c r="N808" s="511"/>
      <c r="O808" s="511"/>
      <c r="P808" s="511"/>
      <c r="Q808" s="511"/>
      <c r="R808" s="511"/>
      <c r="S808" s="511"/>
      <c r="T808" s="511"/>
      <c r="U808" s="511"/>
      <c r="V808" s="511"/>
      <c r="W808" s="511"/>
      <c r="X808" s="511"/>
      <c r="Y808" s="511"/>
      <c r="Z808" s="511"/>
      <c r="AA808" s="511"/>
      <c r="AB808" s="511"/>
      <c r="AC808" s="511"/>
      <c r="AD808" s="511"/>
      <c r="AE808" s="511"/>
      <c r="AF808" s="511"/>
      <c r="AG808" s="511"/>
      <c r="AH808" s="511"/>
      <c r="AI808" s="511"/>
      <c r="AJ808" s="511"/>
      <c r="AK808" s="511"/>
      <c r="AL808" s="511"/>
      <c r="AM808" s="511"/>
      <c r="AN808" s="511"/>
      <c r="AO808" s="511"/>
      <c r="AP808" s="511"/>
      <c r="AQ808" s="511"/>
      <c r="AR808" s="511"/>
      <c r="AS808" s="511"/>
      <c r="AT808" s="511"/>
      <c r="AU808" s="511"/>
      <c r="AV808" s="511"/>
      <c r="AW808" s="511"/>
      <c r="AX808" s="511"/>
      <c r="AY808" s="511"/>
      <c r="AZ808" s="511"/>
      <c r="BA808" s="511"/>
      <c r="BB808" s="511"/>
      <c r="BC808" s="511"/>
      <c r="BD808" s="511"/>
      <c r="BE808" s="511"/>
      <c r="BF808" s="511"/>
      <c r="BG808" s="511"/>
      <c r="BH808" s="511"/>
      <c r="BI808" s="511"/>
      <c r="BJ808" s="511"/>
      <c r="BK808" s="511"/>
      <c r="BL808" s="511"/>
      <c r="BM808" s="511"/>
      <c r="BN808" s="511"/>
      <c r="BO808" s="511"/>
      <c r="BP808" s="511"/>
      <c r="BQ808" s="511"/>
      <c r="BR808" s="511"/>
      <c r="BS808" s="511"/>
      <c r="BT808" s="511"/>
      <c r="BU808" s="511"/>
      <c r="BV808" s="511"/>
      <c r="BW808" s="511"/>
      <c r="BX808" s="511"/>
      <c r="BY808" s="511"/>
      <c r="BZ808" s="511"/>
      <c r="CA808" s="511"/>
      <c r="CB808" s="511"/>
      <c r="CC808" s="511"/>
      <c r="CD808" s="511"/>
      <c r="CE808" s="511"/>
      <c r="CF808" s="511"/>
      <c r="CG808" s="511"/>
      <c r="CH808" s="511"/>
      <c r="CI808" s="511"/>
      <c r="CJ808" s="511"/>
      <c r="CK808" s="511"/>
      <c r="CL808" s="511"/>
      <c r="CM808" s="511"/>
      <c r="CN808" s="511"/>
      <c r="CO808" s="511"/>
      <c r="CP808" s="511"/>
      <c r="CQ808" s="511"/>
      <c r="CR808" s="511"/>
      <c r="CS808" s="511"/>
      <c r="CT808" s="511"/>
      <c r="CU808" s="511"/>
      <c r="CV808" s="511"/>
      <c r="CW808" s="511"/>
      <c r="CX808" s="511"/>
      <c r="CY808" s="511"/>
      <c r="CZ808" s="511"/>
      <c r="DA808" s="511"/>
      <c r="DB808" s="511"/>
      <c r="DC808" s="511"/>
      <c r="DD808" s="511"/>
      <c r="DE808" s="511"/>
      <c r="DF808" s="511"/>
      <c r="DG808" s="511"/>
      <c r="DH808" s="511"/>
      <c r="DI808" s="511"/>
      <c r="DJ808" s="511"/>
      <c r="DK808" s="511"/>
      <c r="DL808" s="511"/>
      <c r="DM808" s="511"/>
      <c r="DN808" s="511"/>
      <c r="DO808" s="511"/>
      <c r="DP808" s="511"/>
    </row>
    <row r="809" spans="1:120" x14ac:dyDescent="0.2">
      <c r="A809" s="517">
        <f t="shared" si="109"/>
        <v>42156</v>
      </c>
      <c r="B809" s="517" t="str">
        <f t="shared" si="107"/>
        <v>2Q15</v>
      </c>
      <c r="C809" s="517" t="str">
        <f t="shared" si="110"/>
        <v>3Q15</v>
      </c>
      <c r="D809" s="518">
        <f t="shared" si="111"/>
        <v>42216</v>
      </c>
      <c r="E809" s="518">
        <f t="shared" si="112"/>
        <v>42156</v>
      </c>
      <c r="F809" s="520">
        <v>2.9089999999999998</v>
      </c>
      <c r="G809" s="521">
        <f t="shared" si="108"/>
        <v>0.36000000000000015</v>
      </c>
      <c r="H809" s="521">
        <f t="shared" si="113"/>
        <v>0.35000000000000014</v>
      </c>
      <c r="I809" s="511"/>
      <c r="J809" s="511"/>
      <c r="K809" s="511"/>
      <c r="L809" s="511"/>
      <c r="M809" s="511"/>
      <c r="N809" s="511"/>
      <c r="O809" s="511"/>
      <c r="P809" s="511"/>
      <c r="Q809" s="511"/>
      <c r="R809" s="511"/>
      <c r="S809" s="511"/>
      <c r="T809" s="511"/>
      <c r="U809" s="511"/>
      <c r="V809" s="511"/>
      <c r="W809" s="511"/>
      <c r="X809" s="511"/>
      <c r="Y809" s="511"/>
      <c r="Z809" s="511"/>
      <c r="AA809" s="511"/>
      <c r="AB809" s="511"/>
      <c r="AC809" s="511"/>
      <c r="AD809" s="511"/>
      <c r="AE809" s="511"/>
      <c r="AF809" s="511"/>
      <c r="AG809" s="511"/>
      <c r="AH809" s="511"/>
      <c r="AI809" s="511"/>
      <c r="AJ809" s="511"/>
      <c r="AK809" s="511"/>
      <c r="AL809" s="511"/>
      <c r="AM809" s="511"/>
      <c r="AN809" s="511"/>
      <c r="AO809" s="511"/>
      <c r="AP809" s="511"/>
      <c r="AQ809" s="511"/>
      <c r="AR809" s="511"/>
      <c r="AS809" s="511"/>
      <c r="AT809" s="511"/>
      <c r="AU809" s="511"/>
      <c r="AV809" s="511"/>
      <c r="AW809" s="511"/>
      <c r="AX809" s="511"/>
      <c r="AY809" s="511"/>
      <c r="AZ809" s="511"/>
      <c r="BA809" s="511"/>
      <c r="BB809" s="511"/>
      <c r="BC809" s="511"/>
      <c r="BD809" s="511"/>
      <c r="BE809" s="511"/>
      <c r="BF809" s="511"/>
      <c r="BG809" s="511"/>
      <c r="BH809" s="511"/>
      <c r="BI809" s="511"/>
      <c r="BJ809" s="511"/>
      <c r="BK809" s="511"/>
      <c r="BL809" s="511"/>
      <c r="BM809" s="511"/>
      <c r="BN809" s="511"/>
      <c r="BO809" s="511"/>
      <c r="BP809" s="511"/>
      <c r="BQ809" s="511"/>
      <c r="BR809" s="511"/>
      <c r="BS809" s="511"/>
      <c r="BT809" s="511"/>
      <c r="BU809" s="511"/>
      <c r="BV809" s="511"/>
      <c r="BW809" s="511"/>
      <c r="BX809" s="511"/>
      <c r="BY809" s="511"/>
      <c r="BZ809" s="511"/>
      <c r="CA809" s="511"/>
      <c r="CB809" s="511"/>
      <c r="CC809" s="511"/>
      <c r="CD809" s="511"/>
      <c r="CE809" s="511"/>
      <c r="CF809" s="511"/>
      <c r="CG809" s="511"/>
      <c r="CH809" s="511"/>
      <c r="CI809" s="511"/>
      <c r="CJ809" s="511"/>
      <c r="CK809" s="511"/>
      <c r="CL809" s="511"/>
      <c r="CM809" s="511"/>
      <c r="CN809" s="511"/>
      <c r="CO809" s="511"/>
      <c r="CP809" s="511"/>
      <c r="CQ809" s="511"/>
      <c r="CR809" s="511"/>
      <c r="CS809" s="511"/>
      <c r="CT809" s="511"/>
      <c r="CU809" s="511"/>
      <c r="CV809" s="511"/>
      <c r="CW809" s="511"/>
      <c r="CX809" s="511"/>
      <c r="CY809" s="511"/>
      <c r="CZ809" s="511"/>
      <c r="DA809" s="511"/>
      <c r="DB809" s="511"/>
      <c r="DC809" s="511"/>
      <c r="DD809" s="511"/>
      <c r="DE809" s="511"/>
      <c r="DF809" s="511"/>
      <c r="DG809" s="511"/>
      <c r="DH809" s="511"/>
      <c r="DI809" s="511"/>
      <c r="DJ809" s="511"/>
      <c r="DK809" s="511"/>
      <c r="DL809" s="511"/>
      <c r="DM809" s="511"/>
      <c r="DN809" s="511"/>
      <c r="DO809" s="511"/>
      <c r="DP809" s="511"/>
    </row>
    <row r="810" spans="1:120" x14ac:dyDescent="0.2">
      <c r="A810" s="517">
        <f t="shared" si="109"/>
        <v>42156</v>
      </c>
      <c r="B810" s="517" t="str">
        <f t="shared" si="107"/>
        <v>2Q15</v>
      </c>
      <c r="C810" s="517" t="str">
        <f t="shared" si="110"/>
        <v>3Q15</v>
      </c>
      <c r="D810" s="518">
        <f t="shared" si="111"/>
        <v>42223</v>
      </c>
      <c r="E810" s="518">
        <f t="shared" si="112"/>
        <v>42163</v>
      </c>
      <c r="F810" s="520">
        <v>2.8839999999999999</v>
      </c>
      <c r="G810" s="521">
        <f t="shared" si="108"/>
        <v>0.35000000000000014</v>
      </c>
      <c r="H810" s="521">
        <f t="shared" si="113"/>
        <v>0.35000000000000014</v>
      </c>
      <c r="I810" s="511"/>
      <c r="J810" s="511"/>
      <c r="K810" s="511"/>
      <c r="L810" s="511"/>
      <c r="M810" s="511"/>
      <c r="N810" s="511"/>
      <c r="O810" s="511"/>
      <c r="P810" s="511"/>
      <c r="Q810" s="511"/>
      <c r="R810" s="511"/>
      <c r="S810" s="511"/>
      <c r="T810" s="511"/>
      <c r="U810" s="511"/>
      <c r="V810" s="511"/>
      <c r="W810" s="511"/>
      <c r="X810" s="511"/>
      <c r="Y810" s="511"/>
      <c r="Z810" s="511"/>
      <c r="AA810" s="511"/>
      <c r="AB810" s="511"/>
      <c r="AC810" s="511"/>
      <c r="AD810" s="511"/>
      <c r="AE810" s="511"/>
      <c r="AF810" s="511"/>
      <c r="AG810" s="511"/>
      <c r="AH810" s="511"/>
      <c r="AI810" s="511"/>
      <c r="AJ810" s="511"/>
      <c r="AK810" s="511"/>
      <c r="AL810" s="511"/>
      <c r="AM810" s="511"/>
      <c r="AN810" s="511"/>
      <c r="AO810" s="511"/>
      <c r="AP810" s="511"/>
      <c r="AQ810" s="511"/>
      <c r="AR810" s="511"/>
      <c r="AS810" s="511"/>
      <c r="AT810" s="511"/>
      <c r="AU810" s="511"/>
      <c r="AV810" s="511"/>
      <c r="AW810" s="511"/>
      <c r="AX810" s="511"/>
      <c r="AY810" s="511"/>
      <c r="AZ810" s="511"/>
      <c r="BA810" s="511"/>
      <c r="BB810" s="511"/>
      <c r="BC810" s="511"/>
      <c r="BD810" s="511"/>
      <c r="BE810" s="511"/>
      <c r="BF810" s="511"/>
      <c r="BG810" s="511"/>
      <c r="BH810" s="511"/>
      <c r="BI810" s="511"/>
      <c r="BJ810" s="511"/>
      <c r="BK810" s="511"/>
      <c r="BL810" s="511"/>
      <c r="BM810" s="511"/>
      <c r="BN810" s="511"/>
      <c r="BO810" s="511"/>
      <c r="BP810" s="511"/>
      <c r="BQ810" s="511"/>
      <c r="BR810" s="511"/>
      <c r="BS810" s="511"/>
      <c r="BT810" s="511"/>
      <c r="BU810" s="511"/>
      <c r="BV810" s="511"/>
      <c r="BW810" s="511"/>
      <c r="BX810" s="511"/>
      <c r="BY810" s="511"/>
      <c r="BZ810" s="511"/>
      <c r="CA810" s="511"/>
      <c r="CB810" s="511"/>
      <c r="CC810" s="511"/>
      <c r="CD810" s="511"/>
      <c r="CE810" s="511"/>
      <c r="CF810" s="511"/>
      <c r="CG810" s="511"/>
      <c r="CH810" s="511"/>
      <c r="CI810" s="511"/>
      <c r="CJ810" s="511"/>
      <c r="CK810" s="511"/>
      <c r="CL810" s="511"/>
      <c r="CM810" s="511"/>
      <c r="CN810" s="511"/>
      <c r="CO810" s="511"/>
      <c r="CP810" s="511"/>
      <c r="CQ810" s="511"/>
      <c r="CR810" s="511"/>
      <c r="CS810" s="511"/>
      <c r="CT810" s="511"/>
      <c r="CU810" s="511"/>
      <c r="CV810" s="511"/>
      <c r="CW810" s="511"/>
      <c r="CX810" s="511"/>
      <c r="CY810" s="511"/>
      <c r="CZ810" s="511"/>
      <c r="DA810" s="511"/>
      <c r="DB810" s="511"/>
      <c r="DC810" s="511"/>
      <c r="DD810" s="511"/>
      <c r="DE810" s="511"/>
      <c r="DF810" s="511"/>
      <c r="DG810" s="511"/>
      <c r="DH810" s="511"/>
      <c r="DI810" s="511"/>
      <c r="DJ810" s="511"/>
      <c r="DK810" s="511"/>
      <c r="DL810" s="511"/>
      <c r="DM810" s="511"/>
      <c r="DN810" s="511"/>
      <c r="DO810" s="511"/>
      <c r="DP810" s="511"/>
    </row>
    <row r="811" spans="1:120" x14ac:dyDescent="0.2">
      <c r="A811" s="517">
        <f t="shared" si="109"/>
        <v>42156</v>
      </c>
      <c r="B811" s="517" t="str">
        <f t="shared" si="107"/>
        <v>2Q15</v>
      </c>
      <c r="C811" s="517" t="str">
        <f t="shared" si="110"/>
        <v>3Q15</v>
      </c>
      <c r="D811" s="518">
        <f t="shared" si="111"/>
        <v>42230</v>
      </c>
      <c r="E811" s="518">
        <f t="shared" si="112"/>
        <v>42170</v>
      </c>
      <c r="F811" s="520">
        <v>2.87</v>
      </c>
      <c r="G811" s="521">
        <f t="shared" si="108"/>
        <v>0.35000000000000014</v>
      </c>
      <c r="H811" s="521">
        <f t="shared" si="113"/>
        <v>0.35000000000000014</v>
      </c>
      <c r="I811" s="511"/>
      <c r="J811" s="511"/>
      <c r="K811" s="511"/>
      <c r="L811" s="511"/>
      <c r="M811" s="511"/>
      <c r="N811" s="511"/>
      <c r="O811" s="511"/>
      <c r="P811" s="511"/>
      <c r="Q811" s="511"/>
      <c r="R811" s="511"/>
      <c r="S811" s="511"/>
      <c r="T811" s="511"/>
      <c r="U811" s="511"/>
      <c r="V811" s="511"/>
      <c r="W811" s="511"/>
      <c r="X811" s="511"/>
      <c r="Y811" s="511"/>
      <c r="Z811" s="511"/>
      <c r="AA811" s="511"/>
      <c r="AB811" s="511"/>
      <c r="AC811" s="511"/>
      <c r="AD811" s="511"/>
      <c r="AE811" s="511"/>
      <c r="AF811" s="511"/>
      <c r="AG811" s="511"/>
      <c r="AH811" s="511"/>
      <c r="AI811" s="511"/>
      <c r="AJ811" s="511"/>
      <c r="AK811" s="511"/>
      <c r="AL811" s="511"/>
      <c r="AM811" s="511"/>
      <c r="AN811" s="511"/>
      <c r="AO811" s="511"/>
      <c r="AP811" s="511"/>
      <c r="AQ811" s="511"/>
      <c r="AR811" s="511"/>
      <c r="AS811" s="511"/>
      <c r="AT811" s="511"/>
      <c r="AU811" s="511"/>
      <c r="AV811" s="511"/>
      <c r="AW811" s="511"/>
      <c r="AX811" s="511"/>
      <c r="AY811" s="511"/>
      <c r="AZ811" s="511"/>
      <c r="BA811" s="511"/>
      <c r="BB811" s="511"/>
      <c r="BC811" s="511"/>
      <c r="BD811" s="511"/>
      <c r="BE811" s="511"/>
      <c r="BF811" s="511"/>
      <c r="BG811" s="511"/>
      <c r="BH811" s="511"/>
      <c r="BI811" s="511"/>
      <c r="BJ811" s="511"/>
      <c r="BK811" s="511"/>
      <c r="BL811" s="511"/>
      <c r="BM811" s="511"/>
      <c r="BN811" s="511"/>
      <c r="BO811" s="511"/>
      <c r="BP811" s="511"/>
      <c r="BQ811" s="511"/>
      <c r="BR811" s="511"/>
      <c r="BS811" s="511"/>
      <c r="BT811" s="511"/>
      <c r="BU811" s="511"/>
      <c r="BV811" s="511"/>
      <c r="BW811" s="511"/>
      <c r="BX811" s="511"/>
      <c r="BY811" s="511"/>
      <c r="BZ811" s="511"/>
      <c r="CA811" s="511"/>
      <c r="CB811" s="511"/>
      <c r="CC811" s="511"/>
      <c r="CD811" s="511"/>
      <c r="CE811" s="511"/>
      <c r="CF811" s="511"/>
      <c r="CG811" s="511"/>
      <c r="CH811" s="511"/>
      <c r="CI811" s="511"/>
      <c r="CJ811" s="511"/>
      <c r="CK811" s="511"/>
      <c r="CL811" s="511"/>
      <c r="CM811" s="511"/>
      <c r="CN811" s="511"/>
      <c r="CO811" s="511"/>
      <c r="CP811" s="511"/>
      <c r="CQ811" s="511"/>
      <c r="CR811" s="511"/>
      <c r="CS811" s="511"/>
      <c r="CT811" s="511"/>
      <c r="CU811" s="511"/>
      <c r="CV811" s="511"/>
      <c r="CW811" s="511"/>
      <c r="CX811" s="511"/>
      <c r="CY811" s="511"/>
      <c r="CZ811" s="511"/>
      <c r="DA811" s="511"/>
      <c r="DB811" s="511"/>
      <c r="DC811" s="511"/>
      <c r="DD811" s="511"/>
      <c r="DE811" s="511"/>
      <c r="DF811" s="511"/>
      <c r="DG811" s="511"/>
      <c r="DH811" s="511"/>
      <c r="DI811" s="511"/>
      <c r="DJ811" s="511"/>
      <c r="DK811" s="511"/>
      <c r="DL811" s="511"/>
      <c r="DM811" s="511"/>
      <c r="DN811" s="511"/>
      <c r="DO811" s="511"/>
      <c r="DP811" s="511"/>
    </row>
    <row r="812" spans="1:120" x14ac:dyDescent="0.2">
      <c r="A812" s="517">
        <f t="shared" si="109"/>
        <v>42156</v>
      </c>
      <c r="B812" s="517" t="str">
        <f t="shared" si="107"/>
        <v>2Q15</v>
      </c>
      <c r="C812" s="517" t="str">
        <f t="shared" si="110"/>
        <v>3Q15</v>
      </c>
      <c r="D812" s="518">
        <f t="shared" si="111"/>
        <v>42237</v>
      </c>
      <c r="E812" s="518">
        <f t="shared" si="112"/>
        <v>42177</v>
      </c>
      <c r="F812" s="520">
        <v>2.859</v>
      </c>
      <c r="G812" s="521">
        <f t="shared" si="108"/>
        <v>0.35000000000000014</v>
      </c>
      <c r="H812" s="521">
        <f t="shared" si="113"/>
        <v>0.34000000000000014</v>
      </c>
      <c r="I812" s="511"/>
      <c r="J812" s="511"/>
      <c r="K812" s="511"/>
      <c r="L812" s="511"/>
      <c r="M812" s="511"/>
      <c r="N812" s="511"/>
      <c r="O812" s="511"/>
      <c r="P812" s="511"/>
      <c r="Q812" s="511"/>
      <c r="R812" s="511"/>
      <c r="S812" s="511"/>
      <c r="T812" s="511"/>
      <c r="U812" s="511"/>
      <c r="V812" s="511"/>
      <c r="W812" s="511"/>
      <c r="X812" s="511"/>
      <c r="Y812" s="511"/>
      <c r="Z812" s="511"/>
      <c r="AA812" s="511"/>
      <c r="AB812" s="511"/>
      <c r="AC812" s="511"/>
      <c r="AD812" s="511"/>
      <c r="AE812" s="511"/>
      <c r="AF812" s="511"/>
      <c r="AG812" s="511"/>
      <c r="AH812" s="511"/>
      <c r="AI812" s="511"/>
      <c r="AJ812" s="511"/>
      <c r="AK812" s="511"/>
      <c r="AL812" s="511"/>
      <c r="AM812" s="511"/>
      <c r="AN812" s="511"/>
      <c r="AO812" s="511"/>
      <c r="AP812" s="511"/>
      <c r="AQ812" s="511"/>
      <c r="AR812" s="511"/>
      <c r="AS812" s="511"/>
      <c r="AT812" s="511"/>
      <c r="AU812" s="511"/>
      <c r="AV812" s="511"/>
      <c r="AW812" s="511"/>
      <c r="AX812" s="511"/>
      <c r="AY812" s="511"/>
      <c r="AZ812" s="511"/>
      <c r="BA812" s="511"/>
      <c r="BB812" s="511"/>
      <c r="BC812" s="511"/>
      <c r="BD812" s="511"/>
      <c r="BE812" s="511"/>
      <c r="BF812" s="511"/>
      <c r="BG812" s="511"/>
      <c r="BH812" s="511"/>
      <c r="BI812" s="511"/>
      <c r="BJ812" s="511"/>
      <c r="BK812" s="511"/>
      <c r="BL812" s="511"/>
      <c r="BM812" s="511"/>
      <c r="BN812" s="511"/>
      <c r="BO812" s="511"/>
      <c r="BP812" s="511"/>
      <c r="BQ812" s="511"/>
      <c r="BR812" s="511"/>
      <c r="BS812" s="511"/>
      <c r="BT812" s="511"/>
      <c r="BU812" s="511"/>
      <c r="BV812" s="511"/>
      <c r="BW812" s="511"/>
      <c r="BX812" s="511"/>
      <c r="BY812" s="511"/>
      <c r="BZ812" s="511"/>
      <c r="CA812" s="511"/>
      <c r="CB812" s="511"/>
      <c r="CC812" s="511"/>
      <c r="CD812" s="511"/>
      <c r="CE812" s="511"/>
      <c r="CF812" s="511"/>
      <c r="CG812" s="511"/>
      <c r="CH812" s="511"/>
      <c r="CI812" s="511"/>
      <c r="CJ812" s="511"/>
      <c r="CK812" s="511"/>
      <c r="CL812" s="511"/>
      <c r="CM812" s="511"/>
      <c r="CN812" s="511"/>
      <c r="CO812" s="511"/>
      <c r="CP812" s="511"/>
      <c r="CQ812" s="511"/>
      <c r="CR812" s="511"/>
      <c r="CS812" s="511"/>
      <c r="CT812" s="511"/>
      <c r="CU812" s="511"/>
      <c r="CV812" s="511"/>
      <c r="CW812" s="511"/>
      <c r="CX812" s="511"/>
      <c r="CY812" s="511"/>
      <c r="CZ812" s="511"/>
      <c r="DA812" s="511"/>
      <c r="DB812" s="511"/>
      <c r="DC812" s="511"/>
      <c r="DD812" s="511"/>
      <c r="DE812" s="511"/>
      <c r="DF812" s="511"/>
      <c r="DG812" s="511"/>
      <c r="DH812" s="511"/>
      <c r="DI812" s="511"/>
      <c r="DJ812" s="511"/>
      <c r="DK812" s="511"/>
      <c r="DL812" s="511"/>
      <c r="DM812" s="511"/>
      <c r="DN812" s="511"/>
      <c r="DO812" s="511"/>
      <c r="DP812" s="511"/>
    </row>
    <row r="813" spans="1:120" x14ac:dyDescent="0.2">
      <c r="A813" s="517">
        <f t="shared" si="109"/>
        <v>42156</v>
      </c>
      <c r="B813" s="517" t="str">
        <f t="shared" si="107"/>
        <v>2Q15</v>
      </c>
      <c r="C813" s="517" t="str">
        <f t="shared" si="110"/>
        <v>3Q15</v>
      </c>
      <c r="D813" s="518">
        <f t="shared" si="111"/>
        <v>42244</v>
      </c>
      <c r="E813" s="518">
        <f t="shared" si="112"/>
        <v>42184</v>
      </c>
      <c r="F813" s="520">
        <v>2.843</v>
      </c>
      <c r="G813" s="521">
        <f t="shared" si="108"/>
        <v>0.34000000000000014</v>
      </c>
      <c r="H813" s="521">
        <f t="shared" si="113"/>
        <v>0.34000000000000014</v>
      </c>
      <c r="I813" s="511"/>
      <c r="J813" s="511"/>
      <c r="K813" s="511"/>
      <c r="L813" s="511"/>
      <c r="M813" s="511"/>
      <c r="N813" s="511"/>
      <c r="O813" s="511"/>
      <c r="P813" s="511"/>
      <c r="Q813" s="511"/>
      <c r="R813" s="511"/>
      <c r="S813" s="511"/>
      <c r="T813" s="511"/>
      <c r="U813" s="511"/>
      <c r="V813" s="511"/>
      <c r="W813" s="511"/>
      <c r="X813" s="511"/>
      <c r="Y813" s="511"/>
      <c r="Z813" s="511"/>
      <c r="AA813" s="511"/>
      <c r="AB813" s="511"/>
      <c r="AC813" s="511"/>
      <c r="AD813" s="511"/>
      <c r="AE813" s="511"/>
      <c r="AF813" s="511"/>
      <c r="AG813" s="511"/>
      <c r="AH813" s="511"/>
      <c r="AI813" s="511"/>
      <c r="AJ813" s="511"/>
      <c r="AK813" s="511"/>
      <c r="AL813" s="511"/>
      <c r="AM813" s="511"/>
      <c r="AN813" s="511"/>
      <c r="AO813" s="511"/>
      <c r="AP813" s="511"/>
      <c r="AQ813" s="511"/>
      <c r="AR813" s="511"/>
      <c r="AS813" s="511"/>
      <c r="AT813" s="511"/>
      <c r="AU813" s="511"/>
      <c r="AV813" s="511"/>
      <c r="AW813" s="511"/>
      <c r="AX813" s="511"/>
      <c r="AY813" s="511"/>
      <c r="AZ813" s="511"/>
      <c r="BA813" s="511"/>
      <c r="BB813" s="511"/>
      <c r="BC813" s="511"/>
      <c r="BD813" s="511"/>
      <c r="BE813" s="511"/>
      <c r="BF813" s="511"/>
      <c r="BG813" s="511"/>
      <c r="BH813" s="511"/>
      <c r="BI813" s="511"/>
      <c r="BJ813" s="511"/>
      <c r="BK813" s="511"/>
      <c r="BL813" s="511"/>
      <c r="BM813" s="511"/>
      <c r="BN813" s="511"/>
      <c r="BO813" s="511"/>
      <c r="BP813" s="511"/>
      <c r="BQ813" s="511"/>
      <c r="BR813" s="511"/>
      <c r="BS813" s="511"/>
      <c r="BT813" s="511"/>
      <c r="BU813" s="511"/>
      <c r="BV813" s="511"/>
      <c r="BW813" s="511"/>
      <c r="BX813" s="511"/>
      <c r="BY813" s="511"/>
      <c r="BZ813" s="511"/>
      <c r="CA813" s="511"/>
      <c r="CB813" s="511"/>
      <c r="CC813" s="511"/>
      <c r="CD813" s="511"/>
      <c r="CE813" s="511"/>
      <c r="CF813" s="511"/>
      <c r="CG813" s="511"/>
      <c r="CH813" s="511"/>
      <c r="CI813" s="511"/>
      <c r="CJ813" s="511"/>
      <c r="CK813" s="511"/>
      <c r="CL813" s="511"/>
      <c r="CM813" s="511"/>
      <c r="CN813" s="511"/>
      <c r="CO813" s="511"/>
      <c r="CP813" s="511"/>
      <c r="CQ813" s="511"/>
      <c r="CR813" s="511"/>
      <c r="CS813" s="511"/>
      <c r="CT813" s="511"/>
      <c r="CU813" s="511"/>
      <c r="CV813" s="511"/>
      <c r="CW813" s="511"/>
      <c r="CX813" s="511"/>
      <c r="CY813" s="511"/>
      <c r="CZ813" s="511"/>
      <c r="DA813" s="511"/>
      <c r="DB813" s="511"/>
      <c r="DC813" s="511"/>
      <c r="DD813" s="511"/>
      <c r="DE813" s="511"/>
      <c r="DF813" s="511"/>
      <c r="DG813" s="511"/>
      <c r="DH813" s="511"/>
      <c r="DI813" s="511"/>
      <c r="DJ813" s="511"/>
      <c r="DK813" s="511"/>
      <c r="DL813" s="511"/>
      <c r="DM813" s="511"/>
      <c r="DN813" s="511"/>
      <c r="DO813" s="511"/>
      <c r="DP813" s="511"/>
    </row>
    <row r="814" spans="1:120" x14ac:dyDescent="0.2">
      <c r="A814" s="517">
        <f t="shared" si="109"/>
        <v>42186</v>
      </c>
      <c r="B814" s="517" t="str">
        <f t="shared" si="107"/>
        <v>3Q15</v>
      </c>
      <c r="C814" s="517" t="str">
        <f t="shared" si="110"/>
        <v>3Q15</v>
      </c>
      <c r="D814" s="518">
        <f t="shared" si="111"/>
        <v>42251</v>
      </c>
      <c r="E814" s="518">
        <f t="shared" si="112"/>
        <v>42191</v>
      </c>
      <c r="F814" s="520">
        <v>2.8319999999999999</v>
      </c>
      <c r="G814" s="521">
        <f t="shared" si="108"/>
        <v>0.34000000000000014</v>
      </c>
      <c r="H814" s="521">
        <f t="shared" si="113"/>
        <v>0.34000000000000014</v>
      </c>
      <c r="I814" s="511"/>
      <c r="J814" s="511"/>
      <c r="K814" s="511"/>
      <c r="L814" s="511"/>
      <c r="M814" s="511"/>
      <c r="N814" s="511"/>
      <c r="O814" s="511"/>
      <c r="P814" s="511"/>
      <c r="Q814" s="511"/>
      <c r="R814" s="511"/>
      <c r="S814" s="511"/>
      <c r="T814" s="511"/>
      <c r="U814" s="511"/>
      <c r="V814" s="511"/>
      <c r="W814" s="511"/>
      <c r="X814" s="511"/>
      <c r="Y814" s="511"/>
      <c r="Z814" s="511"/>
      <c r="AA814" s="511"/>
      <c r="AB814" s="511"/>
      <c r="AC814" s="511"/>
      <c r="AD814" s="511"/>
      <c r="AE814" s="511"/>
      <c r="AF814" s="511"/>
      <c r="AG814" s="511"/>
      <c r="AH814" s="511"/>
      <c r="AI814" s="511"/>
      <c r="AJ814" s="511"/>
      <c r="AK814" s="511"/>
      <c r="AL814" s="511"/>
      <c r="AM814" s="511"/>
      <c r="AN814" s="511"/>
      <c r="AO814" s="511"/>
      <c r="AP814" s="511"/>
      <c r="AQ814" s="511"/>
      <c r="AR814" s="511"/>
      <c r="AS814" s="511"/>
      <c r="AT814" s="511"/>
      <c r="AU814" s="511"/>
      <c r="AV814" s="511"/>
      <c r="AW814" s="511"/>
      <c r="AX814" s="511"/>
      <c r="AY814" s="511"/>
      <c r="AZ814" s="511"/>
      <c r="BA814" s="511"/>
      <c r="BB814" s="511"/>
      <c r="BC814" s="511"/>
      <c r="BD814" s="511"/>
      <c r="BE814" s="511"/>
      <c r="BF814" s="511"/>
      <c r="BG814" s="511"/>
      <c r="BH814" s="511"/>
      <c r="BI814" s="511"/>
      <c r="BJ814" s="511"/>
      <c r="BK814" s="511"/>
      <c r="BL814" s="511"/>
      <c r="BM814" s="511"/>
      <c r="BN814" s="511"/>
      <c r="BO814" s="511"/>
      <c r="BP814" s="511"/>
      <c r="BQ814" s="511"/>
      <c r="BR814" s="511"/>
      <c r="BS814" s="511"/>
      <c r="BT814" s="511"/>
      <c r="BU814" s="511"/>
      <c r="BV814" s="511"/>
      <c r="BW814" s="511"/>
      <c r="BX814" s="511"/>
      <c r="BY814" s="511"/>
      <c r="BZ814" s="511"/>
      <c r="CA814" s="511"/>
      <c r="CB814" s="511"/>
      <c r="CC814" s="511"/>
      <c r="CD814" s="511"/>
      <c r="CE814" s="511"/>
      <c r="CF814" s="511"/>
      <c r="CG814" s="511"/>
      <c r="CH814" s="511"/>
      <c r="CI814" s="511"/>
      <c r="CJ814" s="511"/>
      <c r="CK814" s="511"/>
      <c r="CL814" s="511"/>
      <c r="CM814" s="511"/>
      <c r="CN814" s="511"/>
      <c r="CO814" s="511"/>
      <c r="CP814" s="511"/>
      <c r="CQ814" s="511"/>
      <c r="CR814" s="511"/>
      <c r="CS814" s="511"/>
      <c r="CT814" s="511"/>
      <c r="CU814" s="511"/>
      <c r="CV814" s="511"/>
      <c r="CW814" s="511"/>
      <c r="CX814" s="511"/>
      <c r="CY814" s="511"/>
      <c r="CZ814" s="511"/>
      <c r="DA814" s="511"/>
      <c r="DB814" s="511"/>
      <c r="DC814" s="511"/>
      <c r="DD814" s="511"/>
      <c r="DE814" s="511"/>
      <c r="DF814" s="511"/>
      <c r="DG814" s="511"/>
      <c r="DH814" s="511"/>
      <c r="DI814" s="511"/>
      <c r="DJ814" s="511"/>
      <c r="DK814" s="511"/>
      <c r="DL814" s="511"/>
      <c r="DM814" s="511"/>
      <c r="DN814" s="511"/>
      <c r="DO814" s="511"/>
      <c r="DP814" s="511"/>
    </row>
    <row r="815" spans="1:120" x14ac:dyDescent="0.2">
      <c r="A815" s="517">
        <f t="shared" si="109"/>
        <v>42186</v>
      </c>
      <c r="B815" s="517" t="str">
        <f t="shared" si="107"/>
        <v>3Q15</v>
      </c>
      <c r="C815" s="517" t="str">
        <f t="shared" si="110"/>
        <v>3Q15</v>
      </c>
      <c r="D815" s="518">
        <f t="shared" si="111"/>
        <v>42258</v>
      </c>
      <c r="E815" s="518">
        <f t="shared" si="112"/>
        <v>42198</v>
      </c>
      <c r="F815" s="520">
        <v>2.8140000000000001</v>
      </c>
      <c r="G815" s="521">
        <f t="shared" si="108"/>
        <v>0.34000000000000014</v>
      </c>
      <c r="H815" s="521">
        <f t="shared" si="113"/>
        <v>0.33000000000000013</v>
      </c>
      <c r="I815" s="511"/>
      <c r="J815" s="511"/>
      <c r="K815" s="511"/>
      <c r="L815" s="511"/>
      <c r="M815" s="511"/>
      <c r="N815" s="511"/>
      <c r="O815" s="511"/>
      <c r="P815" s="511"/>
      <c r="Q815" s="511"/>
      <c r="R815" s="511"/>
      <c r="S815" s="511"/>
      <c r="T815" s="511"/>
      <c r="U815" s="511"/>
      <c r="V815" s="511"/>
      <c r="W815" s="511"/>
      <c r="X815" s="511"/>
      <c r="Y815" s="511"/>
      <c r="Z815" s="511"/>
      <c r="AA815" s="511"/>
      <c r="AB815" s="511"/>
      <c r="AC815" s="511"/>
      <c r="AD815" s="511"/>
      <c r="AE815" s="511"/>
      <c r="AF815" s="511"/>
      <c r="AG815" s="511"/>
      <c r="AH815" s="511"/>
      <c r="AI815" s="511"/>
      <c r="AJ815" s="511"/>
      <c r="AK815" s="511"/>
      <c r="AL815" s="511"/>
      <c r="AM815" s="511"/>
      <c r="AN815" s="511"/>
      <c r="AO815" s="511"/>
      <c r="AP815" s="511"/>
      <c r="AQ815" s="511"/>
      <c r="AR815" s="511"/>
      <c r="AS815" s="511"/>
      <c r="AT815" s="511"/>
      <c r="AU815" s="511"/>
      <c r="AV815" s="511"/>
      <c r="AW815" s="511"/>
      <c r="AX815" s="511"/>
      <c r="AY815" s="511"/>
      <c r="AZ815" s="511"/>
      <c r="BA815" s="511"/>
      <c r="BB815" s="511"/>
      <c r="BC815" s="511"/>
      <c r="BD815" s="511"/>
      <c r="BE815" s="511"/>
      <c r="BF815" s="511"/>
      <c r="BG815" s="511"/>
      <c r="BH815" s="511"/>
      <c r="BI815" s="511"/>
      <c r="BJ815" s="511"/>
      <c r="BK815" s="511"/>
      <c r="BL815" s="511"/>
      <c r="BM815" s="511"/>
      <c r="BN815" s="511"/>
      <c r="BO815" s="511"/>
      <c r="BP815" s="511"/>
      <c r="BQ815" s="511"/>
      <c r="BR815" s="511"/>
      <c r="BS815" s="511"/>
      <c r="BT815" s="511"/>
      <c r="BU815" s="511"/>
      <c r="BV815" s="511"/>
      <c r="BW815" s="511"/>
      <c r="BX815" s="511"/>
      <c r="BY815" s="511"/>
      <c r="BZ815" s="511"/>
      <c r="CA815" s="511"/>
      <c r="CB815" s="511"/>
      <c r="CC815" s="511"/>
      <c r="CD815" s="511"/>
      <c r="CE815" s="511"/>
      <c r="CF815" s="511"/>
      <c r="CG815" s="511"/>
      <c r="CH815" s="511"/>
      <c r="CI815" s="511"/>
      <c r="CJ815" s="511"/>
      <c r="CK815" s="511"/>
      <c r="CL815" s="511"/>
      <c r="CM815" s="511"/>
      <c r="CN815" s="511"/>
      <c r="CO815" s="511"/>
      <c r="CP815" s="511"/>
      <c r="CQ815" s="511"/>
      <c r="CR815" s="511"/>
      <c r="CS815" s="511"/>
      <c r="CT815" s="511"/>
      <c r="CU815" s="511"/>
      <c r="CV815" s="511"/>
      <c r="CW815" s="511"/>
      <c r="CX815" s="511"/>
      <c r="CY815" s="511"/>
      <c r="CZ815" s="511"/>
      <c r="DA815" s="511"/>
      <c r="DB815" s="511"/>
      <c r="DC815" s="511"/>
      <c r="DD815" s="511"/>
      <c r="DE815" s="511"/>
      <c r="DF815" s="511"/>
      <c r="DG815" s="511"/>
      <c r="DH815" s="511"/>
      <c r="DI815" s="511"/>
      <c r="DJ815" s="511"/>
      <c r="DK815" s="511"/>
      <c r="DL815" s="511"/>
      <c r="DM815" s="511"/>
      <c r="DN815" s="511"/>
      <c r="DO815" s="511"/>
      <c r="DP815" s="511"/>
    </row>
    <row r="816" spans="1:120" x14ac:dyDescent="0.2">
      <c r="A816" s="517">
        <f t="shared" si="109"/>
        <v>42186</v>
      </c>
      <c r="B816" s="517" t="str">
        <f t="shared" si="107"/>
        <v>3Q15</v>
      </c>
      <c r="C816" s="517" t="str">
        <f t="shared" si="110"/>
        <v>3Q15</v>
      </c>
      <c r="D816" s="518">
        <f t="shared" si="111"/>
        <v>42265</v>
      </c>
      <c r="E816" s="518">
        <f t="shared" si="112"/>
        <v>42205</v>
      </c>
      <c r="F816" s="520">
        <v>2.782</v>
      </c>
      <c r="G816" s="521">
        <f t="shared" si="108"/>
        <v>0.33000000000000013</v>
      </c>
      <c r="H816" s="521">
        <f t="shared" si="113"/>
        <v>0.32000000000000012</v>
      </c>
      <c r="I816" s="511"/>
      <c r="J816" s="511"/>
      <c r="K816" s="511"/>
      <c r="L816" s="511"/>
      <c r="M816" s="511"/>
      <c r="N816" s="511"/>
      <c r="O816" s="511"/>
      <c r="P816" s="511"/>
      <c r="Q816" s="511"/>
      <c r="R816" s="511"/>
      <c r="S816" s="511"/>
      <c r="T816" s="511"/>
      <c r="U816" s="511"/>
      <c r="V816" s="511"/>
      <c r="W816" s="511"/>
      <c r="X816" s="511"/>
      <c r="Y816" s="511"/>
      <c r="Z816" s="511"/>
      <c r="AA816" s="511"/>
      <c r="AB816" s="511"/>
      <c r="AC816" s="511"/>
      <c r="AD816" s="511"/>
      <c r="AE816" s="511"/>
      <c r="AF816" s="511"/>
      <c r="AG816" s="511"/>
      <c r="AH816" s="511"/>
      <c r="AI816" s="511"/>
      <c r="AJ816" s="511"/>
      <c r="AK816" s="511"/>
      <c r="AL816" s="511"/>
      <c r="AM816" s="511"/>
      <c r="AN816" s="511"/>
      <c r="AO816" s="511"/>
      <c r="AP816" s="511"/>
      <c r="AQ816" s="511"/>
      <c r="AR816" s="511"/>
      <c r="AS816" s="511"/>
      <c r="AT816" s="511"/>
      <c r="AU816" s="511"/>
      <c r="AV816" s="511"/>
      <c r="AW816" s="511"/>
      <c r="AX816" s="511"/>
      <c r="AY816" s="511"/>
      <c r="AZ816" s="511"/>
      <c r="BA816" s="511"/>
      <c r="BB816" s="511"/>
      <c r="BC816" s="511"/>
      <c r="BD816" s="511"/>
      <c r="BE816" s="511"/>
      <c r="BF816" s="511"/>
      <c r="BG816" s="511"/>
      <c r="BH816" s="511"/>
      <c r="BI816" s="511"/>
      <c r="BJ816" s="511"/>
      <c r="BK816" s="511"/>
      <c r="BL816" s="511"/>
      <c r="BM816" s="511"/>
      <c r="BN816" s="511"/>
      <c r="BO816" s="511"/>
      <c r="BP816" s="511"/>
      <c r="BQ816" s="511"/>
      <c r="BR816" s="511"/>
      <c r="BS816" s="511"/>
      <c r="BT816" s="511"/>
      <c r="BU816" s="511"/>
      <c r="BV816" s="511"/>
      <c r="BW816" s="511"/>
      <c r="BX816" s="511"/>
      <c r="BY816" s="511"/>
      <c r="BZ816" s="511"/>
      <c r="CA816" s="511"/>
      <c r="CB816" s="511"/>
      <c r="CC816" s="511"/>
      <c r="CD816" s="511"/>
      <c r="CE816" s="511"/>
      <c r="CF816" s="511"/>
      <c r="CG816" s="511"/>
      <c r="CH816" s="511"/>
      <c r="CI816" s="511"/>
      <c r="CJ816" s="511"/>
      <c r="CK816" s="511"/>
      <c r="CL816" s="511"/>
      <c r="CM816" s="511"/>
      <c r="CN816" s="511"/>
      <c r="CO816" s="511"/>
      <c r="CP816" s="511"/>
      <c r="CQ816" s="511"/>
      <c r="CR816" s="511"/>
      <c r="CS816" s="511"/>
      <c r="CT816" s="511"/>
      <c r="CU816" s="511"/>
      <c r="CV816" s="511"/>
      <c r="CW816" s="511"/>
      <c r="CX816" s="511"/>
      <c r="CY816" s="511"/>
      <c r="CZ816" s="511"/>
      <c r="DA816" s="511"/>
      <c r="DB816" s="511"/>
      <c r="DC816" s="511"/>
      <c r="DD816" s="511"/>
      <c r="DE816" s="511"/>
      <c r="DF816" s="511"/>
      <c r="DG816" s="511"/>
      <c r="DH816" s="511"/>
      <c r="DI816" s="511"/>
      <c r="DJ816" s="511"/>
      <c r="DK816" s="511"/>
      <c r="DL816" s="511"/>
      <c r="DM816" s="511"/>
      <c r="DN816" s="511"/>
      <c r="DO816" s="511"/>
      <c r="DP816" s="511"/>
    </row>
    <row r="817" spans="1:120" x14ac:dyDescent="0.2">
      <c r="A817" s="517">
        <f t="shared" si="109"/>
        <v>42186</v>
      </c>
      <c r="B817" s="517" t="str">
        <f t="shared" si="107"/>
        <v>3Q15</v>
      </c>
      <c r="C817" s="517" t="str">
        <f t="shared" si="110"/>
        <v>3Q15</v>
      </c>
      <c r="D817" s="518">
        <f t="shared" si="111"/>
        <v>42272</v>
      </c>
      <c r="E817" s="518">
        <f t="shared" si="112"/>
        <v>42212</v>
      </c>
      <c r="F817" s="520">
        <v>2.7229999999999999</v>
      </c>
      <c r="G817" s="521">
        <f t="shared" si="108"/>
        <v>0.32000000000000012</v>
      </c>
      <c r="H817" s="521">
        <f t="shared" si="113"/>
        <v>0.31000000000000011</v>
      </c>
      <c r="I817" s="511"/>
      <c r="J817" s="511"/>
      <c r="K817" s="511"/>
      <c r="L817" s="511"/>
      <c r="M817" s="511"/>
      <c r="N817" s="511"/>
      <c r="O817" s="511"/>
      <c r="P817" s="511"/>
      <c r="Q817" s="511"/>
      <c r="R817" s="511"/>
      <c r="S817" s="511"/>
      <c r="T817" s="511"/>
      <c r="U817" s="511"/>
      <c r="V817" s="511"/>
      <c r="W817" s="511"/>
      <c r="X817" s="511"/>
      <c r="Y817" s="511"/>
      <c r="Z817" s="511"/>
      <c r="AA817" s="511"/>
      <c r="AB817" s="511"/>
      <c r="AC817" s="511"/>
      <c r="AD817" s="511"/>
      <c r="AE817" s="511"/>
      <c r="AF817" s="511"/>
      <c r="AG817" s="511"/>
      <c r="AH817" s="511"/>
      <c r="AI817" s="511"/>
      <c r="AJ817" s="511"/>
      <c r="AK817" s="511"/>
      <c r="AL817" s="511"/>
      <c r="AM817" s="511"/>
      <c r="AN817" s="511"/>
      <c r="AO817" s="511"/>
      <c r="AP817" s="511"/>
      <c r="AQ817" s="511"/>
      <c r="AR817" s="511"/>
      <c r="AS817" s="511"/>
      <c r="AT817" s="511"/>
      <c r="AU817" s="511"/>
      <c r="AV817" s="511"/>
      <c r="AW817" s="511"/>
      <c r="AX817" s="511"/>
      <c r="AY817" s="511"/>
      <c r="AZ817" s="511"/>
      <c r="BA817" s="511"/>
      <c r="BB817" s="511"/>
      <c r="BC817" s="511"/>
      <c r="BD817" s="511"/>
      <c r="BE817" s="511"/>
      <c r="BF817" s="511"/>
      <c r="BG817" s="511"/>
      <c r="BH817" s="511"/>
      <c r="BI817" s="511"/>
      <c r="BJ817" s="511"/>
      <c r="BK817" s="511"/>
      <c r="BL817" s="511"/>
      <c r="BM817" s="511"/>
      <c r="BN817" s="511"/>
      <c r="BO817" s="511"/>
      <c r="BP817" s="511"/>
      <c r="BQ817" s="511"/>
      <c r="BR817" s="511"/>
      <c r="BS817" s="511"/>
      <c r="BT817" s="511"/>
      <c r="BU817" s="511"/>
      <c r="BV817" s="511"/>
      <c r="BW817" s="511"/>
      <c r="BX817" s="511"/>
      <c r="BY817" s="511"/>
      <c r="BZ817" s="511"/>
      <c r="CA817" s="511"/>
      <c r="CB817" s="511"/>
      <c r="CC817" s="511"/>
      <c r="CD817" s="511"/>
      <c r="CE817" s="511"/>
      <c r="CF817" s="511"/>
      <c r="CG817" s="511"/>
      <c r="CH817" s="511"/>
      <c r="CI817" s="511"/>
      <c r="CJ817" s="511"/>
      <c r="CK817" s="511"/>
      <c r="CL817" s="511"/>
      <c r="CM817" s="511"/>
      <c r="CN817" s="511"/>
      <c r="CO817" s="511"/>
      <c r="CP817" s="511"/>
      <c r="CQ817" s="511"/>
      <c r="CR817" s="511"/>
      <c r="CS817" s="511"/>
      <c r="CT817" s="511"/>
      <c r="CU817" s="511"/>
      <c r="CV817" s="511"/>
      <c r="CW817" s="511"/>
      <c r="CX817" s="511"/>
      <c r="CY817" s="511"/>
      <c r="CZ817" s="511"/>
      <c r="DA817" s="511"/>
      <c r="DB817" s="511"/>
      <c r="DC817" s="511"/>
      <c r="DD817" s="511"/>
      <c r="DE817" s="511"/>
      <c r="DF817" s="511"/>
      <c r="DG817" s="511"/>
      <c r="DH817" s="511"/>
      <c r="DI817" s="511"/>
      <c r="DJ817" s="511"/>
      <c r="DK817" s="511"/>
      <c r="DL817" s="511"/>
      <c r="DM817" s="511"/>
      <c r="DN817" s="511"/>
      <c r="DO817" s="511"/>
      <c r="DP817" s="511"/>
    </row>
    <row r="818" spans="1:120" x14ac:dyDescent="0.2">
      <c r="A818" s="517">
        <f t="shared" si="109"/>
        <v>42217</v>
      </c>
      <c r="B818" s="517" t="str">
        <f t="shared" si="107"/>
        <v>3Q15</v>
      </c>
      <c r="C818" s="517" t="str">
        <f t="shared" si="110"/>
        <v>4Q15</v>
      </c>
      <c r="D818" s="518">
        <f t="shared" si="111"/>
        <v>42279</v>
      </c>
      <c r="E818" s="518">
        <f t="shared" si="112"/>
        <v>42219</v>
      </c>
      <c r="F818" s="520">
        <v>2.6680000000000001</v>
      </c>
      <c r="G818" s="521">
        <f t="shared" si="108"/>
        <v>0.31000000000000011</v>
      </c>
      <c r="H818" s="521">
        <f t="shared" si="113"/>
        <v>0.3000000000000001</v>
      </c>
      <c r="I818" s="511"/>
      <c r="J818" s="511"/>
      <c r="K818" s="511"/>
      <c r="L818" s="511"/>
      <c r="M818" s="511"/>
      <c r="N818" s="511"/>
      <c r="O818" s="511"/>
      <c r="P818" s="511"/>
      <c r="Q818" s="511"/>
      <c r="R818" s="511"/>
      <c r="S818" s="511"/>
      <c r="T818" s="511"/>
      <c r="U818" s="511"/>
      <c r="V818" s="511"/>
      <c r="W818" s="511"/>
      <c r="X818" s="511"/>
      <c r="Y818" s="511"/>
      <c r="Z818" s="511"/>
      <c r="AA818" s="511"/>
      <c r="AB818" s="511"/>
      <c r="AC818" s="511"/>
      <c r="AD818" s="511"/>
      <c r="AE818" s="511"/>
      <c r="AF818" s="511"/>
      <c r="AG818" s="511"/>
      <c r="AH818" s="511"/>
      <c r="AI818" s="511"/>
      <c r="AJ818" s="511"/>
      <c r="AK818" s="511"/>
      <c r="AL818" s="511"/>
      <c r="AM818" s="511"/>
      <c r="AN818" s="511"/>
      <c r="AO818" s="511"/>
      <c r="AP818" s="511"/>
      <c r="AQ818" s="511"/>
      <c r="AR818" s="511"/>
      <c r="AS818" s="511"/>
      <c r="AT818" s="511"/>
      <c r="AU818" s="511"/>
      <c r="AV818" s="511"/>
      <c r="AW818" s="511"/>
      <c r="AX818" s="511"/>
      <c r="AY818" s="511"/>
      <c r="AZ818" s="511"/>
      <c r="BA818" s="511"/>
      <c r="BB818" s="511"/>
      <c r="BC818" s="511"/>
      <c r="BD818" s="511"/>
      <c r="BE818" s="511"/>
      <c r="BF818" s="511"/>
      <c r="BG818" s="511"/>
      <c r="BH818" s="511"/>
      <c r="BI818" s="511"/>
      <c r="BJ818" s="511"/>
      <c r="BK818" s="511"/>
      <c r="BL818" s="511"/>
      <c r="BM818" s="511"/>
      <c r="BN818" s="511"/>
      <c r="BO818" s="511"/>
      <c r="BP818" s="511"/>
      <c r="BQ818" s="511"/>
      <c r="BR818" s="511"/>
      <c r="BS818" s="511"/>
      <c r="BT818" s="511"/>
      <c r="BU818" s="511"/>
      <c r="BV818" s="511"/>
      <c r="BW818" s="511"/>
      <c r="BX818" s="511"/>
      <c r="BY818" s="511"/>
      <c r="BZ818" s="511"/>
      <c r="CA818" s="511"/>
      <c r="CB818" s="511"/>
      <c r="CC818" s="511"/>
      <c r="CD818" s="511"/>
      <c r="CE818" s="511"/>
      <c r="CF818" s="511"/>
      <c r="CG818" s="511"/>
      <c r="CH818" s="511"/>
      <c r="CI818" s="511"/>
      <c r="CJ818" s="511"/>
      <c r="CK818" s="511"/>
      <c r="CL818" s="511"/>
      <c r="CM818" s="511"/>
      <c r="CN818" s="511"/>
      <c r="CO818" s="511"/>
      <c r="CP818" s="511"/>
      <c r="CQ818" s="511"/>
      <c r="CR818" s="511"/>
      <c r="CS818" s="511"/>
      <c r="CT818" s="511"/>
      <c r="CU818" s="511"/>
      <c r="CV818" s="511"/>
      <c r="CW818" s="511"/>
      <c r="CX818" s="511"/>
      <c r="CY818" s="511"/>
      <c r="CZ818" s="511"/>
      <c r="DA818" s="511"/>
      <c r="DB818" s="511"/>
      <c r="DC818" s="511"/>
      <c r="DD818" s="511"/>
      <c r="DE818" s="511"/>
      <c r="DF818" s="511"/>
      <c r="DG818" s="511"/>
      <c r="DH818" s="511"/>
      <c r="DI818" s="511"/>
      <c r="DJ818" s="511"/>
      <c r="DK818" s="511"/>
      <c r="DL818" s="511"/>
      <c r="DM818" s="511"/>
      <c r="DN818" s="511"/>
      <c r="DO818" s="511"/>
      <c r="DP818" s="511"/>
    </row>
    <row r="819" spans="1:120" x14ac:dyDescent="0.2">
      <c r="A819" s="517">
        <f t="shared" si="109"/>
        <v>42217</v>
      </c>
      <c r="B819" s="517" t="str">
        <f t="shared" si="107"/>
        <v>3Q15</v>
      </c>
      <c r="C819" s="517" t="str">
        <f t="shared" si="110"/>
        <v>4Q15</v>
      </c>
      <c r="D819" s="518">
        <f t="shared" si="111"/>
        <v>42286</v>
      </c>
      <c r="E819" s="518">
        <f t="shared" si="112"/>
        <v>42226</v>
      </c>
      <c r="F819" s="520">
        <v>2.617</v>
      </c>
      <c r="G819" s="521">
        <f t="shared" si="108"/>
        <v>0.3000000000000001</v>
      </c>
      <c r="H819" s="521">
        <f t="shared" si="113"/>
        <v>0.3000000000000001</v>
      </c>
      <c r="I819" s="511"/>
      <c r="J819" s="511"/>
      <c r="K819" s="511"/>
      <c r="L819" s="511"/>
      <c r="M819" s="511"/>
      <c r="N819" s="511"/>
      <c r="O819" s="511"/>
      <c r="P819" s="511"/>
      <c r="Q819" s="511"/>
      <c r="R819" s="511"/>
      <c r="S819" s="511"/>
      <c r="T819" s="511"/>
      <c r="U819" s="511"/>
      <c r="V819" s="511"/>
      <c r="W819" s="511"/>
      <c r="X819" s="511"/>
      <c r="Y819" s="511"/>
      <c r="Z819" s="511"/>
      <c r="AA819" s="511"/>
      <c r="AB819" s="511"/>
      <c r="AC819" s="511"/>
      <c r="AD819" s="511"/>
      <c r="AE819" s="511"/>
      <c r="AF819" s="511"/>
      <c r="AG819" s="511"/>
      <c r="AH819" s="511"/>
      <c r="AI819" s="511"/>
      <c r="AJ819" s="511"/>
      <c r="AK819" s="511"/>
      <c r="AL819" s="511"/>
      <c r="AM819" s="511"/>
      <c r="AN819" s="511"/>
      <c r="AO819" s="511"/>
      <c r="AP819" s="511"/>
      <c r="AQ819" s="511"/>
      <c r="AR819" s="511"/>
      <c r="AS819" s="511"/>
      <c r="AT819" s="511"/>
      <c r="AU819" s="511"/>
      <c r="AV819" s="511"/>
      <c r="AW819" s="511"/>
      <c r="AX819" s="511"/>
      <c r="AY819" s="511"/>
      <c r="AZ819" s="511"/>
      <c r="BA819" s="511"/>
      <c r="BB819" s="511"/>
      <c r="BC819" s="511"/>
      <c r="BD819" s="511"/>
      <c r="BE819" s="511"/>
      <c r="BF819" s="511"/>
      <c r="BG819" s="511"/>
      <c r="BH819" s="511"/>
      <c r="BI819" s="511"/>
      <c r="BJ819" s="511"/>
      <c r="BK819" s="511"/>
      <c r="BL819" s="511"/>
      <c r="BM819" s="511"/>
      <c r="BN819" s="511"/>
      <c r="BO819" s="511"/>
      <c r="BP819" s="511"/>
      <c r="BQ819" s="511"/>
      <c r="BR819" s="511"/>
      <c r="BS819" s="511"/>
      <c r="BT819" s="511"/>
      <c r="BU819" s="511"/>
      <c r="BV819" s="511"/>
      <c r="BW819" s="511"/>
      <c r="BX819" s="511"/>
      <c r="BY819" s="511"/>
      <c r="BZ819" s="511"/>
      <c r="CA819" s="511"/>
      <c r="CB819" s="511"/>
      <c r="CC819" s="511"/>
      <c r="CD819" s="511"/>
      <c r="CE819" s="511"/>
      <c r="CF819" s="511"/>
      <c r="CG819" s="511"/>
      <c r="CH819" s="511"/>
      <c r="CI819" s="511"/>
      <c r="CJ819" s="511"/>
      <c r="CK819" s="511"/>
      <c r="CL819" s="511"/>
      <c r="CM819" s="511"/>
      <c r="CN819" s="511"/>
      <c r="CO819" s="511"/>
      <c r="CP819" s="511"/>
      <c r="CQ819" s="511"/>
      <c r="CR819" s="511"/>
      <c r="CS819" s="511"/>
      <c r="CT819" s="511"/>
      <c r="CU819" s="511"/>
      <c r="CV819" s="511"/>
      <c r="CW819" s="511"/>
      <c r="CX819" s="511"/>
      <c r="CY819" s="511"/>
      <c r="CZ819" s="511"/>
      <c r="DA819" s="511"/>
      <c r="DB819" s="511"/>
      <c r="DC819" s="511"/>
      <c r="DD819" s="511"/>
      <c r="DE819" s="511"/>
      <c r="DF819" s="511"/>
      <c r="DG819" s="511"/>
      <c r="DH819" s="511"/>
      <c r="DI819" s="511"/>
      <c r="DJ819" s="511"/>
      <c r="DK819" s="511"/>
      <c r="DL819" s="511"/>
      <c r="DM819" s="511"/>
      <c r="DN819" s="511"/>
      <c r="DO819" s="511"/>
      <c r="DP819" s="511"/>
    </row>
    <row r="820" spans="1:120" x14ac:dyDescent="0.2">
      <c r="A820" s="517">
        <f t="shared" si="109"/>
        <v>42217</v>
      </c>
      <c r="B820" s="517" t="str">
        <f t="shared" si="107"/>
        <v>3Q15</v>
      </c>
      <c r="C820" s="517" t="str">
        <f t="shared" si="110"/>
        <v>4Q15</v>
      </c>
      <c r="D820" s="518">
        <f t="shared" si="111"/>
        <v>42293</v>
      </c>
      <c r="E820" s="518">
        <f t="shared" si="112"/>
        <v>42233</v>
      </c>
      <c r="F820" s="520">
        <v>2.6150000000000002</v>
      </c>
      <c r="G820" s="521">
        <f t="shared" si="108"/>
        <v>0.3000000000000001</v>
      </c>
      <c r="H820" s="521">
        <f t="shared" si="113"/>
        <v>0.29000000000000009</v>
      </c>
      <c r="I820" s="511"/>
      <c r="J820" s="511"/>
      <c r="K820" s="511"/>
      <c r="L820" s="511"/>
      <c r="M820" s="511"/>
      <c r="N820" s="511"/>
      <c r="O820" s="511"/>
      <c r="P820" s="511"/>
      <c r="Q820" s="511"/>
      <c r="R820" s="511"/>
      <c r="S820" s="511"/>
      <c r="T820" s="511"/>
      <c r="U820" s="511"/>
      <c r="V820" s="511"/>
      <c r="W820" s="511"/>
      <c r="X820" s="511"/>
      <c r="Y820" s="511"/>
      <c r="Z820" s="511"/>
      <c r="AA820" s="511"/>
      <c r="AB820" s="511"/>
      <c r="AC820" s="511"/>
      <c r="AD820" s="511"/>
      <c r="AE820" s="511"/>
      <c r="AF820" s="511"/>
      <c r="AG820" s="511"/>
      <c r="AH820" s="511"/>
      <c r="AI820" s="511"/>
      <c r="AJ820" s="511"/>
      <c r="AK820" s="511"/>
      <c r="AL820" s="511"/>
      <c r="AM820" s="511"/>
      <c r="AN820" s="511"/>
      <c r="AO820" s="511"/>
      <c r="AP820" s="511"/>
      <c r="AQ820" s="511"/>
      <c r="AR820" s="511"/>
      <c r="AS820" s="511"/>
      <c r="AT820" s="511"/>
      <c r="AU820" s="511"/>
      <c r="AV820" s="511"/>
      <c r="AW820" s="511"/>
      <c r="AX820" s="511"/>
      <c r="AY820" s="511"/>
      <c r="AZ820" s="511"/>
      <c r="BA820" s="511"/>
      <c r="BB820" s="511"/>
      <c r="BC820" s="511"/>
      <c r="BD820" s="511"/>
      <c r="BE820" s="511"/>
      <c r="BF820" s="511"/>
      <c r="BG820" s="511"/>
      <c r="BH820" s="511"/>
      <c r="BI820" s="511"/>
      <c r="BJ820" s="511"/>
      <c r="BK820" s="511"/>
      <c r="BL820" s="511"/>
      <c r="BM820" s="511"/>
      <c r="BN820" s="511"/>
      <c r="BO820" s="511"/>
      <c r="BP820" s="511"/>
      <c r="BQ820" s="511"/>
      <c r="BR820" s="511"/>
      <c r="BS820" s="511"/>
      <c r="BT820" s="511"/>
      <c r="BU820" s="511"/>
      <c r="BV820" s="511"/>
      <c r="BW820" s="511"/>
      <c r="BX820" s="511"/>
      <c r="BY820" s="511"/>
      <c r="BZ820" s="511"/>
      <c r="CA820" s="511"/>
      <c r="CB820" s="511"/>
      <c r="CC820" s="511"/>
      <c r="CD820" s="511"/>
      <c r="CE820" s="511"/>
      <c r="CF820" s="511"/>
      <c r="CG820" s="511"/>
      <c r="CH820" s="511"/>
      <c r="CI820" s="511"/>
      <c r="CJ820" s="511"/>
      <c r="CK820" s="511"/>
      <c r="CL820" s="511"/>
      <c r="CM820" s="511"/>
      <c r="CN820" s="511"/>
      <c r="CO820" s="511"/>
      <c r="CP820" s="511"/>
      <c r="CQ820" s="511"/>
      <c r="CR820" s="511"/>
      <c r="CS820" s="511"/>
      <c r="CT820" s="511"/>
      <c r="CU820" s="511"/>
      <c r="CV820" s="511"/>
      <c r="CW820" s="511"/>
      <c r="CX820" s="511"/>
      <c r="CY820" s="511"/>
      <c r="CZ820" s="511"/>
      <c r="DA820" s="511"/>
      <c r="DB820" s="511"/>
      <c r="DC820" s="511"/>
      <c r="DD820" s="511"/>
      <c r="DE820" s="511"/>
      <c r="DF820" s="511"/>
      <c r="DG820" s="511"/>
      <c r="DH820" s="511"/>
      <c r="DI820" s="511"/>
      <c r="DJ820" s="511"/>
      <c r="DK820" s="511"/>
      <c r="DL820" s="511"/>
      <c r="DM820" s="511"/>
      <c r="DN820" s="511"/>
      <c r="DO820" s="511"/>
      <c r="DP820" s="511"/>
    </row>
    <row r="821" spans="1:120" x14ac:dyDescent="0.2">
      <c r="A821" s="517">
        <f t="shared" si="109"/>
        <v>42217</v>
      </c>
      <c r="B821" s="517" t="str">
        <f t="shared" si="107"/>
        <v>3Q15</v>
      </c>
      <c r="C821" s="517" t="str">
        <f t="shared" si="110"/>
        <v>4Q15</v>
      </c>
      <c r="D821" s="518">
        <f t="shared" si="111"/>
        <v>42300</v>
      </c>
      <c r="E821" s="518">
        <f t="shared" si="112"/>
        <v>42240</v>
      </c>
      <c r="F821" s="520">
        <v>2.5609999999999999</v>
      </c>
      <c r="G821" s="521">
        <f t="shared" si="108"/>
        <v>0.29000000000000009</v>
      </c>
      <c r="H821" s="521">
        <f t="shared" si="113"/>
        <v>0.28000000000000008</v>
      </c>
      <c r="I821" s="511"/>
      <c r="J821" s="511"/>
      <c r="K821" s="511"/>
      <c r="L821" s="511"/>
      <c r="M821" s="511"/>
      <c r="N821" s="511"/>
      <c r="O821" s="511"/>
      <c r="P821" s="511"/>
      <c r="Q821" s="511"/>
      <c r="R821" s="511"/>
      <c r="S821" s="511"/>
      <c r="T821" s="511"/>
      <c r="U821" s="511"/>
      <c r="V821" s="511"/>
      <c r="W821" s="511"/>
      <c r="X821" s="511"/>
      <c r="Y821" s="511"/>
      <c r="Z821" s="511"/>
      <c r="AA821" s="511"/>
      <c r="AB821" s="511"/>
      <c r="AC821" s="511"/>
      <c r="AD821" s="511"/>
      <c r="AE821" s="511"/>
      <c r="AF821" s="511"/>
      <c r="AG821" s="511"/>
      <c r="AH821" s="511"/>
      <c r="AI821" s="511"/>
      <c r="AJ821" s="511"/>
      <c r="AK821" s="511"/>
      <c r="AL821" s="511"/>
      <c r="AM821" s="511"/>
      <c r="AN821" s="511"/>
      <c r="AO821" s="511"/>
      <c r="AP821" s="511"/>
      <c r="AQ821" s="511"/>
      <c r="AR821" s="511"/>
      <c r="AS821" s="511"/>
      <c r="AT821" s="511"/>
      <c r="AU821" s="511"/>
      <c r="AV821" s="511"/>
      <c r="AW821" s="511"/>
      <c r="AX821" s="511"/>
      <c r="AY821" s="511"/>
      <c r="AZ821" s="511"/>
      <c r="BA821" s="511"/>
      <c r="BB821" s="511"/>
      <c r="BC821" s="511"/>
      <c r="BD821" s="511"/>
      <c r="BE821" s="511"/>
      <c r="BF821" s="511"/>
      <c r="BG821" s="511"/>
      <c r="BH821" s="511"/>
      <c r="BI821" s="511"/>
      <c r="BJ821" s="511"/>
      <c r="BK821" s="511"/>
      <c r="BL821" s="511"/>
      <c r="BM821" s="511"/>
      <c r="BN821" s="511"/>
      <c r="BO821" s="511"/>
      <c r="BP821" s="511"/>
      <c r="BQ821" s="511"/>
      <c r="BR821" s="511"/>
      <c r="BS821" s="511"/>
      <c r="BT821" s="511"/>
      <c r="BU821" s="511"/>
      <c r="BV821" s="511"/>
      <c r="BW821" s="511"/>
      <c r="BX821" s="511"/>
      <c r="BY821" s="511"/>
      <c r="BZ821" s="511"/>
      <c r="CA821" s="511"/>
      <c r="CB821" s="511"/>
      <c r="CC821" s="511"/>
      <c r="CD821" s="511"/>
      <c r="CE821" s="511"/>
      <c r="CF821" s="511"/>
      <c r="CG821" s="511"/>
      <c r="CH821" s="511"/>
      <c r="CI821" s="511"/>
      <c r="CJ821" s="511"/>
      <c r="CK821" s="511"/>
      <c r="CL821" s="511"/>
      <c r="CM821" s="511"/>
      <c r="CN821" s="511"/>
      <c r="CO821" s="511"/>
      <c r="CP821" s="511"/>
      <c r="CQ821" s="511"/>
      <c r="CR821" s="511"/>
      <c r="CS821" s="511"/>
      <c r="CT821" s="511"/>
      <c r="CU821" s="511"/>
      <c r="CV821" s="511"/>
      <c r="CW821" s="511"/>
      <c r="CX821" s="511"/>
      <c r="CY821" s="511"/>
      <c r="CZ821" s="511"/>
      <c r="DA821" s="511"/>
      <c r="DB821" s="511"/>
      <c r="DC821" s="511"/>
      <c r="DD821" s="511"/>
      <c r="DE821" s="511"/>
      <c r="DF821" s="511"/>
      <c r="DG821" s="511"/>
      <c r="DH821" s="511"/>
      <c r="DI821" s="511"/>
      <c r="DJ821" s="511"/>
      <c r="DK821" s="511"/>
      <c r="DL821" s="511"/>
      <c r="DM821" s="511"/>
      <c r="DN821" s="511"/>
      <c r="DO821" s="511"/>
      <c r="DP821" s="511"/>
    </row>
    <row r="822" spans="1:120" x14ac:dyDescent="0.2">
      <c r="A822" s="517">
        <f t="shared" si="109"/>
        <v>42217</v>
      </c>
      <c r="B822" s="517" t="str">
        <f t="shared" si="107"/>
        <v>3Q15</v>
      </c>
      <c r="C822" s="517" t="str">
        <f t="shared" si="110"/>
        <v>4Q15</v>
      </c>
      <c r="D822" s="518">
        <f t="shared" si="111"/>
        <v>42307</v>
      </c>
      <c r="E822" s="518">
        <f t="shared" si="112"/>
        <v>42247</v>
      </c>
      <c r="F822" s="520">
        <v>2.5139999999999998</v>
      </c>
      <c r="G822" s="521">
        <f t="shared" si="108"/>
        <v>0.28000000000000008</v>
      </c>
      <c r="H822" s="521">
        <f t="shared" si="113"/>
        <v>0.28000000000000008</v>
      </c>
      <c r="I822" s="511"/>
      <c r="J822" s="511"/>
      <c r="K822" s="511"/>
      <c r="L822" s="511"/>
      <c r="M822" s="511"/>
      <c r="N822" s="511"/>
      <c r="O822" s="511"/>
      <c r="P822" s="511"/>
      <c r="Q822" s="511"/>
      <c r="R822" s="511"/>
      <c r="S822" s="511"/>
      <c r="T822" s="511"/>
      <c r="U822" s="511"/>
      <c r="V822" s="511"/>
      <c r="W822" s="511"/>
      <c r="X822" s="511"/>
      <c r="Y822" s="511"/>
      <c r="Z822" s="511"/>
      <c r="AA822" s="511"/>
      <c r="AB822" s="511"/>
      <c r="AC822" s="511"/>
      <c r="AD822" s="511"/>
      <c r="AE822" s="511"/>
      <c r="AF822" s="511"/>
      <c r="AG822" s="511"/>
      <c r="AH822" s="511"/>
      <c r="AI822" s="511"/>
      <c r="AJ822" s="511"/>
      <c r="AK822" s="511"/>
      <c r="AL822" s="511"/>
      <c r="AM822" s="511"/>
      <c r="AN822" s="511"/>
      <c r="AO822" s="511"/>
      <c r="AP822" s="511"/>
      <c r="AQ822" s="511"/>
      <c r="AR822" s="511"/>
      <c r="AS822" s="511"/>
      <c r="AT822" s="511"/>
      <c r="AU822" s="511"/>
      <c r="AV822" s="511"/>
      <c r="AW822" s="511"/>
      <c r="AX822" s="511"/>
      <c r="AY822" s="511"/>
      <c r="AZ822" s="511"/>
      <c r="BA822" s="511"/>
      <c r="BB822" s="511"/>
      <c r="BC822" s="511"/>
      <c r="BD822" s="511"/>
      <c r="BE822" s="511"/>
      <c r="BF822" s="511"/>
      <c r="BG822" s="511"/>
      <c r="BH822" s="511"/>
      <c r="BI822" s="511"/>
      <c r="BJ822" s="511"/>
      <c r="BK822" s="511"/>
      <c r="BL822" s="511"/>
      <c r="BM822" s="511"/>
      <c r="BN822" s="511"/>
      <c r="BO822" s="511"/>
      <c r="BP822" s="511"/>
      <c r="BQ822" s="511"/>
      <c r="BR822" s="511"/>
      <c r="BS822" s="511"/>
      <c r="BT822" s="511"/>
      <c r="BU822" s="511"/>
      <c r="BV822" s="511"/>
      <c r="BW822" s="511"/>
      <c r="BX822" s="511"/>
      <c r="BY822" s="511"/>
      <c r="BZ822" s="511"/>
      <c r="CA822" s="511"/>
      <c r="CB822" s="511"/>
      <c r="CC822" s="511"/>
      <c r="CD822" s="511"/>
      <c r="CE822" s="511"/>
      <c r="CF822" s="511"/>
      <c r="CG822" s="511"/>
      <c r="CH822" s="511"/>
      <c r="CI822" s="511"/>
      <c r="CJ822" s="511"/>
      <c r="CK822" s="511"/>
      <c r="CL822" s="511"/>
      <c r="CM822" s="511"/>
      <c r="CN822" s="511"/>
      <c r="CO822" s="511"/>
      <c r="CP822" s="511"/>
      <c r="CQ822" s="511"/>
      <c r="CR822" s="511"/>
      <c r="CS822" s="511"/>
      <c r="CT822" s="511"/>
      <c r="CU822" s="511"/>
      <c r="CV822" s="511"/>
      <c r="CW822" s="511"/>
      <c r="CX822" s="511"/>
      <c r="CY822" s="511"/>
      <c r="CZ822" s="511"/>
      <c r="DA822" s="511"/>
      <c r="DB822" s="511"/>
      <c r="DC822" s="511"/>
      <c r="DD822" s="511"/>
      <c r="DE822" s="511"/>
      <c r="DF822" s="511"/>
      <c r="DG822" s="511"/>
      <c r="DH822" s="511"/>
      <c r="DI822" s="511"/>
      <c r="DJ822" s="511"/>
      <c r="DK822" s="511"/>
      <c r="DL822" s="511"/>
      <c r="DM822" s="511"/>
      <c r="DN822" s="511"/>
      <c r="DO822" s="511"/>
      <c r="DP822" s="511"/>
    </row>
    <row r="823" spans="1:120" x14ac:dyDescent="0.2">
      <c r="A823" s="517">
        <f t="shared" si="109"/>
        <v>42248</v>
      </c>
      <c r="B823" s="517" t="str">
        <f t="shared" si="107"/>
        <v>3Q15</v>
      </c>
      <c r="C823" s="517" t="str">
        <f t="shared" si="110"/>
        <v>4Q15</v>
      </c>
      <c r="D823" s="518">
        <f t="shared" si="111"/>
        <v>42314</v>
      </c>
      <c r="E823" s="518">
        <f t="shared" si="112"/>
        <v>42254</v>
      </c>
      <c r="F823" s="520">
        <v>2.5339999999999998</v>
      </c>
      <c r="G823" s="521">
        <f t="shared" si="108"/>
        <v>0.28000000000000008</v>
      </c>
      <c r="H823" s="521">
        <f t="shared" si="113"/>
        <v>0.28000000000000008</v>
      </c>
      <c r="I823" s="511"/>
      <c r="J823" s="511"/>
      <c r="K823" s="511"/>
      <c r="L823" s="511"/>
      <c r="M823" s="511"/>
      <c r="N823" s="511"/>
      <c r="O823" s="511"/>
      <c r="P823" s="511"/>
      <c r="Q823" s="511"/>
      <c r="R823" s="511"/>
      <c r="S823" s="511"/>
      <c r="T823" s="511"/>
      <c r="U823" s="511"/>
      <c r="V823" s="511"/>
      <c r="W823" s="511"/>
      <c r="X823" s="511"/>
      <c r="Y823" s="511"/>
      <c r="Z823" s="511"/>
      <c r="AA823" s="511"/>
      <c r="AB823" s="511"/>
      <c r="AC823" s="511"/>
      <c r="AD823" s="511"/>
      <c r="AE823" s="511"/>
      <c r="AF823" s="511"/>
      <c r="AG823" s="511"/>
      <c r="AH823" s="511"/>
      <c r="AI823" s="511"/>
      <c r="AJ823" s="511"/>
      <c r="AK823" s="511"/>
      <c r="AL823" s="511"/>
      <c r="AM823" s="511"/>
      <c r="AN823" s="511"/>
      <c r="AO823" s="511"/>
      <c r="AP823" s="511"/>
      <c r="AQ823" s="511"/>
      <c r="AR823" s="511"/>
      <c r="AS823" s="511"/>
      <c r="AT823" s="511"/>
      <c r="AU823" s="511"/>
      <c r="AV823" s="511"/>
      <c r="AW823" s="511"/>
      <c r="AX823" s="511"/>
      <c r="AY823" s="511"/>
      <c r="AZ823" s="511"/>
      <c r="BA823" s="511"/>
      <c r="BB823" s="511"/>
      <c r="BC823" s="511"/>
      <c r="BD823" s="511"/>
      <c r="BE823" s="511"/>
      <c r="BF823" s="511"/>
      <c r="BG823" s="511"/>
      <c r="BH823" s="511"/>
      <c r="BI823" s="511"/>
      <c r="BJ823" s="511"/>
      <c r="BK823" s="511"/>
      <c r="BL823" s="511"/>
      <c r="BM823" s="511"/>
      <c r="BN823" s="511"/>
      <c r="BO823" s="511"/>
      <c r="BP823" s="511"/>
      <c r="BQ823" s="511"/>
      <c r="BR823" s="511"/>
      <c r="BS823" s="511"/>
      <c r="BT823" s="511"/>
      <c r="BU823" s="511"/>
      <c r="BV823" s="511"/>
      <c r="BW823" s="511"/>
      <c r="BX823" s="511"/>
      <c r="BY823" s="511"/>
      <c r="BZ823" s="511"/>
      <c r="CA823" s="511"/>
      <c r="CB823" s="511"/>
      <c r="CC823" s="511"/>
      <c r="CD823" s="511"/>
      <c r="CE823" s="511"/>
      <c r="CF823" s="511"/>
      <c r="CG823" s="511"/>
      <c r="CH823" s="511"/>
      <c r="CI823" s="511"/>
      <c r="CJ823" s="511"/>
      <c r="CK823" s="511"/>
      <c r="CL823" s="511"/>
      <c r="CM823" s="511"/>
      <c r="CN823" s="511"/>
      <c r="CO823" s="511"/>
      <c r="CP823" s="511"/>
      <c r="CQ823" s="511"/>
      <c r="CR823" s="511"/>
      <c r="CS823" s="511"/>
      <c r="CT823" s="511"/>
      <c r="CU823" s="511"/>
      <c r="CV823" s="511"/>
      <c r="CW823" s="511"/>
      <c r="CX823" s="511"/>
      <c r="CY823" s="511"/>
      <c r="CZ823" s="511"/>
      <c r="DA823" s="511"/>
      <c r="DB823" s="511"/>
      <c r="DC823" s="511"/>
      <c r="DD823" s="511"/>
      <c r="DE823" s="511"/>
      <c r="DF823" s="511"/>
      <c r="DG823" s="511"/>
      <c r="DH823" s="511"/>
      <c r="DI823" s="511"/>
      <c r="DJ823" s="511"/>
      <c r="DK823" s="511"/>
      <c r="DL823" s="511"/>
      <c r="DM823" s="511"/>
      <c r="DN823" s="511"/>
      <c r="DO823" s="511"/>
      <c r="DP823" s="511"/>
    </row>
    <row r="824" spans="1:120" x14ac:dyDescent="0.2">
      <c r="A824" s="517">
        <f t="shared" si="109"/>
        <v>42248</v>
      </c>
      <c r="B824" s="517" t="str">
        <f t="shared" si="107"/>
        <v>3Q15</v>
      </c>
      <c r="C824" s="517" t="str">
        <f t="shared" si="110"/>
        <v>4Q15</v>
      </c>
      <c r="D824" s="518">
        <f t="shared" si="111"/>
        <v>42321</v>
      </c>
      <c r="E824" s="518">
        <f t="shared" si="112"/>
        <v>42261</v>
      </c>
      <c r="F824" s="520">
        <v>2.5169999999999999</v>
      </c>
      <c r="G824" s="521">
        <f t="shared" si="108"/>
        <v>0.28000000000000008</v>
      </c>
      <c r="H824" s="521">
        <f t="shared" si="113"/>
        <v>0.27000000000000007</v>
      </c>
      <c r="I824" s="511"/>
      <c r="J824" s="511"/>
      <c r="K824" s="511"/>
      <c r="L824" s="511"/>
      <c r="M824" s="511"/>
      <c r="N824" s="511"/>
      <c r="O824" s="511"/>
      <c r="P824" s="511"/>
      <c r="Q824" s="511"/>
      <c r="R824" s="511"/>
      <c r="S824" s="511"/>
      <c r="T824" s="511"/>
      <c r="U824" s="511"/>
      <c r="V824" s="511"/>
      <c r="W824" s="511"/>
      <c r="X824" s="511"/>
      <c r="Y824" s="511"/>
      <c r="Z824" s="511"/>
      <c r="AA824" s="511"/>
      <c r="AB824" s="511"/>
      <c r="AC824" s="511"/>
      <c r="AD824" s="511"/>
      <c r="AE824" s="511"/>
      <c r="AF824" s="511"/>
      <c r="AG824" s="511"/>
      <c r="AH824" s="511"/>
      <c r="AI824" s="511"/>
      <c r="AJ824" s="511"/>
      <c r="AK824" s="511"/>
      <c r="AL824" s="511"/>
      <c r="AM824" s="511"/>
      <c r="AN824" s="511"/>
      <c r="AO824" s="511"/>
      <c r="AP824" s="511"/>
      <c r="AQ824" s="511"/>
      <c r="AR824" s="511"/>
      <c r="AS824" s="511"/>
      <c r="AT824" s="511"/>
      <c r="AU824" s="511"/>
      <c r="AV824" s="511"/>
      <c r="AW824" s="511"/>
      <c r="AX824" s="511"/>
      <c r="AY824" s="511"/>
      <c r="AZ824" s="511"/>
      <c r="BA824" s="511"/>
      <c r="BB824" s="511"/>
      <c r="BC824" s="511"/>
      <c r="BD824" s="511"/>
      <c r="BE824" s="511"/>
      <c r="BF824" s="511"/>
      <c r="BG824" s="511"/>
      <c r="BH824" s="511"/>
      <c r="BI824" s="511"/>
      <c r="BJ824" s="511"/>
      <c r="BK824" s="511"/>
      <c r="BL824" s="511"/>
      <c r="BM824" s="511"/>
      <c r="BN824" s="511"/>
      <c r="BO824" s="511"/>
      <c r="BP824" s="511"/>
      <c r="BQ824" s="511"/>
      <c r="BR824" s="511"/>
      <c r="BS824" s="511"/>
      <c r="BT824" s="511"/>
      <c r="BU824" s="511"/>
      <c r="BV824" s="511"/>
      <c r="BW824" s="511"/>
      <c r="BX824" s="511"/>
      <c r="BY824" s="511"/>
      <c r="BZ824" s="511"/>
      <c r="CA824" s="511"/>
      <c r="CB824" s="511"/>
      <c r="CC824" s="511"/>
      <c r="CD824" s="511"/>
      <c r="CE824" s="511"/>
      <c r="CF824" s="511"/>
      <c r="CG824" s="511"/>
      <c r="CH824" s="511"/>
      <c r="CI824" s="511"/>
      <c r="CJ824" s="511"/>
      <c r="CK824" s="511"/>
      <c r="CL824" s="511"/>
      <c r="CM824" s="511"/>
      <c r="CN824" s="511"/>
      <c r="CO824" s="511"/>
      <c r="CP824" s="511"/>
      <c r="CQ824" s="511"/>
      <c r="CR824" s="511"/>
      <c r="CS824" s="511"/>
      <c r="CT824" s="511"/>
      <c r="CU824" s="511"/>
      <c r="CV824" s="511"/>
      <c r="CW824" s="511"/>
      <c r="CX824" s="511"/>
      <c r="CY824" s="511"/>
      <c r="CZ824" s="511"/>
      <c r="DA824" s="511"/>
      <c r="DB824" s="511"/>
      <c r="DC824" s="511"/>
      <c r="DD824" s="511"/>
      <c r="DE824" s="511"/>
      <c r="DF824" s="511"/>
      <c r="DG824" s="511"/>
      <c r="DH824" s="511"/>
      <c r="DI824" s="511"/>
      <c r="DJ824" s="511"/>
      <c r="DK824" s="511"/>
      <c r="DL824" s="511"/>
      <c r="DM824" s="511"/>
      <c r="DN824" s="511"/>
      <c r="DO824" s="511"/>
      <c r="DP824" s="511"/>
    </row>
    <row r="825" spans="1:120" x14ac:dyDescent="0.2">
      <c r="A825" s="517">
        <f t="shared" ref="A825:A888" si="114">DATE(YEAR(E825),MONTH(E825),1)</f>
        <v>42248</v>
      </c>
      <c r="B825" s="517" t="str">
        <f t="shared" si="107"/>
        <v>3Q15</v>
      </c>
      <c r="C825" s="517" t="str">
        <f t="shared" ref="C825:C888" si="115">VLOOKUP(MONTH(D825),$N$4:$O$16,2,FALSE) &amp; "Q" &amp; RIGHT(YEAR(D825),2)</f>
        <v>4Q15</v>
      </c>
      <c r="D825" s="518">
        <f t="shared" ref="D825:D888" si="116">D824+7</f>
        <v>42328</v>
      </c>
      <c r="E825" s="518">
        <f t="shared" ref="E825:E888" si="117">E824+7</f>
        <v>42268</v>
      </c>
      <c r="F825" s="520">
        <v>2.4929999999999999</v>
      </c>
      <c r="G825" s="521">
        <f t="shared" si="108"/>
        <v>0.27000000000000007</v>
      </c>
      <c r="H825" s="521">
        <f t="shared" ref="H825:H888" si="118">G826</f>
        <v>0.27000000000000007</v>
      </c>
      <c r="I825" s="511"/>
      <c r="J825" s="511"/>
      <c r="K825" s="511"/>
      <c r="L825" s="511"/>
      <c r="M825" s="511"/>
      <c r="N825" s="511"/>
      <c r="O825" s="511"/>
      <c r="P825" s="511"/>
      <c r="Q825" s="511"/>
      <c r="R825" s="511"/>
      <c r="S825" s="511"/>
      <c r="T825" s="511"/>
      <c r="U825" s="511"/>
      <c r="V825" s="511"/>
      <c r="W825" s="511"/>
      <c r="X825" s="511"/>
      <c r="Y825" s="511"/>
      <c r="Z825" s="511"/>
      <c r="AA825" s="511"/>
      <c r="AB825" s="511"/>
      <c r="AC825" s="511"/>
      <c r="AD825" s="511"/>
      <c r="AE825" s="511"/>
      <c r="AF825" s="511"/>
      <c r="AG825" s="511"/>
      <c r="AH825" s="511"/>
      <c r="AI825" s="511"/>
      <c r="AJ825" s="511"/>
      <c r="AK825" s="511"/>
      <c r="AL825" s="511"/>
      <c r="AM825" s="511"/>
      <c r="AN825" s="511"/>
      <c r="AO825" s="511"/>
      <c r="AP825" s="511"/>
      <c r="AQ825" s="511"/>
      <c r="AR825" s="511"/>
      <c r="AS825" s="511"/>
      <c r="AT825" s="511"/>
      <c r="AU825" s="511"/>
      <c r="AV825" s="511"/>
      <c r="AW825" s="511"/>
      <c r="AX825" s="511"/>
      <c r="AY825" s="511"/>
      <c r="AZ825" s="511"/>
      <c r="BA825" s="511"/>
      <c r="BB825" s="511"/>
      <c r="BC825" s="511"/>
      <c r="BD825" s="511"/>
      <c r="BE825" s="511"/>
      <c r="BF825" s="511"/>
      <c r="BG825" s="511"/>
      <c r="BH825" s="511"/>
      <c r="BI825" s="511"/>
      <c r="BJ825" s="511"/>
      <c r="BK825" s="511"/>
      <c r="BL825" s="511"/>
      <c r="BM825" s="511"/>
      <c r="BN825" s="511"/>
      <c r="BO825" s="511"/>
      <c r="BP825" s="511"/>
      <c r="BQ825" s="511"/>
      <c r="BR825" s="511"/>
      <c r="BS825" s="511"/>
      <c r="BT825" s="511"/>
      <c r="BU825" s="511"/>
      <c r="BV825" s="511"/>
      <c r="BW825" s="511"/>
      <c r="BX825" s="511"/>
      <c r="BY825" s="511"/>
      <c r="BZ825" s="511"/>
      <c r="CA825" s="511"/>
      <c r="CB825" s="511"/>
      <c r="CC825" s="511"/>
      <c r="CD825" s="511"/>
      <c r="CE825" s="511"/>
      <c r="CF825" s="511"/>
      <c r="CG825" s="511"/>
      <c r="CH825" s="511"/>
      <c r="CI825" s="511"/>
      <c r="CJ825" s="511"/>
      <c r="CK825" s="511"/>
      <c r="CL825" s="511"/>
      <c r="CM825" s="511"/>
      <c r="CN825" s="511"/>
      <c r="CO825" s="511"/>
      <c r="CP825" s="511"/>
      <c r="CQ825" s="511"/>
      <c r="CR825" s="511"/>
      <c r="CS825" s="511"/>
      <c r="CT825" s="511"/>
      <c r="CU825" s="511"/>
      <c r="CV825" s="511"/>
      <c r="CW825" s="511"/>
      <c r="CX825" s="511"/>
      <c r="CY825" s="511"/>
      <c r="CZ825" s="511"/>
      <c r="DA825" s="511"/>
      <c r="DB825" s="511"/>
      <c r="DC825" s="511"/>
      <c r="DD825" s="511"/>
      <c r="DE825" s="511"/>
      <c r="DF825" s="511"/>
      <c r="DG825" s="511"/>
      <c r="DH825" s="511"/>
      <c r="DI825" s="511"/>
      <c r="DJ825" s="511"/>
      <c r="DK825" s="511"/>
      <c r="DL825" s="511"/>
      <c r="DM825" s="511"/>
      <c r="DN825" s="511"/>
      <c r="DO825" s="511"/>
      <c r="DP825" s="511"/>
    </row>
    <row r="826" spans="1:120" x14ac:dyDescent="0.2">
      <c r="A826" s="517">
        <f t="shared" si="114"/>
        <v>42248</v>
      </c>
      <c r="B826" s="517" t="str">
        <f t="shared" si="107"/>
        <v>3Q15</v>
      </c>
      <c r="C826" s="517" t="str">
        <f t="shared" si="115"/>
        <v>4Q15</v>
      </c>
      <c r="D826" s="518">
        <f t="shared" si="116"/>
        <v>42335</v>
      </c>
      <c r="E826" s="518">
        <f t="shared" si="117"/>
        <v>42275</v>
      </c>
      <c r="F826" s="520">
        <v>2.476</v>
      </c>
      <c r="G826" s="521">
        <f t="shared" si="108"/>
        <v>0.27000000000000007</v>
      </c>
      <c r="H826" s="521">
        <f t="shared" si="118"/>
        <v>0.27000000000000007</v>
      </c>
      <c r="I826" s="511"/>
      <c r="J826" s="511"/>
      <c r="K826" s="511"/>
      <c r="L826" s="511"/>
      <c r="M826" s="511"/>
      <c r="N826" s="511"/>
      <c r="O826" s="511"/>
      <c r="P826" s="511"/>
      <c r="Q826" s="511"/>
      <c r="R826" s="511"/>
      <c r="S826" s="511"/>
      <c r="T826" s="511"/>
      <c r="U826" s="511"/>
      <c r="V826" s="511"/>
      <c r="W826" s="511"/>
      <c r="X826" s="511"/>
      <c r="Y826" s="511"/>
      <c r="Z826" s="511"/>
      <c r="AA826" s="511"/>
      <c r="AB826" s="511"/>
      <c r="AC826" s="511"/>
      <c r="AD826" s="511"/>
      <c r="AE826" s="511"/>
      <c r="AF826" s="511"/>
      <c r="AG826" s="511"/>
      <c r="AH826" s="511"/>
      <c r="AI826" s="511"/>
      <c r="AJ826" s="511"/>
      <c r="AK826" s="511"/>
      <c r="AL826" s="511"/>
      <c r="AM826" s="511"/>
      <c r="AN826" s="511"/>
      <c r="AO826" s="511"/>
      <c r="AP826" s="511"/>
      <c r="AQ826" s="511"/>
      <c r="AR826" s="511"/>
      <c r="AS826" s="511"/>
      <c r="AT826" s="511"/>
      <c r="AU826" s="511"/>
      <c r="AV826" s="511"/>
      <c r="AW826" s="511"/>
      <c r="AX826" s="511"/>
      <c r="AY826" s="511"/>
      <c r="AZ826" s="511"/>
      <c r="BA826" s="511"/>
      <c r="BB826" s="511"/>
      <c r="BC826" s="511"/>
      <c r="BD826" s="511"/>
      <c r="BE826" s="511"/>
      <c r="BF826" s="511"/>
      <c r="BG826" s="511"/>
      <c r="BH826" s="511"/>
      <c r="BI826" s="511"/>
      <c r="BJ826" s="511"/>
      <c r="BK826" s="511"/>
      <c r="BL826" s="511"/>
      <c r="BM826" s="511"/>
      <c r="BN826" s="511"/>
      <c r="BO826" s="511"/>
      <c r="BP826" s="511"/>
      <c r="BQ826" s="511"/>
      <c r="BR826" s="511"/>
      <c r="BS826" s="511"/>
      <c r="BT826" s="511"/>
      <c r="BU826" s="511"/>
      <c r="BV826" s="511"/>
      <c r="BW826" s="511"/>
      <c r="BX826" s="511"/>
      <c r="BY826" s="511"/>
      <c r="BZ826" s="511"/>
      <c r="CA826" s="511"/>
      <c r="CB826" s="511"/>
      <c r="CC826" s="511"/>
      <c r="CD826" s="511"/>
      <c r="CE826" s="511"/>
      <c r="CF826" s="511"/>
      <c r="CG826" s="511"/>
      <c r="CH826" s="511"/>
      <c r="CI826" s="511"/>
      <c r="CJ826" s="511"/>
      <c r="CK826" s="511"/>
      <c r="CL826" s="511"/>
      <c r="CM826" s="511"/>
      <c r="CN826" s="511"/>
      <c r="CO826" s="511"/>
      <c r="CP826" s="511"/>
      <c r="CQ826" s="511"/>
      <c r="CR826" s="511"/>
      <c r="CS826" s="511"/>
      <c r="CT826" s="511"/>
      <c r="CU826" s="511"/>
      <c r="CV826" s="511"/>
      <c r="CW826" s="511"/>
      <c r="CX826" s="511"/>
      <c r="CY826" s="511"/>
      <c r="CZ826" s="511"/>
      <c r="DA826" s="511"/>
      <c r="DB826" s="511"/>
      <c r="DC826" s="511"/>
      <c r="DD826" s="511"/>
      <c r="DE826" s="511"/>
      <c r="DF826" s="511"/>
      <c r="DG826" s="511"/>
      <c r="DH826" s="511"/>
      <c r="DI826" s="511"/>
      <c r="DJ826" s="511"/>
      <c r="DK826" s="511"/>
      <c r="DL826" s="511"/>
      <c r="DM826" s="511"/>
      <c r="DN826" s="511"/>
      <c r="DO826" s="511"/>
      <c r="DP826" s="511"/>
    </row>
    <row r="827" spans="1:120" x14ac:dyDescent="0.2">
      <c r="A827" s="517">
        <f t="shared" si="114"/>
        <v>42278</v>
      </c>
      <c r="B827" s="517" t="str">
        <f t="shared" si="107"/>
        <v>4Q15</v>
      </c>
      <c r="C827" s="517" t="str">
        <f t="shared" si="115"/>
        <v>4Q15</v>
      </c>
      <c r="D827" s="518">
        <f t="shared" si="116"/>
        <v>42342</v>
      </c>
      <c r="E827" s="518">
        <f t="shared" si="117"/>
        <v>42282</v>
      </c>
      <c r="F827" s="520">
        <v>2.492</v>
      </c>
      <c r="G827" s="521">
        <f t="shared" si="108"/>
        <v>0.27000000000000007</v>
      </c>
      <c r="H827" s="521">
        <f t="shared" si="118"/>
        <v>0.29000000000000009</v>
      </c>
      <c r="I827" s="511"/>
      <c r="J827" s="511"/>
      <c r="K827" s="511"/>
      <c r="L827" s="511"/>
      <c r="M827" s="511"/>
      <c r="N827" s="511"/>
      <c r="O827" s="511"/>
      <c r="P827" s="511"/>
      <c r="Q827" s="511"/>
      <c r="R827" s="511"/>
      <c r="S827" s="511"/>
      <c r="T827" s="511"/>
      <c r="U827" s="511"/>
      <c r="V827" s="511"/>
      <c r="W827" s="511"/>
      <c r="X827" s="511"/>
      <c r="Y827" s="511"/>
      <c r="Z827" s="511"/>
      <c r="AA827" s="511"/>
      <c r="AB827" s="511"/>
      <c r="AC827" s="511"/>
      <c r="AD827" s="511"/>
      <c r="AE827" s="511"/>
      <c r="AF827" s="511"/>
      <c r="AG827" s="511"/>
      <c r="AH827" s="511"/>
      <c r="AI827" s="511"/>
      <c r="AJ827" s="511"/>
      <c r="AK827" s="511"/>
      <c r="AL827" s="511"/>
      <c r="AM827" s="511"/>
      <c r="AN827" s="511"/>
      <c r="AO827" s="511"/>
      <c r="AP827" s="511"/>
      <c r="AQ827" s="511"/>
      <c r="AR827" s="511"/>
      <c r="AS827" s="511"/>
      <c r="AT827" s="511"/>
      <c r="AU827" s="511"/>
      <c r="AV827" s="511"/>
      <c r="AW827" s="511"/>
      <c r="AX827" s="511"/>
      <c r="AY827" s="511"/>
      <c r="AZ827" s="511"/>
      <c r="BA827" s="511"/>
      <c r="BB827" s="511"/>
      <c r="BC827" s="511"/>
      <c r="BD827" s="511"/>
      <c r="BE827" s="511"/>
      <c r="BF827" s="511"/>
      <c r="BG827" s="511"/>
      <c r="BH827" s="511"/>
      <c r="BI827" s="511"/>
      <c r="BJ827" s="511"/>
      <c r="BK827" s="511"/>
      <c r="BL827" s="511"/>
      <c r="BM827" s="511"/>
      <c r="BN827" s="511"/>
      <c r="BO827" s="511"/>
      <c r="BP827" s="511"/>
      <c r="BQ827" s="511"/>
      <c r="BR827" s="511"/>
      <c r="BS827" s="511"/>
      <c r="BT827" s="511"/>
      <c r="BU827" s="511"/>
      <c r="BV827" s="511"/>
      <c r="BW827" s="511"/>
      <c r="BX827" s="511"/>
      <c r="BY827" s="511"/>
      <c r="BZ827" s="511"/>
      <c r="CA827" s="511"/>
      <c r="CB827" s="511"/>
      <c r="CC827" s="511"/>
      <c r="CD827" s="511"/>
      <c r="CE827" s="511"/>
      <c r="CF827" s="511"/>
      <c r="CG827" s="511"/>
      <c r="CH827" s="511"/>
      <c r="CI827" s="511"/>
      <c r="CJ827" s="511"/>
      <c r="CK827" s="511"/>
      <c r="CL827" s="511"/>
      <c r="CM827" s="511"/>
      <c r="CN827" s="511"/>
      <c r="CO827" s="511"/>
      <c r="CP827" s="511"/>
      <c r="CQ827" s="511"/>
      <c r="CR827" s="511"/>
      <c r="CS827" s="511"/>
      <c r="CT827" s="511"/>
      <c r="CU827" s="511"/>
      <c r="CV827" s="511"/>
      <c r="CW827" s="511"/>
      <c r="CX827" s="511"/>
      <c r="CY827" s="511"/>
      <c r="CZ827" s="511"/>
      <c r="DA827" s="511"/>
      <c r="DB827" s="511"/>
      <c r="DC827" s="511"/>
      <c r="DD827" s="511"/>
      <c r="DE827" s="511"/>
      <c r="DF827" s="511"/>
      <c r="DG827" s="511"/>
      <c r="DH827" s="511"/>
      <c r="DI827" s="511"/>
      <c r="DJ827" s="511"/>
      <c r="DK827" s="511"/>
      <c r="DL827" s="511"/>
      <c r="DM827" s="511"/>
      <c r="DN827" s="511"/>
      <c r="DO827" s="511"/>
      <c r="DP827" s="511"/>
    </row>
    <row r="828" spans="1:120" x14ac:dyDescent="0.2">
      <c r="A828" s="517">
        <f t="shared" si="114"/>
        <v>42278</v>
      </c>
      <c r="B828" s="517" t="str">
        <f t="shared" si="107"/>
        <v>4Q15</v>
      </c>
      <c r="C828" s="517" t="str">
        <f t="shared" si="115"/>
        <v>4Q15</v>
      </c>
      <c r="D828" s="518">
        <f t="shared" si="116"/>
        <v>42349</v>
      </c>
      <c r="E828" s="518">
        <f t="shared" si="117"/>
        <v>42289</v>
      </c>
      <c r="F828" s="520">
        <v>2.556</v>
      </c>
      <c r="G828" s="521">
        <f t="shared" si="108"/>
        <v>0.29000000000000009</v>
      </c>
      <c r="H828" s="521">
        <f t="shared" si="118"/>
        <v>0.28000000000000008</v>
      </c>
      <c r="I828" s="511"/>
      <c r="J828" s="511"/>
      <c r="K828" s="511"/>
      <c r="L828" s="511"/>
      <c r="M828" s="511"/>
      <c r="N828" s="511"/>
      <c r="O828" s="511"/>
      <c r="P828" s="511"/>
      <c r="Q828" s="511"/>
      <c r="R828" s="511"/>
      <c r="S828" s="511"/>
      <c r="T828" s="511"/>
      <c r="U828" s="511"/>
      <c r="V828" s="511"/>
      <c r="W828" s="511"/>
      <c r="X828" s="511"/>
      <c r="Y828" s="511"/>
      <c r="Z828" s="511"/>
      <c r="AA828" s="511"/>
      <c r="AB828" s="511"/>
      <c r="AC828" s="511"/>
      <c r="AD828" s="511"/>
      <c r="AE828" s="511"/>
      <c r="AF828" s="511"/>
      <c r="AG828" s="511"/>
      <c r="AH828" s="511"/>
      <c r="AI828" s="511"/>
      <c r="AJ828" s="511"/>
      <c r="AK828" s="511"/>
      <c r="AL828" s="511"/>
      <c r="AM828" s="511"/>
      <c r="AN828" s="511"/>
      <c r="AO828" s="511"/>
      <c r="AP828" s="511"/>
      <c r="AQ828" s="511"/>
      <c r="AR828" s="511"/>
      <c r="AS828" s="511"/>
      <c r="AT828" s="511"/>
      <c r="AU828" s="511"/>
      <c r="AV828" s="511"/>
      <c r="AW828" s="511"/>
      <c r="AX828" s="511"/>
      <c r="AY828" s="511"/>
      <c r="AZ828" s="511"/>
      <c r="BA828" s="511"/>
      <c r="BB828" s="511"/>
      <c r="BC828" s="511"/>
      <c r="BD828" s="511"/>
      <c r="BE828" s="511"/>
      <c r="BF828" s="511"/>
      <c r="BG828" s="511"/>
      <c r="BH828" s="511"/>
      <c r="BI828" s="511"/>
      <c r="BJ828" s="511"/>
      <c r="BK828" s="511"/>
      <c r="BL828" s="511"/>
      <c r="BM828" s="511"/>
      <c r="BN828" s="511"/>
      <c r="BO828" s="511"/>
      <c r="BP828" s="511"/>
      <c r="BQ828" s="511"/>
      <c r="BR828" s="511"/>
      <c r="BS828" s="511"/>
      <c r="BT828" s="511"/>
      <c r="BU828" s="511"/>
      <c r="BV828" s="511"/>
      <c r="BW828" s="511"/>
      <c r="BX828" s="511"/>
      <c r="BY828" s="511"/>
      <c r="BZ828" s="511"/>
      <c r="CA828" s="511"/>
      <c r="CB828" s="511"/>
      <c r="CC828" s="511"/>
      <c r="CD828" s="511"/>
      <c r="CE828" s="511"/>
      <c r="CF828" s="511"/>
      <c r="CG828" s="511"/>
      <c r="CH828" s="511"/>
      <c r="CI828" s="511"/>
      <c r="CJ828" s="511"/>
      <c r="CK828" s="511"/>
      <c r="CL828" s="511"/>
      <c r="CM828" s="511"/>
      <c r="CN828" s="511"/>
      <c r="CO828" s="511"/>
      <c r="CP828" s="511"/>
      <c r="CQ828" s="511"/>
      <c r="CR828" s="511"/>
      <c r="CS828" s="511"/>
      <c r="CT828" s="511"/>
      <c r="CU828" s="511"/>
      <c r="CV828" s="511"/>
      <c r="CW828" s="511"/>
      <c r="CX828" s="511"/>
      <c r="CY828" s="511"/>
      <c r="CZ828" s="511"/>
      <c r="DA828" s="511"/>
      <c r="DB828" s="511"/>
      <c r="DC828" s="511"/>
      <c r="DD828" s="511"/>
      <c r="DE828" s="511"/>
      <c r="DF828" s="511"/>
      <c r="DG828" s="511"/>
      <c r="DH828" s="511"/>
      <c r="DI828" s="511"/>
      <c r="DJ828" s="511"/>
      <c r="DK828" s="511"/>
      <c r="DL828" s="511"/>
      <c r="DM828" s="511"/>
      <c r="DN828" s="511"/>
      <c r="DO828" s="511"/>
      <c r="DP828" s="511"/>
    </row>
    <row r="829" spans="1:120" x14ac:dyDescent="0.2">
      <c r="A829" s="517">
        <f t="shared" si="114"/>
        <v>42278</v>
      </c>
      <c r="B829" s="517" t="str">
        <f t="shared" si="107"/>
        <v>4Q15</v>
      </c>
      <c r="C829" s="517" t="str">
        <f t="shared" si="115"/>
        <v>4Q15</v>
      </c>
      <c r="D829" s="518">
        <f t="shared" si="116"/>
        <v>42356</v>
      </c>
      <c r="E829" s="518">
        <f t="shared" si="117"/>
        <v>42296</v>
      </c>
      <c r="F829" s="520">
        <v>2.5310000000000001</v>
      </c>
      <c r="G829" s="521">
        <f t="shared" si="108"/>
        <v>0.28000000000000008</v>
      </c>
      <c r="H829" s="521">
        <f t="shared" si="118"/>
        <v>0.27000000000000007</v>
      </c>
      <c r="I829" s="511"/>
      <c r="J829" s="511"/>
      <c r="K829" s="511"/>
      <c r="L829" s="511"/>
      <c r="M829" s="511"/>
      <c r="N829" s="511"/>
      <c r="O829" s="511"/>
      <c r="P829" s="511"/>
      <c r="Q829" s="511"/>
      <c r="R829" s="511"/>
      <c r="S829" s="511"/>
      <c r="T829" s="511"/>
      <c r="U829" s="511"/>
      <c r="V829" s="511"/>
      <c r="W829" s="511"/>
      <c r="X829" s="511"/>
      <c r="Y829" s="511"/>
      <c r="Z829" s="511"/>
      <c r="AA829" s="511"/>
      <c r="AB829" s="511"/>
      <c r="AC829" s="511"/>
      <c r="AD829" s="511"/>
      <c r="AE829" s="511"/>
      <c r="AF829" s="511"/>
      <c r="AG829" s="511"/>
      <c r="AH829" s="511"/>
      <c r="AI829" s="511"/>
      <c r="AJ829" s="511"/>
      <c r="AK829" s="511"/>
      <c r="AL829" s="511"/>
      <c r="AM829" s="511"/>
      <c r="AN829" s="511"/>
      <c r="AO829" s="511"/>
      <c r="AP829" s="511"/>
      <c r="AQ829" s="511"/>
      <c r="AR829" s="511"/>
      <c r="AS829" s="511"/>
      <c r="AT829" s="511"/>
      <c r="AU829" s="511"/>
      <c r="AV829" s="511"/>
      <c r="AW829" s="511"/>
      <c r="AX829" s="511"/>
      <c r="AY829" s="511"/>
      <c r="AZ829" s="511"/>
      <c r="BA829" s="511"/>
      <c r="BB829" s="511"/>
      <c r="BC829" s="511"/>
      <c r="BD829" s="511"/>
      <c r="BE829" s="511"/>
      <c r="BF829" s="511"/>
      <c r="BG829" s="511"/>
      <c r="BH829" s="511"/>
      <c r="BI829" s="511"/>
      <c r="BJ829" s="511"/>
      <c r="BK829" s="511"/>
      <c r="BL829" s="511"/>
      <c r="BM829" s="511"/>
      <c r="BN829" s="511"/>
      <c r="BO829" s="511"/>
      <c r="BP829" s="511"/>
      <c r="BQ829" s="511"/>
      <c r="BR829" s="511"/>
      <c r="BS829" s="511"/>
      <c r="BT829" s="511"/>
      <c r="BU829" s="511"/>
      <c r="BV829" s="511"/>
      <c r="BW829" s="511"/>
      <c r="BX829" s="511"/>
      <c r="BY829" s="511"/>
      <c r="BZ829" s="511"/>
      <c r="CA829" s="511"/>
      <c r="CB829" s="511"/>
      <c r="CC829" s="511"/>
      <c r="CD829" s="511"/>
      <c r="CE829" s="511"/>
      <c r="CF829" s="511"/>
      <c r="CG829" s="511"/>
      <c r="CH829" s="511"/>
      <c r="CI829" s="511"/>
      <c r="CJ829" s="511"/>
      <c r="CK829" s="511"/>
      <c r="CL829" s="511"/>
      <c r="CM829" s="511"/>
      <c r="CN829" s="511"/>
      <c r="CO829" s="511"/>
      <c r="CP829" s="511"/>
      <c r="CQ829" s="511"/>
      <c r="CR829" s="511"/>
      <c r="CS829" s="511"/>
      <c r="CT829" s="511"/>
      <c r="CU829" s="511"/>
      <c r="CV829" s="511"/>
      <c r="CW829" s="511"/>
      <c r="CX829" s="511"/>
      <c r="CY829" s="511"/>
      <c r="CZ829" s="511"/>
      <c r="DA829" s="511"/>
      <c r="DB829" s="511"/>
      <c r="DC829" s="511"/>
      <c r="DD829" s="511"/>
      <c r="DE829" s="511"/>
      <c r="DF829" s="511"/>
      <c r="DG829" s="511"/>
      <c r="DH829" s="511"/>
      <c r="DI829" s="511"/>
      <c r="DJ829" s="511"/>
      <c r="DK829" s="511"/>
      <c r="DL829" s="511"/>
      <c r="DM829" s="511"/>
      <c r="DN829" s="511"/>
      <c r="DO829" s="511"/>
      <c r="DP829" s="511"/>
    </row>
    <row r="830" spans="1:120" x14ac:dyDescent="0.2">
      <c r="A830" s="517">
        <f t="shared" si="114"/>
        <v>42278</v>
      </c>
      <c r="B830" s="517" t="str">
        <f t="shared" si="107"/>
        <v>4Q15</v>
      </c>
      <c r="C830" s="517" t="str">
        <f t="shared" si="115"/>
        <v>4Q15</v>
      </c>
      <c r="D830" s="518">
        <f t="shared" si="116"/>
        <v>42363</v>
      </c>
      <c r="E830" s="518">
        <f t="shared" si="117"/>
        <v>42303</v>
      </c>
      <c r="F830" s="520">
        <v>2.4980000000000002</v>
      </c>
      <c r="G830" s="521">
        <f t="shared" si="108"/>
        <v>0.27000000000000007</v>
      </c>
      <c r="H830" s="521">
        <f t="shared" si="118"/>
        <v>0.27000000000000007</v>
      </c>
      <c r="I830" s="511"/>
      <c r="J830" s="511"/>
      <c r="K830" s="511"/>
      <c r="L830" s="511"/>
      <c r="M830" s="511"/>
      <c r="N830" s="511"/>
      <c r="O830" s="511"/>
      <c r="P830" s="511"/>
      <c r="Q830" s="511"/>
      <c r="R830" s="511"/>
      <c r="S830" s="511"/>
      <c r="T830" s="511"/>
      <c r="U830" s="511"/>
      <c r="V830" s="511"/>
      <c r="W830" s="511"/>
      <c r="X830" s="511"/>
      <c r="Y830" s="511"/>
      <c r="Z830" s="511"/>
      <c r="AA830" s="511"/>
      <c r="AB830" s="511"/>
      <c r="AC830" s="511"/>
      <c r="AD830" s="511"/>
      <c r="AE830" s="511"/>
      <c r="AF830" s="511"/>
      <c r="AG830" s="511"/>
      <c r="AH830" s="511"/>
      <c r="AI830" s="511"/>
      <c r="AJ830" s="511"/>
      <c r="AK830" s="511"/>
      <c r="AL830" s="511"/>
      <c r="AM830" s="511"/>
      <c r="AN830" s="511"/>
      <c r="AO830" s="511"/>
      <c r="AP830" s="511"/>
      <c r="AQ830" s="511"/>
      <c r="AR830" s="511"/>
      <c r="AS830" s="511"/>
      <c r="AT830" s="511"/>
      <c r="AU830" s="511"/>
      <c r="AV830" s="511"/>
      <c r="AW830" s="511"/>
      <c r="AX830" s="511"/>
      <c r="AY830" s="511"/>
      <c r="AZ830" s="511"/>
      <c r="BA830" s="511"/>
      <c r="BB830" s="511"/>
      <c r="BC830" s="511"/>
      <c r="BD830" s="511"/>
      <c r="BE830" s="511"/>
      <c r="BF830" s="511"/>
      <c r="BG830" s="511"/>
      <c r="BH830" s="511"/>
      <c r="BI830" s="511"/>
      <c r="BJ830" s="511"/>
      <c r="BK830" s="511"/>
      <c r="BL830" s="511"/>
      <c r="BM830" s="511"/>
      <c r="BN830" s="511"/>
      <c r="BO830" s="511"/>
      <c r="BP830" s="511"/>
      <c r="BQ830" s="511"/>
      <c r="BR830" s="511"/>
      <c r="BS830" s="511"/>
      <c r="BT830" s="511"/>
      <c r="BU830" s="511"/>
      <c r="BV830" s="511"/>
      <c r="BW830" s="511"/>
      <c r="BX830" s="511"/>
      <c r="BY830" s="511"/>
      <c r="BZ830" s="511"/>
      <c r="CA830" s="511"/>
      <c r="CB830" s="511"/>
      <c r="CC830" s="511"/>
      <c r="CD830" s="511"/>
      <c r="CE830" s="511"/>
      <c r="CF830" s="511"/>
      <c r="CG830" s="511"/>
      <c r="CH830" s="511"/>
      <c r="CI830" s="511"/>
      <c r="CJ830" s="511"/>
      <c r="CK830" s="511"/>
      <c r="CL830" s="511"/>
      <c r="CM830" s="511"/>
      <c r="CN830" s="511"/>
      <c r="CO830" s="511"/>
      <c r="CP830" s="511"/>
      <c r="CQ830" s="511"/>
      <c r="CR830" s="511"/>
      <c r="CS830" s="511"/>
      <c r="CT830" s="511"/>
      <c r="CU830" s="511"/>
      <c r="CV830" s="511"/>
      <c r="CW830" s="511"/>
      <c r="CX830" s="511"/>
      <c r="CY830" s="511"/>
      <c r="CZ830" s="511"/>
      <c r="DA830" s="511"/>
      <c r="DB830" s="511"/>
      <c r="DC830" s="511"/>
      <c r="DD830" s="511"/>
      <c r="DE830" s="511"/>
      <c r="DF830" s="511"/>
      <c r="DG830" s="511"/>
      <c r="DH830" s="511"/>
      <c r="DI830" s="511"/>
      <c r="DJ830" s="511"/>
      <c r="DK830" s="511"/>
      <c r="DL830" s="511"/>
      <c r="DM830" s="511"/>
      <c r="DN830" s="511"/>
      <c r="DO830" s="511"/>
      <c r="DP830" s="511"/>
    </row>
    <row r="831" spans="1:120" x14ac:dyDescent="0.2">
      <c r="A831" s="517">
        <f t="shared" si="114"/>
        <v>42309</v>
      </c>
      <c r="B831" s="517" t="str">
        <f t="shared" si="107"/>
        <v>4Q15</v>
      </c>
      <c r="C831" s="517" t="str">
        <f t="shared" si="115"/>
        <v>1Q16</v>
      </c>
      <c r="D831" s="518">
        <f t="shared" si="116"/>
        <v>42370</v>
      </c>
      <c r="E831" s="518">
        <f t="shared" si="117"/>
        <v>42310</v>
      </c>
      <c r="F831" s="520">
        <v>2.4849999999999999</v>
      </c>
      <c r="G831" s="521">
        <f t="shared" si="108"/>
        <v>0.27000000000000007</v>
      </c>
      <c r="H831" s="521">
        <f t="shared" si="118"/>
        <v>0.28000000000000008</v>
      </c>
      <c r="I831" s="511"/>
      <c r="J831" s="511"/>
      <c r="K831" s="511"/>
      <c r="L831" s="511"/>
      <c r="M831" s="511"/>
      <c r="N831" s="511"/>
      <c r="O831" s="511"/>
      <c r="P831" s="511"/>
      <c r="Q831" s="511"/>
      <c r="R831" s="511"/>
      <c r="S831" s="511"/>
      <c r="T831" s="511"/>
      <c r="U831" s="511"/>
      <c r="V831" s="511"/>
      <c r="W831" s="511"/>
      <c r="X831" s="511"/>
      <c r="Y831" s="511"/>
      <c r="Z831" s="511"/>
      <c r="AA831" s="511"/>
      <c r="AB831" s="511"/>
      <c r="AC831" s="511"/>
      <c r="AD831" s="511"/>
      <c r="AE831" s="511"/>
      <c r="AF831" s="511"/>
      <c r="AG831" s="511"/>
      <c r="AH831" s="511"/>
      <c r="AI831" s="511"/>
      <c r="AJ831" s="511"/>
      <c r="AK831" s="511"/>
      <c r="AL831" s="511"/>
      <c r="AM831" s="511"/>
      <c r="AN831" s="511"/>
      <c r="AO831" s="511"/>
      <c r="AP831" s="511"/>
      <c r="AQ831" s="511"/>
      <c r="AR831" s="511"/>
      <c r="AS831" s="511"/>
      <c r="AT831" s="511"/>
      <c r="AU831" s="511"/>
      <c r="AV831" s="511"/>
      <c r="AW831" s="511"/>
      <c r="AX831" s="511"/>
      <c r="AY831" s="511"/>
      <c r="AZ831" s="511"/>
      <c r="BA831" s="511"/>
      <c r="BB831" s="511"/>
      <c r="BC831" s="511"/>
      <c r="BD831" s="511"/>
      <c r="BE831" s="511"/>
      <c r="BF831" s="511"/>
      <c r="BG831" s="511"/>
      <c r="BH831" s="511"/>
      <c r="BI831" s="511"/>
      <c r="BJ831" s="511"/>
      <c r="BK831" s="511"/>
      <c r="BL831" s="511"/>
      <c r="BM831" s="511"/>
      <c r="BN831" s="511"/>
      <c r="BO831" s="511"/>
      <c r="BP831" s="511"/>
      <c r="BQ831" s="511"/>
      <c r="BR831" s="511"/>
      <c r="BS831" s="511"/>
      <c r="BT831" s="511"/>
      <c r="BU831" s="511"/>
      <c r="BV831" s="511"/>
      <c r="BW831" s="511"/>
      <c r="BX831" s="511"/>
      <c r="BY831" s="511"/>
      <c r="BZ831" s="511"/>
      <c r="CA831" s="511"/>
      <c r="CB831" s="511"/>
      <c r="CC831" s="511"/>
      <c r="CD831" s="511"/>
      <c r="CE831" s="511"/>
      <c r="CF831" s="511"/>
      <c r="CG831" s="511"/>
      <c r="CH831" s="511"/>
      <c r="CI831" s="511"/>
      <c r="CJ831" s="511"/>
      <c r="CK831" s="511"/>
      <c r="CL831" s="511"/>
      <c r="CM831" s="511"/>
      <c r="CN831" s="511"/>
      <c r="CO831" s="511"/>
      <c r="CP831" s="511"/>
      <c r="CQ831" s="511"/>
      <c r="CR831" s="511"/>
      <c r="CS831" s="511"/>
      <c r="CT831" s="511"/>
      <c r="CU831" s="511"/>
      <c r="CV831" s="511"/>
      <c r="CW831" s="511"/>
      <c r="CX831" s="511"/>
      <c r="CY831" s="511"/>
      <c r="CZ831" s="511"/>
      <c r="DA831" s="511"/>
      <c r="DB831" s="511"/>
      <c r="DC831" s="511"/>
      <c r="DD831" s="511"/>
      <c r="DE831" s="511"/>
      <c r="DF831" s="511"/>
      <c r="DG831" s="511"/>
      <c r="DH831" s="511"/>
      <c r="DI831" s="511"/>
      <c r="DJ831" s="511"/>
      <c r="DK831" s="511"/>
      <c r="DL831" s="511"/>
      <c r="DM831" s="511"/>
      <c r="DN831" s="511"/>
      <c r="DO831" s="511"/>
      <c r="DP831" s="511"/>
    </row>
    <row r="832" spans="1:120" x14ac:dyDescent="0.2">
      <c r="A832" s="517">
        <f t="shared" si="114"/>
        <v>42309</v>
      </c>
      <c r="B832" s="517" t="str">
        <f t="shared" si="107"/>
        <v>4Q15</v>
      </c>
      <c r="C832" s="517" t="str">
        <f t="shared" si="115"/>
        <v>1Q16</v>
      </c>
      <c r="D832" s="518">
        <f t="shared" si="116"/>
        <v>42377</v>
      </c>
      <c r="E832" s="518">
        <f t="shared" si="117"/>
        <v>42317</v>
      </c>
      <c r="F832" s="520">
        <v>2.5019999999999998</v>
      </c>
      <c r="G832" s="521">
        <f t="shared" si="108"/>
        <v>0.28000000000000008</v>
      </c>
      <c r="H832" s="521">
        <f t="shared" si="118"/>
        <v>0.27000000000000007</v>
      </c>
      <c r="I832" s="511"/>
      <c r="J832" s="511"/>
      <c r="K832" s="511"/>
      <c r="L832" s="511"/>
      <c r="M832" s="511"/>
      <c r="N832" s="511"/>
      <c r="O832" s="511"/>
      <c r="P832" s="511"/>
      <c r="Q832" s="511"/>
      <c r="R832" s="511"/>
      <c r="S832" s="511"/>
      <c r="T832" s="511"/>
      <c r="U832" s="511"/>
      <c r="V832" s="511"/>
      <c r="W832" s="511"/>
      <c r="X832" s="511"/>
      <c r="Y832" s="511"/>
      <c r="Z832" s="511"/>
      <c r="AA832" s="511"/>
      <c r="AB832" s="511"/>
      <c r="AC832" s="511"/>
      <c r="AD832" s="511"/>
      <c r="AE832" s="511"/>
      <c r="AF832" s="511"/>
      <c r="AG832" s="511"/>
      <c r="AH832" s="511"/>
      <c r="AI832" s="511"/>
      <c r="AJ832" s="511"/>
      <c r="AK832" s="511"/>
      <c r="AL832" s="511"/>
      <c r="AM832" s="511"/>
      <c r="AN832" s="511"/>
      <c r="AO832" s="511"/>
      <c r="AP832" s="511"/>
      <c r="AQ832" s="511"/>
      <c r="AR832" s="511"/>
      <c r="AS832" s="511"/>
      <c r="AT832" s="511"/>
      <c r="AU832" s="511"/>
      <c r="AV832" s="511"/>
      <c r="AW832" s="511"/>
      <c r="AX832" s="511"/>
      <c r="AY832" s="511"/>
      <c r="AZ832" s="511"/>
      <c r="BA832" s="511"/>
      <c r="BB832" s="511"/>
      <c r="BC832" s="511"/>
      <c r="BD832" s="511"/>
      <c r="BE832" s="511"/>
      <c r="BF832" s="511"/>
      <c r="BG832" s="511"/>
      <c r="BH832" s="511"/>
      <c r="BI832" s="511"/>
      <c r="BJ832" s="511"/>
      <c r="BK832" s="511"/>
      <c r="BL832" s="511"/>
      <c r="BM832" s="511"/>
      <c r="BN832" s="511"/>
      <c r="BO832" s="511"/>
      <c r="BP832" s="511"/>
      <c r="BQ832" s="511"/>
      <c r="BR832" s="511"/>
      <c r="BS832" s="511"/>
      <c r="BT832" s="511"/>
      <c r="BU832" s="511"/>
      <c r="BV832" s="511"/>
      <c r="BW832" s="511"/>
      <c r="BX832" s="511"/>
      <c r="BY832" s="511"/>
      <c r="BZ832" s="511"/>
      <c r="CA832" s="511"/>
      <c r="CB832" s="511"/>
      <c r="CC832" s="511"/>
      <c r="CD832" s="511"/>
      <c r="CE832" s="511"/>
      <c r="CF832" s="511"/>
      <c r="CG832" s="511"/>
      <c r="CH832" s="511"/>
      <c r="CI832" s="511"/>
      <c r="CJ832" s="511"/>
      <c r="CK832" s="511"/>
      <c r="CL832" s="511"/>
      <c r="CM832" s="511"/>
      <c r="CN832" s="511"/>
      <c r="CO832" s="511"/>
      <c r="CP832" s="511"/>
      <c r="CQ832" s="511"/>
      <c r="CR832" s="511"/>
      <c r="CS832" s="511"/>
      <c r="CT832" s="511"/>
      <c r="CU832" s="511"/>
      <c r="CV832" s="511"/>
      <c r="CW832" s="511"/>
      <c r="CX832" s="511"/>
      <c r="CY832" s="511"/>
      <c r="CZ832" s="511"/>
      <c r="DA832" s="511"/>
      <c r="DB832" s="511"/>
      <c r="DC832" s="511"/>
      <c r="DD832" s="511"/>
      <c r="DE832" s="511"/>
      <c r="DF832" s="511"/>
      <c r="DG832" s="511"/>
      <c r="DH832" s="511"/>
      <c r="DI832" s="511"/>
      <c r="DJ832" s="511"/>
      <c r="DK832" s="511"/>
      <c r="DL832" s="511"/>
      <c r="DM832" s="511"/>
      <c r="DN832" s="511"/>
      <c r="DO832" s="511"/>
      <c r="DP832" s="511"/>
    </row>
    <row r="833" spans="1:120" x14ac:dyDescent="0.2">
      <c r="A833" s="517">
        <f t="shared" si="114"/>
        <v>42309</v>
      </c>
      <c r="B833" s="517" t="str">
        <f t="shared" si="107"/>
        <v>4Q15</v>
      </c>
      <c r="C833" s="517" t="str">
        <f t="shared" si="115"/>
        <v>1Q16</v>
      </c>
      <c r="D833" s="518">
        <f t="shared" si="116"/>
        <v>42384</v>
      </c>
      <c r="E833" s="518">
        <f t="shared" si="117"/>
        <v>42324</v>
      </c>
      <c r="F833" s="520">
        <v>2.4820000000000002</v>
      </c>
      <c r="G833" s="521">
        <f t="shared" si="108"/>
        <v>0.27000000000000007</v>
      </c>
      <c r="H833" s="521">
        <f t="shared" si="118"/>
        <v>0.26000000000000006</v>
      </c>
      <c r="I833" s="511"/>
      <c r="J833" s="511"/>
      <c r="K833" s="511"/>
      <c r="L833" s="511"/>
      <c r="M833" s="511"/>
      <c r="N833" s="511"/>
      <c r="O833" s="511"/>
      <c r="P833" s="511"/>
      <c r="Q833" s="511"/>
      <c r="R833" s="511"/>
      <c r="S833" s="511"/>
      <c r="T833" s="511"/>
      <c r="U833" s="511"/>
      <c r="V833" s="511"/>
      <c r="W833" s="511"/>
      <c r="X833" s="511"/>
      <c r="Y833" s="511"/>
      <c r="Z833" s="511"/>
      <c r="AA833" s="511"/>
      <c r="AB833" s="511"/>
      <c r="AC833" s="511"/>
      <c r="AD833" s="511"/>
      <c r="AE833" s="511"/>
      <c r="AF833" s="511"/>
      <c r="AG833" s="511"/>
      <c r="AH833" s="511"/>
      <c r="AI833" s="511"/>
      <c r="AJ833" s="511"/>
      <c r="AK833" s="511"/>
      <c r="AL833" s="511"/>
      <c r="AM833" s="511"/>
      <c r="AN833" s="511"/>
      <c r="AO833" s="511"/>
      <c r="AP833" s="511"/>
      <c r="AQ833" s="511"/>
      <c r="AR833" s="511"/>
      <c r="AS833" s="511"/>
      <c r="AT833" s="511"/>
      <c r="AU833" s="511"/>
      <c r="AV833" s="511"/>
      <c r="AW833" s="511"/>
      <c r="AX833" s="511"/>
      <c r="AY833" s="511"/>
      <c r="AZ833" s="511"/>
      <c r="BA833" s="511"/>
      <c r="BB833" s="511"/>
      <c r="BC833" s="511"/>
      <c r="BD833" s="511"/>
      <c r="BE833" s="511"/>
      <c r="BF833" s="511"/>
      <c r="BG833" s="511"/>
      <c r="BH833" s="511"/>
      <c r="BI833" s="511"/>
      <c r="BJ833" s="511"/>
      <c r="BK833" s="511"/>
      <c r="BL833" s="511"/>
      <c r="BM833" s="511"/>
      <c r="BN833" s="511"/>
      <c r="BO833" s="511"/>
      <c r="BP833" s="511"/>
      <c r="BQ833" s="511"/>
      <c r="BR833" s="511"/>
      <c r="BS833" s="511"/>
      <c r="BT833" s="511"/>
      <c r="BU833" s="511"/>
      <c r="BV833" s="511"/>
      <c r="BW833" s="511"/>
      <c r="BX833" s="511"/>
      <c r="BY833" s="511"/>
      <c r="BZ833" s="511"/>
      <c r="CA833" s="511"/>
      <c r="CB833" s="511"/>
      <c r="CC833" s="511"/>
      <c r="CD833" s="511"/>
      <c r="CE833" s="511"/>
      <c r="CF833" s="511"/>
      <c r="CG833" s="511"/>
      <c r="CH833" s="511"/>
      <c r="CI833" s="511"/>
      <c r="CJ833" s="511"/>
      <c r="CK833" s="511"/>
      <c r="CL833" s="511"/>
      <c r="CM833" s="511"/>
      <c r="CN833" s="511"/>
      <c r="CO833" s="511"/>
      <c r="CP833" s="511"/>
      <c r="CQ833" s="511"/>
      <c r="CR833" s="511"/>
      <c r="CS833" s="511"/>
      <c r="CT833" s="511"/>
      <c r="CU833" s="511"/>
      <c r="CV833" s="511"/>
      <c r="CW833" s="511"/>
      <c r="CX833" s="511"/>
      <c r="CY833" s="511"/>
      <c r="CZ833" s="511"/>
      <c r="DA833" s="511"/>
      <c r="DB833" s="511"/>
      <c r="DC833" s="511"/>
      <c r="DD833" s="511"/>
      <c r="DE833" s="511"/>
      <c r="DF833" s="511"/>
      <c r="DG833" s="511"/>
      <c r="DH833" s="511"/>
      <c r="DI833" s="511"/>
      <c r="DJ833" s="511"/>
      <c r="DK833" s="511"/>
      <c r="DL833" s="511"/>
      <c r="DM833" s="511"/>
      <c r="DN833" s="511"/>
      <c r="DO833" s="511"/>
      <c r="DP833" s="511"/>
    </row>
    <row r="834" spans="1:120" x14ac:dyDescent="0.2">
      <c r="A834" s="517">
        <f t="shared" si="114"/>
        <v>42309</v>
      </c>
      <c r="B834" s="517" t="str">
        <f t="shared" si="107"/>
        <v>4Q15</v>
      </c>
      <c r="C834" s="517" t="str">
        <f t="shared" si="115"/>
        <v>1Q16</v>
      </c>
      <c r="D834" s="518">
        <f t="shared" si="116"/>
        <v>42391</v>
      </c>
      <c r="E834" s="518">
        <f t="shared" si="117"/>
        <v>42331</v>
      </c>
      <c r="F834" s="520">
        <v>2.4449999999999998</v>
      </c>
      <c r="G834" s="521">
        <f t="shared" si="108"/>
        <v>0.26000000000000006</v>
      </c>
      <c r="H834" s="521">
        <f t="shared" si="118"/>
        <v>0.26000000000000006</v>
      </c>
      <c r="I834" s="511"/>
      <c r="J834" s="511"/>
      <c r="K834" s="511"/>
      <c r="L834" s="511"/>
      <c r="M834" s="511"/>
      <c r="N834" s="511"/>
      <c r="O834" s="511"/>
      <c r="P834" s="511"/>
      <c r="Q834" s="511"/>
      <c r="R834" s="511"/>
      <c r="S834" s="511"/>
      <c r="T834" s="511"/>
      <c r="U834" s="511"/>
      <c r="V834" s="511"/>
      <c r="W834" s="511"/>
      <c r="X834" s="511"/>
      <c r="Y834" s="511"/>
      <c r="Z834" s="511"/>
      <c r="AA834" s="511"/>
      <c r="AB834" s="511"/>
      <c r="AC834" s="511"/>
      <c r="AD834" s="511"/>
      <c r="AE834" s="511"/>
      <c r="AF834" s="511"/>
      <c r="AG834" s="511"/>
      <c r="AH834" s="511"/>
      <c r="AI834" s="511"/>
      <c r="AJ834" s="511"/>
      <c r="AK834" s="511"/>
      <c r="AL834" s="511"/>
      <c r="AM834" s="511"/>
      <c r="AN834" s="511"/>
      <c r="AO834" s="511"/>
      <c r="AP834" s="511"/>
      <c r="AQ834" s="511"/>
      <c r="AR834" s="511"/>
      <c r="AS834" s="511"/>
      <c r="AT834" s="511"/>
      <c r="AU834" s="511"/>
      <c r="AV834" s="511"/>
      <c r="AW834" s="511"/>
      <c r="AX834" s="511"/>
      <c r="AY834" s="511"/>
      <c r="AZ834" s="511"/>
      <c r="BA834" s="511"/>
      <c r="BB834" s="511"/>
      <c r="BC834" s="511"/>
      <c r="BD834" s="511"/>
      <c r="BE834" s="511"/>
      <c r="BF834" s="511"/>
      <c r="BG834" s="511"/>
      <c r="BH834" s="511"/>
      <c r="BI834" s="511"/>
      <c r="BJ834" s="511"/>
      <c r="BK834" s="511"/>
      <c r="BL834" s="511"/>
      <c r="BM834" s="511"/>
      <c r="BN834" s="511"/>
      <c r="BO834" s="511"/>
      <c r="BP834" s="511"/>
      <c r="BQ834" s="511"/>
      <c r="BR834" s="511"/>
      <c r="BS834" s="511"/>
      <c r="BT834" s="511"/>
      <c r="BU834" s="511"/>
      <c r="BV834" s="511"/>
      <c r="BW834" s="511"/>
      <c r="BX834" s="511"/>
      <c r="BY834" s="511"/>
      <c r="BZ834" s="511"/>
      <c r="CA834" s="511"/>
      <c r="CB834" s="511"/>
      <c r="CC834" s="511"/>
      <c r="CD834" s="511"/>
      <c r="CE834" s="511"/>
      <c r="CF834" s="511"/>
      <c r="CG834" s="511"/>
      <c r="CH834" s="511"/>
      <c r="CI834" s="511"/>
      <c r="CJ834" s="511"/>
      <c r="CK834" s="511"/>
      <c r="CL834" s="511"/>
      <c r="CM834" s="511"/>
      <c r="CN834" s="511"/>
      <c r="CO834" s="511"/>
      <c r="CP834" s="511"/>
      <c r="CQ834" s="511"/>
      <c r="CR834" s="511"/>
      <c r="CS834" s="511"/>
      <c r="CT834" s="511"/>
      <c r="CU834" s="511"/>
      <c r="CV834" s="511"/>
      <c r="CW834" s="511"/>
      <c r="CX834" s="511"/>
      <c r="CY834" s="511"/>
      <c r="CZ834" s="511"/>
      <c r="DA834" s="511"/>
      <c r="DB834" s="511"/>
      <c r="DC834" s="511"/>
      <c r="DD834" s="511"/>
      <c r="DE834" s="511"/>
      <c r="DF834" s="511"/>
      <c r="DG834" s="511"/>
      <c r="DH834" s="511"/>
      <c r="DI834" s="511"/>
      <c r="DJ834" s="511"/>
      <c r="DK834" s="511"/>
      <c r="DL834" s="511"/>
      <c r="DM834" s="511"/>
      <c r="DN834" s="511"/>
      <c r="DO834" s="511"/>
      <c r="DP834" s="511"/>
    </row>
    <row r="835" spans="1:120" x14ac:dyDescent="0.2">
      <c r="A835" s="517">
        <f t="shared" si="114"/>
        <v>42309</v>
      </c>
      <c r="B835" s="517" t="str">
        <f t="shared" si="107"/>
        <v>4Q15</v>
      </c>
      <c r="C835" s="517" t="str">
        <f t="shared" si="115"/>
        <v>1Q16</v>
      </c>
      <c r="D835" s="518">
        <f t="shared" si="116"/>
        <v>42398</v>
      </c>
      <c r="E835" s="518">
        <f t="shared" si="117"/>
        <v>42338</v>
      </c>
      <c r="F835" s="520">
        <v>2.4209999999999998</v>
      </c>
      <c r="G835" s="521">
        <f t="shared" si="108"/>
        <v>0.26000000000000006</v>
      </c>
      <c r="H835" s="521">
        <f t="shared" si="118"/>
        <v>0.25000000000000006</v>
      </c>
      <c r="I835" s="511"/>
      <c r="J835" s="511"/>
      <c r="K835" s="511"/>
      <c r="L835" s="511"/>
      <c r="M835" s="511"/>
      <c r="N835" s="511"/>
      <c r="O835" s="511"/>
      <c r="P835" s="511"/>
      <c r="Q835" s="511"/>
      <c r="R835" s="511"/>
      <c r="S835" s="511"/>
      <c r="T835" s="511"/>
      <c r="U835" s="511"/>
      <c r="V835" s="511"/>
      <c r="W835" s="511"/>
      <c r="X835" s="511"/>
      <c r="Y835" s="511"/>
      <c r="Z835" s="511"/>
      <c r="AA835" s="511"/>
      <c r="AB835" s="511"/>
      <c r="AC835" s="511"/>
      <c r="AD835" s="511"/>
      <c r="AE835" s="511"/>
      <c r="AF835" s="511"/>
      <c r="AG835" s="511"/>
      <c r="AH835" s="511"/>
      <c r="AI835" s="511"/>
      <c r="AJ835" s="511"/>
      <c r="AK835" s="511"/>
      <c r="AL835" s="511"/>
      <c r="AM835" s="511"/>
      <c r="AN835" s="511"/>
      <c r="AO835" s="511"/>
      <c r="AP835" s="511"/>
      <c r="AQ835" s="511"/>
      <c r="AR835" s="511"/>
      <c r="AS835" s="511"/>
      <c r="AT835" s="511"/>
      <c r="AU835" s="511"/>
      <c r="AV835" s="511"/>
      <c r="AW835" s="511"/>
      <c r="AX835" s="511"/>
      <c r="AY835" s="511"/>
      <c r="AZ835" s="511"/>
      <c r="BA835" s="511"/>
      <c r="BB835" s="511"/>
      <c r="BC835" s="511"/>
      <c r="BD835" s="511"/>
      <c r="BE835" s="511"/>
      <c r="BF835" s="511"/>
      <c r="BG835" s="511"/>
      <c r="BH835" s="511"/>
      <c r="BI835" s="511"/>
      <c r="BJ835" s="511"/>
      <c r="BK835" s="511"/>
      <c r="BL835" s="511"/>
      <c r="BM835" s="511"/>
      <c r="BN835" s="511"/>
      <c r="BO835" s="511"/>
      <c r="BP835" s="511"/>
      <c r="BQ835" s="511"/>
      <c r="BR835" s="511"/>
      <c r="BS835" s="511"/>
      <c r="BT835" s="511"/>
      <c r="BU835" s="511"/>
      <c r="BV835" s="511"/>
      <c r="BW835" s="511"/>
      <c r="BX835" s="511"/>
      <c r="BY835" s="511"/>
      <c r="BZ835" s="511"/>
      <c r="CA835" s="511"/>
      <c r="CB835" s="511"/>
      <c r="CC835" s="511"/>
      <c r="CD835" s="511"/>
      <c r="CE835" s="511"/>
      <c r="CF835" s="511"/>
      <c r="CG835" s="511"/>
      <c r="CH835" s="511"/>
      <c r="CI835" s="511"/>
      <c r="CJ835" s="511"/>
      <c r="CK835" s="511"/>
      <c r="CL835" s="511"/>
      <c r="CM835" s="511"/>
      <c r="CN835" s="511"/>
      <c r="CO835" s="511"/>
      <c r="CP835" s="511"/>
      <c r="CQ835" s="511"/>
      <c r="CR835" s="511"/>
      <c r="CS835" s="511"/>
      <c r="CT835" s="511"/>
      <c r="CU835" s="511"/>
      <c r="CV835" s="511"/>
      <c r="CW835" s="511"/>
      <c r="CX835" s="511"/>
      <c r="CY835" s="511"/>
      <c r="CZ835" s="511"/>
      <c r="DA835" s="511"/>
      <c r="DB835" s="511"/>
      <c r="DC835" s="511"/>
      <c r="DD835" s="511"/>
      <c r="DE835" s="511"/>
      <c r="DF835" s="511"/>
      <c r="DG835" s="511"/>
      <c r="DH835" s="511"/>
      <c r="DI835" s="511"/>
      <c r="DJ835" s="511"/>
      <c r="DK835" s="511"/>
      <c r="DL835" s="511"/>
      <c r="DM835" s="511"/>
      <c r="DN835" s="511"/>
      <c r="DO835" s="511"/>
      <c r="DP835" s="511"/>
    </row>
    <row r="836" spans="1:120" x14ac:dyDescent="0.2">
      <c r="A836" s="517">
        <f t="shared" si="114"/>
        <v>42339</v>
      </c>
      <c r="B836" s="517" t="str">
        <f t="shared" ref="B836:B899" si="119">VLOOKUP(MONTH(A836),$N$4:$O$16,2,FALSE) &amp; "Q" &amp; RIGHT(YEAR(A836),2)</f>
        <v>4Q15</v>
      </c>
      <c r="C836" s="517" t="str">
        <f t="shared" si="115"/>
        <v>1Q16</v>
      </c>
      <c r="D836" s="518">
        <f t="shared" si="116"/>
        <v>42405</v>
      </c>
      <c r="E836" s="518">
        <f t="shared" si="117"/>
        <v>42345</v>
      </c>
      <c r="F836" s="520">
        <v>2.379</v>
      </c>
      <c r="G836" s="521">
        <f t="shared" ref="G836:G899" si="120">INDEX($I$4:$K$153,MATCH(F836,$I$4:$I$153,1),3)</f>
        <v>0.25000000000000006</v>
      </c>
      <c r="H836" s="521">
        <f t="shared" si="118"/>
        <v>0.24000000000000007</v>
      </c>
      <c r="I836" s="511"/>
      <c r="J836" s="511"/>
      <c r="K836" s="511"/>
      <c r="L836" s="511"/>
      <c r="M836" s="511"/>
      <c r="N836" s="511"/>
      <c r="O836" s="511"/>
      <c r="P836" s="511"/>
      <c r="Q836" s="511"/>
      <c r="R836" s="511"/>
      <c r="S836" s="511"/>
      <c r="T836" s="511"/>
      <c r="U836" s="511"/>
      <c r="V836" s="511"/>
      <c r="W836" s="511"/>
      <c r="X836" s="511"/>
      <c r="Y836" s="511"/>
      <c r="Z836" s="511"/>
      <c r="AA836" s="511"/>
      <c r="AB836" s="511"/>
      <c r="AC836" s="511"/>
      <c r="AD836" s="511"/>
      <c r="AE836" s="511"/>
      <c r="AF836" s="511"/>
      <c r="AG836" s="511"/>
      <c r="AH836" s="511"/>
      <c r="AI836" s="511"/>
      <c r="AJ836" s="511"/>
      <c r="AK836" s="511"/>
      <c r="AL836" s="511"/>
      <c r="AM836" s="511"/>
      <c r="AN836" s="511"/>
      <c r="AO836" s="511"/>
      <c r="AP836" s="511"/>
      <c r="AQ836" s="511"/>
      <c r="AR836" s="511"/>
      <c r="AS836" s="511"/>
      <c r="AT836" s="511"/>
      <c r="AU836" s="511"/>
      <c r="AV836" s="511"/>
      <c r="AW836" s="511"/>
      <c r="AX836" s="511"/>
      <c r="AY836" s="511"/>
      <c r="AZ836" s="511"/>
      <c r="BA836" s="511"/>
      <c r="BB836" s="511"/>
      <c r="BC836" s="511"/>
      <c r="BD836" s="511"/>
      <c r="BE836" s="511"/>
      <c r="BF836" s="511"/>
      <c r="BG836" s="511"/>
      <c r="BH836" s="511"/>
      <c r="BI836" s="511"/>
      <c r="BJ836" s="511"/>
      <c r="BK836" s="511"/>
      <c r="BL836" s="511"/>
      <c r="BM836" s="511"/>
      <c r="BN836" s="511"/>
      <c r="BO836" s="511"/>
      <c r="BP836" s="511"/>
      <c r="BQ836" s="511"/>
      <c r="BR836" s="511"/>
      <c r="BS836" s="511"/>
      <c r="BT836" s="511"/>
      <c r="BU836" s="511"/>
      <c r="BV836" s="511"/>
      <c r="BW836" s="511"/>
      <c r="BX836" s="511"/>
      <c r="BY836" s="511"/>
      <c r="BZ836" s="511"/>
      <c r="CA836" s="511"/>
      <c r="CB836" s="511"/>
      <c r="CC836" s="511"/>
      <c r="CD836" s="511"/>
      <c r="CE836" s="511"/>
      <c r="CF836" s="511"/>
      <c r="CG836" s="511"/>
      <c r="CH836" s="511"/>
      <c r="CI836" s="511"/>
      <c r="CJ836" s="511"/>
      <c r="CK836" s="511"/>
      <c r="CL836" s="511"/>
      <c r="CM836" s="511"/>
      <c r="CN836" s="511"/>
      <c r="CO836" s="511"/>
      <c r="CP836" s="511"/>
      <c r="CQ836" s="511"/>
      <c r="CR836" s="511"/>
      <c r="CS836" s="511"/>
      <c r="CT836" s="511"/>
      <c r="CU836" s="511"/>
      <c r="CV836" s="511"/>
      <c r="CW836" s="511"/>
      <c r="CX836" s="511"/>
      <c r="CY836" s="511"/>
      <c r="CZ836" s="511"/>
      <c r="DA836" s="511"/>
      <c r="DB836" s="511"/>
      <c r="DC836" s="511"/>
      <c r="DD836" s="511"/>
      <c r="DE836" s="511"/>
      <c r="DF836" s="511"/>
      <c r="DG836" s="511"/>
      <c r="DH836" s="511"/>
      <c r="DI836" s="511"/>
      <c r="DJ836" s="511"/>
      <c r="DK836" s="511"/>
      <c r="DL836" s="511"/>
      <c r="DM836" s="511"/>
      <c r="DN836" s="511"/>
      <c r="DO836" s="511"/>
      <c r="DP836" s="511"/>
    </row>
    <row r="837" spans="1:120" x14ac:dyDescent="0.2">
      <c r="A837" s="517">
        <f t="shared" si="114"/>
        <v>42339</v>
      </c>
      <c r="B837" s="517" t="str">
        <f t="shared" si="119"/>
        <v>4Q15</v>
      </c>
      <c r="C837" s="517" t="str">
        <f t="shared" si="115"/>
        <v>1Q16</v>
      </c>
      <c r="D837" s="518">
        <f t="shared" si="116"/>
        <v>42412</v>
      </c>
      <c r="E837" s="518">
        <f t="shared" si="117"/>
        <v>42352</v>
      </c>
      <c r="F837" s="520">
        <v>2.3380000000000001</v>
      </c>
      <c r="G837" s="521">
        <f t="shared" si="120"/>
        <v>0.24000000000000007</v>
      </c>
      <c r="H837" s="521">
        <f t="shared" si="118"/>
        <v>0.23000000000000007</v>
      </c>
      <c r="I837" s="511"/>
      <c r="J837" s="511"/>
      <c r="K837" s="511"/>
      <c r="L837" s="511"/>
      <c r="M837" s="511"/>
      <c r="N837" s="511"/>
      <c r="O837" s="511"/>
      <c r="P837" s="511"/>
      <c r="Q837" s="511"/>
      <c r="R837" s="511"/>
      <c r="S837" s="511"/>
      <c r="T837" s="511"/>
      <c r="U837" s="511"/>
      <c r="V837" s="511"/>
      <c r="W837" s="511"/>
      <c r="X837" s="511"/>
      <c r="Y837" s="511"/>
      <c r="Z837" s="511"/>
      <c r="AA837" s="511"/>
      <c r="AB837" s="511"/>
      <c r="AC837" s="511"/>
      <c r="AD837" s="511"/>
      <c r="AE837" s="511"/>
      <c r="AF837" s="511"/>
      <c r="AG837" s="511"/>
      <c r="AH837" s="511"/>
      <c r="AI837" s="511"/>
      <c r="AJ837" s="511"/>
      <c r="AK837" s="511"/>
      <c r="AL837" s="511"/>
      <c r="AM837" s="511"/>
      <c r="AN837" s="511"/>
      <c r="AO837" s="511"/>
      <c r="AP837" s="511"/>
      <c r="AQ837" s="511"/>
      <c r="AR837" s="511"/>
      <c r="AS837" s="511"/>
      <c r="AT837" s="511"/>
      <c r="AU837" s="511"/>
      <c r="AV837" s="511"/>
      <c r="AW837" s="511"/>
      <c r="AX837" s="511"/>
      <c r="AY837" s="511"/>
      <c r="AZ837" s="511"/>
      <c r="BA837" s="511"/>
      <c r="BB837" s="511"/>
      <c r="BC837" s="511"/>
      <c r="BD837" s="511"/>
      <c r="BE837" s="511"/>
      <c r="BF837" s="511"/>
      <c r="BG837" s="511"/>
      <c r="BH837" s="511"/>
      <c r="BI837" s="511"/>
      <c r="BJ837" s="511"/>
      <c r="BK837" s="511"/>
      <c r="BL837" s="511"/>
      <c r="BM837" s="511"/>
      <c r="BN837" s="511"/>
      <c r="BO837" s="511"/>
      <c r="BP837" s="511"/>
      <c r="BQ837" s="511"/>
      <c r="BR837" s="511"/>
      <c r="BS837" s="511"/>
      <c r="BT837" s="511"/>
      <c r="BU837" s="511"/>
      <c r="BV837" s="511"/>
      <c r="BW837" s="511"/>
      <c r="BX837" s="511"/>
      <c r="BY837" s="511"/>
      <c r="BZ837" s="511"/>
      <c r="CA837" s="511"/>
      <c r="CB837" s="511"/>
      <c r="CC837" s="511"/>
      <c r="CD837" s="511"/>
      <c r="CE837" s="511"/>
      <c r="CF837" s="511"/>
      <c r="CG837" s="511"/>
      <c r="CH837" s="511"/>
      <c r="CI837" s="511"/>
      <c r="CJ837" s="511"/>
      <c r="CK837" s="511"/>
      <c r="CL837" s="511"/>
      <c r="CM837" s="511"/>
      <c r="CN837" s="511"/>
      <c r="CO837" s="511"/>
      <c r="CP837" s="511"/>
      <c r="CQ837" s="511"/>
      <c r="CR837" s="511"/>
      <c r="CS837" s="511"/>
      <c r="CT837" s="511"/>
      <c r="CU837" s="511"/>
      <c r="CV837" s="511"/>
      <c r="CW837" s="511"/>
      <c r="CX837" s="511"/>
      <c r="CY837" s="511"/>
      <c r="CZ837" s="511"/>
      <c r="DA837" s="511"/>
      <c r="DB837" s="511"/>
      <c r="DC837" s="511"/>
      <c r="DD837" s="511"/>
      <c r="DE837" s="511"/>
      <c r="DF837" s="511"/>
      <c r="DG837" s="511"/>
      <c r="DH837" s="511"/>
      <c r="DI837" s="511"/>
      <c r="DJ837" s="511"/>
      <c r="DK837" s="511"/>
      <c r="DL837" s="511"/>
      <c r="DM837" s="511"/>
      <c r="DN837" s="511"/>
      <c r="DO837" s="511"/>
      <c r="DP837" s="511"/>
    </row>
    <row r="838" spans="1:120" x14ac:dyDescent="0.2">
      <c r="A838" s="517">
        <f t="shared" si="114"/>
        <v>42339</v>
      </c>
      <c r="B838" s="517" t="str">
        <f t="shared" si="119"/>
        <v>4Q15</v>
      </c>
      <c r="C838" s="517" t="str">
        <f t="shared" si="115"/>
        <v>1Q16</v>
      </c>
      <c r="D838" s="518">
        <f t="shared" si="116"/>
        <v>42419</v>
      </c>
      <c r="E838" s="518">
        <f t="shared" si="117"/>
        <v>42359</v>
      </c>
      <c r="F838" s="520">
        <v>2.2839999999999998</v>
      </c>
      <c r="G838" s="521">
        <f t="shared" si="120"/>
        <v>0.23000000000000007</v>
      </c>
      <c r="H838" s="521">
        <f t="shared" si="118"/>
        <v>0.22000000000000006</v>
      </c>
      <c r="I838" s="511"/>
      <c r="J838" s="511"/>
      <c r="K838" s="511"/>
      <c r="L838" s="511"/>
      <c r="M838" s="511"/>
      <c r="N838" s="511"/>
      <c r="O838" s="511"/>
      <c r="P838" s="511"/>
      <c r="Q838" s="511"/>
      <c r="R838" s="511"/>
      <c r="S838" s="511"/>
      <c r="T838" s="511"/>
      <c r="U838" s="511"/>
      <c r="V838" s="511"/>
      <c r="W838" s="511"/>
      <c r="X838" s="511"/>
      <c r="Y838" s="511"/>
      <c r="Z838" s="511"/>
      <c r="AA838" s="511"/>
      <c r="AB838" s="511"/>
      <c r="AC838" s="511"/>
      <c r="AD838" s="511"/>
      <c r="AE838" s="511"/>
      <c r="AF838" s="511"/>
      <c r="AG838" s="511"/>
      <c r="AH838" s="511"/>
      <c r="AI838" s="511"/>
      <c r="AJ838" s="511"/>
      <c r="AK838" s="511"/>
      <c r="AL838" s="511"/>
      <c r="AM838" s="511"/>
      <c r="AN838" s="511"/>
      <c r="AO838" s="511"/>
      <c r="AP838" s="511"/>
      <c r="AQ838" s="511"/>
      <c r="AR838" s="511"/>
      <c r="AS838" s="511"/>
      <c r="AT838" s="511"/>
      <c r="AU838" s="511"/>
      <c r="AV838" s="511"/>
      <c r="AW838" s="511"/>
      <c r="AX838" s="511"/>
      <c r="AY838" s="511"/>
      <c r="AZ838" s="511"/>
      <c r="BA838" s="511"/>
      <c r="BB838" s="511"/>
      <c r="BC838" s="511"/>
      <c r="BD838" s="511"/>
      <c r="BE838" s="511"/>
      <c r="BF838" s="511"/>
      <c r="BG838" s="511"/>
      <c r="BH838" s="511"/>
      <c r="BI838" s="511"/>
      <c r="BJ838" s="511"/>
      <c r="BK838" s="511"/>
      <c r="BL838" s="511"/>
      <c r="BM838" s="511"/>
      <c r="BN838" s="511"/>
      <c r="BO838" s="511"/>
      <c r="BP838" s="511"/>
      <c r="BQ838" s="511"/>
      <c r="BR838" s="511"/>
      <c r="BS838" s="511"/>
      <c r="BT838" s="511"/>
      <c r="BU838" s="511"/>
      <c r="BV838" s="511"/>
      <c r="BW838" s="511"/>
      <c r="BX838" s="511"/>
      <c r="BY838" s="511"/>
      <c r="BZ838" s="511"/>
      <c r="CA838" s="511"/>
      <c r="CB838" s="511"/>
      <c r="CC838" s="511"/>
      <c r="CD838" s="511"/>
      <c r="CE838" s="511"/>
      <c r="CF838" s="511"/>
      <c r="CG838" s="511"/>
      <c r="CH838" s="511"/>
      <c r="CI838" s="511"/>
      <c r="CJ838" s="511"/>
      <c r="CK838" s="511"/>
      <c r="CL838" s="511"/>
      <c r="CM838" s="511"/>
      <c r="CN838" s="511"/>
      <c r="CO838" s="511"/>
      <c r="CP838" s="511"/>
      <c r="CQ838" s="511"/>
      <c r="CR838" s="511"/>
      <c r="CS838" s="511"/>
      <c r="CT838" s="511"/>
      <c r="CU838" s="511"/>
      <c r="CV838" s="511"/>
      <c r="CW838" s="511"/>
      <c r="CX838" s="511"/>
      <c r="CY838" s="511"/>
      <c r="CZ838" s="511"/>
      <c r="DA838" s="511"/>
      <c r="DB838" s="511"/>
      <c r="DC838" s="511"/>
      <c r="DD838" s="511"/>
      <c r="DE838" s="511"/>
      <c r="DF838" s="511"/>
      <c r="DG838" s="511"/>
      <c r="DH838" s="511"/>
      <c r="DI838" s="511"/>
      <c r="DJ838" s="511"/>
      <c r="DK838" s="511"/>
      <c r="DL838" s="511"/>
      <c r="DM838" s="511"/>
      <c r="DN838" s="511"/>
      <c r="DO838" s="511"/>
      <c r="DP838" s="511"/>
    </row>
    <row r="839" spans="1:120" x14ac:dyDescent="0.2">
      <c r="A839" s="517">
        <f t="shared" si="114"/>
        <v>42339</v>
      </c>
      <c r="B839" s="517" t="str">
        <f t="shared" si="119"/>
        <v>4Q15</v>
      </c>
      <c r="C839" s="517" t="str">
        <f t="shared" si="115"/>
        <v>1Q16</v>
      </c>
      <c r="D839" s="518">
        <f t="shared" si="116"/>
        <v>42426</v>
      </c>
      <c r="E839" s="518">
        <f t="shared" si="117"/>
        <v>42366</v>
      </c>
      <c r="F839" s="520">
        <v>2.2370000000000001</v>
      </c>
      <c r="G839" s="521">
        <f t="shared" si="120"/>
        <v>0.22000000000000006</v>
      </c>
      <c r="H839" s="521">
        <f t="shared" si="118"/>
        <v>0.22000000000000006</v>
      </c>
      <c r="I839" s="511"/>
      <c r="J839" s="511"/>
      <c r="K839" s="511"/>
      <c r="L839" s="511"/>
      <c r="M839" s="511"/>
      <c r="N839" s="511"/>
      <c r="O839" s="511"/>
      <c r="P839" s="511"/>
      <c r="Q839" s="511"/>
      <c r="R839" s="511"/>
      <c r="S839" s="511"/>
      <c r="T839" s="511"/>
      <c r="U839" s="511"/>
      <c r="V839" s="511"/>
      <c r="W839" s="511"/>
      <c r="X839" s="511"/>
      <c r="Y839" s="511"/>
      <c r="Z839" s="511"/>
      <c r="AA839" s="511"/>
      <c r="AB839" s="511"/>
      <c r="AC839" s="511"/>
      <c r="AD839" s="511"/>
      <c r="AE839" s="511"/>
      <c r="AF839" s="511"/>
      <c r="AG839" s="511"/>
      <c r="AH839" s="511"/>
      <c r="AI839" s="511"/>
      <c r="AJ839" s="511"/>
      <c r="AK839" s="511"/>
      <c r="AL839" s="511"/>
      <c r="AM839" s="511"/>
      <c r="AN839" s="511"/>
      <c r="AO839" s="511"/>
      <c r="AP839" s="511"/>
      <c r="AQ839" s="511"/>
      <c r="AR839" s="511"/>
      <c r="AS839" s="511"/>
      <c r="AT839" s="511"/>
      <c r="AU839" s="511"/>
      <c r="AV839" s="511"/>
      <c r="AW839" s="511"/>
      <c r="AX839" s="511"/>
      <c r="AY839" s="511"/>
      <c r="AZ839" s="511"/>
      <c r="BA839" s="511"/>
      <c r="BB839" s="511"/>
      <c r="BC839" s="511"/>
      <c r="BD839" s="511"/>
      <c r="BE839" s="511"/>
      <c r="BF839" s="511"/>
      <c r="BG839" s="511"/>
      <c r="BH839" s="511"/>
      <c r="BI839" s="511"/>
      <c r="BJ839" s="511"/>
      <c r="BK839" s="511"/>
      <c r="BL839" s="511"/>
      <c r="BM839" s="511"/>
      <c r="BN839" s="511"/>
      <c r="BO839" s="511"/>
      <c r="BP839" s="511"/>
      <c r="BQ839" s="511"/>
      <c r="BR839" s="511"/>
      <c r="BS839" s="511"/>
      <c r="BT839" s="511"/>
      <c r="BU839" s="511"/>
      <c r="BV839" s="511"/>
      <c r="BW839" s="511"/>
      <c r="BX839" s="511"/>
      <c r="BY839" s="511"/>
      <c r="BZ839" s="511"/>
      <c r="CA839" s="511"/>
      <c r="CB839" s="511"/>
      <c r="CC839" s="511"/>
      <c r="CD839" s="511"/>
      <c r="CE839" s="511"/>
      <c r="CF839" s="511"/>
      <c r="CG839" s="511"/>
      <c r="CH839" s="511"/>
      <c r="CI839" s="511"/>
      <c r="CJ839" s="511"/>
      <c r="CK839" s="511"/>
      <c r="CL839" s="511"/>
      <c r="CM839" s="511"/>
      <c r="CN839" s="511"/>
      <c r="CO839" s="511"/>
      <c r="CP839" s="511"/>
      <c r="CQ839" s="511"/>
      <c r="CR839" s="511"/>
      <c r="CS839" s="511"/>
      <c r="CT839" s="511"/>
      <c r="CU839" s="511"/>
      <c r="CV839" s="511"/>
      <c r="CW839" s="511"/>
      <c r="CX839" s="511"/>
      <c r="CY839" s="511"/>
      <c r="CZ839" s="511"/>
      <c r="DA839" s="511"/>
      <c r="DB839" s="511"/>
      <c r="DC839" s="511"/>
      <c r="DD839" s="511"/>
      <c r="DE839" s="511"/>
      <c r="DF839" s="511"/>
      <c r="DG839" s="511"/>
      <c r="DH839" s="511"/>
      <c r="DI839" s="511"/>
      <c r="DJ839" s="511"/>
      <c r="DK839" s="511"/>
      <c r="DL839" s="511"/>
      <c r="DM839" s="511"/>
      <c r="DN839" s="511"/>
      <c r="DO839" s="511"/>
      <c r="DP839" s="511"/>
    </row>
    <row r="840" spans="1:120" x14ac:dyDescent="0.2">
      <c r="A840" s="517">
        <f t="shared" si="114"/>
        <v>42370</v>
      </c>
      <c r="B840" s="517" t="str">
        <f t="shared" si="119"/>
        <v>1Q16</v>
      </c>
      <c r="C840" s="517" t="str">
        <f t="shared" si="115"/>
        <v>1Q16</v>
      </c>
      <c r="D840" s="518">
        <f t="shared" si="116"/>
        <v>42433</v>
      </c>
      <c r="E840" s="518">
        <f t="shared" si="117"/>
        <v>42373</v>
      </c>
      <c r="F840" s="520">
        <v>2.2109999999999999</v>
      </c>
      <c r="G840" s="521">
        <f t="shared" si="120"/>
        <v>0.22000000000000006</v>
      </c>
      <c r="H840" s="521">
        <f t="shared" si="118"/>
        <v>0.21000000000000005</v>
      </c>
      <c r="I840" s="511"/>
      <c r="J840" s="511"/>
      <c r="K840" s="511"/>
      <c r="L840" s="511"/>
      <c r="M840" s="511"/>
      <c r="N840" s="511"/>
      <c r="O840" s="511"/>
      <c r="P840" s="511"/>
      <c r="Q840" s="511"/>
      <c r="R840" s="511"/>
      <c r="S840" s="511"/>
      <c r="T840" s="511"/>
      <c r="U840" s="511"/>
      <c r="V840" s="511"/>
      <c r="W840" s="511"/>
      <c r="X840" s="511"/>
      <c r="Y840" s="511"/>
      <c r="Z840" s="511"/>
      <c r="AA840" s="511"/>
      <c r="AB840" s="511"/>
      <c r="AC840" s="511"/>
      <c r="AD840" s="511"/>
      <c r="AE840" s="511"/>
      <c r="AF840" s="511"/>
      <c r="AG840" s="511"/>
      <c r="AH840" s="511"/>
      <c r="AI840" s="511"/>
      <c r="AJ840" s="511"/>
      <c r="AK840" s="511"/>
      <c r="AL840" s="511"/>
      <c r="AM840" s="511"/>
      <c r="AN840" s="511"/>
      <c r="AO840" s="511"/>
      <c r="AP840" s="511"/>
      <c r="AQ840" s="511"/>
      <c r="AR840" s="511"/>
      <c r="AS840" s="511"/>
      <c r="AT840" s="511"/>
      <c r="AU840" s="511"/>
      <c r="AV840" s="511"/>
      <c r="AW840" s="511"/>
      <c r="AX840" s="511"/>
      <c r="AY840" s="511"/>
      <c r="AZ840" s="511"/>
      <c r="BA840" s="511"/>
      <c r="BB840" s="511"/>
      <c r="BC840" s="511"/>
      <c r="BD840" s="511"/>
      <c r="BE840" s="511"/>
      <c r="BF840" s="511"/>
      <c r="BG840" s="511"/>
      <c r="BH840" s="511"/>
      <c r="BI840" s="511"/>
      <c r="BJ840" s="511"/>
      <c r="BK840" s="511"/>
      <c r="BL840" s="511"/>
      <c r="BM840" s="511"/>
      <c r="BN840" s="511"/>
      <c r="BO840" s="511"/>
      <c r="BP840" s="511"/>
      <c r="BQ840" s="511"/>
      <c r="BR840" s="511"/>
      <c r="BS840" s="511"/>
      <c r="BT840" s="511"/>
      <c r="BU840" s="511"/>
      <c r="BV840" s="511"/>
      <c r="BW840" s="511"/>
      <c r="BX840" s="511"/>
      <c r="BY840" s="511"/>
      <c r="BZ840" s="511"/>
      <c r="CA840" s="511"/>
      <c r="CB840" s="511"/>
      <c r="CC840" s="511"/>
      <c r="CD840" s="511"/>
      <c r="CE840" s="511"/>
      <c r="CF840" s="511"/>
      <c r="CG840" s="511"/>
      <c r="CH840" s="511"/>
      <c r="CI840" s="511"/>
      <c r="CJ840" s="511"/>
      <c r="CK840" s="511"/>
      <c r="CL840" s="511"/>
      <c r="CM840" s="511"/>
      <c r="CN840" s="511"/>
      <c r="CO840" s="511"/>
      <c r="CP840" s="511"/>
      <c r="CQ840" s="511"/>
      <c r="CR840" s="511"/>
      <c r="CS840" s="511"/>
      <c r="CT840" s="511"/>
      <c r="CU840" s="511"/>
      <c r="CV840" s="511"/>
      <c r="CW840" s="511"/>
      <c r="CX840" s="511"/>
      <c r="CY840" s="511"/>
      <c r="CZ840" s="511"/>
      <c r="DA840" s="511"/>
      <c r="DB840" s="511"/>
      <c r="DC840" s="511"/>
      <c r="DD840" s="511"/>
      <c r="DE840" s="511"/>
      <c r="DF840" s="511"/>
      <c r="DG840" s="511"/>
      <c r="DH840" s="511"/>
      <c r="DI840" s="511"/>
      <c r="DJ840" s="511"/>
      <c r="DK840" s="511"/>
      <c r="DL840" s="511"/>
      <c r="DM840" s="511"/>
      <c r="DN840" s="511"/>
      <c r="DO840" s="511"/>
      <c r="DP840" s="511"/>
    </row>
    <row r="841" spans="1:120" x14ac:dyDescent="0.2">
      <c r="A841" s="517">
        <f t="shared" si="114"/>
        <v>42370</v>
      </c>
      <c r="B841" s="517" t="str">
        <f t="shared" si="119"/>
        <v>1Q16</v>
      </c>
      <c r="C841" s="517" t="str">
        <f t="shared" si="115"/>
        <v>1Q16</v>
      </c>
      <c r="D841" s="518">
        <f t="shared" si="116"/>
        <v>42440</v>
      </c>
      <c r="E841" s="518">
        <f t="shared" si="117"/>
        <v>42380</v>
      </c>
      <c r="F841" s="520">
        <v>2.177</v>
      </c>
      <c r="G841" s="521">
        <f t="shared" si="120"/>
        <v>0.21000000000000005</v>
      </c>
      <c r="H841" s="521">
        <f t="shared" si="118"/>
        <v>0.20000000000000004</v>
      </c>
      <c r="I841" s="511"/>
      <c r="J841" s="511"/>
      <c r="K841" s="511"/>
      <c r="L841" s="511"/>
      <c r="M841" s="511"/>
      <c r="N841" s="511"/>
      <c r="O841" s="511"/>
      <c r="P841" s="511"/>
      <c r="Q841" s="511"/>
      <c r="R841" s="511"/>
      <c r="S841" s="511"/>
      <c r="T841" s="511"/>
      <c r="U841" s="511"/>
      <c r="V841" s="511"/>
      <c r="W841" s="511"/>
      <c r="X841" s="511"/>
      <c r="Y841" s="511"/>
      <c r="Z841" s="511"/>
      <c r="AA841" s="511"/>
      <c r="AB841" s="511"/>
      <c r="AC841" s="511"/>
      <c r="AD841" s="511"/>
      <c r="AE841" s="511"/>
      <c r="AF841" s="511"/>
      <c r="AG841" s="511"/>
      <c r="AH841" s="511"/>
      <c r="AI841" s="511"/>
      <c r="AJ841" s="511"/>
      <c r="AK841" s="511"/>
      <c r="AL841" s="511"/>
      <c r="AM841" s="511"/>
      <c r="AN841" s="511"/>
      <c r="AO841" s="511"/>
      <c r="AP841" s="511"/>
      <c r="AQ841" s="511"/>
      <c r="AR841" s="511"/>
      <c r="AS841" s="511"/>
      <c r="AT841" s="511"/>
      <c r="AU841" s="511"/>
      <c r="AV841" s="511"/>
      <c r="AW841" s="511"/>
      <c r="AX841" s="511"/>
      <c r="AY841" s="511"/>
      <c r="AZ841" s="511"/>
      <c r="BA841" s="511"/>
      <c r="BB841" s="511"/>
      <c r="BC841" s="511"/>
      <c r="BD841" s="511"/>
      <c r="BE841" s="511"/>
      <c r="BF841" s="511"/>
      <c r="BG841" s="511"/>
      <c r="BH841" s="511"/>
      <c r="BI841" s="511"/>
      <c r="BJ841" s="511"/>
      <c r="BK841" s="511"/>
      <c r="BL841" s="511"/>
      <c r="BM841" s="511"/>
      <c r="BN841" s="511"/>
      <c r="BO841" s="511"/>
      <c r="BP841" s="511"/>
      <c r="BQ841" s="511"/>
      <c r="BR841" s="511"/>
      <c r="BS841" s="511"/>
      <c r="BT841" s="511"/>
      <c r="BU841" s="511"/>
      <c r="BV841" s="511"/>
      <c r="BW841" s="511"/>
      <c r="BX841" s="511"/>
      <c r="BY841" s="511"/>
      <c r="BZ841" s="511"/>
      <c r="CA841" s="511"/>
      <c r="CB841" s="511"/>
      <c r="CC841" s="511"/>
      <c r="CD841" s="511"/>
      <c r="CE841" s="511"/>
      <c r="CF841" s="511"/>
      <c r="CG841" s="511"/>
      <c r="CH841" s="511"/>
      <c r="CI841" s="511"/>
      <c r="CJ841" s="511"/>
      <c r="CK841" s="511"/>
      <c r="CL841" s="511"/>
      <c r="CM841" s="511"/>
      <c r="CN841" s="511"/>
      <c r="CO841" s="511"/>
      <c r="CP841" s="511"/>
      <c r="CQ841" s="511"/>
      <c r="CR841" s="511"/>
      <c r="CS841" s="511"/>
      <c r="CT841" s="511"/>
      <c r="CU841" s="511"/>
      <c r="CV841" s="511"/>
      <c r="CW841" s="511"/>
      <c r="CX841" s="511"/>
      <c r="CY841" s="511"/>
      <c r="CZ841" s="511"/>
      <c r="DA841" s="511"/>
      <c r="DB841" s="511"/>
      <c r="DC841" s="511"/>
      <c r="DD841" s="511"/>
      <c r="DE841" s="511"/>
      <c r="DF841" s="511"/>
      <c r="DG841" s="511"/>
      <c r="DH841" s="511"/>
      <c r="DI841" s="511"/>
      <c r="DJ841" s="511"/>
      <c r="DK841" s="511"/>
      <c r="DL841" s="511"/>
      <c r="DM841" s="511"/>
      <c r="DN841" s="511"/>
      <c r="DO841" s="511"/>
      <c r="DP841" s="511"/>
    </row>
    <row r="842" spans="1:120" x14ac:dyDescent="0.2">
      <c r="A842" s="517">
        <f t="shared" si="114"/>
        <v>42370</v>
      </c>
      <c r="B842" s="517" t="str">
        <f t="shared" si="119"/>
        <v>1Q16</v>
      </c>
      <c r="C842" s="517" t="str">
        <f t="shared" si="115"/>
        <v>1Q16</v>
      </c>
      <c r="D842" s="518">
        <f t="shared" si="116"/>
        <v>42447</v>
      </c>
      <c r="E842" s="518">
        <f t="shared" si="117"/>
        <v>42387</v>
      </c>
      <c r="F842" s="520">
        <v>2.1120000000000001</v>
      </c>
      <c r="G842" s="521">
        <f t="shared" si="120"/>
        <v>0.20000000000000004</v>
      </c>
      <c r="H842" s="521">
        <f t="shared" si="118"/>
        <v>0.19000000000000003</v>
      </c>
      <c r="I842" s="511"/>
      <c r="J842" s="511"/>
      <c r="K842" s="511"/>
      <c r="L842" s="511"/>
      <c r="M842" s="511"/>
      <c r="N842" s="511"/>
      <c r="O842" s="511"/>
      <c r="P842" s="511"/>
      <c r="Q842" s="511"/>
      <c r="R842" s="511"/>
      <c r="S842" s="511"/>
      <c r="T842" s="511"/>
      <c r="U842" s="511"/>
      <c r="V842" s="511"/>
      <c r="W842" s="511"/>
      <c r="X842" s="511"/>
      <c r="Y842" s="511"/>
      <c r="Z842" s="511"/>
      <c r="AA842" s="511"/>
      <c r="AB842" s="511"/>
      <c r="AC842" s="511"/>
      <c r="AD842" s="511"/>
      <c r="AE842" s="511"/>
      <c r="AF842" s="511"/>
      <c r="AG842" s="511"/>
      <c r="AH842" s="511"/>
      <c r="AI842" s="511"/>
      <c r="AJ842" s="511"/>
      <c r="AK842" s="511"/>
      <c r="AL842" s="511"/>
      <c r="AM842" s="511"/>
      <c r="AN842" s="511"/>
      <c r="AO842" s="511"/>
      <c r="AP842" s="511"/>
      <c r="AQ842" s="511"/>
      <c r="AR842" s="511"/>
      <c r="AS842" s="511"/>
      <c r="AT842" s="511"/>
      <c r="AU842" s="511"/>
      <c r="AV842" s="511"/>
      <c r="AW842" s="511"/>
      <c r="AX842" s="511"/>
      <c r="AY842" s="511"/>
      <c r="AZ842" s="511"/>
      <c r="BA842" s="511"/>
      <c r="BB842" s="511"/>
      <c r="BC842" s="511"/>
      <c r="BD842" s="511"/>
      <c r="BE842" s="511"/>
      <c r="BF842" s="511"/>
      <c r="BG842" s="511"/>
      <c r="BH842" s="511"/>
      <c r="BI842" s="511"/>
      <c r="BJ842" s="511"/>
      <c r="BK842" s="511"/>
      <c r="BL842" s="511"/>
      <c r="BM842" s="511"/>
      <c r="BN842" s="511"/>
      <c r="BO842" s="511"/>
      <c r="BP842" s="511"/>
      <c r="BQ842" s="511"/>
      <c r="BR842" s="511"/>
      <c r="BS842" s="511"/>
      <c r="BT842" s="511"/>
      <c r="BU842" s="511"/>
      <c r="BV842" s="511"/>
      <c r="BW842" s="511"/>
      <c r="BX842" s="511"/>
      <c r="BY842" s="511"/>
      <c r="BZ842" s="511"/>
      <c r="CA842" s="511"/>
      <c r="CB842" s="511"/>
      <c r="CC842" s="511"/>
      <c r="CD842" s="511"/>
      <c r="CE842" s="511"/>
      <c r="CF842" s="511"/>
      <c r="CG842" s="511"/>
      <c r="CH842" s="511"/>
      <c r="CI842" s="511"/>
      <c r="CJ842" s="511"/>
      <c r="CK842" s="511"/>
      <c r="CL842" s="511"/>
      <c r="CM842" s="511"/>
      <c r="CN842" s="511"/>
      <c r="CO842" s="511"/>
      <c r="CP842" s="511"/>
      <c r="CQ842" s="511"/>
      <c r="CR842" s="511"/>
      <c r="CS842" s="511"/>
      <c r="CT842" s="511"/>
      <c r="CU842" s="511"/>
      <c r="CV842" s="511"/>
      <c r="CW842" s="511"/>
      <c r="CX842" s="511"/>
      <c r="CY842" s="511"/>
      <c r="CZ842" s="511"/>
      <c r="DA842" s="511"/>
      <c r="DB842" s="511"/>
      <c r="DC842" s="511"/>
      <c r="DD842" s="511"/>
      <c r="DE842" s="511"/>
      <c r="DF842" s="511"/>
      <c r="DG842" s="511"/>
      <c r="DH842" s="511"/>
      <c r="DI842" s="511"/>
      <c r="DJ842" s="511"/>
      <c r="DK842" s="511"/>
      <c r="DL842" s="511"/>
      <c r="DM842" s="511"/>
      <c r="DN842" s="511"/>
      <c r="DO842" s="511"/>
      <c r="DP842" s="511"/>
    </row>
    <row r="843" spans="1:120" x14ac:dyDescent="0.2">
      <c r="A843" s="517">
        <f t="shared" si="114"/>
        <v>42370</v>
      </c>
      <c r="B843" s="517" t="str">
        <f t="shared" si="119"/>
        <v>1Q16</v>
      </c>
      <c r="C843" s="517" t="str">
        <f t="shared" si="115"/>
        <v>1Q16</v>
      </c>
      <c r="D843" s="518">
        <f t="shared" si="116"/>
        <v>42454</v>
      </c>
      <c r="E843" s="518">
        <f t="shared" si="117"/>
        <v>42394</v>
      </c>
      <c r="F843" s="520">
        <v>2.0710000000000002</v>
      </c>
      <c r="G843" s="521">
        <f t="shared" si="120"/>
        <v>0.19000000000000003</v>
      </c>
      <c r="H843" s="521">
        <f t="shared" si="118"/>
        <v>0.18000000000000002</v>
      </c>
      <c r="I843" s="511"/>
      <c r="J843" s="511"/>
      <c r="K843" s="511"/>
      <c r="L843" s="511"/>
      <c r="M843" s="511"/>
      <c r="N843" s="511"/>
      <c r="O843" s="511"/>
      <c r="P843" s="511"/>
      <c r="Q843" s="511"/>
      <c r="R843" s="511"/>
      <c r="S843" s="511"/>
      <c r="T843" s="511"/>
      <c r="U843" s="511"/>
      <c r="V843" s="511"/>
      <c r="W843" s="511"/>
      <c r="X843" s="511"/>
      <c r="Y843" s="511"/>
      <c r="Z843" s="511"/>
      <c r="AA843" s="511"/>
      <c r="AB843" s="511"/>
      <c r="AC843" s="511"/>
      <c r="AD843" s="511"/>
      <c r="AE843" s="511"/>
      <c r="AF843" s="511"/>
      <c r="AG843" s="511"/>
      <c r="AH843" s="511"/>
      <c r="AI843" s="511"/>
      <c r="AJ843" s="511"/>
      <c r="AK843" s="511"/>
      <c r="AL843" s="511"/>
      <c r="AM843" s="511"/>
      <c r="AN843" s="511"/>
      <c r="AO843" s="511"/>
      <c r="AP843" s="511"/>
      <c r="AQ843" s="511"/>
      <c r="AR843" s="511"/>
      <c r="AS843" s="511"/>
      <c r="AT843" s="511"/>
      <c r="AU843" s="511"/>
      <c r="AV843" s="511"/>
      <c r="AW843" s="511"/>
      <c r="AX843" s="511"/>
      <c r="AY843" s="511"/>
      <c r="AZ843" s="511"/>
      <c r="BA843" s="511"/>
      <c r="BB843" s="511"/>
      <c r="BC843" s="511"/>
      <c r="BD843" s="511"/>
      <c r="BE843" s="511"/>
      <c r="BF843" s="511"/>
      <c r="BG843" s="511"/>
      <c r="BH843" s="511"/>
      <c r="BI843" s="511"/>
      <c r="BJ843" s="511"/>
      <c r="BK843" s="511"/>
      <c r="BL843" s="511"/>
      <c r="BM843" s="511"/>
      <c r="BN843" s="511"/>
      <c r="BO843" s="511"/>
      <c r="BP843" s="511"/>
      <c r="BQ843" s="511"/>
      <c r="BR843" s="511"/>
      <c r="BS843" s="511"/>
      <c r="BT843" s="511"/>
      <c r="BU843" s="511"/>
      <c r="BV843" s="511"/>
      <c r="BW843" s="511"/>
      <c r="BX843" s="511"/>
      <c r="BY843" s="511"/>
      <c r="BZ843" s="511"/>
      <c r="CA843" s="511"/>
      <c r="CB843" s="511"/>
      <c r="CC843" s="511"/>
      <c r="CD843" s="511"/>
      <c r="CE843" s="511"/>
      <c r="CF843" s="511"/>
      <c r="CG843" s="511"/>
      <c r="CH843" s="511"/>
      <c r="CI843" s="511"/>
      <c r="CJ843" s="511"/>
      <c r="CK843" s="511"/>
      <c r="CL843" s="511"/>
      <c r="CM843" s="511"/>
      <c r="CN843" s="511"/>
      <c r="CO843" s="511"/>
      <c r="CP843" s="511"/>
      <c r="CQ843" s="511"/>
      <c r="CR843" s="511"/>
      <c r="CS843" s="511"/>
      <c r="CT843" s="511"/>
      <c r="CU843" s="511"/>
      <c r="CV843" s="511"/>
      <c r="CW843" s="511"/>
      <c r="CX843" s="511"/>
      <c r="CY843" s="511"/>
      <c r="CZ843" s="511"/>
      <c r="DA843" s="511"/>
      <c r="DB843" s="511"/>
      <c r="DC843" s="511"/>
      <c r="DD843" s="511"/>
      <c r="DE843" s="511"/>
      <c r="DF843" s="511"/>
      <c r="DG843" s="511"/>
      <c r="DH843" s="511"/>
      <c r="DI843" s="511"/>
      <c r="DJ843" s="511"/>
      <c r="DK843" s="511"/>
      <c r="DL843" s="511"/>
      <c r="DM843" s="511"/>
      <c r="DN843" s="511"/>
      <c r="DO843" s="511"/>
      <c r="DP843" s="511"/>
    </row>
    <row r="844" spans="1:120" x14ac:dyDescent="0.2">
      <c r="A844" s="517">
        <f t="shared" si="114"/>
        <v>42401</v>
      </c>
      <c r="B844" s="517" t="str">
        <f t="shared" si="119"/>
        <v>1Q16</v>
      </c>
      <c r="C844" s="517" t="str">
        <f t="shared" si="115"/>
        <v>2Q16</v>
      </c>
      <c r="D844" s="518">
        <f t="shared" si="116"/>
        <v>42461</v>
      </c>
      <c r="E844" s="518">
        <f t="shared" si="117"/>
        <v>42401</v>
      </c>
      <c r="F844" s="520">
        <v>2.0310000000000001</v>
      </c>
      <c r="G844" s="521">
        <f t="shared" si="120"/>
        <v>0.18000000000000002</v>
      </c>
      <c r="H844" s="521">
        <f t="shared" si="118"/>
        <v>0.18000000000000002</v>
      </c>
      <c r="I844" s="511"/>
      <c r="J844" s="511"/>
      <c r="K844" s="511"/>
      <c r="L844" s="511"/>
      <c r="M844" s="511"/>
      <c r="N844" s="511"/>
      <c r="O844" s="511"/>
      <c r="P844" s="511"/>
      <c r="Q844" s="511"/>
      <c r="R844" s="511"/>
      <c r="S844" s="511"/>
      <c r="T844" s="511"/>
      <c r="U844" s="511"/>
      <c r="V844" s="511"/>
      <c r="W844" s="511"/>
      <c r="X844" s="511"/>
      <c r="Y844" s="511"/>
      <c r="Z844" s="511"/>
      <c r="AA844" s="511"/>
      <c r="AB844" s="511"/>
      <c r="AC844" s="511"/>
      <c r="AD844" s="511"/>
      <c r="AE844" s="511"/>
      <c r="AF844" s="511"/>
      <c r="AG844" s="511"/>
      <c r="AH844" s="511"/>
      <c r="AI844" s="511"/>
      <c r="AJ844" s="511"/>
      <c r="AK844" s="511"/>
      <c r="AL844" s="511"/>
      <c r="AM844" s="511"/>
      <c r="AN844" s="511"/>
      <c r="AO844" s="511"/>
      <c r="AP844" s="511"/>
      <c r="AQ844" s="511"/>
      <c r="AR844" s="511"/>
      <c r="AS844" s="511"/>
      <c r="AT844" s="511"/>
      <c r="AU844" s="511"/>
      <c r="AV844" s="511"/>
      <c r="AW844" s="511"/>
      <c r="AX844" s="511"/>
      <c r="AY844" s="511"/>
      <c r="AZ844" s="511"/>
      <c r="BA844" s="511"/>
      <c r="BB844" s="511"/>
      <c r="BC844" s="511"/>
      <c r="BD844" s="511"/>
      <c r="BE844" s="511"/>
      <c r="BF844" s="511"/>
      <c r="BG844" s="511"/>
      <c r="BH844" s="511"/>
      <c r="BI844" s="511"/>
      <c r="BJ844" s="511"/>
      <c r="BK844" s="511"/>
      <c r="BL844" s="511"/>
      <c r="BM844" s="511"/>
      <c r="BN844" s="511"/>
      <c r="BO844" s="511"/>
      <c r="BP844" s="511"/>
      <c r="BQ844" s="511"/>
      <c r="BR844" s="511"/>
      <c r="BS844" s="511"/>
      <c r="BT844" s="511"/>
      <c r="BU844" s="511"/>
      <c r="BV844" s="511"/>
      <c r="BW844" s="511"/>
      <c r="BX844" s="511"/>
      <c r="BY844" s="511"/>
      <c r="BZ844" s="511"/>
      <c r="CA844" s="511"/>
      <c r="CB844" s="511"/>
      <c r="CC844" s="511"/>
      <c r="CD844" s="511"/>
      <c r="CE844" s="511"/>
      <c r="CF844" s="511"/>
      <c r="CG844" s="511"/>
      <c r="CH844" s="511"/>
      <c r="CI844" s="511"/>
      <c r="CJ844" s="511"/>
      <c r="CK844" s="511"/>
      <c r="CL844" s="511"/>
      <c r="CM844" s="511"/>
      <c r="CN844" s="511"/>
      <c r="CO844" s="511"/>
      <c r="CP844" s="511"/>
      <c r="CQ844" s="511"/>
      <c r="CR844" s="511"/>
      <c r="CS844" s="511"/>
      <c r="CT844" s="511"/>
      <c r="CU844" s="511"/>
      <c r="CV844" s="511"/>
      <c r="CW844" s="511"/>
      <c r="CX844" s="511"/>
      <c r="CY844" s="511"/>
      <c r="CZ844" s="511"/>
      <c r="DA844" s="511"/>
      <c r="DB844" s="511"/>
      <c r="DC844" s="511"/>
      <c r="DD844" s="511"/>
      <c r="DE844" s="511"/>
      <c r="DF844" s="511"/>
      <c r="DG844" s="511"/>
      <c r="DH844" s="511"/>
      <c r="DI844" s="511"/>
      <c r="DJ844" s="511"/>
      <c r="DK844" s="511"/>
      <c r="DL844" s="511"/>
      <c r="DM844" s="511"/>
      <c r="DN844" s="511"/>
      <c r="DO844" s="511"/>
      <c r="DP844" s="511"/>
    </row>
    <row r="845" spans="1:120" x14ac:dyDescent="0.2">
      <c r="A845" s="517">
        <f t="shared" si="114"/>
        <v>42401</v>
      </c>
      <c r="B845" s="517" t="str">
        <f t="shared" si="119"/>
        <v>1Q16</v>
      </c>
      <c r="C845" s="517" t="str">
        <f t="shared" si="115"/>
        <v>2Q16</v>
      </c>
      <c r="D845" s="518">
        <f t="shared" si="116"/>
        <v>42468</v>
      </c>
      <c r="E845" s="518">
        <f t="shared" si="117"/>
        <v>42408</v>
      </c>
      <c r="F845" s="520">
        <v>2.008</v>
      </c>
      <c r="G845" s="521">
        <f t="shared" si="120"/>
        <v>0.18000000000000002</v>
      </c>
      <c r="H845" s="521">
        <f t="shared" si="118"/>
        <v>0.17</v>
      </c>
      <c r="I845" s="511"/>
      <c r="J845" s="511"/>
      <c r="K845" s="511"/>
      <c r="L845" s="511"/>
      <c r="M845" s="511"/>
      <c r="N845" s="511"/>
      <c r="O845" s="511"/>
      <c r="P845" s="511"/>
      <c r="Q845" s="511"/>
      <c r="R845" s="511"/>
      <c r="S845" s="511"/>
      <c r="T845" s="511"/>
      <c r="U845" s="511"/>
      <c r="V845" s="511"/>
      <c r="W845" s="511"/>
      <c r="X845" s="511"/>
      <c r="Y845" s="511"/>
      <c r="Z845" s="511"/>
      <c r="AA845" s="511"/>
      <c r="AB845" s="511"/>
      <c r="AC845" s="511"/>
      <c r="AD845" s="511"/>
      <c r="AE845" s="511"/>
      <c r="AF845" s="511"/>
      <c r="AG845" s="511"/>
      <c r="AH845" s="511"/>
      <c r="AI845" s="511"/>
      <c r="AJ845" s="511"/>
      <c r="AK845" s="511"/>
      <c r="AL845" s="511"/>
      <c r="AM845" s="511"/>
      <c r="AN845" s="511"/>
      <c r="AO845" s="511"/>
      <c r="AP845" s="511"/>
      <c r="AQ845" s="511"/>
      <c r="AR845" s="511"/>
      <c r="AS845" s="511"/>
      <c r="AT845" s="511"/>
      <c r="AU845" s="511"/>
      <c r="AV845" s="511"/>
      <c r="AW845" s="511"/>
      <c r="AX845" s="511"/>
      <c r="AY845" s="511"/>
      <c r="AZ845" s="511"/>
      <c r="BA845" s="511"/>
      <c r="BB845" s="511"/>
      <c r="BC845" s="511"/>
      <c r="BD845" s="511"/>
      <c r="BE845" s="511"/>
      <c r="BF845" s="511"/>
      <c r="BG845" s="511"/>
      <c r="BH845" s="511"/>
      <c r="BI845" s="511"/>
      <c r="BJ845" s="511"/>
      <c r="BK845" s="511"/>
      <c r="BL845" s="511"/>
      <c r="BM845" s="511"/>
      <c r="BN845" s="511"/>
      <c r="BO845" s="511"/>
      <c r="BP845" s="511"/>
      <c r="BQ845" s="511"/>
      <c r="BR845" s="511"/>
      <c r="BS845" s="511"/>
      <c r="BT845" s="511"/>
      <c r="BU845" s="511"/>
      <c r="BV845" s="511"/>
      <c r="BW845" s="511"/>
      <c r="BX845" s="511"/>
      <c r="BY845" s="511"/>
      <c r="BZ845" s="511"/>
      <c r="CA845" s="511"/>
      <c r="CB845" s="511"/>
      <c r="CC845" s="511"/>
      <c r="CD845" s="511"/>
      <c r="CE845" s="511"/>
      <c r="CF845" s="511"/>
      <c r="CG845" s="511"/>
      <c r="CH845" s="511"/>
      <c r="CI845" s="511"/>
      <c r="CJ845" s="511"/>
      <c r="CK845" s="511"/>
      <c r="CL845" s="511"/>
      <c r="CM845" s="511"/>
      <c r="CN845" s="511"/>
      <c r="CO845" s="511"/>
      <c r="CP845" s="511"/>
      <c r="CQ845" s="511"/>
      <c r="CR845" s="511"/>
      <c r="CS845" s="511"/>
      <c r="CT845" s="511"/>
      <c r="CU845" s="511"/>
      <c r="CV845" s="511"/>
      <c r="CW845" s="511"/>
      <c r="CX845" s="511"/>
      <c r="CY845" s="511"/>
      <c r="CZ845" s="511"/>
      <c r="DA845" s="511"/>
      <c r="DB845" s="511"/>
      <c r="DC845" s="511"/>
      <c r="DD845" s="511"/>
      <c r="DE845" s="511"/>
      <c r="DF845" s="511"/>
      <c r="DG845" s="511"/>
      <c r="DH845" s="511"/>
      <c r="DI845" s="511"/>
      <c r="DJ845" s="511"/>
      <c r="DK845" s="511"/>
      <c r="DL845" s="511"/>
      <c r="DM845" s="511"/>
      <c r="DN845" s="511"/>
      <c r="DO845" s="511"/>
      <c r="DP845" s="511"/>
    </row>
    <row r="846" spans="1:120" x14ac:dyDescent="0.2">
      <c r="A846" s="517">
        <f t="shared" si="114"/>
        <v>42401</v>
      </c>
      <c r="B846" s="517" t="str">
        <f t="shared" si="119"/>
        <v>1Q16</v>
      </c>
      <c r="C846" s="517" t="str">
        <f t="shared" si="115"/>
        <v>2Q16</v>
      </c>
      <c r="D846" s="518">
        <f t="shared" si="116"/>
        <v>42475</v>
      </c>
      <c r="E846" s="518">
        <f t="shared" si="117"/>
        <v>42415</v>
      </c>
      <c r="F846" s="520">
        <v>1.98</v>
      </c>
      <c r="G846" s="521">
        <f t="shared" si="120"/>
        <v>0.17</v>
      </c>
      <c r="H846" s="521">
        <f t="shared" si="118"/>
        <v>0.17</v>
      </c>
      <c r="I846" s="511"/>
      <c r="J846" s="511"/>
      <c r="K846" s="511"/>
      <c r="L846" s="511"/>
      <c r="M846" s="511"/>
      <c r="N846" s="511"/>
      <c r="O846" s="511"/>
      <c r="P846" s="511"/>
      <c r="Q846" s="511"/>
      <c r="R846" s="511"/>
      <c r="S846" s="511"/>
      <c r="T846" s="511"/>
      <c r="U846" s="511"/>
      <c r="V846" s="511"/>
      <c r="W846" s="511"/>
      <c r="X846" s="511"/>
      <c r="Y846" s="511"/>
      <c r="Z846" s="511"/>
      <c r="AA846" s="511"/>
      <c r="AB846" s="511"/>
      <c r="AC846" s="511"/>
      <c r="AD846" s="511"/>
      <c r="AE846" s="511"/>
      <c r="AF846" s="511"/>
      <c r="AG846" s="511"/>
      <c r="AH846" s="511"/>
      <c r="AI846" s="511"/>
      <c r="AJ846" s="511"/>
      <c r="AK846" s="511"/>
      <c r="AL846" s="511"/>
      <c r="AM846" s="511"/>
      <c r="AN846" s="511"/>
      <c r="AO846" s="511"/>
      <c r="AP846" s="511"/>
      <c r="AQ846" s="511"/>
      <c r="AR846" s="511"/>
      <c r="AS846" s="511"/>
      <c r="AT846" s="511"/>
      <c r="AU846" s="511"/>
      <c r="AV846" s="511"/>
      <c r="AW846" s="511"/>
      <c r="AX846" s="511"/>
      <c r="AY846" s="511"/>
      <c r="AZ846" s="511"/>
      <c r="BA846" s="511"/>
      <c r="BB846" s="511"/>
      <c r="BC846" s="511"/>
      <c r="BD846" s="511"/>
      <c r="BE846" s="511"/>
      <c r="BF846" s="511"/>
      <c r="BG846" s="511"/>
      <c r="BH846" s="511"/>
      <c r="BI846" s="511"/>
      <c r="BJ846" s="511"/>
      <c r="BK846" s="511"/>
      <c r="BL846" s="511"/>
      <c r="BM846" s="511"/>
      <c r="BN846" s="511"/>
      <c r="BO846" s="511"/>
      <c r="BP846" s="511"/>
      <c r="BQ846" s="511"/>
      <c r="BR846" s="511"/>
      <c r="BS846" s="511"/>
      <c r="BT846" s="511"/>
      <c r="BU846" s="511"/>
      <c r="BV846" s="511"/>
      <c r="BW846" s="511"/>
      <c r="BX846" s="511"/>
      <c r="BY846" s="511"/>
      <c r="BZ846" s="511"/>
      <c r="CA846" s="511"/>
      <c r="CB846" s="511"/>
      <c r="CC846" s="511"/>
      <c r="CD846" s="511"/>
      <c r="CE846" s="511"/>
      <c r="CF846" s="511"/>
      <c r="CG846" s="511"/>
      <c r="CH846" s="511"/>
      <c r="CI846" s="511"/>
      <c r="CJ846" s="511"/>
      <c r="CK846" s="511"/>
      <c r="CL846" s="511"/>
      <c r="CM846" s="511"/>
      <c r="CN846" s="511"/>
      <c r="CO846" s="511"/>
      <c r="CP846" s="511"/>
      <c r="CQ846" s="511"/>
      <c r="CR846" s="511"/>
      <c r="CS846" s="511"/>
      <c r="CT846" s="511"/>
      <c r="CU846" s="511"/>
      <c r="CV846" s="511"/>
      <c r="CW846" s="511"/>
      <c r="CX846" s="511"/>
      <c r="CY846" s="511"/>
      <c r="CZ846" s="511"/>
      <c r="DA846" s="511"/>
      <c r="DB846" s="511"/>
      <c r="DC846" s="511"/>
      <c r="DD846" s="511"/>
      <c r="DE846" s="511"/>
      <c r="DF846" s="511"/>
      <c r="DG846" s="511"/>
      <c r="DH846" s="511"/>
      <c r="DI846" s="511"/>
      <c r="DJ846" s="511"/>
      <c r="DK846" s="511"/>
      <c r="DL846" s="511"/>
      <c r="DM846" s="511"/>
      <c r="DN846" s="511"/>
      <c r="DO846" s="511"/>
      <c r="DP846" s="511"/>
    </row>
    <row r="847" spans="1:120" x14ac:dyDescent="0.2">
      <c r="A847" s="517">
        <f t="shared" si="114"/>
        <v>42401</v>
      </c>
      <c r="B847" s="517" t="str">
        <f t="shared" si="119"/>
        <v>1Q16</v>
      </c>
      <c r="C847" s="517" t="str">
        <f t="shared" si="115"/>
        <v>2Q16</v>
      </c>
      <c r="D847" s="518">
        <f t="shared" si="116"/>
        <v>42482</v>
      </c>
      <c r="E847" s="518">
        <f t="shared" si="117"/>
        <v>42422</v>
      </c>
      <c r="F847" s="520">
        <v>1.9830000000000001</v>
      </c>
      <c r="G847" s="521">
        <f t="shared" si="120"/>
        <v>0.17</v>
      </c>
      <c r="H847" s="521">
        <f t="shared" si="118"/>
        <v>0.17</v>
      </c>
      <c r="I847" s="511"/>
      <c r="J847" s="511"/>
      <c r="K847" s="511"/>
      <c r="L847" s="511"/>
      <c r="M847" s="511"/>
      <c r="N847" s="511"/>
      <c r="O847" s="511"/>
      <c r="P847" s="511"/>
      <c r="Q847" s="511"/>
      <c r="R847" s="511"/>
      <c r="S847" s="511"/>
      <c r="T847" s="511"/>
      <c r="U847" s="511"/>
      <c r="V847" s="511"/>
      <c r="W847" s="511"/>
      <c r="X847" s="511"/>
      <c r="Y847" s="511"/>
      <c r="Z847" s="511"/>
      <c r="AA847" s="511"/>
      <c r="AB847" s="511"/>
      <c r="AC847" s="511"/>
      <c r="AD847" s="511"/>
      <c r="AE847" s="511"/>
      <c r="AF847" s="511"/>
      <c r="AG847" s="511"/>
      <c r="AH847" s="511"/>
      <c r="AI847" s="511"/>
      <c r="AJ847" s="511"/>
      <c r="AK847" s="511"/>
      <c r="AL847" s="511"/>
      <c r="AM847" s="511"/>
      <c r="AN847" s="511"/>
      <c r="AO847" s="511"/>
      <c r="AP847" s="511"/>
      <c r="AQ847" s="511"/>
      <c r="AR847" s="511"/>
      <c r="AS847" s="511"/>
      <c r="AT847" s="511"/>
      <c r="AU847" s="511"/>
      <c r="AV847" s="511"/>
      <c r="AW847" s="511"/>
      <c r="AX847" s="511"/>
      <c r="AY847" s="511"/>
      <c r="AZ847" s="511"/>
      <c r="BA847" s="511"/>
      <c r="BB847" s="511"/>
      <c r="BC847" s="511"/>
      <c r="BD847" s="511"/>
      <c r="BE847" s="511"/>
      <c r="BF847" s="511"/>
      <c r="BG847" s="511"/>
      <c r="BH847" s="511"/>
      <c r="BI847" s="511"/>
      <c r="BJ847" s="511"/>
      <c r="BK847" s="511"/>
      <c r="BL847" s="511"/>
      <c r="BM847" s="511"/>
      <c r="BN847" s="511"/>
      <c r="BO847" s="511"/>
      <c r="BP847" s="511"/>
      <c r="BQ847" s="511"/>
      <c r="BR847" s="511"/>
      <c r="BS847" s="511"/>
      <c r="BT847" s="511"/>
      <c r="BU847" s="511"/>
      <c r="BV847" s="511"/>
      <c r="BW847" s="511"/>
      <c r="BX847" s="511"/>
      <c r="BY847" s="511"/>
      <c r="BZ847" s="511"/>
      <c r="CA847" s="511"/>
      <c r="CB847" s="511"/>
      <c r="CC847" s="511"/>
      <c r="CD847" s="511"/>
      <c r="CE847" s="511"/>
      <c r="CF847" s="511"/>
      <c r="CG847" s="511"/>
      <c r="CH847" s="511"/>
      <c r="CI847" s="511"/>
      <c r="CJ847" s="511"/>
      <c r="CK847" s="511"/>
      <c r="CL847" s="511"/>
      <c r="CM847" s="511"/>
      <c r="CN847" s="511"/>
      <c r="CO847" s="511"/>
      <c r="CP847" s="511"/>
      <c r="CQ847" s="511"/>
      <c r="CR847" s="511"/>
      <c r="CS847" s="511"/>
      <c r="CT847" s="511"/>
      <c r="CU847" s="511"/>
      <c r="CV847" s="511"/>
      <c r="CW847" s="511"/>
      <c r="CX847" s="511"/>
      <c r="CY847" s="511"/>
      <c r="CZ847" s="511"/>
      <c r="DA847" s="511"/>
      <c r="DB847" s="511"/>
      <c r="DC847" s="511"/>
      <c r="DD847" s="511"/>
      <c r="DE847" s="511"/>
      <c r="DF847" s="511"/>
      <c r="DG847" s="511"/>
      <c r="DH847" s="511"/>
      <c r="DI847" s="511"/>
      <c r="DJ847" s="511"/>
      <c r="DK847" s="511"/>
      <c r="DL847" s="511"/>
      <c r="DM847" s="511"/>
      <c r="DN847" s="511"/>
      <c r="DO847" s="511"/>
      <c r="DP847" s="511"/>
    </row>
    <row r="848" spans="1:120" x14ac:dyDescent="0.2">
      <c r="A848" s="517">
        <f t="shared" si="114"/>
        <v>42401</v>
      </c>
      <c r="B848" s="517" t="str">
        <f t="shared" si="119"/>
        <v>1Q16</v>
      </c>
      <c r="C848" s="517" t="str">
        <f t="shared" si="115"/>
        <v>2Q16</v>
      </c>
      <c r="D848" s="518">
        <f t="shared" si="116"/>
        <v>42489</v>
      </c>
      <c r="E848" s="518">
        <f t="shared" si="117"/>
        <v>42429</v>
      </c>
      <c r="F848" s="520">
        <v>1.9890000000000001</v>
      </c>
      <c r="G848" s="521">
        <f t="shared" si="120"/>
        <v>0.17</v>
      </c>
      <c r="H848" s="521">
        <f t="shared" si="118"/>
        <v>0.18000000000000002</v>
      </c>
      <c r="I848" s="511"/>
      <c r="J848" s="511"/>
      <c r="K848" s="511"/>
      <c r="L848" s="511"/>
      <c r="M848" s="511"/>
      <c r="N848" s="511"/>
      <c r="O848" s="511"/>
      <c r="P848" s="511"/>
      <c r="Q848" s="511"/>
      <c r="R848" s="511"/>
      <c r="S848" s="511"/>
      <c r="T848" s="511"/>
      <c r="U848" s="511"/>
      <c r="V848" s="511"/>
      <c r="W848" s="511"/>
      <c r="X848" s="511"/>
      <c r="Y848" s="511"/>
      <c r="Z848" s="511"/>
      <c r="AA848" s="511"/>
      <c r="AB848" s="511"/>
      <c r="AC848" s="511"/>
      <c r="AD848" s="511"/>
      <c r="AE848" s="511"/>
      <c r="AF848" s="511"/>
      <c r="AG848" s="511"/>
      <c r="AH848" s="511"/>
      <c r="AI848" s="511"/>
      <c r="AJ848" s="511"/>
      <c r="AK848" s="511"/>
      <c r="AL848" s="511"/>
      <c r="AM848" s="511"/>
      <c r="AN848" s="511"/>
      <c r="AO848" s="511"/>
      <c r="AP848" s="511"/>
      <c r="AQ848" s="511"/>
      <c r="AR848" s="511"/>
      <c r="AS848" s="511"/>
      <c r="AT848" s="511"/>
      <c r="AU848" s="511"/>
      <c r="AV848" s="511"/>
      <c r="AW848" s="511"/>
      <c r="AX848" s="511"/>
      <c r="AY848" s="511"/>
      <c r="AZ848" s="511"/>
      <c r="BA848" s="511"/>
      <c r="BB848" s="511"/>
      <c r="BC848" s="511"/>
      <c r="BD848" s="511"/>
      <c r="BE848" s="511"/>
      <c r="BF848" s="511"/>
      <c r="BG848" s="511"/>
      <c r="BH848" s="511"/>
      <c r="BI848" s="511"/>
      <c r="BJ848" s="511"/>
      <c r="BK848" s="511"/>
      <c r="BL848" s="511"/>
      <c r="BM848" s="511"/>
      <c r="BN848" s="511"/>
      <c r="BO848" s="511"/>
      <c r="BP848" s="511"/>
      <c r="BQ848" s="511"/>
      <c r="BR848" s="511"/>
      <c r="BS848" s="511"/>
      <c r="BT848" s="511"/>
      <c r="BU848" s="511"/>
      <c r="BV848" s="511"/>
      <c r="BW848" s="511"/>
      <c r="BX848" s="511"/>
      <c r="BY848" s="511"/>
      <c r="BZ848" s="511"/>
      <c r="CA848" s="511"/>
      <c r="CB848" s="511"/>
      <c r="CC848" s="511"/>
      <c r="CD848" s="511"/>
      <c r="CE848" s="511"/>
      <c r="CF848" s="511"/>
      <c r="CG848" s="511"/>
      <c r="CH848" s="511"/>
      <c r="CI848" s="511"/>
      <c r="CJ848" s="511"/>
      <c r="CK848" s="511"/>
      <c r="CL848" s="511"/>
      <c r="CM848" s="511"/>
      <c r="CN848" s="511"/>
      <c r="CO848" s="511"/>
      <c r="CP848" s="511"/>
      <c r="CQ848" s="511"/>
      <c r="CR848" s="511"/>
      <c r="CS848" s="511"/>
      <c r="CT848" s="511"/>
      <c r="CU848" s="511"/>
      <c r="CV848" s="511"/>
      <c r="CW848" s="511"/>
      <c r="CX848" s="511"/>
      <c r="CY848" s="511"/>
      <c r="CZ848" s="511"/>
      <c r="DA848" s="511"/>
      <c r="DB848" s="511"/>
      <c r="DC848" s="511"/>
      <c r="DD848" s="511"/>
      <c r="DE848" s="511"/>
      <c r="DF848" s="511"/>
      <c r="DG848" s="511"/>
      <c r="DH848" s="511"/>
      <c r="DI848" s="511"/>
      <c r="DJ848" s="511"/>
      <c r="DK848" s="511"/>
      <c r="DL848" s="511"/>
      <c r="DM848" s="511"/>
      <c r="DN848" s="511"/>
      <c r="DO848" s="511"/>
      <c r="DP848" s="511"/>
    </row>
    <row r="849" spans="1:120" x14ac:dyDescent="0.2">
      <c r="A849" s="517">
        <f t="shared" si="114"/>
        <v>42430</v>
      </c>
      <c r="B849" s="517" t="str">
        <f t="shared" si="119"/>
        <v>1Q16</v>
      </c>
      <c r="C849" s="517" t="str">
        <f t="shared" si="115"/>
        <v>2Q16</v>
      </c>
      <c r="D849" s="518">
        <f t="shared" si="116"/>
        <v>42496</v>
      </c>
      <c r="E849" s="518">
        <f t="shared" si="117"/>
        <v>42436</v>
      </c>
      <c r="F849" s="520">
        <v>2.0209999999999999</v>
      </c>
      <c r="G849" s="521">
        <f t="shared" si="120"/>
        <v>0.18000000000000002</v>
      </c>
      <c r="H849" s="521">
        <f t="shared" si="118"/>
        <v>0.19000000000000003</v>
      </c>
      <c r="I849" s="511"/>
      <c r="J849" s="511"/>
      <c r="K849" s="511"/>
      <c r="L849" s="511"/>
      <c r="M849" s="511"/>
      <c r="N849" s="511"/>
      <c r="O849" s="511"/>
      <c r="P849" s="511"/>
      <c r="Q849" s="511"/>
      <c r="R849" s="511"/>
      <c r="S849" s="511"/>
      <c r="T849" s="511"/>
      <c r="U849" s="511"/>
      <c r="V849" s="511"/>
      <c r="W849" s="511"/>
      <c r="X849" s="511"/>
      <c r="Y849" s="511"/>
      <c r="Z849" s="511"/>
      <c r="AA849" s="511"/>
      <c r="AB849" s="511"/>
      <c r="AC849" s="511"/>
      <c r="AD849" s="511"/>
      <c r="AE849" s="511"/>
      <c r="AF849" s="511"/>
      <c r="AG849" s="511"/>
      <c r="AH849" s="511"/>
      <c r="AI849" s="511"/>
      <c r="AJ849" s="511"/>
      <c r="AK849" s="511"/>
      <c r="AL849" s="511"/>
      <c r="AM849" s="511"/>
      <c r="AN849" s="511"/>
      <c r="AO849" s="511"/>
      <c r="AP849" s="511"/>
      <c r="AQ849" s="511"/>
      <c r="AR849" s="511"/>
      <c r="AS849" s="511"/>
      <c r="AT849" s="511"/>
      <c r="AU849" s="511"/>
      <c r="AV849" s="511"/>
      <c r="AW849" s="511"/>
      <c r="AX849" s="511"/>
      <c r="AY849" s="511"/>
      <c r="AZ849" s="511"/>
      <c r="BA849" s="511"/>
      <c r="BB849" s="511"/>
      <c r="BC849" s="511"/>
      <c r="BD849" s="511"/>
      <c r="BE849" s="511"/>
      <c r="BF849" s="511"/>
      <c r="BG849" s="511"/>
      <c r="BH849" s="511"/>
      <c r="BI849" s="511"/>
      <c r="BJ849" s="511"/>
      <c r="BK849" s="511"/>
      <c r="BL849" s="511"/>
      <c r="BM849" s="511"/>
      <c r="BN849" s="511"/>
      <c r="BO849" s="511"/>
      <c r="BP849" s="511"/>
      <c r="BQ849" s="511"/>
      <c r="BR849" s="511"/>
      <c r="BS849" s="511"/>
      <c r="BT849" s="511"/>
      <c r="BU849" s="511"/>
      <c r="BV849" s="511"/>
      <c r="BW849" s="511"/>
      <c r="BX849" s="511"/>
      <c r="BY849" s="511"/>
      <c r="BZ849" s="511"/>
      <c r="CA849" s="511"/>
      <c r="CB849" s="511"/>
      <c r="CC849" s="511"/>
      <c r="CD849" s="511"/>
      <c r="CE849" s="511"/>
      <c r="CF849" s="511"/>
      <c r="CG849" s="511"/>
      <c r="CH849" s="511"/>
      <c r="CI849" s="511"/>
      <c r="CJ849" s="511"/>
      <c r="CK849" s="511"/>
      <c r="CL849" s="511"/>
      <c r="CM849" s="511"/>
      <c r="CN849" s="511"/>
      <c r="CO849" s="511"/>
      <c r="CP849" s="511"/>
      <c r="CQ849" s="511"/>
      <c r="CR849" s="511"/>
      <c r="CS849" s="511"/>
      <c r="CT849" s="511"/>
      <c r="CU849" s="511"/>
      <c r="CV849" s="511"/>
      <c r="CW849" s="511"/>
      <c r="CX849" s="511"/>
      <c r="CY849" s="511"/>
      <c r="CZ849" s="511"/>
      <c r="DA849" s="511"/>
      <c r="DB849" s="511"/>
      <c r="DC849" s="511"/>
      <c r="DD849" s="511"/>
      <c r="DE849" s="511"/>
      <c r="DF849" s="511"/>
      <c r="DG849" s="511"/>
      <c r="DH849" s="511"/>
      <c r="DI849" s="511"/>
      <c r="DJ849" s="511"/>
      <c r="DK849" s="511"/>
      <c r="DL849" s="511"/>
      <c r="DM849" s="511"/>
      <c r="DN849" s="511"/>
      <c r="DO849" s="511"/>
      <c r="DP849" s="511"/>
    </row>
    <row r="850" spans="1:120" x14ac:dyDescent="0.2">
      <c r="A850" s="517">
        <f t="shared" si="114"/>
        <v>42430</v>
      </c>
      <c r="B850" s="517" t="str">
        <f t="shared" si="119"/>
        <v>1Q16</v>
      </c>
      <c r="C850" s="517" t="str">
        <f t="shared" si="115"/>
        <v>2Q16</v>
      </c>
      <c r="D850" s="518">
        <f t="shared" si="116"/>
        <v>42503</v>
      </c>
      <c r="E850" s="518">
        <f t="shared" si="117"/>
        <v>42443</v>
      </c>
      <c r="F850" s="520">
        <v>2.0990000000000002</v>
      </c>
      <c r="G850" s="521">
        <f t="shared" si="120"/>
        <v>0.19000000000000003</v>
      </c>
      <c r="H850" s="521">
        <f t="shared" si="118"/>
        <v>0.20000000000000004</v>
      </c>
      <c r="I850" s="511"/>
      <c r="J850" s="511"/>
      <c r="K850" s="511"/>
      <c r="L850" s="511"/>
      <c r="M850" s="511"/>
      <c r="N850" s="511"/>
      <c r="O850" s="511"/>
      <c r="P850" s="511"/>
      <c r="Q850" s="511"/>
      <c r="R850" s="511"/>
      <c r="S850" s="511"/>
      <c r="T850" s="511"/>
      <c r="U850" s="511"/>
      <c r="V850" s="511"/>
      <c r="W850" s="511"/>
      <c r="X850" s="511"/>
      <c r="Y850" s="511"/>
      <c r="Z850" s="511"/>
      <c r="AA850" s="511"/>
      <c r="AB850" s="511"/>
      <c r="AC850" s="511"/>
      <c r="AD850" s="511"/>
      <c r="AE850" s="511"/>
      <c r="AF850" s="511"/>
      <c r="AG850" s="511"/>
      <c r="AH850" s="511"/>
      <c r="AI850" s="511"/>
      <c r="AJ850" s="511"/>
      <c r="AK850" s="511"/>
      <c r="AL850" s="511"/>
      <c r="AM850" s="511"/>
      <c r="AN850" s="511"/>
      <c r="AO850" s="511"/>
      <c r="AP850" s="511"/>
      <c r="AQ850" s="511"/>
      <c r="AR850" s="511"/>
      <c r="AS850" s="511"/>
      <c r="AT850" s="511"/>
      <c r="AU850" s="511"/>
      <c r="AV850" s="511"/>
      <c r="AW850" s="511"/>
      <c r="AX850" s="511"/>
      <c r="AY850" s="511"/>
      <c r="AZ850" s="511"/>
      <c r="BA850" s="511"/>
      <c r="BB850" s="511"/>
      <c r="BC850" s="511"/>
      <c r="BD850" s="511"/>
      <c r="BE850" s="511"/>
      <c r="BF850" s="511"/>
      <c r="BG850" s="511"/>
      <c r="BH850" s="511"/>
      <c r="BI850" s="511"/>
      <c r="BJ850" s="511"/>
      <c r="BK850" s="511"/>
      <c r="BL850" s="511"/>
      <c r="BM850" s="511"/>
      <c r="BN850" s="511"/>
      <c r="BO850" s="511"/>
      <c r="BP850" s="511"/>
      <c r="BQ850" s="511"/>
      <c r="BR850" s="511"/>
      <c r="BS850" s="511"/>
      <c r="BT850" s="511"/>
      <c r="BU850" s="511"/>
      <c r="BV850" s="511"/>
      <c r="BW850" s="511"/>
      <c r="BX850" s="511"/>
      <c r="BY850" s="511"/>
      <c r="BZ850" s="511"/>
      <c r="CA850" s="511"/>
      <c r="CB850" s="511"/>
      <c r="CC850" s="511"/>
      <c r="CD850" s="511"/>
      <c r="CE850" s="511"/>
      <c r="CF850" s="511"/>
      <c r="CG850" s="511"/>
      <c r="CH850" s="511"/>
      <c r="CI850" s="511"/>
      <c r="CJ850" s="511"/>
      <c r="CK850" s="511"/>
      <c r="CL850" s="511"/>
      <c r="CM850" s="511"/>
      <c r="CN850" s="511"/>
      <c r="CO850" s="511"/>
      <c r="CP850" s="511"/>
      <c r="CQ850" s="511"/>
      <c r="CR850" s="511"/>
      <c r="CS850" s="511"/>
      <c r="CT850" s="511"/>
      <c r="CU850" s="511"/>
      <c r="CV850" s="511"/>
      <c r="CW850" s="511"/>
      <c r="CX850" s="511"/>
      <c r="CY850" s="511"/>
      <c r="CZ850" s="511"/>
      <c r="DA850" s="511"/>
      <c r="DB850" s="511"/>
      <c r="DC850" s="511"/>
      <c r="DD850" s="511"/>
      <c r="DE850" s="511"/>
      <c r="DF850" s="511"/>
      <c r="DG850" s="511"/>
      <c r="DH850" s="511"/>
      <c r="DI850" s="511"/>
      <c r="DJ850" s="511"/>
      <c r="DK850" s="511"/>
      <c r="DL850" s="511"/>
      <c r="DM850" s="511"/>
      <c r="DN850" s="511"/>
      <c r="DO850" s="511"/>
      <c r="DP850" s="511"/>
    </row>
    <row r="851" spans="1:120" x14ac:dyDescent="0.2">
      <c r="A851" s="517">
        <f t="shared" si="114"/>
        <v>42430</v>
      </c>
      <c r="B851" s="517" t="str">
        <f t="shared" si="119"/>
        <v>1Q16</v>
      </c>
      <c r="C851" s="517" t="str">
        <f t="shared" si="115"/>
        <v>2Q16</v>
      </c>
      <c r="D851" s="518">
        <f t="shared" si="116"/>
        <v>42510</v>
      </c>
      <c r="E851" s="518">
        <f t="shared" si="117"/>
        <v>42450</v>
      </c>
      <c r="F851" s="520">
        <v>2.1190000000000002</v>
      </c>
      <c r="G851" s="521">
        <f t="shared" si="120"/>
        <v>0.20000000000000004</v>
      </c>
      <c r="H851" s="521">
        <f t="shared" si="118"/>
        <v>0.20000000000000004</v>
      </c>
      <c r="I851" s="511"/>
      <c r="J851" s="511"/>
      <c r="K851" s="511"/>
      <c r="L851" s="511"/>
      <c r="M851" s="511"/>
      <c r="N851" s="511"/>
      <c r="O851" s="511"/>
      <c r="P851" s="511"/>
      <c r="Q851" s="511"/>
      <c r="R851" s="511"/>
      <c r="S851" s="511"/>
      <c r="T851" s="511"/>
      <c r="U851" s="511"/>
      <c r="V851" s="511"/>
      <c r="W851" s="511"/>
      <c r="X851" s="511"/>
      <c r="Y851" s="511"/>
      <c r="Z851" s="511"/>
      <c r="AA851" s="511"/>
      <c r="AB851" s="511"/>
      <c r="AC851" s="511"/>
      <c r="AD851" s="511"/>
      <c r="AE851" s="511"/>
      <c r="AF851" s="511"/>
      <c r="AG851" s="511"/>
      <c r="AH851" s="511"/>
      <c r="AI851" s="511"/>
      <c r="AJ851" s="511"/>
      <c r="AK851" s="511"/>
      <c r="AL851" s="511"/>
      <c r="AM851" s="511"/>
      <c r="AN851" s="511"/>
      <c r="AO851" s="511"/>
      <c r="AP851" s="511"/>
      <c r="AQ851" s="511"/>
      <c r="AR851" s="511"/>
      <c r="AS851" s="511"/>
      <c r="AT851" s="511"/>
      <c r="AU851" s="511"/>
      <c r="AV851" s="511"/>
      <c r="AW851" s="511"/>
      <c r="AX851" s="511"/>
      <c r="AY851" s="511"/>
      <c r="AZ851" s="511"/>
      <c r="BA851" s="511"/>
      <c r="BB851" s="511"/>
      <c r="BC851" s="511"/>
      <c r="BD851" s="511"/>
      <c r="BE851" s="511"/>
      <c r="BF851" s="511"/>
      <c r="BG851" s="511"/>
      <c r="BH851" s="511"/>
      <c r="BI851" s="511"/>
      <c r="BJ851" s="511"/>
      <c r="BK851" s="511"/>
      <c r="BL851" s="511"/>
      <c r="BM851" s="511"/>
      <c r="BN851" s="511"/>
      <c r="BO851" s="511"/>
      <c r="BP851" s="511"/>
      <c r="BQ851" s="511"/>
      <c r="BR851" s="511"/>
      <c r="BS851" s="511"/>
      <c r="BT851" s="511"/>
      <c r="BU851" s="511"/>
      <c r="BV851" s="511"/>
      <c r="BW851" s="511"/>
      <c r="BX851" s="511"/>
      <c r="BY851" s="511"/>
      <c r="BZ851" s="511"/>
      <c r="CA851" s="511"/>
      <c r="CB851" s="511"/>
      <c r="CC851" s="511"/>
      <c r="CD851" s="511"/>
      <c r="CE851" s="511"/>
      <c r="CF851" s="511"/>
      <c r="CG851" s="511"/>
      <c r="CH851" s="511"/>
      <c r="CI851" s="511"/>
      <c r="CJ851" s="511"/>
      <c r="CK851" s="511"/>
      <c r="CL851" s="511"/>
      <c r="CM851" s="511"/>
      <c r="CN851" s="511"/>
      <c r="CO851" s="511"/>
      <c r="CP851" s="511"/>
      <c r="CQ851" s="511"/>
      <c r="CR851" s="511"/>
      <c r="CS851" s="511"/>
      <c r="CT851" s="511"/>
      <c r="CU851" s="511"/>
      <c r="CV851" s="511"/>
      <c r="CW851" s="511"/>
      <c r="CX851" s="511"/>
      <c r="CY851" s="511"/>
      <c r="CZ851" s="511"/>
      <c r="DA851" s="511"/>
      <c r="DB851" s="511"/>
      <c r="DC851" s="511"/>
      <c r="DD851" s="511"/>
      <c r="DE851" s="511"/>
      <c r="DF851" s="511"/>
      <c r="DG851" s="511"/>
      <c r="DH851" s="511"/>
      <c r="DI851" s="511"/>
      <c r="DJ851" s="511"/>
      <c r="DK851" s="511"/>
      <c r="DL851" s="511"/>
      <c r="DM851" s="511"/>
      <c r="DN851" s="511"/>
      <c r="DO851" s="511"/>
      <c r="DP851" s="511"/>
    </row>
    <row r="852" spans="1:120" x14ac:dyDescent="0.2">
      <c r="A852" s="517">
        <f t="shared" si="114"/>
        <v>42430</v>
      </c>
      <c r="B852" s="517" t="str">
        <f t="shared" si="119"/>
        <v>1Q16</v>
      </c>
      <c r="C852" s="517" t="str">
        <f t="shared" si="115"/>
        <v>2Q16</v>
      </c>
      <c r="D852" s="518">
        <f t="shared" si="116"/>
        <v>42517</v>
      </c>
      <c r="E852" s="518">
        <f t="shared" si="117"/>
        <v>42457</v>
      </c>
      <c r="F852" s="520">
        <v>2.121</v>
      </c>
      <c r="G852" s="521">
        <f t="shared" si="120"/>
        <v>0.20000000000000004</v>
      </c>
      <c r="H852" s="521">
        <f t="shared" si="118"/>
        <v>0.20000000000000004</v>
      </c>
      <c r="I852" s="511"/>
      <c r="J852" s="511"/>
      <c r="K852" s="511"/>
      <c r="L852" s="511"/>
      <c r="M852" s="511"/>
      <c r="N852" s="511"/>
      <c r="O852" s="511"/>
      <c r="P852" s="511"/>
      <c r="Q852" s="511"/>
      <c r="R852" s="511"/>
      <c r="S852" s="511"/>
      <c r="T852" s="511"/>
      <c r="U852" s="511"/>
      <c r="V852" s="511"/>
      <c r="W852" s="511"/>
      <c r="X852" s="511"/>
      <c r="Y852" s="511"/>
      <c r="Z852" s="511"/>
      <c r="AA852" s="511"/>
      <c r="AB852" s="511"/>
      <c r="AC852" s="511"/>
      <c r="AD852" s="511"/>
      <c r="AE852" s="511"/>
      <c r="AF852" s="511"/>
      <c r="AG852" s="511"/>
      <c r="AH852" s="511"/>
      <c r="AI852" s="511"/>
      <c r="AJ852" s="511"/>
      <c r="AK852" s="511"/>
      <c r="AL852" s="511"/>
      <c r="AM852" s="511"/>
      <c r="AN852" s="511"/>
      <c r="AO852" s="511"/>
      <c r="AP852" s="511"/>
      <c r="AQ852" s="511"/>
      <c r="AR852" s="511"/>
      <c r="AS852" s="511"/>
      <c r="AT852" s="511"/>
      <c r="AU852" s="511"/>
      <c r="AV852" s="511"/>
      <c r="AW852" s="511"/>
      <c r="AX852" s="511"/>
      <c r="AY852" s="511"/>
      <c r="AZ852" s="511"/>
      <c r="BA852" s="511"/>
      <c r="BB852" s="511"/>
      <c r="BC852" s="511"/>
      <c r="BD852" s="511"/>
      <c r="BE852" s="511"/>
      <c r="BF852" s="511"/>
      <c r="BG852" s="511"/>
      <c r="BH852" s="511"/>
      <c r="BI852" s="511"/>
      <c r="BJ852" s="511"/>
      <c r="BK852" s="511"/>
      <c r="BL852" s="511"/>
      <c r="BM852" s="511"/>
      <c r="BN852" s="511"/>
      <c r="BO852" s="511"/>
      <c r="BP852" s="511"/>
      <c r="BQ852" s="511"/>
      <c r="BR852" s="511"/>
      <c r="BS852" s="511"/>
      <c r="BT852" s="511"/>
      <c r="BU852" s="511"/>
      <c r="BV852" s="511"/>
      <c r="BW852" s="511"/>
      <c r="BX852" s="511"/>
      <c r="BY852" s="511"/>
      <c r="BZ852" s="511"/>
      <c r="CA852" s="511"/>
      <c r="CB852" s="511"/>
      <c r="CC852" s="511"/>
      <c r="CD852" s="511"/>
      <c r="CE852" s="511"/>
      <c r="CF852" s="511"/>
      <c r="CG852" s="511"/>
      <c r="CH852" s="511"/>
      <c r="CI852" s="511"/>
      <c r="CJ852" s="511"/>
      <c r="CK852" s="511"/>
      <c r="CL852" s="511"/>
      <c r="CM852" s="511"/>
      <c r="CN852" s="511"/>
      <c r="CO852" s="511"/>
      <c r="CP852" s="511"/>
      <c r="CQ852" s="511"/>
      <c r="CR852" s="511"/>
      <c r="CS852" s="511"/>
      <c r="CT852" s="511"/>
      <c r="CU852" s="511"/>
      <c r="CV852" s="511"/>
      <c r="CW852" s="511"/>
      <c r="CX852" s="511"/>
      <c r="CY852" s="511"/>
      <c r="CZ852" s="511"/>
      <c r="DA852" s="511"/>
      <c r="DB852" s="511"/>
      <c r="DC852" s="511"/>
      <c r="DD852" s="511"/>
      <c r="DE852" s="511"/>
      <c r="DF852" s="511"/>
      <c r="DG852" s="511"/>
      <c r="DH852" s="511"/>
      <c r="DI852" s="511"/>
      <c r="DJ852" s="511"/>
      <c r="DK852" s="511"/>
      <c r="DL852" s="511"/>
      <c r="DM852" s="511"/>
      <c r="DN852" s="511"/>
      <c r="DO852" s="511"/>
      <c r="DP852" s="511"/>
    </row>
    <row r="853" spans="1:120" x14ac:dyDescent="0.2">
      <c r="A853" s="517">
        <f t="shared" si="114"/>
        <v>42461</v>
      </c>
      <c r="B853" s="517" t="str">
        <f t="shared" si="119"/>
        <v>2Q16</v>
      </c>
      <c r="C853" s="517" t="str">
        <f t="shared" si="115"/>
        <v>2Q16</v>
      </c>
      <c r="D853" s="518">
        <f t="shared" si="116"/>
        <v>42524</v>
      </c>
      <c r="E853" s="518">
        <f t="shared" si="117"/>
        <v>42464</v>
      </c>
      <c r="F853" s="520">
        <v>2.1150000000000002</v>
      </c>
      <c r="G853" s="521">
        <f t="shared" si="120"/>
        <v>0.20000000000000004</v>
      </c>
      <c r="H853" s="521">
        <f t="shared" si="118"/>
        <v>0.20000000000000004</v>
      </c>
      <c r="I853" s="511"/>
      <c r="J853" s="511"/>
      <c r="K853" s="511"/>
      <c r="L853" s="511"/>
      <c r="M853" s="511"/>
      <c r="N853" s="511"/>
      <c r="O853" s="511"/>
      <c r="P853" s="511"/>
      <c r="Q853" s="511"/>
      <c r="R853" s="511"/>
      <c r="S853" s="511"/>
      <c r="T853" s="511"/>
      <c r="U853" s="511"/>
      <c r="V853" s="511"/>
      <c r="W853" s="511"/>
      <c r="X853" s="511"/>
      <c r="Y853" s="511"/>
      <c r="Z853" s="511"/>
      <c r="AA853" s="511"/>
      <c r="AB853" s="511"/>
      <c r="AC853" s="511"/>
      <c r="AD853" s="511"/>
      <c r="AE853" s="511"/>
      <c r="AF853" s="511"/>
      <c r="AG853" s="511"/>
      <c r="AH853" s="511"/>
      <c r="AI853" s="511"/>
      <c r="AJ853" s="511"/>
      <c r="AK853" s="511"/>
      <c r="AL853" s="511"/>
      <c r="AM853" s="511"/>
      <c r="AN853" s="511"/>
      <c r="AO853" s="511"/>
      <c r="AP853" s="511"/>
      <c r="AQ853" s="511"/>
      <c r="AR853" s="511"/>
      <c r="AS853" s="511"/>
      <c r="AT853" s="511"/>
      <c r="AU853" s="511"/>
      <c r="AV853" s="511"/>
      <c r="AW853" s="511"/>
      <c r="AX853" s="511"/>
      <c r="AY853" s="511"/>
      <c r="AZ853" s="511"/>
      <c r="BA853" s="511"/>
      <c r="BB853" s="511"/>
      <c r="BC853" s="511"/>
      <c r="BD853" s="511"/>
      <c r="BE853" s="511"/>
      <c r="BF853" s="511"/>
      <c r="BG853" s="511"/>
      <c r="BH853" s="511"/>
      <c r="BI853" s="511"/>
      <c r="BJ853" s="511"/>
      <c r="BK853" s="511"/>
      <c r="BL853" s="511"/>
      <c r="BM853" s="511"/>
      <c r="BN853" s="511"/>
      <c r="BO853" s="511"/>
      <c r="BP853" s="511"/>
      <c r="BQ853" s="511"/>
      <c r="BR853" s="511"/>
      <c r="BS853" s="511"/>
      <c r="BT853" s="511"/>
      <c r="BU853" s="511"/>
      <c r="BV853" s="511"/>
      <c r="BW853" s="511"/>
      <c r="BX853" s="511"/>
      <c r="BY853" s="511"/>
      <c r="BZ853" s="511"/>
      <c r="CA853" s="511"/>
      <c r="CB853" s="511"/>
      <c r="CC853" s="511"/>
      <c r="CD853" s="511"/>
      <c r="CE853" s="511"/>
      <c r="CF853" s="511"/>
      <c r="CG853" s="511"/>
      <c r="CH853" s="511"/>
      <c r="CI853" s="511"/>
      <c r="CJ853" s="511"/>
      <c r="CK853" s="511"/>
      <c r="CL853" s="511"/>
      <c r="CM853" s="511"/>
      <c r="CN853" s="511"/>
      <c r="CO853" s="511"/>
      <c r="CP853" s="511"/>
      <c r="CQ853" s="511"/>
      <c r="CR853" s="511"/>
      <c r="CS853" s="511"/>
      <c r="CT853" s="511"/>
      <c r="CU853" s="511"/>
      <c r="CV853" s="511"/>
      <c r="CW853" s="511"/>
      <c r="CX853" s="511"/>
      <c r="CY853" s="511"/>
      <c r="CZ853" s="511"/>
      <c r="DA853" s="511"/>
      <c r="DB853" s="511"/>
      <c r="DC853" s="511"/>
      <c r="DD853" s="511"/>
      <c r="DE853" s="511"/>
      <c r="DF853" s="511"/>
      <c r="DG853" s="511"/>
      <c r="DH853" s="511"/>
      <c r="DI853" s="511"/>
      <c r="DJ853" s="511"/>
      <c r="DK853" s="511"/>
      <c r="DL853" s="511"/>
      <c r="DM853" s="511"/>
      <c r="DN853" s="511"/>
      <c r="DO853" s="511"/>
      <c r="DP853" s="511"/>
    </row>
    <row r="854" spans="1:120" x14ac:dyDescent="0.2">
      <c r="A854" s="517">
        <f t="shared" si="114"/>
        <v>42461</v>
      </c>
      <c r="B854" s="517" t="str">
        <f t="shared" si="119"/>
        <v>2Q16</v>
      </c>
      <c r="C854" s="517" t="str">
        <f t="shared" si="115"/>
        <v>2Q16</v>
      </c>
      <c r="D854" s="518">
        <f t="shared" si="116"/>
        <v>42531</v>
      </c>
      <c r="E854" s="518">
        <f t="shared" si="117"/>
        <v>42471</v>
      </c>
      <c r="F854" s="520">
        <v>2.1280000000000001</v>
      </c>
      <c r="G854" s="521">
        <f t="shared" si="120"/>
        <v>0.20000000000000004</v>
      </c>
      <c r="H854" s="521">
        <f t="shared" si="118"/>
        <v>0.21000000000000005</v>
      </c>
      <c r="I854" s="511"/>
      <c r="J854" s="511"/>
      <c r="K854" s="511"/>
      <c r="L854" s="511"/>
      <c r="M854" s="511"/>
      <c r="N854" s="511"/>
      <c r="O854" s="511"/>
      <c r="P854" s="511"/>
      <c r="Q854" s="511"/>
      <c r="R854" s="511"/>
      <c r="S854" s="511"/>
      <c r="T854" s="511"/>
      <c r="U854" s="511"/>
      <c r="V854" s="511"/>
      <c r="W854" s="511"/>
      <c r="X854" s="511"/>
      <c r="Y854" s="511"/>
      <c r="Z854" s="511"/>
      <c r="AA854" s="511"/>
      <c r="AB854" s="511"/>
      <c r="AC854" s="511"/>
      <c r="AD854" s="511"/>
      <c r="AE854" s="511"/>
      <c r="AF854" s="511"/>
      <c r="AG854" s="511"/>
      <c r="AH854" s="511"/>
      <c r="AI854" s="511"/>
      <c r="AJ854" s="511"/>
      <c r="AK854" s="511"/>
      <c r="AL854" s="511"/>
      <c r="AM854" s="511"/>
      <c r="AN854" s="511"/>
      <c r="AO854" s="511"/>
      <c r="AP854" s="511"/>
      <c r="AQ854" s="511"/>
      <c r="AR854" s="511"/>
      <c r="AS854" s="511"/>
      <c r="AT854" s="511"/>
      <c r="AU854" s="511"/>
      <c r="AV854" s="511"/>
      <c r="AW854" s="511"/>
      <c r="AX854" s="511"/>
      <c r="AY854" s="511"/>
      <c r="AZ854" s="511"/>
      <c r="BA854" s="511"/>
      <c r="BB854" s="511"/>
      <c r="BC854" s="511"/>
      <c r="BD854" s="511"/>
      <c r="BE854" s="511"/>
      <c r="BF854" s="511"/>
      <c r="BG854" s="511"/>
      <c r="BH854" s="511"/>
      <c r="BI854" s="511"/>
      <c r="BJ854" s="511"/>
      <c r="BK854" s="511"/>
      <c r="BL854" s="511"/>
      <c r="BM854" s="511"/>
      <c r="BN854" s="511"/>
      <c r="BO854" s="511"/>
      <c r="BP854" s="511"/>
      <c r="BQ854" s="511"/>
      <c r="BR854" s="511"/>
      <c r="BS854" s="511"/>
      <c r="BT854" s="511"/>
      <c r="BU854" s="511"/>
      <c r="BV854" s="511"/>
      <c r="BW854" s="511"/>
      <c r="BX854" s="511"/>
      <c r="BY854" s="511"/>
      <c r="BZ854" s="511"/>
      <c r="CA854" s="511"/>
      <c r="CB854" s="511"/>
      <c r="CC854" s="511"/>
      <c r="CD854" s="511"/>
      <c r="CE854" s="511"/>
      <c r="CF854" s="511"/>
      <c r="CG854" s="511"/>
      <c r="CH854" s="511"/>
      <c r="CI854" s="511"/>
      <c r="CJ854" s="511"/>
      <c r="CK854" s="511"/>
      <c r="CL854" s="511"/>
      <c r="CM854" s="511"/>
      <c r="CN854" s="511"/>
      <c r="CO854" s="511"/>
      <c r="CP854" s="511"/>
      <c r="CQ854" s="511"/>
      <c r="CR854" s="511"/>
      <c r="CS854" s="511"/>
      <c r="CT854" s="511"/>
      <c r="CU854" s="511"/>
      <c r="CV854" s="511"/>
      <c r="CW854" s="511"/>
      <c r="CX854" s="511"/>
      <c r="CY854" s="511"/>
      <c r="CZ854" s="511"/>
      <c r="DA854" s="511"/>
      <c r="DB854" s="511"/>
      <c r="DC854" s="511"/>
      <c r="DD854" s="511"/>
      <c r="DE854" s="511"/>
      <c r="DF854" s="511"/>
      <c r="DG854" s="511"/>
      <c r="DH854" s="511"/>
      <c r="DI854" s="511"/>
      <c r="DJ854" s="511"/>
      <c r="DK854" s="511"/>
      <c r="DL854" s="511"/>
      <c r="DM854" s="511"/>
      <c r="DN854" s="511"/>
      <c r="DO854" s="511"/>
      <c r="DP854" s="511"/>
    </row>
    <row r="855" spans="1:120" x14ac:dyDescent="0.2">
      <c r="A855" s="517">
        <f t="shared" si="114"/>
        <v>42461</v>
      </c>
      <c r="B855" s="517" t="str">
        <f t="shared" si="119"/>
        <v>2Q16</v>
      </c>
      <c r="C855" s="517" t="str">
        <f t="shared" si="115"/>
        <v>2Q16</v>
      </c>
      <c r="D855" s="518">
        <f t="shared" si="116"/>
        <v>42538</v>
      </c>
      <c r="E855" s="518">
        <f t="shared" si="117"/>
        <v>42478</v>
      </c>
      <c r="F855" s="520">
        <v>2.165</v>
      </c>
      <c r="G855" s="521">
        <f t="shared" si="120"/>
        <v>0.21000000000000005</v>
      </c>
      <c r="H855" s="521">
        <f t="shared" si="118"/>
        <v>0.21000000000000005</v>
      </c>
      <c r="I855" s="511"/>
      <c r="J855" s="511"/>
      <c r="K855" s="511"/>
      <c r="L855" s="511"/>
      <c r="M855" s="511"/>
      <c r="N855" s="511"/>
      <c r="O855" s="511"/>
      <c r="P855" s="511"/>
      <c r="Q855" s="511"/>
      <c r="R855" s="511"/>
      <c r="S855" s="511"/>
      <c r="T855" s="511"/>
      <c r="U855" s="511"/>
      <c r="V855" s="511"/>
      <c r="W855" s="511"/>
      <c r="X855" s="511"/>
      <c r="Y855" s="511"/>
      <c r="Z855" s="511"/>
      <c r="AA855" s="511"/>
      <c r="AB855" s="511"/>
      <c r="AC855" s="511"/>
      <c r="AD855" s="511"/>
      <c r="AE855" s="511"/>
      <c r="AF855" s="511"/>
      <c r="AG855" s="511"/>
      <c r="AH855" s="511"/>
      <c r="AI855" s="511"/>
      <c r="AJ855" s="511"/>
      <c r="AK855" s="511"/>
      <c r="AL855" s="511"/>
      <c r="AM855" s="511"/>
      <c r="AN855" s="511"/>
      <c r="AO855" s="511"/>
      <c r="AP855" s="511"/>
      <c r="AQ855" s="511"/>
      <c r="AR855" s="511"/>
      <c r="AS855" s="511"/>
      <c r="AT855" s="511"/>
      <c r="AU855" s="511"/>
      <c r="AV855" s="511"/>
      <c r="AW855" s="511"/>
      <c r="AX855" s="511"/>
      <c r="AY855" s="511"/>
      <c r="AZ855" s="511"/>
      <c r="BA855" s="511"/>
      <c r="BB855" s="511"/>
      <c r="BC855" s="511"/>
      <c r="BD855" s="511"/>
      <c r="BE855" s="511"/>
      <c r="BF855" s="511"/>
      <c r="BG855" s="511"/>
      <c r="BH855" s="511"/>
      <c r="BI855" s="511"/>
      <c r="BJ855" s="511"/>
      <c r="BK855" s="511"/>
      <c r="BL855" s="511"/>
      <c r="BM855" s="511"/>
      <c r="BN855" s="511"/>
      <c r="BO855" s="511"/>
      <c r="BP855" s="511"/>
      <c r="BQ855" s="511"/>
      <c r="BR855" s="511"/>
      <c r="BS855" s="511"/>
      <c r="BT855" s="511"/>
      <c r="BU855" s="511"/>
      <c r="BV855" s="511"/>
      <c r="BW855" s="511"/>
      <c r="BX855" s="511"/>
      <c r="BY855" s="511"/>
      <c r="BZ855" s="511"/>
      <c r="CA855" s="511"/>
      <c r="CB855" s="511"/>
      <c r="CC855" s="511"/>
      <c r="CD855" s="511"/>
      <c r="CE855" s="511"/>
      <c r="CF855" s="511"/>
      <c r="CG855" s="511"/>
      <c r="CH855" s="511"/>
      <c r="CI855" s="511"/>
      <c r="CJ855" s="511"/>
      <c r="CK855" s="511"/>
      <c r="CL855" s="511"/>
      <c r="CM855" s="511"/>
      <c r="CN855" s="511"/>
      <c r="CO855" s="511"/>
      <c r="CP855" s="511"/>
      <c r="CQ855" s="511"/>
      <c r="CR855" s="511"/>
      <c r="CS855" s="511"/>
      <c r="CT855" s="511"/>
      <c r="CU855" s="511"/>
      <c r="CV855" s="511"/>
      <c r="CW855" s="511"/>
      <c r="CX855" s="511"/>
      <c r="CY855" s="511"/>
      <c r="CZ855" s="511"/>
      <c r="DA855" s="511"/>
      <c r="DB855" s="511"/>
      <c r="DC855" s="511"/>
      <c r="DD855" s="511"/>
      <c r="DE855" s="511"/>
      <c r="DF855" s="511"/>
      <c r="DG855" s="511"/>
      <c r="DH855" s="511"/>
      <c r="DI855" s="511"/>
      <c r="DJ855" s="511"/>
      <c r="DK855" s="511"/>
      <c r="DL855" s="511"/>
      <c r="DM855" s="511"/>
      <c r="DN855" s="511"/>
      <c r="DO855" s="511"/>
      <c r="DP855" s="511"/>
    </row>
    <row r="856" spans="1:120" x14ac:dyDescent="0.2">
      <c r="A856" s="517">
        <f t="shared" si="114"/>
        <v>42461</v>
      </c>
      <c r="B856" s="517" t="str">
        <f t="shared" si="119"/>
        <v>2Q16</v>
      </c>
      <c r="C856" s="517" t="str">
        <f t="shared" si="115"/>
        <v>2Q16</v>
      </c>
      <c r="D856" s="518">
        <f t="shared" si="116"/>
        <v>42545</v>
      </c>
      <c r="E856" s="518">
        <f t="shared" si="117"/>
        <v>42485</v>
      </c>
      <c r="F856" s="520">
        <v>2.198</v>
      </c>
      <c r="G856" s="521">
        <f t="shared" si="120"/>
        <v>0.21000000000000005</v>
      </c>
      <c r="H856" s="521">
        <f t="shared" si="118"/>
        <v>0.23000000000000007</v>
      </c>
      <c r="I856" s="511"/>
      <c r="J856" s="511"/>
      <c r="K856" s="511"/>
      <c r="L856" s="511"/>
      <c r="M856" s="511"/>
      <c r="N856" s="511"/>
      <c r="O856" s="511"/>
      <c r="P856" s="511"/>
      <c r="Q856" s="511"/>
      <c r="R856" s="511"/>
      <c r="S856" s="511"/>
      <c r="T856" s="511"/>
      <c r="U856" s="511"/>
      <c r="V856" s="511"/>
      <c r="W856" s="511"/>
      <c r="X856" s="511"/>
      <c r="Y856" s="511"/>
      <c r="Z856" s="511"/>
      <c r="AA856" s="511"/>
      <c r="AB856" s="511"/>
      <c r="AC856" s="511"/>
      <c r="AD856" s="511"/>
      <c r="AE856" s="511"/>
      <c r="AF856" s="511"/>
      <c r="AG856" s="511"/>
      <c r="AH856" s="511"/>
      <c r="AI856" s="511"/>
      <c r="AJ856" s="511"/>
      <c r="AK856" s="511"/>
      <c r="AL856" s="511"/>
      <c r="AM856" s="511"/>
      <c r="AN856" s="511"/>
      <c r="AO856" s="511"/>
      <c r="AP856" s="511"/>
      <c r="AQ856" s="511"/>
      <c r="AR856" s="511"/>
      <c r="AS856" s="511"/>
      <c r="AT856" s="511"/>
      <c r="AU856" s="511"/>
      <c r="AV856" s="511"/>
      <c r="AW856" s="511"/>
      <c r="AX856" s="511"/>
      <c r="AY856" s="511"/>
      <c r="AZ856" s="511"/>
      <c r="BA856" s="511"/>
      <c r="BB856" s="511"/>
      <c r="BC856" s="511"/>
      <c r="BD856" s="511"/>
      <c r="BE856" s="511"/>
      <c r="BF856" s="511"/>
      <c r="BG856" s="511"/>
      <c r="BH856" s="511"/>
      <c r="BI856" s="511"/>
      <c r="BJ856" s="511"/>
      <c r="BK856" s="511"/>
      <c r="BL856" s="511"/>
      <c r="BM856" s="511"/>
      <c r="BN856" s="511"/>
      <c r="BO856" s="511"/>
      <c r="BP856" s="511"/>
      <c r="BQ856" s="511"/>
      <c r="BR856" s="511"/>
      <c r="BS856" s="511"/>
      <c r="BT856" s="511"/>
      <c r="BU856" s="511"/>
      <c r="BV856" s="511"/>
      <c r="BW856" s="511"/>
      <c r="BX856" s="511"/>
      <c r="BY856" s="511"/>
      <c r="BZ856" s="511"/>
      <c r="CA856" s="511"/>
      <c r="CB856" s="511"/>
      <c r="CC856" s="511"/>
      <c r="CD856" s="511"/>
      <c r="CE856" s="511"/>
      <c r="CF856" s="511"/>
      <c r="CG856" s="511"/>
      <c r="CH856" s="511"/>
      <c r="CI856" s="511"/>
      <c r="CJ856" s="511"/>
      <c r="CK856" s="511"/>
      <c r="CL856" s="511"/>
      <c r="CM856" s="511"/>
      <c r="CN856" s="511"/>
      <c r="CO856" s="511"/>
      <c r="CP856" s="511"/>
      <c r="CQ856" s="511"/>
      <c r="CR856" s="511"/>
      <c r="CS856" s="511"/>
      <c r="CT856" s="511"/>
      <c r="CU856" s="511"/>
      <c r="CV856" s="511"/>
      <c r="CW856" s="511"/>
      <c r="CX856" s="511"/>
      <c r="CY856" s="511"/>
      <c r="CZ856" s="511"/>
      <c r="DA856" s="511"/>
      <c r="DB856" s="511"/>
      <c r="DC856" s="511"/>
      <c r="DD856" s="511"/>
      <c r="DE856" s="511"/>
      <c r="DF856" s="511"/>
      <c r="DG856" s="511"/>
      <c r="DH856" s="511"/>
      <c r="DI856" s="511"/>
      <c r="DJ856" s="511"/>
      <c r="DK856" s="511"/>
      <c r="DL856" s="511"/>
      <c r="DM856" s="511"/>
      <c r="DN856" s="511"/>
      <c r="DO856" s="511"/>
      <c r="DP856" s="511"/>
    </row>
    <row r="857" spans="1:120" x14ac:dyDescent="0.2">
      <c r="A857" s="517">
        <f t="shared" si="114"/>
        <v>42491</v>
      </c>
      <c r="B857" s="517" t="str">
        <f t="shared" si="119"/>
        <v>2Q16</v>
      </c>
      <c r="C857" s="517" t="str">
        <f t="shared" si="115"/>
        <v>3Q16</v>
      </c>
      <c r="D857" s="518">
        <f t="shared" si="116"/>
        <v>42552</v>
      </c>
      <c r="E857" s="518">
        <f t="shared" si="117"/>
        <v>42492</v>
      </c>
      <c r="F857" s="520">
        <v>2.266</v>
      </c>
      <c r="G857" s="521">
        <f t="shared" si="120"/>
        <v>0.23000000000000007</v>
      </c>
      <c r="H857" s="521">
        <f t="shared" si="118"/>
        <v>0.23000000000000007</v>
      </c>
      <c r="I857" s="511"/>
      <c r="J857" s="511"/>
      <c r="K857" s="511"/>
      <c r="L857" s="511"/>
      <c r="M857" s="511"/>
      <c r="N857" s="511"/>
      <c r="O857" s="511"/>
      <c r="P857" s="511"/>
      <c r="Q857" s="511"/>
      <c r="R857" s="511"/>
      <c r="S857" s="511"/>
      <c r="T857" s="511"/>
      <c r="U857" s="511"/>
      <c r="V857" s="511"/>
      <c r="W857" s="511"/>
      <c r="X857" s="511"/>
      <c r="Y857" s="511"/>
      <c r="Z857" s="511"/>
      <c r="AA857" s="511"/>
      <c r="AB857" s="511"/>
      <c r="AC857" s="511"/>
      <c r="AD857" s="511"/>
      <c r="AE857" s="511"/>
      <c r="AF857" s="511"/>
      <c r="AG857" s="511"/>
      <c r="AH857" s="511"/>
      <c r="AI857" s="511"/>
      <c r="AJ857" s="511"/>
      <c r="AK857" s="511"/>
      <c r="AL857" s="511"/>
      <c r="AM857" s="511"/>
      <c r="AN857" s="511"/>
      <c r="AO857" s="511"/>
      <c r="AP857" s="511"/>
      <c r="AQ857" s="511"/>
      <c r="AR857" s="511"/>
      <c r="AS857" s="511"/>
      <c r="AT857" s="511"/>
      <c r="AU857" s="511"/>
      <c r="AV857" s="511"/>
      <c r="AW857" s="511"/>
      <c r="AX857" s="511"/>
      <c r="AY857" s="511"/>
      <c r="AZ857" s="511"/>
      <c r="BA857" s="511"/>
      <c r="BB857" s="511"/>
      <c r="BC857" s="511"/>
      <c r="BD857" s="511"/>
      <c r="BE857" s="511"/>
      <c r="BF857" s="511"/>
      <c r="BG857" s="511"/>
      <c r="BH857" s="511"/>
      <c r="BI857" s="511"/>
      <c r="BJ857" s="511"/>
      <c r="BK857" s="511"/>
      <c r="BL857" s="511"/>
      <c r="BM857" s="511"/>
      <c r="BN857" s="511"/>
      <c r="BO857" s="511"/>
      <c r="BP857" s="511"/>
      <c r="BQ857" s="511"/>
      <c r="BR857" s="511"/>
      <c r="BS857" s="511"/>
      <c r="BT857" s="511"/>
      <c r="BU857" s="511"/>
      <c r="BV857" s="511"/>
      <c r="BW857" s="511"/>
      <c r="BX857" s="511"/>
      <c r="BY857" s="511"/>
      <c r="BZ857" s="511"/>
      <c r="CA857" s="511"/>
      <c r="CB857" s="511"/>
      <c r="CC857" s="511"/>
      <c r="CD857" s="511"/>
      <c r="CE857" s="511"/>
      <c r="CF857" s="511"/>
      <c r="CG857" s="511"/>
      <c r="CH857" s="511"/>
      <c r="CI857" s="511"/>
      <c r="CJ857" s="511"/>
      <c r="CK857" s="511"/>
      <c r="CL857" s="511"/>
      <c r="CM857" s="511"/>
      <c r="CN857" s="511"/>
      <c r="CO857" s="511"/>
      <c r="CP857" s="511"/>
      <c r="CQ857" s="511"/>
      <c r="CR857" s="511"/>
      <c r="CS857" s="511"/>
      <c r="CT857" s="511"/>
      <c r="CU857" s="511"/>
      <c r="CV857" s="511"/>
      <c r="CW857" s="511"/>
      <c r="CX857" s="511"/>
      <c r="CY857" s="511"/>
      <c r="CZ857" s="511"/>
      <c r="DA857" s="511"/>
      <c r="DB857" s="511"/>
      <c r="DC857" s="511"/>
      <c r="DD857" s="511"/>
      <c r="DE857" s="511"/>
      <c r="DF857" s="511"/>
      <c r="DG857" s="511"/>
      <c r="DH857" s="511"/>
      <c r="DI857" s="511"/>
      <c r="DJ857" s="511"/>
      <c r="DK857" s="511"/>
      <c r="DL857" s="511"/>
      <c r="DM857" s="511"/>
      <c r="DN857" s="511"/>
      <c r="DO857" s="511"/>
      <c r="DP857" s="511"/>
    </row>
    <row r="858" spans="1:120" x14ac:dyDescent="0.2">
      <c r="A858" s="517">
        <f t="shared" si="114"/>
        <v>42491</v>
      </c>
      <c r="B858" s="517" t="str">
        <f t="shared" si="119"/>
        <v>2Q16</v>
      </c>
      <c r="C858" s="517" t="str">
        <f t="shared" si="115"/>
        <v>3Q16</v>
      </c>
      <c r="D858" s="518">
        <f t="shared" si="116"/>
        <v>42559</v>
      </c>
      <c r="E858" s="518">
        <f t="shared" si="117"/>
        <v>42499</v>
      </c>
      <c r="F858" s="520">
        <v>2.2709999999999999</v>
      </c>
      <c r="G858" s="521">
        <f t="shared" si="120"/>
        <v>0.23000000000000007</v>
      </c>
      <c r="H858" s="521">
        <f t="shared" si="118"/>
        <v>0.23000000000000007</v>
      </c>
      <c r="I858" s="511"/>
      <c r="J858" s="511"/>
      <c r="K858" s="511"/>
      <c r="L858" s="511"/>
      <c r="M858" s="511"/>
      <c r="N858" s="511"/>
      <c r="O858" s="511"/>
      <c r="P858" s="511"/>
      <c r="Q858" s="511"/>
      <c r="R858" s="511"/>
      <c r="S858" s="511"/>
      <c r="T858" s="511"/>
      <c r="U858" s="511"/>
      <c r="V858" s="511"/>
      <c r="W858" s="511"/>
      <c r="X858" s="511"/>
      <c r="Y858" s="511"/>
      <c r="Z858" s="511"/>
      <c r="AA858" s="511"/>
      <c r="AB858" s="511"/>
      <c r="AC858" s="511"/>
      <c r="AD858" s="511"/>
      <c r="AE858" s="511"/>
      <c r="AF858" s="511"/>
      <c r="AG858" s="511"/>
      <c r="AH858" s="511"/>
      <c r="AI858" s="511"/>
      <c r="AJ858" s="511"/>
      <c r="AK858" s="511"/>
      <c r="AL858" s="511"/>
      <c r="AM858" s="511"/>
      <c r="AN858" s="511"/>
      <c r="AO858" s="511"/>
      <c r="AP858" s="511"/>
      <c r="AQ858" s="511"/>
      <c r="AR858" s="511"/>
      <c r="AS858" s="511"/>
      <c r="AT858" s="511"/>
      <c r="AU858" s="511"/>
      <c r="AV858" s="511"/>
      <c r="AW858" s="511"/>
      <c r="AX858" s="511"/>
      <c r="AY858" s="511"/>
      <c r="AZ858" s="511"/>
      <c r="BA858" s="511"/>
      <c r="BB858" s="511"/>
      <c r="BC858" s="511"/>
      <c r="BD858" s="511"/>
      <c r="BE858" s="511"/>
      <c r="BF858" s="511"/>
      <c r="BG858" s="511"/>
      <c r="BH858" s="511"/>
      <c r="BI858" s="511"/>
      <c r="BJ858" s="511"/>
      <c r="BK858" s="511"/>
      <c r="BL858" s="511"/>
      <c r="BM858" s="511"/>
      <c r="BN858" s="511"/>
      <c r="BO858" s="511"/>
      <c r="BP858" s="511"/>
      <c r="BQ858" s="511"/>
      <c r="BR858" s="511"/>
      <c r="BS858" s="511"/>
      <c r="BT858" s="511"/>
      <c r="BU858" s="511"/>
      <c r="BV858" s="511"/>
      <c r="BW858" s="511"/>
      <c r="BX858" s="511"/>
      <c r="BY858" s="511"/>
      <c r="BZ858" s="511"/>
      <c r="CA858" s="511"/>
      <c r="CB858" s="511"/>
      <c r="CC858" s="511"/>
      <c r="CD858" s="511"/>
      <c r="CE858" s="511"/>
      <c r="CF858" s="511"/>
      <c r="CG858" s="511"/>
      <c r="CH858" s="511"/>
      <c r="CI858" s="511"/>
      <c r="CJ858" s="511"/>
      <c r="CK858" s="511"/>
      <c r="CL858" s="511"/>
      <c r="CM858" s="511"/>
      <c r="CN858" s="511"/>
      <c r="CO858" s="511"/>
      <c r="CP858" s="511"/>
      <c r="CQ858" s="511"/>
      <c r="CR858" s="511"/>
      <c r="CS858" s="511"/>
      <c r="CT858" s="511"/>
      <c r="CU858" s="511"/>
      <c r="CV858" s="511"/>
      <c r="CW858" s="511"/>
      <c r="CX858" s="511"/>
      <c r="CY858" s="511"/>
      <c r="CZ858" s="511"/>
      <c r="DA858" s="511"/>
      <c r="DB858" s="511"/>
      <c r="DC858" s="511"/>
      <c r="DD858" s="511"/>
      <c r="DE858" s="511"/>
      <c r="DF858" s="511"/>
      <c r="DG858" s="511"/>
      <c r="DH858" s="511"/>
      <c r="DI858" s="511"/>
      <c r="DJ858" s="511"/>
      <c r="DK858" s="511"/>
      <c r="DL858" s="511"/>
      <c r="DM858" s="511"/>
      <c r="DN858" s="511"/>
      <c r="DO858" s="511"/>
      <c r="DP858" s="511"/>
    </row>
    <row r="859" spans="1:120" x14ac:dyDescent="0.2">
      <c r="A859" s="517">
        <f t="shared" si="114"/>
        <v>42491</v>
      </c>
      <c r="B859" s="517" t="str">
        <f t="shared" si="119"/>
        <v>2Q16</v>
      </c>
      <c r="C859" s="517" t="str">
        <f t="shared" si="115"/>
        <v>3Q16</v>
      </c>
      <c r="D859" s="518">
        <f t="shared" si="116"/>
        <v>42566</v>
      </c>
      <c r="E859" s="518">
        <f t="shared" si="117"/>
        <v>42506</v>
      </c>
      <c r="F859" s="520">
        <v>2.2970000000000002</v>
      </c>
      <c r="G859" s="521">
        <f t="shared" si="120"/>
        <v>0.23000000000000007</v>
      </c>
      <c r="H859" s="521">
        <f t="shared" si="118"/>
        <v>0.25000000000000006</v>
      </c>
      <c r="I859" s="511"/>
      <c r="J859" s="511"/>
      <c r="K859" s="511"/>
      <c r="L859" s="511"/>
      <c r="M859" s="511"/>
      <c r="N859" s="511"/>
      <c r="O859" s="511"/>
      <c r="P859" s="511"/>
      <c r="Q859" s="511"/>
      <c r="R859" s="511"/>
      <c r="S859" s="511"/>
      <c r="T859" s="511"/>
      <c r="U859" s="511"/>
      <c r="V859" s="511"/>
      <c r="W859" s="511"/>
      <c r="X859" s="511"/>
      <c r="Y859" s="511"/>
      <c r="Z859" s="511"/>
      <c r="AA859" s="511"/>
      <c r="AB859" s="511"/>
      <c r="AC859" s="511"/>
      <c r="AD859" s="511"/>
      <c r="AE859" s="511"/>
      <c r="AF859" s="511"/>
      <c r="AG859" s="511"/>
      <c r="AH859" s="511"/>
      <c r="AI859" s="511"/>
      <c r="AJ859" s="511"/>
      <c r="AK859" s="511"/>
      <c r="AL859" s="511"/>
      <c r="AM859" s="511"/>
      <c r="AN859" s="511"/>
      <c r="AO859" s="511"/>
      <c r="AP859" s="511"/>
      <c r="AQ859" s="511"/>
      <c r="AR859" s="511"/>
      <c r="AS859" s="511"/>
      <c r="AT859" s="511"/>
      <c r="AU859" s="511"/>
      <c r="AV859" s="511"/>
      <c r="AW859" s="511"/>
      <c r="AX859" s="511"/>
      <c r="AY859" s="511"/>
      <c r="AZ859" s="511"/>
      <c r="BA859" s="511"/>
      <c r="BB859" s="511"/>
      <c r="BC859" s="511"/>
      <c r="BD859" s="511"/>
      <c r="BE859" s="511"/>
      <c r="BF859" s="511"/>
      <c r="BG859" s="511"/>
      <c r="BH859" s="511"/>
      <c r="BI859" s="511"/>
      <c r="BJ859" s="511"/>
      <c r="BK859" s="511"/>
      <c r="BL859" s="511"/>
      <c r="BM859" s="511"/>
      <c r="BN859" s="511"/>
      <c r="BO859" s="511"/>
      <c r="BP859" s="511"/>
      <c r="BQ859" s="511"/>
      <c r="BR859" s="511"/>
      <c r="BS859" s="511"/>
      <c r="BT859" s="511"/>
      <c r="BU859" s="511"/>
      <c r="BV859" s="511"/>
      <c r="BW859" s="511"/>
      <c r="BX859" s="511"/>
      <c r="BY859" s="511"/>
      <c r="BZ859" s="511"/>
      <c r="CA859" s="511"/>
      <c r="CB859" s="511"/>
      <c r="CC859" s="511"/>
      <c r="CD859" s="511"/>
      <c r="CE859" s="511"/>
      <c r="CF859" s="511"/>
      <c r="CG859" s="511"/>
      <c r="CH859" s="511"/>
      <c r="CI859" s="511"/>
      <c r="CJ859" s="511"/>
      <c r="CK859" s="511"/>
      <c r="CL859" s="511"/>
      <c r="CM859" s="511"/>
      <c r="CN859" s="511"/>
      <c r="CO859" s="511"/>
      <c r="CP859" s="511"/>
      <c r="CQ859" s="511"/>
      <c r="CR859" s="511"/>
      <c r="CS859" s="511"/>
      <c r="CT859" s="511"/>
      <c r="CU859" s="511"/>
      <c r="CV859" s="511"/>
      <c r="CW859" s="511"/>
      <c r="CX859" s="511"/>
      <c r="CY859" s="511"/>
      <c r="CZ859" s="511"/>
      <c r="DA859" s="511"/>
      <c r="DB859" s="511"/>
      <c r="DC859" s="511"/>
      <c r="DD859" s="511"/>
      <c r="DE859" s="511"/>
      <c r="DF859" s="511"/>
      <c r="DG859" s="511"/>
      <c r="DH859" s="511"/>
      <c r="DI859" s="511"/>
      <c r="DJ859" s="511"/>
      <c r="DK859" s="511"/>
      <c r="DL859" s="511"/>
      <c r="DM859" s="511"/>
      <c r="DN859" s="511"/>
      <c r="DO859" s="511"/>
      <c r="DP859" s="511"/>
    </row>
    <row r="860" spans="1:120" x14ac:dyDescent="0.2">
      <c r="A860" s="517">
        <f t="shared" si="114"/>
        <v>42491</v>
      </c>
      <c r="B860" s="517" t="str">
        <f t="shared" si="119"/>
        <v>2Q16</v>
      </c>
      <c r="C860" s="517" t="str">
        <f t="shared" si="115"/>
        <v>3Q16</v>
      </c>
      <c r="D860" s="518">
        <f t="shared" si="116"/>
        <v>42573</v>
      </c>
      <c r="E860" s="518">
        <f t="shared" si="117"/>
        <v>42513</v>
      </c>
      <c r="F860" s="520">
        <v>2.3570000000000002</v>
      </c>
      <c r="G860" s="521">
        <f t="shared" si="120"/>
        <v>0.25000000000000006</v>
      </c>
      <c r="H860" s="521">
        <f t="shared" si="118"/>
        <v>0.25000000000000006</v>
      </c>
      <c r="I860" s="511"/>
      <c r="J860" s="511"/>
      <c r="K860" s="511"/>
      <c r="L860" s="511"/>
      <c r="M860" s="511"/>
      <c r="N860" s="511"/>
      <c r="O860" s="511"/>
      <c r="P860" s="511"/>
      <c r="Q860" s="511"/>
      <c r="R860" s="511"/>
      <c r="S860" s="511"/>
      <c r="T860" s="511"/>
      <c r="U860" s="511"/>
      <c r="V860" s="511"/>
      <c r="W860" s="511"/>
      <c r="X860" s="511"/>
      <c r="Y860" s="511"/>
      <c r="Z860" s="511"/>
      <c r="AA860" s="511"/>
      <c r="AB860" s="511"/>
      <c r="AC860" s="511"/>
      <c r="AD860" s="511"/>
      <c r="AE860" s="511"/>
      <c r="AF860" s="511"/>
      <c r="AG860" s="511"/>
      <c r="AH860" s="511"/>
      <c r="AI860" s="511"/>
      <c r="AJ860" s="511"/>
      <c r="AK860" s="511"/>
      <c r="AL860" s="511"/>
      <c r="AM860" s="511"/>
      <c r="AN860" s="511"/>
      <c r="AO860" s="511"/>
      <c r="AP860" s="511"/>
      <c r="AQ860" s="511"/>
      <c r="AR860" s="511"/>
      <c r="AS860" s="511"/>
      <c r="AT860" s="511"/>
      <c r="AU860" s="511"/>
      <c r="AV860" s="511"/>
      <c r="AW860" s="511"/>
      <c r="AX860" s="511"/>
      <c r="AY860" s="511"/>
      <c r="AZ860" s="511"/>
      <c r="BA860" s="511"/>
      <c r="BB860" s="511"/>
      <c r="BC860" s="511"/>
      <c r="BD860" s="511"/>
      <c r="BE860" s="511"/>
      <c r="BF860" s="511"/>
      <c r="BG860" s="511"/>
      <c r="BH860" s="511"/>
      <c r="BI860" s="511"/>
      <c r="BJ860" s="511"/>
      <c r="BK860" s="511"/>
      <c r="BL860" s="511"/>
      <c r="BM860" s="511"/>
      <c r="BN860" s="511"/>
      <c r="BO860" s="511"/>
      <c r="BP860" s="511"/>
      <c r="BQ860" s="511"/>
      <c r="BR860" s="511"/>
      <c r="BS860" s="511"/>
      <c r="BT860" s="511"/>
      <c r="BU860" s="511"/>
      <c r="BV860" s="511"/>
      <c r="BW860" s="511"/>
      <c r="BX860" s="511"/>
      <c r="BY860" s="511"/>
      <c r="BZ860" s="511"/>
      <c r="CA860" s="511"/>
      <c r="CB860" s="511"/>
      <c r="CC860" s="511"/>
      <c r="CD860" s="511"/>
      <c r="CE860" s="511"/>
      <c r="CF860" s="511"/>
      <c r="CG860" s="511"/>
      <c r="CH860" s="511"/>
      <c r="CI860" s="511"/>
      <c r="CJ860" s="511"/>
      <c r="CK860" s="511"/>
      <c r="CL860" s="511"/>
      <c r="CM860" s="511"/>
      <c r="CN860" s="511"/>
      <c r="CO860" s="511"/>
      <c r="CP860" s="511"/>
      <c r="CQ860" s="511"/>
      <c r="CR860" s="511"/>
      <c r="CS860" s="511"/>
      <c r="CT860" s="511"/>
      <c r="CU860" s="511"/>
      <c r="CV860" s="511"/>
      <c r="CW860" s="511"/>
      <c r="CX860" s="511"/>
      <c r="CY860" s="511"/>
      <c r="CZ860" s="511"/>
      <c r="DA860" s="511"/>
      <c r="DB860" s="511"/>
      <c r="DC860" s="511"/>
      <c r="DD860" s="511"/>
      <c r="DE860" s="511"/>
      <c r="DF860" s="511"/>
      <c r="DG860" s="511"/>
      <c r="DH860" s="511"/>
      <c r="DI860" s="511"/>
      <c r="DJ860" s="511"/>
      <c r="DK860" s="511"/>
      <c r="DL860" s="511"/>
      <c r="DM860" s="511"/>
      <c r="DN860" s="511"/>
      <c r="DO860" s="511"/>
      <c r="DP860" s="511"/>
    </row>
    <row r="861" spans="1:120" x14ac:dyDescent="0.2">
      <c r="A861" s="517">
        <f t="shared" si="114"/>
        <v>42491</v>
      </c>
      <c r="B861" s="517" t="str">
        <f t="shared" si="119"/>
        <v>2Q16</v>
      </c>
      <c r="C861" s="517" t="str">
        <f t="shared" si="115"/>
        <v>3Q16</v>
      </c>
      <c r="D861" s="518">
        <f t="shared" si="116"/>
        <v>42580</v>
      </c>
      <c r="E861" s="518">
        <f t="shared" si="117"/>
        <v>42520</v>
      </c>
      <c r="F861" s="520">
        <v>2.3820000000000001</v>
      </c>
      <c r="G861" s="521">
        <f t="shared" si="120"/>
        <v>0.25000000000000006</v>
      </c>
      <c r="H861" s="521">
        <f t="shared" si="118"/>
        <v>0.26000000000000006</v>
      </c>
      <c r="I861" s="511"/>
      <c r="J861" s="511"/>
      <c r="K861" s="511"/>
      <c r="L861" s="511"/>
      <c r="M861" s="511"/>
      <c r="N861" s="511"/>
      <c r="O861" s="511"/>
      <c r="P861" s="511"/>
      <c r="Q861" s="511"/>
      <c r="R861" s="511"/>
      <c r="S861" s="511"/>
      <c r="T861" s="511"/>
      <c r="U861" s="511"/>
      <c r="V861" s="511"/>
      <c r="W861" s="511"/>
      <c r="X861" s="511"/>
      <c r="Y861" s="511"/>
      <c r="Z861" s="511"/>
      <c r="AA861" s="511"/>
      <c r="AB861" s="511"/>
      <c r="AC861" s="511"/>
      <c r="AD861" s="511"/>
      <c r="AE861" s="511"/>
      <c r="AF861" s="511"/>
      <c r="AG861" s="511"/>
      <c r="AH861" s="511"/>
      <c r="AI861" s="511"/>
      <c r="AJ861" s="511"/>
      <c r="AK861" s="511"/>
      <c r="AL861" s="511"/>
      <c r="AM861" s="511"/>
      <c r="AN861" s="511"/>
      <c r="AO861" s="511"/>
      <c r="AP861" s="511"/>
      <c r="AQ861" s="511"/>
      <c r="AR861" s="511"/>
      <c r="AS861" s="511"/>
      <c r="AT861" s="511"/>
      <c r="AU861" s="511"/>
      <c r="AV861" s="511"/>
      <c r="AW861" s="511"/>
      <c r="AX861" s="511"/>
      <c r="AY861" s="511"/>
      <c r="AZ861" s="511"/>
      <c r="BA861" s="511"/>
      <c r="BB861" s="511"/>
      <c r="BC861" s="511"/>
      <c r="BD861" s="511"/>
      <c r="BE861" s="511"/>
      <c r="BF861" s="511"/>
      <c r="BG861" s="511"/>
      <c r="BH861" s="511"/>
      <c r="BI861" s="511"/>
      <c r="BJ861" s="511"/>
      <c r="BK861" s="511"/>
      <c r="BL861" s="511"/>
      <c r="BM861" s="511"/>
      <c r="BN861" s="511"/>
      <c r="BO861" s="511"/>
      <c r="BP861" s="511"/>
      <c r="BQ861" s="511"/>
      <c r="BR861" s="511"/>
      <c r="BS861" s="511"/>
      <c r="BT861" s="511"/>
      <c r="BU861" s="511"/>
      <c r="BV861" s="511"/>
      <c r="BW861" s="511"/>
      <c r="BX861" s="511"/>
      <c r="BY861" s="511"/>
      <c r="BZ861" s="511"/>
      <c r="CA861" s="511"/>
      <c r="CB861" s="511"/>
      <c r="CC861" s="511"/>
      <c r="CD861" s="511"/>
      <c r="CE861" s="511"/>
      <c r="CF861" s="511"/>
      <c r="CG861" s="511"/>
      <c r="CH861" s="511"/>
      <c r="CI861" s="511"/>
      <c r="CJ861" s="511"/>
      <c r="CK861" s="511"/>
      <c r="CL861" s="511"/>
      <c r="CM861" s="511"/>
      <c r="CN861" s="511"/>
      <c r="CO861" s="511"/>
      <c r="CP861" s="511"/>
      <c r="CQ861" s="511"/>
      <c r="CR861" s="511"/>
      <c r="CS861" s="511"/>
      <c r="CT861" s="511"/>
      <c r="CU861" s="511"/>
      <c r="CV861" s="511"/>
      <c r="CW861" s="511"/>
      <c r="CX861" s="511"/>
      <c r="CY861" s="511"/>
      <c r="CZ861" s="511"/>
      <c r="DA861" s="511"/>
      <c r="DB861" s="511"/>
      <c r="DC861" s="511"/>
      <c r="DD861" s="511"/>
      <c r="DE861" s="511"/>
      <c r="DF861" s="511"/>
      <c r="DG861" s="511"/>
      <c r="DH861" s="511"/>
      <c r="DI861" s="511"/>
      <c r="DJ861" s="511"/>
      <c r="DK861" s="511"/>
      <c r="DL861" s="511"/>
      <c r="DM861" s="511"/>
      <c r="DN861" s="511"/>
      <c r="DO861" s="511"/>
      <c r="DP861" s="511"/>
    </row>
    <row r="862" spans="1:120" x14ac:dyDescent="0.2">
      <c r="A862" s="517">
        <f t="shared" si="114"/>
        <v>42522</v>
      </c>
      <c r="B862" s="517" t="str">
        <f t="shared" si="119"/>
        <v>2Q16</v>
      </c>
      <c r="C862" s="517" t="str">
        <f t="shared" si="115"/>
        <v>3Q16</v>
      </c>
      <c r="D862" s="518">
        <f t="shared" si="116"/>
        <v>42587</v>
      </c>
      <c r="E862" s="518">
        <f t="shared" si="117"/>
        <v>42527</v>
      </c>
      <c r="F862" s="520">
        <v>2.407</v>
      </c>
      <c r="G862" s="521">
        <f t="shared" si="120"/>
        <v>0.26000000000000006</v>
      </c>
      <c r="H862" s="521">
        <f t="shared" si="118"/>
        <v>0.26000000000000006</v>
      </c>
      <c r="I862" s="511"/>
      <c r="J862" s="511"/>
      <c r="K862" s="511"/>
      <c r="L862" s="511"/>
      <c r="M862" s="511"/>
      <c r="N862" s="511"/>
      <c r="O862" s="511"/>
      <c r="P862" s="511"/>
      <c r="Q862" s="511"/>
      <c r="R862" s="511"/>
      <c r="S862" s="511"/>
      <c r="T862" s="511"/>
      <c r="U862" s="511"/>
      <c r="V862" s="511"/>
      <c r="W862" s="511"/>
      <c r="X862" s="511"/>
      <c r="Y862" s="511"/>
      <c r="Z862" s="511"/>
      <c r="AA862" s="511"/>
      <c r="AB862" s="511"/>
      <c r="AC862" s="511"/>
      <c r="AD862" s="511"/>
      <c r="AE862" s="511"/>
      <c r="AF862" s="511"/>
      <c r="AG862" s="511"/>
      <c r="AH862" s="511"/>
      <c r="AI862" s="511"/>
      <c r="AJ862" s="511"/>
      <c r="AK862" s="511"/>
      <c r="AL862" s="511"/>
      <c r="AM862" s="511"/>
      <c r="AN862" s="511"/>
      <c r="AO862" s="511"/>
      <c r="AP862" s="511"/>
      <c r="AQ862" s="511"/>
      <c r="AR862" s="511"/>
      <c r="AS862" s="511"/>
      <c r="AT862" s="511"/>
      <c r="AU862" s="511"/>
      <c r="AV862" s="511"/>
      <c r="AW862" s="511"/>
      <c r="AX862" s="511"/>
      <c r="AY862" s="511"/>
      <c r="AZ862" s="511"/>
      <c r="BA862" s="511"/>
      <c r="BB862" s="511"/>
      <c r="BC862" s="511"/>
      <c r="BD862" s="511"/>
      <c r="BE862" s="511"/>
      <c r="BF862" s="511"/>
      <c r="BG862" s="511"/>
      <c r="BH862" s="511"/>
      <c r="BI862" s="511"/>
      <c r="BJ862" s="511"/>
      <c r="BK862" s="511"/>
      <c r="BL862" s="511"/>
      <c r="BM862" s="511"/>
      <c r="BN862" s="511"/>
      <c r="BO862" s="511"/>
      <c r="BP862" s="511"/>
      <c r="BQ862" s="511"/>
      <c r="BR862" s="511"/>
      <c r="BS862" s="511"/>
      <c r="BT862" s="511"/>
      <c r="BU862" s="511"/>
      <c r="BV862" s="511"/>
      <c r="BW862" s="511"/>
      <c r="BX862" s="511"/>
      <c r="BY862" s="511"/>
      <c r="BZ862" s="511"/>
      <c r="CA862" s="511"/>
      <c r="CB862" s="511"/>
      <c r="CC862" s="511"/>
      <c r="CD862" s="511"/>
      <c r="CE862" s="511"/>
      <c r="CF862" s="511"/>
      <c r="CG862" s="511"/>
      <c r="CH862" s="511"/>
      <c r="CI862" s="511"/>
      <c r="CJ862" s="511"/>
      <c r="CK862" s="511"/>
      <c r="CL862" s="511"/>
      <c r="CM862" s="511"/>
      <c r="CN862" s="511"/>
      <c r="CO862" s="511"/>
      <c r="CP862" s="511"/>
      <c r="CQ862" s="511"/>
      <c r="CR862" s="511"/>
      <c r="CS862" s="511"/>
      <c r="CT862" s="511"/>
      <c r="CU862" s="511"/>
      <c r="CV862" s="511"/>
      <c r="CW862" s="511"/>
      <c r="CX862" s="511"/>
      <c r="CY862" s="511"/>
      <c r="CZ862" s="511"/>
      <c r="DA862" s="511"/>
      <c r="DB862" s="511"/>
      <c r="DC862" s="511"/>
      <c r="DD862" s="511"/>
      <c r="DE862" s="511"/>
      <c r="DF862" s="511"/>
      <c r="DG862" s="511"/>
      <c r="DH862" s="511"/>
      <c r="DI862" s="511"/>
      <c r="DJ862" s="511"/>
      <c r="DK862" s="511"/>
      <c r="DL862" s="511"/>
      <c r="DM862" s="511"/>
      <c r="DN862" s="511"/>
      <c r="DO862" s="511"/>
      <c r="DP862" s="511"/>
    </row>
    <row r="863" spans="1:120" x14ac:dyDescent="0.2">
      <c r="A863" s="517">
        <f t="shared" si="114"/>
        <v>42522</v>
      </c>
      <c r="B863" s="517" t="str">
        <f t="shared" si="119"/>
        <v>2Q16</v>
      </c>
      <c r="C863" s="517" t="str">
        <f t="shared" si="115"/>
        <v>3Q16</v>
      </c>
      <c r="D863" s="518">
        <f t="shared" si="116"/>
        <v>42594</v>
      </c>
      <c r="E863" s="518">
        <f t="shared" si="117"/>
        <v>42534</v>
      </c>
      <c r="F863" s="520">
        <v>2.431</v>
      </c>
      <c r="G863" s="521">
        <f t="shared" si="120"/>
        <v>0.26000000000000006</v>
      </c>
      <c r="H863" s="521">
        <f t="shared" si="118"/>
        <v>0.26000000000000006</v>
      </c>
      <c r="I863" s="511"/>
      <c r="J863" s="511"/>
      <c r="K863" s="511"/>
      <c r="L863" s="511"/>
      <c r="M863" s="511"/>
      <c r="N863" s="511"/>
      <c r="O863" s="511"/>
      <c r="P863" s="511"/>
      <c r="Q863" s="511"/>
      <c r="R863" s="511"/>
      <c r="S863" s="511"/>
      <c r="T863" s="511"/>
      <c r="U863" s="511"/>
      <c r="V863" s="511"/>
      <c r="W863" s="511"/>
      <c r="X863" s="511"/>
      <c r="Y863" s="511"/>
      <c r="Z863" s="511"/>
      <c r="AA863" s="511"/>
      <c r="AB863" s="511"/>
      <c r="AC863" s="511"/>
      <c r="AD863" s="511"/>
      <c r="AE863" s="511"/>
      <c r="AF863" s="511"/>
      <c r="AG863" s="511"/>
      <c r="AH863" s="511"/>
      <c r="AI863" s="511"/>
      <c r="AJ863" s="511"/>
      <c r="AK863" s="511"/>
      <c r="AL863" s="511"/>
      <c r="AM863" s="511"/>
      <c r="AN863" s="511"/>
      <c r="AO863" s="511"/>
      <c r="AP863" s="511"/>
      <c r="AQ863" s="511"/>
      <c r="AR863" s="511"/>
      <c r="AS863" s="511"/>
      <c r="AT863" s="511"/>
      <c r="AU863" s="511"/>
      <c r="AV863" s="511"/>
      <c r="AW863" s="511"/>
      <c r="AX863" s="511"/>
      <c r="AY863" s="511"/>
      <c r="AZ863" s="511"/>
      <c r="BA863" s="511"/>
      <c r="BB863" s="511"/>
      <c r="BC863" s="511"/>
      <c r="BD863" s="511"/>
      <c r="BE863" s="511"/>
      <c r="BF863" s="511"/>
      <c r="BG863" s="511"/>
      <c r="BH863" s="511"/>
      <c r="BI863" s="511"/>
      <c r="BJ863" s="511"/>
      <c r="BK863" s="511"/>
      <c r="BL863" s="511"/>
      <c r="BM863" s="511"/>
      <c r="BN863" s="511"/>
      <c r="BO863" s="511"/>
      <c r="BP863" s="511"/>
      <c r="BQ863" s="511"/>
      <c r="BR863" s="511"/>
      <c r="BS863" s="511"/>
      <c r="BT863" s="511"/>
      <c r="BU863" s="511"/>
      <c r="BV863" s="511"/>
      <c r="BW863" s="511"/>
      <c r="BX863" s="511"/>
      <c r="BY863" s="511"/>
      <c r="BZ863" s="511"/>
      <c r="CA863" s="511"/>
      <c r="CB863" s="511"/>
      <c r="CC863" s="511"/>
      <c r="CD863" s="511"/>
      <c r="CE863" s="511"/>
      <c r="CF863" s="511"/>
      <c r="CG863" s="511"/>
      <c r="CH863" s="511"/>
      <c r="CI863" s="511"/>
      <c r="CJ863" s="511"/>
      <c r="CK863" s="511"/>
      <c r="CL863" s="511"/>
      <c r="CM863" s="511"/>
      <c r="CN863" s="511"/>
      <c r="CO863" s="511"/>
      <c r="CP863" s="511"/>
      <c r="CQ863" s="511"/>
      <c r="CR863" s="511"/>
      <c r="CS863" s="511"/>
      <c r="CT863" s="511"/>
      <c r="CU863" s="511"/>
      <c r="CV863" s="511"/>
      <c r="CW863" s="511"/>
      <c r="CX863" s="511"/>
      <c r="CY863" s="511"/>
      <c r="CZ863" s="511"/>
      <c r="DA863" s="511"/>
      <c r="DB863" s="511"/>
      <c r="DC863" s="511"/>
      <c r="DD863" s="511"/>
      <c r="DE863" s="511"/>
      <c r="DF863" s="511"/>
      <c r="DG863" s="511"/>
      <c r="DH863" s="511"/>
      <c r="DI863" s="511"/>
      <c r="DJ863" s="511"/>
      <c r="DK863" s="511"/>
      <c r="DL863" s="511"/>
      <c r="DM863" s="511"/>
      <c r="DN863" s="511"/>
      <c r="DO863" s="511"/>
      <c r="DP863" s="511"/>
    </row>
    <row r="864" spans="1:120" x14ac:dyDescent="0.2">
      <c r="A864" s="517">
        <f t="shared" si="114"/>
        <v>42522</v>
      </c>
      <c r="B864" s="517" t="str">
        <f t="shared" si="119"/>
        <v>2Q16</v>
      </c>
      <c r="C864" s="517" t="str">
        <f t="shared" si="115"/>
        <v>3Q16</v>
      </c>
      <c r="D864" s="518">
        <f t="shared" si="116"/>
        <v>42601</v>
      </c>
      <c r="E864" s="518">
        <f t="shared" si="117"/>
        <v>42541</v>
      </c>
      <c r="F864" s="520">
        <v>2.4260000000000002</v>
      </c>
      <c r="G864" s="521">
        <f t="shared" si="120"/>
        <v>0.26000000000000006</v>
      </c>
      <c r="H864" s="521">
        <f t="shared" si="118"/>
        <v>0.26000000000000006</v>
      </c>
      <c r="I864" s="511"/>
      <c r="J864" s="511"/>
      <c r="K864" s="511"/>
      <c r="L864" s="511"/>
      <c r="M864" s="511"/>
      <c r="N864" s="511"/>
      <c r="O864" s="511"/>
      <c r="P864" s="511"/>
      <c r="Q864" s="511"/>
      <c r="R864" s="511"/>
      <c r="S864" s="511"/>
      <c r="T864" s="511"/>
      <c r="U864" s="511"/>
      <c r="V864" s="511"/>
      <c r="W864" s="511"/>
      <c r="X864" s="511"/>
      <c r="Y864" s="511"/>
      <c r="Z864" s="511"/>
      <c r="AA864" s="511"/>
      <c r="AB864" s="511"/>
      <c r="AC864" s="511"/>
      <c r="AD864" s="511"/>
      <c r="AE864" s="511"/>
      <c r="AF864" s="511"/>
      <c r="AG864" s="511"/>
      <c r="AH864" s="511"/>
      <c r="AI864" s="511"/>
      <c r="AJ864" s="511"/>
      <c r="AK864" s="511"/>
      <c r="AL864" s="511"/>
      <c r="AM864" s="511"/>
      <c r="AN864" s="511"/>
      <c r="AO864" s="511"/>
      <c r="AP864" s="511"/>
      <c r="AQ864" s="511"/>
      <c r="AR864" s="511"/>
      <c r="AS864" s="511"/>
      <c r="AT864" s="511"/>
      <c r="AU864" s="511"/>
      <c r="AV864" s="511"/>
      <c r="AW864" s="511"/>
      <c r="AX864" s="511"/>
      <c r="AY864" s="511"/>
      <c r="AZ864" s="511"/>
      <c r="BA864" s="511"/>
      <c r="BB864" s="511"/>
      <c r="BC864" s="511"/>
      <c r="BD864" s="511"/>
      <c r="BE864" s="511"/>
      <c r="BF864" s="511"/>
      <c r="BG864" s="511"/>
      <c r="BH864" s="511"/>
      <c r="BI864" s="511"/>
      <c r="BJ864" s="511"/>
      <c r="BK864" s="511"/>
      <c r="BL864" s="511"/>
      <c r="BM864" s="511"/>
      <c r="BN864" s="511"/>
      <c r="BO864" s="511"/>
      <c r="BP864" s="511"/>
      <c r="BQ864" s="511"/>
      <c r="BR864" s="511"/>
      <c r="BS864" s="511"/>
      <c r="BT864" s="511"/>
      <c r="BU864" s="511"/>
      <c r="BV864" s="511"/>
      <c r="BW864" s="511"/>
      <c r="BX864" s="511"/>
      <c r="BY864" s="511"/>
      <c r="BZ864" s="511"/>
      <c r="CA864" s="511"/>
      <c r="CB864" s="511"/>
      <c r="CC864" s="511"/>
      <c r="CD864" s="511"/>
      <c r="CE864" s="511"/>
      <c r="CF864" s="511"/>
      <c r="CG864" s="511"/>
      <c r="CH864" s="511"/>
      <c r="CI864" s="511"/>
      <c r="CJ864" s="511"/>
      <c r="CK864" s="511"/>
      <c r="CL864" s="511"/>
      <c r="CM864" s="511"/>
      <c r="CN864" s="511"/>
      <c r="CO864" s="511"/>
      <c r="CP864" s="511"/>
      <c r="CQ864" s="511"/>
      <c r="CR864" s="511"/>
      <c r="CS864" s="511"/>
      <c r="CT864" s="511"/>
      <c r="CU864" s="511"/>
      <c r="CV864" s="511"/>
      <c r="CW864" s="511"/>
      <c r="CX864" s="511"/>
      <c r="CY864" s="511"/>
      <c r="CZ864" s="511"/>
      <c r="DA864" s="511"/>
      <c r="DB864" s="511"/>
      <c r="DC864" s="511"/>
      <c r="DD864" s="511"/>
      <c r="DE864" s="511"/>
      <c r="DF864" s="511"/>
      <c r="DG864" s="511"/>
      <c r="DH864" s="511"/>
      <c r="DI864" s="511"/>
      <c r="DJ864" s="511"/>
      <c r="DK864" s="511"/>
      <c r="DL864" s="511"/>
      <c r="DM864" s="511"/>
      <c r="DN864" s="511"/>
      <c r="DO864" s="511"/>
      <c r="DP864" s="511"/>
    </row>
    <row r="865" spans="1:120" x14ac:dyDescent="0.2">
      <c r="A865" s="517">
        <f t="shared" si="114"/>
        <v>42522</v>
      </c>
      <c r="B865" s="517" t="str">
        <f t="shared" si="119"/>
        <v>2Q16</v>
      </c>
      <c r="C865" s="517" t="str">
        <f t="shared" si="115"/>
        <v>3Q16</v>
      </c>
      <c r="D865" s="518">
        <f t="shared" si="116"/>
        <v>42608</v>
      </c>
      <c r="E865" s="518">
        <f t="shared" si="117"/>
        <v>42548</v>
      </c>
      <c r="F865" s="520">
        <v>2.4260000000000002</v>
      </c>
      <c r="G865" s="521">
        <f t="shared" si="120"/>
        <v>0.26000000000000006</v>
      </c>
      <c r="H865" s="521">
        <f t="shared" si="118"/>
        <v>0.26000000000000006</v>
      </c>
      <c r="I865" s="511"/>
      <c r="J865" s="511"/>
      <c r="K865" s="511"/>
      <c r="L865" s="511"/>
      <c r="M865" s="511"/>
      <c r="N865" s="511"/>
      <c r="O865" s="511"/>
      <c r="P865" s="511"/>
      <c r="Q865" s="511"/>
      <c r="R865" s="511"/>
      <c r="S865" s="511"/>
      <c r="T865" s="511"/>
      <c r="U865" s="511"/>
      <c r="V865" s="511"/>
      <c r="W865" s="511"/>
      <c r="X865" s="511"/>
      <c r="Y865" s="511"/>
      <c r="Z865" s="511"/>
      <c r="AA865" s="511"/>
      <c r="AB865" s="511"/>
      <c r="AC865" s="511"/>
      <c r="AD865" s="511"/>
      <c r="AE865" s="511"/>
      <c r="AF865" s="511"/>
      <c r="AG865" s="511"/>
      <c r="AH865" s="511"/>
      <c r="AI865" s="511"/>
      <c r="AJ865" s="511"/>
      <c r="AK865" s="511"/>
      <c r="AL865" s="511"/>
      <c r="AM865" s="511"/>
      <c r="AN865" s="511"/>
      <c r="AO865" s="511"/>
      <c r="AP865" s="511"/>
      <c r="AQ865" s="511"/>
      <c r="AR865" s="511"/>
      <c r="AS865" s="511"/>
      <c r="AT865" s="511"/>
      <c r="AU865" s="511"/>
      <c r="AV865" s="511"/>
      <c r="AW865" s="511"/>
      <c r="AX865" s="511"/>
      <c r="AY865" s="511"/>
      <c r="AZ865" s="511"/>
      <c r="BA865" s="511"/>
      <c r="BB865" s="511"/>
      <c r="BC865" s="511"/>
      <c r="BD865" s="511"/>
      <c r="BE865" s="511"/>
      <c r="BF865" s="511"/>
      <c r="BG865" s="511"/>
      <c r="BH865" s="511"/>
      <c r="BI865" s="511"/>
      <c r="BJ865" s="511"/>
      <c r="BK865" s="511"/>
      <c r="BL865" s="511"/>
      <c r="BM865" s="511"/>
      <c r="BN865" s="511"/>
      <c r="BO865" s="511"/>
      <c r="BP865" s="511"/>
      <c r="BQ865" s="511"/>
      <c r="BR865" s="511"/>
      <c r="BS865" s="511"/>
      <c r="BT865" s="511"/>
      <c r="BU865" s="511"/>
      <c r="BV865" s="511"/>
      <c r="BW865" s="511"/>
      <c r="BX865" s="511"/>
      <c r="BY865" s="511"/>
      <c r="BZ865" s="511"/>
      <c r="CA865" s="511"/>
      <c r="CB865" s="511"/>
      <c r="CC865" s="511"/>
      <c r="CD865" s="511"/>
      <c r="CE865" s="511"/>
      <c r="CF865" s="511"/>
      <c r="CG865" s="511"/>
      <c r="CH865" s="511"/>
      <c r="CI865" s="511"/>
      <c r="CJ865" s="511"/>
      <c r="CK865" s="511"/>
      <c r="CL865" s="511"/>
      <c r="CM865" s="511"/>
      <c r="CN865" s="511"/>
      <c r="CO865" s="511"/>
      <c r="CP865" s="511"/>
      <c r="CQ865" s="511"/>
      <c r="CR865" s="511"/>
      <c r="CS865" s="511"/>
      <c r="CT865" s="511"/>
      <c r="CU865" s="511"/>
      <c r="CV865" s="511"/>
      <c r="CW865" s="511"/>
      <c r="CX865" s="511"/>
      <c r="CY865" s="511"/>
      <c r="CZ865" s="511"/>
      <c r="DA865" s="511"/>
      <c r="DB865" s="511"/>
      <c r="DC865" s="511"/>
      <c r="DD865" s="511"/>
      <c r="DE865" s="511"/>
      <c r="DF865" s="511"/>
      <c r="DG865" s="511"/>
      <c r="DH865" s="511"/>
      <c r="DI865" s="511"/>
      <c r="DJ865" s="511"/>
      <c r="DK865" s="511"/>
      <c r="DL865" s="511"/>
      <c r="DM865" s="511"/>
      <c r="DN865" s="511"/>
      <c r="DO865" s="511"/>
      <c r="DP865" s="511"/>
    </row>
    <row r="866" spans="1:120" x14ac:dyDescent="0.2">
      <c r="A866" s="517">
        <f t="shared" si="114"/>
        <v>42552</v>
      </c>
      <c r="B866" s="517" t="str">
        <f t="shared" si="119"/>
        <v>3Q16</v>
      </c>
      <c r="C866" s="517" t="str">
        <f t="shared" si="115"/>
        <v>3Q16</v>
      </c>
      <c r="D866" s="518">
        <f t="shared" si="116"/>
        <v>42615</v>
      </c>
      <c r="E866" s="518">
        <f t="shared" si="117"/>
        <v>42555</v>
      </c>
      <c r="F866" s="520">
        <v>2.423</v>
      </c>
      <c r="G866" s="521">
        <f t="shared" si="120"/>
        <v>0.26000000000000006</v>
      </c>
      <c r="H866" s="521">
        <f t="shared" si="118"/>
        <v>0.26000000000000006</v>
      </c>
      <c r="I866" s="511"/>
      <c r="J866" s="511"/>
      <c r="K866" s="511"/>
      <c r="L866" s="511"/>
      <c r="M866" s="511"/>
      <c r="N866" s="511"/>
      <c r="O866" s="511"/>
      <c r="P866" s="511"/>
      <c r="Q866" s="511"/>
      <c r="R866" s="511"/>
      <c r="S866" s="511"/>
      <c r="T866" s="511"/>
      <c r="U866" s="511"/>
      <c r="V866" s="511"/>
      <c r="W866" s="511"/>
      <c r="X866" s="511"/>
      <c r="Y866" s="511"/>
      <c r="Z866" s="511"/>
      <c r="AA866" s="511"/>
      <c r="AB866" s="511"/>
      <c r="AC866" s="511"/>
      <c r="AD866" s="511"/>
      <c r="AE866" s="511"/>
      <c r="AF866" s="511"/>
      <c r="AG866" s="511"/>
      <c r="AH866" s="511"/>
      <c r="AI866" s="511"/>
      <c r="AJ866" s="511"/>
      <c r="AK866" s="511"/>
      <c r="AL866" s="511"/>
      <c r="AM866" s="511"/>
      <c r="AN866" s="511"/>
      <c r="AO866" s="511"/>
      <c r="AP866" s="511"/>
      <c r="AQ866" s="511"/>
      <c r="AR866" s="511"/>
      <c r="AS866" s="511"/>
      <c r="AT866" s="511"/>
      <c r="AU866" s="511"/>
      <c r="AV866" s="511"/>
      <c r="AW866" s="511"/>
      <c r="AX866" s="511"/>
      <c r="AY866" s="511"/>
      <c r="AZ866" s="511"/>
      <c r="BA866" s="511"/>
      <c r="BB866" s="511"/>
      <c r="BC866" s="511"/>
      <c r="BD866" s="511"/>
      <c r="BE866" s="511"/>
      <c r="BF866" s="511"/>
      <c r="BG866" s="511"/>
      <c r="BH866" s="511"/>
      <c r="BI866" s="511"/>
      <c r="BJ866" s="511"/>
      <c r="BK866" s="511"/>
      <c r="BL866" s="511"/>
      <c r="BM866" s="511"/>
      <c r="BN866" s="511"/>
      <c r="BO866" s="511"/>
      <c r="BP866" s="511"/>
      <c r="BQ866" s="511"/>
      <c r="BR866" s="511"/>
      <c r="BS866" s="511"/>
      <c r="BT866" s="511"/>
      <c r="BU866" s="511"/>
      <c r="BV866" s="511"/>
      <c r="BW866" s="511"/>
      <c r="BX866" s="511"/>
      <c r="BY866" s="511"/>
      <c r="BZ866" s="511"/>
      <c r="CA866" s="511"/>
      <c r="CB866" s="511"/>
      <c r="CC866" s="511"/>
      <c r="CD866" s="511"/>
      <c r="CE866" s="511"/>
      <c r="CF866" s="511"/>
      <c r="CG866" s="511"/>
      <c r="CH866" s="511"/>
      <c r="CI866" s="511"/>
      <c r="CJ866" s="511"/>
      <c r="CK866" s="511"/>
      <c r="CL866" s="511"/>
      <c r="CM866" s="511"/>
      <c r="CN866" s="511"/>
      <c r="CO866" s="511"/>
      <c r="CP866" s="511"/>
      <c r="CQ866" s="511"/>
      <c r="CR866" s="511"/>
      <c r="CS866" s="511"/>
      <c r="CT866" s="511"/>
      <c r="CU866" s="511"/>
      <c r="CV866" s="511"/>
      <c r="CW866" s="511"/>
      <c r="CX866" s="511"/>
      <c r="CY866" s="511"/>
      <c r="CZ866" s="511"/>
      <c r="DA866" s="511"/>
      <c r="DB866" s="511"/>
      <c r="DC866" s="511"/>
      <c r="DD866" s="511"/>
      <c r="DE866" s="511"/>
      <c r="DF866" s="511"/>
      <c r="DG866" s="511"/>
      <c r="DH866" s="511"/>
      <c r="DI866" s="511"/>
      <c r="DJ866" s="511"/>
      <c r="DK866" s="511"/>
      <c r="DL866" s="511"/>
      <c r="DM866" s="511"/>
      <c r="DN866" s="511"/>
      <c r="DO866" s="511"/>
      <c r="DP866" s="511"/>
    </row>
    <row r="867" spans="1:120" x14ac:dyDescent="0.2">
      <c r="A867" s="517">
        <f t="shared" si="114"/>
        <v>42552</v>
      </c>
      <c r="B867" s="517" t="str">
        <f t="shared" si="119"/>
        <v>3Q16</v>
      </c>
      <c r="C867" s="517" t="str">
        <f t="shared" si="115"/>
        <v>3Q16</v>
      </c>
      <c r="D867" s="518">
        <f t="shared" si="116"/>
        <v>42622</v>
      </c>
      <c r="E867" s="518">
        <f t="shared" si="117"/>
        <v>42562</v>
      </c>
      <c r="F867" s="520">
        <v>2.4140000000000001</v>
      </c>
      <c r="G867" s="521">
        <f t="shared" si="120"/>
        <v>0.26000000000000006</v>
      </c>
      <c r="H867" s="521">
        <f t="shared" si="118"/>
        <v>0.26000000000000006</v>
      </c>
      <c r="I867" s="511"/>
      <c r="J867" s="511"/>
      <c r="K867" s="511"/>
      <c r="L867" s="511"/>
      <c r="M867" s="511"/>
      <c r="N867" s="511"/>
      <c r="O867" s="511"/>
      <c r="P867" s="511"/>
      <c r="Q867" s="511"/>
      <c r="R867" s="511"/>
      <c r="S867" s="511"/>
      <c r="T867" s="511"/>
      <c r="U867" s="511"/>
      <c r="V867" s="511"/>
      <c r="W867" s="511"/>
      <c r="X867" s="511"/>
      <c r="Y867" s="511"/>
      <c r="Z867" s="511"/>
      <c r="AA867" s="511"/>
      <c r="AB867" s="511"/>
      <c r="AC867" s="511"/>
      <c r="AD867" s="511"/>
      <c r="AE867" s="511"/>
      <c r="AF867" s="511"/>
      <c r="AG867" s="511"/>
      <c r="AH867" s="511"/>
      <c r="AI867" s="511"/>
      <c r="AJ867" s="511"/>
      <c r="AK867" s="511"/>
      <c r="AL867" s="511"/>
      <c r="AM867" s="511"/>
      <c r="AN867" s="511"/>
      <c r="AO867" s="511"/>
      <c r="AP867" s="511"/>
      <c r="AQ867" s="511"/>
      <c r="AR867" s="511"/>
      <c r="AS867" s="511"/>
      <c r="AT867" s="511"/>
      <c r="AU867" s="511"/>
      <c r="AV867" s="511"/>
      <c r="AW867" s="511"/>
      <c r="AX867" s="511"/>
      <c r="AY867" s="511"/>
      <c r="AZ867" s="511"/>
      <c r="BA867" s="511"/>
      <c r="BB867" s="511"/>
      <c r="BC867" s="511"/>
      <c r="BD867" s="511"/>
      <c r="BE867" s="511"/>
      <c r="BF867" s="511"/>
      <c r="BG867" s="511"/>
      <c r="BH867" s="511"/>
      <c r="BI867" s="511"/>
      <c r="BJ867" s="511"/>
      <c r="BK867" s="511"/>
      <c r="BL867" s="511"/>
      <c r="BM867" s="511"/>
      <c r="BN867" s="511"/>
      <c r="BO867" s="511"/>
      <c r="BP867" s="511"/>
      <c r="BQ867" s="511"/>
      <c r="BR867" s="511"/>
      <c r="BS867" s="511"/>
      <c r="BT867" s="511"/>
      <c r="BU867" s="511"/>
      <c r="BV867" s="511"/>
      <c r="BW867" s="511"/>
      <c r="BX867" s="511"/>
      <c r="BY867" s="511"/>
      <c r="BZ867" s="511"/>
      <c r="CA867" s="511"/>
      <c r="CB867" s="511"/>
      <c r="CC867" s="511"/>
      <c r="CD867" s="511"/>
      <c r="CE867" s="511"/>
      <c r="CF867" s="511"/>
      <c r="CG867" s="511"/>
      <c r="CH867" s="511"/>
      <c r="CI867" s="511"/>
      <c r="CJ867" s="511"/>
      <c r="CK867" s="511"/>
      <c r="CL867" s="511"/>
      <c r="CM867" s="511"/>
      <c r="CN867" s="511"/>
      <c r="CO867" s="511"/>
      <c r="CP867" s="511"/>
      <c r="CQ867" s="511"/>
      <c r="CR867" s="511"/>
      <c r="CS867" s="511"/>
      <c r="CT867" s="511"/>
      <c r="CU867" s="511"/>
      <c r="CV867" s="511"/>
      <c r="CW867" s="511"/>
      <c r="CX867" s="511"/>
      <c r="CY867" s="511"/>
      <c r="CZ867" s="511"/>
      <c r="DA867" s="511"/>
      <c r="DB867" s="511"/>
      <c r="DC867" s="511"/>
      <c r="DD867" s="511"/>
      <c r="DE867" s="511"/>
      <c r="DF867" s="511"/>
      <c r="DG867" s="511"/>
      <c r="DH867" s="511"/>
      <c r="DI867" s="511"/>
      <c r="DJ867" s="511"/>
      <c r="DK867" s="511"/>
      <c r="DL867" s="511"/>
      <c r="DM867" s="511"/>
      <c r="DN867" s="511"/>
      <c r="DO867" s="511"/>
      <c r="DP867" s="511"/>
    </row>
    <row r="868" spans="1:120" x14ac:dyDescent="0.2">
      <c r="A868" s="517">
        <f t="shared" si="114"/>
        <v>42552</v>
      </c>
      <c r="B868" s="517" t="str">
        <f t="shared" si="119"/>
        <v>3Q16</v>
      </c>
      <c r="C868" s="517" t="str">
        <f t="shared" si="115"/>
        <v>3Q16</v>
      </c>
      <c r="D868" s="518">
        <f t="shared" si="116"/>
        <v>42629</v>
      </c>
      <c r="E868" s="518">
        <f t="shared" si="117"/>
        <v>42569</v>
      </c>
      <c r="F868" s="520">
        <v>2.4020000000000001</v>
      </c>
      <c r="G868" s="521">
        <f t="shared" si="120"/>
        <v>0.26000000000000006</v>
      </c>
      <c r="H868" s="521">
        <f t="shared" si="118"/>
        <v>0.25000000000000006</v>
      </c>
      <c r="I868" s="511"/>
      <c r="J868" s="511"/>
      <c r="K868" s="511"/>
      <c r="L868" s="511"/>
      <c r="M868" s="511"/>
      <c r="N868" s="511"/>
      <c r="O868" s="511"/>
      <c r="P868" s="511"/>
      <c r="Q868" s="511"/>
      <c r="R868" s="511"/>
      <c r="S868" s="511"/>
      <c r="T868" s="511"/>
      <c r="U868" s="511"/>
      <c r="V868" s="511"/>
      <c r="W868" s="511"/>
      <c r="X868" s="511"/>
      <c r="Y868" s="511"/>
      <c r="Z868" s="511"/>
      <c r="AA868" s="511"/>
      <c r="AB868" s="511"/>
      <c r="AC868" s="511"/>
      <c r="AD868" s="511"/>
      <c r="AE868" s="511"/>
      <c r="AF868" s="511"/>
      <c r="AG868" s="511"/>
      <c r="AH868" s="511"/>
      <c r="AI868" s="511"/>
      <c r="AJ868" s="511"/>
      <c r="AK868" s="511"/>
      <c r="AL868" s="511"/>
      <c r="AM868" s="511"/>
      <c r="AN868" s="511"/>
      <c r="AO868" s="511"/>
      <c r="AP868" s="511"/>
      <c r="AQ868" s="511"/>
      <c r="AR868" s="511"/>
      <c r="AS868" s="511"/>
      <c r="AT868" s="511"/>
      <c r="AU868" s="511"/>
      <c r="AV868" s="511"/>
      <c r="AW868" s="511"/>
      <c r="AX868" s="511"/>
      <c r="AY868" s="511"/>
      <c r="AZ868" s="511"/>
      <c r="BA868" s="511"/>
      <c r="BB868" s="511"/>
      <c r="BC868" s="511"/>
      <c r="BD868" s="511"/>
      <c r="BE868" s="511"/>
      <c r="BF868" s="511"/>
      <c r="BG868" s="511"/>
      <c r="BH868" s="511"/>
      <c r="BI868" s="511"/>
      <c r="BJ868" s="511"/>
      <c r="BK868" s="511"/>
      <c r="BL868" s="511"/>
      <c r="BM868" s="511"/>
      <c r="BN868" s="511"/>
      <c r="BO868" s="511"/>
      <c r="BP868" s="511"/>
      <c r="BQ868" s="511"/>
      <c r="BR868" s="511"/>
      <c r="BS868" s="511"/>
      <c r="BT868" s="511"/>
      <c r="BU868" s="511"/>
      <c r="BV868" s="511"/>
      <c r="BW868" s="511"/>
      <c r="BX868" s="511"/>
      <c r="BY868" s="511"/>
      <c r="BZ868" s="511"/>
      <c r="CA868" s="511"/>
      <c r="CB868" s="511"/>
      <c r="CC868" s="511"/>
      <c r="CD868" s="511"/>
      <c r="CE868" s="511"/>
      <c r="CF868" s="511"/>
      <c r="CG868" s="511"/>
      <c r="CH868" s="511"/>
      <c r="CI868" s="511"/>
      <c r="CJ868" s="511"/>
      <c r="CK868" s="511"/>
      <c r="CL868" s="511"/>
      <c r="CM868" s="511"/>
      <c r="CN868" s="511"/>
      <c r="CO868" s="511"/>
      <c r="CP868" s="511"/>
      <c r="CQ868" s="511"/>
      <c r="CR868" s="511"/>
      <c r="CS868" s="511"/>
      <c r="CT868" s="511"/>
      <c r="CU868" s="511"/>
      <c r="CV868" s="511"/>
      <c r="CW868" s="511"/>
      <c r="CX868" s="511"/>
      <c r="CY868" s="511"/>
      <c r="CZ868" s="511"/>
      <c r="DA868" s="511"/>
      <c r="DB868" s="511"/>
      <c r="DC868" s="511"/>
      <c r="DD868" s="511"/>
      <c r="DE868" s="511"/>
      <c r="DF868" s="511"/>
      <c r="DG868" s="511"/>
      <c r="DH868" s="511"/>
      <c r="DI868" s="511"/>
      <c r="DJ868" s="511"/>
      <c r="DK868" s="511"/>
      <c r="DL868" s="511"/>
      <c r="DM868" s="511"/>
      <c r="DN868" s="511"/>
      <c r="DO868" s="511"/>
      <c r="DP868" s="511"/>
    </row>
    <row r="869" spans="1:120" x14ac:dyDescent="0.2">
      <c r="A869" s="517">
        <f t="shared" si="114"/>
        <v>42552</v>
      </c>
      <c r="B869" s="517" t="str">
        <f t="shared" si="119"/>
        <v>3Q16</v>
      </c>
      <c r="C869" s="517" t="str">
        <f t="shared" si="115"/>
        <v>3Q16</v>
      </c>
      <c r="D869" s="518">
        <f t="shared" si="116"/>
        <v>42636</v>
      </c>
      <c r="E869" s="518">
        <f t="shared" si="117"/>
        <v>42576</v>
      </c>
      <c r="F869" s="520">
        <v>2.379</v>
      </c>
      <c r="G869" s="521">
        <f t="shared" si="120"/>
        <v>0.25000000000000006</v>
      </c>
      <c r="H869" s="521">
        <f t="shared" si="118"/>
        <v>0.24000000000000007</v>
      </c>
      <c r="I869" s="511"/>
      <c r="J869" s="511"/>
      <c r="K869" s="511"/>
      <c r="L869" s="511"/>
      <c r="M869" s="511"/>
      <c r="N869" s="511"/>
      <c r="O869" s="511"/>
      <c r="P869" s="511"/>
      <c r="Q869" s="511"/>
      <c r="R869" s="511"/>
      <c r="S869" s="511"/>
      <c r="T869" s="511"/>
      <c r="U869" s="511"/>
      <c r="V869" s="511"/>
      <c r="W869" s="511"/>
      <c r="X869" s="511"/>
      <c r="Y869" s="511"/>
      <c r="Z869" s="511"/>
      <c r="AA869" s="511"/>
      <c r="AB869" s="511"/>
      <c r="AC869" s="511"/>
      <c r="AD869" s="511"/>
      <c r="AE869" s="511"/>
      <c r="AF869" s="511"/>
      <c r="AG869" s="511"/>
      <c r="AH869" s="511"/>
      <c r="AI869" s="511"/>
      <c r="AJ869" s="511"/>
      <c r="AK869" s="511"/>
      <c r="AL869" s="511"/>
      <c r="AM869" s="511"/>
      <c r="AN869" s="511"/>
      <c r="AO869" s="511"/>
      <c r="AP869" s="511"/>
      <c r="AQ869" s="511"/>
      <c r="AR869" s="511"/>
      <c r="AS869" s="511"/>
      <c r="AT869" s="511"/>
      <c r="AU869" s="511"/>
      <c r="AV869" s="511"/>
      <c r="AW869" s="511"/>
      <c r="AX869" s="511"/>
      <c r="AY869" s="511"/>
      <c r="AZ869" s="511"/>
      <c r="BA869" s="511"/>
      <c r="BB869" s="511"/>
      <c r="BC869" s="511"/>
      <c r="BD869" s="511"/>
      <c r="BE869" s="511"/>
      <c r="BF869" s="511"/>
      <c r="BG869" s="511"/>
      <c r="BH869" s="511"/>
      <c r="BI869" s="511"/>
      <c r="BJ869" s="511"/>
      <c r="BK869" s="511"/>
      <c r="BL869" s="511"/>
      <c r="BM869" s="511"/>
      <c r="BN869" s="511"/>
      <c r="BO869" s="511"/>
      <c r="BP869" s="511"/>
      <c r="BQ869" s="511"/>
      <c r="BR869" s="511"/>
      <c r="BS869" s="511"/>
      <c r="BT869" s="511"/>
      <c r="BU869" s="511"/>
      <c r="BV869" s="511"/>
      <c r="BW869" s="511"/>
      <c r="BX869" s="511"/>
      <c r="BY869" s="511"/>
      <c r="BZ869" s="511"/>
      <c r="CA869" s="511"/>
      <c r="CB869" s="511"/>
      <c r="CC869" s="511"/>
      <c r="CD869" s="511"/>
      <c r="CE869" s="511"/>
      <c r="CF869" s="511"/>
      <c r="CG869" s="511"/>
      <c r="CH869" s="511"/>
      <c r="CI869" s="511"/>
      <c r="CJ869" s="511"/>
      <c r="CK869" s="511"/>
      <c r="CL869" s="511"/>
      <c r="CM869" s="511"/>
      <c r="CN869" s="511"/>
      <c r="CO869" s="511"/>
      <c r="CP869" s="511"/>
      <c r="CQ869" s="511"/>
      <c r="CR869" s="511"/>
      <c r="CS869" s="511"/>
      <c r="CT869" s="511"/>
      <c r="CU869" s="511"/>
      <c r="CV869" s="511"/>
      <c r="CW869" s="511"/>
      <c r="CX869" s="511"/>
      <c r="CY869" s="511"/>
      <c r="CZ869" s="511"/>
      <c r="DA869" s="511"/>
      <c r="DB869" s="511"/>
      <c r="DC869" s="511"/>
      <c r="DD869" s="511"/>
      <c r="DE869" s="511"/>
      <c r="DF869" s="511"/>
      <c r="DG869" s="511"/>
      <c r="DH869" s="511"/>
      <c r="DI869" s="511"/>
      <c r="DJ869" s="511"/>
      <c r="DK869" s="511"/>
      <c r="DL869" s="511"/>
      <c r="DM869" s="511"/>
      <c r="DN869" s="511"/>
      <c r="DO869" s="511"/>
      <c r="DP869" s="511"/>
    </row>
    <row r="870" spans="1:120" x14ac:dyDescent="0.2">
      <c r="A870" s="517">
        <f t="shared" si="114"/>
        <v>42583</v>
      </c>
      <c r="B870" s="517" t="str">
        <f t="shared" si="119"/>
        <v>3Q16</v>
      </c>
      <c r="C870" s="517" t="str">
        <f t="shared" si="115"/>
        <v>3Q16</v>
      </c>
      <c r="D870" s="518">
        <f t="shared" si="116"/>
        <v>42643</v>
      </c>
      <c r="E870" s="518">
        <f t="shared" si="117"/>
        <v>42583</v>
      </c>
      <c r="F870" s="520">
        <v>2.3479999999999999</v>
      </c>
      <c r="G870" s="521">
        <f t="shared" si="120"/>
        <v>0.24000000000000007</v>
      </c>
      <c r="H870" s="521">
        <f t="shared" si="118"/>
        <v>0.24000000000000007</v>
      </c>
      <c r="I870" s="511"/>
      <c r="J870" s="511"/>
      <c r="K870" s="511"/>
      <c r="L870" s="511"/>
      <c r="M870" s="511"/>
      <c r="N870" s="511"/>
      <c r="O870" s="511"/>
      <c r="P870" s="511"/>
      <c r="Q870" s="511"/>
      <c r="R870" s="511"/>
      <c r="S870" s="511"/>
      <c r="T870" s="511"/>
      <c r="U870" s="511"/>
      <c r="V870" s="511"/>
      <c r="W870" s="511"/>
      <c r="X870" s="511"/>
      <c r="Y870" s="511"/>
      <c r="Z870" s="511"/>
      <c r="AA870" s="511"/>
      <c r="AB870" s="511"/>
      <c r="AC870" s="511"/>
      <c r="AD870" s="511"/>
      <c r="AE870" s="511"/>
      <c r="AF870" s="511"/>
      <c r="AG870" s="511"/>
      <c r="AH870" s="511"/>
      <c r="AI870" s="511"/>
      <c r="AJ870" s="511"/>
      <c r="AK870" s="511"/>
      <c r="AL870" s="511"/>
      <c r="AM870" s="511"/>
      <c r="AN870" s="511"/>
      <c r="AO870" s="511"/>
      <c r="AP870" s="511"/>
      <c r="AQ870" s="511"/>
      <c r="AR870" s="511"/>
      <c r="AS870" s="511"/>
      <c r="AT870" s="511"/>
      <c r="AU870" s="511"/>
      <c r="AV870" s="511"/>
      <c r="AW870" s="511"/>
      <c r="AX870" s="511"/>
      <c r="AY870" s="511"/>
      <c r="AZ870" s="511"/>
      <c r="BA870" s="511"/>
      <c r="BB870" s="511"/>
      <c r="BC870" s="511"/>
      <c r="BD870" s="511"/>
      <c r="BE870" s="511"/>
      <c r="BF870" s="511"/>
      <c r="BG870" s="511"/>
      <c r="BH870" s="511"/>
      <c r="BI870" s="511"/>
      <c r="BJ870" s="511"/>
      <c r="BK870" s="511"/>
      <c r="BL870" s="511"/>
      <c r="BM870" s="511"/>
      <c r="BN870" s="511"/>
      <c r="BO870" s="511"/>
      <c r="BP870" s="511"/>
      <c r="BQ870" s="511"/>
      <c r="BR870" s="511"/>
      <c r="BS870" s="511"/>
      <c r="BT870" s="511"/>
      <c r="BU870" s="511"/>
      <c r="BV870" s="511"/>
      <c r="BW870" s="511"/>
      <c r="BX870" s="511"/>
      <c r="BY870" s="511"/>
      <c r="BZ870" s="511"/>
      <c r="CA870" s="511"/>
      <c r="CB870" s="511"/>
      <c r="CC870" s="511"/>
      <c r="CD870" s="511"/>
      <c r="CE870" s="511"/>
      <c r="CF870" s="511"/>
      <c r="CG870" s="511"/>
      <c r="CH870" s="511"/>
      <c r="CI870" s="511"/>
      <c r="CJ870" s="511"/>
      <c r="CK870" s="511"/>
      <c r="CL870" s="511"/>
      <c r="CM870" s="511"/>
      <c r="CN870" s="511"/>
      <c r="CO870" s="511"/>
      <c r="CP870" s="511"/>
      <c r="CQ870" s="511"/>
      <c r="CR870" s="511"/>
      <c r="CS870" s="511"/>
      <c r="CT870" s="511"/>
      <c r="CU870" s="511"/>
      <c r="CV870" s="511"/>
      <c r="CW870" s="511"/>
      <c r="CX870" s="511"/>
      <c r="CY870" s="511"/>
      <c r="CZ870" s="511"/>
      <c r="DA870" s="511"/>
      <c r="DB870" s="511"/>
      <c r="DC870" s="511"/>
      <c r="DD870" s="511"/>
      <c r="DE870" s="511"/>
      <c r="DF870" s="511"/>
      <c r="DG870" s="511"/>
      <c r="DH870" s="511"/>
      <c r="DI870" s="511"/>
      <c r="DJ870" s="511"/>
      <c r="DK870" s="511"/>
      <c r="DL870" s="511"/>
      <c r="DM870" s="511"/>
      <c r="DN870" s="511"/>
      <c r="DO870" s="511"/>
      <c r="DP870" s="511"/>
    </row>
    <row r="871" spans="1:120" x14ac:dyDescent="0.2">
      <c r="A871" s="517">
        <f t="shared" si="114"/>
        <v>42583</v>
      </c>
      <c r="B871" s="517" t="str">
        <f t="shared" si="119"/>
        <v>3Q16</v>
      </c>
      <c r="C871" s="517" t="str">
        <f t="shared" si="115"/>
        <v>4Q16</v>
      </c>
      <c r="D871" s="518">
        <f t="shared" si="116"/>
        <v>42650</v>
      </c>
      <c r="E871" s="518">
        <f t="shared" si="117"/>
        <v>42590</v>
      </c>
      <c r="F871" s="520">
        <v>2.3159999999999998</v>
      </c>
      <c r="G871" s="521">
        <f t="shared" si="120"/>
        <v>0.24000000000000007</v>
      </c>
      <c r="H871" s="521">
        <f t="shared" si="118"/>
        <v>0.24000000000000007</v>
      </c>
      <c r="I871" s="511"/>
      <c r="J871" s="511"/>
      <c r="K871" s="511"/>
      <c r="L871" s="511"/>
      <c r="M871" s="511"/>
      <c r="N871" s="511"/>
      <c r="O871" s="511"/>
      <c r="P871" s="511"/>
      <c r="Q871" s="511"/>
      <c r="R871" s="511"/>
      <c r="S871" s="511"/>
      <c r="T871" s="511"/>
      <c r="U871" s="511"/>
      <c r="V871" s="511"/>
      <c r="W871" s="511"/>
      <c r="X871" s="511"/>
      <c r="Y871" s="511"/>
      <c r="Z871" s="511"/>
      <c r="AA871" s="511"/>
      <c r="AB871" s="511"/>
      <c r="AC871" s="511"/>
      <c r="AD871" s="511"/>
      <c r="AE871" s="511"/>
      <c r="AF871" s="511"/>
      <c r="AG871" s="511"/>
      <c r="AH871" s="511"/>
      <c r="AI871" s="511"/>
      <c r="AJ871" s="511"/>
      <c r="AK871" s="511"/>
      <c r="AL871" s="511"/>
      <c r="AM871" s="511"/>
      <c r="AN871" s="511"/>
      <c r="AO871" s="511"/>
      <c r="AP871" s="511"/>
      <c r="AQ871" s="511"/>
      <c r="AR871" s="511"/>
      <c r="AS871" s="511"/>
      <c r="AT871" s="511"/>
      <c r="AU871" s="511"/>
      <c r="AV871" s="511"/>
      <c r="AW871" s="511"/>
      <c r="AX871" s="511"/>
      <c r="AY871" s="511"/>
      <c r="AZ871" s="511"/>
      <c r="BA871" s="511"/>
      <c r="BB871" s="511"/>
      <c r="BC871" s="511"/>
      <c r="BD871" s="511"/>
      <c r="BE871" s="511"/>
      <c r="BF871" s="511"/>
      <c r="BG871" s="511"/>
      <c r="BH871" s="511"/>
      <c r="BI871" s="511"/>
      <c r="BJ871" s="511"/>
      <c r="BK871" s="511"/>
      <c r="BL871" s="511"/>
      <c r="BM871" s="511"/>
      <c r="BN871" s="511"/>
      <c r="BO871" s="511"/>
      <c r="BP871" s="511"/>
      <c r="BQ871" s="511"/>
      <c r="BR871" s="511"/>
      <c r="BS871" s="511"/>
      <c r="BT871" s="511"/>
      <c r="BU871" s="511"/>
      <c r="BV871" s="511"/>
      <c r="BW871" s="511"/>
      <c r="BX871" s="511"/>
      <c r="BY871" s="511"/>
      <c r="BZ871" s="511"/>
      <c r="CA871" s="511"/>
      <c r="CB871" s="511"/>
      <c r="CC871" s="511"/>
      <c r="CD871" s="511"/>
      <c r="CE871" s="511"/>
      <c r="CF871" s="511"/>
      <c r="CG871" s="511"/>
      <c r="CH871" s="511"/>
      <c r="CI871" s="511"/>
      <c r="CJ871" s="511"/>
      <c r="CK871" s="511"/>
      <c r="CL871" s="511"/>
      <c r="CM871" s="511"/>
      <c r="CN871" s="511"/>
      <c r="CO871" s="511"/>
      <c r="CP871" s="511"/>
      <c r="CQ871" s="511"/>
      <c r="CR871" s="511"/>
      <c r="CS871" s="511"/>
      <c r="CT871" s="511"/>
      <c r="CU871" s="511"/>
      <c r="CV871" s="511"/>
      <c r="CW871" s="511"/>
      <c r="CX871" s="511"/>
      <c r="CY871" s="511"/>
      <c r="CZ871" s="511"/>
      <c r="DA871" s="511"/>
      <c r="DB871" s="511"/>
      <c r="DC871" s="511"/>
      <c r="DD871" s="511"/>
      <c r="DE871" s="511"/>
      <c r="DF871" s="511"/>
      <c r="DG871" s="511"/>
      <c r="DH871" s="511"/>
      <c r="DI871" s="511"/>
      <c r="DJ871" s="511"/>
      <c r="DK871" s="511"/>
      <c r="DL871" s="511"/>
      <c r="DM871" s="511"/>
      <c r="DN871" s="511"/>
      <c r="DO871" s="511"/>
      <c r="DP871" s="511"/>
    </row>
    <row r="872" spans="1:120" x14ac:dyDescent="0.2">
      <c r="A872" s="517">
        <f t="shared" si="114"/>
        <v>42583</v>
      </c>
      <c r="B872" s="517" t="str">
        <f t="shared" si="119"/>
        <v>3Q16</v>
      </c>
      <c r="C872" s="517" t="str">
        <f t="shared" si="115"/>
        <v>4Q16</v>
      </c>
      <c r="D872" s="518">
        <f t="shared" si="116"/>
        <v>42657</v>
      </c>
      <c r="E872" s="518">
        <f t="shared" si="117"/>
        <v>42597</v>
      </c>
      <c r="F872" s="520">
        <v>2.31</v>
      </c>
      <c r="G872" s="521">
        <f t="shared" si="120"/>
        <v>0.24000000000000007</v>
      </c>
      <c r="H872" s="521">
        <f t="shared" si="118"/>
        <v>0.25000000000000006</v>
      </c>
      <c r="I872" s="511"/>
      <c r="J872" s="511"/>
      <c r="K872" s="511"/>
      <c r="L872" s="511"/>
      <c r="M872" s="511"/>
      <c r="N872" s="511"/>
      <c r="O872" s="511"/>
      <c r="P872" s="511"/>
      <c r="Q872" s="511"/>
      <c r="R872" s="511"/>
      <c r="S872" s="511"/>
      <c r="T872" s="511"/>
      <c r="U872" s="511"/>
      <c r="V872" s="511"/>
      <c r="W872" s="511"/>
      <c r="X872" s="511"/>
      <c r="Y872" s="511"/>
      <c r="Z872" s="511"/>
      <c r="AA872" s="511"/>
      <c r="AB872" s="511"/>
      <c r="AC872" s="511"/>
      <c r="AD872" s="511"/>
      <c r="AE872" s="511"/>
      <c r="AF872" s="511"/>
      <c r="AG872" s="511"/>
      <c r="AH872" s="511"/>
      <c r="AI872" s="511"/>
      <c r="AJ872" s="511"/>
      <c r="AK872" s="511"/>
      <c r="AL872" s="511"/>
      <c r="AM872" s="511"/>
      <c r="AN872" s="511"/>
      <c r="AO872" s="511"/>
      <c r="AP872" s="511"/>
      <c r="AQ872" s="511"/>
      <c r="AR872" s="511"/>
      <c r="AS872" s="511"/>
      <c r="AT872" s="511"/>
      <c r="AU872" s="511"/>
      <c r="AV872" s="511"/>
      <c r="AW872" s="511"/>
      <c r="AX872" s="511"/>
      <c r="AY872" s="511"/>
      <c r="AZ872" s="511"/>
      <c r="BA872" s="511"/>
      <c r="BB872" s="511"/>
      <c r="BC872" s="511"/>
      <c r="BD872" s="511"/>
      <c r="BE872" s="511"/>
      <c r="BF872" s="511"/>
      <c r="BG872" s="511"/>
      <c r="BH872" s="511"/>
      <c r="BI872" s="511"/>
      <c r="BJ872" s="511"/>
      <c r="BK872" s="511"/>
      <c r="BL872" s="511"/>
      <c r="BM872" s="511"/>
      <c r="BN872" s="511"/>
      <c r="BO872" s="511"/>
      <c r="BP872" s="511"/>
      <c r="BQ872" s="511"/>
      <c r="BR872" s="511"/>
      <c r="BS872" s="511"/>
      <c r="BT872" s="511"/>
      <c r="BU872" s="511"/>
      <c r="BV872" s="511"/>
      <c r="BW872" s="511"/>
      <c r="BX872" s="511"/>
      <c r="BY872" s="511"/>
      <c r="BZ872" s="511"/>
      <c r="CA872" s="511"/>
      <c r="CB872" s="511"/>
      <c r="CC872" s="511"/>
      <c r="CD872" s="511"/>
      <c r="CE872" s="511"/>
      <c r="CF872" s="511"/>
      <c r="CG872" s="511"/>
      <c r="CH872" s="511"/>
      <c r="CI872" s="511"/>
      <c r="CJ872" s="511"/>
      <c r="CK872" s="511"/>
      <c r="CL872" s="511"/>
      <c r="CM872" s="511"/>
      <c r="CN872" s="511"/>
      <c r="CO872" s="511"/>
      <c r="CP872" s="511"/>
      <c r="CQ872" s="511"/>
      <c r="CR872" s="511"/>
      <c r="CS872" s="511"/>
      <c r="CT872" s="511"/>
      <c r="CU872" s="511"/>
      <c r="CV872" s="511"/>
      <c r="CW872" s="511"/>
      <c r="CX872" s="511"/>
      <c r="CY872" s="511"/>
      <c r="CZ872" s="511"/>
      <c r="DA872" s="511"/>
      <c r="DB872" s="511"/>
      <c r="DC872" s="511"/>
      <c r="DD872" s="511"/>
      <c r="DE872" s="511"/>
      <c r="DF872" s="511"/>
      <c r="DG872" s="511"/>
      <c r="DH872" s="511"/>
      <c r="DI872" s="511"/>
      <c r="DJ872" s="511"/>
      <c r="DK872" s="511"/>
      <c r="DL872" s="511"/>
      <c r="DM872" s="511"/>
      <c r="DN872" s="511"/>
      <c r="DO872" s="511"/>
      <c r="DP872" s="511"/>
    </row>
    <row r="873" spans="1:120" x14ac:dyDescent="0.2">
      <c r="A873" s="517">
        <f t="shared" si="114"/>
        <v>42583</v>
      </c>
      <c r="B873" s="517" t="str">
        <f t="shared" si="119"/>
        <v>3Q16</v>
      </c>
      <c r="C873" s="517" t="str">
        <f t="shared" si="115"/>
        <v>4Q16</v>
      </c>
      <c r="D873" s="518">
        <f t="shared" si="116"/>
        <v>42664</v>
      </c>
      <c r="E873" s="518">
        <f t="shared" si="117"/>
        <v>42604</v>
      </c>
      <c r="F873" s="520">
        <v>2.37</v>
      </c>
      <c r="G873" s="521">
        <f t="shared" si="120"/>
        <v>0.25000000000000006</v>
      </c>
      <c r="H873" s="521">
        <f t="shared" si="118"/>
        <v>0.26000000000000006</v>
      </c>
      <c r="I873" s="511"/>
      <c r="J873" s="511"/>
      <c r="K873" s="511"/>
      <c r="L873" s="511"/>
      <c r="M873" s="511"/>
      <c r="N873" s="511"/>
      <c r="O873" s="511"/>
      <c r="P873" s="511"/>
      <c r="Q873" s="511"/>
      <c r="R873" s="511"/>
      <c r="S873" s="511"/>
      <c r="T873" s="511"/>
      <c r="U873" s="511"/>
      <c r="V873" s="511"/>
      <c r="W873" s="511"/>
      <c r="X873" s="511"/>
      <c r="Y873" s="511"/>
      <c r="Z873" s="511"/>
      <c r="AA873" s="511"/>
      <c r="AB873" s="511"/>
      <c r="AC873" s="511"/>
      <c r="AD873" s="511"/>
      <c r="AE873" s="511"/>
      <c r="AF873" s="511"/>
      <c r="AG873" s="511"/>
      <c r="AH873" s="511"/>
      <c r="AI873" s="511"/>
      <c r="AJ873" s="511"/>
      <c r="AK873" s="511"/>
      <c r="AL873" s="511"/>
      <c r="AM873" s="511"/>
      <c r="AN873" s="511"/>
      <c r="AO873" s="511"/>
      <c r="AP873" s="511"/>
      <c r="AQ873" s="511"/>
      <c r="AR873" s="511"/>
      <c r="AS873" s="511"/>
      <c r="AT873" s="511"/>
      <c r="AU873" s="511"/>
      <c r="AV873" s="511"/>
      <c r="AW873" s="511"/>
      <c r="AX873" s="511"/>
      <c r="AY873" s="511"/>
      <c r="AZ873" s="511"/>
      <c r="BA873" s="511"/>
      <c r="BB873" s="511"/>
      <c r="BC873" s="511"/>
      <c r="BD873" s="511"/>
      <c r="BE873" s="511"/>
      <c r="BF873" s="511"/>
      <c r="BG873" s="511"/>
      <c r="BH873" s="511"/>
      <c r="BI873" s="511"/>
      <c r="BJ873" s="511"/>
      <c r="BK873" s="511"/>
      <c r="BL873" s="511"/>
      <c r="BM873" s="511"/>
      <c r="BN873" s="511"/>
      <c r="BO873" s="511"/>
      <c r="BP873" s="511"/>
      <c r="BQ873" s="511"/>
      <c r="BR873" s="511"/>
      <c r="BS873" s="511"/>
      <c r="BT873" s="511"/>
      <c r="BU873" s="511"/>
      <c r="BV873" s="511"/>
      <c r="BW873" s="511"/>
      <c r="BX873" s="511"/>
      <c r="BY873" s="511"/>
      <c r="BZ873" s="511"/>
      <c r="CA873" s="511"/>
      <c r="CB873" s="511"/>
      <c r="CC873" s="511"/>
      <c r="CD873" s="511"/>
      <c r="CE873" s="511"/>
      <c r="CF873" s="511"/>
      <c r="CG873" s="511"/>
      <c r="CH873" s="511"/>
      <c r="CI873" s="511"/>
      <c r="CJ873" s="511"/>
      <c r="CK873" s="511"/>
      <c r="CL873" s="511"/>
      <c r="CM873" s="511"/>
      <c r="CN873" s="511"/>
      <c r="CO873" s="511"/>
      <c r="CP873" s="511"/>
      <c r="CQ873" s="511"/>
      <c r="CR873" s="511"/>
      <c r="CS873" s="511"/>
      <c r="CT873" s="511"/>
      <c r="CU873" s="511"/>
      <c r="CV873" s="511"/>
      <c r="CW873" s="511"/>
      <c r="CX873" s="511"/>
      <c r="CY873" s="511"/>
      <c r="CZ873" s="511"/>
      <c r="DA873" s="511"/>
      <c r="DB873" s="511"/>
      <c r="DC873" s="511"/>
      <c r="DD873" s="511"/>
      <c r="DE873" s="511"/>
      <c r="DF873" s="511"/>
      <c r="DG873" s="511"/>
      <c r="DH873" s="511"/>
      <c r="DI873" s="511"/>
      <c r="DJ873" s="511"/>
      <c r="DK873" s="511"/>
      <c r="DL873" s="511"/>
      <c r="DM873" s="511"/>
      <c r="DN873" s="511"/>
      <c r="DO873" s="511"/>
      <c r="DP873" s="511"/>
    </row>
    <row r="874" spans="1:120" x14ac:dyDescent="0.2">
      <c r="A874" s="517">
        <f t="shared" si="114"/>
        <v>42583</v>
      </c>
      <c r="B874" s="517" t="str">
        <f t="shared" si="119"/>
        <v>3Q16</v>
      </c>
      <c r="C874" s="517" t="str">
        <f t="shared" si="115"/>
        <v>4Q16</v>
      </c>
      <c r="D874" s="518">
        <f t="shared" si="116"/>
        <v>42671</v>
      </c>
      <c r="E874" s="518">
        <f t="shared" si="117"/>
        <v>42611</v>
      </c>
      <c r="F874" s="520">
        <v>2.4089999999999998</v>
      </c>
      <c r="G874" s="521">
        <f t="shared" si="120"/>
        <v>0.26000000000000006</v>
      </c>
      <c r="H874" s="521">
        <f t="shared" si="118"/>
        <v>0.26000000000000006</v>
      </c>
      <c r="I874" s="511"/>
      <c r="J874" s="511"/>
      <c r="K874" s="511"/>
      <c r="L874" s="511"/>
      <c r="M874" s="511"/>
      <c r="N874" s="511"/>
      <c r="O874" s="511"/>
      <c r="P874" s="511"/>
      <c r="Q874" s="511"/>
      <c r="R874" s="511"/>
      <c r="S874" s="511"/>
      <c r="T874" s="511"/>
      <c r="U874" s="511"/>
      <c r="V874" s="511"/>
      <c r="W874" s="511"/>
      <c r="X874" s="511"/>
      <c r="Y874" s="511"/>
      <c r="Z874" s="511"/>
      <c r="AA874" s="511"/>
      <c r="AB874" s="511"/>
      <c r="AC874" s="511"/>
      <c r="AD874" s="511"/>
      <c r="AE874" s="511"/>
      <c r="AF874" s="511"/>
      <c r="AG874" s="511"/>
      <c r="AH874" s="511"/>
      <c r="AI874" s="511"/>
      <c r="AJ874" s="511"/>
      <c r="AK874" s="511"/>
      <c r="AL874" s="511"/>
      <c r="AM874" s="511"/>
      <c r="AN874" s="511"/>
      <c r="AO874" s="511"/>
      <c r="AP874" s="511"/>
      <c r="AQ874" s="511"/>
      <c r="AR874" s="511"/>
      <c r="AS874" s="511"/>
      <c r="AT874" s="511"/>
      <c r="AU874" s="511"/>
      <c r="AV874" s="511"/>
      <c r="AW874" s="511"/>
      <c r="AX874" s="511"/>
      <c r="AY874" s="511"/>
      <c r="AZ874" s="511"/>
      <c r="BA874" s="511"/>
      <c r="BB874" s="511"/>
      <c r="BC874" s="511"/>
      <c r="BD874" s="511"/>
      <c r="BE874" s="511"/>
      <c r="BF874" s="511"/>
      <c r="BG874" s="511"/>
      <c r="BH874" s="511"/>
      <c r="BI874" s="511"/>
      <c r="BJ874" s="511"/>
      <c r="BK874" s="511"/>
      <c r="BL874" s="511"/>
      <c r="BM874" s="511"/>
      <c r="BN874" s="511"/>
      <c r="BO874" s="511"/>
      <c r="BP874" s="511"/>
      <c r="BQ874" s="511"/>
      <c r="BR874" s="511"/>
      <c r="BS874" s="511"/>
      <c r="BT874" s="511"/>
      <c r="BU874" s="511"/>
      <c r="BV874" s="511"/>
      <c r="BW874" s="511"/>
      <c r="BX874" s="511"/>
      <c r="BY874" s="511"/>
      <c r="BZ874" s="511"/>
      <c r="CA874" s="511"/>
      <c r="CB874" s="511"/>
      <c r="CC874" s="511"/>
      <c r="CD874" s="511"/>
      <c r="CE874" s="511"/>
      <c r="CF874" s="511"/>
      <c r="CG874" s="511"/>
      <c r="CH874" s="511"/>
      <c r="CI874" s="511"/>
      <c r="CJ874" s="511"/>
      <c r="CK874" s="511"/>
      <c r="CL874" s="511"/>
      <c r="CM874" s="511"/>
      <c r="CN874" s="511"/>
      <c r="CO874" s="511"/>
      <c r="CP874" s="511"/>
      <c r="CQ874" s="511"/>
      <c r="CR874" s="511"/>
      <c r="CS874" s="511"/>
      <c r="CT874" s="511"/>
      <c r="CU874" s="511"/>
      <c r="CV874" s="511"/>
      <c r="CW874" s="511"/>
      <c r="CX874" s="511"/>
      <c r="CY874" s="511"/>
      <c r="CZ874" s="511"/>
      <c r="DA874" s="511"/>
      <c r="DB874" s="511"/>
      <c r="DC874" s="511"/>
      <c r="DD874" s="511"/>
      <c r="DE874" s="511"/>
      <c r="DF874" s="511"/>
      <c r="DG874" s="511"/>
      <c r="DH874" s="511"/>
      <c r="DI874" s="511"/>
      <c r="DJ874" s="511"/>
      <c r="DK874" s="511"/>
      <c r="DL874" s="511"/>
      <c r="DM874" s="511"/>
      <c r="DN874" s="511"/>
      <c r="DO874" s="511"/>
      <c r="DP874" s="511"/>
    </row>
    <row r="875" spans="1:120" x14ac:dyDescent="0.2">
      <c r="A875" s="517">
        <f t="shared" si="114"/>
        <v>42614</v>
      </c>
      <c r="B875" s="517" t="str">
        <f t="shared" si="119"/>
        <v>3Q16</v>
      </c>
      <c r="C875" s="517" t="str">
        <f t="shared" si="115"/>
        <v>4Q16</v>
      </c>
      <c r="D875" s="518">
        <f t="shared" si="116"/>
        <v>42678</v>
      </c>
      <c r="E875" s="518">
        <f t="shared" si="117"/>
        <v>42618</v>
      </c>
      <c r="F875" s="520">
        <v>2.407</v>
      </c>
      <c r="G875" s="521">
        <f t="shared" si="120"/>
        <v>0.26000000000000006</v>
      </c>
      <c r="H875" s="521">
        <f t="shared" si="118"/>
        <v>0.25000000000000006</v>
      </c>
      <c r="I875" s="511"/>
      <c r="J875" s="511"/>
      <c r="K875" s="511"/>
      <c r="L875" s="511"/>
      <c r="M875" s="511"/>
      <c r="N875" s="511"/>
      <c r="O875" s="511"/>
      <c r="P875" s="511"/>
      <c r="Q875" s="511"/>
      <c r="R875" s="511"/>
      <c r="S875" s="511"/>
      <c r="T875" s="511"/>
      <c r="U875" s="511"/>
      <c r="V875" s="511"/>
      <c r="W875" s="511"/>
      <c r="X875" s="511"/>
      <c r="Y875" s="511"/>
      <c r="Z875" s="511"/>
      <c r="AA875" s="511"/>
      <c r="AB875" s="511"/>
      <c r="AC875" s="511"/>
      <c r="AD875" s="511"/>
      <c r="AE875" s="511"/>
      <c r="AF875" s="511"/>
      <c r="AG875" s="511"/>
      <c r="AH875" s="511"/>
      <c r="AI875" s="511"/>
      <c r="AJ875" s="511"/>
      <c r="AK875" s="511"/>
      <c r="AL875" s="511"/>
      <c r="AM875" s="511"/>
      <c r="AN875" s="511"/>
      <c r="AO875" s="511"/>
      <c r="AP875" s="511"/>
      <c r="AQ875" s="511"/>
      <c r="AR875" s="511"/>
      <c r="AS875" s="511"/>
      <c r="AT875" s="511"/>
      <c r="AU875" s="511"/>
      <c r="AV875" s="511"/>
      <c r="AW875" s="511"/>
      <c r="AX875" s="511"/>
      <c r="AY875" s="511"/>
      <c r="AZ875" s="511"/>
      <c r="BA875" s="511"/>
      <c r="BB875" s="511"/>
      <c r="BC875" s="511"/>
      <c r="BD875" s="511"/>
      <c r="BE875" s="511"/>
      <c r="BF875" s="511"/>
      <c r="BG875" s="511"/>
      <c r="BH875" s="511"/>
      <c r="BI875" s="511"/>
      <c r="BJ875" s="511"/>
      <c r="BK875" s="511"/>
      <c r="BL875" s="511"/>
      <c r="BM875" s="511"/>
      <c r="BN875" s="511"/>
      <c r="BO875" s="511"/>
      <c r="BP875" s="511"/>
      <c r="BQ875" s="511"/>
      <c r="BR875" s="511"/>
      <c r="BS875" s="511"/>
      <c r="BT875" s="511"/>
      <c r="BU875" s="511"/>
      <c r="BV875" s="511"/>
      <c r="BW875" s="511"/>
      <c r="BX875" s="511"/>
      <c r="BY875" s="511"/>
      <c r="BZ875" s="511"/>
      <c r="CA875" s="511"/>
      <c r="CB875" s="511"/>
      <c r="CC875" s="511"/>
      <c r="CD875" s="511"/>
      <c r="CE875" s="511"/>
      <c r="CF875" s="511"/>
      <c r="CG875" s="511"/>
      <c r="CH875" s="511"/>
      <c r="CI875" s="511"/>
      <c r="CJ875" s="511"/>
      <c r="CK875" s="511"/>
      <c r="CL875" s="511"/>
      <c r="CM875" s="511"/>
      <c r="CN875" s="511"/>
      <c r="CO875" s="511"/>
      <c r="CP875" s="511"/>
      <c r="CQ875" s="511"/>
      <c r="CR875" s="511"/>
      <c r="CS875" s="511"/>
      <c r="CT875" s="511"/>
      <c r="CU875" s="511"/>
      <c r="CV875" s="511"/>
      <c r="CW875" s="511"/>
      <c r="CX875" s="511"/>
      <c r="CY875" s="511"/>
      <c r="CZ875" s="511"/>
      <c r="DA875" s="511"/>
      <c r="DB875" s="511"/>
      <c r="DC875" s="511"/>
      <c r="DD875" s="511"/>
      <c r="DE875" s="511"/>
      <c r="DF875" s="511"/>
      <c r="DG875" s="511"/>
      <c r="DH875" s="511"/>
      <c r="DI875" s="511"/>
      <c r="DJ875" s="511"/>
      <c r="DK875" s="511"/>
      <c r="DL875" s="511"/>
      <c r="DM875" s="511"/>
      <c r="DN875" s="511"/>
      <c r="DO875" s="511"/>
      <c r="DP875" s="511"/>
    </row>
    <row r="876" spans="1:120" x14ac:dyDescent="0.2">
      <c r="A876" s="517">
        <f t="shared" si="114"/>
        <v>42614</v>
      </c>
      <c r="B876" s="517" t="str">
        <f t="shared" si="119"/>
        <v>3Q16</v>
      </c>
      <c r="C876" s="517" t="str">
        <f t="shared" si="115"/>
        <v>4Q16</v>
      </c>
      <c r="D876" s="518">
        <f t="shared" si="116"/>
        <v>42685</v>
      </c>
      <c r="E876" s="518">
        <f t="shared" si="117"/>
        <v>42625</v>
      </c>
      <c r="F876" s="520">
        <v>2.399</v>
      </c>
      <c r="G876" s="521">
        <f t="shared" si="120"/>
        <v>0.25000000000000006</v>
      </c>
      <c r="H876" s="521">
        <f t="shared" si="118"/>
        <v>0.25000000000000006</v>
      </c>
      <c r="I876" s="511"/>
      <c r="J876" s="511"/>
      <c r="K876" s="511"/>
      <c r="L876" s="511"/>
      <c r="M876" s="511"/>
      <c r="N876" s="511"/>
      <c r="O876" s="511"/>
      <c r="P876" s="511"/>
      <c r="Q876" s="511"/>
      <c r="R876" s="511"/>
      <c r="S876" s="511"/>
      <c r="T876" s="511"/>
      <c r="U876" s="511"/>
      <c r="V876" s="511"/>
      <c r="W876" s="511"/>
      <c r="X876" s="511"/>
      <c r="Y876" s="511"/>
      <c r="Z876" s="511"/>
      <c r="AA876" s="511"/>
      <c r="AB876" s="511"/>
      <c r="AC876" s="511"/>
      <c r="AD876" s="511"/>
      <c r="AE876" s="511"/>
      <c r="AF876" s="511"/>
      <c r="AG876" s="511"/>
      <c r="AH876" s="511"/>
      <c r="AI876" s="511"/>
      <c r="AJ876" s="511"/>
      <c r="AK876" s="511"/>
      <c r="AL876" s="511"/>
      <c r="AM876" s="511"/>
      <c r="AN876" s="511"/>
      <c r="AO876" s="511"/>
      <c r="AP876" s="511"/>
      <c r="AQ876" s="511"/>
      <c r="AR876" s="511"/>
      <c r="AS876" s="511"/>
      <c r="AT876" s="511"/>
      <c r="AU876" s="511"/>
      <c r="AV876" s="511"/>
      <c r="AW876" s="511"/>
      <c r="AX876" s="511"/>
      <c r="AY876" s="511"/>
      <c r="AZ876" s="511"/>
      <c r="BA876" s="511"/>
      <c r="BB876" s="511"/>
      <c r="BC876" s="511"/>
      <c r="BD876" s="511"/>
      <c r="BE876" s="511"/>
      <c r="BF876" s="511"/>
      <c r="BG876" s="511"/>
      <c r="BH876" s="511"/>
      <c r="BI876" s="511"/>
      <c r="BJ876" s="511"/>
      <c r="BK876" s="511"/>
      <c r="BL876" s="511"/>
      <c r="BM876" s="511"/>
      <c r="BN876" s="511"/>
      <c r="BO876" s="511"/>
      <c r="BP876" s="511"/>
      <c r="BQ876" s="511"/>
      <c r="BR876" s="511"/>
      <c r="BS876" s="511"/>
      <c r="BT876" s="511"/>
      <c r="BU876" s="511"/>
      <c r="BV876" s="511"/>
      <c r="BW876" s="511"/>
      <c r="BX876" s="511"/>
      <c r="BY876" s="511"/>
      <c r="BZ876" s="511"/>
      <c r="CA876" s="511"/>
      <c r="CB876" s="511"/>
      <c r="CC876" s="511"/>
      <c r="CD876" s="511"/>
      <c r="CE876" s="511"/>
      <c r="CF876" s="511"/>
      <c r="CG876" s="511"/>
      <c r="CH876" s="511"/>
      <c r="CI876" s="511"/>
      <c r="CJ876" s="511"/>
      <c r="CK876" s="511"/>
      <c r="CL876" s="511"/>
      <c r="CM876" s="511"/>
      <c r="CN876" s="511"/>
      <c r="CO876" s="511"/>
      <c r="CP876" s="511"/>
      <c r="CQ876" s="511"/>
      <c r="CR876" s="511"/>
      <c r="CS876" s="511"/>
      <c r="CT876" s="511"/>
      <c r="CU876" s="511"/>
      <c r="CV876" s="511"/>
      <c r="CW876" s="511"/>
      <c r="CX876" s="511"/>
      <c r="CY876" s="511"/>
      <c r="CZ876" s="511"/>
      <c r="DA876" s="511"/>
      <c r="DB876" s="511"/>
      <c r="DC876" s="511"/>
      <c r="DD876" s="511"/>
      <c r="DE876" s="511"/>
      <c r="DF876" s="511"/>
      <c r="DG876" s="511"/>
      <c r="DH876" s="511"/>
      <c r="DI876" s="511"/>
      <c r="DJ876" s="511"/>
      <c r="DK876" s="511"/>
      <c r="DL876" s="511"/>
      <c r="DM876" s="511"/>
      <c r="DN876" s="511"/>
      <c r="DO876" s="511"/>
      <c r="DP876" s="511"/>
    </row>
    <row r="877" spans="1:120" x14ac:dyDescent="0.2">
      <c r="A877" s="517">
        <f t="shared" si="114"/>
        <v>42614</v>
      </c>
      <c r="B877" s="517" t="str">
        <f t="shared" si="119"/>
        <v>3Q16</v>
      </c>
      <c r="C877" s="517" t="str">
        <f t="shared" si="115"/>
        <v>4Q16</v>
      </c>
      <c r="D877" s="518">
        <f t="shared" si="116"/>
        <v>42692</v>
      </c>
      <c r="E877" s="518">
        <f t="shared" si="117"/>
        <v>42632</v>
      </c>
      <c r="F877" s="520">
        <v>2.3889999999999998</v>
      </c>
      <c r="G877" s="521">
        <f t="shared" si="120"/>
        <v>0.25000000000000006</v>
      </c>
      <c r="H877" s="521">
        <f t="shared" si="118"/>
        <v>0.25000000000000006</v>
      </c>
      <c r="I877" s="511"/>
      <c r="J877" s="511"/>
      <c r="K877" s="511"/>
      <c r="L877" s="511"/>
      <c r="M877" s="511"/>
      <c r="N877" s="511"/>
      <c r="O877" s="511"/>
      <c r="P877" s="511"/>
      <c r="Q877" s="511"/>
      <c r="R877" s="511"/>
      <c r="S877" s="511"/>
      <c r="T877" s="511"/>
      <c r="U877" s="511"/>
      <c r="V877" s="511"/>
      <c r="W877" s="511"/>
      <c r="X877" s="511"/>
      <c r="Y877" s="511"/>
      <c r="Z877" s="511"/>
      <c r="AA877" s="511"/>
      <c r="AB877" s="511"/>
      <c r="AC877" s="511"/>
      <c r="AD877" s="511"/>
      <c r="AE877" s="511"/>
      <c r="AF877" s="511"/>
      <c r="AG877" s="511"/>
      <c r="AH877" s="511"/>
      <c r="AI877" s="511"/>
      <c r="AJ877" s="511"/>
      <c r="AK877" s="511"/>
      <c r="AL877" s="511"/>
      <c r="AM877" s="511"/>
      <c r="AN877" s="511"/>
      <c r="AO877" s="511"/>
      <c r="AP877" s="511"/>
      <c r="AQ877" s="511"/>
      <c r="AR877" s="511"/>
      <c r="AS877" s="511"/>
      <c r="AT877" s="511"/>
      <c r="AU877" s="511"/>
      <c r="AV877" s="511"/>
      <c r="AW877" s="511"/>
      <c r="AX877" s="511"/>
      <c r="AY877" s="511"/>
      <c r="AZ877" s="511"/>
      <c r="BA877" s="511"/>
      <c r="BB877" s="511"/>
      <c r="BC877" s="511"/>
      <c r="BD877" s="511"/>
      <c r="BE877" s="511"/>
      <c r="BF877" s="511"/>
      <c r="BG877" s="511"/>
      <c r="BH877" s="511"/>
      <c r="BI877" s="511"/>
      <c r="BJ877" s="511"/>
      <c r="BK877" s="511"/>
      <c r="BL877" s="511"/>
      <c r="BM877" s="511"/>
      <c r="BN877" s="511"/>
      <c r="BO877" s="511"/>
      <c r="BP877" s="511"/>
      <c r="BQ877" s="511"/>
      <c r="BR877" s="511"/>
      <c r="BS877" s="511"/>
      <c r="BT877" s="511"/>
      <c r="BU877" s="511"/>
      <c r="BV877" s="511"/>
      <c r="BW877" s="511"/>
      <c r="BX877" s="511"/>
      <c r="BY877" s="511"/>
      <c r="BZ877" s="511"/>
      <c r="CA877" s="511"/>
      <c r="CB877" s="511"/>
      <c r="CC877" s="511"/>
      <c r="CD877" s="511"/>
      <c r="CE877" s="511"/>
      <c r="CF877" s="511"/>
      <c r="CG877" s="511"/>
      <c r="CH877" s="511"/>
      <c r="CI877" s="511"/>
      <c r="CJ877" s="511"/>
      <c r="CK877" s="511"/>
      <c r="CL877" s="511"/>
      <c r="CM877" s="511"/>
      <c r="CN877" s="511"/>
      <c r="CO877" s="511"/>
      <c r="CP877" s="511"/>
      <c r="CQ877" s="511"/>
      <c r="CR877" s="511"/>
      <c r="CS877" s="511"/>
      <c r="CT877" s="511"/>
      <c r="CU877" s="511"/>
      <c r="CV877" s="511"/>
      <c r="CW877" s="511"/>
      <c r="CX877" s="511"/>
      <c r="CY877" s="511"/>
      <c r="CZ877" s="511"/>
      <c r="DA877" s="511"/>
      <c r="DB877" s="511"/>
      <c r="DC877" s="511"/>
      <c r="DD877" s="511"/>
      <c r="DE877" s="511"/>
      <c r="DF877" s="511"/>
      <c r="DG877" s="511"/>
      <c r="DH877" s="511"/>
      <c r="DI877" s="511"/>
      <c r="DJ877" s="511"/>
      <c r="DK877" s="511"/>
      <c r="DL877" s="511"/>
      <c r="DM877" s="511"/>
      <c r="DN877" s="511"/>
      <c r="DO877" s="511"/>
      <c r="DP877" s="511"/>
    </row>
    <row r="878" spans="1:120" x14ac:dyDescent="0.2">
      <c r="A878" s="517">
        <f t="shared" si="114"/>
        <v>42614</v>
      </c>
      <c r="B878" s="517" t="str">
        <f t="shared" si="119"/>
        <v>3Q16</v>
      </c>
      <c r="C878" s="517" t="str">
        <f t="shared" si="115"/>
        <v>4Q16</v>
      </c>
      <c r="D878" s="518">
        <f t="shared" si="116"/>
        <v>42699</v>
      </c>
      <c r="E878" s="518">
        <f t="shared" si="117"/>
        <v>42639</v>
      </c>
      <c r="F878" s="520">
        <v>2.3820000000000001</v>
      </c>
      <c r="G878" s="521">
        <f t="shared" si="120"/>
        <v>0.25000000000000006</v>
      </c>
      <c r="H878" s="521">
        <f t="shared" si="118"/>
        <v>0.25000000000000006</v>
      </c>
      <c r="I878" s="511"/>
      <c r="J878" s="511"/>
      <c r="K878" s="511"/>
      <c r="L878" s="511"/>
      <c r="M878" s="511"/>
      <c r="N878" s="511"/>
      <c r="O878" s="511"/>
      <c r="P878" s="511"/>
      <c r="Q878" s="511"/>
      <c r="R878" s="511"/>
      <c r="S878" s="511"/>
      <c r="T878" s="511"/>
      <c r="U878" s="511"/>
      <c r="V878" s="511"/>
      <c r="W878" s="511"/>
      <c r="X878" s="511"/>
      <c r="Y878" s="511"/>
      <c r="Z878" s="511"/>
      <c r="AA878" s="511"/>
      <c r="AB878" s="511"/>
      <c r="AC878" s="511"/>
      <c r="AD878" s="511"/>
      <c r="AE878" s="511"/>
      <c r="AF878" s="511"/>
      <c r="AG878" s="511"/>
      <c r="AH878" s="511"/>
      <c r="AI878" s="511"/>
      <c r="AJ878" s="511"/>
      <c r="AK878" s="511"/>
      <c r="AL878" s="511"/>
      <c r="AM878" s="511"/>
      <c r="AN878" s="511"/>
      <c r="AO878" s="511"/>
      <c r="AP878" s="511"/>
      <c r="AQ878" s="511"/>
      <c r="AR878" s="511"/>
      <c r="AS878" s="511"/>
      <c r="AT878" s="511"/>
      <c r="AU878" s="511"/>
      <c r="AV878" s="511"/>
      <c r="AW878" s="511"/>
      <c r="AX878" s="511"/>
      <c r="AY878" s="511"/>
      <c r="AZ878" s="511"/>
      <c r="BA878" s="511"/>
      <c r="BB878" s="511"/>
      <c r="BC878" s="511"/>
      <c r="BD878" s="511"/>
      <c r="BE878" s="511"/>
      <c r="BF878" s="511"/>
      <c r="BG878" s="511"/>
      <c r="BH878" s="511"/>
      <c r="BI878" s="511"/>
      <c r="BJ878" s="511"/>
      <c r="BK878" s="511"/>
      <c r="BL878" s="511"/>
      <c r="BM878" s="511"/>
      <c r="BN878" s="511"/>
      <c r="BO878" s="511"/>
      <c r="BP878" s="511"/>
      <c r="BQ878" s="511"/>
      <c r="BR878" s="511"/>
      <c r="BS878" s="511"/>
      <c r="BT878" s="511"/>
      <c r="BU878" s="511"/>
      <c r="BV878" s="511"/>
      <c r="BW878" s="511"/>
      <c r="BX878" s="511"/>
      <c r="BY878" s="511"/>
      <c r="BZ878" s="511"/>
      <c r="CA878" s="511"/>
      <c r="CB878" s="511"/>
      <c r="CC878" s="511"/>
      <c r="CD878" s="511"/>
      <c r="CE878" s="511"/>
      <c r="CF878" s="511"/>
      <c r="CG878" s="511"/>
      <c r="CH878" s="511"/>
      <c r="CI878" s="511"/>
      <c r="CJ878" s="511"/>
      <c r="CK878" s="511"/>
      <c r="CL878" s="511"/>
      <c r="CM878" s="511"/>
      <c r="CN878" s="511"/>
      <c r="CO878" s="511"/>
      <c r="CP878" s="511"/>
      <c r="CQ878" s="511"/>
      <c r="CR878" s="511"/>
      <c r="CS878" s="511"/>
      <c r="CT878" s="511"/>
      <c r="CU878" s="511"/>
      <c r="CV878" s="511"/>
      <c r="CW878" s="511"/>
      <c r="CX878" s="511"/>
      <c r="CY878" s="511"/>
      <c r="CZ878" s="511"/>
      <c r="DA878" s="511"/>
      <c r="DB878" s="511"/>
      <c r="DC878" s="511"/>
      <c r="DD878" s="511"/>
      <c r="DE878" s="511"/>
      <c r="DF878" s="511"/>
      <c r="DG878" s="511"/>
      <c r="DH878" s="511"/>
      <c r="DI878" s="511"/>
      <c r="DJ878" s="511"/>
      <c r="DK878" s="511"/>
      <c r="DL878" s="511"/>
      <c r="DM878" s="511"/>
      <c r="DN878" s="511"/>
      <c r="DO878" s="511"/>
      <c r="DP878" s="511"/>
    </row>
    <row r="879" spans="1:120" x14ac:dyDescent="0.2">
      <c r="A879" s="517">
        <f t="shared" si="114"/>
        <v>42644</v>
      </c>
      <c r="B879" s="517" t="str">
        <f t="shared" si="119"/>
        <v>4Q16</v>
      </c>
      <c r="C879" s="517" t="str">
        <f t="shared" si="115"/>
        <v>4Q16</v>
      </c>
      <c r="D879" s="518">
        <f t="shared" si="116"/>
        <v>42706</v>
      </c>
      <c r="E879" s="518">
        <f t="shared" si="117"/>
        <v>42646</v>
      </c>
      <c r="F879" s="520">
        <v>2.3889999999999998</v>
      </c>
      <c r="G879" s="521">
        <f t="shared" si="120"/>
        <v>0.25000000000000006</v>
      </c>
      <c r="H879" s="521">
        <f t="shared" si="118"/>
        <v>0.26000000000000006</v>
      </c>
      <c r="I879" s="511"/>
      <c r="J879" s="511"/>
      <c r="K879" s="511"/>
      <c r="L879" s="511"/>
      <c r="M879" s="511"/>
      <c r="N879" s="511"/>
      <c r="O879" s="511"/>
      <c r="P879" s="511"/>
      <c r="Q879" s="511"/>
      <c r="R879" s="511"/>
      <c r="S879" s="511"/>
      <c r="T879" s="511"/>
      <c r="U879" s="511"/>
      <c r="V879" s="511"/>
      <c r="W879" s="511"/>
      <c r="X879" s="511"/>
      <c r="Y879" s="511"/>
      <c r="Z879" s="511"/>
      <c r="AA879" s="511"/>
      <c r="AB879" s="511"/>
      <c r="AC879" s="511"/>
      <c r="AD879" s="511"/>
      <c r="AE879" s="511"/>
      <c r="AF879" s="511"/>
      <c r="AG879" s="511"/>
      <c r="AH879" s="511"/>
      <c r="AI879" s="511"/>
      <c r="AJ879" s="511"/>
      <c r="AK879" s="511"/>
      <c r="AL879" s="511"/>
      <c r="AM879" s="511"/>
      <c r="AN879" s="511"/>
      <c r="AO879" s="511"/>
      <c r="AP879" s="511"/>
      <c r="AQ879" s="511"/>
      <c r="AR879" s="511"/>
      <c r="AS879" s="511"/>
      <c r="AT879" s="511"/>
      <c r="AU879" s="511"/>
      <c r="AV879" s="511"/>
      <c r="AW879" s="511"/>
      <c r="AX879" s="511"/>
      <c r="AY879" s="511"/>
      <c r="AZ879" s="511"/>
      <c r="BA879" s="511"/>
      <c r="BB879" s="511"/>
      <c r="BC879" s="511"/>
      <c r="BD879" s="511"/>
      <c r="BE879" s="511"/>
      <c r="BF879" s="511"/>
      <c r="BG879" s="511"/>
      <c r="BH879" s="511"/>
      <c r="BI879" s="511"/>
      <c r="BJ879" s="511"/>
      <c r="BK879" s="511"/>
      <c r="BL879" s="511"/>
      <c r="BM879" s="511"/>
      <c r="BN879" s="511"/>
      <c r="BO879" s="511"/>
      <c r="BP879" s="511"/>
      <c r="BQ879" s="511"/>
      <c r="BR879" s="511"/>
      <c r="BS879" s="511"/>
      <c r="BT879" s="511"/>
      <c r="BU879" s="511"/>
      <c r="BV879" s="511"/>
      <c r="BW879" s="511"/>
      <c r="BX879" s="511"/>
      <c r="BY879" s="511"/>
      <c r="BZ879" s="511"/>
      <c r="CA879" s="511"/>
      <c r="CB879" s="511"/>
      <c r="CC879" s="511"/>
      <c r="CD879" s="511"/>
      <c r="CE879" s="511"/>
      <c r="CF879" s="511"/>
      <c r="CG879" s="511"/>
      <c r="CH879" s="511"/>
      <c r="CI879" s="511"/>
      <c r="CJ879" s="511"/>
      <c r="CK879" s="511"/>
      <c r="CL879" s="511"/>
      <c r="CM879" s="511"/>
      <c r="CN879" s="511"/>
      <c r="CO879" s="511"/>
      <c r="CP879" s="511"/>
      <c r="CQ879" s="511"/>
      <c r="CR879" s="511"/>
      <c r="CS879" s="511"/>
      <c r="CT879" s="511"/>
      <c r="CU879" s="511"/>
      <c r="CV879" s="511"/>
      <c r="CW879" s="511"/>
      <c r="CX879" s="511"/>
      <c r="CY879" s="511"/>
      <c r="CZ879" s="511"/>
      <c r="DA879" s="511"/>
      <c r="DB879" s="511"/>
      <c r="DC879" s="511"/>
      <c r="DD879" s="511"/>
      <c r="DE879" s="511"/>
      <c r="DF879" s="511"/>
      <c r="DG879" s="511"/>
      <c r="DH879" s="511"/>
      <c r="DI879" s="511"/>
      <c r="DJ879" s="511"/>
      <c r="DK879" s="511"/>
      <c r="DL879" s="511"/>
      <c r="DM879" s="511"/>
      <c r="DN879" s="511"/>
      <c r="DO879" s="511"/>
      <c r="DP879" s="511"/>
    </row>
    <row r="880" spans="1:120" x14ac:dyDescent="0.2">
      <c r="A880" s="517">
        <f t="shared" si="114"/>
        <v>42644</v>
      </c>
      <c r="B880" s="517" t="str">
        <f t="shared" si="119"/>
        <v>4Q16</v>
      </c>
      <c r="C880" s="517" t="str">
        <f t="shared" si="115"/>
        <v>4Q16</v>
      </c>
      <c r="D880" s="518">
        <f t="shared" si="116"/>
        <v>42713</v>
      </c>
      <c r="E880" s="518">
        <f t="shared" si="117"/>
        <v>42653</v>
      </c>
      <c r="F880" s="520">
        <v>2.4449999999999998</v>
      </c>
      <c r="G880" s="521">
        <f t="shared" si="120"/>
        <v>0.26000000000000006</v>
      </c>
      <c r="H880" s="521">
        <f t="shared" si="118"/>
        <v>0.27000000000000007</v>
      </c>
      <c r="I880" s="511"/>
      <c r="J880" s="511"/>
      <c r="K880" s="511"/>
      <c r="L880" s="511"/>
      <c r="M880" s="511"/>
      <c r="N880" s="511"/>
      <c r="O880" s="511"/>
      <c r="P880" s="511"/>
      <c r="Q880" s="511"/>
      <c r="R880" s="511"/>
      <c r="S880" s="511"/>
      <c r="T880" s="511"/>
      <c r="U880" s="511"/>
      <c r="V880" s="511"/>
      <c r="W880" s="511"/>
      <c r="X880" s="511"/>
      <c r="Y880" s="511"/>
      <c r="Z880" s="511"/>
      <c r="AA880" s="511"/>
      <c r="AB880" s="511"/>
      <c r="AC880" s="511"/>
      <c r="AD880" s="511"/>
      <c r="AE880" s="511"/>
      <c r="AF880" s="511"/>
      <c r="AG880" s="511"/>
      <c r="AH880" s="511"/>
      <c r="AI880" s="511"/>
      <c r="AJ880" s="511"/>
      <c r="AK880" s="511"/>
      <c r="AL880" s="511"/>
      <c r="AM880" s="511"/>
      <c r="AN880" s="511"/>
      <c r="AO880" s="511"/>
      <c r="AP880" s="511"/>
      <c r="AQ880" s="511"/>
      <c r="AR880" s="511"/>
      <c r="AS880" s="511"/>
      <c r="AT880" s="511"/>
      <c r="AU880" s="511"/>
      <c r="AV880" s="511"/>
      <c r="AW880" s="511"/>
      <c r="AX880" s="511"/>
      <c r="AY880" s="511"/>
      <c r="AZ880" s="511"/>
      <c r="BA880" s="511"/>
      <c r="BB880" s="511"/>
      <c r="BC880" s="511"/>
      <c r="BD880" s="511"/>
      <c r="BE880" s="511"/>
      <c r="BF880" s="511"/>
      <c r="BG880" s="511"/>
      <c r="BH880" s="511"/>
      <c r="BI880" s="511"/>
      <c r="BJ880" s="511"/>
      <c r="BK880" s="511"/>
      <c r="BL880" s="511"/>
      <c r="BM880" s="511"/>
      <c r="BN880" s="511"/>
      <c r="BO880" s="511"/>
      <c r="BP880" s="511"/>
      <c r="BQ880" s="511"/>
      <c r="BR880" s="511"/>
      <c r="BS880" s="511"/>
      <c r="BT880" s="511"/>
      <c r="BU880" s="511"/>
      <c r="BV880" s="511"/>
      <c r="BW880" s="511"/>
      <c r="BX880" s="511"/>
      <c r="BY880" s="511"/>
      <c r="BZ880" s="511"/>
      <c r="CA880" s="511"/>
      <c r="CB880" s="511"/>
      <c r="CC880" s="511"/>
      <c r="CD880" s="511"/>
      <c r="CE880" s="511"/>
      <c r="CF880" s="511"/>
      <c r="CG880" s="511"/>
      <c r="CH880" s="511"/>
      <c r="CI880" s="511"/>
      <c r="CJ880" s="511"/>
      <c r="CK880" s="511"/>
      <c r="CL880" s="511"/>
      <c r="CM880" s="511"/>
      <c r="CN880" s="511"/>
      <c r="CO880" s="511"/>
      <c r="CP880" s="511"/>
      <c r="CQ880" s="511"/>
      <c r="CR880" s="511"/>
      <c r="CS880" s="511"/>
      <c r="CT880" s="511"/>
      <c r="CU880" s="511"/>
      <c r="CV880" s="511"/>
      <c r="CW880" s="511"/>
      <c r="CX880" s="511"/>
      <c r="CY880" s="511"/>
      <c r="CZ880" s="511"/>
      <c r="DA880" s="511"/>
      <c r="DB880" s="511"/>
      <c r="DC880" s="511"/>
      <c r="DD880" s="511"/>
      <c r="DE880" s="511"/>
      <c r="DF880" s="511"/>
      <c r="DG880" s="511"/>
      <c r="DH880" s="511"/>
      <c r="DI880" s="511"/>
      <c r="DJ880" s="511"/>
      <c r="DK880" s="511"/>
      <c r="DL880" s="511"/>
      <c r="DM880" s="511"/>
      <c r="DN880" s="511"/>
      <c r="DO880" s="511"/>
      <c r="DP880" s="511"/>
    </row>
    <row r="881" spans="1:120" x14ac:dyDescent="0.2">
      <c r="A881" s="517">
        <f t="shared" si="114"/>
        <v>42644</v>
      </c>
      <c r="B881" s="517" t="str">
        <f t="shared" si="119"/>
        <v>4Q16</v>
      </c>
      <c r="C881" s="517" t="str">
        <f t="shared" si="115"/>
        <v>4Q16</v>
      </c>
      <c r="D881" s="518">
        <f t="shared" si="116"/>
        <v>42720</v>
      </c>
      <c r="E881" s="518">
        <f t="shared" si="117"/>
        <v>42660</v>
      </c>
      <c r="F881" s="520">
        <v>2.4809999999999999</v>
      </c>
      <c r="G881" s="521">
        <f t="shared" si="120"/>
        <v>0.27000000000000007</v>
      </c>
      <c r="H881" s="521">
        <f t="shared" si="118"/>
        <v>0.27000000000000007</v>
      </c>
      <c r="I881" s="511"/>
      <c r="J881" s="511"/>
      <c r="K881" s="511"/>
      <c r="L881" s="511"/>
      <c r="M881" s="511"/>
      <c r="N881" s="511"/>
      <c r="O881" s="511"/>
      <c r="P881" s="511"/>
      <c r="Q881" s="511"/>
      <c r="R881" s="511"/>
      <c r="S881" s="511"/>
      <c r="T881" s="511"/>
      <c r="U881" s="511"/>
      <c r="V881" s="511"/>
      <c r="W881" s="511"/>
      <c r="X881" s="511"/>
      <c r="Y881" s="511"/>
      <c r="Z881" s="511"/>
      <c r="AA881" s="511"/>
      <c r="AB881" s="511"/>
      <c r="AC881" s="511"/>
      <c r="AD881" s="511"/>
      <c r="AE881" s="511"/>
      <c r="AF881" s="511"/>
      <c r="AG881" s="511"/>
      <c r="AH881" s="511"/>
      <c r="AI881" s="511"/>
      <c r="AJ881" s="511"/>
      <c r="AK881" s="511"/>
      <c r="AL881" s="511"/>
      <c r="AM881" s="511"/>
      <c r="AN881" s="511"/>
      <c r="AO881" s="511"/>
      <c r="AP881" s="511"/>
      <c r="AQ881" s="511"/>
      <c r="AR881" s="511"/>
      <c r="AS881" s="511"/>
      <c r="AT881" s="511"/>
      <c r="AU881" s="511"/>
      <c r="AV881" s="511"/>
      <c r="AW881" s="511"/>
      <c r="AX881" s="511"/>
      <c r="AY881" s="511"/>
      <c r="AZ881" s="511"/>
      <c r="BA881" s="511"/>
      <c r="BB881" s="511"/>
      <c r="BC881" s="511"/>
      <c r="BD881" s="511"/>
      <c r="BE881" s="511"/>
      <c r="BF881" s="511"/>
      <c r="BG881" s="511"/>
      <c r="BH881" s="511"/>
      <c r="BI881" s="511"/>
      <c r="BJ881" s="511"/>
      <c r="BK881" s="511"/>
      <c r="BL881" s="511"/>
      <c r="BM881" s="511"/>
      <c r="BN881" s="511"/>
      <c r="BO881" s="511"/>
      <c r="BP881" s="511"/>
      <c r="BQ881" s="511"/>
      <c r="BR881" s="511"/>
      <c r="BS881" s="511"/>
      <c r="BT881" s="511"/>
      <c r="BU881" s="511"/>
      <c r="BV881" s="511"/>
      <c r="BW881" s="511"/>
      <c r="BX881" s="511"/>
      <c r="BY881" s="511"/>
      <c r="BZ881" s="511"/>
      <c r="CA881" s="511"/>
      <c r="CB881" s="511"/>
      <c r="CC881" s="511"/>
      <c r="CD881" s="511"/>
      <c r="CE881" s="511"/>
      <c r="CF881" s="511"/>
      <c r="CG881" s="511"/>
      <c r="CH881" s="511"/>
      <c r="CI881" s="511"/>
      <c r="CJ881" s="511"/>
      <c r="CK881" s="511"/>
      <c r="CL881" s="511"/>
      <c r="CM881" s="511"/>
      <c r="CN881" s="511"/>
      <c r="CO881" s="511"/>
      <c r="CP881" s="511"/>
      <c r="CQ881" s="511"/>
      <c r="CR881" s="511"/>
      <c r="CS881" s="511"/>
      <c r="CT881" s="511"/>
      <c r="CU881" s="511"/>
      <c r="CV881" s="511"/>
      <c r="CW881" s="511"/>
      <c r="CX881" s="511"/>
      <c r="CY881" s="511"/>
      <c r="CZ881" s="511"/>
      <c r="DA881" s="511"/>
      <c r="DB881" s="511"/>
      <c r="DC881" s="511"/>
      <c r="DD881" s="511"/>
      <c r="DE881" s="511"/>
      <c r="DF881" s="511"/>
      <c r="DG881" s="511"/>
      <c r="DH881" s="511"/>
      <c r="DI881" s="511"/>
      <c r="DJ881" s="511"/>
      <c r="DK881" s="511"/>
      <c r="DL881" s="511"/>
      <c r="DM881" s="511"/>
      <c r="DN881" s="511"/>
      <c r="DO881" s="511"/>
      <c r="DP881" s="511"/>
    </row>
    <row r="882" spans="1:120" x14ac:dyDescent="0.2">
      <c r="A882" s="517">
        <f t="shared" si="114"/>
        <v>42644</v>
      </c>
      <c r="B882" s="517" t="str">
        <f t="shared" si="119"/>
        <v>4Q16</v>
      </c>
      <c r="C882" s="517" t="str">
        <f t="shared" si="115"/>
        <v>4Q16</v>
      </c>
      <c r="D882" s="518">
        <f t="shared" si="116"/>
        <v>42727</v>
      </c>
      <c r="E882" s="518">
        <f t="shared" si="117"/>
        <v>42667</v>
      </c>
      <c r="F882" s="520">
        <v>2.4780000000000002</v>
      </c>
      <c r="G882" s="521">
        <f t="shared" si="120"/>
        <v>0.27000000000000007</v>
      </c>
      <c r="H882" s="521">
        <f t="shared" si="118"/>
        <v>0.27000000000000007</v>
      </c>
      <c r="I882" s="511"/>
      <c r="J882" s="511"/>
      <c r="K882" s="511"/>
      <c r="L882" s="511"/>
      <c r="M882" s="511"/>
      <c r="N882" s="511"/>
      <c r="O882" s="511"/>
      <c r="P882" s="511"/>
      <c r="Q882" s="511"/>
      <c r="R882" s="511"/>
      <c r="S882" s="511"/>
      <c r="T882" s="511"/>
      <c r="U882" s="511"/>
      <c r="V882" s="511"/>
      <c r="W882" s="511"/>
      <c r="X882" s="511"/>
      <c r="Y882" s="511"/>
      <c r="Z882" s="511"/>
      <c r="AA882" s="511"/>
      <c r="AB882" s="511"/>
      <c r="AC882" s="511"/>
      <c r="AD882" s="511"/>
      <c r="AE882" s="511"/>
      <c r="AF882" s="511"/>
      <c r="AG882" s="511"/>
      <c r="AH882" s="511"/>
      <c r="AI882" s="511"/>
      <c r="AJ882" s="511"/>
      <c r="AK882" s="511"/>
      <c r="AL882" s="511"/>
      <c r="AM882" s="511"/>
      <c r="AN882" s="511"/>
      <c r="AO882" s="511"/>
      <c r="AP882" s="511"/>
      <c r="AQ882" s="511"/>
      <c r="AR882" s="511"/>
      <c r="AS882" s="511"/>
      <c r="AT882" s="511"/>
      <c r="AU882" s="511"/>
      <c r="AV882" s="511"/>
      <c r="AW882" s="511"/>
      <c r="AX882" s="511"/>
      <c r="AY882" s="511"/>
      <c r="AZ882" s="511"/>
      <c r="BA882" s="511"/>
      <c r="BB882" s="511"/>
      <c r="BC882" s="511"/>
      <c r="BD882" s="511"/>
      <c r="BE882" s="511"/>
      <c r="BF882" s="511"/>
      <c r="BG882" s="511"/>
      <c r="BH882" s="511"/>
      <c r="BI882" s="511"/>
      <c r="BJ882" s="511"/>
      <c r="BK882" s="511"/>
      <c r="BL882" s="511"/>
      <c r="BM882" s="511"/>
      <c r="BN882" s="511"/>
      <c r="BO882" s="511"/>
      <c r="BP882" s="511"/>
      <c r="BQ882" s="511"/>
      <c r="BR882" s="511"/>
      <c r="BS882" s="511"/>
      <c r="BT882" s="511"/>
      <c r="BU882" s="511"/>
      <c r="BV882" s="511"/>
      <c r="BW882" s="511"/>
      <c r="BX882" s="511"/>
      <c r="BY882" s="511"/>
      <c r="BZ882" s="511"/>
      <c r="CA882" s="511"/>
      <c r="CB882" s="511"/>
      <c r="CC882" s="511"/>
      <c r="CD882" s="511"/>
      <c r="CE882" s="511"/>
      <c r="CF882" s="511"/>
      <c r="CG882" s="511"/>
      <c r="CH882" s="511"/>
      <c r="CI882" s="511"/>
      <c r="CJ882" s="511"/>
      <c r="CK882" s="511"/>
      <c r="CL882" s="511"/>
      <c r="CM882" s="511"/>
      <c r="CN882" s="511"/>
      <c r="CO882" s="511"/>
      <c r="CP882" s="511"/>
      <c r="CQ882" s="511"/>
      <c r="CR882" s="511"/>
      <c r="CS882" s="511"/>
      <c r="CT882" s="511"/>
      <c r="CU882" s="511"/>
      <c r="CV882" s="511"/>
      <c r="CW882" s="511"/>
      <c r="CX882" s="511"/>
      <c r="CY882" s="511"/>
      <c r="CZ882" s="511"/>
      <c r="DA882" s="511"/>
      <c r="DB882" s="511"/>
      <c r="DC882" s="511"/>
      <c r="DD882" s="511"/>
      <c r="DE882" s="511"/>
      <c r="DF882" s="511"/>
      <c r="DG882" s="511"/>
      <c r="DH882" s="511"/>
      <c r="DI882" s="511"/>
      <c r="DJ882" s="511"/>
      <c r="DK882" s="511"/>
      <c r="DL882" s="511"/>
      <c r="DM882" s="511"/>
      <c r="DN882" s="511"/>
      <c r="DO882" s="511"/>
      <c r="DP882" s="511"/>
    </row>
    <row r="883" spans="1:120" x14ac:dyDescent="0.2">
      <c r="A883" s="517">
        <f t="shared" si="114"/>
        <v>42644</v>
      </c>
      <c r="B883" s="517" t="str">
        <f t="shared" si="119"/>
        <v>4Q16</v>
      </c>
      <c r="C883" s="517" t="str">
        <f t="shared" si="115"/>
        <v>4Q16</v>
      </c>
      <c r="D883" s="518">
        <f t="shared" si="116"/>
        <v>42734</v>
      </c>
      <c r="E883" s="518">
        <f t="shared" si="117"/>
        <v>42674</v>
      </c>
      <c r="F883" s="520">
        <v>2.4790000000000001</v>
      </c>
      <c r="G883" s="521">
        <f t="shared" si="120"/>
        <v>0.27000000000000007</v>
      </c>
      <c r="H883" s="521">
        <f t="shared" si="118"/>
        <v>0.27000000000000007</v>
      </c>
      <c r="I883" s="511"/>
      <c r="J883" s="511"/>
      <c r="K883" s="511"/>
      <c r="L883" s="511"/>
      <c r="M883" s="511"/>
      <c r="N883" s="511"/>
      <c r="O883" s="511"/>
      <c r="P883" s="511"/>
      <c r="Q883" s="511"/>
      <c r="R883" s="511"/>
      <c r="S883" s="511"/>
      <c r="T883" s="511"/>
      <c r="U883" s="511"/>
      <c r="V883" s="511"/>
      <c r="W883" s="511"/>
      <c r="X883" s="511"/>
      <c r="Y883" s="511"/>
      <c r="Z883" s="511"/>
      <c r="AA883" s="511"/>
      <c r="AB883" s="511"/>
      <c r="AC883" s="511"/>
      <c r="AD883" s="511"/>
      <c r="AE883" s="511"/>
      <c r="AF883" s="511"/>
      <c r="AG883" s="511"/>
      <c r="AH883" s="511"/>
      <c r="AI883" s="511"/>
      <c r="AJ883" s="511"/>
      <c r="AK883" s="511"/>
      <c r="AL883" s="511"/>
      <c r="AM883" s="511"/>
      <c r="AN883" s="511"/>
      <c r="AO883" s="511"/>
      <c r="AP883" s="511"/>
      <c r="AQ883" s="511"/>
      <c r="AR883" s="511"/>
      <c r="AS883" s="511"/>
      <c r="AT883" s="511"/>
      <c r="AU883" s="511"/>
      <c r="AV883" s="511"/>
      <c r="AW883" s="511"/>
      <c r="AX883" s="511"/>
      <c r="AY883" s="511"/>
      <c r="AZ883" s="511"/>
      <c r="BA883" s="511"/>
      <c r="BB883" s="511"/>
      <c r="BC883" s="511"/>
      <c r="BD883" s="511"/>
      <c r="BE883" s="511"/>
      <c r="BF883" s="511"/>
      <c r="BG883" s="511"/>
      <c r="BH883" s="511"/>
      <c r="BI883" s="511"/>
      <c r="BJ883" s="511"/>
      <c r="BK883" s="511"/>
      <c r="BL883" s="511"/>
      <c r="BM883" s="511"/>
      <c r="BN883" s="511"/>
      <c r="BO883" s="511"/>
      <c r="BP883" s="511"/>
      <c r="BQ883" s="511"/>
      <c r="BR883" s="511"/>
      <c r="BS883" s="511"/>
      <c r="BT883" s="511"/>
      <c r="BU883" s="511"/>
      <c r="BV883" s="511"/>
      <c r="BW883" s="511"/>
      <c r="BX883" s="511"/>
      <c r="BY883" s="511"/>
      <c r="BZ883" s="511"/>
      <c r="CA883" s="511"/>
      <c r="CB883" s="511"/>
      <c r="CC883" s="511"/>
      <c r="CD883" s="511"/>
      <c r="CE883" s="511"/>
      <c r="CF883" s="511"/>
      <c r="CG883" s="511"/>
      <c r="CH883" s="511"/>
      <c r="CI883" s="511"/>
      <c r="CJ883" s="511"/>
      <c r="CK883" s="511"/>
      <c r="CL883" s="511"/>
      <c r="CM883" s="511"/>
      <c r="CN883" s="511"/>
      <c r="CO883" s="511"/>
      <c r="CP883" s="511"/>
      <c r="CQ883" s="511"/>
      <c r="CR883" s="511"/>
      <c r="CS883" s="511"/>
      <c r="CT883" s="511"/>
      <c r="CU883" s="511"/>
      <c r="CV883" s="511"/>
      <c r="CW883" s="511"/>
      <c r="CX883" s="511"/>
      <c r="CY883" s="511"/>
      <c r="CZ883" s="511"/>
      <c r="DA883" s="511"/>
      <c r="DB883" s="511"/>
      <c r="DC883" s="511"/>
      <c r="DD883" s="511"/>
      <c r="DE883" s="511"/>
      <c r="DF883" s="511"/>
      <c r="DG883" s="511"/>
      <c r="DH883" s="511"/>
      <c r="DI883" s="511"/>
      <c r="DJ883" s="511"/>
      <c r="DK883" s="511"/>
      <c r="DL883" s="511"/>
      <c r="DM883" s="511"/>
      <c r="DN883" s="511"/>
      <c r="DO883" s="511"/>
      <c r="DP883" s="511"/>
    </row>
    <row r="884" spans="1:120" x14ac:dyDescent="0.2">
      <c r="A884" s="517">
        <f t="shared" si="114"/>
        <v>42675</v>
      </c>
      <c r="B884" s="517" t="str">
        <f t="shared" si="119"/>
        <v>4Q16</v>
      </c>
      <c r="C884" s="517" t="str">
        <f t="shared" si="115"/>
        <v>1Q17</v>
      </c>
      <c r="D884" s="518">
        <f t="shared" si="116"/>
        <v>42741</v>
      </c>
      <c r="E884" s="518">
        <f t="shared" si="117"/>
        <v>42681</v>
      </c>
      <c r="F884" s="520">
        <v>2.4700000000000002</v>
      </c>
      <c r="G884" s="521">
        <f t="shared" si="120"/>
        <v>0.27000000000000007</v>
      </c>
      <c r="H884" s="521">
        <f t="shared" si="118"/>
        <v>0.26000000000000006</v>
      </c>
      <c r="I884" s="511"/>
      <c r="J884" s="511"/>
      <c r="K884" s="511"/>
      <c r="L884" s="511"/>
      <c r="M884" s="511"/>
      <c r="N884" s="511"/>
      <c r="O884" s="511"/>
      <c r="P884" s="511"/>
      <c r="Q884" s="511"/>
      <c r="R884" s="511"/>
      <c r="S884" s="511"/>
      <c r="T884" s="511"/>
      <c r="U884" s="511"/>
      <c r="V884" s="511"/>
      <c r="W884" s="511"/>
      <c r="X884" s="511"/>
      <c r="Y884" s="511"/>
      <c r="Z884" s="511"/>
      <c r="AA884" s="511"/>
      <c r="AB884" s="511"/>
      <c r="AC884" s="511"/>
      <c r="AD884" s="511"/>
      <c r="AE884" s="511"/>
      <c r="AF884" s="511"/>
      <c r="AG884" s="511"/>
      <c r="AH884" s="511"/>
      <c r="AI884" s="511"/>
      <c r="AJ884" s="511"/>
      <c r="AK884" s="511"/>
      <c r="AL884" s="511"/>
      <c r="AM884" s="511"/>
      <c r="AN884" s="511"/>
      <c r="AO884" s="511"/>
      <c r="AP884" s="511"/>
      <c r="AQ884" s="511"/>
      <c r="AR884" s="511"/>
      <c r="AS884" s="511"/>
      <c r="AT884" s="511"/>
      <c r="AU884" s="511"/>
      <c r="AV884" s="511"/>
      <c r="AW884" s="511"/>
      <c r="AX884" s="511"/>
      <c r="AY884" s="511"/>
      <c r="AZ884" s="511"/>
      <c r="BA884" s="511"/>
      <c r="BB884" s="511"/>
      <c r="BC884" s="511"/>
      <c r="BD884" s="511"/>
      <c r="BE884" s="511"/>
      <c r="BF884" s="511"/>
      <c r="BG884" s="511"/>
      <c r="BH884" s="511"/>
      <c r="BI884" s="511"/>
      <c r="BJ884" s="511"/>
      <c r="BK884" s="511"/>
      <c r="BL884" s="511"/>
      <c r="BM884" s="511"/>
      <c r="BN884" s="511"/>
      <c r="BO884" s="511"/>
      <c r="BP884" s="511"/>
      <c r="BQ884" s="511"/>
      <c r="BR884" s="511"/>
      <c r="BS884" s="511"/>
      <c r="BT884" s="511"/>
      <c r="BU884" s="511"/>
      <c r="BV884" s="511"/>
      <c r="BW884" s="511"/>
      <c r="BX884" s="511"/>
      <c r="BY884" s="511"/>
      <c r="BZ884" s="511"/>
      <c r="CA884" s="511"/>
      <c r="CB884" s="511"/>
      <c r="CC884" s="511"/>
      <c r="CD884" s="511"/>
      <c r="CE884" s="511"/>
      <c r="CF884" s="511"/>
      <c r="CG884" s="511"/>
      <c r="CH884" s="511"/>
      <c r="CI884" s="511"/>
      <c r="CJ884" s="511"/>
      <c r="CK884" s="511"/>
      <c r="CL884" s="511"/>
      <c r="CM884" s="511"/>
      <c r="CN884" s="511"/>
      <c r="CO884" s="511"/>
      <c r="CP884" s="511"/>
      <c r="CQ884" s="511"/>
      <c r="CR884" s="511"/>
      <c r="CS884" s="511"/>
      <c r="CT884" s="511"/>
      <c r="CU884" s="511"/>
      <c r="CV884" s="511"/>
      <c r="CW884" s="511"/>
      <c r="CX884" s="511"/>
      <c r="CY884" s="511"/>
      <c r="CZ884" s="511"/>
      <c r="DA884" s="511"/>
      <c r="DB884" s="511"/>
      <c r="DC884" s="511"/>
      <c r="DD884" s="511"/>
      <c r="DE884" s="511"/>
      <c r="DF884" s="511"/>
      <c r="DG884" s="511"/>
      <c r="DH884" s="511"/>
      <c r="DI884" s="511"/>
      <c r="DJ884" s="511"/>
      <c r="DK884" s="511"/>
      <c r="DL884" s="511"/>
      <c r="DM884" s="511"/>
      <c r="DN884" s="511"/>
      <c r="DO884" s="511"/>
      <c r="DP884" s="511"/>
    </row>
    <row r="885" spans="1:120" x14ac:dyDescent="0.2">
      <c r="A885" s="517">
        <f t="shared" si="114"/>
        <v>42675</v>
      </c>
      <c r="B885" s="517" t="str">
        <f t="shared" si="119"/>
        <v>4Q16</v>
      </c>
      <c r="C885" s="517" t="str">
        <f t="shared" si="115"/>
        <v>1Q17</v>
      </c>
      <c r="D885" s="518">
        <f t="shared" si="116"/>
        <v>42748</v>
      </c>
      <c r="E885" s="518">
        <f t="shared" si="117"/>
        <v>42688</v>
      </c>
      <c r="F885" s="520">
        <v>2.4430000000000001</v>
      </c>
      <c r="G885" s="521">
        <f t="shared" si="120"/>
        <v>0.26000000000000006</v>
      </c>
      <c r="H885" s="521">
        <f t="shared" si="118"/>
        <v>0.26000000000000006</v>
      </c>
      <c r="I885" s="511"/>
      <c r="J885" s="511"/>
      <c r="K885" s="511"/>
      <c r="L885" s="511"/>
      <c r="M885" s="511"/>
      <c r="N885" s="511"/>
      <c r="O885" s="511"/>
      <c r="P885" s="511"/>
      <c r="Q885" s="511"/>
      <c r="R885" s="511"/>
      <c r="S885" s="511"/>
      <c r="T885" s="511"/>
      <c r="U885" s="511"/>
      <c r="V885" s="511"/>
      <c r="W885" s="511"/>
      <c r="X885" s="511"/>
      <c r="Y885" s="511"/>
      <c r="Z885" s="511"/>
      <c r="AA885" s="511"/>
      <c r="AB885" s="511"/>
      <c r="AC885" s="511"/>
      <c r="AD885" s="511"/>
      <c r="AE885" s="511"/>
      <c r="AF885" s="511"/>
      <c r="AG885" s="511"/>
      <c r="AH885" s="511"/>
      <c r="AI885" s="511"/>
      <c r="AJ885" s="511"/>
      <c r="AK885" s="511"/>
      <c r="AL885" s="511"/>
      <c r="AM885" s="511"/>
      <c r="AN885" s="511"/>
      <c r="AO885" s="511"/>
      <c r="AP885" s="511"/>
      <c r="AQ885" s="511"/>
      <c r="AR885" s="511"/>
      <c r="AS885" s="511"/>
      <c r="AT885" s="511"/>
      <c r="AU885" s="511"/>
      <c r="AV885" s="511"/>
      <c r="AW885" s="511"/>
      <c r="AX885" s="511"/>
      <c r="AY885" s="511"/>
      <c r="AZ885" s="511"/>
      <c r="BA885" s="511"/>
      <c r="BB885" s="511"/>
      <c r="BC885" s="511"/>
      <c r="BD885" s="511"/>
      <c r="BE885" s="511"/>
      <c r="BF885" s="511"/>
      <c r="BG885" s="511"/>
      <c r="BH885" s="511"/>
      <c r="BI885" s="511"/>
      <c r="BJ885" s="511"/>
      <c r="BK885" s="511"/>
      <c r="BL885" s="511"/>
      <c r="BM885" s="511"/>
      <c r="BN885" s="511"/>
      <c r="BO885" s="511"/>
      <c r="BP885" s="511"/>
      <c r="BQ885" s="511"/>
      <c r="BR885" s="511"/>
      <c r="BS885" s="511"/>
      <c r="BT885" s="511"/>
      <c r="BU885" s="511"/>
      <c r="BV885" s="511"/>
      <c r="BW885" s="511"/>
      <c r="BX885" s="511"/>
      <c r="BY885" s="511"/>
      <c r="BZ885" s="511"/>
      <c r="CA885" s="511"/>
      <c r="CB885" s="511"/>
      <c r="CC885" s="511"/>
      <c r="CD885" s="511"/>
      <c r="CE885" s="511"/>
      <c r="CF885" s="511"/>
      <c r="CG885" s="511"/>
      <c r="CH885" s="511"/>
      <c r="CI885" s="511"/>
      <c r="CJ885" s="511"/>
      <c r="CK885" s="511"/>
      <c r="CL885" s="511"/>
      <c r="CM885" s="511"/>
      <c r="CN885" s="511"/>
      <c r="CO885" s="511"/>
      <c r="CP885" s="511"/>
      <c r="CQ885" s="511"/>
      <c r="CR885" s="511"/>
      <c r="CS885" s="511"/>
      <c r="CT885" s="511"/>
      <c r="CU885" s="511"/>
      <c r="CV885" s="511"/>
      <c r="CW885" s="511"/>
      <c r="CX885" s="511"/>
      <c r="CY885" s="511"/>
      <c r="CZ885" s="511"/>
      <c r="DA885" s="511"/>
      <c r="DB885" s="511"/>
      <c r="DC885" s="511"/>
      <c r="DD885" s="511"/>
      <c r="DE885" s="511"/>
      <c r="DF885" s="511"/>
      <c r="DG885" s="511"/>
      <c r="DH885" s="511"/>
      <c r="DI885" s="511"/>
      <c r="DJ885" s="511"/>
      <c r="DK885" s="511"/>
      <c r="DL885" s="511"/>
      <c r="DM885" s="511"/>
      <c r="DN885" s="511"/>
      <c r="DO885" s="511"/>
      <c r="DP885" s="511"/>
    </row>
    <row r="886" spans="1:120" x14ac:dyDescent="0.2">
      <c r="A886" s="517">
        <f t="shared" si="114"/>
        <v>42675</v>
      </c>
      <c r="B886" s="517" t="str">
        <f t="shared" si="119"/>
        <v>4Q16</v>
      </c>
      <c r="C886" s="517" t="str">
        <f t="shared" si="115"/>
        <v>1Q17</v>
      </c>
      <c r="D886" s="518">
        <f t="shared" si="116"/>
        <v>42755</v>
      </c>
      <c r="E886" s="518">
        <f t="shared" si="117"/>
        <v>42695</v>
      </c>
      <c r="F886" s="520">
        <v>2.4209999999999998</v>
      </c>
      <c r="G886" s="521">
        <f t="shared" si="120"/>
        <v>0.26000000000000006</v>
      </c>
      <c r="H886" s="521">
        <f t="shared" si="118"/>
        <v>0.26000000000000006</v>
      </c>
      <c r="I886" s="511"/>
      <c r="J886" s="511"/>
      <c r="K886" s="511"/>
      <c r="L886" s="511"/>
      <c r="M886" s="511"/>
      <c r="N886" s="511"/>
      <c r="O886" s="511"/>
      <c r="P886" s="511"/>
      <c r="Q886" s="511"/>
      <c r="R886" s="511"/>
      <c r="S886" s="511"/>
      <c r="T886" s="511"/>
      <c r="U886" s="511"/>
      <c r="V886" s="511"/>
      <c r="W886" s="511"/>
      <c r="X886" s="511"/>
      <c r="Y886" s="511"/>
      <c r="Z886" s="511"/>
      <c r="AA886" s="511"/>
      <c r="AB886" s="511"/>
      <c r="AC886" s="511"/>
      <c r="AD886" s="511"/>
      <c r="AE886" s="511"/>
      <c r="AF886" s="511"/>
      <c r="AG886" s="511"/>
      <c r="AH886" s="511"/>
      <c r="AI886" s="511"/>
      <c r="AJ886" s="511"/>
      <c r="AK886" s="511"/>
      <c r="AL886" s="511"/>
      <c r="AM886" s="511"/>
      <c r="AN886" s="511"/>
      <c r="AO886" s="511"/>
      <c r="AP886" s="511"/>
      <c r="AQ886" s="511"/>
      <c r="AR886" s="511"/>
      <c r="AS886" s="511"/>
      <c r="AT886" s="511"/>
      <c r="AU886" s="511"/>
      <c r="AV886" s="511"/>
      <c r="AW886" s="511"/>
      <c r="AX886" s="511"/>
      <c r="AY886" s="511"/>
      <c r="AZ886" s="511"/>
      <c r="BA886" s="511"/>
      <c r="BB886" s="511"/>
      <c r="BC886" s="511"/>
      <c r="BD886" s="511"/>
      <c r="BE886" s="511"/>
      <c r="BF886" s="511"/>
      <c r="BG886" s="511"/>
      <c r="BH886" s="511"/>
      <c r="BI886" s="511"/>
      <c r="BJ886" s="511"/>
      <c r="BK886" s="511"/>
      <c r="BL886" s="511"/>
      <c r="BM886" s="511"/>
      <c r="BN886" s="511"/>
      <c r="BO886" s="511"/>
      <c r="BP886" s="511"/>
      <c r="BQ886" s="511"/>
      <c r="BR886" s="511"/>
      <c r="BS886" s="511"/>
      <c r="BT886" s="511"/>
      <c r="BU886" s="511"/>
      <c r="BV886" s="511"/>
      <c r="BW886" s="511"/>
      <c r="BX886" s="511"/>
      <c r="BY886" s="511"/>
      <c r="BZ886" s="511"/>
      <c r="CA886" s="511"/>
      <c r="CB886" s="511"/>
      <c r="CC886" s="511"/>
      <c r="CD886" s="511"/>
      <c r="CE886" s="511"/>
      <c r="CF886" s="511"/>
      <c r="CG886" s="511"/>
      <c r="CH886" s="511"/>
      <c r="CI886" s="511"/>
      <c r="CJ886" s="511"/>
      <c r="CK886" s="511"/>
      <c r="CL886" s="511"/>
      <c r="CM886" s="511"/>
      <c r="CN886" s="511"/>
      <c r="CO886" s="511"/>
      <c r="CP886" s="511"/>
      <c r="CQ886" s="511"/>
      <c r="CR886" s="511"/>
      <c r="CS886" s="511"/>
      <c r="CT886" s="511"/>
      <c r="CU886" s="511"/>
      <c r="CV886" s="511"/>
      <c r="CW886" s="511"/>
      <c r="CX886" s="511"/>
      <c r="CY886" s="511"/>
      <c r="CZ886" s="511"/>
      <c r="DA886" s="511"/>
      <c r="DB886" s="511"/>
      <c r="DC886" s="511"/>
      <c r="DD886" s="511"/>
      <c r="DE886" s="511"/>
      <c r="DF886" s="511"/>
      <c r="DG886" s="511"/>
      <c r="DH886" s="511"/>
      <c r="DI886" s="511"/>
      <c r="DJ886" s="511"/>
      <c r="DK886" s="511"/>
      <c r="DL886" s="511"/>
      <c r="DM886" s="511"/>
      <c r="DN886" s="511"/>
      <c r="DO886" s="511"/>
      <c r="DP886" s="511"/>
    </row>
    <row r="887" spans="1:120" x14ac:dyDescent="0.2">
      <c r="A887" s="517">
        <f t="shared" si="114"/>
        <v>42675</v>
      </c>
      <c r="B887" s="517" t="str">
        <f t="shared" si="119"/>
        <v>4Q16</v>
      </c>
      <c r="C887" s="517" t="str">
        <f t="shared" si="115"/>
        <v>1Q17</v>
      </c>
      <c r="D887" s="518">
        <f t="shared" si="116"/>
        <v>42762</v>
      </c>
      <c r="E887" s="518">
        <f t="shared" si="117"/>
        <v>42702</v>
      </c>
      <c r="F887" s="520">
        <v>2.42</v>
      </c>
      <c r="G887" s="521">
        <f t="shared" si="120"/>
        <v>0.26000000000000006</v>
      </c>
      <c r="H887" s="521">
        <f t="shared" si="118"/>
        <v>0.27000000000000007</v>
      </c>
      <c r="I887" s="511"/>
      <c r="J887" s="511"/>
      <c r="K887" s="511"/>
      <c r="L887" s="511"/>
      <c r="M887" s="511"/>
      <c r="N887" s="511"/>
      <c r="O887" s="511"/>
      <c r="P887" s="511"/>
      <c r="Q887" s="511"/>
      <c r="R887" s="511"/>
      <c r="S887" s="511"/>
      <c r="T887" s="511"/>
      <c r="U887" s="511"/>
      <c r="V887" s="511"/>
      <c r="W887" s="511"/>
      <c r="X887" s="511"/>
      <c r="Y887" s="511"/>
      <c r="Z887" s="511"/>
      <c r="AA887" s="511"/>
      <c r="AB887" s="511"/>
      <c r="AC887" s="511"/>
      <c r="AD887" s="511"/>
      <c r="AE887" s="511"/>
      <c r="AF887" s="511"/>
      <c r="AG887" s="511"/>
      <c r="AH887" s="511"/>
      <c r="AI887" s="511"/>
      <c r="AJ887" s="511"/>
      <c r="AK887" s="511"/>
      <c r="AL887" s="511"/>
      <c r="AM887" s="511"/>
      <c r="AN887" s="511"/>
      <c r="AO887" s="511"/>
      <c r="AP887" s="511"/>
      <c r="AQ887" s="511"/>
      <c r="AR887" s="511"/>
      <c r="AS887" s="511"/>
      <c r="AT887" s="511"/>
      <c r="AU887" s="511"/>
      <c r="AV887" s="511"/>
      <c r="AW887" s="511"/>
      <c r="AX887" s="511"/>
      <c r="AY887" s="511"/>
      <c r="AZ887" s="511"/>
      <c r="BA887" s="511"/>
      <c r="BB887" s="511"/>
      <c r="BC887" s="511"/>
      <c r="BD887" s="511"/>
      <c r="BE887" s="511"/>
      <c r="BF887" s="511"/>
      <c r="BG887" s="511"/>
      <c r="BH887" s="511"/>
      <c r="BI887" s="511"/>
      <c r="BJ887" s="511"/>
      <c r="BK887" s="511"/>
      <c r="BL887" s="511"/>
      <c r="BM887" s="511"/>
      <c r="BN887" s="511"/>
      <c r="BO887" s="511"/>
      <c r="BP887" s="511"/>
      <c r="BQ887" s="511"/>
      <c r="BR887" s="511"/>
      <c r="BS887" s="511"/>
      <c r="BT887" s="511"/>
      <c r="BU887" s="511"/>
      <c r="BV887" s="511"/>
      <c r="BW887" s="511"/>
      <c r="BX887" s="511"/>
      <c r="BY887" s="511"/>
      <c r="BZ887" s="511"/>
      <c r="CA887" s="511"/>
      <c r="CB887" s="511"/>
      <c r="CC887" s="511"/>
      <c r="CD887" s="511"/>
      <c r="CE887" s="511"/>
      <c r="CF887" s="511"/>
      <c r="CG887" s="511"/>
      <c r="CH887" s="511"/>
      <c r="CI887" s="511"/>
      <c r="CJ887" s="511"/>
      <c r="CK887" s="511"/>
      <c r="CL887" s="511"/>
      <c r="CM887" s="511"/>
      <c r="CN887" s="511"/>
      <c r="CO887" s="511"/>
      <c r="CP887" s="511"/>
      <c r="CQ887" s="511"/>
      <c r="CR887" s="511"/>
      <c r="CS887" s="511"/>
      <c r="CT887" s="511"/>
      <c r="CU887" s="511"/>
      <c r="CV887" s="511"/>
      <c r="CW887" s="511"/>
      <c r="CX887" s="511"/>
      <c r="CY887" s="511"/>
      <c r="CZ887" s="511"/>
      <c r="DA887" s="511"/>
      <c r="DB887" s="511"/>
      <c r="DC887" s="511"/>
      <c r="DD887" s="511"/>
      <c r="DE887" s="511"/>
      <c r="DF887" s="511"/>
      <c r="DG887" s="511"/>
      <c r="DH887" s="511"/>
      <c r="DI887" s="511"/>
      <c r="DJ887" s="511"/>
      <c r="DK887" s="511"/>
      <c r="DL887" s="511"/>
      <c r="DM887" s="511"/>
      <c r="DN887" s="511"/>
      <c r="DO887" s="511"/>
      <c r="DP887" s="511"/>
    </row>
    <row r="888" spans="1:120" x14ac:dyDescent="0.2">
      <c r="A888" s="517">
        <f t="shared" si="114"/>
        <v>42705</v>
      </c>
      <c r="B888" s="517" t="str">
        <f t="shared" si="119"/>
        <v>4Q16</v>
      </c>
      <c r="C888" s="517" t="str">
        <f t="shared" si="115"/>
        <v>1Q17</v>
      </c>
      <c r="D888" s="518">
        <f t="shared" si="116"/>
        <v>42769</v>
      </c>
      <c r="E888" s="518">
        <f t="shared" si="117"/>
        <v>42709</v>
      </c>
      <c r="F888" s="520">
        <v>2.48</v>
      </c>
      <c r="G888" s="521">
        <f t="shared" si="120"/>
        <v>0.27000000000000007</v>
      </c>
      <c r="H888" s="521">
        <f t="shared" si="118"/>
        <v>0.27000000000000007</v>
      </c>
      <c r="I888" s="511"/>
      <c r="J888" s="511"/>
      <c r="K888" s="511"/>
      <c r="L888" s="511"/>
      <c r="M888" s="511"/>
      <c r="N888" s="511"/>
      <c r="O888" s="511"/>
      <c r="P888" s="511"/>
      <c r="Q888" s="511"/>
      <c r="R888" s="511"/>
      <c r="S888" s="511"/>
      <c r="T888" s="511"/>
      <c r="U888" s="511"/>
      <c r="V888" s="511"/>
      <c r="W888" s="511"/>
      <c r="X888" s="511"/>
      <c r="Y888" s="511"/>
      <c r="Z888" s="511"/>
      <c r="AA888" s="511"/>
      <c r="AB888" s="511"/>
      <c r="AC888" s="511"/>
      <c r="AD888" s="511"/>
      <c r="AE888" s="511"/>
      <c r="AF888" s="511"/>
      <c r="AG888" s="511"/>
      <c r="AH888" s="511"/>
      <c r="AI888" s="511"/>
      <c r="AJ888" s="511"/>
      <c r="AK888" s="511"/>
      <c r="AL888" s="511"/>
      <c r="AM888" s="511"/>
      <c r="AN888" s="511"/>
      <c r="AO888" s="511"/>
      <c r="AP888" s="511"/>
      <c r="AQ888" s="511"/>
      <c r="AR888" s="511"/>
      <c r="AS888" s="511"/>
      <c r="AT888" s="511"/>
      <c r="AU888" s="511"/>
      <c r="AV888" s="511"/>
      <c r="AW888" s="511"/>
      <c r="AX888" s="511"/>
      <c r="AY888" s="511"/>
      <c r="AZ888" s="511"/>
      <c r="BA888" s="511"/>
      <c r="BB888" s="511"/>
      <c r="BC888" s="511"/>
      <c r="BD888" s="511"/>
      <c r="BE888" s="511"/>
      <c r="BF888" s="511"/>
      <c r="BG888" s="511"/>
      <c r="BH888" s="511"/>
      <c r="BI888" s="511"/>
      <c r="BJ888" s="511"/>
      <c r="BK888" s="511"/>
      <c r="BL888" s="511"/>
      <c r="BM888" s="511"/>
      <c r="BN888" s="511"/>
      <c r="BO888" s="511"/>
      <c r="BP888" s="511"/>
      <c r="BQ888" s="511"/>
      <c r="BR888" s="511"/>
      <c r="BS888" s="511"/>
      <c r="BT888" s="511"/>
      <c r="BU888" s="511"/>
      <c r="BV888" s="511"/>
      <c r="BW888" s="511"/>
      <c r="BX888" s="511"/>
      <c r="BY888" s="511"/>
      <c r="BZ888" s="511"/>
      <c r="CA888" s="511"/>
      <c r="CB888" s="511"/>
      <c r="CC888" s="511"/>
      <c r="CD888" s="511"/>
      <c r="CE888" s="511"/>
      <c r="CF888" s="511"/>
      <c r="CG888" s="511"/>
      <c r="CH888" s="511"/>
      <c r="CI888" s="511"/>
      <c r="CJ888" s="511"/>
      <c r="CK888" s="511"/>
      <c r="CL888" s="511"/>
      <c r="CM888" s="511"/>
      <c r="CN888" s="511"/>
      <c r="CO888" s="511"/>
      <c r="CP888" s="511"/>
      <c r="CQ888" s="511"/>
      <c r="CR888" s="511"/>
      <c r="CS888" s="511"/>
      <c r="CT888" s="511"/>
      <c r="CU888" s="511"/>
      <c r="CV888" s="511"/>
      <c r="CW888" s="511"/>
      <c r="CX888" s="511"/>
      <c r="CY888" s="511"/>
      <c r="CZ888" s="511"/>
      <c r="DA888" s="511"/>
      <c r="DB888" s="511"/>
      <c r="DC888" s="511"/>
      <c r="DD888" s="511"/>
      <c r="DE888" s="511"/>
      <c r="DF888" s="511"/>
      <c r="DG888" s="511"/>
      <c r="DH888" s="511"/>
      <c r="DI888" s="511"/>
      <c r="DJ888" s="511"/>
      <c r="DK888" s="511"/>
      <c r="DL888" s="511"/>
      <c r="DM888" s="511"/>
      <c r="DN888" s="511"/>
      <c r="DO888" s="511"/>
      <c r="DP888" s="511"/>
    </row>
    <row r="889" spans="1:120" x14ac:dyDescent="0.2">
      <c r="A889" s="517">
        <f t="shared" ref="A889:A918" si="121">DATE(YEAR(E889),MONTH(E889),1)</f>
        <v>42705</v>
      </c>
      <c r="B889" s="517" t="str">
        <f t="shared" si="119"/>
        <v>4Q16</v>
      </c>
      <c r="C889" s="517" t="str">
        <f t="shared" ref="C889:C918" si="122">VLOOKUP(MONTH(D889),$N$4:$O$16,2,FALSE) &amp; "Q" &amp; RIGHT(YEAR(D889),2)</f>
        <v>1Q17</v>
      </c>
      <c r="D889" s="518">
        <f t="shared" ref="D889:D952" si="123">D888+7</f>
        <v>42776</v>
      </c>
      <c r="E889" s="518">
        <f t="shared" ref="E889:E952" si="124">E888+7</f>
        <v>42716</v>
      </c>
      <c r="F889" s="520">
        <v>2.4929999999999999</v>
      </c>
      <c r="G889" s="521">
        <f t="shared" si="120"/>
        <v>0.27000000000000007</v>
      </c>
      <c r="H889" s="521">
        <f t="shared" ref="H889:H917" si="125">G890</f>
        <v>0.28000000000000008</v>
      </c>
      <c r="I889" s="511"/>
      <c r="J889" s="511"/>
      <c r="K889" s="511"/>
      <c r="L889" s="511"/>
      <c r="M889" s="511"/>
      <c r="N889" s="511"/>
      <c r="O889" s="511"/>
      <c r="P889" s="511"/>
      <c r="Q889" s="511"/>
      <c r="R889" s="511"/>
      <c r="S889" s="511"/>
      <c r="T889" s="511"/>
      <c r="U889" s="511"/>
      <c r="V889" s="511"/>
      <c r="W889" s="511"/>
      <c r="X889" s="511"/>
      <c r="Y889" s="511"/>
      <c r="Z889" s="511"/>
      <c r="AA889" s="511"/>
      <c r="AB889" s="511"/>
      <c r="AC889" s="511"/>
      <c r="AD889" s="511"/>
      <c r="AE889" s="511"/>
      <c r="AF889" s="511"/>
      <c r="AG889" s="511"/>
      <c r="AH889" s="511"/>
      <c r="AI889" s="511"/>
      <c r="AJ889" s="511"/>
      <c r="AK889" s="511"/>
      <c r="AL889" s="511"/>
      <c r="AM889" s="511"/>
      <c r="AN889" s="511"/>
      <c r="AO889" s="511"/>
      <c r="AP889" s="511"/>
      <c r="AQ889" s="511"/>
      <c r="AR889" s="511"/>
      <c r="AS889" s="511"/>
      <c r="AT889" s="511"/>
      <c r="AU889" s="511"/>
      <c r="AV889" s="511"/>
      <c r="AW889" s="511"/>
      <c r="AX889" s="511"/>
      <c r="AY889" s="511"/>
      <c r="AZ889" s="511"/>
      <c r="BA889" s="511"/>
      <c r="BB889" s="511"/>
      <c r="BC889" s="511"/>
      <c r="BD889" s="511"/>
      <c r="BE889" s="511"/>
      <c r="BF889" s="511"/>
      <c r="BG889" s="511"/>
      <c r="BH889" s="511"/>
      <c r="BI889" s="511"/>
      <c r="BJ889" s="511"/>
      <c r="BK889" s="511"/>
      <c r="BL889" s="511"/>
      <c r="BM889" s="511"/>
      <c r="BN889" s="511"/>
      <c r="BO889" s="511"/>
      <c r="BP889" s="511"/>
      <c r="BQ889" s="511"/>
      <c r="BR889" s="511"/>
      <c r="BS889" s="511"/>
      <c r="BT889" s="511"/>
      <c r="BU889" s="511"/>
      <c r="BV889" s="511"/>
      <c r="BW889" s="511"/>
      <c r="BX889" s="511"/>
      <c r="BY889" s="511"/>
      <c r="BZ889" s="511"/>
      <c r="CA889" s="511"/>
      <c r="CB889" s="511"/>
      <c r="CC889" s="511"/>
      <c r="CD889" s="511"/>
      <c r="CE889" s="511"/>
      <c r="CF889" s="511"/>
      <c r="CG889" s="511"/>
      <c r="CH889" s="511"/>
      <c r="CI889" s="511"/>
      <c r="CJ889" s="511"/>
      <c r="CK889" s="511"/>
      <c r="CL889" s="511"/>
      <c r="CM889" s="511"/>
      <c r="CN889" s="511"/>
      <c r="CO889" s="511"/>
      <c r="CP889" s="511"/>
      <c r="CQ889" s="511"/>
      <c r="CR889" s="511"/>
      <c r="CS889" s="511"/>
      <c r="CT889" s="511"/>
      <c r="CU889" s="511"/>
      <c r="CV889" s="511"/>
      <c r="CW889" s="511"/>
      <c r="CX889" s="511"/>
      <c r="CY889" s="511"/>
      <c r="CZ889" s="511"/>
      <c r="DA889" s="511"/>
      <c r="DB889" s="511"/>
      <c r="DC889" s="511"/>
      <c r="DD889" s="511"/>
      <c r="DE889" s="511"/>
      <c r="DF889" s="511"/>
      <c r="DG889" s="511"/>
      <c r="DH889" s="511"/>
      <c r="DI889" s="511"/>
      <c r="DJ889" s="511"/>
      <c r="DK889" s="511"/>
      <c r="DL889" s="511"/>
      <c r="DM889" s="511"/>
      <c r="DN889" s="511"/>
      <c r="DO889" s="511"/>
      <c r="DP889" s="511"/>
    </row>
    <row r="890" spans="1:120" x14ac:dyDescent="0.2">
      <c r="A890" s="517">
        <f t="shared" si="121"/>
        <v>42705</v>
      </c>
      <c r="B890" s="517" t="str">
        <f t="shared" si="119"/>
        <v>4Q16</v>
      </c>
      <c r="C890" s="517" t="str">
        <f t="shared" si="122"/>
        <v>1Q17</v>
      </c>
      <c r="D890" s="518">
        <f t="shared" si="123"/>
        <v>42783</v>
      </c>
      <c r="E890" s="518">
        <f t="shared" si="124"/>
        <v>42723</v>
      </c>
      <c r="F890" s="520">
        <v>2.5270000000000001</v>
      </c>
      <c r="G890" s="521">
        <f t="shared" si="120"/>
        <v>0.28000000000000008</v>
      </c>
      <c r="H890" s="521">
        <f t="shared" si="125"/>
        <v>0.28000000000000008</v>
      </c>
      <c r="I890" s="511"/>
      <c r="J890" s="511"/>
      <c r="K890" s="511"/>
      <c r="L890" s="511"/>
      <c r="M890" s="511"/>
      <c r="N890" s="511"/>
      <c r="O890" s="511"/>
      <c r="P890" s="511"/>
      <c r="Q890" s="511"/>
      <c r="R890" s="511"/>
      <c r="S890" s="511"/>
      <c r="T890" s="511"/>
      <c r="U890" s="511"/>
      <c r="V890" s="511"/>
      <c r="W890" s="511"/>
      <c r="X890" s="511"/>
      <c r="Y890" s="511"/>
      <c r="Z890" s="511"/>
      <c r="AA890" s="511"/>
      <c r="AB890" s="511"/>
      <c r="AC890" s="511"/>
      <c r="AD890" s="511"/>
      <c r="AE890" s="511"/>
      <c r="AF890" s="511"/>
      <c r="AG890" s="511"/>
      <c r="AH890" s="511"/>
      <c r="AI890" s="511"/>
      <c r="AJ890" s="511"/>
      <c r="AK890" s="511"/>
      <c r="AL890" s="511"/>
      <c r="AM890" s="511"/>
      <c r="AN890" s="511"/>
      <c r="AO890" s="511"/>
      <c r="AP890" s="511"/>
      <c r="AQ890" s="511"/>
      <c r="AR890" s="511"/>
      <c r="AS890" s="511"/>
      <c r="AT890" s="511"/>
      <c r="AU890" s="511"/>
      <c r="AV890" s="511"/>
      <c r="AW890" s="511"/>
      <c r="AX890" s="511"/>
      <c r="AY890" s="511"/>
      <c r="AZ890" s="511"/>
      <c r="BA890" s="511"/>
      <c r="BB890" s="511"/>
      <c r="BC890" s="511"/>
      <c r="BD890" s="511"/>
      <c r="BE890" s="511"/>
      <c r="BF890" s="511"/>
      <c r="BG890" s="511"/>
      <c r="BH890" s="511"/>
      <c r="BI890" s="511"/>
      <c r="BJ890" s="511"/>
      <c r="BK890" s="511"/>
      <c r="BL890" s="511"/>
      <c r="BM890" s="511"/>
      <c r="BN890" s="511"/>
      <c r="BO890" s="511"/>
      <c r="BP890" s="511"/>
      <c r="BQ890" s="511"/>
      <c r="BR890" s="511"/>
      <c r="BS890" s="511"/>
      <c r="BT890" s="511"/>
      <c r="BU890" s="511"/>
      <c r="BV890" s="511"/>
      <c r="BW890" s="511"/>
      <c r="BX890" s="511"/>
      <c r="BY890" s="511"/>
      <c r="BZ890" s="511"/>
      <c r="CA890" s="511"/>
      <c r="CB890" s="511"/>
      <c r="CC890" s="511"/>
      <c r="CD890" s="511"/>
      <c r="CE890" s="511"/>
      <c r="CF890" s="511"/>
      <c r="CG890" s="511"/>
      <c r="CH890" s="511"/>
      <c r="CI890" s="511"/>
      <c r="CJ890" s="511"/>
      <c r="CK890" s="511"/>
      <c r="CL890" s="511"/>
      <c r="CM890" s="511"/>
      <c r="CN890" s="511"/>
      <c r="CO890" s="511"/>
      <c r="CP890" s="511"/>
      <c r="CQ890" s="511"/>
      <c r="CR890" s="511"/>
      <c r="CS890" s="511"/>
      <c r="CT890" s="511"/>
      <c r="CU890" s="511"/>
      <c r="CV890" s="511"/>
      <c r="CW890" s="511"/>
      <c r="CX890" s="511"/>
      <c r="CY890" s="511"/>
      <c r="CZ890" s="511"/>
      <c r="DA890" s="511"/>
      <c r="DB890" s="511"/>
      <c r="DC890" s="511"/>
      <c r="DD890" s="511"/>
      <c r="DE890" s="511"/>
      <c r="DF890" s="511"/>
      <c r="DG890" s="511"/>
      <c r="DH890" s="511"/>
      <c r="DI890" s="511"/>
      <c r="DJ890" s="511"/>
      <c r="DK890" s="511"/>
      <c r="DL890" s="511"/>
      <c r="DM890" s="511"/>
      <c r="DN890" s="511"/>
      <c r="DO890" s="511"/>
      <c r="DP890" s="511"/>
    </row>
    <row r="891" spans="1:120" x14ac:dyDescent="0.2">
      <c r="A891" s="517">
        <f t="shared" si="121"/>
        <v>42705</v>
      </c>
      <c r="B891" s="517" t="str">
        <f t="shared" si="119"/>
        <v>4Q16</v>
      </c>
      <c r="C891" s="517" t="str">
        <f t="shared" si="122"/>
        <v>1Q17</v>
      </c>
      <c r="D891" s="518">
        <f t="shared" si="123"/>
        <v>42790</v>
      </c>
      <c r="E891" s="518">
        <f t="shared" si="124"/>
        <v>42730</v>
      </c>
      <c r="F891" s="520">
        <v>2.54</v>
      </c>
      <c r="G891" s="521">
        <f t="shared" si="120"/>
        <v>0.28000000000000008</v>
      </c>
      <c r="H891" s="521">
        <f t="shared" si="125"/>
        <v>0.29000000000000009</v>
      </c>
      <c r="I891" s="511"/>
      <c r="J891" s="511"/>
      <c r="K891" s="511"/>
      <c r="L891" s="511"/>
      <c r="M891" s="511"/>
      <c r="N891" s="511"/>
      <c r="O891" s="511"/>
      <c r="P891" s="511"/>
      <c r="Q891" s="511"/>
      <c r="R891" s="511"/>
      <c r="S891" s="511"/>
      <c r="T891" s="511"/>
      <c r="U891" s="511"/>
      <c r="V891" s="511"/>
      <c r="W891" s="511"/>
      <c r="X891" s="511"/>
      <c r="Y891" s="511"/>
      <c r="Z891" s="511"/>
      <c r="AA891" s="511"/>
      <c r="AB891" s="511"/>
      <c r="AC891" s="511"/>
      <c r="AD891" s="511"/>
      <c r="AE891" s="511"/>
      <c r="AF891" s="511"/>
      <c r="AG891" s="511"/>
      <c r="AH891" s="511"/>
      <c r="AI891" s="511"/>
      <c r="AJ891" s="511"/>
      <c r="AK891" s="511"/>
      <c r="AL891" s="511"/>
      <c r="AM891" s="511"/>
      <c r="AN891" s="511"/>
      <c r="AO891" s="511"/>
      <c r="AP891" s="511"/>
      <c r="AQ891" s="511"/>
      <c r="AR891" s="511"/>
      <c r="AS891" s="511"/>
      <c r="AT891" s="511"/>
      <c r="AU891" s="511"/>
      <c r="AV891" s="511"/>
      <c r="AW891" s="511"/>
      <c r="AX891" s="511"/>
      <c r="AY891" s="511"/>
      <c r="AZ891" s="511"/>
      <c r="BA891" s="511"/>
      <c r="BB891" s="511"/>
      <c r="BC891" s="511"/>
      <c r="BD891" s="511"/>
      <c r="BE891" s="511"/>
      <c r="BF891" s="511"/>
      <c r="BG891" s="511"/>
      <c r="BH891" s="511"/>
      <c r="BI891" s="511"/>
      <c r="BJ891" s="511"/>
      <c r="BK891" s="511"/>
      <c r="BL891" s="511"/>
      <c r="BM891" s="511"/>
      <c r="BN891" s="511"/>
      <c r="BO891" s="511"/>
      <c r="BP891" s="511"/>
      <c r="BQ891" s="511"/>
      <c r="BR891" s="511"/>
      <c r="BS891" s="511"/>
      <c r="BT891" s="511"/>
      <c r="BU891" s="511"/>
      <c r="BV891" s="511"/>
      <c r="BW891" s="511"/>
      <c r="BX891" s="511"/>
      <c r="BY891" s="511"/>
      <c r="BZ891" s="511"/>
      <c r="CA891" s="511"/>
      <c r="CB891" s="511"/>
      <c r="CC891" s="511"/>
      <c r="CD891" s="511"/>
      <c r="CE891" s="511"/>
      <c r="CF891" s="511"/>
      <c r="CG891" s="511"/>
      <c r="CH891" s="511"/>
      <c r="CI891" s="511"/>
      <c r="CJ891" s="511"/>
      <c r="CK891" s="511"/>
      <c r="CL891" s="511"/>
      <c r="CM891" s="511"/>
      <c r="CN891" s="511"/>
      <c r="CO891" s="511"/>
      <c r="CP891" s="511"/>
      <c r="CQ891" s="511"/>
      <c r="CR891" s="511"/>
      <c r="CS891" s="511"/>
      <c r="CT891" s="511"/>
      <c r="CU891" s="511"/>
      <c r="CV891" s="511"/>
      <c r="CW891" s="511"/>
      <c r="CX891" s="511"/>
      <c r="CY891" s="511"/>
      <c r="CZ891" s="511"/>
      <c r="DA891" s="511"/>
      <c r="DB891" s="511"/>
      <c r="DC891" s="511"/>
      <c r="DD891" s="511"/>
      <c r="DE891" s="511"/>
      <c r="DF891" s="511"/>
      <c r="DG891" s="511"/>
      <c r="DH891" s="511"/>
      <c r="DI891" s="511"/>
      <c r="DJ891" s="511"/>
      <c r="DK891" s="511"/>
      <c r="DL891" s="511"/>
      <c r="DM891" s="511"/>
      <c r="DN891" s="511"/>
      <c r="DO891" s="511"/>
      <c r="DP891" s="511"/>
    </row>
    <row r="892" spans="1:120" x14ac:dyDescent="0.2">
      <c r="A892" s="517">
        <f t="shared" si="121"/>
        <v>42736</v>
      </c>
      <c r="B892" s="517" t="str">
        <f t="shared" si="119"/>
        <v>1Q17</v>
      </c>
      <c r="C892" s="517" t="str">
        <f t="shared" si="122"/>
        <v>1Q17</v>
      </c>
      <c r="D892" s="518">
        <f t="shared" si="123"/>
        <v>42797</v>
      </c>
      <c r="E892" s="518">
        <f t="shared" si="124"/>
        <v>42737</v>
      </c>
      <c r="F892" s="520">
        <v>2.5859999999999999</v>
      </c>
      <c r="G892" s="521">
        <f t="shared" si="120"/>
        <v>0.29000000000000009</v>
      </c>
      <c r="H892" s="521">
        <f t="shared" si="125"/>
        <v>0.29000000000000009</v>
      </c>
      <c r="I892" s="511"/>
      <c r="J892" s="511"/>
      <c r="K892" s="511"/>
      <c r="L892" s="511"/>
      <c r="M892" s="511"/>
      <c r="N892" s="511"/>
      <c r="O892" s="511"/>
      <c r="P892" s="511"/>
      <c r="Q892" s="511"/>
      <c r="R892" s="511"/>
      <c r="S892" s="511"/>
      <c r="T892" s="511"/>
      <c r="U892" s="511"/>
      <c r="V892" s="511"/>
      <c r="W892" s="511"/>
      <c r="X892" s="511"/>
      <c r="Y892" s="511"/>
      <c r="Z892" s="511"/>
      <c r="AA892" s="511"/>
      <c r="AB892" s="511"/>
      <c r="AC892" s="511"/>
      <c r="AD892" s="511"/>
      <c r="AE892" s="511"/>
      <c r="AF892" s="511"/>
      <c r="AG892" s="511"/>
      <c r="AH892" s="511"/>
      <c r="AI892" s="511"/>
      <c r="AJ892" s="511"/>
      <c r="AK892" s="511"/>
      <c r="AL892" s="511"/>
      <c r="AM892" s="511"/>
      <c r="AN892" s="511"/>
      <c r="AO892" s="511"/>
      <c r="AP892" s="511"/>
      <c r="AQ892" s="511"/>
      <c r="AR892" s="511"/>
      <c r="AS892" s="511"/>
      <c r="AT892" s="511"/>
      <c r="AU892" s="511"/>
      <c r="AV892" s="511"/>
      <c r="AW892" s="511"/>
      <c r="AX892" s="511"/>
      <c r="AY892" s="511"/>
      <c r="AZ892" s="511"/>
      <c r="BA892" s="511"/>
      <c r="BB892" s="511"/>
      <c r="BC892" s="511"/>
      <c r="BD892" s="511"/>
      <c r="BE892" s="511"/>
      <c r="BF892" s="511"/>
      <c r="BG892" s="511"/>
      <c r="BH892" s="511"/>
      <c r="BI892" s="511"/>
      <c r="BJ892" s="511"/>
      <c r="BK892" s="511"/>
      <c r="BL892" s="511"/>
      <c r="BM892" s="511"/>
      <c r="BN892" s="511"/>
      <c r="BO892" s="511"/>
      <c r="BP892" s="511"/>
      <c r="BQ892" s="511"/>
      <c r="BR892" s="511"/>
      <c r="BS892" s="511"/>
      <c r="BT892" s="511"/>
      <c r="BU892" s="511"/>
      <c r="BV892" s="511"/>
      <c r="BW892" s="511"/>
      <c r="BX892" s="511"/>
      <c r="BY892" s="511"/>
      <c r="BZ892" s="511"/>
      <c r="CA892" s="511"/>
      <c r="CB892" s="511"/>
      <c r="CC892" s="511"/>
      <c r="CD892" s="511"/>
      <c r="CE892" s="511"/>
      <c r="CF892" s="511"/>
      <c r="CG892" s="511"/>
      <c r="CH892" s="511"/>
      <c r="CI892" s="511"/>
      <c r="CJ892" s="511"/>
      <c r="CK892" s="511"/>
      <c r="CL892" s="511"/>
      <c r="CM892" s="511"/>
      <c r="CN892" s="511"/>
      <c r="CO892" s="511"/>
      <c r="CP892" s="511"/>
      <c r="CQ892" s="511"/>
      <c r="CR892" s="511"/>
      <c r="CS892" s="511"/>
      <c r="CT892" s="511"/>
      <c r="CU892" s="511"/>
      <c r="CV892" s="511"/>
      <c r="CW892" s="511"/>
      <c r="CX892" s="511"/>
      <c r="CY892" s="511"/>
      <c r="CZ892" s="511"/>
      <c r="DA892" s="511"/>
      <c r="DB892" s="511"/>
      <c r="DC892" s="511"/>
      <c r="DD892" s="511"/>
      <c r="DE892" s="511"/>
      <c r="DF892" s="511"/>
      <c r="DG892" s="511"/>
      <c r="DH892" s="511"/>
      <c r="DI892" s="511"/>
      <c r="DJ892" s="511"/>
      <c r="DK892" s="511"/>
      <c r="DL892" s="511"/>
      <c r="DM892" s="511"/>
      <c r="DN892" s="511"/>
      <c r="DO892" s="511"/>
      <c r="DP892" s="511"/>
    </row>
    <row r="893" spans="1:120" x14ac:dyDescent="0.2">
      <c r="A893" s="517">
        <f t="shared" si="121"/>
        <v>42736</v>
      </c>
      <c r="B893" s="517" t="str">
        <f t="shared" si="119"/>
        <v>1Q17</v>
      </c>
      <c r="C893" s="517" t="str">
        <f t="shared" si="122"/>
        <v>1Q17</v>
      </c>
      <c r="D893" s="518">
        <f t="shared" si="123"/>
        <v>42804</v>
      </c>
      <c r="E893" s="518">
        <f t="shared" si="124"/>
        <v>42744</v>
      </c>
      <c r="F893" s="520">
        <v>2.597</v>
      </c>
      <c r="G893" s="521">
        <f t="shared" si="120"/>
        <v>0.29000000000000009</v>
      </c>
      <c r="H893" s="521">
        <f t="shared" si="125"/>
        <v>0.29000000000000009</v>
      </c>
      <c r="I893" s="511"/>
      <c r="J893" s="511"/>
      <c r="K893" s="511"/>
      <c r="L893" s="511"/>
      <c r="M893" s="511"/>
      <c r="N893" s="511"/>
      <c r="O893" s="511"/>
      <c r="P893" s="511"/>
      <c r="Q893" s="511"/>
      <c r="R893" s="511"/>
      <c r="S893" s="511"/>
      <c r="T893" s="511"/>
      <c r="U893" s="511"/>
      <c r="V893" s="511"/>
      <c r="W893" s="511"/>
      <c r="X893" s="511"/>
      <c r="Y893" s="511"/>
      <c r="Z893" s="511"/>
      <c r="AA893" s="511"/>
      <c r="AB893" s="511"/>
      <c r="AC893" s="511"/>
      <c r="AD893" s="511"/>
      <c r="AE893" s="511"/>
      <c r="AF893" s="511"/>
      <c r="AG893" s="511"/>
      <c r="AH893" s="511"/>
      <c r="AI893" s="511"/>
      <c r="AJ893" s="511"/>
      <c r="AK893" s="511"/>
      <c r="AL893" s="511"/>
      <c r="AM893" s="511"/>
      <c r="AN893" s="511"/>
      <c r="AO893" s="511"/>
      <c r="AP893" s="511"/>
      <c r="AQ893" s="511"/>
      <c r="AR893" s="511"/>
      <c r="AS893" s="511"/>
      <c r="AT893" s="511"/>
      <c r="AU893" s="511"/>
      <c r="AV893" s="511"/>
      <c r="AW893" s="511"/>
      <c r="AX893" s="511"/>
      <c r="AY893" s="511"/>
      <c r="AZ893" s="511"/>
      <c r="BA893" s="511"/>
      <c r="BB893" s="511"/>
      <c r="BC893" s="511"/>
      <c r="BD893" s="511"/>
      <c r="BE893" s="511"/>
      <c r="BF893" s="511"/>
      <c r="BG893" s="511"/>
      <c r="BH893" s="511"/>
      <c r="BI893" s="511"/>
      <c r="BJ893" s="511"/>
      <c r="BK893" s="511"/>
      <c r="BL893" s="511"/>
      <c r="BM893" s="511"/>
      <c r="BN893" s="511"/>
      <c r="BO893" s="511"/>
      <c r="BP893" s="511"/>
      <c r="BQ893" s="511"/>
      <c r="BR893" s="511"/>
      <c r="BS893" s="511"/>
      <c r="BT893" s="511"/>
      <c r="BU893" s="511"/>
      <c r="BV893" s="511"/>
      <c r="BW893" s="511"/>
      <c r="BX893" s="511"/>
      <c r="BY893" s="511"/>
      <c r="BZ893" s="511"/>
      <c r="CA893" s="511"/>
      <c r="CB893" s="511"/>
      <c r="CC893" s="511"/>
      <c r="CD893" s="511"/>
      <c r="CE893" s="511"/>
      <c r="CF893" s="511"/>
      <c r="CG893" s="511"/>
      <c r="CH893" s="511"/>
      <c r="CI893" s="511"/>
      <c r="CJ893" s="511"/>
      <c r="CK893" s="511"/>
      <c r="CL893" s="511"/>
      <c r="CM893" s="511"/>
      <c r="CN893" s="511"/>
      <c r="CO893" s="511"/>
      <c r="CP893" s="511"/>
      <c r="CQ893" s="511"/>
      <c r="CR893" s="511"/>
      <c r="CS893" s="511"/>
      <c r="CT893" s="511"/>
      <c r="CU893" s="511"/>
      <c r="CV893" s="511"/>
      <c r="CW893" s="511"/>
      <c r="CX893" s="511"/>
      <c r="CY893" s="511"/>
      <c r="CZ893" s="511"/>
      <c r="DA893" s="511"/>
      <c r="DB893" s="511"/>
      <c r="DC893" s="511"/>
      <c r="DD893" s="511"/>
      <c r="DE893" s="511"/>
      <c r="DF893" s="511"/>
      <c r="DG893" s="511"/>
      <c r="DH893" s="511"/>
      <c r="DI893" s="511"/>
      <c r="DJ893" s="511"/>
      <c r="DK893" s="511"/>
      <c r="DL893" s="511"/>
      <c r="DM893" s="511"/>
      <c r="DN893" s="511"/>
      <c r="DO893" s="511"/>
      <c r="DP893" s="511"/>
    </row>
    <row r="894" spans="1:120" x14ac:dyDescent="0.2">
      <c r="A894" s="517">
        <f t="shared" si="121"/>
        <v>42736</v>
      </c>
      <c r="B894" s="517" t="str">
        <f t="shared" si="119"/>
        <v>1Q17</v>
      </c>
      <c r="C894" s="517" t="str">
        <f t="shared" si="122"/>
        <v>1Q17</v>
      </c>
      <c r="D894" s="518">
        <f t="shared" si="123"/>
        <v>42811</v>
      </c>
      <c r="E894" s="518">
        <f t="shared" si="124"/>
        <v>42751</v>
      </c>
      <c r="F894" s="520">
        <v>2.585</v>
      </c>
      <c r="G894" s="521">
        <f t="shared" si="120"/>
        <v>0.29000000000000009</v>
      </c>
      <c r="H894" s="521">
        <f t="shared" si="125"/>
        <v>0.29000000000000009</v>
      </c>
      <c r="I894" s="511"/>
      <c r="J894" s="511"/>
      <c r="K894" s="511"/>
      <c r="L894" s="511"/>
      <c r="M894" s="511"/>
      <c r="N894" s="511"/>
      <c r="O894" s="511"/>
      <c r="P894" s="511"/>
      <c r="Q894" s="511"/>
      <c r="R894" s="511"/>
      <c r="S894" s="511"/>
      <c r="T894" s="511"/>
      <c r="U894" s="511"/>
      <c r="V894" s="511"/>
      <c r="W894" s="511"/>
      <c r="X894" s="511"/>
      <c r="Y894" s="511"/>
      <c r="Z894" s="511"/>
      <c r="AA894" s="511"/>
      <c r="AB894" s="511"/>
      <c r="AC894" s="511"/>
      <c r="AD894" s="511"/>
      <c r="AE894" s="511"/>
      <c r="AF894" s="511"/>
      <c r="AG894" s="511"/>
      <c r="AH894" s="511"/>
      <c r="AI894" s="511"/>
      <c r="AJ894" s="511"/>
      <c r="AK894" s="511"/>
      <c r="AL894" s="511"/>
      <c r="AM894" s="511"/>
      <c r="AN894" s="511"/>
      <c r="AO894" s="511"/>
      <c r="AP894" s="511"/>
      <c r="AQ894" s="511"/>
      <c r="AR894" s="511"/>
      <c r="AS894" s="511"/>
      <c r="AT894" s="511"/>
      <c r="AU894" s="511"/>
      <c r="AV894" s="511"/>
      <c r="AW894" s="511"/>
      <c r="AX894" s="511"/>
      <c r="AY894" s="511"/>
      <c r="AZ894" s="511"/>
      <c r="BA894" s="511"/>
      <c r="BB894" s="511"/>
      <c r="BC894" s="511"/>
      <c r="BD894" s="511"/>
      <c r="BE894" s="511"/>
      <c r="BF894" s="511"/>
      <c r="BG894" s="511"/>
      <c r="BH894" s="511"/>
      <c r="BI894" s="511"/>
      <c r="BJ894" s="511"/>
      <c r="BK894" s="511"/>
      <c r="BL894" s="511"/>
      <c r="BM894" s="511"/>
      <c r="BN894" s="511"/>
      <c r="BO894" s="511"/>
      <c r="BP894" s="511"/>
      <c r="BQ894" s="511"/>
      <c r="BR894" s="511"/>
      <c r="BS894" s="511"/>
      <c r="BT894" s="511"/>
      <c r="BU894" s="511"/>
      <c r="BV894" s="511"/>
      <c r="BW894" s="511"/>
      <c r="BX894" s="511"/>
      <c r="BY894" s="511"/>
      <c r="BZ894" s="511"/>
      <c r="CA894" s="511"/>
      <c r="CB894" s="511"/>
      <c r="CC894" s="511"/>
      <c r="CD894" s="511"/>
      <c r="CE894" s="511"/>
      <c r="CF894" s="511"/>
      <c r="CG894" s="511"/>
      <c r="CH894" s="511"/>
      <c r="CI894" s="511"/>
      <c r="CJ894" s="511"/>
      <c r="CK894" s="511"/>
      <c r="CL894" s="511"/>
      <c r="CM894" s="511"/>
      <c r="CN894" s="511"/>
      <c r="CO894" s="511"/>
      <c r="CP894" s="511"/>
      <c r="CQ894" s="511"/>
      <c r="CR894" s="511"/>
      <c r="CS894" s="511"/>
      <c r="CT894" s="511"/>
      <c r="CU894" s="511"/>
      <c r="CV894" s="511"/>
      <c r="CW894" s="511"/>
      <c r="CX894" s="511"/>
      <c r="CY894" s="511"/>
      <c r="CZ894" s="511"/>
      <c r="DA894" s="511"/>
      <c r="DB894" s="511"/>
      <c r="DC894" s="511"/>
      <c r="DD894" s="511"/>
      <c r="DE894" s="511"/>
      <c r="DF894" s="511"/>
      <c r="DG894" s="511"/>
      <c r="DH894" s="511"/>
      <c r="DI894" s="511"/>
      <c r="DJ894" s="511"/>
      <c r="DK894" s="511"/>
      <c r="DL894" s="511"/>
      <c r="DM894" s="511"/>
      <c r="DN894" s="511"/>
      <c r="DO894" s="511"/>
      <c r="DP894" s="511"/>
    </row>
    <row r="895" spans="1:120" x14ac:dyDescent="0.2">
      <c r="A895" s="517">
        <f t="shared" si="121"/>
        <v>42736</v>
      </c>
      <c r="B895" s="517" t="str">
        <f t="shared" si="119"/>
        <v>1Q17</v>
      </c>
      <c r="C895" s="517" t="str">
        <f t="shared" si="122"/>
        <v>1Q17</v>
      </c>
      <c r="D895" s="518">
        <f t="shared" si="123"/>
        <v>42818</v>
      </c>
      <c r="E895" s="518">
        <f t="shared" si="124"/>
        <v>42758</v>
      </c>
      <c r="F895" s="520">
        <v>2.569</v>
      </c>
      <c r="G895" s="521">
        <f t="shared" si="120"/>
        <v>0.29000000000000009</v>
      </c>
      <c r="H895" s="521">
        <f t="shared" si="125"/>
        <v>0.29000000000000009</v>
      </c>
      <c r="I895" s="511"/>
      <c r="J895" s="511"/>
      <c r="K895" s="511"/>
      <c r="L895" s="511"/>
      <c r="M895" s="511"/>
      <c r="N895" s="511"/>
      <c r="O895" s="511"/>
      <c r="P895" s="511"/>
      <c r="Q895" s="511"/>
      <c r="R895" s="511"/>
      <c r="S895" s="511"/>
      <c r="T895" s="511"/>
      <c r="U895" s="511"/>
      <c r="V895" s="511"/>
      <c r="W895" s="511"/>
      <c r="X895" s="511"/>
      <c r="Y895" s="511"/>
      <c r="Z895" s="511"/>
      <c r="AA895" s="511"/>
      <c r="AB895" s="511"/>
      <c r="AC895" s="511"/>
      <c r="AD895" s="511"/>
      <c r="AE895" s="511"/>
      <c r="AF895" s="511"/>
      <c r="AG895" s="511"/>
      <c r="AH895" s="511"/>
      <c r="AI895" s="511"/>
      <c r="AJ895" s="511"/>
      <c r="AK895" s="511"/>
      <c r="AL895" s="511"/>
      <c r="AM895" s="511"/>
      <c r="AN895" s="511"/>
      <c r="AO895" s="511"/>
      <c r="AP895" s="511"/>
      <c r="AQ895" s="511"/>
      <c r="AR895" s="511"/>
      <c r="AS895" s="511"/>
      <c r="AT895" s="511"/>
      <c r="AU895" s="511"/>
      <c r="AV895" s="511"/>
      <c r="AW895" s="511"/>
      <c r="AX895" s="511"/>
      <c r="AY895" s="511"/>
      <c r="AZ895" s="511"/>
      <c r="BA895" s="511"/>
      <c r="BB895" s="511"/>
      <c r="BC895" s="511"/>
      <c r="BD895" s="511"/>
      <c r="BE895" s="511"/>
      <c r="BF895" s="511"/>
      <c r="BG895" s="511"/>
      <c r="BH895" s="511"/>
      <c r="BI895" s="511"/>
      <c r="BJ895" s="511"/>
      <c r="BK895" s="511"/>
      <c r="BL895" s="511"/>
      <c r="BM895" s="511"/>
      <c r="BN895" s="511"/>
      <c r="BO895" s="511"/>
      <c r="BP895" s="511"/>
      <c r="BQ895" s="511"/>
      <c r="BR895" s="511"/>
      <c r="BS895" s="511"/>
      <c r="BT895" s="511"/>
      <c r="BU895" s="511"/>
      <c r="BV895" s="511"/>
      <c r="BW895" s="511"/>
      <c r="BX895" s="511"/>
      <c r="BY895" s="511"/>
      <c r="BZ895" s="511"/>
      <c r="CA895" s="511"/>
      <c r="CB895" s="511"/>
      <c r="CC895" s="511"/>
      <c r="CD895" s="511"/>
      <c r="CE895" s="511"/>
      <c r="CF895" s="511"/>
      <c r="CG895" s="511"/>
      <c r="CH895" s="511"/>
      <c r="CI895" s="511"/>
      <c r="CJ895" s="511"/>
      <c r="CK895" s="511"/>
      <c r="CL895" s="511"/>
      <c r="CM895" s="511"/>
      <c r="CN895" s="511"/>
      <c r="CO895" s="511"/>
      <c r="CP895" s="511"/>
      <c r="CQ895" s="511"/>
      <c r="CR895" s="511"/>
      <c r="CS895" s="511"/>
      <c r="CT895" s="511"/>
      <c r="CU895" s="511"/>
      <c r="CV895" s="511"/>
      <c r="CW895" s="511"/>
      <c r="CX895" s="511"/>
      <c r="CY895" s="511"/>
      <c r="CZ895" s="511"/>
      <c r="DA895" s="511"/>
      <c r="DB895" s="511"/>
      <c r="DC895" s="511"/>
      <c r="DD895" s="511"/>
      <c r="DE895" s="511"/>
      <c r="DF895" s="511"/>
      <c r="DG895" s="511"/>
      <c r="DH895" s="511"/>
      <c r="DI895" s="511"/>
      <c r="DJ895" s="511"/>
      <c r="DK895" s="511"/>
      <c r="DL895" s="511"/>
      <c r="DM895" s="511"/>
      <c r="DN895" s="511"/>
      <c r="DO895" s="511"/>
      <c r="DP895" s="511"/>
    </row>
    <row r="896" spans="1:120" x14ac:dyDescent="0.2">
      <c r="A896" s="517">
        <f t="shared" si="121"/>
        <v>42736</v>
      </c>
      <c r="B896" s="517" t="str">
        <f t="shared" si="119"/>
        <v>1Q17</v>
      </c>
      <c r="C896" s="517" t="str">
        <f t="shared" si="122"/>
        <v>1Q17</v>
      </c>
      <c r="D896" s="518">
        <f t="shared" si="123"/>
        <v>42825</v>
      </c>
      <c r="E896" s="518">
        <f t="shared" si="124"/>
        <v>42765</v>
      </c>
      <c r="F896" s="520">
        <v>2.5619999999999998</v>
      </c>
      <c r="G896" s="521">
        <f t="shared" si="120"/>
        <v>0.29000000000000009</v>
      </c>
      <c r="H896" s="521">
        <f t="shared" si="125"/>
        <v>0.29000000000000009</v>
      </c>
      <c r="I896" s="511"/>
      <c r="J896" s="511"/>
      <c r="K896" s="511"/>
      <c r="L896" s="511"/>
      <c r="M896" s="511"/>
      <c r="N896" s="511"/>
      <c r="O896" s="511"/>
      <c r="P896" s="511"/>
      <c r="Q896" s="511"/>
      <c r="R896" s="511"/>
      <c r="S896" s="511"/>
      <c r="T896" s="511"/>
      <c r="U896" s="511"/>
      <c r="V896" s="511"/>
      <c r="W896" s="511"/>
      <c r="X896" s="511"/>
      <c r="Y896" s="511"/>
      <c r="Z896" s="511"/>
      <c r="AA896" s="511"/>
      <c r="AB896" s="511"/>
      <c r="AC896" s="511"/>
      <c r="AD896" s="511"/>
      <c r="AE896" s="511"/>
      <c r="AF896" s="511"/>
      <c r="AG896" s="511"/>
      <c r="AH896" s="511"/>
      <c r="AI896" s="511"/>
      <c r="AJ896" s="511"/>
      <c r="AK896" s="511"/>
      <c r="AL896" s="511"/>
      <c r="AM896" s="511"/>
      <c r="AN896" s="511"/>
      <c r="AO896" s="511"/>
      <c r="AP896" s="511"/>
      <c r="AQ896" s="511"/>
      <c r="AR896" s="511"/>
      <c r="AS896" s="511"/>
      <c r="AT896" s="511"/>
      <c r="AU896" s="511"/>
      <c r="AV896" s="511"/>
      <c r="AW896" s="511"/>
      <c r="AX896" s="511"/>
      <c r="AY896" s="511"/>
      <c r="AZ896" s="511"/>
      <c r="BA896" s="511"/>
      <c r="BB896" s="511"/>
      <c r="BC896" s="511"/>
      <c r="BD896" s="511"/>
      <c r="BE896" s="511"/>
      <c r="BF896" s="511"/>
      <c r="BG896" s="511"/>
      <c r="BH896" s="511"/>
      <c r="BI896" s="511"/>
      <c r="BJ896" s="511"/>
      <c r="BK896" s="511"/>
      <c r="BL896" s="511"/>
      <c r="BM896" s="511"/>
      <c r="BN896" s="511"/>
      <c r="BO896" s="511"/>
      <c r="BP896" s="511"/>
      <c r="BQ896" s="511"/>
      <c r="BR896" s="511"/>
      <c r="BS896" s="511"/>
      <c r="BT896" s="511"/>
      <c r="BU896" s="511"/>
      <c r="BV896" s="511"/>
      <c r="BW896" s="511"/>
      <c r="BX896" s="511"/>
      <c r="BY896" s="511"/>
      <c r="BZ896" s="511"/>
      <c r="CA896" s="511"/>
      <c r="CB896" s="511"/>
      <c r="CC896" s="511"/>
      <c r="CD896" s="511"/>
      <c r="CE896" s="511"/>
      <c r="CF896" s="511"/>
      <c r="CG896" s="511"/>
      <c r="CH896" s="511"/>
      <c r="CI896" s="511"/>
      <c r="CJ896" s="511"/>
      <c r="CK896" s="511"/>
      <c r="CL896" s="511"/>
      <c r="CM896" s="511"/>
      <c r="CN896" s="511"/>
      <c r="CO896" s="511"/>
      <c r="CP896" s="511"/>
      <c r="CQ896" s="511"/>
      <c r="CR896" s="511"/>
      <c r="CS896" s="511"/>
      <c r="CT896" s="511"/>
      <c r="CU896" s="511"/>
      <c r="CV896" s="511"/>
      <c r="CW896" s="511"/>
      <c r="CX896" s="511"/>
      <c r="CY896" s="511"/>
      <c r="CZ896" s="511"/>
      <c r="DA896" s="511"/>
      <c r="DB896" s="511"/>
      <c r="DC896" s="511"/>
      <c r="DD896" s="511"/>
      <c r="DE896" s="511"/>
      <c r="DF896" s="511"/>
      <c r="DG896" s="511"/>
      <c r="DH896" s="511"/>
      <c r="DI896" s="511"/>
      <c r="DJ896" s="511"/>
      <c r="DK896" s="511"/>
      <c r="DL896" s="511"/>
      <c r="DM896" s="511"/>
      <c r="DN896" s="511"/>
      <c r="DO896" s="511"/>
      <c r="DP896" s="511"/>
    </row>
    <row r="897" spans="1:120" x14ac:dyDescent="0.2">
      <c r="A897" s="517">
        <f t="shared" si="121"/>
        <v>42767</v>
      </c>
      <c r="B897" s="517" t="str">
        <f t="shared" si="119"/>
        <v>1Q17</v>
      </c>
      <c r="C897" s="517" t="str">
        <f t="shared" si="122"/>
        <v>2Q17</v>
      </c>
      <c r="D897" s="518">
        <f t="shared" si="123"/>
        <v>42832</v>
      </c>
      <c r="E897" s="518">
        <f t="shared" si="124"/>
        <v>42772</v>
      </c>
      <c r="F897" s="520">
        <v>2.5579999999999998</v>
      </c>
      <c r="G897" s="521">
        <f t="shared" si="120"/>
        <v>0.29000000000000009</v>
      </c>
      <c r="H897" s="521">
        <f t="shared" si="125"/>
        <v>0.29000000000000009</v>
      </c>
      <c r="I897" s="511"/>
      <c r="J897" s="511"/>
      <c r="K897" s="511"/>
      <c r="L897" s="511"/>
      <c r="M897" s="511"/>
      <c r="N897" s="511"/>
      <c r="O897" s="511"/>
      <c r="P897" s="511"/>
      <c r="Q897" s="511"/>
      <c r="R897" s="511"/>
      <c r="S897" s="511"/>
      <c r="T897" s="511"/>
      <c r="U897" s="511"/>
      <c r="V897" s="511"/>
      <c r="W897" s="511"/>
      <c r="X897" s="511"/>
      <c r="Y897" s="511"/>
      <c r="Z897" s="511"/>
      <c r="AA897" s="511"/>
      <c r="AB897" s="511"/>
      <c r="AC897" s="511"/>
      <c r="AD897" s="511"/>
      <c r="AE897" s="511"/>
      <c r="AF897" s="511"/>
      <c r="AG897" s="511"/>
      <c r="AH897" s="511"/>
      <c r="AI897" s="511"/>
      <c r="AJ897" s="511"/>
      <c r="AK897" s="511"/>
      <c r="AL897" s="511"/>
      <c r="AM897" s="511"/>
      <c r="AN897" s="511"/>
      <c r="AO897" s="511"/>
      <c r="AP897" s="511"/>
      <c r="AQ897" s="511"/>
      <c r="AR897" s="511"/>
      <c r="AS897" s="511"/>
      <c r="AT897" s="511"/>
      <c r="AU897" s="511"/>
      <c r="AV897" s="511"/>
      <c r="AW897" s="511"/>
      <c r="AX897" s="511"/>
      <c r="AY897" s="511"/>
      <c r="AZ897" s="511"/>
      <c r="BA897" s="511"/>
      <c r="BB897" s="511"/>
      <c r="BC897" s="511"/>
      <c r="BD897" s="511"/>
      <c r="BE897" s="511"/>
      <c r="BF897" s="511"/>
      <c r="BG897" s="511"/>
      <c r="BH897" s="511"/>
      <c r="BI897" s="511"/>
      <c r="BJ897" s="511"/>
      <c r="BK897" s="511"/>
      <c r="BL897" s="511"/>
      <c r="BM897" s="511"/>
      <c r="BN897" s="511"/>
      <c r="BO897" s="511"/>
      <c r="BP897" s="511"/>
      <c r="BQ897" s="511"/>
      <c r="BR897" s="511"/>
      <c r="BS897" s="511"/>
      <c r="BT897" s="511"/>
      <c r="BU897" s="511"/>
      <c r="BV897" s="511"/>
      <c r="BW897" s="511"/>
      <c r="BX897" s="511"/>
      <c r="BY897" s="511"/>
      <c r="BZ897" s="511"/>
      <c r="CA897" s="511"/>
      <c r="CB897" s="511"/>
      <c r="CC897" s="511"/>
      <c r="CD897" s="511"/>
      <c r="CE897" s="511"/>
      <c r="CF897" s="511"/>
      <c r="CG897" s="511"/>
      <c r="CH897" s="511"/>
      <c r="CI897" s="511"/>
      <c r="CJ897" s="511"/>
      <c r="CK897" s="511"/>
      <c r="CL897" s="511"/>
      <c r="CM897" s="511"/>
      <c r="CN897" s="511"/>
      <c r="CO897" s="511"/>
      <c r="CP897" s="511"/>
      <c r="CQ897" s="511"/>
      <c r="CR897" s="511"/>
      <c r="CS897" s="511"/>
      <c r="CT897" s="511"/>
      <c r="CU897" s="511"/>
      <c r="CV897" s="511"/>
      <c r="CW897" s="511"/>
      <c r="CX897" s="511"/>
      <c r="CY897" s="511"/>
      <c r="CZ897" s="511"/>
      <c r="DA897" s="511"/>
      <c r="DB897" s="511"/>
      <c r="DC897" s="511"/>
      <c r="DD897" s="511"/>
      <c r="DE897" s="511"/>
      <c r="DF897" s="511"/>
      <c r="DG897" s="511"/>
      <c r="DH897" s="511"/>
      <c r="DI897" s="511"/>
      <c r="DJ897" s="511"/>
      <c r="DK897" s="511"/>
      <c r="DL897" s="511"/>
      <c r="DM897" s="511"/>
      <c r="DN897" s="511"/>
      <c r="DO897" s="511"/>
      <c r="DP897" s="511"/>
    </row>
    <row r="898" spans="1:120" x14ac:dyDescent="0.2">
      <c r="A898" s="517">
        <f t="shared" si="121"/>
        <v>42767</v>
      </c>
      <c r="B898" s="517" t="str">
        <f t="shared" si="119"/>
        <v>1Q17</v>
      </c>
      <c r="C898" s="517" t="str">
        <f t="shared" si="122"/>
        <v>2Q17</v>
      </c>
      <c r="D898" s="518">
        <f t="shared" si="123"/>
        <v>42839</v>
      </c>
      <c r="E898" s="518">
        <f t="shared" si="124"/>
        <v>42779</v>
      </c>
      <c r="F898" s="520">
        <v>2.5649999999999999</v>
      </c>
      <c r="G898" s="521">
        <f t="shared" si="120"/>
        <v>0.29000000000000009</v>
      </c>
      <c r="H898" s="521">
        <f t="shared" si="125"/>
        <v>0.29000000000000009</v>
      </c>
      <c r="I898" s="511"/>
      <c r="J898" s="511"/>
      <c r="K898" s="511"/>
      <c r="L898" s="511"/>
      <c r="M898" s="511"/>
      <c r="N898" s="511"/>
      <c r="O898" s="511"/>
      <c r="P898" s="511"/>
      <c r="Q898" s="511"/>
      <c r="R898" s="511"/>
      <c r="S898" s="511"/>
      <c r="T898" s="511"/>
      <c r="U898" s="511"/>
      <c r="V898" s="511"/>
      <c r="W898" s="511"/>
      <c r="X898" s="511"/>
      <c r="Y898" s="511"/>
      <c r="Z898" s="511"/>
      <c r="AA898" s="511"/>
      <c r="AB898" s="511"/>
      <c r="AC898" s="511"/>
      <c r="AD898" s="511"/>
      <c r="AE898" s="511"/>
      <c r="AF898" s="511"/>
      <c r="AG898" s="511"/>
      <c r="AH898" s="511"/>
      <c r="AI898" s="511"/>
      <c r="AJ898" s="511"/>
      <c r="AK898" s="511"/>
      <c r="AL898" s="511"/>
      <c r="AM898" s="511"/>
      <c r="AN898" s="511"/>
      <c r="AO898" s="511"/>
      <c r="AP898" s="511"/>
      <c r="AQ898" s="511"/>
      <c r="AR898" s="511"/>
      <c r="AS898" s="511"/>
      <c r="AT898" s="511"/>
      <c r="AU898" s="511"/>
      <c r="AV898" s="511"/>
      <c r="AW898" s="511"/>
      <c r="AX898" s="511"/>
      <c r="AY898" s="511"/>
      <c r="AZ898" s="511"/>
      <c r="BA898" s="511"/>
      <c r="BB898" s="511"/>
      <c r="BC898" s="511"/>
      <c r="BD898" s="511"/>
      <c r="BE898" s="511"/>
      <c r="BF898" s="511"/>
      <c r="BG898" s="511"/>
      <c r="BH898" s="511"/>
      <c r="BI898" s="511"/>
      <c r="BJ898" s="511"/>
      <c r="BK898" s="511"/>
      <c r="BL898" s="511"/>
      <c r="BM898" s="511"/>
      <c r="BN898" s="511"/>
      <c r="BO898" s="511"/>
      <c r="BP898" s="511"/>
      <c r="BQ898" s="511"/>
      <c r="BR898" s="511"/>
      <c r="BS898" s="511"/>
      <c r="BT898" s="511"/>
      <c r="BU898" s="511"/>
      <c r="BV898" s="511"/>
      <c r="BW898" s="511"/>
      <c r="BX898" s="511"/>
      <c r="BY898" s="511"/>
      <c r="BZ898" s="511"/>
      <c r="CA898" s="511"/>
      <c r="CB898" s="511"/>
      <c r="CC898" s="511"/>
      <c r="CD898" s="511"/>
      <c r="CE898" s="511"/>
      <c r="CF898" s="511"/>
      <c r="CG898" s="511"/>
      <c r="CH898" s="511"/>
      <c r="CI898" s="511"/>
      <c r="CJ898" s="511"/>
      <c r="CK898" s="511"/>
      <c r="CL898" s="511"/>
      <c r="CM898" s="511"/>
      <c r="CN898" s="511"/>
      <c r="CO898" s="511"/>
      <c r="CP898" s="511"/>
      <c r="CQ898" s="511"/>
      <c r="CR898" s="511"/>
      <c r="CS898" s="511"/>
      <c r="CT898" s="511"/>
      <c r="CU898" s="511"/>
      <c r="CV898" s="511"/>
      <c r="CW898" s="511"/>
      <c r="CX898" s="511"/>
      <c r="CY898" s="511"/>
      <c r="CZ898" s="511"/>
      <c r="DA898" s="511"/>
      <c r="DB898" s="511"/>
      <c r="DC898" s="511"/>
      <c r="DD898" s="511"/>
      <c r="DE898" s="511"/>
      <c r="DF898" s="511"/>
      <c r="DG898" s="511"/>
      <c r="DH898" s="511"/>
      <c r="DI898" s="511"/>
      <c r="DJ898" s="511"/>
      <c r="DK898" s="511"/>
      <c r="DL898" s="511"/>
      <c r="DM898" s="511"/>
      <c r="DN898" s="511"/>
      <c r="DO898" s="511"/>
      <c r="DP898" s="511"/>
    </row>
    <row r="899" spans="1:120" x14ac:dyDescent="0.2">
      <c r="A899" s="517">
        <f t="shared" si="121"/>
        <v>42767</v>
      </c>
      <c r="B899" s="517" t="str">
        <f t="shared" si="119"/>
        <v>1Q17</v>
      </c>
      <c r="C899" s="517" t="str">
        <f t="shared" si="122"/>
        <v>2Q17</v>
      </c>
      <c r="D899" s="518">
        <f t="shared" si="123"/>
        <v>42846</v>
      </c>
      <c r="E899" s="518">
        <f t="shared" si="124"/>
        <v>42786</v>
      </c>
      <c r="F899" s="520">
        <v>2.5720000000000001</v>
      </c>
      <c r="G899" s="521">
        <f t="shared" si="120"/>
        <v>0.29000000000000009</v>
      </c>
      <c r="H899" s="521">
        <f t="shared" si="125"/>
        <v>0.29000000000000009</v>
      </c>
      <c r="I899" s="511"/>
      <c r="J899" s="511"/>
      <c r="K899" s="511"/>
      <c r="L899" s="511"/>
      <c r="M899" s="511"/>
      <c r="N899" s="511"/>
      <c r="O899" s="511"/>
      <c r="P899" s="511"/>
      <c r="Q899" s="511"/>
      <c r="R899" s="511"/>
      <c r="S899" s="511"/>
      <c r="T899" s="511"/>
      <c r="U899" s="511"/>
      <c r="V899" s="511"/>
      <c r="W899" s="511"/>
      <c r="X899" s="511"/>
      <c r="Y899" s="511"/>
      <c r="Z899" s="511"/>
      <c r="AA899" s="511"/>
      <c r="AB899" s="511"/>
      <c r="AC899" s="511"/>
      <c r="AD899" s="511"/>
      <c r="AE899" s="511"/>
      <c r="AF899" s="511"/>
      <c r="AG899" s="511"/>
      <c r="AH899" s="511"/>
      <c r="AI899" s="511"/>
      <c r="AJ899" s="511"/>
      <c r="AK899" s="511"/>
      <c r="AL899" s="511"/>
      <c r="AM899" s="511"/>
      <c r="AN899" s="511"/>
      <c r="AO899" s="511"/>
      <c r="AP899" s="511"/>
      <c r="AQ899" s="511"/>
      <c r="AR899" s="511"/>
      <c r="AS899" s="511"/>
      <c r="AT899" s="511"/>
      <c r="AU899" s="511"/>
      <c r="AV899" s="511"/>
      <c r="AW899" s="511"/>
      <c r="AX899" s="511"/>
      <c r="AY899" s="511"/>
      <c r="AZ899" s="511"/>
      <c r="BA899" s="511"/>
      <c r="BB899" s="511"/>
      <c r="BC899" s="511"/>
      <c r="BD899" s="511"/>
      <c r="BE899" s="511"/>
      <c r="BF899" s="511"/>
      <c r="BG899" s="511"/>
      <c r="BH899" s="511"/>
      <c r="BI899" s="511"/>
      <c r="BJ899" s="511"/>
      <c r="BK899" s="511"/>
      <c r="BL899" s="511"/>
      <c r="BM899" s="511"/>
      <c r="BN899" s="511"/>
      <c r="BO899" s="511"/>
      <c r="BP899" s="511"/>
      <c r="BQ899" s="511"/>
      <c r="BR899" s="511"/>
      <c r="BS899" s="511"/>
      <c r="BT899" s="511"/>
      <c r="BU899" s="511"/>
      <c r="BV899" s="511"/>
      <c r="BW899" s="511"/>
      <c r="BX899" s="511"/>
      <c r="BY899" s="511"/>
      <c r="BZ899" s="511"/>
      <c r="CA899" s="511"/>
      <c r="CB899" s="511"/>
      <c r="CC899" s="511"/>
      <c r="CD899" s="511"/>
      <c r="CE899" s="511"/>
      <c r="CF899" s="511"/>
      <c r="CG899" s="511"/>
      <c r="CH899" s="511"/>
      <c r="CI899" s="511"/>
      <c r="CJ899" s="511"/>
      <c r="CK899" s="511"/>
      <c r="CL899" s="511"/>
      <c r="CM899" s="511"/>
      <c r="CN899" s="511"/>
      <c r="CO899" s="511"/>
      <c r="CP899" s="511"/>
      <c r="CQ899" s="511"/>
      <c r="CR899" s="511"/>
      <c r="CS899" s="511"/>
      <c r="CT899" s="511"/>
      <c r="CU899" s="511"/>
      <c r="CV899" s="511"/>
      <c r="CW899" s="511"/>
      <c r="CX899" s="511"/>
      <c r="CY899" s="511"/>
      <c r="CZ899" s="511"/>
      <c r="DA899" s="511"/>
      <c r="DB899" s="511"/>
      <c r="DC899" s="511"/>
      <c r="DD899" s="511"/>
      <c r="DE899" s="511"/>
      <c r="DF899" s="511"/>
      <c r="DG899" s="511"/>
      <c r="DH899" s="511"/>
      <c r="DI899" s="511"/>
      <c r="DJ899" s="511"/>
      <c r="DK899" s="511"/>
      <c r="DL899" s="511"/>
      <c r="DM899" s="511"/>
      <c r="DN899" s="511"/>
      <c r="DO899" s="511"/>
      <c r="DP899" s="511"/>
    </row>
    <row r="900" spans="1:120" x14ac:dyDescent="0.2">
      <c r="A900" s="517">
        <f t="shared" si="121"/>
        <v>42767</v>
      </c>
      <c r="B900" s="517" t="str">
        <f t="shared" ref="B900:B918" si="126">VLOOKUP(MONTH(A900),$N$4:$O$16,2,FALSE) &amp; "Q" &amp; RIGHT(YEAR(A900),2)</f>
        <v>1Q17</v>
      </c>
      <c r="C900" s="517" t="str">
        <f t="shared" si="122"/>
        <v>2Q17</v>
      </c>
      <c r="D900" s="518">
        <f t="shared" si="123"/>
        <v>42853</v>
      </c>
      <c r="E900" s="518">
        <f t="shared" si="124"/>
        <v>42793</v>
      </c>
      <c r="F900" s="520">
        <v>2.577</v>
      </c>
      <c r="G900" s="521">
        <f t="shared" ref="G900:G917" si="127">INDEX($I$4:$K$153,MATCH(F900,$I$4:$I$153,1),3)</f>
        <v>0.29000000000000009</v>
      </c>
      <c r="H900" s="521">
        <f t="shared" si="125"/>
        <v>0.29000000000000009</v>
      </c>
      <c r="I900" s="511"/>
      <c r="J900" s="511"/>
      <c r="K900" s="511"/>
      <c r="L900" s="511"/>
      <c r="M900" s="511"/>
      <c r="N900" s="511"/>
      <c r="O900" s="511"/>
      <c r="P900" s="511"/>
      <c r="Q900" s="511"/>
      <c r="R900" s="511"/>
      <c r="S900" s="511"/>
      <c r="T900" s="511"/>
      <c r="U900" s="511"/>
      <c r="V900" s="511"/>
      <c r="W900" s="511"/>
      <c r="X900" s="511"/>
      <c r="Y900" s="511"/>
      <c r="Z900" s="511"/>
      <c r="AA900" s="511"/>
      <c r="AB900" s="511"/>
      <c r="AC900" s="511"/>
      <c r="AD900" s="511"/>
      <c r="AE900" s="511"/>
      <c r="AF900" s="511"/>
      <c r="AG900" s="511"/>
      <c r="AH900" s="511"/>
      <c r="AI900" s="511"/>
      <c r="AJ900" s="511"/>
      <c r="AK900" s="511"/>
      <c r="AL900" s="511"/>
      <c r="AM900" s="511"/>
      <c r="AN900" s="511"/>
      <c r="AO900" s="511"/>
      <c r="AP900" s="511"/>
      <c r="AQ900" s="511"/>
      <c r="AR900" s="511"/>
      <c r="AS900" s="511"/>
      <c r="AT900" s="511"/>
      <c r="AU900" s="511"/>
      <c r="AV900" s="511"/>
      <c r="AW900" s="511"/>
      <c r="AX900" s="511"/>
      <c r="AY900" s="511"/>
      <c r="AZ900" s="511"/>
      <c r="BA900" s="511"/>
      <c r="BB900" s="511"/>
      <c r="BC900" s="511"/>
      <c r="BD900" s="511"/>
      <c r="BE900" s="511"/>
      <c r="BF900" s="511"/>
      <c r="BG900" s="511"/>
      <c r="BH900" s="511"/>
      <c r="BI900" s="511"/>
      <c r="BJ900" s="511"/>
      <c r="BK900" s="511"/>
      <c r="BL900" s="511"/>
      <c r="BM900" s="511"/>
      <c r="BN900" s="511"/>
      <c r="BO900" s="511"/>
      <c r="BP900" s="511"/>
      <c r="BQ900" s="511"/>
      <c r="BR900" s="511"/>
      <c r="BS900" s="511"/>
      <c r="BT900" s="511"/>
      <c r="BU900" s="511"/>
      <c r="BV900" s="511"/>
      <c r="BW900" s="511"/>
      <c r="BX900" s="511"/>
      <c r="BY900" s="511"/>
      <c r="BZ900" s="511"/>
      <c r="CA900" s="511"/>
      <c r="CB900" s="511"/>
      <c r="CC900" s="511"/>
      <c r="CD900" s="511"/>
      <c r="CE900" s="511"/>
      <c r="CF900" s="511"/>
      <c r="CG900" s="511"/>
      <c r="CH900" s="511"/>
      <c r="CI900" s="511"/>
      <c r="CJ900" s="511"/>
      <c r="CK900" s="511"/>
      <c r="CL900" s="511"/>
      <c r="CM900" s="511"/>
      <c r="CN900" s="511"/>
      <c r="CO900" s="511"/>
      <c r="CP900" s="511"/>
      <c r="CQ900" s="511"/>
      <c r="CR900" s="511"/>
      <c r="CS900" s="511"/>
      <c r="CT900" s="511"/>
      <c r="CU900" s="511"/>
      <c r="CV900" s="511"/>
      <c r="CW900" s="511"/>
      <c r="CX900" s="511"/>
      <c r="CY900" s="511"/>
      <c r="CZ900" s="511"/>
      <c r="DA900" s="511"/>
      <c r="DB900" s="511"/>
      <c r="DC900" s="511"/>
      <c r="DD900" s="511"/>
      <c r="DE900" s="511"/>
      <c r="DF900" s="511"/>
      <c r="DG900" s="511"/>
      <c r="DH900" s="511"/>
      <c r="DI900" s="511"/>
      <c r="DJ900" s="511"/>
      <c r="DK900" s="511"/>
      <c r="DL900" s="511"/>
      <c r="DM900" s="511"/>
      <c r="DN900" s="511"/>
      <c r="DO900" s="511"/>
      <c r="DP900" s="511"/>
    </row>
    <row r="901" spans="1:120" x14ac:dyDescent="0.2">
      <c r="A901" s="517">
        <f t="shared" si="121"/>
        <v>42795</v>
      </c>
      <c r="B901" s="517" t="str">
        <f t="shared" si="126"/>
        <v>1Q17</v>
      </c>
      <c r="C901" s="517" t="str">
        <f t="shared" si="122"/>
        <v>2Q17</v>
      </c>
      <c r="D901" s="518">
        <f t="shared" si="123"/>
        <v>42860</v>
      </c>
      <c r="E901" s="518">
        <f t="shared" si="124"/>
        <v>42800</v>
      </c>
      <c r="F901" s="520">
        <v>2.5790000000000002</v>
      </c>
      <c r="G901" s="521">
        <f t="shared" si="127"/>
        <v>0.29000000000000009</v>
      </c>
      <c r="H901" s="521">
        <f t="shared" si="125"/>
        <v>0.29000000000000009</v>
      </c>
      <c r="I901" s="511"/>
      <c r="J901" s="511"/>
      <c r="K901" s="511"/>
      <c r="L901" s="511"/>
      <c r="M901" s="511"/>
      <c r="N901" s="511"/>
      <c r="O901" s="511"/>
      <c r="P901" s="511"/>
      <c r="Q901" s="511"/>
      <c r="R901" s="511"/>
      <c r="S901" s="511"/>
      <c r="T901" s="511"/>
      <c r="U901" s="511"/>
      <c r="V901" s="511"/>
      <c r="W901" s="511"/>
      <c r="X901" s="511"/>
      <c r="Y901" s="511"/>
      <c r="Z901" s="511"/>
      <c r="AA901" s="511"/>
      <c r="AB901" s="511"/>
      <c r="AC901" s="511"/>
      <c r="AD901" s="511"/>
      <c r="AE901" s="511"/>
      <c r="AF901" s="511"/>
      <c r="AG901" s="511"/>
      <c r="AH901" s="511"/>
      <c r="AI901" s="511"/>
      <c r="AJ901" s="511"/>
      <c r="AK901" s="511"/>
      <c r="AL901" s="511"/>
      <c r="AM901" s="511"/>
      <c r="AN901" s="511"/>
      <c r="AO901" s="511"/>
      <c r="AP901" s="511"/>
      <c r="AQ901" s="511"/>
      <c r="AR901" s="511"/>
      <c r="AS901" s="511"/>
      <c r="AT901" s="511"/>
      <c r="AU901" s="511"/>
      <c r="AV901" s="511"/>
      <c r="AW901" s="511"/>
      <c r="AX901" s="511"/>
      <c r="AY901" s="511"/>
      <c r="AZ901" s="511"/>
      <c r="BA901" s="511"/>
      <c r="BB901" s="511"/>
      <c r="BC901" s="511"/>
      <c r="BD901" s="511"/>
      <c r="BE901" s="511"/>
      <c r="BF901" s="511"/>
      <c r="BG901" s="511"/>
      <c r="BH901" s="511"/>
      <c r="BI901" s="511"/>
      <c r="BJ901" s="511"/>
      <c r="BK901" s="511"/>
      <c r="BL901" s="511"/>
      <c r="BM901" s="511"/>
      <c r="BN901" s="511"/>
      <c r="BO901" s="511"/>
      <c r="BP901" s="511"/>
      <c r="BQ901" s="511"/>
      <c r="BR901" s="511"/>
      <c r="BS901" s="511"/>
      <c r="BT901" s="511"/>
      <c r="BU901" s="511"/>
      <c r="BV901" s="511"/>
      <c r="BW901" s="511"/>
      <c r="BX901" s="511"/>
      <c r="BY901" s="511"/>
      <c r="BZ901" s="511"/>
      <c r="CA901" s="511"/>
      <c r="CB901" s="511"/>
      <c r="CC901" s="511"/>
      <c r="CD901" s="511"/>
      <c r="CE901" s="511"/>
      <c r="CF901" s="511"/>
      <c r="CG901" s="511"/>
      <c r="CH901" s="511"/>
      <c r="CI901" s="511"/>
      <c r="CJ901" s="511"/>
      <c r="CK901" s="511"/>
      <c r="CL901" s="511"/>
      <c r="CM901" s="511"/>
      <c r="CN901" s="511"/>
      <c r="CO901" s="511"/>
      <c r="CP901" s="511"/>
      <c r="CQ901" s="511"/>
      <c r="CR901" s="511"/>
      <c r="CS901" s="511"/>
      <c r="CT901" s="511"/>
      <c r="CU901" s="511"/>
      <c r="CV901" s="511"/>
      <c r="CW901" s="511"/>
      <c r="CX901" s="511"/>
      <c r="CY901" s="511"/>
      <c r="CZ901" s="511"/>
      <c r="DA901" s="511"/>
      <c r="DB901" s="511"/>
      <c r="DC901" s="511"/>
      <c r="DD901" s="511"/>
      <c r="DE901" s="511"/>
      <c r="DF901" s="511"/>
      <c r="DG901" s="511"/>
      <c r="DH901" s="511"/>
      <c r="DI901" s="511"/>
      <c r="DJ901" s="511"/>
      <c r="DK901" s="511"/>
      <c r="DL901" s="511"/>
      <c r="DM901" s="511"/>
      <c r="DN901" s="511"/>
      <c r="DO901" s="511"/>
      <c r="DP901" s="511"/>
    </row>
    <row r="902" spans="1:120" x14ac:dyDescent="0.2">
      <c r="A902" s="517">
        <f t="shared" si="121"/>
        <v>42795</v>
      </c>
      <c r="B902" s="517" t="str">
        <f t="shared" si="126"/>
        <v>1Q17</v>
      </c>
      <c r="C902" s="517" t="str">
        <f t="shared" si="122"/>
        <v>2Q17</v>
      </c>
      <c r="D902" s="518">
        <f t="shared" si="123"/>
        <v>42867</v>
      </c>
      <c r="E902" s="518">
        <f t="shared" si="124"/>
        <v>42807</v>
      </c>
      <c r="F902" s="520">
        <v>2.5640000000000001</v>
      </c>
      <c r="G902" s="521">
        <f t="shared" si="127"/>
        <v>0.29000000000000009</v>
      </c>
      <c r="H902" s="521">
        <f t="shared" si="125"/>
        <v>0.28000000000000008</v>
      </c>
      <c r="I902" s="511"/>
      <c r="J902" s="511"/>
      <c r="K902" s="511"/>
      <c r="L902" s="511"/>
      <c r="M902" s="511"/>
      <c r="N902" s="511"/>
      <c r="O902" s="511"/>
      <c r="P902" s="511"/>
      <c r="Q902" s="511"/>
      <c r="R902" s="511"/>
      <c r="S902" s="511"/>
      <c r="T902" s="511"/>
      <c r="U902" s="511"/>
      <c r="V902" s="511"/>
      <c r="W902" s="511"/>
      <c r="X902" s="511"/>
      <c r="Y902" s="511"/>
      <c r="Z902" s="511"/>
      <c r="AA902" s="511"/>
      <c r="AB902" s="511"/>
      <c r="AC902" s="511"/>
      <c r="AD902" s="511"/>
      <c r="AE902" s="511"/>
      <c r="AF902" s="511"/>
      <c r="AG902" s="511"/>
      <c r="AH902" s="511"/>
      <c r="AI902" s="511"/>
      <c r="AJ902" s="511"/>
      <c r="AK902" s="511"/>
      <c r="AL902" s="511"/>
      <c r="AM902" s="511"/>
      <c r="AN902" s="511"/>
      <c r="AO902" s="511"/>
      <c r="AP902" s="511"/>
      <c r="AQ902" s="511"/>
      <c r="AR902" s="511"/>
      <c r="AS902" s="511"/>
      <c r="AT902" s="511"/>
      <c r="AU902" s="511"/>
      <c r="AV902" s="511"/>
      <c r="AW902" s="511"/>
      <c r="AX902" s="511"/>
      <c r="AY902" s="511"/>
      <c r="AZ902" s="511"/>
      <c r="BA902" s="511"/>
      <c r="BB902" s="511"/>
      <c r="BC902" s="511"/>
      <c r="BD902" s="511"/>
      <c r="BE902" s="511"/>
      <c r="BF902" s="511"/>
      <c r="BG902" s="511"/>
      <c r="BH902" s="511"/>
      <c r="BI902" s="511"/>
      <c r="BJ902" s="511"/>
      <c r="BK902" s="511"/>
      <c r="BL902" s="511"/>
      <c r="BM902" s="511"/>
      <c r="BN902" s="511"/>
      <c r="BO902" s="511"/>
      <c r="BP902" s="511"/>
      <c r="BQ902" s="511"/>
      <c r="BR902" s="511"/>
      <c r="BS902" s="511"/>
      <c r="BT902" s="511"/>
      <c r="BU902" s="511"/>
      <c r="BV902" s="511"/>
      <c r="BW902" s="511"/>
      <c r="BX902" s="511"/>
      <c r="BY902" s="511"/>
      <c r="BZ902" s="511"/>
      <c r="CA902" s="511"/>
      <c r="CB902" s="511"/>
      <c r="CC902" s="511"/>
      <c r="CD902" s="511"/>
      <c r="CE902" s="511"/>
      <c r="CF902" s="511"/>
      <c r="CG902" s="511"/>
      <c r="CH902" s="511"/>
      <c r="CI902" s="511"/>
      <c r="CJ902" s="511"/>
      <c r="CK902" s="511"/>
      <c r="CL902" s="511"/>
      <c r="CM902" s="511"/>
      <c r="CN902" s="511"/>
      <c r="CO902" s="511"/>
      <c r="CP902" s="511"/>
      <c r="CQ902" s="511"/>
      <c r="CR902" s="511"/>
      <c r="CS902" s="511"/>
      <c r="CT902" s="511"/>
      <c r="CU902" s="511"/>
      <c r="CV902" s="511"/>
      <c r="CW902" s="511"/>
      <c r="CX902" s="511"/>
      <c r="CY902" s="511"/>
      <c r="CZ902" s="511"/>
      <c r="DA902" s="511"/>
      <c r="DB902" s="511"/>
      <c r="DC902" s="511"/>
      <c r="DD902" s="511"/>
      <c r="DE902" s="511"/>
      <c r="DF902" s="511"/>
      <c r="DG902" s="511"/>
      <c r="DH902" s="511"/>
      <c r="DI902" s="511"/>
      <c r="DJ902" s="511"/>
      <c r="DK902" s="511"/>
      <c r="DL902" s="511"/>
      <c r="DM902" s="511"/>
      <c r="DN902" s="511"/>
      <c r="DO902" s="511"/>
      <c r="DP902" s="511"/>
    </row>
    <row r="903" spans="1:120" x14ac:dyDescent="0.2">
      <c r="A903" s="517">
        <f t="shared" si="121"/>
        <v>42795</v>
      </c>
      <c r="B903" s="517" t="str">
        <f t="shared" si="126"/>
        <v>1Q17</v>
      </c>
      <c r="C903" s="517" t="str">
        <f t="shared" si="122"/>
        <v>2Q17</v>
      </c>
      <c r="D903" s="518">
        <f t="shared" si="123"/>
        <v>42874</v>
      </c>
      <c r="E903" s="518">
        <f t="shared" si="124"/>
        <v>42814</v>
      </c>
      <c r="F903" s="520">
        <v>2.5390000000000001</v>
      </c>
      <c r="G903" s="521">
        <f t="shared" si="127"/>
        <v>0.28000000000000008</v>
      </c>
      <c r="H903" s="521">
        <f t="shared" si="125"/>
        <v>0.28000000000000008</v>
      </c>
      <c r="I903" s="511"/>
      <c r="J903" s="511"/>
      <c r="K903" s="511"/>
      <c r="L903" s="511"/>
      <c r="M903" s="511"/>
      <c r="N903" s="511"/>
      <c r="O903" s="511"/>
      <c r="P903" s="511"/>
      <c r="Q903" s="511"/>
      <c r="R903" s="511"/>
      <c r="S903" s="511"/>
      <c r="T903" s="511"/>
      <c r="U903" s="511"/>
      <c r="V903" s="511"/>
      <c r="W903" s="511"/>
      <c r="X903" s="511"/>
      <c r="Y903" s="511"/>
      <c r="Z903" s="511"/>
      <c r="AA903" s="511"/>
      <c r="AB903" s="511"/>
      <c r="AC903" s="511"/>
      <c r="AD903" s="511"/>
      <c r="AE903" s="511"/>
      <c r="AF903" s="511"/>
      <c r="AG903" s="511"/>
      <c r="AH903" s="511"/>
      <c r="AI903" s="511"/>
      <c r="AJ903" s="511"/>
      <c r="AK903" s="511"/>
      <c r="AL903" s="511"/>
      <c r="AM903" s="511"/>
      <c r="AN903" s="511"/>
      <c r="AO903" s="511"/>
      <c r="AP903" s="511"/>
      <c r="AQ903" s="511"/>
      <c r="AR903" s="511"/>
      <c r="AS903" s="511"/>
      <c r="AT903" s="511"/>
      <c r="AU903" s="511"/>
      <c r="AV903" s="511"/>
      <c r="AW903" s="511"/>
      <c r="AX903" s="511"/>
      <c r="AY903" s="511"/>
      <c r="AZ903" s="511"/>
      <c r="BA903" s="511"/>
      <c r="BB903" s="511"/>
      <c r="BC903" s="511"/>
      <c r="BD903" s="511"/>
      <c r="BE903" s="511"/>
      <c r="BF903" s="511"/>
      <c r="BG903" s="511"/>
      <c r="BH903" s="511"/>
      <c r="BI903" s="511"/>
      <c r="BJ903" s="511"/>
      <c r="BK903" s="511"/>
      <c r="BL903" s="511"/>
      <c r="BM903" s="511"/>
      <c r="BN903" s="511"/>
      <c r="BO903" s="511"/>
      <c r="BP903" s="511"/>
      <c r="BQ903" s="511"/>
      <c r="BR903" s="511"/>
      <c r="BS903" s="511"/>
      <c r="BT903" s="511"/>
      <c r="BU903" s="511"/>
      <c r="BV903" s="511"/>
      <c r="BW903" s="511"/>
      <c r="BX903" s="511"/>
      <c r="BY903" s="511"/>
      <c r="BZ903" s="511"/>
      <c r="CA903" s="511"/>
      <c r="CB903" s="511"/>
      <c r="CC903" s="511"/>
      <c r="CD903" s="511"/>
      <c r="CE903" s="511"/>
      <c r="CF903" s="511"/>
      <c r="CG903" s="511"/>
      <c r="CH903" s="511"/>
      <c r="CI903" s="511"/>
      <c r="CJ903" s="511"/>
      <c r="CK903" s="511"/>
      <c r="CL903" s="511"/>
      <c r="CM903" s="511"/>
      <c r="CN903" s="511"/>
      <c r="CO903" s="511"/>
      <c r="CP903" s="511"/>
      <c r="CQ903" s="511"/>
      <c r="CR903" s="511"/>
      <c r="CS903" s="511"/>
      <c r="CT903" s="511"/>
      <c r="CU903" s="511"/>
      <c r="CV903" s="511"/>
      <c r="CW903" s="511"/>
      <c r="CX903" s="511"/>
      <c r="CY903" s="511"/>
      <c r="CZ903" s="511"/>
      <c r="DA903" s="511"/>
      <c r="DB903" s="511"/>
      <c r="DC903" s="511"/>
      <c r="DD903" s="511"/>
      <c r="DE903" s="511"/>
      <c r="DF903" s="511"/>
      <c r="DG903" s="511"/>
      <c r="DH903" s="511"/>
      <c r="DI903" s="511"/>
      <c r="DJ903" s="511"/>
      <c r="DK903" s="511"/>
      <c r="DL903" s="511"/>
      <c r="DM903" s="511"/>
      <c r="DN903" s="511"/>
      <c r="DO903" s="511"/>
      <c r="DP903" s="511"/>
    </row>
    <row r="904" spans="1:120" x14ac:dyDescent="0.2">
      <c r="A904" s="517">
        <f t="shared" si="121"/>
        <v>42795</v>
      </c>
      <c r="B904" s="517" t="str">
        <f t="shared" si="126"/>
        <v>1Q17</v>
      </c>
      <c r="C904" s="517" t="str">
        <f t="shared" si="122"/>
        <v>2Q17</v>
      </c>
      <c r="D904" s="518">
        <f t="shared" si="123"/>
        <v>42881</v>
      </c>
      <c r="E904" s="518">
        <f t="shared" si="124"/>
        <v>42821</v>
      </c>
      <c r="F904" s="520">
        <v>2.532</v>
      </c>
      <c r="G904" s="521">
        <f t="shared" si="127"/>
        <v>0.28000000000000008</v>
      </c>
      <c r="H904" s="521">
        <f t="shared" si="125"/>
        <v>0.29000000000000009</v>
      </c>
      <c r="I904" s="511"/>
      <c r="J904" s="511"/>
      <c r="K904" s="511"/>
      <c r="L904" s="511"/>
      <c r="M904" s="511"/>
      <c r="N904" s="511"/>
      <c r="O904" s="511"/>
      <c r="P904" s="511"/>
      <c r="Q904" s="511"/>
      <c r="R904" s="511"/>
      <c r="S904" s="511"/>
      <c r="T904" s="511"/>
      <c r="U904" s="511"/>
      <c r="V904" s="511"/>
      <c r="W904" s="511"/>
      <c r="X904" s="511"/>
      <c r="Y904" s="511"/>
      <c r="Z904" s="511"/>
      <c r="AA904" s="511"/>
      <c r="AB904" s="511"/>
      <c r="AC904" s="511"/>
      <c r="AD904" s="511"/>
      <c r="AE904" s="511"/>
      <c r="AF904" s="511"/>
      <c r="AG904" s="511"/>
      <c r="AH904" s="511"/>
      <c r="AI904" s="511"/>
      <c r="AJ904" s="511"/>
      <c r="AK904" s="511"/>
      <c r="AL904" s="511"/>
      <c r="AM904" s="511"/>
      <c r="AN904" s="511"/>
      <c r="AO904" s="511"/>
      <c r="AP904" s="511"/>
      <c r="AQ904" s="511"/>
      <c r="AR904" s="511"/>
      <c r="AS904" s="511"/>
      <c r="AT904" s="511"/>
      <c r="AU904" s="511"/>
      <c r="AV904" s="511"/>
      <c r="AW904" s="511"/>
      <c r="AX904" s="511"/>
      <c r="AY904" s="511"/>
      <c r="AZ904" s="511"/>
      <c r="BA904" s="511"/>
      <c r="BB904" s="511"/>
      <c r="BC904" s="511"/>
      <c r="BD904" s="511"/>
      <c r="BE904" s="511"/>
      <c r="BF904" s="511"/>
      <c r="BG904" s="511"/>
      <c r="BH904" s="511"/>
      <c r="BI904" s="511"/>
      <c r="BJ904" s="511"/>
      <c r="BK904" s="511"/>
      <c r="BL904" s="511"/>
      <c r="BM904" s="511"/>
      <c r="BN904" s="511"/>
      <c r="BO904" s="511"/>
      <c r="BP904" s="511"/>
      <c r="BQ904" s="511"/>
      <c r="BR904" s="511"/>
      <c r="BS904" s="511"/>
      <c r="BT904" s="511"/>
      <c r="BU904" s="511"/>
      <c r="BV904" s="511"/>
      <c r="BW904" s="511"/>
      <c r="BX904" s="511"/>
      <c r="BY904" s="511"/>
      <c r="BZ904" s="511"/>
      <c r="CA904" s="511"/>
      <c r="CB904" s="511"/>
      <c r="CC904" s="511"/>
      <c r="CD904" s="511"/>
      <c r="CE904" s="511"/>
      <c r="CF904" s="511"/>
      <c r="CG904" s="511"/>
      <c r="CH904" s="511"/>
      <c r="CI904" s="511"/>
      <c r="CJ904" s="511"/>
      <c r="CK904" s="511"/>
      <c r="CL904" s="511"/>
      <c r="CM904" s="511"/>
      <c r="CN904" s="511"/>
      <c r="CO904" s="511"/>
      <c r="CP904" s="511"/>
      <c r="CQ904" s="511"/>
      <c r="CR904" s="511"/>
      <c r="CS904" s="511"/>
      <c r="CT904" s="511"/>
      <c r="CU904" s="511"/>
      <c r="CV904" s="511"/>
      <c r="CW904" s="511"/>
      <c r="CX904" s="511"/>
      <c r="CY904" s="511"/>
      <c r="CZ904" s="511"/>
      <c r="DA904" s="511"/>
      <c r="DB904" s="511"/>
      <c r="DC904" s="511"/>
      <c r="DD904" s="511"/>
      <c r="DE904" s="511"/>
      <c r="DF904" s="511"/>
      <c r="DG904" s="511"/>
      <c r="DH904" s="511"/>
      <c r="DI904" s="511"/>
      <c r="DJ904" s="511"/>
      <c r="DK904" s="511"/>
      <c r="DL904" s="511"/>
      <c r="DM904" s="511"/>
      <c r="DN904" s="511"/>
      <c r="DO904" s="511"/>
      <c r="DP904" s="511"/>
    </row>
    <row r="905" spans="1:120" x14ac:dyDescent="0.2">
      <c r="A905" s="517">
        <f t="shared" si="121"/>
        <v>42826</v>
      </c>
      <c r="B905" s="517" t="str">
        <f t="shared" si="126"/>
        <v>2Q17</v>
      </c>
      <c r="C905" s="517" t="str">
        <f t="shared" si="122"/>
        <v>2Q17</v>
      </c>
      <c r="D905" s="518">
        <f t="shared" si="123"/>
        <v>42888</v>
      </c>
      <c r="E905" s="518">
        <f t="shared" si="124"/>
        <v>42828</v>
      </c>
      <c r="F905" s="520">
        <v>2.556</v>
      </c>
      <c r="G905" s="521">
        <f t="shared" si="127"/>
        <v>0.29000000000000009</v>
      </c>
      <c r="H905" s="521">
        <f t="shared" si="125"/>
        <v>0.29000000000000009</v>
      </c>
      <c r="I905" s="511"/>
      <c r="J905" s="511"/>
      <c r="K905" s="511"/>
      <c r="L905" s="511"/>
      <c r="M905" s="511"/>
      <c r="N905" s="511"/>
      <c r="O905" s="511"/>
      <c r="P905" s="511"/>
      <c r="Q905" s="511"/>
      <c r="R905" s="511"/>
      <c r="S905" s="511"/>
      <c r="T905" s="511"/>
      <c r="U905" s="511"/>
      <c r="V905" s="511"/>
      <c r="W905" s="511"/>
      <c r="X905" s="511"/>
      <c r="Y905" s="511"/>
      <c r="Z905" s="511"/>
      <c r="AA905" s="511"/>
      <c r="AB905" s="511"/>
      <c r="AC905" s="511"/>
      <c r="AD905" s="511"/>
      <c r="AE905" s="511"/>
      <c r="AF905" s="511"/>
      <c r="AG905" s="511"/>
      <c r="AH905" s="511"/>
      <c r="AI905" s="511"/>
      <c r="AJ905" s="511"/>
      <c r="AK905" s="511"/>
      <c r="AL905" s="511"/>
      <c r="AM905" s="511"/>
      <c r="AN905" s="511"/>
      <c r="AO905" s="511"/>
      <c r="AP905" s="511"/>
      <c r="AQ905" s="511"/>
      <c r="AR905" s="511"/>
      <c r="AS905" s="511"/>
      <c r="AT905" s="511"/>
      <c r="AU905" s="511"/>
      <c r="AV905" s="511"/>
      <c r="AW905" s="511"/>
      <c r="AX905" s="511"/>
      <c r="AY905" s="511"/>
      <c r="AZ905" s="511"/>
      <c r="BA905" s="511"/>
      <c r="BB905" s="511"/>
      <c r="BC905" s="511"/>
      <c r="BD905" s="511"/>
      <c r="BE905" s="511"/>
      <c r="BF905" s="511"/>
      <c r="BG905" s="511"/>
      <c r="BH905" s="511"/>
      <c r="BI905" s="511"/>
      <c r="BJ905" s="511"/>
      <c r="BK905" s="511"/>
      <c r="BL905" s="511"/>
      <c r="BM905" s="511"/>
      <c r="BN905" s="511"/>
      <c r="BO905" s="511"/>
      <c r="BP905" s="511"/>
      <c r="BQ905" s="511"/>
      <c r="BR905" s="511"/>
      <c r="BS905" s="511"/>
      <c r="BT905" s="511"/>
      <c r="BU905" s="511"/>
      <c r="BV905" s="511"/>
      <c r="BW905" s="511"/>
      <c r="BX905" s="511"/>
      <c r="BY905" s="511"/>
      <c r="BZ905" s="511"/>
      <c r="CA905" s="511"/>
      <c r="CB905" s="511"/>
      <c r="CC905" s="511"/>
      <c r="CD905" s="511"/>
      <c r="CE905" s="511"/>
      <c r="CF905" s="511"/>
      <c r="CG905" s="511"/>
      <c r="CH905" s="511"/>
      <c r="CI905" s="511"/>
      <c r="CJ905" s="511"/>
      <c r="CK905" s="511"/>
      <c r="CL905" s="511"/>
      <c r="CM905" s="511"/>
      <c r="CN905" s="511"/>
      <c r="CO905" s="511"/>
      <c r="CP905" s="511"/>
      <c r="CQ905" s="511"/>
      <c r="CR905" s="511"/>
      <c r="CS905" s="511"/>
      <c r="CT905" s="511"/>
      <c r="CU905" s="511"/>
      <c r="CV905" s="511"/>
      <c r="CW905" s="511"/>
      <c r="CX905" s="511"/>
      <c r="CY905" s="511"/>
      <c r="CZ905" s="511"/>
      <c r="DA905" s="511"/>
      <c r="DB905" s="511"/>
      <c r="DC905" s="511"/>
      <c r="DD905" s="511"/>
      <c r="DE905" s="511"/>
      <c r="DF905" s="511"/>
      <c r="DG905" s="511"/>
      <c r="DH905" s="511"/>
      <c r="DI905" s="511"/>
      <c r="DJ905" s="511"/>
      <c r="DK905" s="511"/>
      <c r="DL905" s="511"/>
      <c r="DM905" s="511"/>
      <c r="DN905" s="511"/>
      <c r="DO905" s="511"/>
      <c r="DP905" s="511"/>
    </row>
    <row r="906" spans="1:120" x14ac:dyDescent="0.2">
      <c r="A906" s="517">
        <f t="shared" si="121"/>
        <v>42826</v>
      </c>
      <c r="B906" s="517" t="str">
        <f t="shared" si="126"/>
        <v>2Q17</v>
      </c>
      <c r="C906" s="517" t="str">
        <f t="shared" si="122"/>
        <v>2Q17</v>
      </c>
      <c r="D906" s="518">
        <f t="shared" si="123"/>
        <v>42895</v>
      </c>
      <c r="E906" s="518">
        <f t="shared" si="124"/>
        <v>42835</v>
      </c>
      <c r="F906" s="520">
        <v>2.5819999999999999</v>
      </c>
      <c r="G906" s="521">
        <f t="shared" si="127"/>
        <v>0.29000000000000009</v>
      </c>
      <c r="H906" s="521">
        <f t="shared" si="125"/>
        <v>0.29000000000000009</v>
      </c>
      <c r="I906" s="511"/>
      <c r="J906" s="511"/>
      <c r="K906" s="511"/>
      <c r="L906" s="511"/>
      <c r="M906" s="511"/>
      <c r="N906" s="511"/>
      <c r="O906" s="511"/>
      <c r="P906" s="511"/>
      <c r="Q906" s="511"/>
      <c r="R906" s="511"/>
      <c r="S906" s="511"/>
      <c r="T906" s="511"/>
      <c r="U906" s="511"/>
      <c r="V906" s="511"/>
      <c r="W906" s="511"/>
      <c r="X906" s="511"/>
      <c r="Y906" s="511"/>
      <c r="Z906" s="511"/>
      <c r="AA906" s="511"/>
      <c r="AB906" s="511"/>
      <c r="AC906" s="511"/>
      <c r="AD906" s="511"/>
      <c r="AE906" s="511"/>
      <c r="AF906" s="511"/>
      <c r="AG906" s="511"/>
      <c r="AH906" s="511"/>
      <c r="AI906" s="511"/>
      <c r="AJ906" s="511"/>
      <c r="AK906" s="511"/>
      <c r="AL906" s="511"/>
      <c r="AM906" s="511"/>
      <c r="AN906" s="511"/>
      <c r="AO906" s="511"/>
      <c r="AP906" s="511"/>
      <c r="AQ906" s="511"/>
      <c r="AR906" s="511"/>
      <c r="AS906" s="511"/>
      <c r="AT906" s="511"/>
      <c r="AU906" s="511"/>
      <c r="AV906" s="511"/>
      <c r="AW906" s="511"/>
      <c r="AX906" s="511"/>
      <c r="AY906" s="511"/>
      <c r="AZ906" s="511"/>
      <c r="BA906" s="511"/>
      <c r="BB906" s="511"/>
      <c r="BC906" s="511"/>
      <c r="BD906" s="511"/>
      <c r="BE906" s="511"/>
      <c r="BF906" s="511"/>
      <c r="BG906" s="511"/>
      <c r="BH906" s="511"/>
      <c r="BI906" s="511"/>
      <c r="BJ906" s="511"/>
      <c r="BK906" s="511"/>
      <c r="BL906" s="511"/>
      <c r="BM906" s="511"/>
      <c r="BN906" s="511"/>
      <c r="BO906" s="511"/>
      <c r="BP906" s="511"/>
      <c r="BQ906" s="511"/>
      <c r="BR906" s="511"/>
      <c r="BS906" s="511"/>
      <c r="BT906" s="511"/>
      <c r="BU906" s="511"/>
      <c r="BV906" s="511"/>
      <c r="BW906" s="511"/>
      <c r="BX906" s="511"/>
      <c r="BY906" s="511"/>
      <c r="BZ906" s="511"/>
      <c r="CA906" s="511"/>
      <c r="CB906" s="511"/>
      <c r="CC906" s="511"/>
      <c r="CD906" s="511"/>
      <c r="CE906" s="511"/>
      <c r="CF906" s="511"/>
      <c r="CG906" s="511"/>
      <c r="CH906" s="511"/>
      <c r="CI906" s="511"/>
      <c r="CJ906" s="511"/>
      <c r="CK906" s="511"/>
      <c r="CL906" s="511"/>
      <c r="CM906" s="511"/>
      <c r="CN906" s="511"/>
      <c r="CO906" s="511"/>
      <c r="CP906" s="511"/>
      <c r="CQ906" s="511"/>
      <c r="CR906" s="511"/>
      <c r="CS906" s="511"/>
      <c r="CT906" s="511"/>
      <c r="CU906" s="511"/>
      <c r="CV906" s="511"/>
      <c r="CW906" s="511"/>
      <c r="CX906" s="511"/>
      <c r="CY906" s="511"/>
      <c r="CZ906" s="511"/>
      <c r="DA906" s="511"/>
      <c r="DB906" s="511"/>
      <c r="DC906" s="511"/>
      <c r="DD906" s="511"/>
      <c r="DE906" s="511"/>
      <c r="DF906" s="511"/>
      <c r="DG906" s="511"/>
      <c r="DH906" s="511"/>
      <c r="DI906" s="511"/>
      <c r="DJ906" s="511"/>
      <c r="DK906" s="511"/>
      <c r="DL906" s="511"/>
      <c r="DM906" s="511"/>
      <c r="DN906" s="511"/>
      <c r="DO906" s="511"/>
      <c r="DP906" s="511"/>
    </row>
    <row r="907" spans="1:120" x14ac:dyDescent="0.2">
      <c r="A907" s="517">
        <f t="shared" si="121"/>
        <v>42826</v>
      </c>
      <c r="B907" s="517" t="str">
        <f t="shared" si="126"/>
        <v>2Q17</v>
      </c>
      <c r="C907" s="517" t="str">
        <f t="shared" si="122"/>
        <v>2Q17</v>
      </c>
      <c r="D907" s="518">
        <f t="shared" si="123"/>
        <v>42902</v>
      </c>
      <c r="E907" s="518">
        <f t="shared" si="124"/>
        <v>42842</v>
      </c>
      <c r="F907" s="520">
        <v>2.597</v>
      </c>
      <c r="G907" s="521">
        <f t="shared" si="127"/>
        <v>0.29000000000000009</v>
      </c>
      <c r="H907" s="521">
        <f t="shared" si="125"/>
        <v>0.29000000000000009</v>
      </c>
      <c r="I907" s="511"/>
      <c r="J907" s="511"/>
      <c r="K907" s="511"/>
      <c r="L907" s="511"/>
      <c r="M907" s="511"/>
      <c r="N907" s="511"/>
      <c r="O907" s="511"/>
      <c r="P907" s="511"/>
      <c r="Q907" s="511"/>
      <c r="R907" s="511"/>
      <c r="S907" s="511"/>
      <c r="T907" s="511"/>
      <c r="U907" s="511"/>
      <c r="V907" s="511"/>
      <c r="W907" s="511"/>
      <c r="X907" s="511"/>
      <c r="Y907" s="511"/>
      <c r="Z907" s="511"/>
      <c r="AA907" s="511"/>
      <c r="AB907" s="511"/>
      <c r="AC907" s="511"/>
      <c r="AD907" s="511"/>
      <c r="AE907" s="511"/>
      <c r="AF907" s="511"/>
      <c r="AG907" s="511"/>
      <c r="AH907" s="511"/>
      <c r="AI907" s="511"/>
      <c r="AJ907" s="511"/>
      <c r="AK907" s="511"/>
      <c r="AL907" s="511"/>
      <c r="AM907" s="511"/>
      <c r="AN907" s="511"/>
      <c r="AO907" s="511"/>
      <c r="AP907" s="511"/>
      <c r="AQ907" s="511"/>
      <c r="AR907" s="511"/>
      <c r="AS907" s="511"/>
      <c r="AT907" s="511"/>
      <c r="AU907" s="511"/>
      <c r="AV907" s="511"/>
      <c r="AW907" s="511"/>
      <c r="AX907" s="511"/>
      <c r="AY907" s="511"/>
      <c r="AZ907" s="511"/>
      <c r="BA907" s="511"/>
      <c r="BB907" s="511"/>
      <c r="BC907" s="511"/>
      <c r="BD907" s="511"/>
      <c r="BE907" s="511"/>
      <c r="BF907" s="511"/>
      <c r="BG907" s="511"/>
      <c r="BH907" s="511"/>
      <c r="BI907" s="511"/>
      <c r="BJ907" s="511"/>
      <c r="BK907" s="511"/>
      <c r="BL907" s="511"/>
      <c r="BM907" s="511"/>
      <c r="BN907" s="511"/>
      <c r="BO907" s="511"/>
      <c r="BP907" s="511"/>
      <c r="BQ907" s="511"/>
      <c r="BR907" s="511"/>
      <c r="BS907" s="511"/>
      <c r="BT907" s="511"/>
      <c r="BU907" s="511"/>
      <c r="BV907" s="511"/>
      <c r="BW907" s="511"/>
      <c r="BX907" s="511"/>
      <c r="BY907" s="511"/>
      <c r="BZ907" s="511"/>
      <c r="CA907" s="511"/>
      <c r="CB907" s="511"/>
      <c r="CC907" s="511"/>
      <c r="CD907" s="511"/>
      <c r="CE907" s="511"/>
      <c r="CF907" s="511"/>
      <c r="CG907" s="511"/>
      <c r="CH907" s="511"/>
      <c r="CI907" s="511"/>
      <c r="CJ907" s="511"/>
      <c r="CK907" s="511"/>
      <c r="CL907" s="511"/>
      <c r="CM907" s="511"/>
      <c r="CN907" s="511"/>
      <c r="CO907" s="511"/>
      <c r="CP907" s="511"/>
      <c r="CQ907" s="511"/>
      <c r="CR907" s="511"/>
      <c r="CS907" s="511"/>
      <c r="CT907" s="511"/>
      <c r="CU907" s="511"/>
      <c r="CV907" s="511"/>
      <c r="CW907" s="511"/>
      <c r="CX907" s="511"/>
      <c r="CY907" s="511"/>
      <c r="CZ907" s="511"/>
      <c r="DA907" s="511"/>
      <c r="DB907" s="511"/>
      <c r="DC907" s="511"/>
      <c r="DD907" s="511"/>
      <c r="DE907" s="511"/>
      <c r="DF907" s="511"/>
      <c r="DG907" s="511"/>
      <c r="DH907" s="511"/>
      <c r="DI907" s="511"/>
      <c r="DJ907" s="511"/>
      <c r="DK907" s="511"/>
      <c r="DL907" s="511"/>
      <c r="DM907" s="511"/>
      <c r="DN907" s="511"/>
      <c r="DO907" s="511"/>
      <c r="DP907" s="511"/>
    </row>
    <row r="908" spans="1:120" x14ac:dyDescent="0.2">
      <c r="A908" s="517">
        <f t="shared" si="121"/>
        <v>42826</v>
      </c>
      <c r="B908" s="517" t="str">
        <f t="shared" si="126"/>
        <v>2Q17</v>
      </c>
      <c r="C908" s="517" t="str">
        <f t="shared" si="122"/>
        <v>2Q17</v>
      </c>
      <c r="D908" s="518">
        <f t="shared" si="123"/>
        <v>42909</v>
      </c>
      <c r="E908" s="518">
        <f t="shared" si="124"/>
        <v>42849</v>
      </c>
      <c r="F908" s="520">
        <v>2.5950000000000002</v>
      </c>
      <c r="G908" s="521">
        <f t="shared" si="127"/>
        <v>0.29000000000000009</v>
      </c>
      <c r="H908" s="521">
        <f t="shared" si="125"/>
        <v>0.29000000000000009</v>
      </c>
      <c r="I908" s="511"/>
      <c r="J908" s="511"/>
      <c r="K908" s="511"/>
      <c r="L908" s="511"/>
      <c r="M908" s="511"/>
      <c r="N908" s="511"/>
      <c r="O908" s="511"/>
      <c r="P908" s="511"/>
      <c r="Q908" s="511"/>
      <c r="R908" s="511"/>
      <c r="S908" s="511"/>
      <c r="T908" s="511"/>
      <c r="U908" s="511"/>
      <c r="V908" s="511"/>
      <c r="W908" s="511"/>
      <c r="X908" s="511"/>
      <c r="Y908" s="511"/>
      <c r="Z908" s="511"/>
      <c r="AA908" s="511"/>
      <c r="AB908" s="511"/>
      <c r="AC908" s="511"/>
      <c r="AD908" s="511"/>
      <c r="AE908" s="511"/>
      <c r="AF908" s="511"/>
      <c r="AG908" s="511"/>
      <c r="AH908" s="511"/>
      <c r="AI908" s="511"/>
      <c r="AJ908" s="511"/>
      <c r="AK908" s="511"/>
      <c r="AL908" s="511"/>
      <c r="AM908" s="511"/>
      <c r="AN908" s="511"/>
      <c r="AO908" s="511"/>
      <c r="AP908" s="511"/>
      <c r="AQ908" s="511"/>
      <c r="AR908" s="511"/>
      <c r="AS908" s="511"/>
      <c r="AT908" s="511"/>
      <c r="AU908" s="511"/>
      <c r="AV908" s="511"/>
      <c r="AW908" s="511"/>
      <c r="AX908" s="511"/>
      <c r="AY908" s="511"/>
      <c r="AZ908" s="511"/>
      <c r="BA908" s="511"/>
      <c r="BB908" s="511"/>
      <c r="BC908" s="511"/>
      <c r="BD908" s="511"/>
      <c r="BE908" s="511"/>
      <c r="BF908" s="511"/>
      <c r="BG908" s="511"/>
      <c r="BH908" s="511"/>
      <c r="BI908" s="511"/>
      <c r="BJ908" s="511"/>
      <c r="BK908" s="511"/>
      <c r="BL908" s="511"/>
      <c r="BM908" s="511"/>
      <c r="BN908" s="511"/>
      <c r="BO908" s="511"/>
      <c r="BP908" s="511"/>
      <c r="BQ908" s="511"/>
      <c r="BR908" s="511"/>
      <c r="BS908" s="511"/>
      <c r="BT908" s="511"/>
      <c r="BU908" s="511"/>
      <c r="BV908" s="511"/>
      <c r="BW908" s="511"/>
      <c r="BX908" s="511"/>
      <c r="BY908" s="511"/>
      <c r="BZ908" s="511"/>
      <c r="CA908" s="511"/>
      <c r="CB908" s="511"/>
      <c r="CC908" s="511"/>
      <c r="CD908" s="511"/>
      <c r="CE908" s="511"/>
      <c r="CF908" s="511"/>
      <c r="CG908" s="511"/>
      <c r="CH908" s="511"/>
      <c r="CI908" s="511"/>
      <c r="CJ908" s="511"/>
      <c r="CK908" s="511"/>
      <c r="CL908" s="511"/>
      <c r="CM908" s="511"/>
      <c r="CN908" s="511"/>
      <c r="CO908" s="511"/>
      <c r="CP908" s="511"/>
      <c r="CQ908" s="511"/>
      <c r="CR908" s="511"/>
      <c r="CS908" s="511"/>
      <c r="CT908" s="511"/>
      <c r="CU908" s="511"/>
      <c r="CV908" s="511"/>
      <c r="CW908" s="511"/>
      <c r="CX908" s="511"/>
      <c r="CY908" s="511"/>
      <c r="CZ908" s="511"/>
      <c r="DA908" s="511"/>
      <c r="DB908" s="511"/>
      <c r="DC908" s="511"/>
      <c r="DD908" s="511"/>
      <c r="DE908" s="511"/>
      <c r="DF908" s="511"/>
      <c r="DG908" s="511"/>
      <c r="DH908" s="511"/>
      <c r="DI908" s="511"/>
      <c r="DJ908" s="511"/>
      <c r="DK908" s="511"/>
      <c r="DL908" s="511"/>
      <c r="DM908" s="511"/>
      <c r="DN908" s="511"/>
      <c r="DO908" s="511"/>
      <c r="DP908" s="511"/>
    </row>
    <row r="909" spans="1:120" x14ac:dyDescent="0.2">
      <c r="A909" s="517">
        <f t="shared" si="121"/>
        <v>42856</v>
      </c>
      <c r="B909" s="517" t="str">
        <f t="shared" si="126"/>
        <v>2Q17</v>
      </c>
      <c r="C909" s="517" t="str">
        <f t="shared" si="122"/>
        <v>2Q17</v>
      </c>
      <c r="D909" s="518">
        <f t="shared" si="123"/>
        <v>42916</v>
      </c>
      <c r="E909" s="518">
        <f t="shared" si="124"/>
        <v>42856</v>
      </c>
      <c r="F909" s="520">
        <v>2.5830000000000002</v>
      </c>
      <c r="G909" s="521">
        <f t="shared" si="127"/>
        <v>0.29000000000000009</v>
      </c>
      <c r="H909" s="521">
        <f t="shared" si="125"/>
        <v>0.29000000000000009</v>
      </c>
      <c r="I909" s="511"/>
      <c r="J909" s="511"/>
      <c r="K909" s="511"/>
      <c r="L909" s="511"/>
      <c r="M909" s="511"/>
      <c r="N909" s="511"/>
      <c r="O909" s="511"/>
      <c r="P909" s="511"/>
      <c r="Q909" s="511"/>
      <c r="R909" s="511"/>
      <c r="S909" s="511"/>
      <c r="T909" s="511"/>
      <c r="U909" s="511"/>
      <c r="V909" s="511"/>
      <c r="W909" s="511"/>
      <c r="X909" s="511"/>
      <c r="Y909" s="511"/>
      <c r="Z909" s="511"/>
      <c r="AA909" s="511"/>
      <c r="AB909" s="511"/>
      <c r="AC909" s="511"/>
      <c r="AD909" s="511"/>
      <c r="AE909" s="511"/>
      <c r="AF909" s="511"/>
      <c r="AG909" s="511"/>
      <c r="AH909" s="511"/>
      <c r="AI909" s="511"/>
      <c r="AJ909" s="511"/>
      <c r="AK909" s="511"/>
      <c r="AL909" s="511"/>
      <c r="AM909" s="511"/>
      <c r="AN909" s="511"/>
      <c r="AO909" s="511"/>
      <c r="AP909" s="511"/>
      <c r="AQ909" s="511"/>
      <c r="AR909" s="511"/>
      <c r="AS909" s="511"/>
      <c r="AT909" s="511"/>
      <c r="AU909" s="511"/>
      <c r="AV909" s="511"/>
      <c r="AW909" s="511"/>
      <c r="AX909" s="511"/>
      <c r="AY909" s="511"/>
      <c r="AZ909" s="511"/>
      <c r="BA909" s="511"/>
      <c r="BB909" s="511"/>
      <c r="BC909" s="511"/>
      <c r="BD909" s="511"/>
      <c r="BE909" s="511"/>
      <c r="BF909" s="511"/>
      <c r="BG909" s="511"/>
      <c r="BH909" s="511"/>
      <c r="BI909" s="511"/>
      <c r="BJ909" s="511"/>
      <c r="BK909" s="511"/>
      <c r="BL909" s="511"/>
      <c r="BM909" s="511"/>
      <c r="BN909" s="511"/>
      <c r="BO909" s="511"/>
      <c r="BP909" s="511"/>
      <c r="BQ909" s="511"/>
      <c r="BR909" s="511"/>
      <c r="BS909" s="511"/>
      <c r="BT909" s="511"/>
      <c r="BU909" s="511"/>
      <c r="BV909" s="511"/>
      <c r="BW909" s="511"/>
      <c r="BX909" s="511"/>
      <c r="BY909" s="511"/>
      <c r="BZ909" s="511"/>
      <c r="CA909" s="511"/>
      <c r="CB909" s="511"/>
      <c r="CC909" s="511"/>
      <c r="CD909" s="511"/>
      <c r="CE909" s="511"/>
      <c r="CF909" s="511"/>
      <c r="CG909" s="511"/>
      <c r="CH909" s="511"/>
      <c r="CI909" s="511"/>
      <c r="CJ909" s="511"/>
      <c r="CK909" s="511"/>
      <c r="CL909" s="511"/>
      <c r="CM909" s="511"/>
      <c r="CN909" s="511"/>
      <c r="CO909" s="511"/>
      <c r="CP909" s="511"/>
      <c r="CQ909" s="511"/>
      <c r="CR909" s="511"/>
      <c r="CS909" s="511"/>
      <c r="CT909" s="511"/>
      <c r="CU909" s="511"/>
      <c r="CV909" s="511"/>
      <c r="CW909" s="511"/>
      <c r="CX909" s="511"/>
      <c r="CY909" s="511"/>
      <c r="CZ909" s="511"/>
      <c r="DA909" s="511"/>
      <c r="DB909" s="511"/>
      <c r="DC909" s="511"/>
      <c r="DD909" s="511"/>
      <c r="DE909" s="511"/>
      <c r="DF909" s="511"/>
      <c r="DG909" s="511"/>
      <c r="DH909" s="511"/>
      <c r="DI909" s="511"/>
      <c r="DJ909" s="511"/>
      <c r="DK909" s="511"/>
      <c r="DL909" s="511"/>
      <c r="DM909" s="511"/>
      <c r="DN909" s="511"/>
      <c r="DO909" s="511"/>
      <c r="DP909" s="511"/>
    </row>
    <row r="910" spans="1:120" x14ac:dyDescent="0.2">
      <c r="A910" s="517">
        <f t="shared" si="121"/>
        <v>42856</v>
      </c>
      <c r="B910" s="517" t="str">
        <f t="shared" si="126"/>
        <v>2Q17</v>
      </c>
      <c r="C910" s="517" t="str">
        <f t="shared" si="122"/>
        <v>3Q17</v>
      </c>
      <c r="D910" s="518">
        <f t="shared" si="123"/>
        <v>42923</v>
      </c>
      <c r="E910" s="518">
        <f t="shared" si="124"/>
        <v>42863</v>
      </c>
      <c r="F910" s="520">
        <v>2.5649999999999999</v>
      </c>
      <c r="G910" s="521">
        <f t="shared" si="127"/>
        <v>0.29000000000000009</v>
      </c>
      <c r="H910" s="521">
        <f t="shared" si="125"/>
        <v>0.28000000000000008</v>
      </c>
      <c r="I910" s="511"/>
      <c r="J910" s="511"/>
      <c r="K910" s="511"/>
      <c r="L910" s="511"/>
      <c r="M910" s="511"/>
      <c r="N910" s="511"/>
      <c r="O910" s="511"/>
      <c r="P910" s="511"/>
      <c r="Q910" s="511"/>
      <c r="R910" s="511"/>
      <c r="S910" s="511"/>
      <c r="T910" s="511"/>
      <c r="U910" s="511"/>
      <c r="V910" s="511"/>
      <c r="W910" s="511"/>
      <c r="X910" s="511"/>
      <c r="Y910" s="511"/>
      <c r="Z910" s="511"/>
      <c r="AA910" s="511"/>
      <c r="AB910" s="511"/>
      <c r="AC910" s="511"/>
      <c r="AD910" s="511"/>
      <c r="AE910" s="511"/>
      <c r="AF910" s="511"/>
      <c r="AG910" s="511"/>
      <c r="AH910" s="511"/>
      <c r="AI910" s="511"/>
      <c r="AJ910" s="511"/>
      <c r="AK910" s="511"/>
      <c r="AL910" s="511"/>
      <c r="AM910" s="511"/>
      <c r="AN910" s="511"/>
      <c r="AO910" s="511"/>
      <c r="AP910" s="511"/>
      <c r="AQ910" s="511"/>
      <c r="AR910" s="511"/>
      <c r="AS910" s="511"/>
      <c r="AT910" s="511"/>
      <c r="AU910" s="511"/>
      <c r="AV910" s="511"/>
      <c r="AW910" s="511"/>
      <c r="AX910" s="511"/>
      <c r="AY910" s="511"/>
      <c r="AZ910" s="511"/>
      <c r="BA910" s="511"/>
      <c r="BB910" s="511"/>
      <c r="BC910" s="511"/>
      <c r="BD910" s="511"/>
      <c r="BE910" s="511"/>
      <c r="BF910" s="511"/>
      <c r="BG910" s="511"/>
      <c r="BH910" s="511"/>
      <c r="BI910" s="511"/>
      <c r="BJ910" s="511"/>
      <c r="BK910" s="511"/>
      <c r="BL910" s="511"/>
      <c r="BM910" s="511"/>
      <c r="BN910" s="511"/>
      <c r="BO910" s="511"/>
      <c r="BP910" s="511"/>
      <c r="BQ910" s="511"/>
      <c r="BR910" s="511"/>
      <c r="BS910" s="511"/>
      <c r="BT910" s="511"/>
      <c r="BU910" s="511"/>
      <c r="BV910" s="511"/>
      <c r="BW910" s="511"/>
      <c r="BX910" s="511"/>
      <c r="BY910" s="511"/>
      <c r="BZ910" s="511"/>
      <c r="CA910" s="511"/>
      <c r="CB910" s="511"/>
      <c r="CC910" s="511"/>
      <c r="CD910" s="511"/>
      <c r="CE910" s="511"/>
      <c r="CF910" s="511"/>
      <c r="CG910" s="511"/>
      <c r="CH910" s="511"/>
      <c r="CI910" s="511"/>
      <c r="CJ910" s="511"/>
      <c r="CK910" s="511"/>
      <c r="CL910" s="511"/>
      <c r="CM910" s="511"/>
      <c r="CN910" s="511"/>
      <c r="CO910" s="511"/>
      <c r="CP910" s="511"/>
      <c r="CQ910" s="511"/>
      <c r="CR910" s="511"/>
      <c r="CS910" s="511"/>
      <c r="CT910" s="511"/>
      <c r="CU910" s="511"/>
      <c r="CV910" s="511"/>
      <c r="CW910" s="511"/>
      <c r="CX910" s="511"/>
      <c r="CY910" s="511"/>
      <c r="CZ910" s="511"/>
      <c r="DA910" s="511"/>
      <c r="DB910" s="511"/>
      <c r="DC910" s="511"/>
      <c r="DD910" s="511"/>
      <c r="DE910" s="511"/>
      <c r="DF910" s="511"/>
      <c r="DG910" s="511"/>
      <c r="DH910" s="511"/>
      <c r="DI910" s="511"/>
      <c r="DJ910" s="511"/>
      <c r="DK910" s="511"/>
      <c r="DL910" s="511"/>
      <c r="DM910" s="511"/>
      <c r="DN910" s="511"/>
      <c r="DO910" s="511"/>
      <c r="DP910" s="511"/>
    </row>
    <row r="911" spans="1:120" x14ac:dyDescent="0.2">
      <c r="A911" s="517">
        <f t="shared" si="121"/>
        <v>42856</v>
      </c>
      <c r="B911" s="517" t="str">
        <f t="shared" si="126"/>
        <v>2Q17</v>
      </c>
      <c r="C911" s="517" t="str">
        <f t="shared" si="122"/>
        <v>3Q17</v>
      </c>
      <c r="D911" s="518">
        <f t="shared" si="123"/>
        <v>42930</v>
      </c>
      <c r="E911" s="518">
        <f t="shared" si="124"/>
        <v>42870</v>
      </c>
      <c r="F911" s="520">
        <v>2.544</v>
      </c>
      <c r="G911" s="521">
        <f t="shared" si="127"/>
        <v>0.28000000000000008</v>
      </c>
      <c r="H911" s="521">
        <f t="shared" si="125"/>
        <v>0.28000000000000008</v>
      </c>
      <c r="I911" s="511"/>
      <c r="J911" s="511"/>
      <c r="K911" s="511"/>
      <c r="L911" s="511"/>
      <c r="M911" s="511"/>
      <c r="N911" s="511"/>
      <c r="O911" s="511"/>
      <c r="P911" s="511"/>
      <c r="Q911" s="511"/>
      <c r="R911" s="511"/>
      <c r="S911" s="511"/>
      <c r="T911" s="511"/>
      <c r="U911" s="511"/>
      <c r="V911" s="511"/>
      <c r="W911" s="511"/>
      <c r="X911" s="511"/>
      <c r="Y911" s="511"/>
      <c r="Z911" s="511"/>
      <c r="AA911" s="511"/>
      <c r="AB911" s="511"/>
      <c r="AC911" s="511"/>
      <c r="AD911" s="511"/>
      <c r="AE911" s="511"/>
      <c r="AF911" s="511"/>
      <c r="AG911" s="511"/>
      <c r="AH911" s="511"/>
      <c r="AI911" s="511"/>
      <c r="AJ911" s="511"/>
      <c r="AK911" s="511"/>
      <c r="AL911" s="511"/>
      <c r="AM911" s="511"/>
      <c r="AN911" s="511"/>
      <c r="AO911" s="511"/>
      <c r="AP911" s="511"/>
      <c r="AQ911" s="511"/>
      <c r="AR911" s="511"/>
      <c r="AS911" s="511"/>
      <c r="AT911" s="511"/>
      <c r="AU911" s="511"/>
      <c r="AV911" s="511"/>
      <c r="AW911" s="511"/>
      <c r="AX911" s="511"/>
      <c r="AY911" s="511"/>
      <c r="AZ911" s="511"/>
      <c r="BA911" s="511"/>
      <c r="BB911" s="511"/>
      <c r="BC911" s="511"/>
      <c r="BD911" s="511"/>
      <c r="BE911" s="511"/>
      <c r="BF911" s="511"/>
      <c r="BG911" s="511"/>
      <c r="BH911" s="511"/>
      <c r="BI911" s="511"/>
      <c r="BJ911" s="511"/>
      <c r="BK911" s="511"/>
      <c r="BL911" s="511"/>
      <c r="BM911" s="511"/>
      <c r="BN911" s="511"/>
      <c r="BO911" s="511"/>
      <c r="BP911" s="511"/>
      <c r="BQ911" s="511"/>
      <c r="BR911" s="511"/>
      <c r="BS911" s="511"/>
      <c r="BT911" s="511"/>
      <c r="BU911" s="511"/>
      <c r="BV911" s="511"/>
      <c r="BW911" s="511"/>
      <c r="BX911" s="511"/>
      <c r="BY911" s="511"/>
      <c r="BZ911" s="511"/>
      <c r="CA911" s="511"/>
      <c r="CB911" s="511"/>
      <c r="CC911" s="511"/>
      <c r="CD911" s="511"/>
      <c r="CE911" s="511"/>
      <c r="CF911" s="511"/>
      <c r="CG911" s="511"/>
      <c r="CH911" s="511"/>
      <c r="CI911" s="511"/>
      <c r="CJ911" s="511"/>
      <c r="CK911" s="511"/>
      <c r="CL911" s="511"/>
      <c r="CM911" s="511"/>
      <c r="CN911" s="511"/>
      <c r="CO911" s="511"/>
      <c r="CP911" s="511"/>
      <c r="CQ911" s="511"/>
      <c r="CR911" s="511"/>
      <c r="CS911" s="511"/>
      <c r="CT911" s="511"/>
      <c r="CU911" s="511"/>
      <c r="CV911" s="511"/>
      <c r="CW911" s="511"/>
      <c r="CX911" s="511"/>
      <c r="CY911" s="511"/>
      <c r="CZ911" s="511"/>
      <c r="DA911" s="511"/>
      <c r="DB911" s="511"/>
      <c r="DC911" s="511"/>
      <c r="DD911" s="511"/>
      <c r="DE911" s="511"/>
      <c r="DF911" s="511"/>
      <c r="DG911" s="511"/>
      <c r="DH911" s="511"/>
      <c r="DI911" s="511"/>
      <c r="DJ911" s="511"/>
      <c r="DK911" s="511"/>
      <c r="DL911" s="511"/>
      <c r="DM911" s="511"/>
      <c r="DN911" s="511"/>
      <c r="DO911" s="511"/>
      <c r="DP911" s="511"/>
    </row>
    <row r="912" spans="1:120" x14ac:dyDescent="0.2">
      <c r="A912" s="517">
        <f t="shared" si="121"/>
        <v>42856</v>
      </c>
      <c r="B912" s="517" t="str">
        <f t="shared" si="126"/>
        <v>2Q17</v>
      </c>
      <c r="C912" s="517" t="str">
        <f t="shared" si="122"/>
        <v>3Q17</v>
      </c>
      <c r="D912" s="518">
        <f t="shared" si="123"/>
        <v>42937</v>
      </c>
      <c r="E912" s="518">
        <f t="shared" si="124"/>
        <v>42877</v>
      </c>
      <c r="F912" s="520">
        <v>2.5390000000000001</v>
      </c>
      <c r="G912" s="521">
        <f t="shared" si="127"/>
        <v>0.28000000000000008</v>
      </c>
      <c r="H912" s="521">
        <f t="shared" si="125"/>
        <v>0.29000000000000009</v>
      </c>
      <c r="I912" s="511"/>
      <c r="J912" s="511"/>
      <c r="K912" s="511"/>
      <c r="L912" s="511"/>
      <c r="M912" s="511"/>
      <c r="N912" s="511"/>
      <c r="O912" s="511"/>
      <c r="P912" s="511"/>
      <c r="Q912" s="511"/>
      <c r="R912" s="511"/>
      <c r="S912" s="511"/>
      <c r="T912" s="511"/>
      <c r="U912" s="511"/>
      <c r="V912" s="511"/>
      <c r="W912" s="511"/>
      <c r="X912" s="511"/>
      <c r="Y912" s="511"/>
      <c r="Z912" s="511"/>
      <c r="AA912" s="511"/>
      <c r="AB912" s="511"/>
      <c r="AC912" s="511"/>
      <c r="AD912" s="511"/>
      <c r="AE912" s="511"/>
      <c r="AF912" s="511"/>
      <c r="AG912" s="511"/>
      <c r="AH912" s="511"/>
      <c r="AI912" s="511"/>
      <c r="AJ912" s="511"/>
      <c r="AK912" s="511"/>
      <c r="AL912" s="511"/>
      <c r="AM912" s="511"/>
      <c r="AN912" s="511"/>
      <c r="AO912" s="511"/>
      <c r="AP912" s="511"/>
      <c r="AQ912" s="511"/>
      <c r="AR912" s="511"/>
      <c r="AS912" s="511"/>
      <c r="AT912" s="511"/>
      <c r="AU912" s="511"/>
      <c r="AV912" s="511"/>
      <c r="AW912" s="511"/>
      <c r="AX912" s="511"/>
      <c r="AY912" s="511"/>
      <c r="AZ912" s="511"/>
      <c r="BA912" s="511"/>
      <c r="BB912" s="511"/>
      <c r="BC912" s="511"/>
      <c r="BD912" s="511"/>
      <c r="BE912" s="511"/>
      <c r="BF912" s="511"/>
      <c r="BG912" s="511"/>
      <c r="BH912" s="511"/>
      <c r="BI912" s="511"/>
      <c r="BJ912" s="511"/>
      <c r="BK912" s="511"/>
      <c r="BL912" s="511"/>
      <c r="BM912" s="511"/>
      <c r="BN912" s="511"/>
      <c r="BO912" s="511"/>
      <c r="BP912" s="511"/>
      <c r="BQ912" s="511"/>
      <c r="BR912" s="511"/>
      <c r="BS912" s="511"/>
      <c r="BT912" s="511"/>
      <c r="BU912" s="511"/>
      <c r="BV912" s="511"/>
      <c r="BW912" s="511"/>
      <c r="BX912" s="511"/>
      <c r="BY912" s="511"/>
      <c r="BZ912" s="511"/>
      <c r="CA912" s="511"/>
      <c r="CB912" s="511"/>
      <c r="CC912" s="511"/>
      <c r="CD912" s="511"/>
      <c r="CE912" s="511"/>
      <c r="CF912" s="511"/>
      <c r="CG912" s="511"/>
      <c r="CH912" s="511"/>
      <c r="CI912" s="511"/>
      <c r="CJ912" s="511"/>
      <c r="CK912" s="511"/>
      <c r="CL912" s="511"/>
      <c r="CM912" s="511"/>
      <c r="CN912" s="511"/>
      <c r="CO912" s="511"/>
      <c r="CP912" s="511"/>
      <c r="CQ912" s="511"/>
      <c r="CR912" s="511"/>
      <c r="CS912" s="511"/>
      <c r="CT912" s="511"/>
      <c r="CU912" s="511"/>
      <c r="CV912" s="511"/>
      <c r="CW912" s="511"/>
      <c r="CX912" s="511"/>
      <c r="CY912" s="511"/>
      <c r="CZ912" s="511"/>
      <c r="DA912" s="511"/>
      <c r="DB912" s="511"/>
      <c r="DC912" s="511"/>
      <c r="DD912" s="511"/>
      <c r="DE912" s="511"/>
      <c r="DF912" s="511"/>
      <c r="DG912" s="511"/>
      <c r="DH912" s="511"/>
      <c r="DI912" s="511"/>
      <c r="DJ912" s="511"/>
      <c r="DK912" s="511"/>
      <c r="DL912" s="511"/>
      <c r="DM912" s="511"/>
      <c r="DN912" s="511"/>
      <c r="DO912" s="511"/>
      <c r="DP912" s="511"/>
    </row>
    <row r="913" spans="1:120" x14ac:dyDescent="0.2">
      <c r="A913" s="517">
        <f t="shared" si="121"/>
        <v>42856</v>
      </c>
      <c r="B913" s="517" t="str">
        <f t="shared" si="126"/>
        <v>2Q17</v>
      </c>
      <c r="C913" s="517" t="str">
        <f t="shared" si="122"/>
        <v>3Q17</v>
      </c>
      <c r="D913" s="518">
        <f t="shared" si="123"/>
        <v>42944</v>
      </c>
      <c r="E913" s="518">
        <f t="shared" si="124"/>
        <v>42884</v>
      </c>
      <c r="F913" s="520">
        <v>2.5710000000000002</v>
      </c>
      <c r="G913" s="521">
        <f t="shared" si="127"/>
        <v>0.29000000000000009</v>
      </c>
      <c r="H913" s="521">
        <f t="shared" si="125"/>
        <v>0.29000000000000009</v>
      </c>
      <c r="I913" s="511"/>
      <c r="J913" s="511"/>
      <c r="K913" s="511"/>
      <c r="L913" s="511"/>
      <c r="M913" s="511"/>
      <c r="N913" s="511"/>
      <c r="O913" s="511"/>
      <c r="P913" s="511"/>
      <c r="Q913" s="511"/>
      <c r="R913" s="511"/>
      <c r="S913" s="511"/>
      <c r="T913" s="511"/>
      <c r="U913" s="511"/>
      <c r="V913" s="511"/>
      <c r="W913" s="511"/>
      <c r="X913" s="511"/>
      <c r="Y913" s="511"/>
      <c r="Z913" s="511"/>
      <c r="AA913" s="511"/>
      <c r="AB913" s="511"/>
      <c r="AC913" s="511"/>
      <c r="AD913" s="511"/>
      <c r="AE913" s="511"/>
      <c r="AF913" s="511"/>
      <c r="AG913" s="511"/>
      <c r="AH913" s="511"/>
      <c r="AI913" s="511"/>
      <c r="AJ913" s="511"/>
      <c r="AK913" s="511"/>
      <c r="AL913" s="511"/>
      <c r="AM913" s="511"/>
      <c r="AN913" s="511"/>
      <c r="AO913" s="511"/>
      <c r="AP913" s="511"/>
      <c r="AQ913" s="511"/>
      <c r="AR913" s="511"/>
      <c r="AS913" s="511"/>
      <c r="AT913" s="511"/>
      <c r="AU913" s="511"/>
      <c r="AV913" s="511"/>
      <c r="AW913" s="511"/>
      <c r="AX913" s="511"/>
      <c r="AY913" s="511"/>
      <c r="AZ913" s="511"/>
      <c r="BA913" s="511"/>
      <c r="BB913" s="511"/>
      <c r="BC913" s="511"/>
      <c r="BD913" s="511"/>
      <c r="BE913" s="511"/>
      <c r="BF913" s="511"/>
      <c r="BG913" s="511"/>
      <c r="BH913" s="511"/>
      <c r="BI913" s="511"/>
      <c r="BJ913" s="511"/>
      <c r="BK913" s="511"/>
      <c r="BL913" s="511"/>
      <c r="BM913" s="511"/>
      <c r="BN913" s="511"/>
      <c r="BO913" s="511"/>
      <c r="BP913" s="511"/>
      <c r="BQ913" s="511"/>
      <c r="BR913" s="511"/>
      <c r="BS913" s="511"/>
      <c r="BT913" s="511"/>
      <c r="BU913" s="511"/>
      <c r="BV913" s="511"/>
      <c r="BW913" s="511"/>
      <c r="BX913" s="511"/>
      <c r="BY913" s="511"/>
      <c r="BZ913" s="511"/>
      <c r="CA913" s="511"/>
      <c r="CB913" s="511"/>
      <c r="CC913" s="511"/>
      <c r="CD913" s="511"/>
      <c r="CE913" s="511"/>
      <c r="CF913" s="511"/>
      <c r="CG913" s="511"/>
      <c r="CH913" s="511"/>
      <c r="CI913" s="511"/>
      <c r="CJ913" s="511"/>
      <c r="CK913" s="511"/>
      <c r="CL913" s="511"/>
      <c r="CM913" s="511"/>
      <c r="CN913" s="511"/>
      <c r="CO913" s="511"/>
      <c r="CP913" s="511"/>
      <c r="CQ913" s="511"/>
      <c r="CR913" s="511"/>
      <c r="CS913" s="511"/>
      <c r="CT913" s="511"/>
      <c r="CU913" s="511"/>
      <c r="CV913" s="511"/>
      <c r="CW913" s="511"/>
      <c r="CX913" s="511"/>
      <c r="CY913" s="511"/>
      <c r="CZ913" s="511"/>
      <c r="DA913" s="511"/>
      <c r="DB913" s="511"/>
      <c r="DC913" s="511"/>
      <c r="DD913" s="511"/>
      <c r="DE913" s="511"/>
      <c r="DF913" s="511"/>
      <c r="DG913" s="511"/>
      <c r="DH913" s="511"/>
      <c r="DI913" s="511"/>
      <c r="DJ913" s="511"/>
      <c r="DK913" s="511"/>
      <c r="DL913" s="511"/>
      <c r="DM913" s="511"/>
      <c r="DN913" s="511"/>
      <c r="DO913" s="511"/>
      <c r="DP913" s="511"/>
    </row>
    <row r="914" spans="1:120" x14ac:dyDescent="0.2">
      <c r="A914" s="517">
        <f t="shared" si="121"/>
        <v>42887</v>
      </c>
      <c r="B914" s="517" t="str">
        <f t="shared" si="126"/>
        <v>2Q17</v>
      </c>
      <c r="C914" s="517" t="str">
        <f t="shared" si="122"/>
        <v>3Q17</v>
      </c>
      <c r="D914" s="518">
        <f t="shared" si="123"/>
        <v>42951</v>
      </c>
      <c r="E914" s="518">
        <f t="shared" si="124"/>
        <v>42891</v>
      </c>
      <c r="F914" s="520">
        <v>2.5640000000000001</v>
      </c>
      <c r="G914" s="521">
        <f t="shared" si="127"/>
        <v>0.29000000000000009</v>
      </c>
      <c r="H914" s="521">
        <f t="shared" si="125"/>
        <v>0.28000000000000008</v>
      </c>
      <c r="I914" s="511"/>
      <c r="J914" s="511"/>
      <c r="K914" s="511"/>
      <c r="L914" s="511"/>
      <c r="M914" s="511"/>
      <c r="N914" s="511"/>
      <c r="O914" s="511"/>
      <c r="P914" s="511"/>
      <c r="Q914" s="511"/>
      <c r="R914" s="511"/>
      <c r="S914" s="511"/>
      <c r="T914" s="511"/>
      <c r="U914" s="511"/>
      <c r="V914" s="511"/>
      <c r="W914" s="511"/>
      <c r="X914" s="511"/>
      <c r="Y914" s="511"/>
      <c r="Z914" s="511"/>
      <c r="AA914" s="511"/>
      <c r="AB914" s="511"/>
      <c r="AC914" s="511"/>
      <c r="AD914" s="511"/>
      <c r="AE914" s="511"/>
      <c r="AF914" s="511"/>
      <c r="AG914" s="511"/>
      <c r="AH914" s="511"/>
      <c r="AI914" s="511"/>
      <c r="AJ914" s="511"/>
      <c r="AK914" s="511"/>
      <c r="AL914" s="511"/>
      <c r="AM914" s="511"/>
      <c r="AN914" s="511"/>
      <c r="AO914" s="511"/>
      <c r="AP914" s="511"/>
      <c r="AQ914" s="511"/>
      <c r="AR914" s="511"/>
      <c r="AS914" s="511"/>
      <c r="AT914" s="511"/>
      <c r="AU914" s="511"/>
      <c r="AV914" s="511"/>
      <c r="AW914" s="511"/>
      <c r="AX914" s="511"/>
      <c r="AY914" s="511"/>
      <c r="AZ914" s="511"/>
      <c r="BA914" s="511"/>
      <c r="BB914" s="511"/>
      <c r="BC914" s="511"/>
      <c r="BD914" s="511"/>
      <c r="BE914" s="511"/>
      <c r="BF914" s="511"/>
      <c r="BG914" s="511"/>
      <c r="BH914" s="511"/>
      <c r="BI914" s="511"/>
      <c r="BJ914" s="511"/>
      <c r="BK914" s="511"/>
      <c r="BL914" s="511"/>
      <c r="BM914" s="511"/>
      <c r="BN914" s="511"/>
      <c r="BO914" s="511"/>
      <c r="BP914" s="511"/>
      <c r="BQ914" s="511"/>
      <c r="BR914" s="511"/>
      <c r="BS914" s="511"/>
      <c r="BT914" s="511"/>
      <c r="BU914" s="511"/>
      <c r="BV914" s="511"/>
      <c r="BW914" s="511"/>
      <c r="BX914" s="511"/>
      <c r="BY914" s="511"/>
      <c r="BZ914" s="511"/>
      <c r="CA914" s="511"/>
      <c r="CB914" s="511"/>
      <c r="CC914" s="511"/>
      <c r="CD914" s="511"/>
      <c r="CE914" s="511"/>
      <c r="CF914" s="511"/>
      <c r="CG914" s="511"/>
      <c r="CH914" s="511"/>
      <c r="CI914" s="511"/>
      <c r="CJ914" s="511"/>
      <c r="CK914" s="511"/>
      <c r="CL914" s="511"/>
      <c r="CM914" s="511"/>
      <c r="CN914" s="511"/>
      <c r="CO914" s="511"/>
      <c r="CP914" s="511"/>
      <c r="CQ914" s="511"/>
      <c r="CR914" s="511"/>
      <c r="CS914" s="511"/>
      <c r="CT914" s="511"/>
      <c r="CU914" s="511"/>
      <c r="CV914" s="511"/>
      <c r="CW914" s="511"/>
      <c r="CX914" s="511"/>
      <c r="CY914" s="511"/>
      <c r="CZ914" s="511"/>
      <c r="DA914" s="511"/>
      <c r="DB914" s="511"/>
      <c r="DC914" s="511"/>
      <c r="DD914" s="511"/>
      <c r="DE914" s="511"/>
      <c r="DF914" s="511"/>
      <c r="DG914" s="511"/>
      <c r="DH914" s="511"/>
      <c r="DI914" s="511"/>
      <c r="DJ914" s="511"/>
      <c r="DK914" s="511"/>
      <c r="DL914" s="511"/>
      <c r="DM914" s="511"/>
      <c r="DN914" s="511"/>
      <c r="DO914" s="511"/>
      <c r="DP914" s="511"/>
    </row>
    <row r="915" spans="1:120" x14ac:dyDescent="0.2">
      <c r="A915" s="517">
        <f t="shared" si="121"/>
        <v>42887</v>
      </c>
      <c r="B915" s="517" t="str">
        <f t="shared" si="126"/>
        <v>2Q17</v>
      </c>
      <c r="C915" s="517" t="str">
        <f t="shared" si="122"/>
        <v>3Q17</v>
      </c>
      <c r="D915" s="518">
        <f t="shared" si="123"/>
        <v>42958</v>
      </c>
      <c r="E915" s="518">
        <f t="shared" si="124"/>
        <v>42898</v>
      </c>
      <c r="F915" s="520">
        <v>2.524</v>
      </c>
      <c r="G915" s="521">
        <f t="shared" si="127"/>
        <v>0.28000000000000008</v>
      </c>
      <c r="H915" s="521">
        <f t="shared" si="125"/>
        <v>0.27000000000000007</v>
      </c>
      <c r="I915" s="511"/>
      <c r="J915" s="511"/>
      <c r="K915" s="511"/>
      <c r="L915" s="511"/>
      <c r="M915" s="511"/>
      <c r="N915" s="511"/>
      <c r="O915" s="511"/>
      <c r="P915" s="511"/>
      <c r="Q915" s="511"/>
      <c r="R915" s="511"/>
      <c r="S915" s="511"/>
      <c r="T915" s="511"/>
      <c r="U915" s="511"/>
      <c r="V915" s="511"/>
      <c r="W915" s="511"/>
      <c r="X915" s="511"/>
      <c r="Y915" s="511"/>
      <c r="Z915" s="511"/>
      <c r="AA915" s="511"/>
      <c r="AB915" s="511"/>
      <c r="AC915" s="511"/>
      <c r="AD915" s="511"/>
      <c r="AE915" s="511"/>
      <c r="AF915" s="511"/>
      <c r="AG915" s="511"/>
      <c r="AH915" s="511"/>
      <c r="AI915" s="511"/>
      <c r="AJ915" s="511"/>
      <c r="AK915" s="511"/>
      <c r="AL915" s="511"/>
      <c r="AM915" s="511"/>
      <c r="AN915" s="511"/>
      <c r="AO915" s="511"/>
      <c r="AP915" s="511"/>
      <c r="AQ915" s="511"/>
      <c r="AR915" s="511"/>
      <c r="AS915" s="511"/>
      <c r="AT915" s="511"/>
      <c r="AU915" s="511"/>
      <c r="AV915" s="511"/>
      <c r="AW915" s="511"/>
      <c r="AX915" s="511"/>
      <c r="AY915" s="511"/>
      <c r="AZ915" s="511"/>
      <c r="BA915" s="511"/>
      <c r="BB915" s="511"/>
      <c r="BC915" s="511"/>
      <c r="BD915" s="511"/>
      <c r="BE915" s="511"/>
      <c r="BF915" s="511"/>
      <c r="BG915" s="511"/>
      <c r="BH915" s="511"/>
      <c r="BI915" s="511"/>
      <c r="BJ915" s="511"/>
      <c r="BK915" s="511"/>
      <c r="BL915" s="511"/>
      <c r="BM915" s="511"/>
      <c r="BN915" s="511"/>
      <c r="BO915" s="511"/>
      <c r="BP915" s="511"/>
      <c r="BQ915" s="511"/>
      <c r="BR915" s="511"/>
      <c r="BS915" s="511"/>
      <c r="BT915" s="511"/>
      <c r="BU915" s="511"/>
      <c r="BV915" s="511"/>
      <c r="BW915" s="511"/>
      <c r="BX915" s="511"/>
      <c r="BY915" s="511"/>
      <c r="BZ915" s="511"/>
      <c r="CA915" s="511"/>
      <c r="CB915" s="511"/>
      <c r="CC915" s="511"/>
      <c r="CD915" s="511"/>
      <c r="CE915" s="511"/>
      <c r="CF915" s="511"/>
      <c r="CG915" s="511"/>
      <c r="CH915" s="511"/>
      <c r="CI915" s="511"/>
      <c r="CJ915" s="511"/>
      <c r="CK915" s="511"/>
      <c r="CL915" s="511"/>
      <c r="CM915" s="511"/>
      <c r="CN915" s="511"/>
      <c r="CO915" s="511"/>
      <c r="CP915" s="511"/>
      <c r="CQ915" s="511"/>
      <c r="CR915" s="511"/>
      <c r="CS915" s="511"/>
      <c r="CT915" s="511"/>
      <c r="CU915" s="511"/>
      <c r="CV915" s="511"/>
      <c r="CW915" s="511"/>
      <c r="CX915" s="511"/>
      <c r="CY915" s="511"/>
      <c r="CZ915" s="511"/>
      <c r="DA915" s="511"/>
      <c r="DB915" s="511"/>
      <c r="DC915" s="511"/>
      <c r="DD915" s="511"/>
      <c r="DE915" s="511"/>
      <c r="DF915" s="511"/>
      <c r="DG915" s="511"/>
      <c r="DH915" s="511"/>
      <c r="DI915" s="511"/>
      <c r="DJ915" s="511"/>
      <c r="DK915" s="511"/>
      <c r="DL915" s="511"/>
      <c r="DM915" s="511"/>
      <c r="DN915" s="511"/>
      <c r="DO915" s="511"/>
      <c r="DP915" s="511"/>
    </row>
    <row r="916" spans="1:120" x14ac:dyDescent="0.2">
      <c r="A916" s="517">
        <f t="shared" si="121"/>
        <v>42887</v>
      </c>
      <c r="B916" s="517" t="str">
        <f t="shared" si="126"/>
        <v>2Q17</v>
      </c>
      <c r="C916" s="517" t="str">
        <f t="shared" si="122"/>
        <v>3Q17</v>
      </c>
      <c r="D916" s="518">
        <f t="shared" si="123"/>
        <v>42965</v>
      </c>
      <c r="E916" s="518">
        <f t="shared" si="124"/>
        <v>42905</v>
      </c>
      <c r="F916" s="520">
        <v>2.4889999999999999</v>
      </c>
      <c r="G916" s="521">
        <f t="shared" si="127"/>
        <v>0.27000000000000007</v>
      </c>
      <c r="H916" s="521">
        <f t="shared" si="125"/>
        <v>0.27000000000000007</v>
      </c>
      <c r="I916" s="511"/>
      <c r="J916" s="511"/>
      <c r="K916" s="511"/>
      <c r="L916" s="511"/>
      <c r="M916" s="511"/>
      <c r="N916" s="511"/>
      <c r="O916" s="511"/>
      <c r="P916" s="511"/>
      <c r="Q916" s="511"/>
      <c r="R916" s="511"/>
      <c r="S916" s="511"/>
      <c r="T916" s="511"/>
      <c r="U916" s="511"/>
      <c r="V916" s="511"/>
      <c r="W916" s="511"/>
      <c r="X916" s="511"/>
      <c r="Y916" s="511"/>
      <c r="Z916" s="511"/>
      <c r="AA916" s="511"/>
      <c r="AB916" s="511"/>
      <c r="AC916" s="511"/>
      <c r="AD916" s="511"/>
      <c r="AE916" s="511"/>
      <c r="AF916" s="511"/>
      <c r="AG916" s="511"/>
      <c r="AH916" s="511"/>
      <c r="AI916" s="511"/>
      <c r="AJ916" s="511"/>
      <c r="AK916" s="511"/>
      <c r="AL916" s="511"/>
      <c r="AM916" s="511"/>
      <c r="AN916" s="511"/>
      <c r="AO916" s="511"/>
      <c r="AP916" s="511"/>
      <c r="AQ916" s="511"/>
      <c r="AR916" s="511"/>
      <c r="AS916" s="511"/>
      <c r="AT916" s="511"/>
      <c r="AU916" s="511"/>
      <c r="AV916" s="511"/>
      <c r="AW916" s="511"/>
      <c r="AX916" s="511"/>
      <c r="AY916" s="511"/>
      <c r="AZ916" s="511"/>
      <c r="BA916" s="511"/>
      <c r="BB916" s="511"/>
      <c r="BC916" s="511"/>
      <c r="BD916" s="511"/>
      <c r="BE916" s="511"/>
      <c r="BF916" s="511"/>
      <c r="BG916" s="511"/>
      <c r="BH916" s="511"/>
      <c r="BI916" s="511"/>
      <c r="BJ916" s="511"/>
      <c r="BK916" s="511"/>
      <c r="BL916" s="511"/>
      <c r="BM916" s="511"/>
      <c r="BN916" s="511"/>
      <c r="BO916" s="511"/>
      <c r="BP916" s="511"/>
      <c r="BQ916" s="511"/>
      <c r="BR916" s="511"/>
      <c r="BS916" s="511"/>
      <c r="BT916" s="511"/>
      <c r="BU916" s="511"/>
      <c r="BV916" s="511"/>
      <c r="BW916" s="511"/>
      <c r="BX916" s="511"/>
      <c r="BY916" s="511"/>
      <c r="BZ916" s="511"/>
      <c r="CA916" s="511"/>
      <c r="CB916" s="511"/>
      <c r="CC916" s="511"/>
      <c r="CD916" s="511"/>
      <c r="CE916" s="511"/>
      <c r="CF916" s="511"/>
      <c r="CG916" s="511"/>
      <c r="CH916" s="511"/>
      <c r="CI916" s="511"/>
      <c r="CJ916" s="511"/>
      <c r="CK916" s="511"/>
      <c r="CL916" s="511"/>
      <c r="CM916" s="511"/>
      <c r="CN916" s="511"/>
      <c r="CO916" s="511"/>
      <c r="CP916" s="511"/>
      <c r="CQ916" s="511"/>
      <c r="CR916" s="511"/>
      <c r="CS916" s="511"/>
      <c r="CT916" s="511"/>
      <c r="CU916" s="511"/>
      <c r="CV916" s="511"/>
      <c r="CW916" s="511"/>
      <c r="CX916" s="511"/>
      <c r="CY916" s="511"/>
      <c r="CZ916" s="511"/>
      <c r="DA916" s="511"/>
      <c r="DB916" s="511"/>
      <c r="DC916" s="511"/>
      <c r="DD916" s="511"/>
      <c r="DE916" s="511"/>
      <c r="DF916" s="511"/>
      <c r="DG916" s="511"/>
      <c r="DH916" s="511"/>
      <c r="DI916" s="511"/>
      <c r="DJ916" s="511"/>
      <c r="DK916" s="511"/>
      <c r="DL916" s="511"/>
      <c r="DM916" s="511"/>
      <c r="DN916" s="511"/>
      <c r="DO916" s="511"/>
      <c r="DP916" s="511"/>
    </row>
    <row r="917" spans="1:120" x14ac:dyDescent="0.2">
      <c r="A917" s="517">
        <f t="shared" si="121"/>
        <v>42887</v>
      </c>
      <c r="B917" s="517" t="str">
        <f t="shared" si="126"/>
        <v>2Q17</v>
      </c>
      <c r="C917" s="517" t="str">
        <f t="shared" si="122"/>
        <v>3Q17</v>
      </c>
      <c r="D917" s="518">
        <f t="shared" si="123"/>
        <v>42972</v>
      </c>
      <c r="E917" s="518">
        <f t="shared" si="124"/>
        <v>42912</v>
      </c>
      <c r="F917" s="520">
        <v>2.4649999999999999</v>
      </c>
      <c r="G917" s="521">
        <f t="shared" si="127"/>
        <v>0.27000000000000007</v>
      </c>
      <c r="H917" s="521">
        <f t="shared" si="125"/>
        <v>0.27000000000000007</v>
      </c>
      <c r="I917" s="511"/>
      <c r="J917" s="511"/>
      <c r="K917" s="511"/>
      <c r="L917" s="511"/>
      <c r="M917" s="511"/>
      <c r="N917" s="511"/>
      <c r="O917" s="511"/>
      <c r="P917" s="511"/>
      <c r="Q917" s="511"/>
      <c r="R917" s="511"/>
      <c r="S917" s="511"/>
      <c r="T917" s="511"/>
      <c r="U917" s="511"/>
      <c r="V917" s="511"/>
      <c r="W917" s="511"/>
      <c r="X917" s="511"/>
      <c r="Y917" s="511"/>
      <c r="Z917" s="511"/>
      <c r="AA917" s="511"/>
      <c r="AB917" s="511"/>
      <c r="AC917" s="511"/>
      <c r="AD917" s="511"/>
      <c r="AE917" s="511"/>
      <c r="AF917" s="511"/>
      <c r="AG917" s="511"/>
      <c r="AH917" s="511"/>
      <c r="AI917" s="511"/>
      <c r="AJ917" s="511"/>
      <c r="AK917" s="511"/>
      <c r="AL917" s="511"/>
      <c r="AM917" s="511"/>
      <c r="AN917" s="511"/>
      <c r="AO917" s="511"/>
      <c r="AP917" s="511"/>
      <c r="AQ917" s="511"/>
      <c r="AR917" s="511"/>
      <c r="AS917" s="511"/>
      <c r="AT917" s="511"/>
      <c r="AU917" s="511"/>
      <c r="AV917" s="511"/>
      <c r="AW917" s="511"/>
      <c r="AX917" s="511"/>
      <c r="AY917" s="511"/>
      <c r="AZ917" s="511"/>
      <c r="BA917" s="511"/>
      <c r="BB917" s="511"/>
      <c r="BC917" s="511"/>
      <c r="BD917" s="511"/>
      <c r="BE917" s="511"/>
      <c r="BF917" s="511"/>
      <c r="BG917" s="511"/>
      <c r="BH917" s="511"/>
      <c r="BI917" s="511"/>
      <c r="BJ917" s="511"/>
      <c r="BK917" s="511"/>
      <c r="BL917" s="511"/>
      <c r="BM917" s="511"/>
      <c r="BN917" s="511"/>
      <c r="BO917" s="511"/>
      <c r="BP917" s="511"/>
      <c r="BQ917" s="511"/>
      <c r="BR917" s="511"/>
      <c r="BS917" s="511"/>
      <c r="BT917" s="511"/>
      <c r="BU917" s="511"/>
      <c r="BV917" s="511"/>
      <c r="BW917" s="511"/>
      <c r="BX917" s="511"/>
      <c r="BY917" s="511"/>
      <c r="BZ917" s="511"/>
      <c r="CA917" s="511"/>
      <c r="CB917" s="511"/>
      <c r="CC917" s="511"/>
      <c r="CD917" s="511"/>
      <c r="CE917" s="511"/>
      <c r="CF917" s="511"/>
      <c r="CG917" s="511"/>
      <c r="CH917" s="511"/>
      <c r="CI917" s="511"/>
      <c r="CJ917" s="511"/>
      <c r="CK917" s="511"/>
      <c r="CL917" s="511"/>
      <c r="CM917" s="511"/>
      <c r="CN917" s="511"/>
      <c r="CO917" s="511"/>
      <c r="CP917" s="511"/>
      <c r="CQ917" s="511"/>
      <c r="CR917" s="511"/>
      <c r="CS917" s="511"/>
      <c r="CT917" s="511"/>
      <c r="CU917" s="511"/>
      <c r="CV917" s="511"/>
      <c r="CW917" s="511"/>
      <c r="CX917" s="511"/>
      <c r="CY917" s="511"/>
      <c r="CZ917" s="511"/>
      <c r="DA917" s="511"/>
      <c r="DB917" s="511"/>
      <c r="DC917" s="511"/>
      <c r="DD917" s="511"/>
      <c r="DE917" s="511"/>
      <c r="DF917" s="511"/>
      <c r="DG917" s="511"/>
      <c r="DH917" s="511"/>
      <c r="DI917" s="511"/>
      <c r="DJ917" s="511"/>
      <c r="DK917" s="511"/>
      <c r="DL917" s="511"/>
      <c r="DM917" s="511"/>
      <c r="DN917" s="511"/>
      <c r="DO917" s="511"/>
      <c r="DP917" s="511"/>
    </row>
    <row r="918" spans="1:120" x14ac:dyDescent="0.2">
      <c r="A918" s="517">
        <f t="shared" si="121"/>
        <v>42917</v>
      </c>
      <c r="B918" s="517" t="str">
        <f t="shared" si="126"/>
        <v>3Q17</v>
      </c>
      <c r="C918" s="517" t="str">
        <f t="shared" si="122"/>
        <v>3Q17</v>
      </c>
      <c r="D918" s="518">
        <f t="shared" si="123"/>
        <v>42979</v>
      </c>
      <c r="E918" s="518">
        <f t="shared" si="124"/>
        <v>42919</v>
      </c>
      <c r="F918" s="520">
        <v>2.472</v>
      </c>
      <c r="G918" s="521">
        <f t="shared" ref="G918:G942" si="128">INDEX($I$4:$K$153,MATCH(F918,$I$4:$I$153,1),3)</f>
        <v>0.27000000000000007</v>
      </c>
      <c r="H918" s="521">
        <f t="shared" ref="H918:H942" si="129">G919</f>
        <v>0.27000000000000007</v>
      </c>
      <c r="I918" s="511"/>
      <c r="J918" s="511"/>
      <c r="K918" s="511"/>
      <c r="L918" s="511"/>
      <c r="M918" s="511"/>
      <c r="N918" s="511"/>
      <c r="O918" s="511"/>
      <c r="P918" s="511"/>
      <c r="Q918" s="511"/>
      <c r="R918" s="511"/>
      <c r="S918" s="511"/>
      <c r="T918" s="511"/>
      <c r="U918" s="511"/>
      <c r="V918" s="511"/>
      <c r="W918" s="511"/>
      <c r="X918" s="511"/>
      <c r="Y918" s="511"/>
      <c r="Z918" s="511"/>
      <c r="AA918" s="511"/>
      <c r="AB918" s="511"/>
      <c r="AC918" s="511"/>
      <c r="AD918" s="511"/>
      <c r="AE918" s="511"/>
      <c r="AF918" s="511"/>
      <c r="AG918" s="511"/>
      <c r="AH918" s="511"/>
      <c r="AI918" s="511"/>
      <c r="AJ918" s="511"/>
      <c r="AK918" s="511"/>
      <c r="AL918" s="511"/>
      <c r="AM918" s="511"/>
      <c r="AN918" s="511"/>
      <c r="AO918" s="511"/>
      <c r="AP918" s="511"/>
      <c r="AQ918" s="511"/>
      <c r="AR918" s="511"/>
      <c r="AS918" s="511"/>
      <c r="AT918" s="511"/>
      <c r="AU918" s="511"/>
      <c r="AV918" s="511"/>
      <c r="AW918" s="511"/>
      <c r="AX918" s="511"/>
      <c r="AY918" s="511"/>
      <c r="AZ918" s="511"/>
      <c r="BA918" s="511"/>
      <c r="BB918" s="511"/>
      <c r="BC918" s="511"/>
      <c r="BD918" s="511"/>
      <c r="BE918" s="511"/>
      <c r="BF918" s="511"/>
      <c r="BG918" s="511"/>
      <c r="BH918" s="511"/>
      <c r="BI918" s="511"/>
      <c r="BJ918" s="511"/>
      <c r="BK918" s="511"/>
      <c r="BL918" s="511"/>
      <c r="BM918" s="511"/>
      <c r="BN918" s="511"/>
      <c r="BO918" s="511"/>
      <c r="BP918" s="511"/>
      <c r="BQ918" s="511"/>
      <c r="BR918" s="511"/>
      <c r="BS918" s="511"/>
      <c r="BT918" s="511"/>
      <c r="BU918" s="511"/>
      <c r="BV918" s="511"/>
      <c r="BW918" s="511"/>
      <c r="BX918" s="511"/>
      <c r="BY918" s="511"/>
      <c r="BZ918" s="511"/>
      <c r="CA918" s="511"/>
      <c r="CB918" s="511"/>
      <c r="CC918" s="511"/>
      <c r="CD918" s="511"/>
      <c r="CE918" s="511"/>
      <c r="CF918" s="511"/>
      <c r="CG918" s="511"/>
      <c r="CH918" s="511"/>
      <c r="CI918" s="511"/>
      <c r="CJ918" s="511"/>
      <c r="CK918" s="511"/>
      <c r="CL918" s="511"/>
      <c r="CM918" s="511"/>
      <c r="CN918" s="511"/>
      <c r="CO918" s="511"/>
      <c r="CP918" s="511"/>
      <c r="CQ918" s="511"/>
      <c r="CR918" s="511"/>
      <c r="CS918" s="511"/>
      <c r="CT918" s="511"/>
      <c r="CU918" s="511"/>
      <c r="CV918" s="511"/>
      <c r="CW918" s="511"/>
      <c r="CX918" s="511"/>
      <c r="CY918" s="511"/>
      <c r="CZ918" s="511"/>
      <c r="DA918" s="511"/>
      <c r="DB918" s="511"/>
      <c r="DC918" s="511"/>
      <c r="DD918" s="511"/>
      <c r="DE918" s="511"/>
      <c r="DF918" s="511"/>
      <c r="DG918" s="511"/>
      <c r="DH918" s="511"/>
      <c r="DI918" s="511"/>
      <c r="DJ918" s="511"/>
      <c r="DK918" s="511"/>
      <c r="DL918" s="511"/>
      <c r="DM918" s="511"/>
      <c r="DN918" s="511"/>
      <c r="DO918" s="511"/>
      <c r="DP918" s="511"/>
    </row>
    <row r="919" spans="1:120" x14ac:dyDescent="0.2">
      <c r="A919" s="517">
        <f t="shared" ref="A919:A943" si="130">DATE(YEAR(E919),MONTH(E919),1)</f>
        <v>42917</v>
      </c>
      <c r="B919" s="517" t="str">
        <f t="shared" ref="B919:B943" si="131">VLOOKUP(MONTH(A919),$N$4:$O$16,2,FALSE) &amp; "Q" &amp; RIGHT(YEAR(A919),2)</f>
        <v>3Q17</v>
      </c>
      <c r="C919" s="517" t="str">
        <f t="shared" ref="C919:C943" si="132">VLOOKUP(MONTH(D919),$N$4:$O$16,2,FALSE) &amp; "Q" &amp; RIGHT(YEAR(D919),2)</f>
        <v>3Q17</v>
      </c>
      <c r="D919" s="518">
        <f t="shared" si="123"/>
        <v>42986</v>
      </c>
      <c r="E919" s="518">
        <f t="shared" si="124"/>
        <v>42926</v>
      </c>
      <c r="F919" s="520">
        <v>2.4809999999999999</v>
      </c>
      <c r="G919" s="521">
        <f t="shared" si="128"/>
        <v>0.27000000000000007</v>
      </c>
      <c r="H919" s="521">
        <f t="shared" si="129"/>
        <v>0.27000000000000007</v>
      </c>
    </row>
    <row r="920" spans="1:120" x14ac:dyDescent="0.2">
      <c r="A920" s="517">
        <f t="shared" si="130"/>
        <v>42917</v>
      </c>
      <c r="B920" s="517" t="str">
        <f t="shared" si="131"/>
        <v>3Q17</v>
      </c>
      <c r="C920" s="517" t="str">
        <f t="shared" si="132"/>
        <v>3Q17</v>
      </c>
      <c r="D920" s="518">
        <f t="shared" si="123"/>
        <v>42993</v>
      </c>
      <c r="E920" s="518">
        <f t="shared" si="124"/>
        <v>42933</v>
      </c>
      <c r="F920" s="520">
        <v>2.4910000000000001</v>
      </c>
      <c r="G920" s="521">
        <f t="shared" si="128"/>
        <v>0.27000000000000007</v>
      </c>
      <c r="H920" s="521">
        <f t="shared" si="129"/>
        <v>0.28000000000000008</v>
      </c>
    </row>
    <row r="921" spans="1:120" x14ac:dyDescent="0.2">
      <c r="A921" s="517">
        <f t="shared" si="130"/>
        <v>42917</v>
      </c>
      <c r="B921" s="517" t="str">
        <f t="shared" si="131"/>
        <v>3Q17</v>
      </c>
      <c r="C921" s="517" t="str">
        <f t="shared" si="132"/>
        <v>3Q17</v>
      </c>
      <c r="D921" s="518">
        <f t="shared" si="123"/>
        <v>43000</v>
      </c>
      <c r="E921" s="518">
        <f t="shared" si="124"/>
        <v>42940</v>
      </c>
      <c r="F921" s="520">
        <v>2.5070000000000001</v>
      </c>
      <c r="G921" s="521">
        <f t="shared" si="128"/>
        <v>0.28000000000000008</v>
      </c>
      <c r="H921" s="521">
        <f t="shared" si="129"/>
        <v>0.28000000000000008</v>
      </c>
    </row>
    <row r="922" spans="1:120" x14ac:dyDescent="0.2">
      <c r="A922" s="517">
        <f t="shared" si="130"/>
        <v>42917</v>
      </c>
      <c r="B922" s="517" t="str">
        <f t="shared" si="131"/>
        <v>3Q17</v>
      </c>
      <c r="C922" s="517" t="str">
        <f t="shared" si="132"/>
        <v>3Q17</v>
      </c>
      <c r="D922" s="518">
        <f t="shared" si="123"/>
        <v>43007</v>
      </c>
      <c r="E922" s="518">
        <f t="shared" si="124"/>
        <v>42947</v>
      </c>
      <c r="F922" s="520">
        <v>2.5310000000000001</v>
      </c>
      <c r="G922" s="521">
        <f t="shared" si="128"/>
        <v>0.28000000000000008</v>
      </c>
      <c r="H922" s="521">
        <f t="shared" si="129"/>
        <v>0.29000000000000009</v>
      </c>
    </row>
    <row r="923" spans="1:120" x14ac:dyDescent="0.2">
      <c r="A923" s="517">
        <f t="shared" si="130"/>
        <v>42948</v>
      </c>
      <c r="B923" s="517" t="str">
        <f t="shared" si="131"/>
        <v>3Q17</v>
      </c>
      <c r="C923" s="517" t="str">
        <f t="shared" si="132"/>
        <v>4Q17</v>
      </c>
      <c r="D923" s="518">
        <f t="shared" si="123"/>
        <v>43014</v>
      </c>
      <c r="E923" s="518">
        <f t="shared" si="124"/>
        <v>42954</v>
      </c>
      <c r="F923" s="520">
        <v>2.581</v>
      </c>
      <c r="G923" s="521">
        <f t="shared" si="128"/>
        <v>0.29000000000000009</v>
      </c>
      <c r="H923" s="521">
        <f t="shared" si="129"/>
        <v>0.29000000000000009</v>
      </c>
    </row>
    <row r="924" spans="1:120" x14ac:dyDescent="0.2">
      <c r="A924" s="517">
        <f t="shared" si="130"/>
        <v>42948</v>
      </c>
      <c r="B924" s="517" t="str">
        <f t="shared" si="131"/>
        <v>3Q17</v>
      </c>
      <c r="C924" s="517" t="str">
        <f t="shared" si="132"/>
        <v>4Q17</v>
      </c>
      <c r="D924" s="518">
        <f t="shared" si="123"/>
        <v>43021</v>
      </c>
      <c r="E924" s="518">
        <f t="shared" si="124"/>
        <v>42961</v>
      </c>
      <c r="F924" s="520">
        <v>2.5979999999999999</v>
      </c>
      <c r="G924" s="521">
        <f t="shared" si="128"/>
        <v>0.29000000000000009</v>
      </c>
      <c r="H924" s="521">
        <f t="shared" si="129"/>
        <v>0.29000000000000009</v>
      </c>
    </row>
    <row r="925" spans="1:120" x14ac:dyDescent="0.2">
      <c r="A925" s="517">
        <f t="shared" si="130"/>
        <v>42948</v>
      </c>
      <c r="B925" s="517" t="str">
        <f t="shared" si="131"/>
        <v>3Q17</v>
      </c>
      <c r="C925" s="517" t="str">
        <f t="shared" si="132"/>
        <v>4Q17</v>
      </c>
      <c r="D925" s="518">
        <f t="shared" si="123"/>
        <v>43028</v>
      </c>
      <c r="E925" s="518">
        <f t="shared" si="124"/>
        <v>42968</v>
      </c>
      <c r="F925" s="520">
        <v>2.5960000000000001</v>
      </c>
      <c r="G925" s="521">
        <f t="shared" si="128"/>
        <v>0.29000000000000009</v>
      </c>
      <c r="H925" s="521">
        <f t="shared" si="129"/>
        <v>0.3000000000000001</v>
      </c>
    </row>
    <row r="926" spans="1:120" x14ac:dyDescent="0.2">
      <c r="A926" s="517">
        <f t="shared" si="130"/>
        <v>42948</v>
      </c>
      <c r="B926" s="517" t="str">
        <f t="shared" si="131"/>
        <v>3Q17</v>
      </c>
      <c r="C926" s="517" t="str">
        <f t="shared" si="132"/>
        <v>4Q17</v>
      </c>
      <c r="D926" s="518">
        <f t="shared" si="123"/>
        <v>43035</v>
      </c>
      <c r="E926" s="518">
        <f t="shared" si="124"/>
        <v>42975</v>
      </c>
      <c r="F926" s="520">
        <v>2.605</v>
      </c>
      <c r="G926" s="521">
        <f t="shared" si="128"/>
        <v>0.3000000000000001</v>
      </c>
      <c r="H926" s="521">
        <f t="shared" si="129"/>
        <v>0.33000000000000013</v>
      </c>
    </row>
    <row r="927" spans="1:120" x14ac:dyDescent="0.2">
      <c r="A927" s="517">
        <f t="shared" si="130"/>
        <v>42979</v>
      </c>
      <c r="B927" s="517" t="str">
        <f t="shared" si="131"/>
        <v>3Q17</v>
      </c>
      <c r="C927" s="517" t="str">
        <f t="shared" si="132"/>
        <v>4Q17</v>
      </c>
      <c r="D927" s="518">
        <f t="shared" si="123"/>
        <v>43042</v>
      </c>
      <c r="E927" s="518">
        <f t="shared" si="124"/>
        <v>42982</v>
      </c>
      <c r="F927" s="520">
        <v>2.758</v>
      </c>
      <c r="G927" s="521">
        <f t="shared" si="128"/>
        <v>0.33000000000000013</v>
      </c>
      <c r="H927" s="521">
        <f t="shared" si="129"/>
        <v>0.34000000000000014</v>
      </c>
    </row>
    <row r="928" spans="1:120" x14ac:dyDescent="0.2">
      <c r="A928" s="517">
        <f t="shared" si="130"/>
        <v>42979</v>
      </c>
      <c r="B928" s="517" t="str">
        <f t="shared" si="131"/>
        <v>3Q17</v>
      </c>
      <c r="C928" s="517" t="str">
        <f t="shared" si="132"/>
        <v>4Q17</v>
      </c>
      <c r="D928" s="518">
        <f t="shared" si="123"/>
        <v>43049</v>
      </c>
      <c r="E928" s="518">
        <f t="shared" si="124"/>
        <v>42989</v>
      </c>
      <c r="F928" s="520">
        <v>2.802</v>
      </c>
      <c r="G928" s="521">
        <f t="shared" si="128"/>
        <v>0.34000000000000014</v>
      </c>
      <c r="H928" s="521">
        <f t="shared" si="129"/>
        <v>0.33000000000000013</v>
      </c>
    </row>
    <row r="929" spans="1:8" x14ac:dyDescent="0.2">
      <c r="A929" s="517">
        <f t="shared" si="130"/>
        <v>42979</v>
      </c>
      <c r="B929" s="517" t="str">
        <f t="shared" si="131"/>
        <v>3Q17</v>
      </c>
      <c r="C929" s="517" t="str">
        <f t="shared" si="132"/>
        <v>4Q17</v>
      </c>
      <c r="D929" s="518">
        <f t="shared" si="123"/>
        <v>43056</v>
      </c>
      <c r="E929" s="518">
        <f t="shared" si="124"/>
        <v>42996</v>
      </c>
      <c r="F929" s="520">
        <v>2.7909999999999999</v>
      </c>
      <c r="G929" s="521">
        <f t="shared" si="128"/>
        <v>0.33000000000000013</v>
      </c>
      <c r="H929" s="521">
        <f t="shared" si="129"/>
        <v>0.33000000000000013</v>
      </c>
    </row>
    <row r="930" spans="1:8" x14ac:dyDescent="0.2">
      <c r="A930" s="517">
        <f t="shared" si="130"/>
        <v>42979</v>
      </c>
      <c r="B930" s="517" t="str">
        <f t="shared" si="131"/>
        <v>3Q17</v>
      </c>
      <c r="C930" s="517" t="str">
        <f t="shared" si="132"/>
        <v>4Q17</v>
      </c>
      <c r="D930" s="518">
        <f t="shared" si="123"/>
        <v>43063</v>
      </c>
      <c r="E930" s="518">
        <f t="shared" si="124"/>
        <v>43003</v>
      </c>
      <c r="F930" s="520">
        <v>2.7879999999999998</v>
      </c>
      <c r="G930" s="521">
        <f t="shared" si="128"/>
        <v>0.33000000000000013</v>
      </c>
      <c r="H930" s="521">
        <f t="shared" si="129"/>
        <v>0.33000000000000013</v>
      </c>
    </row>
    <row r="931" spans="1:8" x14ac:dyDescent="0.2">
      <c r="A931" s="517">
        <f t="shared" si="130"/>
        <v>43009</v>
      </c>
      <c r="B931" s="517" t="str">
        <f t="shared" si="131"/>
        <v>4Q17</v>
      </c>
      <c r="C931" s="517" t="str">
        <f t="shared" si="132"/>
        <v>4Q17</v>
      </c>
      <c r="D931" s="518">
        <f t="shared" si="123"/>
        <v>43070</v>
      </c>
      <c r="E931" s="518">
        <f t="shared" si="124"/>
        <v>43010</v>
      </c>
      <c r="F931" s="520">
        <v>2.7919999999999998</v>
      </c>
      <c r="G931" s="521">
        <f t="shared" si="128"/>
        <v>0.33000000000000013</v>
      </c>
      <c r="H931" s="521">
        <f t="shared" si="129"/>
        <v>0.33000000000000013</v>
      </c>
    </row>
    <row r="932" spans="1:8" x14ac:dyDescent="0.2">
      <c r="A932" s="517">
        <f t="shared" si="130"/>
        <v>43009</v>
      </c>
      <c r="B932" s="517" t="str">
        <f t="shared" si="131"/>
        <v>4Q17</v>
      </c>
      <c r="C932" s="517" t="str">
        <f t="shared" si="132"/>
        <v>4Q17</v>
      </c>
      <c r="D932" s="518">
        <f t="shared" si="123"/>
        <v>43077</v>
      </c>
      <c r="E932" s="518">
        <f t="shared" si="124"/>
        <v>43017</v>
      </c>
      <c r="F932" s="520">
        <v>2.7759999999999998</v>
      </c>
      <c r="G932" s="521">
        <f t="shared" si="128"/>
        <v>0.33000000000000013</v>
      </c>
      <c r="H932" s="521">
        <f t="shared" si="129"/>
        <v>0.33000000000000013</v>
      </c>
    </row>
    <row r="933" spans="1:8" x14ac:dyDescent="0.2">
      <c r="A933" s="517">
        <f t="shared" si="130"/>
        <v>43009</v>
      </c>
      <c r="B933" s="517" t="str">
        <f t="shared" si="131"/>
        <v>4Q17</v>
      </c>
      <c r="C933" s="517" t="str">
        <f t="shared" si="132"/>
        <v>4Q17</v>
      </c>
      <c r="D933" s="518">
        <f t="shared" si="123"/>
        <v>43084</v>
      </c>
      <c r="E933" s="518">
        <f t="shared" si="124"/>
        <v>43024</v>
      </c>
      <c r="F933" s="520">
        <v>2.7869999999999999</v>
      </c>
      <c r="G933" s="521">
        <f t="shared" si="128"/>
        <v>0.33000000000000013</v>
      </c>
      <c r="H933" s="521">
        <f t="shared" si="129"/>
        <v>0.33000000000000013</v>
      </c>
    </row>
    <row r="934" spans="1:8" x14ac:dyDescent="0.2">
      <c r="A934" s="517">
        <f t="shared" si="130"/>
        <v>43009</v>
      </c>
      <c r="B934" s="517" t="str">
        <f t="shared" si="131"/>
        <v>4Q17</v>
      </c>
      <c r="C934" s="517" t="str">
        <f t="shared" si="132"/>
        <v>4Q17</v>
      </c>
      <c r="D934" s="518">
        <f t="shared" si="123"/>
        <v>43091</v>
      </c>
      <c r="E934" s="518">
        <f t="shared" si="124"/>
        <v>43031</v>
      </c>
      <c r="F934" s="520">
        <v>2.7970000000000002</v>
      </c>
      <c r="G934" s="521">
        <f t="shared" si="128"/>
        <v>0.33000000000000013</v>
      </c>
      <c r="H934" s="521">
        <f t="shared" si="129"/>
        <v>0.34000000000000014</v>
      </c>
    </row>
    <row r="935" spans="1:8" x14ac:dyDescent="0.2">
      <c r="A935" s="517">
        <f t="shared" si="130"/>
        <v>43009</v>
      </c>
      <c r="B935" s="517" t="str">
        <f t="shared" si="131"/>
        <v>4Q17</v>
      </c>
      <c r="C935" s="517" t="str">
        <f t="shared" si="132"/>
        <v>4Q17</v>
      </c>
      <c r="D935" s="518">
        <f t="shared" si="123"/>
        <v>43098</v>
      </c>
      <c r="E935" s="518">
        <f t="shared" si="124"/>
        <v>43038</v>
      </c>
      <c r="F935" s="520">
        <v>2.819</v>
      </c>
      <c r="G935" s="521">
        <f t="shared" si="128"/>
        <v>0.34000000000000014</v>
      </c>
      <c r="H935" s="521">
        <f t="shared" si="129"/>
        <v>0.35000000000000014</v>
      </c>
    </row>
    <row r="936" spans="1:8" x14ac:dyDescent="0.2">
      <c r="A936" s="517">
        <f t="shared" si="130"/>
        <v>43040</v>
      </c>
      <c r="B936" s="517" t="str">
        <f t="shared" si="131"/>
        <v>4Q17</v>
      </c>
      <c r="C936" s="517" t="str">
        <f t="shared" si="132"/>
        <v>1Q18</v>
      </c>
      <c r="D936" s="518">
        <f t="shared" si="123"/>
        <v>43105</v>
      </c>
      <c r="E936" s="518">
        <f t="shared" si="124"/>
        <v>43045</v>
      </c>
      <c r="F936" s="520">
        <v>2.8820000000000001</v>
      </c>
      <c r="G936" s="521">
        <f t="shared" si="128"/>
        <v>0.35000000000000014</v>
      </c>
      <c r="H936" s="521">
        <f t="shared" si="129"/>
        <v>0.36000000000000015</v>
      </c>
    </row>
    <row r="937" spans="1:8" x14ac:dyDescent="0.2">
      <c r="A937" s="517">
        <f t="shared" si="130"/>
        <v>43040</v>
      </c>
      <c r="B937" s="517" t="str">
        <f t="shared" si="131"/>
        <v>4Q17</v>
      </c>
      <c r="C937" s="517" t="str">
        <f t="shared" si="132"/>
        <v>1Q18</v>
      </c>
      <c r="D937" s="518">
        <f t="shared" si="123"/>
        <v>43112</v>
      </c>
      <c r="E937" s="518">
        <f t="shared" si="124"/>
        <v>43052</v>
      </c>
      <c r="F937" s="520">
        <v>2.915</v>
      </c>
      <c r="G937" s="521">
        <f t="shared" si="128"/>
        <v>0.36000000000000015</v>
      </c>
      <c r="H937" s="521">
        <f t="shared" si="129"/>
        <v>0.36000000000000015</v>
      </c>
    </row>
    <row r="938" spans="1:8" x14ac:dyDescent="0.2">
      <c r="A938" s="517">
        <f t="shared" si="130"/>
        <v>43040</v>
      </c>
      <c r="B938" s="517" t="str">
        <f t="shared" si="131"/>
        <v>4Q17</v>
      </c>
      <c r="C938" s="517" t="str">
        <f t="shared" si="132"/>
        <v>1Q18</v>
      </c>
      <c r="D938" s="518">
        <f t="shared" si="123"/>
        <v>43119</v>
      </c>
      <c r="E938" s="518">
        <f t="shared" si="124"/>
        <v>43059</v>
      </c>
      <c r="F938" s="520">
        <v>2.9119999999999999</v>
      </c>
      <c r="G938" s="521">
        <f t="shared" si="128"/>
        <v>0.36000000000000015</v>
      </c>
      <c r="H938" s="521">
        <f t="shared" si="129"/>
        <v>0.36000000000000015</v>
      </c>
    </row>
    <row r="939" spans="1:8" x14ac:dyDescent="0.2">
      <c r="A939" s="517">
        <f t="shared" si="130"/>
        <v>43040</v>
      </c>
      <c r="B939" s="517" t="str">
        <f t="shared" si="131"/>
        <v>4Q17</v>
      </c>
      <c r="C939" s="517" t="str">
        <f t="shared" si="132"/>
        <v>1Q18</v>
      </c>
      <c r="D939" s="518">
        <f t="shared" si="123"/>
        <v>43126</v>
      </c>
      <c r="E939" s="518">
        <f t="shared" si="124"/>
        <v>43066</v>
      </c>
      <c r="F939" s="520">
        <v>2.9260000000000002</v>
      </c>
      <c r="G939" s="521">
        <f t="shared" si="128"/>
        <v>0.36000000000000015</v>
      </c>
      <c r="H939" s="521">
        <f t="shared" si="129"/>
        <v>0.36000000000000015</v>
      </c>
    </row>
    <row r="940" spans="1:8" x14ac:dyDescent="0.2">
      <c r="A940" s="517">
        <f t="shared" si="130"/>
        <v>43070</v>
      </c>
      <c r="B940" s="517" t="str">
        <f t="shared" si="131"/>
        <v>4Q17</v>
      </c>
      <c r="C940" s="517" t="str">
        <f t="shared" si="132"/>
        <v>1Q18</v>
      </c>
      <c r="D940" s="518">
        <f t="shared" si="123"/>
        <v>43133</v>
      </c>
      <c r="E940" s="518">
        <f t="shared" si="124"/>
        <v>43073</v>
      </c>
      <c r="F940" s="520">
        <v>2.9220000000000002</v>
      </c>
      <c r="G940" s="521">
        <f t="shared" si="128"/>
        <v>0.36000000000000015</v>
      </c>
      <c r="H940" s="521">
        <f t="shared" si="129"/>
        <v>0.36000000000000015</v>
      </c>
    </row>
    <row r="941" spans="1:8" x14ac:dyDescent="0.2">
      <c r="A941" s="517">
        <f t="shared" si="130"/>
        <v>43070</v>
      </c>
      <c r="B941" s="517" t="str">
        <f t="shared" si="131"/>
        <v>4Q17</v>
      </c>
      <c r="C941" s="517" t="str">
        <f t="shared" si="132"/>
        <v>1Q18</v>
      </c>
      <c r="D941" s="518">
        <f t="shared" si="123"/>
        <v>43140</v>
      </c>
      <c r="E941" s="518">
        <f t="shared" si="124"/>
        <v>43080</v>
      </c>
      <c r="F941" s="520">
        <v>2.91</v>
      </c>
      <c r="G941" s="521">
        <f t="shared" si="128"/>
        <v>0.36000000000000015</v>
      </c>
      <c r="H941" s="521">
        <f t="shared" si="129"/>
        <v>0.36000000000000015</v>
      </c>
    </row>
    <row r="942" spans="1:8" x14ac:dyDescent="0.2">
      <c r="A942" s="517">
        <f t="shared" si="130"/>
        <v>43070</v>
      </c>
      <c r="B942" s="517" t="str">
        <f t="shared" si="131"/>
        <v>4Q17</v>
      </c>
      <c r="C942" s="517" t="str">
        <f t="shared" si="132"/>
        <v>1Q18</v>
      </c>
      <c r="D942" s="518">
        <f t="shared" si="123"/>
        <v>43147</v>
      </c>
      <c r="E942" s="518">
        <f t="shared" si="124"/>
        <v>43087</v>
      </c>
      <c r="F942" s="520">
        <v>2.9009999999999998</v>
      </c>
      <c r="G942" s="521">
        <f t="shared" si="128"/>
        <v>0.36000000000000015</v>
      </c>
      <c r="H942" s="521">
        <f t="shared" si="129"/>
        <v>0.36000000000000015</v>
      </c>
    </row>
    <row r="943" spans="1:8" x14ac:dyDescent="0.2">
      <c r="A943" s="517">
        <f t="shared" si="130"/>
        <v>43070</v>
      </c>
      <c r="B943" s="517" t="str">
        <f t="shared" si="131"/>
        <v>4Q17</v>
      </c>
      <c r="C943" s="517" t="str">
        <f t="shared" si="132"/>
        <v>1Q18</v>
      </c>
      <c r="D943" s="518">
        <f t="shared" si="123"/>
        <v>43154</v>
      </c>
      <c r="E943" s="518">
        <f t="shared" si="124"/>
        <v>43094</v>
      </c>
      <c r="F943" s="520">
        <v>2.903</v>
      </c>
      <c r="G943" s="521">
        <f>INDEX($I$4:$K$153,MATCH(F943,$I$4:$I$153,1),3)</f>
        <v>0.36000000000000015</v>
      </c>
      <c r="H943" s="521">
        <f>G944</f>
        <v>0.37000000000000016</v>
      </c>
    </row>
    <row r="944" spans="1:8" x14ac:dyDescent="0.2">
      <c r="A944" s="517">
        <f t="shared" ref="A944:A956" si="133">DATE(YEAR(E944),MONTH(E944),1)</f>
        <v>43101</v>
      </c>
      <c r="B944" s="517" t="str">
        <f t="shared" ref="B944:B956" si="134">VLOOKUP(MONTH(A944),$N$4:$O$16,2,FALSE) &amp; "Q" &amp; RIGHT(YEAR(A944),2)</f>
        <v>1Q18</v>
      </c>
      <c r="C944" s="517" t="str">
        <f t="shared" ref="C944:C956" si="135">VLOOKUP(MONTH(D944),$N$4:$O$16,2,FALSE) &amp; "Q" &amp; RIGHT(YEAR(D944),2)</f>
        <v>1Q18</v>
      </c>
      <c r="D944" s="518">
        <f t="shared" si="123"/>
        <v>43161</v>
      </c>
      <c r="E944" s="518">
        <f t="shared" si="124"/>
        <v>43101</v>
      </c>
      <c r="F944" s="520">
        <v>2.9729999999999999</v>
      </c>
      <c r="G944" s="521">
        <f t="shared" ref="G944:G995" si="136">INDEX($I$4:$K$153,MATCH(F944,$I$4:$I$153,1),3)</f>
        <v>0.37000000000000016</v>
      </c>
      <c r="H944" s="521">
        <f t="shared" ref="H944:H995" si="137">G945</f>
        <v>0.37000000000000016</v>
      </c>
    </row>
    <row r="945" spans="1:8" x14ac:dyDescent="0.2">
      <c r="A945" s="517">
        <f t="shared" si="133"/>
        <v>43101</v>
      </c>
      <c r="B945" s="517" t="str">
        <f t="shared" si="134"/>
        <v>1Q18</v>
      </c>
      <c r="C945" s="517" t="str">
        <f t="shared" si="135"/>
        <v>1Q18</v>
      </c>
      <c r="D945" s="518">
        <f t="shared" si="123"/>
        <v>43168</v>
      </c>
      <c r="E945" s="518">
        <f t="shared" si="124"/>
        <v>43108</v>
      </c>
      <c r="F945" s="520">
        <v>2.996</v>
      </c>
      <c r="G945" s="521">
        <f t="shared" si="136"/>
        <v>0.37000000000000016</v>
      </c>
      <c r="H945" s="521">
        <f t="shared" si="137"/>
        <v>0.38000000000000017</v>
      </c>
    </row>
    <row r="946" spans="1:8" x14ac:dyDescent="0.2">
      <c r="A946" s="517">
        <f t="shared" si="133"/>
        <v>43101</v>
      </c>
      <c r="B946" s="517" t="str">
        <f t="shared" si="134"/>
        <v>1Q18</v>
      </c>
      <c r="C946" s="517" t="str">
        <f t="shared" si="135"/>
        <v>1Q18</v>
      </c>
      <c r="D946" s="518">
        <f t="shared" si="123"/>
        <v>43175</v>
      </c>
      <c r="E946" s="518">
        <f t="shared" si="124"/>
        <v>43115</v>
      </c>
      <c r="F946" s="520">
        <v>3.028</v>
      </c>
      <c r="G946" s="521">
        <f t="shared" si="136"/>
        <v>0.38000000000000017</v>
      </c>
      <c r="H946" s="521">
        <f t="shared" si="137"/>
        <v>0.38000000000000017</v>
      </c>
    </row>
    <row r="947" spans="1:8" x14ac:dyDescent="0.2">
      <c r="A947" s="517">
        <f t="shared" si="133"/>
        <v>43101</v>
      </c>
      <c r="B947" s="517" t="str">
        <f t="shared" si="134"/>
        <v>1Q18</v>
      </c>
      <c r="C947" s="517" t="str">
        <f t="shared" si="135"/>
        <v>1Q18</v>
      </c>
      <c r="D947" s="518">
        <f t="shared" si="123"/>
        <v>43182</v>
      </c>
      <c r="E947" s="518">
        <f t="shared" si="124"/>
        <v>43122</v>
      </c>
      <c r="F947" s="520">
        <v>3.0249999999999999</v>
      </c>
      <c r="G947" s="521">
        <f t="shared" si="136"/>
        <v>0.38000000000000017</v>
      </c>
      <c r="H947" s="521">
        <f t="shared" si="137"/>
        <v>0.39000000000000018</v>
      </c>
    </row>
    <row r="948" spans="1:8" x14ac:dyDescent="0.2">
      <c r="A948" s="517">
        <f t="shared" si="133"/>
        <v>43101</v>
      </c>
      <c r="B948" s="517" t="str">
        <f t="shared" si="134"/>
        <v>1Q18</v>
      </c>
      <c r="C948" s="517" t="str">
        <f t="shared" si="135"/>
        <v>1Q18</v>
      </c>
      <c r="D948" s="518">
        <f t="shared" si="123"/>
        <v>43189</v>
      </c>
      <c r="E948" s="518">
        <f t="shared" si="124"/>
        <v>43129</v>
      </c>
      <c r="F948" s="520">
        <v>3.07</v>
      </c>
      <c r="G948" s="521">
        <f t="shared" si="136"/>
        <v>0.39000000000000018</v>
      </c>
      <c r="H948" s="521">
        <f t="shared" si="137"/>
        <v>0.39000000000000018</v>
      </c>
    </row>
    <row r="949" spans="1:8" x14ac:dyDescent="0.2">
      <c r="A949" s="517">
        <f t="shared" si="133"/>
        <v>43132</v>
      </c>
      <c r="B949" s="517" t="str">
        <f t="shared" si="134"/>
        <v>1Q18</v>
      </c>
      <c r="C949" s="517" t="str">
        <f t="shared" si="135"/>
        <v>2Q18</v>
      </c>
      <c r="D949" s="518">
        <f t="shared" si="123"/>
        <v>43196</v>
      </c>
      <c r="E949" s="518">
        <f t="shared" si="124"/>
        <v>43136</v>
      </c>
      <c r="F949" s="520">
        <v>3.0859999999999999</v>
      </c>
      <c r="G949" s="521">
        <f t="shared" si="136"/>
        <v>0.39000000000000018</v>
      </c>
      <c r="H949" s="521">
        <f t="shared" si="137"/>
        <v>0.39000000000000018</v>
      </c>
    </row>
    <row r="950" spans="1:8" x14ac:dyDescent="0.2">
      <c r="A950" s="517">
        <f t="shared" si="133"/>
        <v>43132</v>
      </c>
      <c r="B950" s="517" t="str">
        <f t="shared" si="134"/>
        <v>1Q18</v>
      </c>
      <c r="C950" s="517" t="str">
        <f t="shared" si="135"/>
        <v>2Q18</v>
      </c>
      <c r="D950" s="518">
        <f t="shared" si="123"/>
        <v>43203</v>
      </c>
      <c r="E950" s="518">
        <f t="shared" si="124"/>
        <v>43143</v>
      </c>
      <c r="F950" s="520">
        <v>3.0630000000000002</v>
      </c>
      <c r="G950" s="521">
        <f t="shared" si="136"/>
        <v>0.39000000000000018</v>
      </c>
      <c r="H950" s="521">
        <f t="shared" si="137"/>
        <v>0.38000000000000017</v>
      </c>
    </row>
    <row r="951" spans="1:8" x14ac:dyDescent="0.2">
      <c r="A951" s="517">
        <f t="shared" si="133"/>
        <v>43132</v>
      </c>
      <c r="B951" s="517" t="str">
        <f t="shared" si="134"/>
        <v>1Q18</v>
      </c>
      <c r="C951" s="517" t="str">
        <f t="shared" si="135"/>
        <v>2Q18</v>
      </c>
      <c r="D951" s="518">
        <f t="shared" si="123"/>
        <v>43210</v>
      </c>
      <c r="E951" s="518">
        <f t="shared" si="124"/>
        <v>43150</v>
      </c>
      <c r="F951" s="520">
        <v>3.0270000000000001</v>
      </c>
      <c r="G951" s="521">
        <f t="shared" si="136"/>
        <v>0.38000000000000017</v>
      </c>
      <c r="H951" s="521">
        <f t="shared" si="137"/>
        <v>0.38000000000000017</v>
      </c>
    </row>
    <row r="952" spans="1:8" x14ac:dyDescent="0.2">
      <c r="A952" s="517">
        <f t="shared" si="133"/>
        <v>43132</v>
      </c>
      <c r="B952" s="517" t="str">
        <f t="shared" si="134"/>
        <v>1Q18</v>
      </c>
      <c r="C952" s="517" t="str">
        <f t="shared" si="135"/>
        <v>2Q18</v>
      </c>
      <c r="D952" s="518">
        <f t="shared" si="123"/>
        <v>43217</v>
      </c>
      <c r="E952" s="518">
        <f t="shared" si="124"/>
        <v>43157</v>
      </c>
      <c r="F952" s="520">
        <v>3.0070000000000001</v>
      </c>
      <c r="G952" s="521">
        <f t="shared" si="136"/>
        <v>0.38000000000000017</v>
      </c>
      <c r="H952" s="521">
        <f t="shared" si="137"/>
        <v>0.37000000000000016</v>
      </c>
    </row>
    <row r="953" spans="1:8" x14ac:dyDescent="0.2">
      <c r="A953" s="517">
        <f t="shared" si="133"/>
        <v>43160</v>
      </c>
      <c r="B953" s="517" t="str">
        <f t="shared" si="134"/>
        <v>1Q18</v>
      </c>
      <c r="C953" s="517" t="str">
        <f t="shared" si="135"/>
        <v>2Q18</v>
      </c>
      <c r="D953" s="518">
        <f t="shared" ref="D953:E965" si="138">D952+7</f>
        <v>43224</v>
      </c>
      <c r="E953" s="518">
        <f t="shared" si="138"/>
        <v>43164</v>
      </c>
      <c r="F953" s="520">
        <v>2.992</v>
      </c>
      <c r="G953" s="521">
        <f t="shared" si="136"/>
        <v>0.37000000000000016</v>
      </c>
      <c r="H953" s="521">
        <f t="shared" si="137"/>
        <v>0.37000000000000016</v>
      </c>
    </row>
    <row r="954" spans="1:8" x14ac:dyDescent="0.2">
      <c r="A954" s="517">
        <f t="shared" si="133"/>
        <v>43160</v>
      </c>
      <c r="B954" s="517" t="str">
        <f t="shared" si="134"/>
        <v>1Q18</v>
      </c>
      <c r="C954" s="517" t="str">
        <f t="shared" si="135"/>
        <v>2Q18</v>
      </c>
      <c r="D954" s="518">
        <f t="shared" si="138"/>
        <v>43231</v>
      </c>
      <c r="E954" s="518">
        <f t="shared" si="138"/>
        <v>43171</v>
      </c>
      <c r="F954" s="520">
        <v>2.976</v>
      </c>
      <c r="G954" s="521">
        <f t="shared" si="136"/>
        <v>0.37000000000000016</v>
      </c>
      <c r="H954" s="521">
        <f t="shared" si="137"/>
        <v>0.37000000000000016</v>
      </c>
    </row>
    <row r="955" spans="1:8" x14ac:dyDescent="0.2">
      <c r="A955" s="517">
        <f t="shared" si="133"/>
        <v>43160</v>
      </c>
      <c r="B955" s="517" t="str">
        <f t="shared" si="134"/>
        <v>1Q18</v>
      </c>
      <c r="C955" s="517" t="str">
        <f t="shared" si="135"/>
        <v>2Q18</v>
      </c>
      <c r="D955" s="518">
        <f t="shared" si="138"/>
        <v>43238</v>
      </c>
      <c r="E955" s="518">
        <f t="shared" si="138"/>
        <v>43178</v>
      </c>
      <c r="F955" s="520">
        <v>2.972</v>
      </c>
      <c r="G955" s="521">
        <f t="shared" si="136"/>
        <v>0.37000000000000016</v>
      </c>
      <c r="H955" s="521">
        <f t="shared" si="137"/>
        <v>0.38000000000000017</v>
      </c>
    </row>
    <row r="956" spans="1:8" x14ac:dyDescent="0.2">
      <c r="A956" s="517">
        <f t="shared" si="133"/>
        <v>43160</v>
      </c>
      <c r="B956" s="517" t="str">
        <f t="shared" si="134"/>
        <v>1Q18</v>
      </c>
      <c r="C956" s="517" t="str">
        <f t="shared" si="135"/>
        <v>2Q18</v>
      </c>
      <c r="D956" s="518">
        <f t="shared" si="138"/>
        <v>43245</v>
      </c>
      <c r="E956" s="518">
        <f t="shared" si="138"/>
        <v>43185</v>
      </c>
      <c r="F956" s="520">
        <v>3.01</v>
      </c>
      <c r="G956" s="521">
        <f t="shared" si="136"/>
        <v>0.38000000000000017</v>
      </c>
      <c r="H956" s="521">
        <f t="shared" si="137"/>
        <v>0.38000000000000017</v>
      </c>
    </row>
    <row r="957" spans="1:8" x14ac:dyDescent="0.2">
      <c r="A957" s="517">
        <f t="shared" ref="A957:A996" si="139">DATE(YEAR(E957),MONTH(E957),1)</f>
        <v>43191</v>
      </c>
      <c r="B957" s="517" t="str">
        <f t="shared" ref="B957:B996" si="140">VLOOKUP(MONTH(A957),$N$4:$O$16,2,FALSE) &amp; "Q" &amp; RIGHT(YEAR(A957),2)</f>
        <v>2Q18</v>
      </c>
      <c r="C957" s="517" t="str">
        <f t="shared" ref="C957:C996" si="141">VLOOKUP(MONTH(D957),$N$4:$O$16,2,FALSE) &amp; "Q" &amp; RIGHT(YEAR(D957),2)</f>
        <v>2Q18</v>
      </c>
      <c r="D957" s="518">
        <f t="shared" si="138"/>
        <v>43252</v>
      </c>
      <c r="E957" s="518">
        <f t="shared" si="138"/>
        <v>43192</v>
      </c>
      <c r="F957" s="520">
        <v>3.0419999999999998</v>
      </c>
      <c r="G957" s="521">
        <f t="shared" si="136"/>
        <v>0.38000000000000017</v>
      </c>
      <c r="H957" s="521">
        <f t="shared" si="137"/>
        <v>0.38000000000000017</v>
      </c>
    </row>
    <row r="958" spans="1:8" x14ac:dyDescent="0.2">
      <c r="A958" s="517">
        <f t="shared" si="139"/>
        <v>43191</v>
      </c>
      <c r="B958" s="517" t="str">
        <f t="shared" si="140"/>
        <v>2Q18</v>
      </c>
      <c r="C958" s="517" t="str">
        <f t="shared" si="141"/>
        <v>2Q18</v>
      </c>
      <c r="D958" s="518">
        <f t="shared" si="138"/>
        <v>43259</v>
      </c>
      <c r="E958" s="518">
        <f t="shared" si="138"/>
        <v>43199</v>
      </c>
      <c r="F958" s="520">
        <v>3.0430000000000001</v>
      </c>
      <c r="G958" s="521">
        <f t="shared" si="136"/>
        <v>0.38000000000000017</v>
      </c>
      <c r="H958" s="521">
        <f t="shared" si="137"/>
        <v>0.40000000000000019</v>
      </c>
    </row>
    <row r="959" spans="1:8" x14ac:dyDescent="0.2">
      <c r="A959" s="517">
        <f t="shared" si="139"/>
        <v>43191</v>
      </c>
      <c r="B959" s="517" t="str">
        <f t="shared" si="140"/>
        <v>2Q18</v>
      </c>
      <c r="C959" s="517" t="str">
        <f t="shared" si="141"/>
        <v>2Q18</v>
      </c>
      <c r="D959" s="518">
        <f t="shared" si="138"/>
        <v>43266</v>
      </c>
      <c r="E959" s="518">
        <f t="shared" si="138"/>
        <v>43206</v>
      </c>
      <c r="F959" s="520">
        <v>3.1040000000000001</v>
      </c>
      <c r="G959" s="521">
        <f t="shared" si="136"/>
        <v>0.40000000000000019</v>
      </c>
      <c r="H959" s="521">
        <f t="shared" si="137"/>
        <v>0.40000000000000019</v>
      </c>
    </row>
    <row r="960" spans="1:8" x14ac:dyDescent="0.2">
      <c r="A960" s="517">
        <f t="shared" si="139"/>
        <v>43191</v>
      </c>
      <c r="B960" s="517" t="str">
        <f t="shared" si="140"/>
        <v>2Q18</v>
      </c>
      <c r="C960" s="517" t="str">
        <f t="shared" si="141"/>
        <v>2Q18</v>
      </c>
      <c r="D960" s="518">
        <f t="shared" si="138"/>
        <v>43273</v>
      </c>
      <c r="E960" s="518">
        <f t="shared" si="138"/>
        <v>43213</v>
      </c>
      <c r="F960" s="533">
        <f t="shared" ref="F960:F1016" si="142">F959</f>
        <v>3.1040000000000001</v>
      </c>
      <c r="G960" s="521">
        <f t="shared" si="136"/>
        <v>0.40000000000000019</v>
      </c>
      <c r="H960" s="521">
        <f t="shared" si="137"/>
        <v>0.40000000000000019</v>
      </c>
    </row>
    <row r="961" spans="1:8" x14ac:dyDescent="0.2">
      <c r="A961" s="517">
        <f t="shared" si="139"/>
        <v>43191</v>
      </c>
      <c r="B961" s="517" t="str">
        <f t="shared" si="140"/>
        <v>2Q18</v>
      </c>
      <c r="C961" s="517" t="str">
        <f t="shared" si="141"/>
        <v>2Q18</v>
      </c>
      <c r="D961" s="518">
        <f t="shared" si="138"/>
        <v>43280</v>
      </c>
      <c r="E961" s="518">
        <f t="shared" si="138"/>
        <v>43220</v>
      </c>
      <c r="F961" s="533">
        <f t="shared" si="142"/>
        <v>3.1040000000000001</v>
      </c>
      <c r="G961" s="521">
        <f t="shared" si="136"/>
        <v>0.40000000000000019</v>
      </c>
      <c r="H961" s="521">
        <f t="shared" si="137"/>
        <v>0.40000000000000019</v>
      </c>
    </row>
    <row r="962" spans="1:8" x14ac:dyDescent="0.2">
      <c r="A962" s="517">
        <f t="shared" si="139"/>
        <v>43221</v>
      </c>
      <c r="B962" s="517" t="str">
        <f t="shared" si="140"/>
        <v>2Q18</v>
      </c>
      <c r="C962" s="517" t="str">
        <f t="shared" si="141"/>
        <v>3Q18</v>
      </c>
      <c r="D962" s="518">
        <f t="shared" si="138"/>
        <v>43287</v>
      </c>
      <c r="E962" s="518">
        <f t="shared" si="138"/>
        <v>43227</v>
      </c>
      <c r="F962" s="533">
        <f t="shared" si="142"/>
        <v>3.1040000000000001</v>
      </c>
      <c r="G962" s="521">
        <f t="shared" si="136"/>
        <v>0.40000000000000019</v>
      </c>
      <c r="H962" s="521">
        <f t="shared" si="137"/>
        <v>0.40000000000000019</v>
      </c>
    </row>
    <row r="963" spans="1:8" x14ac:dyDescent="0.2">
      <c r="A963" s="517">
        <f t="shared" si="139"/>
        <v>43221</v>
      </c>
      <c r="B963" s="517" t="str">
        <f t="shared" si="140"/>
        <v>2Q18</v>
      </c>
      <c r="C963" s="517" t="str">
        <f t="shared" si="141"/>
        <v>3Q18</v>
      </c>
      <c r="D963" s="518">
        <f t="shared" si="138"/>
        <v>43294</v>
      </c>
      <c r="E963" s="518">
        <f t="shared" si="138"/>
        <v>43234</v>
      </c>
      <c r="F963" s="533">
        <f t="shared" si="142"/>
        <v>3.1040000000000001</v>
      </c>
      <c r="G963" s="521">
        <f t="shared" si="136"/>
        <v>0.40000000000000019</v>
      </c>
      <c r="H963" s="521">
        <f t="shared" si="137"/>
        <v>0.40000000000000019</v>
      </c>
    </row>
    <row r="964" spans="1:8" x14ac:dyDescent="0.2">
      <c r="A964" s="517">
        <f t="shared" si="139"/>
        <v>43221</v>
      </c>
      <c r="B964" s="517" t="str">
        <f t="shared" si="140"/>
        <v>2Q18</v>
      </c>
      <c r="C964" s="517" t="str">
        <f t="shared" si="141"/>
        <v>3Q18</v>
      </c>
      <c r="D964" s="518">
        <f t="shared" si="138"/>
        <v>43301</v>
      </c>
      <c r="E964" s="518">
        <f t="shared" si="138"/>
        <v>43241</v>
      </c>
      <c r="F964" s="533">
        <f t="shared" si="142"/>
        <v>3.1040000000000001</v>
      </c>
      <c r="G964" s="521">
        <f t="shared" si="136"/>
        <v>0.40000000000000019</v>
      </c>
      <c r="H964" s="521">
        <f t="shared" si="137"/>
        <v>0.40000000000000019</v>
      </c>
    </row>
    <row r="965" spans="1:8" x14ac:dyDescent="0.2">
      <c r="A965" s="517">
        <f t="shared" si="139"/>
        <v>43221</v>
      </c>
      <c r="B965" s="517" t="str">
        <f t="shared" si="140"/>
        <v>2Q18</v>
      </c>
      <c r="C965" s="517" t="str">
        <f t="shared" si="141"/>
        <v>3Q18</v>
      </c>
      <c r="D965" s="518">
        <f t="shared" si="138"/>
        <v>43308</v>
      </c>
      <c r="E965" s="518">
        <f t="shared" si="138"/>
        <v>43248</v>
      </c>
      <c r="F965" s="533">
        <f t="shared" si="142"/>
        <v>3.1040000000000001</v>
      </c>
      <c r="G965" s="521">
        <f t="shared" si="136"/>
        <v>0.40000000000000019</v>
      </c>
      <c r="H965" s="521">
        <f t="shared" si="137"/>
        <v>0.40000000000000019</v>
      </c>
    </row>
    <row r="966" spans="1:8" x14ac:dyDescent="0.2">
      <c r="A966" s="517">
        <f t="shared" si="139"/>
        <v>43252</v>
      </c>
      <c r="B966" s="517" t="str">
        <f t="shared" si="140"/>
        <v>2Q18</v>
      </c>
      <c r="C966" s="517" t="str">
        <f t="shared" si="141"/>
        <v>3Q18</v>
      </c>
      <c r="D966" s="518">
        <f>D965+7</f>
        <v>43315</v>
      </c>
      <c r="E966" s="518">
        <f>E965+7</f>
        <v>43255</v>
      </c>
      <c r="F966" s="533">
        <f t="shared" si="142"/>
        <v>3.1040000000000001</v>
      </c>
      <c r="G966" s="521">
        <f t="shared" si="136"/>
        <v>0.40000000000000019</v>
      </c>
      <c r="H966" s="521">
        <f t="shared" si="137"/>
        <v>0.40000000000000019</v>
      </c>
    </row>
    <row r="967" spans="1:8" x14ac:dyDescent="0.2">
      <c r="A967" s="517">
        <f t="shared" si="139"/>
        <v>43252</v>
      </c>
      <c r="B967" s="517" t="str">
        <f t="shared" si="140"/>
        <v>2Q18</v>
      </c>
      <c r="C967" s="517" t="str">
        <f t="shared" si="141"/>
        <v>3Q18</v>
      </c>
      <c r="D967" s="518">
        <f>D966+7</f>
        <v>43322</v>
      </c>
      <c r="E967" s="518">
        <f>E966+7</f>
        <v>43262</v>
      </c>
      <c r="F967" s="533">
        <f t="shared" si="142"/>
        <v>3.1040000000000001</v>
      </c>
      <c r="G967" s="521">
        <f t="shared" si="136"/>
        <v>0.40000000000000019</v>
      </c>
      <c r="H967" s="521">
        <f t="shared" si="137"/>
        <v>0.40000000000000019</v>
      </c>
    </row>
    <row r="968" spans="1:8" x14ac:dyDescent="0.2">
      <c r="A968" s="517">
        <f t="shared" si="139"/>
        <v>43252</v>
      </c>
      <c r="B968" s="517" t="str">
        <f t="shared" si="140"/>
        <v>2Q18</v>
      </c>
      <c r="C968" s="517" t="str">
        <f t="shared" si="141"/>
        <v>3Q18</v>
      </c>
      <c r="D968" s="518">
        <f t="shared" ref="D968:E983" si="143">D967+7</f>
        <v>43329</v>
      </c>
      <c r="E968" s="518">
        <f t="shared" si="143"/>
        <v>43269</v>
      </c>
      <c r="F968" s="533">
        <f t="shared" si="142"/>
        <v>3.1040000000000001</v>
      </c>
      <c r="G968" s="521">
        <f t="shared" si="136"/>
        <v>0.40000000000000019</v>
      </c>
      <c r="H968" s="521">
        <f t="shared" si="137"/>
        <v>0.40000000000000019</v>
      </c>
    </row>
    <row r="969" spans="1:8" x14ac:dyDescent="0.2">
      <c r="A969" s="517">
        <f t="shared" si="139"/>
        <v>43252</v>
      </c>
      <c r="B969" s="517" t="str">
        <f t="shared" si="140"/>
        <v>2Q18</v>
      </c>
      <c r="C969" s="517" t="str">
        <f t="shared" si="141"/>
        <v>3Q18</v>
      </c>
      <c r="D969" s="518">
        <f t="shared" si="143"/>
        <v>43336</v>
      </c>
      <c r="E969" s="518">
        <f t="shared" si="143"/>
        <v>43276</v>
      </c>
      <c r="F969" s="533">
        <f t="shared" si="142"/>
        <v>3.1040000000000001</v>
      </c>
      <c r="G969" s="521">
        <f t="shared" si="136"/>
        <v>0.40000000000000019</v>
      </c>
      <c r="H969" s="521">
        <f t="shared" si="137"/>
        <v>0.40000000000000019</v>
      </c>
    </row>
    <row r="970" spans="1:8" x14ac:dyDescent="0.2">
      <c r="A970" s="517">
        <f t="shared" si="139"/>
        <v>43282</v>
      </c>
      <c r="B970" s="517" t="str">
        <f t="shared" si="140"/>
        <v>3Q18</v>
      </c>
      <c r="C970" s="517" t="str">
        <f t="shared" si="141"/>
        <v>3Q18</v>
      </c>
      <c r="D970" s="518">
        <f t="shared" si="143"/>
        <v>43343</v>
      </c>
      <c r="E970" s="518">
        <f t="shared" si="143"/>
        <v>43283</v>
      </c>
      <c r="F970" s="533">
        <f t="shared" si="142"/>
        <v>3.1040000000000001</v>
      </c>
      <c r="G970" s="521">
        <f>INDEX($I$4:$K$153,MATCH(F970,$I$4:$I$153,1),3)</f>
        <v>0.40000000000000019</v>
      </c>
      <c r="H970" s="521">
        <f>G971</f>
        <v>0.40000000000000019</v>
      </c>
    </row>
    <row r="971" spans="1:8" x14ac:dyDescent="0.2">
      <c r="A971" s="517">
        <f t="shared" si="139"/>
        <v>43282</v>
      </c>
      <c r="B971" s="517" t="str">
        <f t="shared" si="140"/>
        <v>3Q18</v>
      </c>
      <c r="C971" s="517" t="str">
        <f t="shared" si="141"/>
        <v>3Q18</v>
      </c>
      <c r="D971" s="518">
        <f t="shared" si="143"/>
        <v>43350</v>
      </c>
      <c r="E971" s="518">
        <f t="shared" si="143"/>
        <v>43290</v>
      </c>
      <c r="F971" s="533">
        <f t="shared" si="142"/>
        <v>3.1040000000000001</v>
      </c>
      <c r="G971" s="521">
        <f t="shared" si="136"/>
        <v>0.40000000000000019</v>
      </c>
      <c r="H971" s="521">
        <f t="shared" si="137"/>
        <v>0.40000000000000019</v>
      </c>
    </row>
    <row r="972" spans="1:8" x14ac:dyDescent="0.2">
      <c r="A972" s="517">
        <f t="shared" si="139"/>
        <v>43282</v>
      </c>
      <c r="B972" s="517" t="str">
        <f t="shared" si="140"/>
        <v>3Q18</v>
      </c>
      <c r="C972" s="517" t="str">
        <f t="shared" si="141"/>
        <v>3Q18</v>
      </c>
      <c r="D972" s="518">
        <f t="shared" si="143"/>
        <v>43357</v>
      </c>
      <c r="E972" s="518">
        <f t="shared" si="143"/>
        <v>43297</v>
      </c>
      <c r="F972" s="533">
        <f t="shared" si="142"/>
        <v>3.1040000000000001</v>
      </c>
      <c r="G972" s="521">
        <f t="shared" si="136"/>
        <v>0.40000000000000019</v>
      </c>
      <c r="H972" s="521">
        <f t="shared" si="137"/>
        <v>0.40000000000000019</v>
      </c>
    </row>
    <row r="973" spans="1:8" x14ac:dyDescent="0.2">
      <c r="A973" s="517">
        <f t="shared" si="139"/>
        <v>43282</v>
      </c>
      <c r="B973" s="517" t="str">
        <f t="shared" si="140"/>
        <v>3Q18</v>
      </c>
      <c r="C973" s="517" t="str">
        <f t="shared" si="141"/>
        <v>3Q18</v>
      </c>
      <c r="D973" s="518">
        <f t="shared" si="143"/>
        <v>43364</v>
      </c>
      <c r="E973" s="518">
        <f t="shared" si="143"/>
        <v>43304</v>
      </c>
      <c r="F973" s="533">
        <f t="shared" si="142"/>
        <v>3.1040000000000001</v>
      </c>
      <c r="G973" s="521">
        <f t="shared" si="136"/>
        <v>0.40000000000000019</v>
      </c>
      <c r="H973" s="521">
        <f t="shared" si="137"/>
        <v>0.40000000000000019</v>
      </c>
    </row>
    <row r="974" spans="1:8" x14ac:dyDescent="0.2">
      <c r="A974" s="517">
        <f t="shared" si="139"/>
        <v>43282</v>
      </c>
      <c r="B974" s="517" t="str">
        <f t="shared" si="140"/>
        <v>3Q18</v>
      </c>
      <c r="C974" s="517" t="str">
        <f t="shared" si="141"/>
        <v>3Q18</v>
      </c>
      <c r="D974" s="518">
        <f t="shared" si="143"/>
        <v>43371</v>
      </c>
      <c r="E974" s="518">
        <f t="shared" si="143"/>
        <v>43311</v>
      </c>
      <c r="F974" s="533">
        <f t="shared" si="142"/>
        <v>3.1040000000000001</v>
      </c>
      <c r="G974" s="521">
        <f t="shared" si="136"/>
        <v>0.40000000000000019</v>
      </c>
      <c r="H974" s="521">
        <f t="shared" si="137"/>
        <v>0.40000000000000019</v>
      </c>
    </row>
    <row r="975" spans="1:8" x14ac:dyDescent="0.2">
      <c r="A975" s="517">
        <f t="shared" si="139"/>
        <v>43313</v>
      </c>
      <c r="B975" s="517" t="str">
        <f t="shared" si="140"/>
        <v>3Q18</v>
      </c>
      <c r="C975" s="517" t="str">
        <f t="shared" si="141"/>
        <v>4Q18</v>
      </c>
      <c r="D975" s="518">
        <f t="shared" si="143"/>
        <v>43378</v>
      </c>
      <c r="E975" s="518">
        <f t="shared" si="143"/>
        <v>43318</v>
      </c>
      <c r="F975" s="533">
        <f t="shared" si="142"/>
        <v>3.1040000000000001</v>
      </c>
      <c r="G975" s="521">
        <f t="shared" si="136"/>
        <v>0.40000000000000019</v>
      </c>
      <c r="H975" s="521">
        <f t="shared" si="137"/>
        <v>0.40000000000000019</v>
      </c>
    </row>
    <row r="976" spans="1:8" x14ac:dyDescent="0.2">
      <c r="A976" s="517">
        <f t="shared" si="139"/>
        <v>43313</v>
      </c>
      <c r="B976" s="517" t="str">
        <f t="shared" si="140"/>
        <v>3Q18</v>
      </c>
      <c r="C976" s="517" t="str">
        <f t="shared" si="141"/>
        <v>4Q18</v>
      </c>
      <c r="D976" s="518">
        <f t="shared" si="143"/>
        <v>43385</v>
      </c>
      <c r="E976" s="518">
        <f t="shared" si="143"/>
        <v>43325</v>
      </c>
      <c r="F976" s="533">
        <f t="shared" si="142"/>
        <v>3.1040000000000001</v>
      </c>
      <c r="G976" s="521">
        <f t="shared" si="136"/>
        <v>0.40000000000000019</v>
      </c>
      <c r="H976" s="521">
        <f t="shared" si="137"/>
        <v>0.40000000000000019</v>
      </c>
    </row>
    <row r="977" spans="1:8" x14ac:dyDescent="0.2">
      <c r="A977" s="517">
        <f t="shared" si="139"/>
        <v>43313</v>
      </c>
      <c r="B977" s="517" t="str">
        <f t="shared" si="140"/>
        <v>3Q18</v>
      </c>
      <c r="C977" s="517" t="str">
        <f t="shared" si="141"/>
        <v>4Q18</v>
      </c>
      <c r="D977" s="518">
        <f t="shared" si="143"/>
        <v>43392</v>
      </c>
      <c r="E977" s="518">
        <f t="shared" si="143"/>
        <v>43332</v>
      </c>
      <c r="F977" s="533">
        <f t="shared" si="142"/>
        <v>3.1040000000000001</v>
      </c>
      <c r="G977" s="521">
        <f t="shared" si="136"/>
        <v>0.40000000000000019</v>
      </c>
      <c r="H977" s="521">
        <f t="shared" si="137"/>
        <v>0.40000000000000019</v>
      </c>
    </row>
    <row r="978" spans="1:8" x14ac:dyDescent="0.2">
      <c r="A978" s="517">
        <f t="shared" si="139"/>
        <v>43313</v>
      </c>
      <c r="B978" s="517" t="str">
        <f t="shared" si="140"/>
        <v>3Q18</v>
      </c>
      <c r="C978" s="517" t="str">
        <f t="shared" si="141"/>
        <v>4Q18</v>
      </c>
      <c r="D978" s="518">
        <f t="shared" si="143"/>
        <v>43399</v>
      </c>
      <c r="E978" s="518">
        <f t="shared" si="143"/>
        <v>43339</v>
      </c>
      <c r="F978" s="533">
        <f t="shared" si="142"/>
        <v>3.1040000000000001</v>
      </c>
      <c r="G978" s="521">
        <f t="shared" si="136"/>
        <v>0.40000000000000019</v>
      </c>
      <c r="H978" s="521">
        <f t="shared" si="137"/>
        <v>0.40000000000000019</v>
      </c>
    </row>
    <row r="979" spans="1:8" x14ac:dyDescent="0.2">
      <c r="A979" s="517">
        <f t="shared" si="139"/>
        <v>43344</v>
      </c>
      <c r="B979" s="517" t="str">
        <f t="shared" si="140"/>
        <v>3Q18</v>
      </c>
      <c r="C979" s="517" t="str">
        <f t="shared" si="141"/>
        <v>4Q18</v>
      </c>
      <c r="D979" s="518">
        <f t="shared" si="143"/>
        <v>43406</v>
      </c>
      <c r="E979" s="518">
        <f t="shared" si="143"/>
        <v>43346</v>
      </c>
      <c r="F979" s="533">
        <f t="shared" si="142"/>
        <v>3.1040000000000001</v>
      </c>
      <c r="G979" s="521">
        <f t="shared" si="136"/>
        <v>0.40000000000000019</v>
      </c>
      <c r="H979" s="521">
        <f t="shared" si="137"/>
        <v>0.40000000000000019</v>
      </c>
    </row>
    <row r="980" spans="1:8" x14ac:dyDescent="0.2">
      <c r="A980" s="517">
        <f t="shared" si="139"/>
        <v>43344</v>
      </c>
      <c r="B980" s="517" t="str">
        <f t="shared" si="140"/>
        <v>3Q18</v>
      </c>
      <c r="C980" s="517" t="str">
        <f t="shared" si="141"/>
        <v>4Q18</v>
      </c>
      <c r="D980" s="518">
        <f t="shared" si="143"/>
        <v>43413</v>
      </c>
      <c r="E980" s="518">
        <f t="shared" si="143"/>
        <v>43353</v>
      </c>
      <c r="F980" s="533">
        <f t="shared" si="142"/>
        <v>3.1040000000000001</v>
      </c>
      <c r="G980" s="521">
        <f>INDEX($I$4:$K$153,MATCH(F980,$I$4:$I$153,1),3)</f>
        <v>0.40000000000000019</v>
      </c>
      <c r="H980" s="521">
        <f>G981</f>
        <v>0.40000000000000019</v>
      </c>
    </row>
    <row r="981" spans="1:8" x14ac:dyDescent="0.2">
      <c r="A981" s="517">
        <f t="shared" si="139"/>
        <v>43344</v>
      </c>
      <c r="B981" s="517" t="str">
        <f t="shared" si="140"/>
        <v>3Q18</v>
      </c>
      <c r="C981" s="517" t="str">
        <f t="shared" si="141"/>
        <v>4Q18</v>
      </c>
      <c r="D981" s="518">
        <f t="shared" si="143"/>
        <v>43420</v>
      </c>
      <c r="E981" s="518">
        <f t="shared" si="143"/>
        <v>43360</v>
      </c>
      <c r="F981" s="533">
        <f t="shared" si="142"/>
        <v>3.1040000000000001</v>
      </c>
      <c r="G981" s="521">
        <f t="shared" si="136"/>
        <v>0.40000000000000019</v>
      </c>
      <c r="H981" s="521">
        <f t="shared" si="137"/>
        <v>0.40000000000000019</v>
      </c>
    </row>
    <row r="982" spans="1:8" x14ac:dyDescent="0.2">
      <c r="A982" s="517">
        <f t="shared" si="139"/>
        <v>43344</v>
      </c>
      <c r="B982" s="517" t="str">
        <f t="shared" si="140"/>
        <v>3Q18</v>
      </c>
      <c r="C982" s="517" t="str">
        <f t="shared" si="141"/>
        <v>4Q18</v>
      </c>
      <c r="D982" s="518">
        <f t="shared" si="143"/>
        <v>43427</v>
      </c>
      <c r="E982" s="518">
        <f t="shared" si="143"/>
        <v>43367</v>
      </c>
      <c r="F982" s="533">
        <f t="shared" si="142"/>
        <v>3.1040000000000001</v>
      </c>
      <c r="G982" s="521">
        <f t="shared" si="136"/>
        <v>0.40000000000000019</v>
      </c>
      <c r="H982" s="521">
        <f t="shared" si="137"/>
        <v>0.40000000000000019</v>
      </c>
    </row>
    <row r="983" spans="1:8" x14ac:dyDescent="0.2">
      <c r="A983" s="517">
        <f t="shared" si="139"/>
        <v>43374</v>
      </c>
      <c r="B983" s="517" t="str">
        <f t="shared" si="140"/>
        <v>4Q18</v>
      </c>
      <c r="C983" s="517" t="str">
        <f t="shared" si="141"/>
        <v>4Q18</v>
      </c>
      <c r="D983" s="518">
        <f t="shared" si="143"/>
        <v>43434</v>
      </c>
      <c r="E983" s="518">
        <f t="shared" si="143"/>
        <v>43374</v>
      </c>
      <c r="F983" s="533">
        <f t="shared" si="142"/>
        <v>3.1040000000000001</v>
      </c>
      <c r="G983" s="521">
        <f t="shared" si="136"/>
        <v>0.40000000000000019</v>
      </c>
      <c r="H983" s="521">
        <f t="shared" si="137"/>
        <v>0.40000000000000019</v>
      </c>
    </row>
    <row r="984" spans="1:8" x14ac:dyDescent="0.2">
      <c r="A984" s="517">
        <f t="shared" si="139"/>
        <v>43374</v>
      </c>
      <c r="B984" s="517" t="str">
        <f t="shared" si="140"/>
        <v>4Q18</v>
      </c>
      <c r="C984" s="517" t="str">
        <f t="shared" si="141"/>
        <v>4Q18</v>
      </c>
      <c r="D984" s="518">
        <f t="shared" ref="D984:E989" si="144">D983+7</f>
        <v>43441</v>
      </c>
      <c r="E984" s="518">
        <f t="shared" si="144"/>
        <v>43381</v>
      </c>
      <c r="F984" s="533">
        <f t="shared" si="142"/>
        <v>3.1040000000000001</v>
      </c>
      <c r="G984" s="521">
        <f t="shared" si="136"/>
        <v>0.40000000000000019</v>
      </c>
      <c r="H984" s="521">
        <f t="shared" si="137"/>
        <v>0.40000000000000019</v>
      </c>
    </row>
    <row r="985" spans="1:8" x14ac:dyDescent="0.2">
      <c r="A985" s="517">
        <f t="shared" si="139"/>
        <v>43374</v>
      </c>
      <c r="B985" s="517" t="str">
        <f t="shared" si="140"/>
        <v>4Q18</v>
      </c>
      <c r="C985" s="517" t="str">
        <f t="shared" si="141"/>
        <v>4Q18</v>
      </c>
      <c r="D985" s="518">
        <f t="shared" si="144"/>
        <v>43448</v>
      </c>
      <c r="E985" s="518">
        <f t="shared" si="144"/>
        <v>43388</v>
      </c>
      <c r="F985" s="533">
        <f t="shared" si="142"/>
        <v>3.1040000000000001</v>
      </c>
      <c r="G985" s="521">
        <f t="shared" si="136"/>
        <v>0.40000000000000019</v>
      </c>
      <c r="H985" s="521">
        <f t="shared" si="137"/>
        <v>0.40000000000000019</v>
      </c>
    </row>
    <row r="986" spans="1:8" x14ac:dyDescent="0.2">
      <c r="A986" s="517">
        <f t="shared" si="139"/>
        <v>43374</v>
      </c>
      <c r="B986" s="517" t="str">
        <f t="shared" si="140"/>
        <v>4Q18</v>
      </c>
      <c r="C986" s="517" t="str">
        <f t="shared" si="141"/>
        <v>4Q18</v>
      </c>
      <c r="D986" s="518">
        <f t="shared" si="144"/>
        <v>43455</v>
      </c>
      <c r="E986" s="518">
        <f t="shared" si="144"/>
        <v>43395</v>
      </c>
      <c r="F986" s="533">
        <f t="shared" si="142"/>
        <v>3.1040000000000001</v>
      </c>
      <c r="G986" s="521">
        <f t="shared" si="136"/>
        <v>0.40000000000000019</v>
      </c>
      <c r="H986" s="521">
        <f t="shared" si="137"/>
        <v>0.40000000000000019</v>
      </c>
    </row>
    <row r="987" spans="1:8" x14ac:dyDescent="0.2">
      <c r="A987" s="517">
        <f t="shared" si="139"/>
        <v>43374</v>
      </c>
      <c r="B987" s="517" t="str">
        <f t="shared" si="140"/>
        <v>4Q18</v>
      </c>
      <c r="C987" s="517" t="str">
        <f t="shared" si="141"/>
        <v>4Q18</v>
      </c>
      <c r="D987" s="518">
        <f t="shared" si="144"/>
        <v>43462</v>
      </c>
      <c r="E987" s="518">
        <f t="shared" si="144"/>
        <v>43402</v>
      </c>
      <c r="F987" s="533">
        <f t="shared" si="142"/>
        <v>3.1040000000000001</v>
      </c>
      <c r="G987" s="521">
        <f t="shared" si="136"/>
        <v>0.40000000000000019</v>
      </c>
      <c r="H987" s="521">
        <f t="shared" si="137"/>
        <v>0.40000000000000019</v>
      </c>
    </row>
    <row r="988" spans="1:8" x14ac:dyDescent="0.2">
      <c r="A988" s="517">
        <f t="shared" si="139"/>
        <v>43405</v>
      </c>
      <c r="B988" s="517" t="str">
        <f t="shared" si="140"/>
        <v>4Q18</v>
      </c>
      <c r="C988" s="517" t="str">
        <f t="shared" si="141"/>
        <v>1Q19</v>
      </c>
      <c r="D988" s="518">
        <f t="shared" si="144"/>
        <v>43469</v>
      </c>
      <c r="E988" s="518">
        <f t="shared" si="144"/>
        <v>43409</v>
      </c>
      <c r="F988" s="533">
        <f t="shared" si="142"/>
        <v>3.1040000000000001</v>
      </c>
      <c r="G988" s="521">
        <f t="shared" si="136"/>
        <v>0.40000000000000019</v>
      </c>
      <c r="H988" s="521">
        <f t="shared" si="137"/>
        <v>0.40000000000000019</v>
      </c>
    </row>
    <row r="989" spans="1:8" x14ac:dyDescent="0.2">
      <c r="A989" s="517">
        <f t="shared" si="139"/>
        <v>43405</v>
      </c>
      <c r="B989" s="517" t="str">
        <f t="shared" si="140"/>
        <v>4Q18</v>
      </c>
      <c r="C989" s="517" t="str">
        <f t="shared" si="141"/>
        <v>1Q19</v>
      </c>
      <c r="D989" s="518">
        <f t="shared" si="144"/>
        <v>43476</v>
      </c>
      <c r="E989" s="518">
        <f t="shared" si="144"/>
        <v>43416</v>
      </c>
      <c r="F989" s="533">
        <f t="shared" si="142"/>
        <v>3.1040000000000001</v>
      </c>
      <c r="G989" s="521">
        <f t="shared" si="136"/>
        <v>0.40000000000000019</v>
      </c>
      <c r="H989" s="521">
        <f t="shared" si="137"/>
        <v>0.40000000000000019</v>
      </c>
    </row>
    <row r="990" spans="1:8" x14ac:dyDescent="0.2">
      <c r="A990" s="517">
        <f t="shared" si="139"/>
        <v>43405</v>
      </c>
      <c r="B990" s="517" t="str">
        <f t="shared" si="140"/>
        <v>4Q18</v>
      </c>
      <c r="C990" s="517" t="str">
        <f t="shared" si="141"/>
        <v>1Q19</v>
      </c>
      <c r="D990" s="518">
        <f t="shared" ref="D990:E996" si="145">D989+7</f>
        <v>43483</v>
      </c>
      <c r="E990" s="518">
        <f t="shared" si="145"/>
        <v>43423</v>
      </c>
      <c r="F990" s="533">
        <f t="shared" si="142"/>
        <v>3.1040000000000001</v>
      </c>
      <c r="G990" s="521">
        <f t="shared" si="136"/>
        <v>0.40000000000000019</v>
      </c>
      <c r="H990" s="521">
        <f t="shared" si="137"/>
        <v>0.40000000000000019</v>
      </c>
    </row>
    <row r="991" spans="1:8" x14ac:dyDescent="0.2">
      <c r="A991" s="517">
        <f t="shared" si="139"/>
        <v>43405</v>
      </c>
      <c r="B991" s="517" t="str">
        <f t="shared" si="140"/>
        <v>4Q18</v>
      </c>
      <c r="C991" s="517" t="str">
        <f t="shared" si="141"/>
        <v>1Q19</v>
      </c>
      <c r="D991" s="518">
        <f t="shared" si="145"/>
        <v>43490</v>
      </c>
      <c r="E991" s="518">
        <f t="shared" si="145"/>
        <v>43430</v>
      </c>
      <c r="F991" s="533">
        <f t="shared" si="142"/>
        <v>3.1040000000000001</v>
      </c>
      <c r="G991" s="521">
        <f>INDEX($I$4:$K$153,MATCH(F991,$I$4:$I$153,1),3)</f>
        <v>0.40000000000000019</v>
      </c>
      <c r="H991" s="521">
        <f>G992</f>
        <v>0.40000000000000019</v>
      </c>
    </row>
    <row r="992" spans="1:8" x14ac:dyDescent="0.2">
      <c r="A992" s="517">
        <f t="shared" si="139"/>
        <v>43435</v>
      </c>
      <c r="B992" s="517" t="str">
        <f t="shared" si="140"/>
        <v>4Q18</v>
      </c>
      <c r="C992" s="517" t="str">
        <f t="shared" si="141"/>
        <v>1Q19</v>
      </c>
      <c r="D992" s="518">
        <f t="shared" si="145"/>
        <v>43497</v>
      </c>
      <c r="E992" s="518">
        <f t="shared" si="145"/>
        <v>43437</v>
      </c>
      <c r="F992" s="533">
        <f t="shared" si="142"/>
        <v>3.1040000000000001</v>
      </c>
      <c r="G992" s="521">
        <f t="shared" si="136"/>
        <v>0.40000000000000019</v>
      </c>
      <c r="H992" s="521">
        <f t="shared" si="137"/>
        <v>0.40000000000000019</v>
      </c>
    </row>
    <row r="993" spans="1:8" x14ac:dyDescent="0.2">
      <c r="A993" s="517">
        <f t="shared" si="139"/>
        <v>43435</v>
      </c>
      <c r="B993" s="517" t="str">
        <f t="shared" si="140"/>
        <v>4Q18</v>
      </c>
      <c r="C993" s="517" t="str">
        <f t="shared" si="141"/>
        <v>1Q19</v>
      </c>
      <c r="D993" s="518">
        <f t="shared" si="145"/>
        <v>43504</v>
      </c>
      <c r="E993" s="518">
        <f t="shared" si="145"/>
        <v>43444</v>
      </c>
      <c r="F993" s="533">
        <f t="shared" si="142"/>
        <v>3.1040000000000001</v>
      </c>
      <c r="G993" s="521">
        <f t="shared" si="136"/>
        <v>0.40000000000000019</v>
      </c>
      <c r="H993" s="521">
        <f t="shared" si="137"/>
        <v>0.40000000000000019</v>
      </c>
    </row>
    <row r="994" spans="1:8" x14ac:dyDescent="0.2">
      <c r="A994" s="517">
        <f t="shared" si="139"/>
        <v>43435</v>
      </c>
      <c r="B994" s="517" t="str">
        <f t="shared" si="140"/>
        <v>4Q18</v>
      </c>
      <c r="C994" s="517" t="str">
        <f t="shared" si="141"/>
        <v>1Q19</v>
      </c>
      <c r="D994" s="518">
        <f t="shared" si="145"/>
        <v>43511</v>
      </c>
      <c r="E994" s="518">
        <f t="shared" si="145"/>
        <v>43451</v>
      </c>
      <c r="F994" s="533">
        <f t="shared" si="142"/>
        <v>3.1040000000000001</v>
      </c>
      <c r="G994" s="521">
        <f>INDEX($I$4:$K$153,MATCH(F994,$I$4:$I$153,1),3)</f>
        <v>0.40000000000000019</v>
      </c>
      <c r="H994" s="521">
        <f>G995</f>
        <v>0.40000000000000019</v>
      </c>
    </row>
    <row r="995" spans="1:8" x14ac:dyDescent="0.2">
      <c r="A995" s="517">
        <f t="shared" si="139"/>
        <v>43435</v>
      </c>
      <c r="B995" s="517" t="str">
        <f t="shared" si="140"/>
        <v>4Q18</v>
      </c>
      <c r="C995" s="517" t="str">
        <f t="shared" si="141"/>
        <v>1Q19</v>
      </c>
      <c r="D995" s="518">
        <f t="shared" si="145"/>
        <v>43518</v>
      </c>
      <c r="E995" s="518">
        <f t="shared" si="145"/>
        <v>43458</v>
      </c>
      <c r="F995" s="533">
        <f t="shared" si="142"/>
        <v>3.1040000000000001</v>
      </c>
      <c r="G995" s="521">
        <f t="shared" si="136"/>
        <v>0.40000000000000019</v>
      </c>
      <c r="H995" s="521">
        <f t="shared" si="137"/>
        <v>0.40000000000000019</v>
      </c>
    </row>
    <row r="996" spans="1:8" x14ac:dyDescent="0.2">
      <c r="A996" s="517">
        <f t="shared" si="139"/>
        <v>43435</v>
      </c>
      <c r="B996" s="517" t="str">
        <f t="shared" si="140"/>
        <v>4Q18</v>
      </c>
      <c r="C996" s="517" t="str">
        <f t="shared" si="141"/>
        <v>1Q19</v>
      </c>
      <c r="D996" s="518">
        <f t="shared" si="145"/>
        <v>43525</v>
      </c>
      <c r="E996" s="518">
        <f t="shared" si="145"/>
        <v>43465</v>
      </c>
      <c r="F996" s="533">
        <f t="shared" si="142"/>
        <v>3.1040000000000001</v>
      </c>
      <c r="G996" s="521">
        <f>INDEX($I$4:$K$153,MATCH(F996,$I$4:$I$153,1),3)</f>
        <v>0.40000000000000019</v>
      </c>
      <c r="H996" s="521">
        <f>G997</f>
        <v>0.40000000000000019</v>
      </c>
    </row>
    <row r="997" spans="1:8" x14ac:dyDescent="0.2">
      <c r="A997" s="517">
        <f t="shared" ref="A997:A1049" si="146">DATE(YEAR(E997),MONTH(E997),1)</f>
        <v>43466</v>
      </c>
      <c r="B997" s="517" t="str">
        <f t="shared" ref="B997:B1049" si="147">VLOOKUP(MONTH(A997),$N$4:$O$16,2,FALSE) &amp; "Q" &amp; RIGHT(YEAR(A997),2)</f>
        <v>1Q19</v>
      </c>
      <c r="C997" s="517" t="str">
        <f t="shared" ref="C997:C1049" si="148">VLOOKUP(MONTH(D997),$N$4:$O$16,2,FALSE) &amp; "Q" &amp; RIGHT(YEAR(D997),2)</f>
        <v>1Q19</v>
      </c>
      <c r="D997" s="518">
        <f t="shared" ref="D997:E997" si="149">D996+7</f>
        <v>43532</v>
      </c>
      <c r="E997" s="518">
        <f t="shared" si="149"/>
        <v>43472</v>
      </c>
      <c r="F997" s="533">
        <f t="shared" si="142"/>
        <v>3.1040000000000001</v>
      </c>
      <c r="G997" s="521">
        <f t="shared" ref="G997:G1049" si="150">INDEX($I$4:$K$153,MATCH(F997,$I$4:$I$153,1),3)</f>
        <v>0.40000000000000019</v>
      </c>
      <c r="H997" s="521">
        <f t="shared" ref="H997:H1049" si="151">G998</f>
        <v>0.40000000000000019</v>
      </c>
    </row>
    <row r="998" spans="1:8" x14ac:dyDescent="0.2">
      <c r="A998" s="517">
        <f t="shared" si="146"/>
        <v>43466</v>
      </c>
      <c r="B998" s="517" t="str">
        <f t="shared" si="147"/>
        <v>1Q19</v>
      </c>
      <c r="C998" s="517" t="str">
        <f t="shared" si="148"/>
        <v>1Q19</v>
      </c>
      <c r="D998" s="518">
        <f t="shared" ref="D998:E998" si="152">D997+7</f>
        <v>43539</v>
      </c>
      <c r="E998" s="518">
        <f t="shared" si="152"/>
        <v>43479</v>
      </c>
      <c r="F998" s="533">
        <f t="shared" si="142"/>
        <v>3.1040000000000001</v>
      </c>
      <c r="G998" s="521">
        <f t="shared" si="150"/>
        <v>0.40000000000000019</v>
      </c>
      <c r="H998" s="521">
        <f t="shared" si="151"/>
        <v>0.40000000000000019</v>
      </c>
    </row>
    <row r="999" spans="1:8" x14ac:dyDescent="0.2">
      <c r="A999" s="517">
        <f t="shared" si="146"/>
        <v>43466</v>
      </c>
      <c r="B999" s="517" t="str">
        <f t="shared" si="147"/>
        <v>1Q19</v>
      </c>
      <c r="C999" s="517" t="str">
        <f t="shared" si="148"/>
        <v>1Q19</v>
      </c>
      <c r="D999" s="518">
        <f t="shared" ref="D999:E999" si="153">D998+7</f>
        <v>43546</v>
      </c>
      <c r="E999" s="518">
        <f t="shared" si="153"/>
        <v>43486</v>
      </c>
      <c r="F999" s="533">
        <f t="shared" si="142"/>
        <v>3.1040000000000001</v>
      </c>
      <c r="G999" s="521">
        <f t="shared" si="150"/>
        <v>0.40000000000000019</v>
      </c>
      <c r="H999" s="521">
        <f t="shared" si="151"/>
        <v>0.40000000000000019</v>
      </c>
    </row>
    <row r="1000" spans="1:8" x14ac:dyDescent="0.2">
      <c r="A1000" s="517">
        <f t="shared" si="146"/>
        <v>43466</v>
      </c>
      <c r="B1000" s="517" t="str">
        <f t="shared" si="147"/>
        <v>1Q19</v>
      </c>
      <c r="C1000" s="517" t="str">
        <f t="shared" si="148"/>
        <v>1Q19</v>
      </c>
      <c r="D1000" s="518">
        <f t="shared" ref="D1000:E1000" si="154">D999+7</f>
        <v>43553</v>
      </c>
      <c r="E1000" s="518">
        <f t="shared" si="154"/>
        <v>43493</v>
      </c>
      <c r="F1000" s="533">
        <f t="shared" si="142"/>
        <v>3.1040000000000001</v>
      </c>
      <c r="G1000" s="521">
        <f t="shared" si="150"/>
        <v>0.40000000000000019</v>
      </c>
      <c r="H1000" s="521">
        <f t="shared" si="151"/>
        <v>0.40000000000000019</v>
      </c>
    </row>
    <row r="1001" spans="1:8" x14ac:dyDescent="0.2">
      <c r="A1001" s="517">
        <f t="shared" si="146"/>
        <v>43497</v>
      </c>
      <c r="B1001" s="517" t="str">
        <f t="shared" si="147"/>
        <v>1Q19</v>
      </c>
      <c r="C1001" s="517" t="str">
        <f t="shared" si="148"/>
        <v>2Q19</v>
      </c>
      <c r="D1001" s="518">
        <f t="shared" ref="D1001:E1001" si="155">D1000+7</f>
        <v>43560</v>
      </c>
      <c r="E1001" s="518">
        <f t="shared" si="155"/>
        <v>43500</v>
      </c>
      <c r="F1001" s="533">
        <f t="shared" si="142"/>
        <v>3.1040000000000001</v>
      </c>
      <c r="G1001" s="521">
        <f t="shared" si="150"/>
        <v>0.40000000000000019</v>
      </c>
      <c r="H1001" s="521">
        <f t="shared" si="151"/>
        <v>0.40000000000000019</v>
      </c>
    </row>
    <row r="1002" spans="1:8" x14ac:dyDescent="0.2">
      <c r="A1002" s="517">
        <f t="shared" si="146"/>
        <v>43497</v>
      </c>
      <c r="B1002" s="517" t="str">
        <f t="shared" si="147"/>
        <v>1Q19</v>
      </c>
      <c r="C1002" s="517" t="str">
        <f t="shared" si="148"/>
        <v>2Q19</v>
      </c>
      <c r="D1002" s="518">
        <f t="shared" ref="D1002:E1002" si="156">D1001+7</f>
        <v>43567</v>
      </c>
      <c r="E1002" s="518">
        <f t="shared" si="156"/>
        <v>43507</v>
      </c>
      <c r="F1002" s="533">
        <f t="shared" si="142"/>
        <v>3.1040000000000001</v>
      </c>
      <c r="G1002" s="521">
        <f t="shared" si="150"/>
        <v>0.40000000000000019</v>
      </c>
      <c r="H1002" s="521">
        <f t="shared" si="151"/>
        <v>0.40000000000000019</v>
      </c>
    </row>
    <row r="1003" spans="1:8" x14ac:dyDescent="0.2">
      <c r="A1003" s="517">
        <f t="shared" si="146"/>
        <v>43497</v>
      </c>
      <c r="B1003" s="517" t="str">
        <f t="shared" si="147"/>
        <v>1Q19</v>
      </c>
      <c r="C1003" s="517" t="str">
        <f t="shared" si="148"/>
        <v>2Q19</v>
      </c>
      <c r="D1003" s="518">
        <f t="shared" ref="D1003:E1003" si="157">D1002+7</f>
        <v>43574</v>
      </c>
      <c r="E1003" s="518">
        <f t="shared" si="157"/>
        <v>43514</v>
      </c>
      <c r="F1003" s="533">
        <f t="shared" si="142"/>
        <v>3.1040000000000001</v>
      </c>
      <c r="G1003" s="521">
        <f t="shared" si="150"/>
        <v>0.40000000000000019</v>
      </c>
      <c r="H1003" s="521">
        <f t="shared" si="151"/>
        <v>0.40000000000000019</v>
      </c>
    </row>
    <row r="1004" spans="1:8" x14ac:dyDescent="0.2">
      <c r="A1004" s="517">
        <f t="shared" si="146"/>
        <v>43497</v>
      </c>
      <c r="B1004" s="517" t="str">
        <f t="shared" si="147"/>
        <v>1Q19</v>
      </c>
      <c r="C1004" s="517" t="str">
        <f t="shared" si="148"/>
        <v>2Q19</v>
      </c>
      <c r="D1004" s="518">
        <f t="shared" ref="D1004:E1004" si="158">D1003+7</f>
        <v>43581</v>
      </c>
      <c r="E1004" s="518">
        <f t="shared" si="158"/>
        <v>43521</v>
      </c>
      <c r="F1004" s="533">
        <f t="shared" si="142"/>
        <v>3.1040000000000001</v>
      </c>
      <c r="G1004" s="521">
        <f t="shared" si="150"/>
        <v>0.40000000000000019</v>
      </c>
      <c r="H1004" s="521">
        <f t="shared" si="151"/>
        <v>0.40000000000000019</v>
      </c>
    </row>
    <row r="1005" spans="1:8" x14ac:dyDescent="0.2">
      <c r="A1005" s="517">
        <f t="shared" si="146"/>
        <v>43525</v>
      </c>
      <c r="B1005" s="517" t="str">
        <f t="shared" si="147"/>
        <v>1Q19</v>
      </c>
      <c r="C1005" s="517" t="str">
        <f t="shared" si="148"/>
        <v>2Q19</v>
      </c>
      <c r="D1005" s="518">
        <f t="shared" ref="D1005:E1005" si="159">D1004+7</f>
        <v>43588</v>
      </c>
      <c r="E1005" s="518">
        <f t="shared" si="159"/>
        <v>43528</v>
      </c>
      <c r="F1005" s="533">
        <f t="shared" si="142"/>
        <v>3.1040000000000001</v>
      </c>
      <c r="G1005" s="521">
        <f t="shared" si="150"/>
        <v>0.40000000000000019</v>
      </c>
      <c r="H1005" s="521">
        <f t="shared" si="151"/>
        <v>0.40000000000000019</v>
      </c>
    </row>
    <row r="1006" spans="1:8" x14ac:dyDescent="0.2">
      <c r="A1006" s="517">
        <f t="shared" si="146"/>
        <v>43525</v>
      </c>
      <c r="B1006" s="517" t="str">
        <f t="shared" si="147"/>
        <v>1Q19</v>
      </c>
      <c r="C1006" s="517" t="str">
        <f t="shared" si="148"/>
        <v>2Q19</v>
      </c>
      <c r="D1006" s="518">
        <f t="shared" ref="D1006:E1006" si="160">D1005+7</f>
        <v>43595</v>
      </c>
      <c r="E1006" s="518">
        <f t="shared" si="160"/>
        <v>43535</v>
      </c>
      <c r="F1006" s="533">
        <f t="shared" si="142"/>
        <v>3.1040000000000001</v>
      </c>
      <c r="G1006" s="521">
        <f t="shared" si="150"/>
        <v>0.40000000000000019</v>
      </c>
      <c r="H1006" s="521">
        <f t="shared" si="151"/>
        <v>0.40000000000000019</v>
      </c>
    </row>
    <row r="1007" spans="1:8" x14ac:dyDescent="0.2">
      <c r="A1007" s="517">
        <f t="shared" si="146"/>
        <v>43525</v>
      </c>
      <c r="B1007" s="517" t="str">
        <f t="shared" si="147"/>
        <v>1Q19</v>
      </c>
      <c r="C1007" s="517" t="str">
        <f t="shared" si="148"/>
        <v>2Q19</v>
      </c>
      <c r="D1007" s="518">
        <f t="shared" ref="D1007:E1007" si="161">D1006+7</f>
        <v>43602</v>
      </c>
      <c r="E1007" s="518">
        <f t="shared" si="161"/>
        <v>43542</v>
      </c>
      <c r="F1007" s="533">
        <f t="shared" si="142"/>
        <v>3.1040000000000001</v>
      </c>
      <c r="G1007" s="521">
        <f t="shared" si="150"/>
        <v>0.40000000000000019</v>
      </c>
      <c r="H1007" s="521">
        <f t="shared" si="151"/>
        <v>0.40000000000000019</v>
      </c>
    </row>
    <row r="1008" spans="1:8" x14ac:dyDescent="0.2">
      <c r="A1008" s="517">
        <f t="shared" si="146"/>
        <v>43525</v>
      </c>
      <c r="B1008" s="517" t="str">
        <f t="shared" si="147"/>
        <v>1Q19</v>
      </c>
      <c r="C1008" s="517" t="str">
        <f t="shared" si="148"/>
        <v>2Q19</v>
      </c>
      <c r="D1008" s="518">
        <f t="shared" ref="D1008:E1008" si="162">D1007+7</f>
        <v>43609</v>
      </c>
      <c r="E1008" s="518">
        <f t="shared" si="162"/>
        <v>43549</v>
      </c>
      <c r="F1008" s="533">
        <f t="shared" si="142"/>
        <v>3.1040000000000001</v>
      </c>
      <c r="G1008" s="521">
        <f t="shared" si="150"/>
        <v>0.40000000000000019</v>
      </c>
      <c r="H1008" s="521">
        <f t="shared" si="151"/>
        <v>0.40000000000000019</v>
      </c>
    </row>
    <row r="1009" spans="1:8" x14ac:dyDescent="0.2">
      <c r="A1009" s="517">
        <f t="shared" si="146"/>
        <v>43556</v>
      </c>
      <c r="B1009" s="517" t="str">
        <f t="shared" si="147"/>
        <v>2Q19</v>
      </c>
      <c r="C1009" s="517" t="str">
        <f t="shared" si="148"/>
        <v>2Q19</v>
      </c>
      <c r="D1009" s="518">
        <f t="shared" ref="D1009:E1009" si="163">D1008+7</f>
        <v>43616</v>
      </c>
      <c r="E1009" s="518">
        <f t="shared" si="163"/>
        <v>43556</v>
      </c>
      <c r="F1009" s="533">
        <f t="shared" si="142"/>
        <v>3.1040000000000001</v>
      </c>
      <c r="G1009" s="521">
        <f t="shared" si="150"/>
        <v>0.40000000000000019</v>
      </c>
      <c r="H1009" s="521">
        <f t="shared" si="151"/>
        <v>0.40000000000000019</v>
      </c>
    </row>
    <row r="1010" spans="1:8" x14ac:dyDescent="0.2">
      <c r="A1010" s="517">
        <f t="shared" si="146"/>
        <v>43556</v>
      </c>
      <c r="B1010" s="517" t="str">
        <f t="shared" si="147"/>
        <v>2Q19</v>
      </c>
      <c r="C1010" s="517" t="str">
        <f t="shared" si="148"/>
        <v>2Q19</v>
      </c>
      <c r="D1010" s="518">
        <f t="shared" ref="D1010:E1010" si="164">D1009+7</f>
        <v>43623</v>
      </c>
      <c r="E1010" s="518">
        <f t="shared" si="164"/>
        <v>43563</v>
      </c>
      <c r="F1010" s="533">
        <f t="shared" si="142"/>
        <v>3.1040000000000001</v>
      </c>
      <c r="G1010" s="521">
        <f t="shared" si="150"/>
        <v>0.40000000000000019</v>
      </c>
      <c r="H1010" s="521">
        <f t="shared" si="151"/>
        <v>0.40000000000000019</v>
      </c>
    </row>
    <row r="1011" spans="1:8" x14ac:dyDescent="0.2">
      <c r="A1011" s="517">
        <f t="shared" si="146"/>
        <v>43556</v>
      </c>
      <c r="B1011" s="517" t="str">
        <f t="shared" si="147"/>
        <v>2Q19</v>
      </c>
      <c r="C1011" s="517" t="str">
        <f t="shared" si="148"/>
        <v>2Q19</v>
      </c>
      <c r="D1011" s="518">
        <f t="shared" ref="D1011:E1011" si="165">D1010+7</f>
        <v>43630</v>
      </c>
      <c r="E1011" s="518">
        <f t="shared" si="165"/>
        <v>43570</v>
      </c>
      <c r="F1011" s="533">
        <f t="shared" si="142"/>
        <v>3.1040000000000001</v>
      </c>
      <c r="G1011" s="521">
        <f t="shared" si="150"/>
        <v>0.40000000000000019</v>
      </c>
      <c r="H1011" s="521">
        <f t="shared" si="151"/>
        <v>0.40000000000000019</v>
      </c>
    </row>
    <row r="1012" spans="1:8" x14ac:dyDescent="0.2">
      <c r="A1012" s="517">
        <f t="shared" si="146"/>
        <v>43556</v>
      </c>
      <c r="B1012" s="517" t="str">
        <f t="shared" si="147"/>
        <v>2Q19</v>
      </c>
      <c r="C1012" s="517" t="str">
        <f t="shared" si="148"/>
        <v>2Q19</v>
      </c>
      <c r="D1012" s="518">
        <f t="shared" ref="D1012:E1012" si="166">D1011+7</f>
        <v>43637</v>
      </c>
      <c r="E1012" s="518">
        <f t="shared" si="166"/>
        <v>43577</v>
      </c>
      <c r="F1012" s="533">
        <f t="shared" si="142"/>
        <v>3.1040000000000001</v>
      </c>
      <c r="G1012" s="521">
        <f t="shared" si="150"/>
        <v>0.40000000000000019</v>
      </c>
      <c r="H1012" s="521">
        <f t="shared" si="151"/>
        <v>0.40000000000000019</v>
      </c>
    </row>
    <row r="1013" spans="1:8" x14ac:dyDescent="0.2">
      <c r="A1013" s="517">
        <f t="shared" si="146"/>
        <v>43556</v>
      </c>
      <c r="B1013" s="517" t="str">
        <f t="shared" si="147"/>
        <v>2Q19</v>
      </c>
      <c r="C1013" s="517" t="str">
        <f t="shared" si="148"/>
        <v>2Q19</v>
      </c>
      <c r="D1013" s="518">
        <f t="shared" ref="D1013:E1013" si="167">D1012+7</f>
        <v>43644</v>
      </c>
      <c r="E1013" s="518">
        <f t="shared" si="167"/>
        <v>43584</v>
      </c>
      <c r="F1013" s="533">
        <f t="shared" si="142"/>
        <v>3.1040000000000001</v>
      </c>
      <c r="G1013" s="521">
        <f t="shared" si="150"/>
        <v>0.40000000000000019</v>
      </c>
      <c r="H1013" s="521">
        <f t="shared" si="151"/>
        <v>0.40000000000000019</v>
      </c>
    </row>
    <row r="1014" spans="1:8" x14ac:dyDescent="0.2">
      <c r="A1014" s="517">
        <f t="shared" si="146"/>
        <v>43586</v>
      </c>
      <c r="B1014" s="517" t="str">
        <f t="shared" si="147"/>
        <v>2Q19</v>
      </c>
      <c r="C1014" s="517" t="str">
        <f t="shared" si="148"/>
        <v>3Q19</v>
      </c>
      <c r="D1014" s="518">
        <f t="shared" ref="D1014:E1014" si="168">D1013+7</f>
        <v>43651</v>
      </c>
      <c r="E1014" s="518">
        <f t="shared" si="168"/>
        <v>43591</v>
      </c>
      <c r="F1014" s="533">
        <f t="shared" si="142"/>
        <v>3.1040000000000001</v>
      </c>
      <c r="G1014" s="521">
        <f t="shared" si="150"/>
        <v>0.40000000000000019</v>
      </c>
      <c r="H1014" s="521">
        <f t="shared" si="151"/>
        <v>0.40000000000000019</v>
      </c>
    </row>
    <row r="1015" spans="1:8" x14ac:dyDescent="0.2">
      <c r="A1015" s="517">
        <f t="shared" si="146"/>
        <v>43586</v>
      </c>
      <c r="B1015" s="517" t="str">
        <f t="shared" si="147"/>
        <v>2Q19</v>
      </c>
      <c r="C1015" s="517" t="str">
        <f t="shared" si="148"/>
        <v>3Q19</v>
      </c>
      <c r="D1015" s="518">
        <f t="shared" ref="D1015:E1015" si="169">D1014+7</f>
        <v>43658</v>
      </c>
      <c r="E1015" s="518">
        <f t="shared" si="169"/>
        <v>43598</v>
      </c>
      <c r="F1015" s="533">
        <f t="shared" si="142"/>
        <v>3.1040000000000001</v>
      </c>
      <c r="G1015" s="521">
        <f t="shared" si="150"/>
        <v>0.40000000000000019</v>
      </c>
      <c r="H1015" s="521">
        <f t="shared" si="151"/>
        <v>0.40000000000000019</v>
      </c>
    </row>
    <row r="1016" spans="1:8" x14ac:dyDescent="0.2">
      <c r="A1016" s="517">
        <f t="shared" si="146"/>
        <v>43586</v>
      </c>
      <c r="B1016" s="517" t="str">
        <f t="shared" si="147"/>
        <v>2Q19</v>
      </c>
      <c r="C1016" s="517" t="str">
        <f t="shared" si="148"/>
        <v>3Q19</v>
      </c>
      <c r="D1016" s="518">
        <f t="shared" ref="D1016:E1016" si="170">D1015+7</f>
        <v>43665</v>
      </c>
      <c r="E1016" s="518">
        <f t="shared" si="170"/>
        <v>43605</v>
      </c>
      <c r="F1016" s="533">
        <f t="shared" si="142"/>
        <v>3.1040000000000001</v>
      </c>
      <c r="G1016" s="521">
        <f t="shared" si="150"/>
        <v>0.40000000000000019</v>
      </c>
      <c r="H1016" s="521">
        <f t="shared" si="151"/>
        <v>0.40000000000000019</v>
      </c>
    </row>
    <row r="1017" spans="1:8" x14ac:dyDescent="0.2">
      <c r="A1017" s="517">
        <f t="shared" si="146"/>
        <v>43586</v>
      </c>
      <c r="B1017" s="517" t="str">
        <f t="shared" si="147"/>
        <v>2Q19</v>
      </c>
      <c r="C1017" s="517" t="str">
        <f t="shared" si="148"/>
        <v>3Q19</v>
      </c>
      <c r="D1017" s="518">
        <f t="shared" ref="D1017:E1017" si="171">D1016+7</f>
        <v>43672</v>
      </c>
      <c r="E1017" s="518">
        <f t="shared" si="171"/>
        <v>43612</v>
      </c>
      <c r="F1017" s="533">
        <f t="shared" ref="F1017:F1080" si="172">F1016</f>
        <v>3.1040000000000001</v>
      </c>
      <c r="G1017" s="521">
        <f t="shared" si="150"/>
        <v>0.40000000000000019</v>
      </c>
      <c r="H1017" s="521">
        <f t="shared" si="151"/>
        <v>0.40000000000000019</v>
      </c>
    </row>
    <row r="1018" spans="1:8" x14ac:dyDescent="0.2">
      <c r="A1018" s="517">
        <f t="shared" si="146"/>
        <v>43617</v>
      </c>
      <c r="B1018" s="517" t="str">
        <f t="shared" si="147"/>
        <v>2Q19</v>
      </c>
      <c r="C1018" s="517" t="str">
        <f t="shared" si="148"/>
        <v>3Q19</v>
      </c>
      <c r="D1018" s="518">
        <f t="shared" ref="D1018:E1018" si="173">D1017+7</f>
        <v>43679</v>
      </c>
      <c r="E1018" s="518">
        <f t="shared" si="173"/>
        <v>43619</v>
      </c>
      <c r="F1018" s="533">
        <f t="shared" si="172"/>
        <v>3.1040000000000001</v>
      </c>
      <c r="G1018" s="521">
        <f t="shared" si="150"/>
        <v>0.40000000000000019</v>
      </c>
      <c r="H1018" s="521">
        <f t="shared" si="151"/>
        <v>0.40000000000000019</v>
      </c>
    </row>
    <row r="1019" spans="1:8" x14ac:dyDescent="0.2">
      <c r="A1019" s="517">
        <f t="shared" si="146"/>
        <v>43617</v>
      </c>
      <c r="B1019" s="517" t="str">
        <f t="shared" si="147"/>
        <v>2Q19</v>
      </c>
      <c r="C1019" s="517" t="str">
        <f t="shared" si="148"/>
        <v>3Q19</v>
      </c>
      <c r="D1019" s="518">
        <f t="shared" ref="D1019:E1019" si="174">D1018+7</f>
        <v>43686</v>
      </c>
      <c r="E1019" s="518">
        <f t="shared" si="174"/>
        <v>43626</v>
      </c>
      <c r="F1019" s="533">
        <f t="shared" si="172"/>
        <v>3.1040000000000001</v>
      </c>
      <c r="G1019" s="521">
        <f t="shared" si="150"/>
        <v>0.40000000000000019</v>
      </c>
      <c r="H1019" s="521">
        <f t="shared" si="151"/>
        <v>0.40000000000000019</v>
      </c>
    </row>
    <row r="1020" spans="1:8" x14ac:dyDescent="0.2">
      <c r="A1020" s="517">
        <f t="shared" si="146"/>
        <v>43617</v>
      </c>
      <c r="B1020" s="517" t="str">
        <f t="shared" si="147"/>
        <v>2Q19</v>
      </c>
      <c r="C1020" s="517" t="str">
        <f t="shared" si="148"/>
        <v>3Q19</v>
      </c>
      <c r="D1020" s="518">
        <f t="shared" ref="D1020:E1020" si="175">D1019+7</f>
        <v>43693</v>
      </c>
      <c r="E1020" s="518">
        <f t="shared" si="175"/>
        <v>43633</v>
      </c>
      <c r="F1020" s="533">
        <f t="shared" si="172"/>
        <v>3.1040000000000001</v>
      </c>
      <c r="G1020" s="521">
        <f t="shared" si="150"/>
        <v>0.40000000000000019</v>
      </c>
      <c r="H1020" s="521">
        <f t="shared" si="151"/>
        <v>0.40000000000000019</v>
      </c>
    </row>
    <row r="1021" spans="1:8" x14ac:dyDescent="0.2">
      <c r="A1021" s="517">
        <f t="shared" si="146"/>
        <v>43617</v>
      </c>
      <c r="B1021" s="517" t="str">
        <f t="shared" si="147"/>
        <v>2Q19</v>
      </c>
      <c r="C1021" s="517" t="str">
        <f t="shared" si="148"/>
        <v>3Q19</v>
      </c>
      <c r="D1021" s="518">
        <f t="shared" ref="D1021:E1021" si="176">D1020+7</f>
        <v>43700</v>
      </c>
      <c r="E1021" s="518">
        <f t="shared" si="176"/>
        <v>43640</v>
      </c>
      <c r="F1021" s="533">
        <f t="shared" si="172"/>
        <v>3.1040000000000001</v>
      </c>
      <c r="G1021" s="521">
        <f t="shared" si="150"/>
        <v>0.40000000000000019</v>
      </c>
      <c r="H1021" s="521">
        <f t="shared" si="151"/>
        <v>0.40000000000000019</v>
      </c>
    </row>
    <row r="1022" spans="1:8" x14ac:dyDescent="0.2">
      <c r="A1022" s="517">
        <f t="shared" si="146"/>
        <v>43647</v>
      </c>
      <c r="B1022" s="517" t="str">
        <f t="shared" si="147"/>
        <v>3Q19</v>
      </c>
      <c r="C1022" s="517" t="str">
        <f t="shared" si="148"/>
        <v>3Q19</v>
      </c>
      <c r="D1022" s="518">
        <f t="shared" ref="D1022:E1022" si="177">D1021+7</f>
        <v>43707</v>
      </c>
      <c r="E1022" s="518">
        <f t="shared" si="177"/>
        <v>43647</v>
      </c>
      <c r="F1022" s="533">
        <f t="shared" si="172"/>
        <v>3.1040000000000001</v>
      </c>
      <c r="G1022" s="521">
        <f t="shared" si="150"/>
        <v>0.40000000000000019</v>
      </c>
      <c r="H1022" s="521">
        <f t="shared" si="151"/>
        <v>0.40000000000000019</v>
      </c>
    </row>
    <row r="1023" spans="1:8" x14ac:dyDescent="0.2">
      <c r="A1023" s="517">
        <f t="shared" si="146"/>
        <v>43647</v>
      </c>
      <c r="B1023" s="517" t="str">
        <f t="shared" si="147"/>
        <v>3Q19</v>
      </c>
      <c r="C1023" s="517" t="str">
        <f t="shared" si="148"/>
        <v>3Q19</v>
      </c>
      <c r="D1023" s="518">
        <f t="shared" ref="D1023:E1023" si="178">D1022+7</f>
        <v>43714</v>
      </c>
      <c r="E1023" s="518">
        <f t="shared" si="178"/>
        <v>43654</v>
      </c>
      <c r="F1023" s="533">
        <f t="shared" si="172"/>
        <v>3.1040000000000001</v>
      </c>
      <c r="G1023" s="521">
        <f t="shared" si="150"/>
        <v>0.40000000000000019</v>
      </c>
      <c r="H1023" s="521">
        <f t="shared" si="151"/>
        <v>0.40000000000000019</v>
      </c>
    </row>
    <row r="1024" spans="1:8" x14ac:dyDescent="0.2">
      <c r="A1024" s="517">
        <f t="shared" si="146"/>
        <v>43647</v>
      </c>
      <c r="B1024" s="517" t="str">
        <f t="shared" si="147"/>
        <v>3Q19</v>
      </c>
      <c r="C1024" s="517" t="str">
        <f t="shared" si="148"/>
        <v>3Q19</v>
      </c>
      <c r="D1024" s="518">
        <f t="shared" ref="D1024:E1024" si="179">D1023+7</f>
        <v>43721</v>
      </c>
      <c r="E1024" s="518">
        <f t="shared" si="179"/>
        <v>43661</v>
      </c>
      <c r="F1024" s="533">
        <f t="shared" si="172"/>
        <v>3.1040000000000001</v>
      </c>
      <c r="G1024" s="521">
        <f t="shared" si="150"/>
        <v>0.40000000000000019</v>
      </c>
      <c r="H1024" s="521">
        <f t="shared" si="151"/>
        <v>0.40000000000000019</v>
      </c>
    </row>
    <row r="1025" spans="1:8" x14ac:dyDescent="0.2">
      <c r="A1025" s="517">
        <f t="shared" si="146"/>
        <v>43647</v>
      </c>
      <c r="B1025" s="517" t="str">
        <f t="shared" si="147"/>
        <v>3Q19</v>
      </c>
      <c r="C1025" s="517" t="str">
        <f t="shared" si="148"/>
        <v>3Q19</v>
      </c>
      <c r="D1025" s="518">
        <f t="shared" ref="D1025:E1025" si="180">D1024+7</f>
        <v>43728</v>
      </c>
      <c r="E1025" s="518">
        <f t="shared" si="180"/>
        <v>43668</v>
      </c>
      <c r="F1025" s="533">
        <f t="shared" si="172"/>
        <v>3.1040000000000001</v>
      </c>
      <c r="G1025" s="521">
        <f t="shared" si="150"/>
        <v>0.40000000000000019</v>
      </c>
      <c r="H1025" s="521">
        <f t="shared" si="151"/>
        <v>0.40000000000000019</v>
      </c>
    </row>
    <row r="1026" spans="1:8" x14ac:dyDescent="0.2">
      <c r="A1026" s="517">
        <f t="shared" si="146"/>
        <v>43647</v>
      </c>
      <c r="B1026" s="517" t="str">
        <f t="shared" si="147"/>
        <v>3Q19</v>
      </c>
      <c r="C1026" s="517" t="str">
        <f t="shared" si="148"/>
        <v>3Q19</v>
      </c>
      <c r="D1026" s="518">
        <f t="shared" ref="D1026:E1026" si="181">D1025+7</f>
        <v>43735</v>
      </c>
      <c r="E1026" s="518">
        <f t="shared" si="181"/>
        <v>43675</v>
      </c>
      <c r="F1026" s="533">
        <f t="shared" si="172"/>
        <v>3.1040000000000001</v>
      </c>
      <c r="G1026" s="521">
        <f t="shared" si="150"/>
        <v>0.40000000000000019</v>
      </c>
      <c r="H1026" s="521">
        <f t="shared" si="151"/>
        <v>0.40000000000000019</v>
      </c>
    </row>
    <row r="1027" spans="1:8" x14ac:dyDescent="0.2">
      <c r="A1027" s="517">
        <f t="shared" si="146"/>
        <v>43678</v>
      </c>
      <c r="B1027" s="517" t="str">
        <f t="shared" si="147"/>
        <v>3Q19</v>
      </c>
      <c r="C1027" s="517" t="str">
        <f t="shared" si="148"/>
        <v>4Q19</v>
      </c>
      <c r="D1027" s="518">
        <f t="shared" ref="D1027:E1027" si="182">D1026+7</f>
        <v>43742</v>
      </c>
      <c r="E1027" s="518">
        <f t="shared" si="182"/>
        <v>43682</v>
      </c>
      <c r="F1027" s="533">
        <f t="shared" si="172"/>
        <v>3.1040000000000001</v>
      </c>
      <c r="G1027" s="521">
        <f t="shared" si="150"/>
        <v>0.40000000000000019</v>
      </c>
      <c r="H1027" s="521">
        <f t="shared" si="151"/>
        <v>0.40000000000000019</v>
      </c>
    </row>
    <row r="1028" spans="1:8" x14ac:dyDescent="0.2">
      <c r="A1028" s="517">
        <f t="shared" si="146"/>
        <v>43678</v>
      </c>
      <c r="B1028" s="517" t="str">
        <f t="shared" si="147"/>
        <v>3Q19</v>
      </c>
      <c r="C1028" s="517" t="str">
        <f t="shared" si="148"/>
        <v>4Q19</v>
      </c>
      <c r="D1028" s="518">
        <f t="shared" ref="D1028:E1028" si="183">D1027+7</f>
        <v>43749</v>
      </c>
      <c r="E1028" s="518">
        <f t="shared" si="183"/>
        <v>43689</v>
      </c>
      <c r="F1028" s="533">
        <f t="shared" si="172"/>
        <v>3.1040000000000001</v>
      </c>
      <c r="G1028" s="521">
        <f t="shared" si="150"/>
        <v>0.40000000000000019</v>
      </c>
      <c r="H1028" s="521">
        <f t="shared" si="151"/>
        <v>0.40000000000000019</v>
      </c>
    </row>
    <row r="1029" spans="1:8" x14ac:dyDescent="0.2">
      <c r="A1029" s="517">
        <f t="shared" si="146"/>
        <v>43678</v>
      </c>
      <c r="B1029" s="517" t="str">
        <f t="shared" si="147"/>
        <v>3Q19</v>
      </c>
      <c r="C1029" s="517" t="str">
        <f t="shared" si="148"/>
        <v>4Q19</v>
      </c>
      <c r="D1029" s="518">
        <f t="shared" ref="D1029:E1029" si="184">D1028+7</f>
        <v>43756</v>
      </c>
      <c r="E1029" s="518">
        <f t="shared" si="184"/>
        <v>43696</v>
      </c>
      <c r="F1029" s="533">
        <f t="shared" si="172"/>
        <v>3.1040000000000001</v>
      </c>
      <c r="G1029" s="521">
        <f t="shared" si="150"/>
        <v>0.40000000000000019</v>
      </c>
      <c r="H1029" s="521">
        <f t="shared" si="151"/>
        <v>0.40000000000000019</v>
      </c>
    </row>
    <row r="1030" spans="1:8" x14ac:dyDescent="0.2">
      <c r="A1030" s="517">
        <f t="shared" si="146"/>
        <v>43678</v>
      </c>
      <c r="B1030" s="517" t="str">
        <f t="shared" si="147"/>
        <v>3Q19</v>
      </c>
      <c r="C1030" s="517" t="str">
        <f t="shared" si="148"/>
        <v>4Q19</v>
      </c>
      <c r="D1030" s="518">
        <f t="shared" ref="D1030:E1030" si="185">D1029+7</f>
        <v>43763</v>
      </c>
      <c r="E1030" s="518">
        <f t="shared" si="185"/>
        <v>43703</v>
      </c>
      <c r="F1030" s="533">
        <f t="shared" si="172"/>
        <v>3.1040000000000001</v>
      </c>
      <c r="G1030" s="521">
        <f t="shared" si="150"/>
        <v>0.40000000000000019</v>
      </c>
      <c r="H1030" s="521">
        <f t="shared" si="151"/>
        <v>0.40000000000000019</v>
      </c>
    </row>
    <row r="1031" spans="1:8" x14ac:dyDescent="0.2">
      <c r="A1031" s="517">
        <f t="shared" si="146"/>
        <v>43709</v>
      </c>
      <c r="B1031" s="517" t="str">
        <f t="shared" si="147"/>
        <v>3Q19</v>
      </c>
      <c r="C1031" s="517" t="str">
        <f t="shared" si="148"/>
        <v>4Q19</v>
      </c>
      <c r="D1031" s="518">
        <f t="shared" ref="D1031:E1031" si="186">D1030+7</f>
        <v>43770</v>
      </c>
      <c r="E1031" s="518">
        <f t="shared" si="186"/>
        <v>43710</v>
      </c>
      <c r="F1031" s="533">
        <f t="shared" si="172"/>
        <v>3.1040000000000001</v>
      </c>
      <c r="G1031" s="521">
        <f t="shared" si="150"/>
        <v>0.40000000000000019</v>
      </c>
      <c r="H1031" s="521">
        <f t="shared" si="151"/>
        <v>0.40000000000000019</v>
      </c>
    </row>
    <row r="1032" spans="1:8" x14ac:dyDescent="0.2">
      <c r="A1032" s="517">
        <f t="shared" si="146"/>
        <v>43709</v>
      </c>
      <c r="B1032" s="517" t="str">
        <f t="shared" si="147"/>
        <v>3Q19</v>
      </c>
      <c r="C1032" s="517" t="str">
        <f t="shared" si="148"/>
        <v>4Q19</v>
      </c>
      <c r="D1032" s="518">
        <f t="shared" ref="D1032:E1032" si="187">D1031+7</f>
        <v>43777</v>
      </c>
      <c r="E1032" s="518">
        <f t="shared" si="187"/>
        <v>43717</v>
      </c>
      <c r="F1032" s="533">
        <f t="shared" si="172"/>
        <v>3.1040000000000001</v>
      </c>
      <c r="G1032" s="521">
        <f t="shared" si="150"/>
        <v>0.40000000000000019</v>
      </c>
      <c r="H1032" s="521">
        <f t="shared" si="151"/>
        <v>0.40000000000000019</v>
      </c>
    </row>
    <row r="1033" spans="1:8" x14ac:dyDescent="0.2">
      <c r="A1033" s="517">
        <f t="shared" si="146"/>
        <v>43709</v>
      </c>
      <c r="B1033" s="517" t="str">
        <f t="shared" si="147"/>
        <v>3Q19</v>
      </c>
      <c r="C1033" s="517" t="str">
        <f t="shared" si="148"/>
        <v>4Q19</v>
      </c>
      <c r="D1033" s="518">
        <f t="shared" ref="D1033:E1033" si="188">D1032+7</f>
        <v>43784</v>
      </c>
      <c r="E1033" s="518">
        <f t="shared" si="188"/>
        <v>43724</v>
      </c>
      <c r="F1033" s="533">
        <f t="shared" si="172"/>
        <v>3.1040000000000001</v>
      </c>
      <c r="G1033" s="521">
        <f t="shared" si="150"/>
        <v>0.40000000000000019</v>
      </c>
      <c r="H1033" s="521">
        <f t="shared" si="151"/>
        <v>0.40000000000000019</v>
      </c>
    </row>
    <row r="1034" spans="1:8" x14ac:dyDescent="0.2">
      <c r="A1034" s="517">
        <f t="shared" si="146"/>
        <v>43709</v>
      </c>
      <c r="B1034" s="517" t="str">
        <f t="shared" si="147"/>
        <v>3Q19</v>
      </c>
      <c r="C1034" s="517" t="str">
        <f t="shared" si="148"/>
        <v>4Q19</v>
      </c>
      <c r="D1034" s="518">
        <f t="shared" ref="D1034:E1034" si="189">D1033+7</f>
        <v>43791</v>
      </c>
      <c r="E1034" s="518">
        <f t="shared" si="189"/>
        <v>43731</v>
      </c>
      <c r="F1034" s="533">
        <f t="shared" si="172"/>
        <v>3.1040000000000001</v>
      </c>
      <c r="G1034" s="521">
        <f t="shared" si="150"/>
        <v>0.40000000000000019</v>
      </c>
      <c r="H1034" s="521">
        <f t="shared" si="151"/>
        <v>0.40000000000000019</v>
      </c>
    </row>
    <row r="1035" spans="1:8" x14ac:dyDescent="0.2">
      <c r="A1035" s="517">
        <f t="shared" si="146"/>
        <v>43709</v>
      </c>
      <c r="B1035" s="517" t="str">
        <f t="shared" si="147"/>
        <v>3Q19</v>
      </c>
      <c r="C1035" s="517" t="str">
        <f t="shared" si="148"/>
        <v>4Q19</v>
      </c>
      <c r="D1035" s="518">
        <f t="shared" ref="D1035:E1035" si="190">D1034+7</f>
        <v>43798</v>
      </c>
      <c r="E1035" s="518">
        <f t="shared" si="190"/>
        <v>43738</v>
      </c>
      <c r="F1035" s="533">
        <f t="shared" si="172"/>
        <v>3.1040000000000001</v>
      </c>
      <c r="G1035" s="521">
        <f t="shared" si="150"/>
        <v>0.40000000000000019</v>
      </c>
      <c r="H1035" s="521">
        <f t="shared" si="151"/>
        <v>0.40000000000000019</v>
      </c>
    </row>
    <row r="1036" spans="1:8" x14ac:dyDescent="0.2">
      <c r="A1036" s="517">
        <f t="shared" si="146"/>
        <v>43739</v>
      </c>
      <c r="B1036" s="517" t="str">
        <f t="shared" si="147"/>
        <v>4Q19</v>
      </c>
      <c r="C1036" s="517" t="str">
        <f t="shared" si="148"/>
        <v>4Q19</v>
      </c>
      <c r="D1036" s="518">
        <f t="shared" ref="D1036:E1036" si="191">D1035+7</f>
        <v>43805</v>
      </c>
      <c r="E1036" s="518">
        <f t="shared" si="191"/>
        <v>43745</v>
      </c>
      <c r="F1036" s="533">
        <f t="shared" si="172"/>
        <v>3.1040000000000001</v>
      </c>
      <c r="G1036" s="521">
        <f t="shared" si="150"/>
        <v>0.40000000000000019</v>
      </c>
      <c r="H1036" s="521">
        <f t="shared" si="151"/>
        <v>0.40000000000000019</v>
      </c>
    </row>
    <row r="1037" spans="1:8" x14ac:dyDescent="0.2">
      <c r="A1037" s="517">
        <f t="shared" si="146"/>
        <v>43739</v>
      </c>
      <c r="B1037" s="517" t="str">
        <f t="shared" si="147"/>
        <v>4Q19</v>
      </c>
      <c r="C1037" s="517" t="str">
        <f t="shared" si="148"/>
        <v>4Q19</v>
      </c>
      <c r="D1037" s="518">
        <f t="shared" ref="D1037:E1037" si="192">D1036+7</f>
        <v>43812</v>
      </c>
      <c r="E1037" s="518">
        <f t="shared" si="192"/>
        <v>43752</v>
      </c>
      <c r="F1037" s="533">
        <f t="shared" si="172"/>
        <v>3.1040000000000001</v>
      </c>
      <c r="G1037" s="521">
        <f t="shared" si="150"/>
        <v>0.40000000000000019</v>
      </c>
      <c r="H1037" s="521">
        <f t="shared" si="151"/>
        <v>0.40000000000000019</v>
      </c>
    </row>
    <row r="1038" spans="1:8" x14ac:dyDescent="0.2">
      <c r="A1038" s="517">
        <f t="shared" si="146"/>
        <v>43739</v>
      </c>
      <c r="B1038" s="517" t="str">
        <f t="shared" si="147"/>
        <v>4Q19</v>
      </c>
      <c r="C1038" s="517" t="str">
        <f t="shared" si="148"/>
        <v>4Q19</v>
      </c>
      <c r="D1038" s="518">
        <f t="shared" ref="D1038:E1038" si="193">D1037+7</f>
        <v>43819</v>
      </c>
      <c r="E1038" s="518">
        <f t="shared" si="193"/>
        <v>43759</v>
      </c>
      <c r="F1038" s="533">
        <f t="shared" si="172"/>
        <v>3.1040000000000001</v>
      </c>
      <c r="G1038" s="521">
        <f t="shared" si="150"/>
        <v>0.40000000000000019</v>
      </c>
      <c r="H1038" s="521">
        <f t="shared" si="151"/>
        <v>0.40000000000000019</v>
      </c>
    </row>
    <row r="1039" spans="1:8" x14ac:dyDescent="0.2">
      <c r="A1039" s="517">
        <f t="shared" si="146"/>
        <v>43739</v>
      </c>
      <c r="B1039" s="517" t="str">
        <f t="shared" si="147"/>
        <v>4Q19</v>
      </c>
      <c r="C1039" s="517" t="str">
        <f t="shared" si="148"/>
        <v>4Q19</v>
      </c>
      <c r="D1039" s="518">
        <f t="shared" ref="D1039:E1039" si="194">D1038+7</f>
        <v>43826</v>
      </c>
      <c r="E1039" s="518">
        <f t="shared" si="194"/>
        <v>43766</v>
      </c>
      <c r="F1039" s="533">
        <f t="shared" si="172"/>
        <v>3.1040000000000001</v>
      </c>
      <c r="G1039" s="521">
        <f t="shared" si="150"/>
        <v>0.40000000000000019</v>
      </c>
      <c r="H1039" s="521">
        <f t="shared" si="151"/>
        <v>0.40000000000000019</v>
      </c>
    </row>
    <row r="1040" spans="1:8" x14ac:dyDescent="0.2">
      <c r="A1040" s="517">
        <f t="shared" si="146"/>
        <v>43770</v>
      </c>
      <c r="B1040" s="517" t="str">
        <f t="shared" si="147"/>
        <v>4Q19</v>
      </c>
      <c r="C1040" s="517" t="str">
        <f t="shared" si="148"/>
        <v>1Q20</v>
      </c>
      <c r="D1040" s="518">
        <f t="shared" ref="D1040:E1040" si="195">D1039+7</f>
        <v>43833</v>
      </c>
      <c r="E1040" s="518">
        <f t="shared" si="195"/>
        <v>43773</v>
      </c>
      <c r="F1040" s="533">
        <f t="shared" si="172"/>
        <v>3.1040000000000001</v>
      </c>
      <c r="G1040" s="521">
        <f t="shared" si="150"/>
        <v>0.40000000000000019</v>
      </c>
      <c r="H1040" s="521">
        <f t="shared" si="151"/>
        <v>0.40000000000000019</v>
      </c>
    </row>
    <row r="1041" spans="1:8" x14ac:dyDescent="0.2">
      <c r="A1041" s="517">
        <f t="shared" si="146"/>
        <v>43770</v>
      </c>
      <c r="B1041" s="517" t="str">
        <f t="shared" si="147"/>
        <v>4Q19</v>
      </c>
      <c r="C1041" s="517" t="str">
        <f t="shared" si="148"/>
        <v>1Q20</v>
      </c>
      <c r="D1041" s="518">
        <f t="shared" ref="D1041:E1041" si="196">D1040+7</f>
        <v>43840</v>
      </c>
      <c r="E1041" s="518">
        <f t="shared" si="196"/>
        <v>43780</v>
      </c>
      <c r="F1041" s="533">
        <f t="shared" si="172"/>
        <v>3.1040000000000001</v>
      </c>
      <c r="G1041" s="521">
        <f t="shared" si="150"/>
        <v>0.40000000000000019</v>
      </c>
      <c r="H1041" s="521">
        <f t="shared" si="151"/>
        <v>0.40000000000000019</v>
      </c>
    </row>
    <row r="1042" spans="1:8" x14ac:dyDescent="0.2">
      <c r="A1042" s="517">
        <f t="shared" si="146"/>
        <v>43770</v>
      </c>
      <c r="B1042" s="517" t="str">
        <f t="shared" si="147"/>
        <v>4Q19</v>
      </c>
      <c r="C1042" s="517" t="str">
        <f t="shared" si="148"/>
        <v>1Q20</v>
      </c>
      <c r="D1042" s="518">
        <f t="shared" ref="D1042:E1042" si="197">D1041+7</f>
        <v>43847</v>
      </c>
      <c r="E1042" s="518">
        <f t="shared" si="197"/>
        <v>43787</v>
      </c>
      <c r="F1042" s="533">
        <f t="shared" si="172"/>
        <v>3.1040000000000001</v>
      </c>
      <c r="G1042" s="521">
        <f t="shared" si="150"/>
        <v>0.40000000000000019</v>
      </c>
      <c r="H1042" s="521">
        <f t="shared" si="151"/>
        <v>0.40000000000000019</v>
      </c>
    </row>
    <row r="1043" spans="1:8" x14ac:dyDescent="0.2">
      <c r="A1043" s="517">
        <f t="shared" si="146"/>
        <v>43770</v>
      </c>
      <c r="B1043" s="517" t="str">
        <f t="shared" si="147"/>
        <v>4Q19</v>
      </c>
      <c r="C1043" s="517" t="str">
        <f t="shared" si="148"/>
        <v>1Q20</v>
      </c>
      <c r="D1043" s="518">
        <f t="shared" ref="D1043:E1043" si="198">D1042+7</f>
        <v>43854</v>
      </c>
      <c r="E1043" s="518">
        <f t="shared" si="198"/>
        <v>43794</v>
      </c>
      <c r="F1043" s="533">
        <f t="shared" si="172"/>
        <v>3.1040000000000001</v>
      </c>
      <c r="G1043" s="521">
        <f t="shared" si="150"/>
        <v>0.40000000000000019</v>
      </c>
      <c r="H1043" s="521">
        <f t="shared" si="151"/>
        <v>0.40000000000000019</v>
      </c>
    </row>
    <row r="1044" spans="1:8" x14ac:dyDescent="0.2">
      <c r="A1044" s="517">
        <f t="shared" si="146"/>
        <v>43800</v>
      </c>
      <c r="B1044" s="517" t="str">
        <f t="shared" si="147"/>
        <v>4Q19</v>
      </c>
      <c r="C1044" s="517" t="str">
        <f t="shared" si="148"/>
        <v>1Q20</v>
      </c>
      <c r="D1044" s="518">
        <f t="shared" ref="D1044:E1044" si="199">D1043+7</f>
        <v>43861</v>
      </c>
      <c r="E1044" s="518">
        <f t="shared" si="199"/>
        <v>43801</v>
      </c>
      <c r="F1044" s="533">
        <f t="shared" si="172"/>
        <v>3.1040000000000001</v>
      </c>
      <c r="G1044" s="521">
        <f t="shared" si="150"/>
        <v>0.40000000000000019</v>
      </c>
      <c r="H1044" s="521">
        <f t="shared" si="151"/>
        <v>0.40000000000000019</v>
      </c>
    </row>
    <row r="1045" spans="1:8" x14ac:dyDescent="0.2">
      <c r="A1045" s="517">
        <f t="shared" si="146"/>
        <v>43800</v>
      </c>
      <c r="B1045" s="517" t="str">
        <f t="shared" si="147"/>
        <v>4Q19</v>
      </c>
      <c r="C1045" s="517" t="str">
        <f t="shared" si="148"/>
        <v>1Q20</v>
      </c>
      <c r="D1045" s="518">
        <f t="shared" ref="D1045:E1045" si="200">D1044+7</f>
        <v>43868</v>
      </c>
      <c r="E1045" s="518">
        <f t="shared" si="200"/>
        <v>43808</v>
      </c>
      <c r="F1045" s="533">
        <f t="shared" si="172"/>
        <v>3.1040000000000001</v>
      </c>
      <c r="G1045" s="521">
        <f t="shared" si="150"/>
        <v>0.40000000000000019</v>
      </c>
      <c r="H1045" s="521">
        <f t="shared" si="151"/>
        <v>0.40000000000000019</v>
      </c>
    </row>
    <row r="1046" spans="1:8" x14ac:dyDescent="0.2">
      <c r="A1046" s="517">
        <f t="shared" si="146"/>
        <v>43800</v>
      </c>
      <c r="B1046" s="517" t="str">
        <f t="shared" si="147"/>
        <v>4Q19</v>
      </c>
      <c r="C1046" s="517" t="str">
        <f t="shared" si="148"/>
        <v>1Q20</v>
      </c>
      <c r="D1046" s="518">
        <f t="shared" ref="D1046:E1046" si="201">D1045+7</f>
        <v>43875</v>
      </c>
      <c r="E1046" s="518">
        <f t="shared" si="201"/>
        <v>43815</v>
      </c>
      <c r="F1046" s="533">
        <f t="shared" si="172"/>
        <v>3.1040000000000001</v>
      </c>
      <c r="G1046" s="521">
        <f t="shared" si="150"/>
        <v>0.40000000000000019</v>
      </c>
      <c r="H1046" s="521">
        <f t="shared" si="151"/>
        <v>0.40000000000000019</v>
      </c>
    </row>
    <row r="1047" spans="1:8" x14ac:dyDescent="0.2">
      <c r="A1047" s="517">
        <f t="shared" si="146"/>
        <v>43800</v>
      </c>
      <c r="B1047" s="517" t="str">
        <f t="shared" si="147"/>
        <v>4Q19</v>
      </c>
      <c r="C1047" s="517" t="str">
        <f t="shared" si="148"/>
        <v>1Q20</v>
      </c>
      <c r="D1047" s="518">
        <f t="shared" ref="D1047:E1047" si="202">D1046+7</f>
        <v>43882</v>
      </c>
      <c r="E1047" s="518">
        <f t="shared" si="202"/>
        <v>43822</v>
      </c>
      <c r="F1047" s="533">
        <f t="shared" si="172"/>
        <v>3.1040000000000001</v>
      </c>
      <c r="G1047" s="521">
        <f t="shared" si="150"/>
        <v>0.40000000000000019</v>
      </c>
      <c r="H1047" s="521">
        <f t="shared" si="151"/>
        <v>0.40000000000000019</v>
      </c>
    </row>
    <row r="1048" spans="1:8" x14ac:dyDescent="0.2">
      <c r="A1048" s="517">
        <f t="shared" si="146"/>
        <v>43800</v>
      </c>
      <c r="B1048" s="517" t="str">
        <f t="shared" si="147"/>
        <v>4Q19</v>
      </c>
      <c r="C1048" s="517" t="str">
        <f t="shared" si="148"/>
        <v>1Q20</v>
      </c>
      <c r="D1048" s="518">
        <f t="shared" ref="D1048:E1048" si="203">D1047+7</f>
        <v>43889</v>
      </c>
      <c r="E1048" s="518">
        <f t="shared" si="203"/>
        <v>43829</v>
      </c>
      <c r="F1048" s="533">
        <f t="shared" si="172"/>
        <v>3.1040000000000001</v>
      </c>
      <c r="G1048" s="521">
        <f t="shared" si="150"/>
        <v>0.40000000000000019</v>
      </c>
      <c r="H1048" s="521">
        <f t="shared" si="151"/>
        <v>0.40000000000000019</v>
      </c>
    </row>
    <row r="1049" spans="1:8" x14ac:dyDescent="0.2">
      <c r="A1049" s="517">
        <f t="shared" si="146"/>
        <v>43831</v>
      </c>
      <c r="B1049" s="517" t="str">
        <f t="shared" si="147"/>
        <v>1Q20</v>
      </c>
      <c r="C1049" s="517" t="str">
        <f t="shared" si="148"/>
        <v>1Q20</v>
      </c>
      <c r="D1049" s="518">
        <f t="shared" ref="D1049:E1049" si="204">D1048+7</f>
        <v>43896</v>
      </c>
      <c r="E1049" s="518">
        <f t="shared" si="204"/>
        <v>43836</v>
      </c>
      <c r="F1049" s="533">
        <f t="shared" si="172"/>
        <v>3.1040000000000001</v>
      </c>
      <c r="G1049" s="521">
        <f t="shared" si="150"/>
        <v>0.40000000000000019</v>
      </c>
      <c r="H1049" s="521">
        <f t="shared" si="151"/>
        <v>0.40000000000000019</v>
      </c>
    </row>
    <row r="1050" spans="1:8" x14ac:dyDescent="0.2">
      <c r="A1050" s="517">
        <f t="shared" ref="A1050:A1104" si="205">DATE(YEAR(E1050),MONTH(E1050),1)</f>
        <v>43831</v>
      </c>
      <c r="B1050" s="517" t="str">
        <f t="shared" ref="B1050:B1104" si="206">VLOOKUP(MONTH(A1050),$N$4:$O$16,2,FALSE) &amp; "Q" &amp; RIGHT(YEAR(A1050),2)</f>
        <v>1Q20</v>
      </c>
      <c r="C1050" s="517" t="str">
        <f t="shared" ref="C1050:C1104" si="207">VLOOKUP(MONTH(D1050),$N$4:$O$16,2,FALSE) &amp; "Q" &amp; RIGHT(YEAR(D1050),2)</f>
        <v>1Q20</v>
      </c>
      <c r="D1050" s="518">
        <f t="shared" ref="D1050:E1050" si="208">D1049+7</f>
        <v>43903</v>
      </c>
      <c r="E1050" s="518">
        <f t="shared" si="208"/>
        <v>43843</v>
      </c>
      <c r="F1050" s="533">
        <f t="shared" si="172"/>
        <v>3.1040000000000001</v>
      </c>
      <c r="G1050" s="521">
        <f t="shared" ref="G1050:G1104" si="209">INDEX($I$4:$K$153,MATCH(F1050,$I$4:$I$153,1),3)</f>
        <v>0.40000000000000019</v>
      </c>
      <c r="H1050" s="521">
        <f t="shared" ref="H1050:H1104" si="210">G1051</f>
        <v>0.40000000000000019</v>
      </c>
    </row>
    <row r="1051" spans="1:8" x14ac:dyDescent="0.2">
      <c r="A1051" s="517">
        <f t="shared" si="205"/>
        <v>43831</v>
      </c>
      <c r="B1051" s="517" t="str">
        <f t="shared" si="206"/>
        <v>1Q20</v>
      </c>
      <c r="C1051" s="517" t="str">
        <f t="shared" si="207"/>
        <v>1Q20</v>
      </c>
      <c r="D1051" s="518">
        <f t="shared" ref="D1051:E1051" si="211">D1050+7</f>
        <v>43910</v>
      </c>
      <c r="E1051" s="518">
        <f t="shared" si="211"/>
        <v>43850</v>
      </c>
      <c r="F1051" s="533">
        <f t="shared" si="172"/>
        <v>3.1040000000000001</v>
      </c>
      <c r="G1051" s="521">
        <f t="shared" si="209"/>
        <v>0.40000000000000019</v>
      </c>
      <c r="H1051" s="521">
        <f t="shared" si="210"/>
        <v>0.40000000000000019</v>
      </c>
    </row>
    <row r="1052" spans="1:8" x14ac:dyDescent="0.2">
      <c r="A1052" s="517">
        <f t="shared" si="205"/>
        <v>43831</v>
      </c>
      <c r="B1052" s="517" t="str">
        <f t="shared" si="206"/>
        <v>1Q20</v>
      </c>
      <c r="C1052" s="517" t="str">
        <f t="shared" si="207"/>
        <v>1Q20</v>
      </c>
      <c r="D1052" s="518">
        <f t="shared" ref="D1052:E1052" si="212">D1051+7</f>
        <v>43917</v>
      </c>
      <c r="E1052" s="518">
        <f t="shared" si="212"/>
        <v>43857</v>
      </c>
      <c r="F1052" s="533">
        <f t="shared" si="172"/>
        <v>3.1040000000000001</v>
      </c>
      <c r="G1052" s="521">
        <f t="shared" si="209"/>
        <v>0.40000000000000019</v>
      </c>
      <c r="H1052" s="521">
        <f t="shared" si="210"/>
        <v>0.40000000000000019</v>
      </c>
    </row>
    <row r="1053" spans="1:8" x14ac:dyDescent="0.2">
      <c r="A1053" s="517">
        <f t="shared" si="205"/>
        <v>43862</v>
      </c>
      <c r="B1053" s="517" t="str">
        <f t="shared" si="206"/>
        <v>1Q20</v>
      </c>
      <c r="C1053" s="517" t="str">
        <f t="shared" si="207"/>
        <v>2Q20</v>
      </c>
      <c r="D1053" s="518">
        <f t="shared" ref="D1053:E1053" si="213">D1052+7</f>
        <v>43924</v>
      </c>
      <c r="E1053" s="518">
        <f t="shared" si="213"/>
        <v>43864</v>
      </c>
      <c r="F1053" s="533">
        <f t="shared" si="172"/>
        <v>3.1040000000000001</v>
      </c>
      <c r="G1053" s="521">
        <f t="shared" si="209"/>
        <v>0.40000000000000019</v>
      </c>
      <c r="H1053" s="521">
        <f t="shared" si="210"/>
        <v>0.40000000000000019</v>
      </c>
    </row>
    <row r="1054" spans="1:8" x14ac:dyDescent="0.2">
      <c r="A1054" s="517">
        <f t="shared" si="205"/>
        <v>43862</v>
      </c>
      <c r="B1054" s="517" t="str">
        <f t="shared" si="206"/>
        <v>1Q20</v>
      </c>
      <c r="C1054" s="517" t="str">
        <f t="shared" si="207"/>
        <v>2Q20</v>
      </c>
      <c r="D1054" s="518">
        <f t="shared" ref="D1054:E1054" si="214">D1053+7</f>
        <v>43931</v>
      </c>
      <c r="E1054" s="518">
        <f t="shared" si="214"/>
        <v>43871</v>
      </c>
      <c r="F1054" s="533">
        <f t="shared" si="172"/>
        <v>3.1040000000000001</v>
      </c>
      <c r="G1054" s="521">
        <f t="shared" si="209"/>
        <v>0.40000000000000019</v>
      </c>
      <c r="H1054" s="521">
        <f t="shared" si="210"/>
        <v>0.40000000000000019</v>
      </c>
    </row>
    <row r="1055" spans="1:8" x14ac:dyDescent="0.2">
      <c r="A1055" s="517">
        <f t="shared" si="205"/>
        <v>43862</v>
      </c>
      <c r="B1055" s="517" t="str">
        <f t="shared" si="206"/>
        <v>1Q20</v>
      </c>
      <c r="C1055" s="517" t="str">
        <f t="shared" si="207"/>
        <v>2Q20</v>
      </c>
      <c r="D1055" s="518">
        <f t="shared" ref="D1055:E1055" si="215">D1054+7</f>
        <v>43938</v>
      </c>
      <c r="E1055" s="518">
        <f t="shared" si="215"/>
        <v>43878</v>
      </c>
      <c r="F1055" s="533">
        <f t="shared" si="172"/>
        <v>3.1040000000000001</v>
      </c>
      <c r="G1055" s="521">
        <f t="shared" si="209"/>
        <v>0.40000000000000019</v>
      </c>
      <c r="H1055" s="521">
        <f t="shared" si="210"/>
        <v>0.40000000000000019</v>
      </c>
    </row>
    <row r="1056" spans="1:8" x14ac:dyDescent="0.2">
      <c r="A1056" s="517">
        <f t="shared" si="205"/>
        <v>43862</v>
      </c>
      <c r="B1056" s="517" t="str">
        <f t="shared" si="206"/>
        <v>1Q20</v>
      </c>
      <c r="C1056" s="517" t="str">
        <f t="shared" si="207"/>
        <v>2Q20</v>
      </c>
      <c r="D1056" s="518">
        <f t="shared" ref="D1056:E1056" si="216">D1055+7</f>
        <v>43945</v>
      </c>
      <c r="E1056" s="518">
        <f t="shared" si="216"/>
        <v>43885</v>
      </c>
      <c r="F1056" s="533">
        <f t="shared" si="172"/>
        <v>3.1040000000000001</v>
      </c>
      <c r="G1056" s="521">
        <f t="shared" si="209"/>
        <v>0.40000000000000019</v>
      </c>
      <c r="H1056" s="521">
        <f t="shared" si="210"/>
        <v>0.40000000000000019</v>
      </c>
    </row>
    <row r="1057" spans="1:8" x14ac:dyDescent="0.2">
      <c r="A1057" s="517">
        <f t="shared" si="205"/>
        <v>43891</v>
      </c>
      <c r="B1057" s="517" t="str">
        <f t="shared" si="206"/>
        <v>1Q20</v>
      </c>
      <c r="C1057" s="517" t="str">
        <f t="shared" si="207"/>
        <v>2Q20</v>
      </c>
      <c r="D1057" s="518">
        <f t="shared" ref="D1057:E1057" si="217">D1056+7</f>
        <v>43952</v>
      </c>
      <c r="E1057" s="518">
        <f t="shared" si="217"/>
        <v>43892</v>
      </c>
      <c r="F1057" s="533">
        <f t="shared" si="172"/>
        <v>3.1040000000000001</v>
      </c>
      <c r="G1057" s="521">
        <f t="shared" si="209"/>
        <v>0.40000000000000019</v>
      </c>
      <c r="H1057" s="521">
        <f t="shared" si="210"/>
        <v>0.40000000000000019</v>
      </c>
    </row>
    <row r="1058" spans="1:8" x14ac:dyDescent="0.2">
      <c r="A1058" s="517">
        <f t="shared" si="205"/>
        <v>43891</v>
      </c>
      <c r="B1058" s="517" t="str">
        <f t="shared" si="206"/>
        <v>1Q20</v>
      </c>
      <c r="C1058" s="517" t="str">
        <f t="shared" si="207"/>
        <v>2Q20</v>
      </c>
      <c r="D1058" s="518">
        <f t="shared" ref="D1058:E1058" si="218">D1057+7</f>
        <v>43959</v>
      </c>
      <c r="E1058" s="518">
        <f t="shared" si="218"/>
        <v>43899</v>
      </c>
      <c r="F1058" s="533">
        <f t="shared" si="172"/>
        <v>3.1040000000000001</v>
      </c>
      <c r="G1058" s="521">
        <f t="shared" si="209"/>
        <v>0.40000000000000019</v>
      </c>
      <c r="H1058" s="521">
        <f t="shared" si="210"/>
        <v>0.40000000000000019</v>
      </c>
    </row>
    <row r="1059" spans="1:8" x14ac:dyDescent="0.2">
      <c r="A1059" s="517">
        <f t="shared" si="205"/>
        <v>43891</v>
      </c>
      <c r="B1059" s="517" t="str">
        <f t="shared" si="206"/>
        <v>1Q20</v>
      </c>
      <c r="C1059" s="517" t="str">
        <f t="shared" si="207"/>
        <v>2Q20</v>
      </c>
      <c r="D1059" s="518">
        <f t="shared" ref="D1059:E1059" si="219">D1058+7</f>
        <v>43966</v>
      </c>
      <c r="E1059" s="518">
        <f t="shared" si="219"/>
        <v>43906</v>
      </c>
      <c r="F1059" s="533">
        <f t="shared" si="172"/>
        <v>3.1040000000000001</v>
      </c>
      <c r="G1059" s="521">
        <f t="shared" si="209"/>
        <v>0.40000000000000019</v>
      </c>
      <c r="H1059" s="521">
        <f t="shared" si="210"/>
        <v>0.40000000000000019</v>
      </c>
    </row>
    <row r="1060" spans="1:8" x14ac:dyDescent="0.2">
      <c r="A1060" s="517">
        <f t="shared" si="205"/>
        <v>43891</v>
      </c>
      <c r="B1060" s="517" t="str">
        <f t="shared" si="206"/>
        <v>1Q20</v>
      </c>
      <c r="C1060" s="517" t="str">
        <f t="shared" si="207"/>
        <v>2Q20</v>
      </c>
      <c r="D1060" s="518">
        <f t="shared" ref="D1060:E1060" si="220">D1059+7</f>
        <v>43973</v>
      </c>
      <c r="E1060" s="518">
        <f t="shared" si="220"/>
        <v>43913</v>
      </c>
      <c r="F1060" s="533">
        <f t="shared" si="172"/>
        <v>3.1040000000000001</v>
      </c>
      <c r="G1060" s="521">
        <f t="shared" si="209"/>
        <v>0.40000000000000019</v>
      </c>
      <c r="H1060" s="521">
        <f t="shared" si="210"/>
        <v>0.40000000000000019</v>
      </c>
    </row>
    <row r="1061" spans="1:8" x14ac:dyDescent="0.2">
      <c r="A1061" s="517">
        <f t="shared" si="205"/>
        <v>43891</v>
      </c>
      <c r="B1061" s="517" t="str">
        <f t="shared" si="206"/>
        <v>1Q20</v>
      </c>
      <c r="C1061" s="517" t="str">
        <f t="shared" si="207"/>
        <v>2Q20</v>
      </c>
      <c r="D1061" s="518">
        <f t="shared" ref="D1061:E1061" si="221">D1060+7</f>
        <v>43980</v>
      </c>
      <c r="E1061" s="518">
        <f t="shared" si="221"/>
        <v>43920</v>
      </c>
      <c r="F1061" s="533">
        <f t="shared" si="172"/>
        <v>3.1040000000000001</v>
      </c>
      <c r="G1061" s="521">
        <f t="shared" si="209"/>
        <v>0.40000000000000019</v>
      </c>
      <c r="H1061" s="521">
        <f t="shared" si="210"/>
        <v>0.40000000000000019</v>
      </c>
    </row>
    <row r="1062" spans="1:8" x14ac:dyDescent="0.2">
      <c r="A1062" s="517">
        <f t="shared" si="205"/>
        <v>43922</v>
      </c>
      <c r="B1062" s="517" t="str">
        <f t="shared" si="206"/>
        <v>2Q20</v>
      </c>
      <c r="C1062" s="517" t="str">
        <f t="shared" si="207"/>
        <v>2Q20</v>
      </c>
      <c r="D1062" s="518">
        <f t="shared" ref="D1062:E1062" si="222">D1061+7</f>
        <v>43987</v>
      </c>
      <c r="E1062" s="518">
        <f t="shared" si="222"/>
        <v>43927</v>
      </c>
      <c r="F1062" s="533">
        <f t="shared" si="172"/>
        <v>3.1040000000000001</v>
      </c>
      <c r="G1062" s="521">
        <f t="shared" si="209"/>
        <v>0.40000000000000019</v>
      </c>
      <c r="H1062" s="521">
        <f t="shared" si="210"/>
        <v>0.40000000000000019</v>
      </c>
    </row>
    <row r="1063" spans="1:8" x14ac:dyDescent="0.2">
      <c r="A1063" s="517">
        <f t="shared" si="205"/>
        <v>43922</v>
      </c>
      <c r="B1063" s="517" t="str">
        <f t="shared" si="206"/>
        <v>2Q20</v>
      </c>
      <c r="C1063" s="517" t="str">
        <f t="shared" si="207"/>
        <v>2Q20</v>
      </c>
      <c r="D1063" s="518">
        <f t="shared" ref="D1063:E1063" si="223">D1062+7</f>
        <v>43994</v>
      </c>
      <c r="E1063" s="518">
        <f t="shared" si="223"/>
        <v>43934</v>
      </c>
      <c r="F1063" s="533">
        <f t="shared" si="172"/>
        <v>3.1040000000000001</v>
      </c>
      <c r="G1063" s="521">
        <f t="shared" si="209"/>
        <v>0.40000000000000019</v>
      </c>
      <c r="H1063" s="521">
        <f t="shared" si="210"/>
        <v>0.40000000000000019</v>
      </c>
    </row>
    <row r="1064" spans="1:8" x14ac:dyDescent="0.2">
      <c r="A1064" s="517">
        <f t="shared" si="205"/>
        <v>43922</v>
      </c>
      <c r="B1064" s="517" t="str">
        <f t="shared" si="206"/>
        <v>2Q20</v>
      </c>
      <c r="C1064" s="517" t="str">
        <f t="shared" si="207"/>
        <v>2Q20</v>
      </c>
      <c r="D1064" s="518">
        <f t="shared" ref="D1064:E1064" si="224">D1063+7</f>
        <v>44001</v>
      </c>
      <c r="E1064" s="518">
        <f t="shared" si="224"/>
        <v>43941</v>
      </c>
      <c r="F1064" s="533">
        <f t="shared" si="172"/>
        <v>3.1040000000000001</v>
      </c>
      <c r="G1064" s="521">
        <f t="shared" si="209"/>
        <v>0.40000000000000019</v>
      </c>
      <c r="H1064" s="521">
        <f t="shared" si="210"/>
        <v>0.40000000000000019</v>
      </c>
    </row>
    <row r="1065" spans="1:8" x14ac:dyDescent="0.2">
      <c r="A1065" s="517">
        <f t="shared" si="205"/>
        <v>43922</v>
      </c>
      <c r="B1065" s="517" t="str">
        <f t="shared" si="206"/>
        <v>2Q20</v>
      </c>
      <c r="C1065" s="517" t="str">
        <f t="shared" si="207"/>
        <v>2Q20</v>
      </c>
      <c r="D1065" s="518">
        <f t="shared" ref="D1065:E1065" si="225">D1064+7</f>
        <v>44008</v>
      </c>
      <c r="E1065" s="518">
        <f t="shared" si="225"/>
        <v>43948</v>
      </c>
      <c r="F1065" s="533">
        <f t="shared" si="172"/>
        <v>3.1040000000000001</v>
      </c>
      <c r="G1065" s="521">
        <f t="shared" si="209"/>
        <v>0.40000000000000019</v>
      </c>
      <c r="H1065" s="521">
        <f t="shared" si="210"/>
        <v>0.40000000000000019</v>
      </c>
    </row>
    <row r="1066" spans="1:8" x14ac:dyDescent="0.2">
      <c r="A1066" s="517">
        <f t="shared" si="205"/>
        <v>43952</v>
      </c>
      <c r="B1066" s="517" t="str">
        <f t="shared" si="206"/>
        <v>2Q20</v>
      </c>
      <c r="C1066" s="517" t="str">
        <f t="shared" si="207"/>
        <v>3Q20</v>
      </c>
      <c r="D1066" s="518">
        <f t="shared" ref="D1066:E1066" si="226">D1065+7</f>
        <v>44015</v>
      </c>
      <c r="E1066" s="518">
        <f t="shared" si="226"/>
        <v>43955</v>
      </c>
      <c r="F1066" s="533">
        <f t="shared" si="172"/>
        <v>3.1040000000000001</v>
      </c>
      <c r="G1066" s="521">
        <f t="shared" si="209"/>
        <v>0.40000000000000019</v>
      </c>
      <c r="H1066" s="521">
        <f t="shared" si="210"/>
        <v>0.40000000000000019</v>
      </c>
    </row>
    <row r="1067" spans="1:8" x14ac:dyDescent="0.2">
      <c r="A1067" s="517">
        <f t="shared" si="205"/>
        <v>43952</v>
      </c>
      <c r="B1067" s="517" t="str">
        <f t="shared" si="206"/>
        <v>2Q20</v>
      </c>
      <c r="C1067" s="517" t="str">
        <f t="shared" si="207"/>
        <v>3Q20</v>
      </c>
      <c r="D1067" s="518">
        <f t="shared" ref="D1067:E1067" si="227">D1066+7</f>
        <v>44022</v>
      </c>
      <c r="E1067" s="518">
        <f t="shared" si="227"/>
        <v>43962</v>
      </c>
      <c r="F1067" s="533">
        <f t="shared" si="172"/>
        <v>3.1040000000000001</v>
      </c>
      <c r="G1067" s="521">
        <f t="shared" si="209"/>
        <v>0.40000000000000019</v>
      </c>
      <c r="H1067" s="521">
        <f t="shared" si="210"/>
        <v>0.40000000000000019</v>
      </c>
    </row>
    <row r="1068" spans="1:8" x14ac:dyDescent="0.2">
      <c r="A1068" s="517">
        <f t="shared" si="205"/>
        <v>43952</v>
      </c>
      <c r="B1068" s="517" t="str">
        <f t="shared" si="206"/>
        <v>2Q20</v>
      </c>
      <c r="C1068" s="517" t="str">
        <f t="shared" si="207"/>
        <v>3Q20</v>
      </c>
      <c r="D1068" s="518">
        <f t="shared" ref="D1068:E1068" si="228">D1067+7</f>
        <v>44029</v>
      </c>
      <c r="E1068" s="518">
        <f t="shared" si="228"/>
        <v>43969</v>
      </c>
      <c r="F1068" s="533">
        <f t="shared" si="172"/>
        <v>3.1040000000000001</v>
      </c>
      <c r="G1068" s="521">
        <f t="shared" si="209"/>
        <v>0.40000000000000019</v>
      </c>
      <c r="H1068" s="521">
        <f t="shared" si="210"/>
        <v>0.40000000000000019</v>
      </c>
    </row>
    <row r="1069" spans="1:8" x14ac:dyDescent="0.2">
      <c r="A1069" s="517">
        <f t="shared" si="205"/>
        <v>43952</v>
      </c>
      <c r="B1069" s="517" t="str">
        <f t="shared" si="206"/>
        <v>2Q20</v>
      </c>
      <c r="C1069" s="517" t="str">
        <f t="shared" si="207"/>
        <v>3Q20</v>
      </c>
      <c r="D1069" s="518">
        <f t="shared" ref="D1069:E1069" si="229">D1068+7</f>
        <v>44036</v>
      </c>
      <c r="E1069" s="518">
        <f t="shared" si="229"/>
        <v>43976</v>
      </c>
      <c r="F1069" s="533">
        <f t="shared" si="172"/>
        <v>3.1040000000000001</v>
      </c>
      <c r="G1069" s="521">
        <f t="shared" si="209"/>
        <v>0.40000000000000019</v>
      </c>
      <c r="H1069" s="521">
        <f t="shared" si="210"/>
        <v>0.40000000000000019</v>
      </c>
    </row>
    <row r="1070" spans="1:8" x14ac:dyDescent="0.2">
      <c r="A1070" s="517">
        <f t="shared" si="205"/>
        <v>43983</v>
      </c>
      <c r="B1070" s="517" t="str">
        <f t="shared" si="206"/>
        <v>2Q20</v>
      </c>
      <c r="C1070" s="517" t="str">
        <f t="shared" si="207"/>
        <v>3Q20</v>
      </c>
      <c r="D1070" s="518">
        <f t="shared" ref="D1070:E1070" si="230">D1069+7</f>
        <v>44043</v>
      </c>
      <c r="E1070" s="518">
        <f t="shared" si="230"/>
        <v>43983</v>
      </c>
      <c r="F1070" s="533">
        <f t="shared" si="172"/>
        <v>3.1040000000000001</v>
      </c>
      <c r="G1070" s="521">
        <f t="shared" si="209"/>
        <v>0.40000000000000019</v>
      </c>
      <c r="H1070" s="521">
        <f t="shared" si="210"/>
        <v>0.40000000000000019</v>
      </c>
    </row>
    <row r="1071" spans="1:8" x14ac:dyDescent="0.2">
      <c r="A1071" s="517">
        <f t="shared" si="205"/>
        <v>43983</v>
      </c>
      <c r="B1071" s="517" t="str">
        <f t="shared" si="206"/>
        <v>2Q20</v>
      </c>
      <c r="C1071" s="517" t="str">
        <f t="shared" si="207"/>
        <v>3Q20</v>
      </c>
      <c r="D1071" s="518">
        <f t="shared" ref="D1071:E1071" si="231">D1070+7</f>
        <v>44050</v>
      </c>
      <c r="E1071" s="518">
        <f t="shared" si="231"/>
        <v>43990</v>
      </c>
      <c r="F1071" s="533">
        <f t="shared" si="172"/>
        <v>3.1040000000000001</v>
      </c>
      <c r="G1071" s="521">
        <f t="shared" si="209"/>
        <v>0.40000000000000019</v>
      </c>
      <c r="H1071" s="521">
        <f t="shared" si="210"/>
        <v>0.40000000000000019</v>
      </c>
    </row>
    <row r="1072" spans="1:8" x14ac:dyDescent="0.2">
      <c r="A1072" s="517">
        <f t="shared" si="205"/>
        <v>43983</v>
      </c>
      <c r="B1072" s="517" t="str">
        <f t="shared" si="206"/>
        <v>2Q20</v>
      </c>
      <c r="C1072" s="517" t="str">
        <f t="shared" si="207"/>
        <v>3Q20</v>
      </c>
      <c r="D1072" s="518">
        <f t="shared" ref="D1072:E1072" si="232">D1071+7</f>
        <v>44057</v>
      </c>
      <c r="E1072" s="518">
        <f t="shared" si="232"/>
        <v>43997</v>
      </c>
      <c r="F1072" s="533">
        <f t="shared" si="172"/>
        <v>3.1040000000000001</v>
      </c>
      <c r="G1072" s="521">
        <f t="shared" si="209"/>
        <v>0.40000000000000019</v>
      </c>
      <c r="H1072" s="521">
        <f t="shared" si="210"/>
        <v>0.40000000000000019</v>
      </c>
    </row>
    <row r="1073" spans="1:8" x14ac:dyDescent="0.2">
      <c r="A1073" s="517">
        <f t="shared" si="205"/>
        <v>43983</v>
      </c>
      <c r="B1073" s="517" t="str">
        <f t="shared" si="206"/>
        <v>2Q20</v>
      </c>
      <c r="C1073" s="517" t="str">
        <f t="shared" si="207"/>
        <v>3Q20</v>
      </c>
      <c r="D1073" s="518">
        <f t="shared" ref="D1073:E1073" si="233">D1072+7</f>
        <v>44064</v>
      </c>
      <c r="E1073" s="518">
        <f t="shared" si="233"/>
        <v>44004</v>
      </c>
      <c r="F1073" s="533">
        <f t="shared" si="172"/>
        <v>3.1040000000000001</v>
      </c>
      <c r="G1073" s="521">
        <f t="shared" si="209"/>
        <v>0.40000000000000019</v>
      </c>
      <c r="H1073" s="521">
        <f t="shared" si="210"/>
        <v>0.40000000000000019</v>
      </c>
    </row>
    <row r="1074" spans="1:8" x14ac:dyDescent="0.2">
      <c r="A1074" s="517">
        <f t="shared" si="205"/>
        <v>43983</v>
      </c>
      <c r="B1074" s="517" t="str">
        <f t="shared" si="206"/>
        <v>2Q20</v>
      </c>
      <c r="C1074" s="517" t="str">
        <f t="shared" si="207"/>
        <v>3Q20</v>
      </c>
      <c r="D1074" s="518">
        <f t="shared" ref="D1074:E1074" si="234">D1073+7</f>
        <v>44071</v>
      </c>
      <c r="E1074" s="518">
        <f t="shared" si="234"/>
        <v>44011</v>
      </c>
      <c r="F1074" s="533">
        <f t="shared" si="172"/>
        <v>3.1040000000000001</v>
      </c>
      <c r="G1074" s="521">
        <f t="shared" si="209"/>
        <v>0.40000000000000019</v>
      </c>
      <c r="H1074" s="521">
        <f t="shared" si="210"/>
        <v>0.40000000000000019</v>
      </c>
    </row>
    <row r="1075" spans="1:8" x14ac:dyDescent="0.2">
      <c r="A1075" s="517">
        <f t="shared" si="205"/>
        <v>44013</v>
      </c>
      <c r="B1075" s="517" t="str">
        <f t="shared" si="206"/>
        <v>3Q20</v>
      </c>
      <c r="C1075" s="517" t="str">
        <f t="shared" si="207"/>
        <v>3Q20</v>
      </c>
      <c r="D1075" s="518">
        <f t="shared" ref="D1075:E1075" si="235">D1074+7</f>
        <v>44078</v>
      </c>
      <c r="E1075" s="518">
        <f t="shared" si="235"/>
        <v>44018</v>
      </c>
      <c r="F1075" s="533">
        <f t="shared" si="172"/>
        <v>3.1040000000000001</v>
      </c>
      <c r="G1075" s="521">
        <f t="shared" si="209"/>
        <v>0.40000000000000019</v>
      </c>
      <c r="H1075" s="521">
        <f t="shared" si="210"/>
        <v>0.40000000000000019</v>
      </c>
    </row>
    <row r="1076" spans="1:8" x14ac:dyDescent="0.2">
      <c r="A1076" s="517">
        <f t="shared" si="205"/>
        <v>44013</v>
      </c>
      <c r="B1076" s="517" t="str">
        <f t="shared" si="206"/>
        <v>3Q20</v>
      </c>
      <c r="C1076" s="517" t="str">
        <f t="shared" si="207"/>
        <v>3Q20</v>
      </c>
      <c r="D1076" s="518">
        <f t="shared" ref="D1076:E1076" si="236">D1075+7</f>
        <v>44085</v>
      </c>
      <c r="E1076" s="518">
        <f t="shared" si="236"/>
        <v>44025</v>
      </c>
      <c r="F1076" s="533">
        <f t="shared" si="172"/>
        <v>3.1040000000000001</v>
      </c>
      <c r="G1076" s="521">
        <f t="shared" si="209"/>
        <v>0.40000000000000019</v>
      </c>
      <c r="H1076" s="521">
        <f t="shared" si="210"/>
        <v>0.40000000000000019</v>
      </c>
    </row>
    <row r="1077" spans="1:8" x14ac:dyDescent="0.2">
      <c r="A1077" s="517">
        <f t="shared" si="205"/>
        <v>44013</v>
      </c>
      <c r="B1077" s="517" t="str">
        <f t="shared" si="206"/>
        <v>3Q20</v>
      </c>
      <c r="C1077" s="517" t="str">
        <f t="shared" si="207"/>
        <v>3Q20</v>
      </c>
      <c r="D1077" s="518">
        <f t="shared" ref="D1077:E1077" si="237">D1076+7</f>
        <v>44092</v>
      </c>
      <c r="E1077" s="518">
        <f t="shared" si="237"/>
        <v>44032</v>
      </c>
      <c r="F1077" s="533">
        <f t="shared" si="172"/>
        <v>3.1040000000000001</v>
      </c>
      <c r="G1077" s="521">
        <f t="shared" si="209"/>
        <v>0.40000000000000019</v>
      </c>
      <c r="H1077" s="521">
        <f t="shared" si="210"/>
        <v>0.40000000000000019</v>
      </c>
    </row>
    <row r="1078" spans="1:8" x14ac:dyDescent="0.2">
      <c r="A1078" s="517">
        <f t="shared" si="205"/>
        <v>44013</v>
      </c>
      <c r="B1078" s="517" t="str">
        <f t="shared" si="206"/>
        <v>3Q20</v>
      </c>
      <c r="C1078" s="517" t="str">
        <f t="shared" si="207"/>
        <v>3Q20</v>
      </c>
      <c r="D1078" s="518">
        <f t="shared" ref="D1078:E1078" si="238">D1077+7</f>
        <v>44099</v>
      </c>
      <c r="E1078" s="518">
        <f t="shared" si="238"/>
        <v>44039</v>
      </c>
      <c r="F1078" s="533">
        <f t="shared" si="172"/>
        <v>3.1040000000000001</v>
      </c>
      <c r="G1078" s="521">
        <f t="shared" si="209"/>
        <v>0.40000000000000019</v>
      </c>
      <c r="H1078" s="521">
        <f t="shared" si="210"/>
        <v>0.40000000000000019</v>
      </c>
    </row>
    <row r="1079" spans="1:8" x14ac:dyDescent="0.2">
      <c r="A1079" s="517">
        <f t="shared" si="205"/>
        <v>44044</v>
      </c>
      <c r="B1079" s="517" t="str">
        <f t="shared" si="206"/>
        <v>3Q20</v>
      </c>
      <c r="C1079" s="517" t="str">
        <f t="shared" si="207"/>
        <v>4Q20</v>
      </c>
      <c r="D1079" s="518">
        <f t="shared" ref="D1079:E1079" si="239">D1078+7</f>
        <v>44106</v>
      </c>
      <c r="E1079" s="518">
        <f t="shared" si="239"/>
        <v>44046</v>
      </c>
      <c r="F1079" s="533">
        <f t="shared" si="172"/>
        <v>3.1040000000000001</v>
      </c>
      <c r="G1079" s="521">
        <f t="shared" si="209"/>
        <v>0.40000000000000019</v>
      </c>
      <c r="H1079" s="521">
        <f t="shared" si="210"/>
        <v>0.40000000000000019</v>
      </c>
    </row>
    <row r="1080" spans="1:8" x14ac:dyDescent="0.2">
      <c r="A1080" s="517">
        <f t="shared" si="205"/>
        <v>44044</v>
      </c>
      <c r="B1080" s="517" t="str">
        <f t="shared" si="206"/>
        <v>3Q20</v>
      </c>
      <c r="C1080" s="517" t="str">
        <f t="shared" si="207"/>
        <v>4Q20</v>
      </c>
      <c r="D1080" s="518">
        <f t="shared" ref="D1080:E1080" si="240">D1079+7</f>
        <v>44113</v>
      </c>
      <c r="E1080" s="518">
        <f t="shared" si="240"/>
        <v>44053</v>
      </c>
      <c r="F1080" s="533">
        <f t="shared" si="172"/>
        <v>3.1040000000000001</v>
      </c>
      <c r="G1080" s="521">
        <f t="shared" si="209"/>
        <v>0.40000000000000019</v>
      </c>
      <c r="H1080" s="521">
        <f t="shared" si="210"/>
        <v>0.40000000000000019</v>
      </c>
    </row>
    <row r="1081" spans="1:8" x14ac:dyDescent="0.2">
      <c r="A1081" s="517">
        <f t="shared" si="205"/>
        <v>44044</v>
      </c>
      <c r="B1081" s="517" t="str">
        <f t="shared" si="206"/>
        <v>3Q20</v>
      </c>
      <c r="C1081" s="517" t="str">
        <f t="shared" si="207"/>
        <v>4Q20</v>
      </c>
      <c r="D1081" s="518">
        <f t="shared" ref="D1081:E1081" si="241">D1080+7</f>
        <v>44120</v>
      </c>
      <c r="E1081" s="518">
        <f t="shared" si="241"/>
        <v>44060</v>
      </c>
      <c r="F1081" s="533">
        <f t="shared" ref="F1081:F1104" si="242">F1080</f>
        <v>3.1040000000000001</v>
      </c>
      <c r="G1081" s="521">
        <f t="shared" si="209"/>
        <v>0.40000000000000019</v>
      </c>
      <c r="H1081" s="521">
        <f t="shared" si="210"/>
        <v>0.40000000000000019</v>
      </c>
    </row>
    <row r="1082" spans="1:8" x14ac:dyDescent="0.2">
      <c r="A1082" s="517">
        <f t="shared" si="205"/>
        <v>44044</v>
      </c>
      <c r="B1082" s="517" t="str">
        <f t="shared" si="206"/>
        <v>3Q20</v>
      </c>
      <c r="C1082" s="517" t="str">
        <f t="shared" si="207"/>
        <v>4Q20</v>
      </c>
      <c r="D1082" s="518">
        <f t="shared" ref="D1082:E1082" si="243">D1081+7</f>
        <v>44127</v>
      </c>
      <c r="E1082" s="518">
        <f t="shared" si="243"/>
        <v>44067</v>
      </c>
      <c r="F1082" s="533">
        <f t="shared" si="242"/>
        <v>3.1040000000000001</v>
      </c>
      <c r="G1082" s="521">
        <f t="shared" si="209"/>
        <v>0.40000000000000019</v>
      </c>
      <c r="H1082" s="521">
        <f t="shared" si="210"/>
        <v>0.40000000000000019</v>
      </c>
    </row>
    <row r="1083" spans="1:8" x14ac:dyDescent="0.2">
      <c r="A1083" s="517">
        <f t="shared" si="205"/>
        <v>44044</v>
      </c>
      <c r="B1083" s="517" t="str">
        <f t="shared" si="206"/>
        <v>3Q20</v>
      </c>
      <c r="C1083" s="517" t="str">
        <f t="shared" si="207"/>
        <v>4Q20</v>
      </c>
      <c r="D1083" s="518">
        <f t="shared" ref="D1083:E1083" si="244">D1082+7</f>
        <v>44134</v>
      </c>
      <c r="E1083" s="518">
        <f t="shared" si="244"/>
        <v>44074</v>
      </c>
      <c r="F1083" s="533">
        <f t="shared" si="242"/>
        <v>3.1040000000000001</v>
      </c>
      <c r="G1083" s="521">
        <f t="shared" si="209"/>
        <v>0.40000000000000019</v>
      </c>
      <c r="H1083" s="521">
        <f t="shared" si="210"/>
        <v>0.40000000000000019</v>
      </c>
    </row>
    <row r="1084" spans="1:8" x14ac:dyDescent="0.2">
      <c r="A1084" s="517">
        <f t="shared" si="205"/>
        <v>44075</v>
      </c>
      <c r="B1084" s="517" t="str">
        <f t="shared" si="206"/>
        <v>3Q20</v>
      </c>
      <c r="C1084" s="517" t="str">
        <f t="shared" si="207"/>
        <v>4Q20</v>
      </c>
      <c r="D1084" s="518">
        <f t="shared" ref="D1084:E1084" si="245">D1083+7</f>
        <v>44141</v>
      </c>
      <c r="E1084" s="518">
        <f t="shared" si="245"/>
        <v>44081</v>
      </c>
      <c r="F1084" s="533">
        <f t="shared" si="242"/>
        <v>3.1040000000000001</v>
      </c>
      <c r="G1084" s="521">
        <f t="shared" si="209"/>
        <v>0.40000000000000019</v>
      </c>
      <c r="H1084" s="521">
        <f t="shared" si="210"/>
        <v>0.40000000000000019</v>
      </c>
    </row>
    <row r="1085" spans="1:8" x14ac:dyDescent="0.2">
      <c r="A1085" s="517">
        <f t="shared" si="205"/>
        <v>44075</v>
      </c>
      <c r="B1085" s="517" t="str">
        <f t="shared" si="206"/>
        <v>3Q20</v>
      </c>
      <c r="C1085" s="517" t="str">
        <f t="shared" si="207"/>
        <v>4Q20</v>
      </c>
      <c r="D1085" s="518">
        <f t="shared" ref="D1085:E1085" si="246">D1084+7</f>
        <v>44148</v>
      </c>
      <c r="E1085" s="518">
        <f t="shared" si="246"/>
        <v>44088</v>
      </c>
      <c r="F1085" s="533">
        <f t="shared" si="242"/>
        <v>3.1040000000000001</v>
      </c>
      <c r="G1085" s="521">
        <f t="shared" si="209"/>
        <v>0.40000000000000019</v>
      </c>
      <c r="H1085" s="521">
        <f t="shared" si="210"/>
        <v>0.40000000000000019</v>
      </c>
    </row>
    <row r="1086" spans="1:8" x14ac:dyDescent="0.2">
      <c r="A1086" s="517">
        <f t="shared" si="205"/>
        <v>44075</v>
      </c>
      <c r="B1086" s="517" t="str">
        <f t="shared" si="206"/>
        <v>3Q20</v>
      </c>
      <c r="C1086" s="517" t="str">
        <f t="shared" si="207"/>
        <v>4Q20</v>
      </c>
      <c r="D1086" s="518">
        <f t="shared" ref="D1086:E1086" si="247">D1085+7</f>
        <v>44155</v>
      </c>
      <c r="E1086" s="518">
        <f t="shared" si="247"/>
        <v>44095</v>
      </c>
      <c r="F1086" s="533">
        <f t="shared" si="242"/>
        <v>3.1040000000000001</v>
      </c>
      <c r="G1086" s="521">
        <f t="shared" si="209"/>
        <v>0.40000000000000019</v>
      </c>
      <c r="H1086" s="521">
        <f t="shared" si="210"/>
        <v>0.40000000000000019</v>
      </c>
    </row>
    <row r="1087" spans="1:8" x14ac:dyDescent="0.2">
      <c r="A1087" s="517">
        <f t="shared" si="205"/>
        <v>44075</v>
      </c>
      <c r="B1087" s="517" t="str">
        <f t="shared" si="206"/>
        <v>3Q20</v>
      </c>
      <c r="C1087" s="517" t="str">
        <f t="shared" si="207"/>
        <v>4Q20</v>
      </c>
      <c r="D1087" s="518">
        <f t="shared" ref="D1087:E1087" si="248">D1086+7</f>
        <v>44162</v>
      </c>
      <c r="E1087" s="518">
        <f t="shared" si="248"/>
        <v>44102</v>
      </c>
      <c r="F1087" s="533">
        <f t="shared" si="242"/>
        <v>3.1040000000000001</v>
      </c>
      <c r="G1087" s="521">
        <f t="shared" si="209"/>
        <v>0.40000000000000019</v>
      </c>
      <c r="H1087" s="521">
        <f t="shared" si="210"/>
        <v>0.40000000000000019</v>
      </c>
    </row>
    <row r="1088" spans="1:8" x14ac:dyDescent="0.2">
      <c r="A1088" s="517">
        <f t="shared" si="205"/>
        <v>44105</v>
      </c>
      <c r="B1088" s="517" t="str">
        <f t="shared" si="206"/>
        <v>4Q20</v>
      </c>
      <c r="C1088" s="517" t="str">
        <f t="shared" si="207"/>
        <v>4Q20</v>
      </c>
      <c r="D1088" s="518">
        <f t="shared" ref="D1088:E1088" si="249">D1087+7</f>
        <v>44169</v>
      </c>
      <c r="E1088" s="518">
        <f t="shared" si="249"/>
        <v>44109</v>
      </c>
      <c r="F1088" s="533">
        <f t="shared" si="242"/>
        <v>3.1040000000000001</v>
      </c>
      <c r="G1088" s="521">
        <f t="shared" si="209"/>
        <v>0.40000000000000019</v>
      </c>
      <c r="H1088" s="521">
        <f t="shared" si="210"/>
        <v>0.40000000000000019</v>
      </c>
    </row>
    <row r="1089" spans="1:8" x14ac:dyDescent="0.2">
      <c r="A1089" s="517">
        <f t="shared" si="205"/>
        <v>44105</v>
      </c>
      <c r="B1089" s="517" t="str">
        <f t="shared" si="206"/>
        <v>4Q20</v>
      </c>
      <c r="C1089" s="517" t="str">
        <f t="shared" si="207"/>
        <v>4Q20</v>
      </c>
      <c r="D1089" s="518">
        <f t="shared" ref="D1089:E1089" si="250">D1088+7</f>
        <v>44176</v>
      </c>
      <c r="E1089" s="518">
        <f t="shared" si="250"/>
        <v>44116</v>
      </c>
      <c r="F1089" s="533">
        <f t="shared" si="242"/>
        <v>3.1040000000000001</v>
      </c>
      <c r="G1089" s="521">
        <f t="shared" si="209"/>
        <v>0.40000000000000019</v>
      </c>
      <c r="H1089" s="521">
        <f t="shared" si="210"/>
        <v>0.40000000000000019</v>
      </c>
    </row>
    <row r="1090" spans="1:8" x14ac:dyDescent="0.2">
      <c r="A1090" s="517">
        <f t="shared" si="205"/>
        <v>44105</v>
      </c>
      <c r="B1090" s="517" t="str">
        <f t="shared" si="206"/>
        <v>4Q20</v>
      </c>
      <c r="C1090" s="517" t="str">
        <f t="shared" si="207"/>
        <v>4Q20</v>
      </c>
      <c r="D1090" s="518">
        <f t="shared" ref="D1090:E1090" si="251">D1089+7</f>
        <v>44183</v>
      </c>
      <c r="E1090" s="518">
        <f t="shared" si="251"/>
        <v>44123</v>
      </c>
      <c r="F1090" s="533">
        <f t="shared" si="242"/>
        <v>3.1040000000000001</v>
      </c>
      <c r="G1090" s="521">
        <f t="shared" si="209"/>
        <v>0.40000000000000019</v>
      </c>
      <c r="H1090" s="521">
        <f t="shared" si="210"/>
        <v>0.40000000000000019</v>
      </c>
    </row>
    <row r="1091" spans="1:8" x14ac:dyDescent="0.2">
      <c r="A1091" s="517">
        <f t="shared" si="205"/>
        <v>44105</v>
      </c>
      <c r="B1091" s="517" t="str">
        <f t="shared" si="206"/>
        <v>4Q20</v>
      </c>
      <c r="C1091" s="517" t="str">
        <f t="shared" si="207"/>
        <v>4Q20</v>
      </c>
      <c r="D1091" s="518">
        <f t="shared" ref="D1091:E1091" si="252">D1090+7</f>
        <v>44190</v>
      </c>
      <c r="E1091" s="518">
        <f t="shared" si="252"/>
        <v>44130</v>
      </c>
      <c r="F1091" s="533">
        <f t="shared" si="242"/>
        <v>3.1040000000000001</v>
      </c>
      <c r="G1091" s="521">
        <f t="shared" si="209"/>
        <v>0.40000000000000019</v>
      </c>
      <c r="H1091" s="521">
        <f t="shared" si="210"/>
        <v>0.40000000000000019</v>
      </c>
    </row>
    <row r="1092" spans="1:8" x14ac:dyDescent="0.2">
      <c r="A1092" s="517">
        <f t="shared" si="205"/>
        <v>44136</v>
      </c>
      <c r="B1092" s="517" t="str">
        <f t="shared" si="206"/>
        <v>4Q20</v>
      </c>
      <c r="C1092" s="517" t="str">
        <f t="shared" si="207"/>
        <v>1Q21</v>
      </c>
      <c r="D1092" s="518">
        <f t="shared" ref="D1092:E1092" si="253">D1091+7</f>
        <v>44197</v>
      </c>
      <c r="E1092" s="518">
        <f t="shared" si="253"/>
        <v>44137</v>
      </c>
      <c r="F1092" s="533">
        <f t="shared" si="242"/>
        <v>3.1040000000000001</v>
      </c>
      <c r="G1092" s="521">
        <f t="shared" si="209"/>
        <v>0.40000000000000019</v>
      </c>
      <c r="H1092" s="521">
        <f t="shared" si="210"/>
        <v>0.40000000000000019</v>
      </c>
    </row>
    <row r="1093" spans="1:8" x14ac:dyDescent="0.2">
      <c r="A1093" s="517">
        <f t="shared" si="205"/>
        <v>44136</v>
      </c>
      <c r="B1093" s="517" t="str">
        <f t="shared" si="206"/>
        <v>4Q20</v>
      </c>
      <c r="C1093" s="517" t="str">
        <f t="shared" si="207"/>
        <v>1Q21</v>
      </c>
      <c r="D1093" s="518">
        <f t="shared" ref="D1093:E1093" si="254">D1092+7</f>
        <v>44204</v>
      </c>
      <c r="E1093" s="518">
        <f t="shared" si="254"/>
        <v>44144</v>
      </c>
      <c r="F1093" s="533">
        <f t="shared" si="242"/>
        <v>3.1040000000000001</v>
      </c>
      <c r="G1093" s="521">
        <f t="shared" si="209"/>
        <v>0.40000000000000019</v>
      </c>
      <c r="H1093" s="521">
        <f t="shared" si="210"/>
        <v>0.40000000000000019</v>
      </c>
    </row>
    <row r="1094" spans="1:8" x14ac:dyDescent="0.2">
      <c r="A1094" s="517">
        <f t="shared" si="205"/>
        <v>44136</v>
      </c>
      <c r="B1094" s="517" t="str">
        <f t="shared" si="206"/>
        <v>4Q20</v>
      </c>
      <c r="C1094" s="517" t="str">
        <f t="shared" si="207"/>
        <v>1Q21</v>
      </c>
      <c r="D1094" s="518">
        <f t="shared" ref="D1094:E1094" si="255">D1093+7</f>
        <v>44211</v>
      </c>
      <c r="E1094" s="518">
        <f t="shared" si="255"/>
        <v>44151</v>
      </c>
      <c r="F1094" s="533">
        <f t="shared" si="242"/>
        <v>3.1040000000000001</v>
      </c>
      <c r="G1094" s="521">
        <f t="shared" si="209"/>
        <v>0.40000000000000019</v>
      </c>
      <c r="H1094" s="521">
        <f t="shared" si="210"/>
        <v>0.40000000000000019</v>
      </c>
    </row>
    <row r="1095" spans="1:8" x14ac:dyDescent="0.2">
      <c r="A1095" s="517">
        <f t="shared" si="205"/>
        <v>44136</v>
      </c>
      <c r="B1095" s="517" t="str">
        <f t="shared" si="206"/>
        <v>4Q20</v>
      </c>
      <c r="C1095" s="517" t="str">
        <f t="shared" si="207"/>
        <v>1Q21</v>
      </c>
      <c r="D1095" s="518">
        <f t="shared" ref="D1095:E1095" si="256">D1094+7</f>
        <v>44218</v>
      </c>
      <c r="E1095" s="518">
        <f t="shared" si="256"/>
        <v>44158</v>
      </c>
      <c r="F1095" s="533">
        <f t="shared" si="242"/>
        <v>3.1040000000000001</v>
      </c>
      <c r="G1095" s="521">
        <f t="shared" si="209"/>
        <v>0.40000000000000019</v>
      </c>
      <c r="H1095" s="521">
        <f t="shared" si="210"/>
        <v>0.40000000000000019</v>
      </c>
    </row>
    <row r="1096" spans="1:8" x14ac:dyDescent="0.2">
      <c r="A1096" s="517">
        <f t="shared" si="205"/>
        <v>44136</v>
      </c>
      <c r="B1096" s="517" t="str">
        <f t="shared" si="206"/>
        <v>4Q20</v>
      </c>
      <c r="C1096" s="517" t="str">
        <f t="shared" si="207"/>
        <v>1Q21</v>
      </c>
      <c r="D1096" s="518">
        <f t="shared" ref="D1096:E1096" si="257">D1095+7</f>
        <v>44225</v>
      </c>
      <c r="E1096" s="518">
        <f t="shared" si="257"/>
        <v>44165</v>
      </c>
      <c r="F1096" s="533">
        <f t="shared" si="242"/>
        <v>3.1040000000000001</v>
      </c>
      <c r="G1096" s="521">
        <f t="shared" si="209"/>
        <v>0.40000000000000019</v>
      </c>
      <c r="H1096" s="521">
        <f t="shared" si="210"/>
        <v>0.40000000000000019</v>
      </c>
    </row>
    <row r="1097" spans="1:8" x14ac:dyDescent="0.2">
      <c r="A1097" s="517">
        <f t="shared" si="205"/>
        <v>44166</v>
      </c>
      <c r="B1097" s="517" t="str">
        <f t="shared" si="206"/>
        <v>4Q20</v>
      </c>
      <c r="C1097" s="517" t="str">
        <f t="shared" si="207"/>
        <v>1Q21</v>
      </c>
      <c r="D1097" s="518">
        <f t="shared" ref="D1097:E1097" si="258">D1096+7</f>
        <v>44232</v>
      </c>
      <c r="E1097" s="518">
        <f t="shared" si="258"/>
        <v>44172</v>
      </c>
      <c r="F1097" s="533">
        <f t="shared" si="242"/>
        <v>3.1040000000000001</v>
      </c>
      <c r="G1097" s="521">
        <f t="shared" si="209"/>
        <v>0.40000000000000019</v>
      </c>
      <c r="H1097" s="521">
        <f t="shared" si="210"/>
        <v>0.40000000000000019</v>
      </c>
    </row>
    <row r="1098" spans="1:8" x14ac:dyDescent="0.2">
      <c r="A1098" s="517">
        <f t="shared" si="205"/>
        <v>44166</v>
      </c>
      <c r="B1098" s="517" t="str">
        <f t="shared" si="206"/>
        <v>4Q20</v>
      </c>
      <c r="C1098" s="517" t="str">
        <f t="shared" si="207"/>
        <v>1Q21</v>
      </c>
      <c r="D1098" s="518">
        <f t="shared" ref="D1098:E1098" si="259">D1097+7</f>
        <v>44239</v>
      </c>
      <c r="E1098" s="518">
        <f t="shared" si="259"/>
        <v>44179</v>
      </c>
      <c r="F1098" s="533">
        <f t="shared" si="242"/>
        <v>3.1040000000000001</v>
      </c>
      <c r="G1098" s="521">
        <f t="shared" si="209"/>
        <v>0.40000000000000019</v>
      </c>
      <c r="H1098" s="521">
        <f t="shared" si="210"/>
        <v>0.40000000000000019</v>
      </c>
    </row>
    <row r="1099" spans="1:8" x14ac:dyDescent="0.2">
      <c r="A1099" s="517">
        <f t="shared" si="205"/>
        <v>44166</v>
      </c>
      <c r="B1099" s="517" t="str">
        <f t="shared" si="206"/>
        <v>4Q20</v>
      </c>
      <c r="C1099" s="517" t="str">
        <f t="shared" si="207"/>
        <v>1Q21</v>
      </c>
      <c r="D1099" s="518">
        <f t="shared" ref="D1099:E1099" si="260">D1098+7</f>
        <v>44246</v>
      </c>
      <c r="E1099" s="518">
        <f t="shared" si="260"/>
        <v>44186</v>
      </c>
      <c r="F1099" s="533">
        <f t="shared" si="242"/>
        <v>3.1040000000000001</v>
      </c>
      <c r="G1099" s="521">
        <f t="shared" si="209"/>
        <v>0.40000000000000019</v>
      </c>
      <c r="H1099" s="521">
        <f t="shared" si="210"/>
        <v>0.40000000000000019</v>
      </c>
    </row>
    <row r="1100" spans="1:8" x14ac:dyDescent="0.2">
      <c r="A1100" s="517">
        <f t="shared" si="205"/>
        <v>44166</v>
      </c>
      <c r="B1100" s="517" t="str">
        <f t="shared" si="206"/>
        <v>4Q20</v>
      </c>
      <c r="C1100" s="517" t="str">
        <f t="shared" si="207"/>
        <v>1Q21</v>
      </c>
      <c r="D1100" s="518">
        <f t="shared" ref="D1100:E1100" si="261">D1099+7</f>
        <v>44253</v>
      </c>
      <c r="E1100" s="518">
        <f t="shared" si="261"/>
        <v>44193</v>
      </c>
      <c r="F1100" s="533">
        <f t="shared" si="242"/>
        <v>3.1040000000000001</v>
      </c>
      <c r="G1100" s="521">
        <f t="shared" si="209"/>
        <v>0.40000000000000019</v>
      </c>
      <c r="H1100" s="521">
        <f t="shared" si="210"/>
        <v>0.40000000000000019</v>
      </c>
    </row>
    <row r="1101" spans="1:8" x14ac:dyDescent="0.2">
      <c r="A1101" s="517">
        <f t="shared" si="205"/>
        <v>44197</v>
      </c>
      <c r="B1101" s="517" t="str">
        <f t="shared" si="206"/>
        <v>1Q21</v>
      </c>
      <c r="C1101" s="517" t="str">
        <f t="shared" si="207"/>
        <v>1Q21</v>
      </c>
      <c r="D1101" s="518">
        <f t="shared" ref="D1101:E1101" si="262">D1100+7</f>
        <v>44260</v>
      </c>
      <c r="E1101" s="518">
        <f t="shared" si="262"/>
        <v>44200</v>
      </c>
      <c r="F1101" s="533">
        <f t="shared" si="242"/>
        <v>3.1040000000000001</v>
      </c>
      <c r="G1101" s="521">
        <f t="shared" si="209"/>
        <v>0.40000000000000019</v>
      </c>
      <c r="H1101" s="521">
        <f t="shared" si="210"/>
        <v>0.40000000000000019</v>
      </c>
    </row>
    <row r="1102" spans="1:8" x14ac:dyDescent="0.2">
      <c r="A1102" s="517">
        <f t="shared" si="205"/>
        <v>44197</v>
      </c>
      <c r="B1102" s="517" t="str">
        <f t="shared" si="206"/>
        <v>1Q21</v>
      </c>
      <c r="C1102" s="517" t="str">
        <f t="shared" si="207"/>
        <v>1Q21</v>
      </c>
      <c r="D1102" s="518">
        <f t="shared" ref="D1102:E1102" si="263">D1101+7</f>
        <v>44267</v>
      </c>
      <c r="E1102" s="518">
        <f t="shared" si="263"/>
        <v>44207</v>
      </c>
      <c r="F1102" s="533">
        <f t="shared" si="242"/>
        <v>3.1040000000000001</v>
      </c>
      <c r="G1102" s="521">
        <f t="shared" si="209"/>
        <v>0.40000000000000019</v>
      </c>
      <c r="H1102" s="521">
        <f t="shared" si="210"/>
        <v>0.40000000000000019</v>
      </c>
    </row>
    <row r="1103" spans="1:8" x14ac:dyDescent="0.2">
      <c r="A1103" s="517">
        <f t="shared" si="205"/>
        <v>44197</v>
      </c>
      <c r="B1103" s="517" t="str">
        <f t="shared" si="206"/>
        <v>1Q21</v>
      </c>
      <c r="C1103" s="517" t="str">
        <f t="shared" si="207"/>
        <v>1Q21</v>
      </c>
      <c r="D1103" s="518">
        <f t="shared" ref="D1103:E1103" si="264">D1102+7</f>
        <v>44274</v>
      </c>
      <c r="E1103" s="518">
        <f t="shared" si="264"/>
        <v>44214</v>
      </c>
      <c r="F1103" s="533">
        <f t="shared" si="242"/>
        <v>3.1040000000000001</v>
      </c>
      <c r="G1103" s="521">
        <f t="shared" si="209"/>
        <v>0.40000000000000019</v>
      </c>
      <c r="H1103" s="521">
        <f t="shared" si="210"/>
        <v>0.40000000000000019</v>
      </c>
    </row>
    <row r="1104" spans="1:8" x14ac:dyDescent="0.2">
      <c r="A1104" s="517">
        <f t="shared" si="205"/>
        <v>44197</v>
      </c>
      <c r="B1104" s="517" t="str">
        <f t="shared" si="206"/>
        <v>1Q21</v>
      </c>
      <c r="C1104" s="517" t="str">
        <f t="shared" si="207"/>
        <v>1Q21</v>
      </c>
      <c r="D1104" s="518">
        <f t="shared" ref="D1104:E1104" si="265">D1103+7</f>
        <v>44281</v>
      </c>
      <c r="E1104" s="518">
        <f t="shared" si="265"/>
        <v>44221</v>
      </c>
      <c r="F1104" s="533">
        <f t="shared" si="242"/>
        <v>3.1040000000000001</v>
      </c>
      <c r="G1104" s="521">
        <f t="shared" si="209"/>
        <v>0.40000000000000019</v>
      </c>
      <c r="H1104" s="521">
        <f t="shared" si="210"/>
        <v>0</v>
      </c>
    </row>
  </sheetData>
  <mergeCells count="1">
    <mergeCell ref="I2:K2"/>
  </mergeCells>
  <phoneticPr fontId="8" type="noConversion"/>
  <pageMargins left="0.75" right="0.75" top="1" bottom="1" header="0.5" footer="0.5"/>
  <pageSetup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CS607"/>
  <sheetViews>
    <sheetView workbookViewId="0">
      <pane xSplit="4" ySplit="2" topLeftCell="E437" activePane="bottomRight" state="frozen"/>
      <selection activeCell="D54" sqref="D54"/>
      <selection pane="topRight" activeCell="D54" sqref="D54"/>
      <selection pane="bottomLeft" activeCell="D54" sqref="D54"/>
      <selection pane="bottomRight" activeCell="E461" sqref="E461"/>
    </sheetView>
  </sheetViews>
  <sheetFormatPr defaultRowHeight="12.75" x14ac:dyDescent="0.2"/>
  <cols>
    <col min="3" max="3" width="11.28515625" customWidth="1"/>
    <col min="5" max="5" width="14" customWidth="1"/>
    <col min="6" max="6" width="2.7109375" customWidth="1"/>
    <col min="7" max="7" width="35.140625" customWidth="1"/>
  </cols>
  <sheetData>
    <row r="1" spans="1:97" ht="12.75" customHeight="1" x14ac:dyDescent="0.2">
      <c r="A1" s="534"/>
      <c r="B1" s="534"/>
      <c r="C1" s="534"/>
      <c r="D1" s="534"/>
      <c r="E1" s="534"/>
      <c r="F1" s="535"/>
      <c r="G1" s="534"/>
      <c r="H1" s="534"/>
      <c r="I1" s="534"/>
      <c r="J1" s="534"/>
      <c r="K1" s="534"/>
      <c r="L1" s="534"/>
      <c r="M1" s="534"/>
      <c r="N1" s="534"/>
      <c r="O1" s="534"/>
      <c r="P1" s="534"/>
      <c r="Q1" s="534"/>
      <c r="R1" s="534"/>
      <c r="S1" s="534"/>
      <c r="T1" s="534"/>
      <c r="U1" s="534"/>
      <c r="V1" s="534"/>
      <c r="W1" s="534"/>
      <c r="X1" s="534"/>
      <c r="Y1" s="534"/>
      <c r="Z1" s="534"/>
      <c r="AA1" s="534"/>
      <c r="AB1" s="534"/>
      <c r="AC1" s="534"/>
      <c r="AD1" s="534"/>
      <c r="AE1" s="534"/>
      <c r="AF1" s="534"/>
      <c r="AG1" s="534"/>
      <c r="AH1" s="534"/>
      <c r="AI1" s="534"/>
      <c r="AJ1" s="534"/>
      <c r="AK1" s="534"/>
      <c r="AL1" s="534"/>
      <c r="AM1" s="534"/>
      <c r="AN1" s="534"/>
      <c r="AO1" s="534"/>
      <c r="AP1" s="534"/>
      <c r="AQ1" s="534"/>
      <c r="AR1" s="534"/>
      <c r="AS1" s="534"/>
      <c r="AT1" s="534"/>
      <c r="AU1" s="534"/>
      <c r="AV1" s="534"/>
      <c r="AW1" s="534"/>
      <c r="AX1" s="534"/>
      <c r="AY1" s="534"/>
      <c r="AZ1" s="534"/>
      <c r="BA1" s="534"/>
      <c r="BB1" s="534"/>
      <c r="BC1" s="534"/>
      <c r="BD1" s="534"/>
      <c r="BE1" s="534"/>
      <c r="BF1" s="534"/>
      <c r="BG1" s="534"/>
      <c r="BH1" s="534"/>
      <c r="BI1" s="534"/>
      <c r="BJ1" s="534"/>
      <c r="BK1" s="534"/>
      <c r="BL1" s="534"/>
      <c r="BM1" s="534"/>
      <c r="BN1" s="534"/>
      <c r="BO1" s="534"/>
      <c r="BP1" s="534"/>
      <c r="BQ1" s="534"/>
      <c r="BR1" s="534"/>
      <c r="BS1" s="534"/>
      <c r="BT1" s="534"/>
      <c r="BU1" s="534"/>
      <c r="BV1" s="534"/>
      <c r="BW1" s="534"/>
      <c r="BX1" s="534"/>
      <c r="BY1" s="534"/>
      <c r="BZ1" s="534"/>
      <c r="CA1" s="534"/>
      <c r="CB1" s="534"/>
      <c r="CC1" s="534"/>
      <c r="CD1" s="534"/>
    </row>
    <row r="2" spans="1:97" ht="24" x14ac:dyDescent="0.2">
      <c r="A2" s="537" t="s">
        <v>592</v>
      </c>
      <c r="B2" s="537" t="s">
        <v>593</v>
      </c>
      <c r="C2" s="537" t="s">
        <v>190</v>
      </c>
      <c r="D2" s="537"/>
      <c r="E2" s="537" t="s">
        <v>138</v>
      </c>
      <c r="F2" s="535"/>
      <c r="G2" s="538" t="s">
        <v>236</v>
      </c>
      <c r="H2" s="538"/>
      <c r="I2" s="538"/>
      <c r="J2" s="538"/>
      <c r="K2" s="538"/>
      <c r="L2" s="538"/>
      <c r="M2" s="538"/>
      <c r="N2" s="538"/>
      <c r="O2" s="538"/>
      <c r="P2" s="538"/>
      <c r="Q2" s="538"/>
      <c r="R2" s="538"/>
      <c r="S2" s="538"/>
      <c r="T2" s="538"/>
      <c r="U2" s="538"/>
      <c r="V2" s="538"/>
      <c r="W2" s="538"/>
      <c r="X2" s="538"/>
      <c r="Y2" s="538"/>
      <c r="Z2" s="538"/>
      <c r="AA2" s="538"/>
      <c r="AB2" s="538"/>
      <c r="AC2" s="538"/>
      <c r="AD2" s="538"/>
      <c r="AE2" s="538"/>
      <c r="AF2" s="538"/>
      <c r="AG2" s="538"/>
      <c r="AH2" s="538"/>
      <c r="AI2" s="538"/>
      <c r="AJ2" s="538"/>
      <c r="AK2" s="538"/>
      <c r="AL2" s="538"/>
      <c r="AM2" s="538"/>
      <c r="AN2" s="538"/>
      <c r="AO2" s="538"/>
      <c r="AP2" s="538"/>
      <c r="AQ2" s="538"/>
      <c r="AR2" s="538"/>
      <c r="AS2" s="538"/>
      <c r="AT2" s="538"/>
      <c r="AU2" s="538"/>
      <c r="AV2" s="538"/>
      <c r="AW2" s="538"/>
      <c r="AX2" s="538"/>
      <c r="AY2" s="538"/>
      <c r="AZ2" s="538"/>
      <c r="BA2" s="538"/>
      <c r="BB2" s="538"/>
      <c r="BC2" s="538"/>
      <c r="BD2" s="538"/>
      <c r="BE2" s="538"/>
      <c r="BF2" s="538"/>
      <c r="BG2" s="538"/>
      <c r="BH2" s="538"/>
      <c r="BI2" s="538"/>
      <c r="BJ2" s="538"/>
      <c r="BK2" s="538"/>
      <c r="BL2" s="538"/>
      <c r="BM2" s="538"/>
      <c r="BN2" s="538"/>
      <c r="BO2" s="538"/>
      <c r="BP2" s="538"/>
      <c r="BQ2" s="538"/>
      <c r="BR2" s="538"/>
      <c r="BS2" s="538"/>
      <c r="BT2" s="538"/>
      <c r="BU2" s="538"/>
      <c r="BV2" s="538"/>
      <c r="BW2" s="538"/>
      <c r="BX2" s="538"/>
      <c r="BY2" s="538"/>
      <c r="BZ2" s="538"/>
      <c r="CA2" s="538"/>
      <c r="CB2" s="538"/>
      <c r="CC2" s="538"/>
      <c r="CD2" s="538"/>
    </row>
    <row r="3" spans="1:97" x14ac:dyDescent="0.2">
      <c r="A3" s="536">
        <v>1</v>
      </c>
      <c r="B3" s="536">
        <f t="shared" ref="B3:B66" si="0">YEAR(C3)</f>
        <v>2002</v>
      </c>
      <c r="C3" s="539">
        <v>37287</v>
      </c>
      <c r="D3" s="536" t="str">
        <f t="shared" ref="D3:D66" si="1">A3&amp;"Q"&amp;RIGHT(B3,2)</f>
        <v>1Q02</v>
      </c>
      <c r="E3" s="540">
        <v>6.66666844444444</v>
      </c>
      <c r="F3" s="535"/>
      <c r="G3" s="541" t="s">
        <v>539</v>
      </c>
      <c r="H3" s="542"/>
      <c r="I3" s="542"/>
      <c r="J3" s="542"/>
      <c r="K3" s="542"/>
      <c r="L3" s="542"/>
      <c r="M3" s="542"/>
      <c r="N3" s="542"/>
      <c r="O3" s="542"/>
      <c r="P3" s="542"/>
      <c r="Q3" s="542"/>
      <c r="R3" s="542"/>
      <c r="S3" s="542"/>
      <c r="T3" s="542"/>
      <c r="U3" s="542"/>
      <c r="V3" s="542"/>
      <c r="W3" s="542"/>
      <c r="X3" s="542"/>
      <c r="Y3" s="542"/>
      <c r="Z3" s="542"/>
      <c r="AA3" s="542"/>
      <c r="AB3" s="542"/>
      <c r="AC3" s="542"/>
      <c r="AD3" s="542"/>
      <c r="AE3" s="542"/>
      <c r="AF3" s="542"/>
      <c r="AG3" s="542"/>
      <c r="AH3" s="542"/>
      <c r="AI3" s="542"/>
      <c r="AJ3" s="542"/>
      <c r="AK3" s="542"/>
      <c r="AL3" s="542"/>
      <c r="AM3" s="542"/>
      <c r="AN3" s="542"/>
      <c r="AO3" s="542"/>
      <c r="AP3" s="542"/>
      <c r="AQ3" s="542"/>
      <c r="AR3" s="542"/>
      <c r="AS3" s="542"/>
      <c r="AT3" s="542"/>
      <c r="AU3" s="542"/>
      <c r="AV3" s="542"/>
      <c r="AW3" s="542"/>
      <c r="AX3" s="542"/>
      <c r="AY3" s="542"/>
      <c r="AZ3" s="542"/>
      <c r="BA3" s="542"/>
      <c r="BB3" s="542"/>
      <c r="BC3" s="542"/>
      <c r="BD3" s="542"/>
      <c r="BE3" s="542"/>
      <c r="BF3" s="542"/>
      <c r="BG3" s="542"/>
      <c r="BH3" s="542"/>
      <c r="BI3" s="542"/>
      <c r="BJ3" s="542"/>
      <c r="BK3" s="542"/>
      <c r="BL3" s="542"/>
      <c r="BM3" s="542"/>
      <c r="BN3" s="542"/>
      <c r="BO3" s="542"/>
      <c r="BP3" s="542"/>
      <c r="BQ3" s="542"/>
      <c r="BR3" s="542"/>
      <c r="BS3" s="542"/>
      <c r="BT3" s="542"/>
      <c r="BU3" s="542"/>
      <c r="BV3" s="542"/>
      <c r="BW3" s="542"/>
      <c r="BX3" s="542"/>
      <c r="BY3" s="542"/>
      <c r="BZ3" s="542"/>
      <c r="CA3" s="542"/>
      <c r="CB3" s="542"/>
      <c r="CC3" s="542"/>
      <c r="CD3" s="542"/>
    </row>
    <row r="4" spans="1:97" x14ac:dyDescent="0.2">
      <c r="A4" s="536">
        <v>1</v>
      </c>
      <c r="B4" s="536">
        <f t="shared" si="0"/>
        <v>2002</v>
      </c>
      <c r="C4" s="539">
        <v>37315</v>
      </c>
      <c r="D4" s="536" t="str">
        <f t="shared" si="1"/>
        <v>1Q02</v>
      </c>
      <c r="E4" s="540">
        <v>6.2900000106662182</v>
      </c>
      <c r="F4" s="535"/>
      <c r="G4" s="543" t="s">
        <v>67</v>
      </c>
      <c r="H4" s="543">
        <v>0</v>
      </c>
      <c r="I4" s="543">
        <f t="shared" ref="I4:BC4" si="2">H4+1</f>
        <v>1</v>
      </c>
      <c r="J4" s="543">
        <f t="shared" si="2"/>
        <v>2</v>
      </c>
      <c r="K4" s="543">
        <f t="shared" si="2"/>
        <v>3</v>
      </c>
      <c r="L4" s="543">
        <f t="shared" si="2"/>
        <v>4</v>
      </c>
      <c r="M4" s="543">
        <f t="shared" si="2"/>
        <v>5</v>
      </c>
      <c r="N4" s="543">
        <f t="shared" si="2"/>
        <v>6</v>
      </c>
      <c r="O4" s="543">
        <f t="shared" si="2"/>
        <v>7</v>
      </c>
      <c r="P4" s="543">
        <f t="shared" si="2"/>
        <v>8</v>
      </c>
      <c r="Q4" s="543">
        <f t="shared" si="2"/>
        <v>9</v>
      </c>
      <c r="R4" s="543">
        <f t="shared" si="2"/>
        <v>10</v>
      </c>
      <c r="S4" s="543">
        <f t="shared" si="2"/>
        <v>11</v>
      </c>
      <c r="T4" s="543">
        <f t="shared" si="2"/>
        <v>12</v>
      </c>
      <c r="U4" s="543">
        <f t="shared" si="2"/>
        <v>13</v>
      </c>
      <c r="V4" s="543">
        <f t="shared" si="2"/>
        <v>14</v>
      </c>
      <c r="W4" s="543">
        <f t="shared" si="2"/>
        <v>15</v>
      </c>
      <c r="X4" s="543">
        <f t="shared" si="2"/>
        <v>16</v>
      </c>
      <c r="Y4" s="543">
        <f t="shared" si="2"/>
        <v>17</v>
      </c>
      <c r="Z4" s="543">
        <f t="shared" si="2"/>
        <v>18</v>
      </c>
      <c r="AA4" s="543">
        <f t="shared" si="2"/>
        <v>19</v>
      </c>
      <c r="AB4" s="543">
        <f t="shared" si="2"/>
        <v>20</v>
      </c>
      <c r="AC4" s="543">
        <f t="shared" si="2"/>
        <v>21</v>
      </c>
      <c r="AD4" s="543">
        <f t="shared" si="2"/>
        <v>22</v>
      </c>
      <c r="AE4" s="543">
        <f t="shared" si="2"/>
        <v>23</v>
      </c>
      <c r="AF4" s="543">
        <f t="shared" si="2"/>
        <v>24</v>
      </c>
      <c r="AG4" s="543">
        <f t="shared" si="2"/>
        <v>25</v>
      </c>
      <c r="AH4" s="543">
        <f t="shared" si="2"/>
        <v>26</v>
      </c>
      <c r="AI4" s="543">
        <f t="shared" si="2"/>
        <v>27</v>
      </c>
      <c r="AJ4" s="543">
        <f t="shared" si="2"/>
        <v>28</v>
      </c>
      <c r="AK4" s="543">
        <f t="shared" si="2"/>
        <v>29</v>
      </c>
      <c r="AL4" s="543">
        <f t="shared" si="2"/>
        <v>30</v>
      </c>
      <c r="AM4" s="543">
        <f t="shared" si="2"/>
        <v>31</v>
      </c>
      <c r="AN4" s="543">
        <f t="shared" si="2"/>
        <v>32</v>
      </c>
      <c r="AO4" s="543">
        <f t="shared" si="2"/>
        <v>33</v>
      </c>
      <c r="AP4" s="543">
        <f t="shared" si="2"/>
        <v>34</v>
      </c>
      <c r="AQ4" s="543">
        <f t="shared" si="2"/>
        <v>35</v>
      </c>
      <c r="AR4" s="543">
        <f t="shared" si="2"/>
        <v>36</v>
      </c>
      <c r="AS4" s="543">
        <f t="shared" si="2"/>
        <v>37</v>
      </c>
      <c r="AT4" s="543">
        <f t="shared" si="2"/>
        <v>38</v>
      </c>
      <c r="AU4" s="543">
        <f t="shared" si="2"/>
        <v>39</v>
      </c>
      <c r="AV4" s="543">
        <f t="shared" si="2"/>
        <v>40</v>
      </c>
      <c r="AW4" s="543">
        <f t="shared" si="2"/>
        <v>41</v>
      </c>
      <c r="AX4" s="543">
        <f t="shared" si="2"/>
        <v>42</v>
      </c>
      <c r="AY4" s="543">
        <f t="shared" si="2"/>
        <v>43</v>
      </c>
      <c r="AZ4" s="543">
        <f t="shared" si="2"/>
        <v>44</v>
      </c>
      <c r="BA4" s="543">
        <f t="shared" si="2"/>
        <v>45</v>
      </c>
      <c r="BB4" s="543">
        <f t="shared" si="2"/>
        <v>46</v>
      </c>
      <c r="BC4" s="543">
        <f t="shared" si="2"/>
        <v>47</v>
      </c>
      <c r="BD4" s="543">
        <f t="shared" ref="BD4:BK4" si="3">BC4+1</f>
        <v>48</v>
      </c>
      <c r="BE4" s="543">
        <f t="shared" si="3"/>
        <v>49</v>
      </c>
      <c r="BF4" s="543">
        <f t="shared" si="3"/>
        <v>50</v>
      </c>
      <c r="BG4" s="543">
        <f t="shared" si="3"/>
        <v>51</v>
      </c>
      <c r="BH4" s="543">
        <f t="shared" si="3"/>
        <v>52</v>
      </c>
      <c r="BI4" s="543">
        <f t="shared" si="3"/>
        <v>53</v>
      </c>
      <c r="BJ4" s="543">
        <f t="shared" si="3"/>
        <v>54</v>
      </c>
      <c r="BK4" s="543">
        <f t="shared" si="3"/>
        <v>55</v>
      </c>
      <c r="BL4" s="543">
        <f t="shared" ref="BL4:CA4" si="4">BK4+1</f>
        <v>56</v>
      </c>
      <c r="BM4" s="543">
        <f t="shared" si="4"/>
        <v>57</v>
      </c>
      <c r="BN4" s="543">
        <f t="shared" si="4"/>
        <v>58</v>
      </c>
      <c r="BO4" s="543">
        <f t="shared" si="4"/>
        <v>59</v>
      </c>
      <c r="BP4" s="543">
        <f t="shared" si="4"/>
        <v>60</v>
      </c>
      <c r="BQ4" s="543">
        <f t="shared" si="4"/>
        <v>61</v>
      </c>
      <c r="BR4" s="543">
        <f t="shared" si="4"/>
        <v>62</v>
      </c>
      <c r="BS4" s="543">
        <f t="shared" si="4"/>
        <v>63</v>
      </c>
      <c r="BT4" s="543">
        <f t="shared" si="4"/>
        <v>64</v>
      </c>
      <c r="BU4" s="543">
        <f t="shared" si="4"/>
        <v>65</v>
      </c>
      <c r="BV4" s="543">
        <f t="shared" si="4"/>
        <v>66</v>
      </c>
      <c r="BW4" s="543">
        <f t="shared" si="4"/>
        <v>67</v>
      </c>
      <c r="BX4" s="543">
        <f t="shared" si="4"/>
        <v>68</v>
      </c>
      <c r="BY4" s="543">
        <f t="shared" si="4"/>
        <v>69</v>
      </c>
      <c r="BZ4" s="543">
        <f t="shared" si="4"/>
        <v>70</v>
      </c>
      <c r="CA4" s="543">
        <f t="shared" si="4"/>
        <v>71</v>
      </c>
      <c r="CB4" s="544"/>
      <c r="CC4" s="544"/>
      <c r="CD4" s="544"/>
    </row>
    <row r="5" spans="1:97" x14ac:dyDescent="0.2">
      <c r="A5" s="536">
        <v>1</v>
      </c>
      <c r="B5" s="536">
        <f t="shared" si="0"/>
        <v>2002</v>
      </c>
      <c r="C5" s="539">
        <v>37346</v>
      </c>
      <c r="D5" s="536" t="str">
        <f t="shared" si="1"/>
        <v>1Q02</v>
      </c>
      <c r="E5" s="540">
        <v>6.3516658604437737</v>
      </c>
      <c r="F5" s="535"/>
      <c r="G5" s="543" t="s">
        <v>22</v>
      </c>
      <c r="H5" s="545" t="str">
        <f ca="1">"1Q"&amp;RIGHT(YEAR(OFFSET($C$3,H4*3,0)),2)</f>
        <v>1Q02</v>
      </c>
      <c r="I5" s="545" t="str">
        <f ca="1">"2Q"&amp;RIGHT(YEAR(OFFSET($C$3,I4*3,0)),2)</f>
        <v>2Q02</v>
      </c>
      <c r="J5" s="545" t="str">
        <f ca="1">"3Q"&amp;RIGHT(YEAR(OFFSET($C$3,J4*3,0)),2)</f>
        <v>3Q02</v>
      </c>
      <c r="K5" s="545" t="str">
        <f ca="1">"4Q"&amp;RIGHT(YEAR(OFFSET($C$3,K4*3,0)),2)</f>
        <v>4Q02</v>
      </c>
      <c r="L5" s="543" t="str">
        <f t="shared" ref="L5:AU5" ca="1" si="5">LEFT(H5,1)&amp;"Q"&amp;RIGHT(YEAR(OFFSET($C$3,L4*3,0)),2)</f>
        <v>1Q03</v>
      </c>
      <c r="M5" s="543" t="str">
        <f t="shared" ca="1" si="5"/>
        <v>2Q03</v>
      </c>
      <c r="N5" s="543" t="str">
        <f t="shared" ca="1" si="5"/>
        <v>3Q03</v>
      </c>
      <c r="O5" s="543" t="str">
        <f t="shared" ca="1" si="5"/>
        <v>4Q03</v>
      </c>
      <c r="P5" s="543" t="str">
        <f t="shared" ca="1" si="5"/>
        <v>1Q04</v>
      </c>
      <c r="Q5" s="543" t="str">
        <f t="shared" ca="1" si="5"/>
        <v>2Q04</v>
      </c>
      <c r="R5" s="543" t="str">
        <f t="shared" ca="1" si="5"/>
        <v>3Q04</v>
      </c>
      <c r="S5" s="543" t="str">
        <f t="shared" ca="1" si="5"/>
        <v>4Q04</v>
      </c>
      <c r="T5" s="543" t="str">
        <f t="shared" ca="1" si="5"/>
        <v>1Q05</v>
      </c>
      <c r="U5" s="543" t="str">
        <f t="shared" ca="1" si="5"/>
        <v>2Q05</v>
      </c>
      <c r="V5" s="543" t="str">
        <f t="shared" ca="1" si="5"/>
        <v>3Q05</v>
      </c>
      <c r="W5" s="543" t="str">
        <f t="shared" ca="1" si="5"/>
        <v>4Q05</v>
      </c>
      <c r="X5" s="543" t="str">
        <f t="shared" ca="1" si="5"/>
        <v>1Q06</v>
      </c>
      <c r="Y5" s="543" t="str">
        <f t="shared" ca="1" si="5"/>
        <v>2Q06</v>
      </c>
      <c r="Z5" s="543" t="str">
        <f t="shared" ca="1" si="5"/>
        <v>3Q06</v>
      </c>
      <c r="AA5" s="543" t="str">
        <f t="shared" ca="1" si="5"/>
        <v>4Q06</v>
      </c>
      <c r="AB5" s="543" t="str">
        <f t="shared" ca="1" si="5"/>
        <v>1Q07</v>
      </c>
      <c r="AC5" s="543" t="str">
        <f t="shared" ca="1" si="5"/>
        <v>2Q07</v>
      </c>
      <c r="AD5" s="543" t="str">
        <f t="shared" ca="1" si="5"/>
        <v>3Q07</v>
      </c>
      <c r="AE5" s="543" t="str">
        <f t="shared" ca="1" si="5"/>
        <v>4Q07</v>
      </c>
      <c r="AF5" s="543" t="str">
        <f t="shared" ca="1" si="5"/>
        <v>1Q08</v>
      </c>
      <c r="AG5" s="543" t="str">
        <f t="shared" ca="1" si="5"/>
        <v>2Q08</v>
      </c>
      <c r="AH5" s="543" t="str">
        <f t="shared" ca="1" si="5"/>
        <v>3Q08</v>
      </c>
      <c r="AI5" s="543" t="str">
        <f t="shared" ca="1" si="5"/>
        <v>4Q08</v>
      </c>
      <c r="AJ5" s="543" t="str">
        <f t="shared" ca="1" si="5"/>
        <v>1Q09</v>
      </c>
      <c r="AK5" s="543" t="str">
        <f t="shared" ca="1" si="5"/>
        <v>2Q09</v>
      </c>
      <c r="AL5" s="543" t="str">
        <f t="shared" ca="1" si="5"/>
        <v>3Q09</v>
      </c>
      <c r="AM5" s="543" t="str">
        <f t="shared" ca="1" si="5"/>
        <v>4Q09</v>
      </c>
      <c r="AN5" s="543" t="str">
        <f t="shared" ca="1" si="5"/>
        <v>1Q10</v>
      </c>
      <c r="AO5" s="543" t="str">
        <f t="shared" ca="1" si="5"/>
        <v>2Q10</v>
      </c>
      <c r="AP5" s="543" t="str">
        <f t="shared" ca="1" si="5"/>
        <v>3Q10</v>
      </c>
      <c r="AQ5" s="543" t="str">
        <f t="shared" ca="1" si="5"/>
        <v>4Q10</v>
      </c>
      <c r="AR5" s="543" t="str">
        <f t="shared" ca="1" si="5"/>
        <v>1Q11</v>
      </c>
      <c r="AS5" s="543" t="str">
        <f t="shared" ca="1" si="5"/>
        <v>2Q11</v>
      </c>
      <c r="AT5" s="543" t="str">
        <f t="shared" ca="1" si="5"/>
        <v>3Q11</v>
      </c>
      <c r="AU5" s="543" t="str">
        <f t="shared" ca="1" si="5"/>
        <v>4Q11</v>
      </c>
      <c r="AV5" s="543" t="str">
        <f t="shared" ref="AV5:BC5" ca="1" si="6">LEFT(AR5,2)&amp;RIGHT(AR5,2)+1</f>
        <v>1Q12</v>
      </c>
      <c r="AW5" s="543" t="str">
        <f t="shared" ca="1" si="6"/>
        <v>2Q12</v>
      </c>
      <c r="AX5" s="543" t="str">
        <f t="shared" ca="1" si="6"/>
        <v>3Q12</v>
      </c>
      <c r="AY5" s="543" t="str">
        <f t="shared" ca="1" si="6"/>
        <v>4Q12</v>
      </c>
      <c r="AZ5" s="543" t="str">
        <f t="shared" ca="1" si="6"/>
        <v>1Q13</v>
      </c>
      <c r="BA5" s="543" t="str">
        <f t="shared" ca="1" si="6"/>
        <v>2Q13</v>
      </c>
      <c r="BB5" s="543" t="str">
        <f t="shared" ca="1" si="6"/>
        <v>3Q13</v>
      </c>
      <c r="BC5" s="543" t="str">
        <f t="shared" ca="1" si="6"/>
        <v>4Q13</v>
      </c>
      <c r="BD5" s="543" t="str">
        <f t="shared" ref="BD5:BK5" ca="1" si="7">LEFT(AZ5,2)&amp;RIGHT(AZ5,2)+1</f>
        <v>1Q14</v>
      </c>
      <c r="BE5" s="543" t="str">
        <f t="shared" ca="1" si="7"/>
        <v>2Q14</v>
      </c>
      <c r="BF5" s="543" t="str">
        <f t="shared" ca="1" si="7"/>
        <v>3Q14</v>
      </c>
      <c r="BG5" s="543" t="str">
        <f t="shared" ca="1" si="7"/>
        <v>4Q14</v>
      </c>
      <c r="BH5" s="543" t="str">
        <f t="shared" ca="1" si="7"/>
        <v>1Q15</v>
      </c>
      <c r="BI5" s="543" t="str">
        <f t="shared" ca="1" si="7"/>
        <v>2Q15</v>
      </c>
      <c r="BJ5" s="543" t="str">
        <f t="shared" ca="1" si="7"/>
        <v>3Q15</v>
      </c>
      <c r="BK5" s="543" t="str">
        <f t="shared" ca="1" si="7"/>
        <v>4Q15</v>
      </c>
      <c r="BL5" s="543" t="str">
        <f t="shared" ref="BL5:CA5" ca="1" si="8">LEFT(BH5,2)&amp;RIGHT(BH5,2)+1</f>
        <v>1Q16</v>
      </c>
      <c r="BM5" s="543" t="str">
        <f t="shared" ca="1" si="8"/>
        <v>2Q16</v>
      </c>
      <c r="BN5" s="543" t="str">
        <f t="shared" ca="1" si="8"/>
        <v>3Q16</v>
      </c>
      <c r="BO5" s="543" t="str">
        <f t="shared" ca="1" si="8"/>
        <v>4Q16</v>
      </c>
      <c r="BP5" s="543" t="str">
        <f t="shared" ca="1" si="8"/>
        <v>1Q17</v>
      </c>
      <c r="BQ5" s="543" t="str">
        <f t="shared" ca="1" si="8"/>
        <v>2Q17</v>
      </c>
      <c r="BR5" s="543" t="str">
        <f t="shared" ca="1" si="8"/>
        <v>3Q17</v>
      </c>
      <c r="BS5" s="543" t="str">
        <f t="shared" ca="1" si="8"/>
        <v>4Q17</v>
      </c>
      <c r="BT5" s="543" t="str">
        <f t="shared" ca="1" si="8"/>
        <v>1Q18</v>
      </c>
      <c r="BU5" s="543" t="str">
        <f t="shared" ca="1" si="8"/>
        <v>2Q18</v>
      </c>
      <c r="BV5" s="543" t="str">
        <f t="shared" ca="1" si="8"/>
        <v>3Q18</v>
      </c>
      <c r="BW5" s="543" t="str">
        <f t="shared" ca="1" si="8"/>
        <v>4Q18</v>
      </c>
      <c r="BX5" s="543" t="str">
        <f t="shared" ca="1" si="8"/>
        <v>1Q19</v>
      </c>
      <c r="BY5" s="543" t="str">
        <f t="shared" ca="1" si="8"/>
        <v>2Q19</v>
      </c>
      <c r="BZ5" s="543" t="str">
        <f t="shared" ca="1" si="8"/>
        <v>3Q19</v>
      </c>
      <c r="CA5" s="543" t="str">
        <f t="shared" ca="1" si="8"/>
        <v>4Q19</v>
      </c>
      <c r="CB5" s="536"/>
      <c r="CC5" s="536"/>
      <c r="CD5" s="536"/>
    </row>
    <row r="6" spans="1:97" x14ac:dyDescent="0.2">
      <c r="A6" s="536">
        <f t="shared" ref="A6:A14" si="9">A3+1</f>
        <v>2</v>
      </c>
      <c r="B6" s="536">
        <f t="shared" si="0"/>
        <v>2002</v>
      </c>
      <c r="C6" s="539">
        <v>37376</v>
      </c>
      <c r="D6" s="536" t="str">
        <f t="shared" si="1"/>
        <v>2Q02</v>
      </c>
      <c r="E6" s="540">
        <v>6.0283346075554629</v>
      </c>
      <c r="F6" s="535"/>
      <c r="G6" s="544" t="s">
        <v>620</v>
      </c>
      <c r="H6" s="546">
        <f ca="1">SUMIF($D$3:$D$65536,H$5,$E$3:$E$244)/3</f>
        <v>6.4361114385181439</v>
      </c>
      <c r="I6" s="546">
        <f t="shared" ref="I6:AT6" ca="1" si="10">SUMIF($D$3:$D$65536,I5,$E$3:$E$244)/3</f>
        <v>5.8677782314071081</v>
      </c>
      <c r="J6" s="546">
        <f t="shared" ca="1" si="10"/>
        <v>5.3211108078513893</v>
      </c>
      <c r="K6" s="546">
        <f t="shared" ca="1" si="10"/>
        <v>4.6422225157034491</v>
      </c>
      <c r="L6" s="546">
        <f t="shared" ca="1" si="10"/>
        <v>4.6338886245921893</v>
      </c>
      <c r="M6" s="546">
        <f t="shared" ca="1" si="10"/>
        <v>5.2677787380739529</v>
      </c>
      <c r="N6" s="546">
        <f t="shared" ca="1" si="10"/>
        <v>5.1572228752590625</v>
      </c>
      <c r="O6" s="546">
        <f t="shared" ca="1" si="10"/>
        <v>5.6472225059255967</v>
      </c>
      <c r="P6" s="546">
        <f t="shared" ca="1" si="10"/>
        <v>5.1877786056294788</v>
      </c>
      <c r="Q6" s="546">
        <f t="shared" ca="1" si="10"/>
        <v>5.2850000204440706</v>
      </c>
      <c r="R6" s="546">
        <f t="shared" ca="1" si="10"/>
        <v>5.3377776456292123</v>
      </c>
      <c r="S6" s="546">
        <f t="shared" ca="1" si="10"/>
        <v>6.3727781994070627</v>
      </c>
      <c r="T6" s="546">
        <f t="shared" ca="1" si="10"/>
        <v>6.8294450434070768</v>
      </c>
      <c r="U6" s="546">
        <f t="shared" ca="1" si="10"/>
        <v>6.9094443425179959</v>
      </c>
      <c r="V6" s="546">
        <f t="shared" ca="1" si="10"/>
        <v>7.5527787918515799</v>
      </c>
      <c r="W6" s="546">
        <f t="shared" ca="1" si="10"/>
        <v>8.0677791514071959</v>
      </c>
      <c r="X6" s="546">
        <f t="shared" ca="1" si="10"/>
        <v>9.3727789994070605</v>
      </c>
      <c r="Y6" s="546">
        <f t="shared" ca="1" si="10"/>
        <v>11.436112771851475</v>
      </c>
      <c r="Z6" s="546">
        <f t="shared" ca="1" si="10"/>
        <v>10.376664176740627</v>
      </c>
      <c r="AA6" s="546">
        <f t="shared" ca="1" si="10"/>
        <v>11.773330666666654</v>
      </c>
      <c r="AB6" s="546">
        <f t="shared" ca="1" si="10"/>
        <v>12.717775111111097</v>
      </c>
      <c r="AC6" s="546">
        <f t="shared" ca="1" si="10"/>
        <v>14.854441555555539</v>
      </c>
      <c r="AD6" s="546">
        <f t="shared" ca="1" si="10"/>
        <v>14.57110944444443</v>
      </c>
      <c r="AE6" s="546">
        <f t="shared" ca="1" si="10"/>
        <v>14.527776222222213</v>
      </c>
      <c r="AF6" s="546">
        <f t="shared" ca="1" si="10"/>
        <v>17.005552777777762</v>
      </c>
      <c r="AG6" s="546">
        <f t="shared" ca="1" si="10"/>
        <v>21.646665888888865</v>
      </c>
      <c r="AH6" s="546">
        <f t="shared" ca="1" si="10"/>
        <v>20.758885888888866</v>
      </c>
      <c r="AI6" s="546">
        <f t="shared" ca="1" si="10"/>
        <v>12.825551444444431</v>
      </c>
      <c r="AJ6" s="546">
        <f t="shared" ca="1" si="10"/>
        <v>8.8322195555555449</v>
      </c>
      <c r="AK6" s="546">
        <f t="shared" ca="1" si="10"/>
        <v>10.664442444444434</v>
      </c>
      <c r="AL6" s="546">
        <f t="shared" ca="1" si="10"/>
        <v>13.831109111111097</v>
      </c>
      <c r="AM6" s="546">
        <f t="shared" ca="1" si="10"/>
        <v>15.349997777777764</v>
      </c>
      <c r="AN6" s="546">
        <f t="shared" ca="1" si="10"/>
        <v>15.691107999999986</v>
      </c>
      <c r="AO6" s="546">
        <f t="shared" ca="1" si="10"/>
        <v>17.547775333333316</v>
      </c>
      <c r="AP6" s="546">
        <f t="shared" ca="1" si="10"/>
        <v>17.547775444444429</v>
      </c>
      <c r="AQ6" s="546">
        <f t="shared" ca="1" si="10"/>
        <v>20.763331222222202</v>
      </c>
      <c r="AR6" s="546">
        <f t="shared" ca="1" si="10"/>
        <v>24.873330111111084</v>
      </c>
      <c r="AS6" s="546">
        <f t="shared" ca="1" si="10"/>
        <v>26.29443711111109</v>
      </c>
      <c r="AT6" s="546">
        <f t="shared" ca="1" si="10"/>
        <v>21.726659999999999</v>
      </c>
      <c r="AU6" s="546">
        <f t="shared" ref="AU6:BC6" ca="1" si="11">SUMIF($D$3:$D$65536,AU5,$E$3:$E$244)/13</f>
        <v>21.373839692307691</v>
      </c>
      <c r="AV6" s="546">
        <f t="shared" ca="1" si="11"/>
        <v>22.021531923076925</v>
      </c>
      <c r="AW6" s="546">
        <f t="shared" ca="1" si="11"/>
        <v>21.640761769230771</v>
      </c>
      <c r="AX6" s="546">
        <f t="shared" ca="1" si="11"/>
        <v>22.505377461538462</v>
      </c>
      <c r="AY6" s="546">
        <f t="shared" ca="1" si="11"/>
        <v>20.189223538461537</v>
      </c>
      <c r="AZ6" s="546">
        <f t="shared" ca="1" si="11"/>
        <v>22.523837153846156</v>
      </c>
      <c r="BA6" s="546">
        <f t="shared" ca="1" si="11"/>
        <v>24.604610076923077</v>
      </c>
      <c r="BB6" s="546">
        <f t="shared" ca="1" si="11"/>
        <v>25.257684999999999</v>
      </c>
      <c r="BC6" s="546">
        <f t="shared" ca="1" si="11"/>
        <v>26.916146923076919</v>
      </c>
      <c r="BD6" s="546">
        <f t="shared" ref="BD6:BK6" ca="1" si="12">SUMIF($D$3:$D$65536,BD5,$E$3:$E$244)/13</f>
        <v>27.849993615384619</v>
      </c>
      <c r="BE6" s="546">
        <f t="shared" ca="1" si="12"/>
        <v>29.236916615384612</v>
      </c>
      <c r="BF6" s="546">
        <f t="shared" ca="1" si="12"/>
        <v>30.940763538461535</v>
      </c>
      <c r="BG6" s="546">
        <f t="shared" ca="1" si="12"/>
        <v>35.167686307692307</v>
      </c>
      <c r="BH6" s="546">
        <f t="shared" ca="1" si="12"/>
        <v>34.648462615384616</v>
      </c>
      <c r="BI6" s="546">
        <f t="shared" ca="1" si="12"/>
        <v>34.963077692307692</v>
      </c>
      <c r="BJ6" s="546">
        <f t="shared" ca="1" si="12"/>
        <v>29.527694307692311</v>
      </c>
      <c r="BK6" s="546">
        <f t="shared" ca="1" si="12"/>
        <v>27.382308230769233</v>
      </c>
      <c r="BL6" s="546">
        <f t="shared" ref="BL6:CA6" ca="1" si="13">SUMIF($D$3:$D$65536,BL5,$E$3:$E$244)/13</f>
        <v>27.224614615384617</v>
      </c>
      <c r="BM6" s="546">
        <f t="shared" ca="1" si="13"/>
        <v>26.154615461538462</v>
      </c>
      <c r="BN6" s="546">
        <f t="shared" ca="1" si="13"/>
        <v>28.201539692307691</v>
      </c>
      <c r="BO6" s="546">
        <f t="shared" ca="1" si="13"/>
        <v>33.405767999999995</v>
      </c>
      <c r="BP6" s="546">
        <f t="shared" ca="1" si="13"/>
        <v>42.366923307692304</v>
      </c>
      <c r="BQ6" s="546">
        <f t="shared" ca="1" si="13"/>
        <v>51.074616307692295</v>
      </c>
      <c r="BR6" s="546">
        <f t="shared" ca="1" si="13"/>
        <v>55.658462923076925</v>
      </c>
      <c r="BS6" s="546">
        <f t="shared" ca="1" si="13"/>
        <v>48.844615461538453</v>
      </c>
      <c r="BT6" s="546">
        <f t="shared" ca="1" si="13"/>
        <v>64.754616846153837</v>
      </c>
      <c r="BU6" s="546">
        <f t="shared" ca="1" si="13"/>
        <v>51.849231076923054</v>
      </c>
      <c r="BV6" s="546">
        <f t="shared" ca="1" si="13"/>
        <v>56.409999999999975</v>
      </c>
      <c r="BW6" s="546">
        <f t="shared" ca="1" si="13"/>
        <v>56.409999999999975</v>
      </c>
      <c r="BX6" s="546">
        <f t="shared" ca="1" si="13"/>
        <v>56.409999999999975</v>
      </c>
      <c r="BY6" s="546">
        <f t="shared" ca="1" si="13"/>
        <v>56.409999999999975</v>
      </c>
      <c r="BZ6" s="546">
        <f t="shared" ca="1" si="13"/>
        <v>56.409999999999975</v>
      </c>
      <c r="CA6" s="546">
        <f t="shared" ca="1" si="13"/>
        <v>56.409999999999975</v>
      </c>
      <c r="CB6" s="536"/>
      <c r="CC6" s="536"/>
      <c r="CD6" s="536"/>
    </row>
    <row r="7" spans="1:97" x14ac:dyDescent="0.2">
      <c r="A7" s="536">
        <f t="shared" si="9"/>
        <v>2</v>
      </c>
      <c r="B7" s="536">
        <f t="shared" si="0"/>
        <v>2002</v>
      </c>
      <c r="C7" s="539">
        <v>37407</v>
      </c>
      <c r="D7" s="536" t="str">
        <f t="shared" si="1"/>
        <v>2Q02</v>
      </c>
      <c r="E7" s="540">
        <v>5.7333338622219516</v>
      </c>
      <c r="F7" s="535"/>
      <c r="G7" s="544"/>
      <c r="H7" s="546"/>
      <c r="I7" s="546"/>
      <c r="J7" s="546"/>
      <c r="K7" s="546"/>
      <c r="L7" s="546"/>
      <c r="M7" s="546"/>
      <c r="N7" s="546"/>
      <c r="O7" s="546"/>
      <c r="P7" s="546"/>
      <c r="Q7" s="546"/>
      <c r="R7" s="546"/>
      <c r="S7" s="546"/>
      <c r="T7" s="546"/>
      <c r="U7" s="546"/>
      <c r="V7" s="546"/>
      <c r="W7" s="546"/>
      <c r="X7" s="536"/>
      <c r="Y7" s="536"/>
      <c r="Z7" s="536"/>
      <c r="AA7" s="536"/>
      <c r="AB7" s="536"/>
      <c r="AC7" s="547"/>
      <c r="AD7" s="547"/>
      <c r="AE7" s="547"/>
      <c r="AF7" s="547"/>
      <c r="AG7" s="547"/>
      <c r="AH7" s="547"/>
      <c r="AI7" s="547"/>
      <c r="AJ7" s="547"/>
      <c r="AK7" s="547"/>
      <c r="AL7" s="547"/>
      <c r="AM7" s="547"/>
      <c r="AN7" s="547"/>
      <c r="AO7" s="547"/>
      <c r="AP7" s="547"/>
      <c r="AQ7" s="547"/>
      <c r="AR7" s="547"/>
      <c r="AS7" s="547"/>
      <c r="AT7" s="547"/>
      <c r="AU7" s="547"/>
      <c r="AV7" s="547"/>
      <c r="AW7" s="547"/>
      <c r="AX7" s="547"/>
      <c r="AY7" s="547"/>
      <c r="AZ7" s="547"/>
      <c r="BA7" s="547"/>
      <c r="BB7" s="547"/>
      <c r="BC7" s="547"/>
      <c r="BD7" s="547"/>
      <c r="BE7" s="547"/>
      <c r="BF7" s="547"/>
      <c r="BG7" s="547"/>
      <c r="BH7" s="547"/>
      <c r="BI7" s="547"/>
      <c r="BJ7" s="547"/>
      <c r="BK7" s="547"/>
      <c r="BL7" s="547"/>
      <c r="BM7" s="547"/>
      <c r="BN7" s="547"/>
      <c r="BO7" s="547"/>
      <c r="BP7" s="547"/>
      <c r="BQ7" s="547"/>
      <c r="BR7" s="547"/>
      <c r="BS7" s="547"/>
      <c r="BT7" s="547"/>
      <c r="BU7" s="547"/>
      <c r="BV7" s="547"/>
      <c r="BW7" s="547"/>
      <c r="BX7" s="547"/>
      <c r="BY7" s="547"/>
      <c r="BZ7" s="547"/>
      <c r="CA7" s="547"/>
      <c r="CB7" s="547"/>
      <c r="CC7" s="547"/>
      <c r="CD7" s="547"/>
    </row>
    <row r="8" spans="1:97" x14ac:dyDescent="0.2">
      <c r="A8" s="536">
        <f t="shared" si="9"/>
        <v>2</v>
      </c>
      <c r="B8" s="536">
        <f t="shared" si="0"/>
        <v>2002</v>
      </c>
      <c r="C8" s="539">
        <v>37437</v>
      </c>
      <c r="D8" s="536" t="str">
        <f t="shared" si="1"/>
        <v>2Q02</v>
      </c>
      <c r="E8" s="540">
        <v>5.841666224443907</v>
      </c>
      <c r="F8" s="535"/>
      <c r="G8" s="541" t="s">
        <v>540</v>
      </c>
      <c r="H8" s="542"/>
      <c r="I8" s="542"/>
      <c r="J8" s="542"/>
      <c r="K8" s="542"/>
      <c r="L8" s="542"/>
      <c r="M8" s="542"/>
      <c r="N8" s="542"/>
      <c r="O8" s="542"/>
      <c r="P8" s="542"/>
      <c r="Q8" s="542"/>
      <c r="R8" s="542"/>
      <c r="S8" s="542"/>
      <c r="T8" s="542"/>
      <c r="U8" s="542"/>
      <c r="V8" s="542"/>
      <c r="W8" s="542"/>
      <c r="X8" s="542"/>
      <c r="Y8" s="542"/>
      <c r="Z8" s="542"/>
      <c r="AA8" s="542"/>
      <c r="AB8" s="542"/>
      <c r="AC8" s="542"/>
      <c r="AD8" s="542"/>
      <c r="AE8" s="542"/>
      <c r="AF8" s="542"/>
      <c r="AG8" s="542"/>
      <c r="AH8" s="542"/>
      <c r="AI8" s="542"/>
      <c r="AJ8" s="542"/>
      <c r="AK8" s="542"/>
      <c r="AL8" s="542"/>
      <c r="AM8" s="542"/>
      <c r="AN8" s="542"/>
      <c r="AO8" s="542"/>
      <c r="AP8" s="542"/>
      <c r="AQ8" s="542"/>
      <c r="AR8" s="542"/>
      <c r="AS8" s="542"/>
      <c r="AT8" s="542"/>
      <c r="AU8" s="542"/>
      <c r="AV8" s="542"/>
      <c r="AW8" s="542"/>
      <c r="AX8" s="542"/>
      <c r="AY8" s="542"/>
      <c r="AZ8" s="542"/>
      <c r="BA8" s="542"/>
      <c r="BB8" s="542"/>
      <c r="BC8" s="542"/>
      <c r="BD8" s="542"/>
      <c r="BE8" s="542"/>
      <c r="BF8" s="542"/>
      <c r="BG8" s="542"/>
      <c r="BH8" s="542"/>
      <c r="BI8" s="542"/>
      <c r="BJ8" s="542"/>
      <c r="BK8" s="542"/>
      <c r="BL8" s="542"/>
      <c r="BM8" s="542"/>
      <c r="BN8" s="542"/>
      <c r="BO8" s="542"/>
      <c r="BP8" s="542"/>
      <c r="BQ8" s="542"/>
      <c r="BR8" s="542"/>
      <c r="BS8" s="542"/>
      <c r="BT8" s="542"/>
      <c r="BU8" s="542"/>
      <c r="BV8" s="542"/>
      <c r="BW8" s="542"/>
      <c r="BX8" s="542"/>
      <c r="BY8" s="542"/>
      <c r="BZ8" s="542"/>
      <c r="CA8" s="542"/>
      <c r="CB8" s="542"/>
      <c r="CC8" s="542"/>
      <c r="CD8" s="542"/>
    </row>
    <row r="9" spans="1:97" x14ac:dyDescent="0.2">
      <c r="A9" s="536">
        <f t="shared" si="9"/>
        <v>3</v>
      </c>
      <c r="B9" s="536">
        <f t="shared" si="0"/>
        <v>2002</v>
      </c>
      <c r="C9" s="539">
        <v>37468</v>
      </c>
      <c r="D9" s="536" t="str">
        <f t="shared" si="1"/>
        <v>3Q02</v>
      </c>
      <c r="E9" s="540">
        <v>5.761666869777418</v>
      </c>
      <c r="F9" s="535"/>
      <c r="G9" s="543" t="s">
        <v>67</v>
      </c>
      <c r="H9" s="543">
        <v>0</v>
      </c>
      <c r="I9" s="543">
        <f t="shared" ref="I9:S9" si="14">H9+1</f>
        <v>1</v>
      </c>
      <c r="J9" s="543">
        <f t="shared" si="14"/>
        <v>2</v>
      </c>
      <c r="K9" s="543">
        <f t="shared" si="14"/>
        <v>3</v>
      </c>
      <c r="L9" s="543">
        <f t="shared" si="14"/>
        <v>4</v>
      </c>
      <c r="M9" s="543">
        <f t="shared" si="14"/>
        <v>5</v>
      </c>
      <c r="N9" s="543">
        <f t="shared" si="14"/>
        <v>6</v>
      </c>
      <c r="O9" s="543">
        <f t="shared" si="14"/>
        <v>7</v>
      </c>
      <c r="P9" s="543">
        <f t="shared" si="14"/>
        <v>8</v>
      </c>
      <c r="Q9" s="543">
        <f t="shared" si="14"/>
        <v>9</v>
      </c>
      <c r="R9" s="543">
        <f t="shared" si="14"/>
        <v>10</v>
      </c>
      <c r="S9" s="543">
        <f t="shared" si="14"/>
        <v>11</v>
      </c>
      <c r="T9" s="543">
        <f>S9+1</f>
        <v>12</v>
      </c>
      <c r="U9" s="543">
        <f>T9+1</f>
        <v>13</v>
      </c>
      <c r="V9" s="543">
        <f t="shared" ref="V9:Y9" si="15">U9+1</f>
        <v>14</v>
      </c>
      <c r="W9" s="543">
        <f t="shared" si="15"/>
        <v>15</v>
      </c>
      <c r="X9" s="543">
        <f t="shared" si="15"/>
        <v>16</v>
      </c>
      <c r="Y9" s="543">
        <f t="shared" si="15"/>
        <v>17</v>
      </c>
      <c r="Z9" s="543"/>
      <c r="AA9" s="543"/>
      <c r="AB9" s="536"/>
      <c r="AC9" s="536"/>
      <c r="AD9" s="536"/>
      <c r="AE9" s="536"/>
      <c r="AF9" s="536"/>
      <c r="AG9" s="536"/>
      <c r="AH9" s="536"/>
      <c r="AI9" s="536"/>
      <c r="AJ9" s="536"/>
      <c r="AK9" s="536"/>
      <c r="AL9" s="536"/>
      <c r="AM9" s="536"/>
      <c r="AN9" s="536"/>
      <c r="AO9" s="536"/>
      <c r="AP9" s="536"/>
      <c r="AQ9" s="536"/>
      <c r="AR9" s="536"/>
      <c r="AS9" s="536"/>
      <c r="AT9" s="536"/>
      <c r="AU9" s="536"/>
      <c r="AV9" s="536"/>
      <c r="AW9" s="536"/>
      <c r="AX9" s="536"/>
      <c r="AY9" s="536"/>
      <c r="AZ9" s="536"/>
      <c r="BA9" s="536"/>
      <c r="BB9" s="536"/>
      <c r="BC9" s="536"/>
      <c r="BD9" s="536"/>
      <c r="BE9" s="536"/>
      <c r="BF9" s="536"/>
      <c r="BG9" s="536"/>
      <c r="BH9" s="536"/>
      <c r="BI9" s="536"/>
      <c r="BJ9" s="536"/>
      <c r="BK9" s="536"/>
      <c r="BL9" s="536"/>
      <c r="BM9" s="536"/>
      <c r="BN9" s="536"/>
      <c r="BO9" s="536"/>
      <c r="BP9" s="536"/>
      <c r="BQ9" s="536"/>
      <c r="BR9" s="536"/>
      <c r="BS9" s="536"/>
      <c r="BT9" s="536"/>
      <c r="BU9" s="536"/>
      <c r="BV9" s="536"/>
      <c r="BW9" s="536"/>
      <c r="BX9" s="536"/>
      <c r="BY9" s="536"/>
      <c r="BZ9" s="536"/>
      <c r="CA9" s="536"/>
      <c r="CB9" s="536"/>
      <c r="CC9" s="536"/>
      <c r="CD9" s="536"/>
    </row>
    <row r="10" spans="1:97" x14ac:dyDescent="0.2">
      <c r="A10" s="536">
        <f t="shared" si="9"/>
        <v>3</v>
      </c>
      <c r="B10" s="536">
        <f t="shared" si="0"/>
        <v>2002</v>
      </c>
      <c r="C10" s="539">
        <v>37499</v>
      </c>
      <c r="D10" s="536" t="str">
        <f t="shared" si="1"/>
        <v>3Q02</v>
      </c>
      <c r="E10" s="540">
        <v>5.8049993813327525</v>
      </c>
      <c r="F10" s="535"/>
      <c r="G10" s="548" t="s">
        <v>293</v>
      </c>
      <c r="H10" s="548">
        <f t="shared" ref="H10:Q10" ca="1" si="16">YEAR(OFFSET($C$3,H9*12,0))</f>
        <v>2002</v>
      </c>
      <c r="I10" s="548">
        <f t="shared" ca="1" si="16"/>
        <v>2003</v>
      </c>
      <c r="J10" s="548">
        <f t="shared" ca="1" si="16"/>
        <v>2004</v>
      </c>
      <c r="K10" s="548">
        <f t="shared" ca="1" si="16"/>
        <v>2005</v>
      </c>
      <c r="L10" s="548">
        <f t="shared" ca="1" si="16"/>
        <v>2006</v>
      </c>
      <c r="M10" s="548">
        <f t="shared" ca="1" si="16"/>
        <v>2007</v>
      </c>
      <c r="N10" s="548">
        <f t="shared" ca="1" si="16"/>
        <v>2008</v>
      </c>
      <c r="O10" s="548">
        <f t="shared" ca="1" si="16"/>
        <v>2009</v>
      </c>
      <c r="P10" s="548">
        <f t="shared" ca="1" si="16"/>
        <v>2010</v>
      </c>
      <c r="Q10" s="548">
        <f t="shared" ca="1" si="16"/>
        <v>2011</v>
      </c>
      <c r="R10" s="548">
        <f ca="1">Q10+1</f>
        <v>2012</v>
      </c>
      <c r="S10" s="548">
        <f ca="1">R10+1</f>
        <v>2013</v>
      </c>
      <c r="T10" s="548">
        <f ca="1">S10+1</f>
        <v>2014</v>
      </c>
      <c r="U10" s="548">
        <f ca="1">T10+1</f>
        <v>2015</v>
      </c>
      <c r="V10" s="548">
        <f t="shared" ref="V10:Y10" ca="1" si="17">U10+1</f>
        <v>2016</v>
      </c>
      <c r="W10" s="548">
        <f t="shared" ca="1" si="17"/>
        <v>2017</v>
      </c>
      <c r="X10" s="548">
        <f t="shared" ca="1" si="17"/>
        <v>2018</v>
      </c>
      <c r="Y10" s="548">
        <f t="shared" ca="1" si="17"/>
        <v>2019</v>
      </c>
      <c r="Z10" s="536"/>
      <c r="AA10" s="536"/>
      <c r="AB10" s="536"/>
      <c r="AC10" s="536"/>
      <c r="AD10" s="536"/>
      <c r="AE10" s="536"/>
      <c r="AF10" s="536"/>
      <c r="AG10" s="536"/>
      <c r="AH10" s="536"/>
      <c r="AI10" s="536"/>
      <c r="AJ10" s="536"/>
      <c r="AK10" s="536"/>
      <c r="AL10" s="536"/>
      <c r="AM10" s="536"/>
      <c r="AN10" s="536"/>
      <c r="AO10" s="536"/>
      <c r="AP10" s="536"/>
      <c r="AQ10" s="536"/>
      <c r="AR10" s="536"/>
      <c r="AS10" s="536"/>
      <c r="AT10" s="536"/>
      <c r="AU10" s="536"/>
      <c r="AV10" s="536"/>
      <c r="AW10" s="536"/>
      <c r="AX10" s="536"/>
      <c r="AY10" s="536"/>
      <c r="AZ10" s="536"/>
      <c r="BA10" s="536"/>
      <c r="BB10" s="536"/>
      <c r="BC10" s="536"/>
      <c r="BD10" s="536"/>
      <c r="BE10" s="536"/>
      <c r="BF10" s="536"/>
      <c r="BG10" s="536"/>
      <c r="BH10" s="536"/>
      <c r="BI10" s="536"/>
      <c r="BJ10" s="536"/>
      <c r="BK10" s="536"/>
      <c r="BL10" s="536"/>
      <c r="BM10" s="536"/>
      <c r="BN10" s="536"/>
      <c r="BO10" s="536"/>
      <c r="BP10" s="536"/>
      <c r="BQ10" s="536"/>
      <c r="BR10" s="536"/>
      <c r="BS10" s="536"/>
      <c r="BT10" s="536"/>
      <c r="BU10" s="536"/>
      <c r="BV10" s="536"/>
      <c r="BW10" s="536"/>
      <c r="BX10" s="536"/>
      <c r="BY10" s="536"/>
      <c r="BZ10" s="536"/>
      <c r="CA10" s="536"/>
      <c r="CB10" s="536"/>
      <c r="CC10" s="536"/>
      <c r="CD10" s="536"/>
    </row>
    <row r="11" spans="1:97" x14ac:dyDescent="0.2">
      <c r="A11" s="536">
        <f t="shared" si="9"/>
        <v>3</v>
      </c>
      <c r="B11" s="536">
        <f t="shared" si="0"/>
        <v>2002</v>
      </c>
      <c r="C11" s="539">
        <v>37529</v>
      </c>
      <c r="D11" s="536" t="str">
        <f t="shared" si="1"/>
        <v>3Q02</v>
      </c>
      <c r="E11" s="540">
        <v>4.3966661724439975</v>
      </c>
      <c r="F11" s="535"/>
      <c r="G11" s="544" t="str">
        <f>G6</f>
        <v>Avg CSX Stock Price</v>
      </c>
      <c r="H11" s="546">
        <f t="shared" ref="H11:S11" ca="1" si="18">AVERAGE(OFFSET($H6,0,H$9*4),OFFSET($I6,0,H$9*4),OFFSET($J6,0,H$9*4),OFFSET($K6,0,H$9*4))</f>
        <v>5.5668057483700224</v>
      </c>
      <c r="I11" s="546">
        <f t="shared" ca="1" si="18"/>
        <v>5.1765281859627006</v>
      </c>
      <c r="J11" s="546">
        <f t="shared" ca="1" si="18"/>
        <v>5.5458336177774559</v>
      </c>
      <c r="K11" s="546">
        <f t="shared" ca="1" si="18"/>
        <v>7.3398618322959628</v>
      </c>
      <c r="L11" s="546">
        <f t="shared" ca="1" si="18"/>
        <v>10.739721653666454</v>
      </c>
      <c r="M11" s="546">
        <f t="shared" ca="1" si="18"/>
        <v>14.16777558333332</v>
      </c>
      <c r="N11" s="546">
        <f t="shared" ca="1" si="18"/>
        <v>18.059163999999981</v>
      </c>
      <c r="O11" s="546">
        <f t="shared" ca="1" si="18"/>
        <v>12.169442222222211</v>
      </c>
      <c r="P11" s="546">
        <f t="shared" ca="1" si="18"/>
        <v>17.887497499999984</v>
      </c>
      <c r="Q11" s="546">
        <f t="shared" ca="1" si="18"/>
        <v>23.567066728632469</v>
      </c>
      <c r="R11" s="546">
        <f t="shared" ca="1" si="18"/>
        <v>21.589223673076923</v>
      </c>
      <c r="S11" s="546">
        <f t="shared" ca="1" si="18"/>
        <v>24.825569788461539</v>
      </c>
      <c r="T11" s="546">
        <f ca="1">AVERAGE(OFFSET($H6,0,T$9*4),OFFSET($I6,0,T$9*4),OFFSET($J6,0,T$9*4),OFFSET($K6,0,T$9*4))</f>
        <v>30.79884001923077</v>
      </c>
      <c r="U11" s="546">
        <f ca="1">AVERAGE(OFFSET($H6,0,U$9*4),OFFSET($I6,0,U$9*4),OFFSET($J6,0,U$9*4),OFFSET($K6,0,U$9*4))</f>
        <v>31.630385711538466</v>
      </c>
      <c r="V11" s="546">
        <f t="shared" ref="V11:Y11" ca="1" si="19">AVERAGE(OFFSET($H6,0,V$9*4),OFFSET($I6,0,V$9*4),OFFSET($J6,0,V$9*4),OFFSET($K6,0,V$9*4))</f>
        <v>28.746634442307691</v>
      </c>
      <c r="W11" s="546">
        <f t="shared" ca="1" si="19"/>
        <v>49.486154499999998</v>
      </c>
      <c r="X11" s="546">
        <f t="shared" ca="1" si="19"/>
        <v>57.355961980769209</v>
      </c>
      <c r="Y11" s="546">
        <f t="shared" ca="1" si="19"/>
        <v>56.409999999999975</v>
      </c>
      <c r="Z11" s="536"/>
      <c r="AA11" s="536"/>
      <c r="AB11" s="536"/>
      <c r="AC11" s="536"/>
      <c r="AD11" s="536"/>
      <c r="AE11" s="536"/>
      <c r="AF11" s="536"/>
      <c r="AG11" s="536"/>
      <c r="AH11" s="536"/>
      <c r="AI11" s="536"/>
      <c r="AJ11" s="536"/>
      <c r="AK11" s="536"/>
      <c r="AL11" s="536"/>
      <c r="AM11" s="536"/>
      <c r="AN11" s="536"/>
      <c r="AO11" s="536"/>
      <c r="AP11" s="536"/>
      <c r="AQ11" s="536"/>
      <c r="AR11" s="536"/>
      <c r="AS11" s="536"/>
      <c r="AT11" s="536"/>
      <c r="AU11" s="536"/>
      <c r="AV11" s="536"/>
      <c r="AW11" s="536"/>
      <c r="AX11" s="536"/>
      <c r="AY11" s="536"/>
      <c r="AZ11" s="536"/>
      <c r="BA11" s="536"/>
      <c r="BB11" s="536"/>
      <c r="BC11" s="536"/>
      <c r="BD11" s="536"/>
      <c r="BE11" s="536"/>
      <c r="BF11" s="536"/>
      <c r="BG11" s="536"/>
      <c r="BH11" s="536"/>
      <c r="BI11" s="536"/>
      <c r="BJ11" s="536"/>
      <c r="BK11" s="536"/>
      <c r="BL11" s="536"/>
      <c r="BM11" s="536"/>
      <c r="BN11" s="536"/>
      <c r="BO11" s="536"/>
      <c r="BP11" s="536"/>
      <c r="BQ11" s="536"/>
      <c r="BR11" s="536"/>
      <c r="BS11" s="536"/>
      <c r="BT11" s="536"/>
      <c r="BU11" s="536"/>
      <c r="BV11" s="536"/>
      <c r="BW11" s="536"/>
      <c r="BX11" s="536"/>
      <c r="BY11" s="536"/>
      <c r="BZ11" s="536"/>
      <c r="CA11" s="536"/>
      <c r="CB11" s="536"/>
      <c r="CC11" s="536"/>
      <c r="CD11" s="536"/>
    </row>
    <row r="12" spans="1:97" x14ac:dyDescent="0.2">
      <c r="A12" s="536">
        <f t="shared" si="9"/>
        <v>4</v>
      </c>
      <c r="B12" s="536">
        <f t="shared" si="0"/>
        <v>2002</v>
      </c>
      <c r="C12" s="539">
        <v>37560</v>
      </c>
      <c r="D12" s="536" t="str">
        <f t="shared" si="1"/>
        <v>4Q02</v>
      </c>
      <c r="E12" s="540">
        <v>4.5999997266662636</v>
      </c>
      <c r="F12" s="535"/>
      <c r="G12" s="544"/>
      <c r="H12" s="546"/>
      <c r="I12" s="546"/>
      <c r="J12" s="546"/>
      <c r="K12" s="546"/>
      <c r="L12" s="546"/>
      <c r="M12" s="546"/>
      <c r="N12" s="546"/>
      <c r="O12" s="546"/>
      <c r="P12" s="546"/>
      <c r="Q12" s="546"/>
      <c r="R12" s="546"/>
      <c r="S12" s="546"/>
      <c r="T12" s="546"/>
      <c r="U12" s="546"/>
      <c r="V12" s="546"/>
      <c r="W12" s="546"/>
      <c r="X12" s="536"/>
      <c r="Y12" s="536"/>
      <c r="Z12" s="536"/>
      <c r="AA12" s="536"/>
      <c r="AB12" s="536"/>
      <c r="AC12" s="536"/>
      <c r="AD12" s="536"/>
      <c r="AE12" s="536"/>
      <c r="AF12" s="536"/>
      <c r="AG12" s="536"/>
      <c r="AH12" s="536"/>
      <c r="AI12" s="536"/>
      <c r="AJ12" s="536"/>
      <c r="AK12" s="536"/>
      <c r="AL12" s="536"/>
      <c r="AM12" s="536"/>
      <c r="AN12" s="536"/>
      <c r="AO12" s="536"/>
      <c r="AP12" s="536"/>
      <c r="AQ12" s="536"/>
      <c r="AR12" s="536"/>
      <c r="AS12" s="536"/>
      <c r="AT12" s="536"/>
      <c r="AU12" s="536"/>
      <c r="AV12" s="536"/>
      <c r="AW12" s="536"/>
      <c r="AX12" s="536"/>
      <c r="AY12" s="536"/>
      <c r="AZ12" s="536"/>
      <c r="BA12" s="536"/>
      <c r="BB12" s="536"/>
      <c r="BC12" s="536"/>
      <c r="BD12" s="536"/>
      <c r="BE12" s="536"/>
      <c r="BF12" s="536"/>
      <c r="BG12" s="536"/>
      <c r="BH12" s="536"/>
      <c r="BI12" s="536"/>
      <c r="BJ12" s="536"/>
      <c r="BK12" s="536"/>
      <c r="BL12" s="536"/>
      <c r="BM12" s="536"/>
      <c r="BN12" s="536"/>
      <c r="BO12" s="536"/>
      <c r="BP12" s="536"/>
      <c r="BQ12" s="536"/>
      <c r="BR12" s="536"/>
      <c r="BS12" s="536"/>
      <c r="BT12" s="536"/>
      <c r="BU12" s="536"/>
      <c r="BV12" s="536"/>
      <c r="BW12" s="536"/>
      <c r="BX12" s="536"/>
      <c r="BY12" s="536"/>
      <c r="BZ12" s="536"/>
      <c r="CA12" s="536"/>
      <c r="CB12" s="536"/>
      <c r="CC12" s="536"/>
      <c r="CD12" s="536"/>
    </row>
    <row r="13" spans="1:97" x14ac:dyDescent="0.2">
      <c r="A13" s="536">
        <f t="shared" si="9"/>
        <v>4</v>
      </c>
      <c r="B13" s="536">
        <f t="shared" si="0"/>
        <v>2002</v>
      </c>
      <c r="C13" s="539">
        <v>37590</v>
      </c>
      <c r="D13" s="536" t="str">
        <f t="shared" si="1"/>
        <v>4Q02</v>
      </c>
      <c r="E13" s="540">
        <v>4.6083335622219526</v>
      </c>
      <c r="F13" s="535"/>
      <c r="G13" s="541" t="s">
        <v>235</v>
      </c>
      <c r="H13" s="542"/>
      <c r="I13" s="542"/>
      <c r="J13" s="542"/>
      <c r="K13" s="542"/>
      <c r="L13" s="542"/>
      <c r="M13" s="542"/>
      <c r="N13" s="542"/>
      <c r="O13" s="542"/>
      <c r="P13" s="542"/>
      <c r="Q13" s="542"/>
      <c r="R13" s="542"/>
      <c r="S13" s="542"/>
      <c r="T13" s="542"/>
      <c r="U13" s="542"/>
      <c r="V13" s="542"/>
      <c r="W13" s="542"/>
      <c r="X13" s="542"/>
      <c r="Y13" s="542"/>
      <c r="Z13" s="542"/>
      <c r="AA13" s="542"/>
      <c r="AB13" s="542"/>
      <c r="AC13" s="542"/>
      <c r="AD13" s="542"/>
      <c r="AE13" s="542"/>
      <c r="AF13" s="542"/>
      <c r="AG13" s="542"/>
      <c r="AH13" s="542"/>
      <c r="AI13" s="542"/>
      <c r="AJ13" s="542"/>
      <c r="AK13" s="542"/>
      <c r="AL13" s="542"/>
      <c r="AM13" s="542"/>
      <c r="AN13" s="542"/>
      <c r="AO13" s="542"/>
      <c r="AP13" s="542"/>
      <c r="AQ13" s="542"/>
      <c r="AR13" s="542"/>
      <c r="AS13" s="542"/>
      <c r="AT13" s="542"/>
      <c r="AU13" s="542"/>
      <c r="AV13" s="542"/>
      <c r="AW13" s="542"/>
      <c r="AX13" s="542"/>
      <c r="AY13" s="542"/>
      <c r="AZ13" s="542"/>
      <c r="BA13" s="542"/>
      <c r="BB13" s="542"/>
      <c r="BC13" s="542"/>
      <c r="BD13" s="542"/>
      <c r="BE13" s="542"/>
      <c r="BF13" s="542"/>
      <c r="BG13" s="542"/>
      <c r="BH13" s="542"/>
      <c r="BI13" s="542"/>
      <c r="BJ13" s="542"/>
      <c r="BK13" s="542"/>
      <c r="BL13" s="542"/>
      <c r="BM13" s="542"/>
      <c r="BN13" s="542"/>
      <c r="BO13" s="542"/>
      <c r="BP13" s="542"/>
      <c r="BQ13" s="542"/>
      <c r="BR13" s="542"/>
      <c r="BS13" s="542"/>
      <c r="BT13" s="542"/>
      <c r="BU13" s="542"/>
      <c r="BV13" s="542"/>
      <c r="BW13" s="542"/>
      <c r="BX13" s="542"/>
      <c r="BY13" s="542"/>
      <c r="BZ13" s="542"/>
      <c r="CA13" s="542"/>
      <c r="CB13" s="542"/>
      <c r="CC13" s="542"/>
      <c r="CD13" s="542"/>
      <c r="CE13" s="542"/>
      <c r="CF13" s="542"/>
      <c r="CG13" s="542"/>
      <c r="CH13" s="542"/>
      <c r="CI13" s="542"/>
      <c r="CJ13" s="542"/>
      <c r="CK13" s="542"/>
      <c r="CL13" s="542"/>
      <c r="CM13" s="542"/>
      <c r="CN13" s="542"/>
      <c r="CO13" s="542"/>
      <c r="CP13" s="542"/>
      <c r="CQ13" s="542"/>
      <c r="CR13" s="542"/>
      <c r="CS13" s="542"/>
    </row>
    <row r="14" spans="1:97" x14ac:dyDescent="0.2">
      <c r="A14" s="536">
        <f t="shared" si="9"/>
        <v>4</v>
      </c>
      <c r="B14" s="536">
        <f t="shared" si="0"/>
        <v>2002</v>
      </c>
      <c r="C14" s="539">
        <v>37621</v>
      </c>
      <c r="D14" s="536" t="str">
        <f t="shared" si="1"/>
        <v>4Q02</v>
      </c>
      <c r="E14" s="540">
        <v>4.7183342582221304</v>
      </c>
      <c r="F14" s="535"/>
      <c r="G14" s="543" t="s">
        <v>67</v>
      </c>
      <c r="H14" s="543">
        <v>0</v>
      </c>
      <c r="I14" s="543">
        <f t="shared" ref="I14:AN14" si="20">H14+1</f>
        <v>1</v>
      </c>
      <c r="J14" s="543">
        <f t="shared" si="20"/>
        <v>2</v>
      </c>
      <c r="K14" s="543">
        <f t="shared" si="20"/>
        <v>3</v>
      </c>
      <c r="L14" s="543">
        <f t="shared" si="20"/>
        <v>4</v>
      </c>
      <c r="M14" s="543">
        <f t="shared" si="20"/>
        <v>5</v>
      </c>
      <c r="N14" s="543">
        <f t="shared" si="20"/>
        <v>6</v>
      </c>
      <c r="O14" s="543">
        <f t="shared" si="20"/>
        <v>7</v>
      </c>
      <c r="P14" s="543">
        <f t="shared" si="20"/>
        <v>8</v>
      </c>
      <c r="Q14" s="543">
        <f t="shared" si="20"/>
        <v>9</v>
      </c>
      <c r="R14" s="543">
        <f t="shared" si="20"/>
        <v>10</v>
      </c>
      <c r="S14" s="543">
        <f t="shared" si="20"/>
        <v>11</v>
      </c>
      <c r="T14" s="543">
        <f t="shared" si="20"/>
        <v>12</v>
      </c>
      <c r="U14" s="543">
        <f t="shared" si="20"/>
        <v>13</v>
      </c>
      <c r="V14" s="543">
        <f t="shared" si="20"/>
        <v>14</v>
      </c>
      <c r="W14" s="543">
        <f t="shared" si="20"/>
        <v>15</v>
      </c>
      <c r="X14" s="543">
        <f t="shared" si="20"/>
        <v>16</v>
      </c>
      <c r="Y14" s="543">
        <f t="shared" si="20"/>
        <v>17</v>
      </c>
      <c r="Z14" s="543">
        <f t="shared" si="20"/>
        <v>18</v>
      </c>
      <c r="AA14" s="543">
        <f t="shared" si="20"/>
        <v>19</v>
      </c>
      <c r="AB14" s="543">
        <f t="shared" si="20"/>
        <v>20</v>
      </c>
      <c r="AC14" s="543">
        <f t="shared" si="20"/>
        <v>21</v>
      </c>
      <c r="AD14" s="543">
        <f t="shared" si="20"/>
        <v>22</v>
      </c>
      <c r="AE14" s="543">
        <f t="shared" si="20"/>
        <v>23</v>
      </c>
      <c r="AF14" s="543">
        <f t="shared" si="20"/>
        <v>24</v>
      </c>
      <c r="AG14" s="543">
        <f t="shared" si="20"/>
        <v>25</v>
      </c>
      <c r="AH14" s="543">
        <f t="shared" si="20"/>
        <v>26</v>
      </c>
      <c r="AI14" s="543">
        <f t="shared" si="20"/>
        <v>27</v>
      </c>
      <c r="AJ14" s="543">
        <f t="shared" si="20"/>
        <v>28</v>
      </c>
      <c r="AK14" s="543">
        <f t="shared" si="20"/>
        <v>29</v>
      </c>
      <c r="AL14" s="543">
        <f t="shared" si="20"/>
        <v>30</v>
      </c>
      <c r="AM14" s="543">
        <f t="shared" si="20"/>
        <v>31</v>
      </c>
      <c r="AN14" s="543">
        <f t="shared" si="20"/>
        <v>32</v>
      </c>
      <c r="AO14" s="543">
        <f t="shared" ref="AO14:BO14" si="21">AN14+1</f>
        <v>33</v>
      </c>
      <c r="AP14" s="543">
        <f t="shared" si="21"/>
        <v>34</v>
      </c>
      <c r="AQ14" s="543">
        <f t="shared" si="21"/>
        <v>35</v>
      </c>
      <c r="AR14" s="543">
        <f t="shared" si="21"/>
        <v>36</v>
      </c>
      <c r="AS14" s="543">
        <f t="shared" si="21"/>
        <v>37</v>
      </c>
      <c r="AT14" s="543">
        <f t="shared" si="21"/>
        <v>38</v>
      </c>
      <c r="AU14" s="543">
        <f t="shared" si="21"/>
        <v>39</v>
      </c>
      <c r="AV14" s="543">
        <f t="shared" si="21"/>
        <v>40</v>
      </c>
      <c r="AW14" s="543">
        <f t="shared" si="21"/>
        <v>41</v>
      </c>
      <c r="AX14" s="543">
        <f t="shared" si="21"/>
        <v>42</v>
      </c>
      <c r="AY14" s="543">
        <f t="shared" si="21"/>
        <v>43</v>
      </c>
      <c r="AZ14" s="543">
        <f t="shared" si="21"/>
        <v>44</v>
      </c>
      <c r="BA14" s="543">
        <f t="shared" si="21"/>
        <v>45</v>
      </c>
      <c r="BB14" s="543">
        <f t="shared" si="21"/>
        <v>46</v>
      </c>
      <c r="BC14" s="543">
        <f t="shared" si="21"/>
        <v>47</v>
      </c>
      <c r="BD14" s="543">
        <f t="shared" si="21"/>
        <v>48</v>
      </c>
      <c r="BE14" s="543">
        <f t="shared" si="21"/>
        <v>49</v>
      </c>
      <c r="BF14" s="543">
        <f t="shared" si="21"/>
        <v>50</v>
      </c>
      <c r="BG14" s="543">
        <f t="shared" si="21"/>
        <v>51</v>
      </c>
      <c r="BH14" s="543">
        <f t="shared" si="21"/>
        <v>52</v>
      </c>
      <c r="BI14" s="543">
        <f t="shared" si="21"/>
        <v>53</v>
      </c>
      <c r="BJ14" s="543">
        <f t="shared" si="21"/>
        <v>54</v>
      </c>
      <c r="BK14" s="543">
        <f t="shared" si="21"/>
        <v>55</v>
      </c>
      <c r="BL14" s="543">
        <f t="shared" si="21"/>
        <v>56</v>
      </c>
      <c r="BM14" s="543">
        <f t="shared" si="21"/>
        <v>57</v>
      </c>
      <c r="BN14" s="543">
        <f t="shared" si="21"/>
        <v>58</v>
      </c>
      <c r="BO14" s="543">
        <f t="shared" si="21"/>
        <v>59</v>
      </c>
      <c r="BP14" s="543">
        <f t="shared" ref="BP14:BY14" si="22">BO14+1</f>
        <v>60</v>
      </c>
      <c r="BQ14" s="543">
        <f t="shared" si="22"/>
        <v>61</v>
      </c>
      <c r="BR14" s="543">
        <f t="shared" si="22"/>
        <v>62</v>
      </c>
      <c r="BS14" s="543">
        <f t="shared" si="22"/>
        <v>63</v>
      </c>
      <c r="BT14" s="543">
        <f t="shared" si="22"/>
        <v>64</v>
      </c>
      <c r="BU14" s="543">
        <f t="shared" si="22"/>
        <v>65</v>
      </c>
      <c r="BV14" s="543">
        <f t="shared" si="22"/>
        <v>66</v>
      </c>
      <c r="BW14" s="543">
        <f t="shared" si="22"/>
        <v>67</v>
      </c>
      <c r="BX14" s="543">
        <f t="shared" si="22"/>
        <v>68</v>
      </c>
      <c r="BY14" s="543">
        <f t="shared" si="22"/>
        <v>69</v>
      </c>
      <c r="BZ14" s="543">
        <f t="shared" ref="BZ14:CS14" si="23">BY14+1</f>
        <v>70</v>
      </c>
      <c r="CA14" s="543">
        <f t="shared" si="23"/>
        <v>71</v>
      </c>
      <c r="CB14" s="543">
        <f t="shared" si="23"/>
        <v>72</v>
      </c>
      <c r="CC14" s="543">
        <f t="shared" si="23"/>
        <v>73</v>
      </c>
      <c r="CD14" s="543">
        <f t="shared" si="23"/>
        <v>74</v>
      </c>
      <c r="CE14" s="543">
        <f t="shared" si="23"/>
        <v>75</v>
      </c>
      <c r="CF14" s="543">
        <f t="shared" si="23"/>
        <v>76</v>
      </c>
      <c r="CG14" s="543">
        <f t="shared" si="23"/>
        <v>77</v>
      </c>
      <c r="CH14" s="543">
        <f t="shared" si="23"/>
        <v>78</v>
      </c>
      <c r="CI14" s="543">
        <f t="shared" si="23"/>
        <v>79</v>
      </c>
      <c r="CJ14" s="543">
        <f t="shared" si="23"/>
        <v>80</v>
      </c>
      <c r="CK14" s="543">
        <f t="shared" si="23"/>
        <v>81</v>
      </c>
      <c r="CL14" s="543">
        <f t="shared" si="23"/>
        <v>82</v>
      </c>
      <c r="CM14" s="543">
        <f t="shared" si="23"/>
        <v>83</v>
      </c>
      <c r="CN14" s="543">
        <f t="shared" si="23"/>
        <v>84</v>
      </c>
      <c r="CO14" s="543">
        <f t="shared" si="23"/>
        <v>85</v>
      </c>
      <c r="CP14" s="543">
        <f t="shared" si="23"/>
        <v>86</v>
      </c>
      <c r="CQ14" s="543">
        <f t="shared" si="23"/>
        <v>87</v>
      </c>
      <c r="CR14" s="543">
        <f t="shared" si="23"/>
        <v>88</v>
      </c>
      <c r="CS14" s="543">
        <f t="shared" si="23"/>
        <v>89</v>
      </c>
    </row>
    <row r="15" spans="1:97" x14ac:dyDescent="0.2">
      <c r="A15" s="536">
        <f t="shared" ref="A15:A46" si="24">A3</f>
        <v>1</v>
      </c>
      <c r="B15" s="536">
        <f t="shared" si="0"/>
        <v>2003</v>
      </c>
      <c r="C15" s="539">
        <v>37652</v>
      </c>
      <c r="D15" s="536" t="str">
        <f t="shared" si="1"/>
        <v>1Q03</v>
      </c>
      <c r="E15" s="540">
        <v>4.6716677457777305</v>
      </c>
      <c r="F15" s="535"/>
      <c r="G15" s="543" t="s">
        <v>22</v>
      </c>
      <c r="H15" s="549" t="str">
        <f t="shared" ref="H15:AM15" ca="1" si="25">IF(MOD(H$14+1,5)=0,OFFSET($H10,0,TRUNC(H$14/5,0)),OFFSET($H5,0,H$14-TRUNC(H$14/5,0)))</f>
        <v>1Q02</v>
      </c>
      <c r="I15" s="549" t="str">
        <f t="shared" ca="1" si="25"/>
        <v>2Q02</v>
      </c>
      <c r="J15" s="549" t="str">
        <f t="shared" ca="1" si="25"/>
        <v>3Q02</v>
      </c>
      <c r="K15" s="549" t="str">
        <f t="shared" ca="1" si="25"/>
        <v>4Q02</v>
      </c>
      <c r="L15" s="549">
        <f t="shared" ca="1" si="25"/>
        <v>2002</v>
      </c>
      <c r="M15" s="549" t="str">
        <f t="shared" ca="1" si="25"/>
        <v>1Q03</v>
      </c>
      <c r="N15" s="549" t="str">
        <f t="shared" ca="1" si="25"/>
        <v>2Q03</v>
      </c>
      <c r="O15" s="549" t="str">
        <f t="shared" ca="1" si="25"/>
        <v>3Q03</v>
      </c>
      <c r="P15" s="549" t="str">
        <f t="shared" ca="1" si="25"/>
        <v>4Q03</v>
      </c>
      <c r="Q15" s="549">
        <f t="shared" ca="1" si="25"/>
        <v>2003</v>
      </c>
      <c r="R15" s="549" t="str">
        <f t="shared" ca="1" si="25"/>
        <v>1Q04</v>
      </c>
      <c r="S15" s="549" t="str">
        <f t="shared" ca="1" si="25"/>
        <v>2Q04</v>
      </c>
      <c r="T15" s="549" t="str">
        <f t="shared" ca="1" si="25"/>
        <v>3Q04</v>
      </c>
      <c r="U15" s="549" t="str">
        <f t="shared" ca="1" si="25"/>
        <v>4Q04</v>
      </c>
      <c r="V15" s="549">
        <f t="shared" ca="1" si="25"/>
        <v>2004</v>
      </c>
      <c r="W15" s="549" t="str">
        <f t="shared" ca="1" si="25"/>
        <v>1Q05</v>
      </c>
      <c r="X15" s="549" t="str">
        <f t="shared" ca="1" si="25"/>
        <v>2Q05</v>
      </c>
      <c r="Y15" s="549" t="str">
        <f t="shared" ca="1" si="25"/>
        <v>3Q05</v>
      </c>
      <c r="Z15" s="549" t="str">
        <f t="shared" ca="1" si="25"/>
        <v>4Q05</v>
      </c>
      <c r="AA15" s="549">
        <f t="shared" ca="1" si="25"/>
        <v>2005</v>
      </c>
      <c r="AB15" s="549" t="str">
        <f t="shared" ca="1" si="25"/>
        <v>1Q06</v>
      </c>
      <c r="AC15" s="549" t="str">
        <f t="shared" ca="1" si="25"/>
        <v>2Q06</v>
      </c>
      <c r="AD15" s="549" t="str">
        <f t="shared" ca="1" si="25"/>
        <v>3Q06</v>
      </c>
      <c r="AE15" s="549" t="str">
        <f t="shared" ca="1" si="25"/>
        <v>4Q06</v>
      </c>
      <c r="AF15" s="549">
        <f t="shared" ca="1" si="25"/>
        <v>2006</v>
      </c>
      <c r="AG15" s="549" t="str">
        <f t="shared" ca="1" si="25"/>
        <v>1Q07</v>
      </c>
      <c r="AH15" s="549" t="str">
        <f t="shared" ca="1" si="25"/>
        <v>2Q07</v>
      </c>
      <c r="AI15" s="549" t="str">
        <f t="shared" ca="1" si="25"/>
        <v>3Q07</v>
      </c>
      <c r="AJ15" s="549" t="str">
        <f t="shared" ca="1" si="25"/>
        <v>4Q07</v>
      </c>
      <c r="AK15" s="549">
        <f t="shared" ca="1" si="25"/>
        <v>2007</v>
      </c>
      <c r="AL15" s="549" t="str">
        <f t="shared" ca="1" si="25"/>
        <v>1Q08</v>
      </c>
      <c r="AM15" s="549" t="str">
        <f t="shared" ca="1" si="25"/>
        <v>2Q08</v>
      </c>
      <c r="AN15" s="549" t="str">
        <f t="shared" ref="AN15:BI15" ca="1" si="26">IF(MOD(AN$14+1,5)=0,OFFSET($H10,0,TRUNC(AN$14/5,0)),OFFSET($H5,0,AN$14-TRUNC(AN$14/5,0)))</f>
        <v>3Q08</v>
      </c>
      <c r="AO15" s="549" t="str">
        <f t="shared" ca="1" si="26"/>
        <v>4Q08</v>
      </c>
      <c r="AP15" s="549">
        <f t="shared" ca="1" si="26"/>
        <v>2008</v>
      </c>
      <c r="AQ15" s="549" t="str">
        <f t="shared" ca="1" si="26"/>
        <v>1Q09</v>
      </c>
      <c r="AR15" s="549" t="str">
        <f t="shared" ca="1" si="26"/>
        <v>2Q09</v>
      </c>
      <c r="AS15" s="549" t="str">
        <f t="shared" ca="1" si="26"/>
        <v>3Q09</v>
      </c>
      <c r="AT15" s="549" t="str">
        <f t="shared" ca="1" si="26"/>
        <v>4Q09</v>
      </c>
      <c r="AU15" s="549">
        <f t="shared" ca="1" si="26"/>
        <v>2009</v>
      </c>
      <c r="AV15" s="549" t="str">
        <f t="shared" ca="1" si="26"/>
        <v>1Q10</v>
      </c>
      <c r="AW15" s="549" t="str">
        <f t="shared" ca="1" si="26"/>
        <v>2Q10</v>
      </c>
      <c r="AX15" s="549" t="str">
        <f t="shared" ca="1" si="26"/>
        <v>3Q10</v>
      </c>
      <c r="AY15" s="549" t="str">
        <f t="shared" ca="1" si="26"/>
        <v>4Q10</v>
      </c>
      <c r="AZ15" s="549">
        <f t="shared" ca="1" si="26"/>
        <v>2010</v>
      </c>
      <c r="BA15" s="549" t="str">
        <f t="shared" ca="1" si="26"/>
        <v>1Q11</v>
      </c>
      <c r="BB15" s="549" t="str">
        <f t="shared" ca="1" si="26"/>
        <v>2Q11</v>
      </c>
      <c r="BC15" s="549" t="str">
        <f t="shared" ca="1" si="26"/>
        <v>3Q11</v>
      </c>
      <c r="BD15" s="549" t="str">
        <f t="shared" ca="1" si="26"/>
        <v>4Q11</v>
      </c>
      <c r="BE15" s="549">
        <f t="shared" ca="1" si="26"/>
        <v>2011</v>
      </c>
      <c r="BF15" s="549" t="str">
        <f t="shared" ca="1" si="26"/>
        <v>1Q12</v>
      </c>
      <c r="BG15" s="549" t="str">
        <f t="shared" ca="1" si="26"/>
        <v>2Q12</v>
      </c>
      <c r="BH15" s="549" t="str">
        <f t="shared" ca="1" si="26"/>
        <v>3Q12</v>
      </c>
      <c r="BI15" s="549" t="str">
        <f t="shared" ca="1" si="26"/>
        <v>4Q12</v>
      </c>
      <c r="BJ15" s="549">
        <f ca="1">BE15+1</f>
        <v>2012</v>
      </c>
      <c r="BK15" s="549" t="str">
        <f t="shared" ref="BK15:BN16" ca="1" si="27">IF(MOD(BK$14+1,5)=0,OFFSET($H10,0,TRUNC(BK$14/5,0)),OFFSET($H5,0,BK$14-TRUNC(BK$14/5,0)))</f>
        <v>1Q13</v>
      </c>
      <c r="BL15" s="549" t="str">
        <f t="shared" ca="1" si="27"/>
        <v>2Q13</v>
      </c>
      <c r="BM15" s="549" t="str">
        <f t="shared" ca="1" si="27"/>
        <v>3Q13</v>
      </c>
      <c r="BN15" s="549" t="str">
        <f t="shared" ca="1" si="27"/>
        <v>4Q13</v>
      </c>
      <c r="BO15" s="549">
        <f ca="1">BJ15+1</f>
        <v>2013</v>
      </c>
      <c r="BP15" s="549" t="str">
        <f t="shared" ref="BP15:BX16" ca="1" si="28">IF(MOD(BP$14+1,5)=0,OFFSET($H10,0,TRUNC(BP$14/5,0)),OFFSET($H5,0,BP$14-TRUNC(BP$14/5,0)))</f>
        <v>1Q14</v>
      </c>
      <c r="BQ15" s="549" t="str">
        <f t="shared" ca="1" si="28"/>
        <v>2Q14</v>
      </c>
      <c r="BR15" s="549" t="str">
        <f t="shared" ca="1" si="28"/>
        <v>3Q14</v>
      </c>
      <c r="BS15" s="549" t="str">
        <f t="shared" ca="1" si="28"/>
        <v>4Q14</v>
      </c>
      <c r="BT15" s="549">
        <f ca="1">BO15+1</f>
        <v>2014</v>
      </c>
      <c r="BU15" s="549" t="str">
        <f ca="1">IF(MOD(BU$14+1,5)=0,OFFSET($H10,0,TRUNC(BU$14/5,0)),OFFSET($H5,0,BU$14-TRUNC(BU$14/5,0)))</f>
        <v>1Q15</v>
      </c>
      <c r="BV15" s="549" t="str">
        <f t="shared" ca="1" si="28"/>
        <v>2Q15</v>
      </c>
      <c r="BW15" s="549" t="str">
        <f t="shared" ca="1" si="28"/>
        <v>3Q15</v>
      </c>
      <c r="BX15" s="549" t="str">
        <f t="shared" ca="1" si="28"/>
        <v>4Q15</v>
      </c>
      <c r="BY15" s="549">
        <f ca="1">BT15+1</f>
        <v>2015</v>
      </c>
      <c r="BZ15" s="549" t="str">
        <f t="shared" ref="BZ15:CC16" ca="1" si="29">IF(MOD(BZ$14+1,5)=0,OFFSET($H10,0,TRUNC(BZ$14/5,0)),OFFSET($H5,0,BZ$14-TRUNC(BZ$14/5,0)))</f>
        <v>1Q16</v>
      </c>
      <c r="CA15" s="549" t="str">
        <f t="shared" ca="1" si="29"/>
        <v>2Q16</v>
      </c>
      <c r="CB15" s="549" t="str">
        <f t="shared" ca="1" si="29"/>
        <v>3Q16</v>
      </c>
      <c r="CC15" s="549" t="str">
        <f t="shared" ca="1" si="29"/>
        <v>4Q16</v>
      </c>
      <c r="CD15" s="549">
        <f ca="1">BY15+1</f>
        <v>2016</v>
      </c>
      <c r="CE15" s="549" t="str">
        <f t="shared" ref="CE15:CH15" ca="1" si="30">IF(MOD(CE$14+1,5)=0,OFFSET($H10,0,TRUNC(CE$14/5,0)),OFFSET($H5,0,CE$14-TRUNC(CE$14/5,0)))</f>
        <v>1Q17</v>
      </c>
      <c r="CF15" s="549" t="str">
        <f t="shared" ca="1" si="30"/>
        <v>2Q17</v>
      </c>
      <c r="CG15" s="549" t="str">
        <f t="shared" ca="1" si="30"/>
        <v>3Q17</v>
      </c>
      <c r="CH15" s="549" t="str">
        <f t="shared" ca="1" si="30"/>
        <v>4Q17</v>
      </c>
      <c r="CI15" s="549">
        <f ca="1">CD15+1</f>
        <v>2017</v>
      </c>
      <c r="CJ15" s="549" t="str">
        <f t="shared" ref="CJ15:CM15" ca="1" si="31">IF(MOD(CJ$14+1,5)=0,OFFSET($H10,0,TRUNC(CJ$14/5,0)),OFFSET($H5,0,CJ$14-TRUNC(CJ$14/5,0)))</f>
        <v>1Q18</v>
      </c>
      <c r="CK15" s="549" t="str">
        <f t="shared" ca="1" si="31"/>
        <v>2Q18</v>
      </c>
      <c r="CL15" s="549" t="str">
        <f t="shared" ca="1" si="31"/>
        <v>3Q18</v>
      </c>
      <c r="CM15" s="549" t="str">
        <f t="shared" ca="1" si="31"/>
        <v>4Q18</v>
      </c>
      <c r="CN15" s="549">
        <f ca="1">CI15+1</f>
        <v>2018</v>
      </c>
      <c r="CO15" s="549" t="str">
        <f t="shared" ref="CO15:CR15" ca="1" si="32">IF(MOD(CO$14+1,5)=0,OFFSET($H10,0,TRUNC(CO$14/5,0)),OFFSET($H5,0,CO$14-TRUNC(CO$14/5,0)))</f>
        <v>1Q19</v>
      </c>
      <c r="CP15" s="549" t="str">
        <f t="shared" ca="1" si="32"/>
        <v>2Q19</v>
      </c>
      <c r="CQ15" s="549" t="str">
        <f t="shared" ca="1" si="32"/>
        <v>3Q19</v>
      </c>
      <c r="CR15" s="549" t="str">
        <f t="shared" ca="1" si="32"/>
        <v>4Q19</v>
      </c>
      <c r="CS15" s="549">
        <f ca="1">CN15+1</f>
        <v>2019</v>
      </c>
    </row>
    <row r="16" spans="1:97" x14ac:dyDescent="0.2">
      <c r="A16" s="536">
        <f t="shared" si="24"/>
        <v>1</v>
      </c>
      <c r="B16" s="536">
        <f t="shared" si="0"/>
        <v>2003</v>
      </c>
      <c r="C16" s="539">
        <v>37680</v>
      </c>
      <c r="D16" s="536" t="str">
        <f t="shared" si="1"/>
        <v>1Q03</v>
      </c>
      <c r="E16" s="540">
        <v>4.4766653604437749</v>
      </c>
      <c r="F16" s="535"/>
      <c r="G16" s="536" t="str">
        <f>G11</f>
        <v>Avg CSX Stock Price</v>
      </c>
      <c r="H16" s="546">
        <f t="shared" ref="H16:AM16" ca="1" si="33">IF(MOD(H$14+1,5)=0,OFFSET($H11,0,TRUNC(H$14/5,0)),OFFSET($H6,0,H$14-TRUNC(H$14/5,0)))</f>
        <v>6.4361114385181439</v>
      </c>
      <c r="I16" s="546">
        <f t="shared" ca="1" si="33"/>
        <v>5.8677782314071081</v>
      </c>
      <c r="J16" s="546">
        <f t="shared" ca="1" si="33"/>
        <v>5.3211108078513893</v>
      </c>
      <c r="K16" s="546">
        <f t="shared" ca="1" si="33"/>
        <v>4.6422225157034491</v>
      </c>
      <c r="L16" s="546">
        <f t="shared" ca="1" si="33"/>
        <v>5.5668057483700224</v>
      </c>
      <c r="M16" s="546">
        <f t="shared" ca="1" si="33"/>
        <v>4.6338886245921893</v>
      </c>
      <c r="N16" s="546">
        <f t="shared" ca="1" si="33"/>
        <v>5.2677787380739529</v>
      </c>
      <c r="O16" s="546">
        <f t="shared" ca="1" si="33"/>
        <v>5.1572228752590625</v>
      </c>
      <c r="P16" s="546">
        <f t="shared" ca="1" si="33"/>
        <v>5.6472225059255967</v>
      </c>
      <c r="Q16" s="546">
        <f t="shared" ca="1" si="33"/>
        <v>5.1765281859627006</v>
      </c>
      <c r="R16" s="546">
        <f t="shared" ca="1" si="33"/>
        <v>5.1877786056294788</v>
      </c>
      <c r="S16" s="546">
        <f t="shared" ca="1" si="33"/>
        <v>5.2850000204440706</v>
      </c>
      <c r="T16" s="546">
        <f t="shared" ca="1" si="33"/>
        <v>5.3377776456292123</v>
      </c>
      <c r="U16" s="546">
        <f t="shared" ca="1" si="33"/>
        <v>6.3727781994070627</v>
      </c>
      <c r="V16" s="546">
        <f t="shared" ca="1" si="33"/>
        <v>5.5458336177774559</v>
      </c>
      <c r="W16" s="546">
        <f t="shared" ca="1" si="33"/>
        <v>6.8294450434070768</v>
      </c>
      <c r="X16" s="546">
        <f t="shared" ca="1" si="33"/>
        <v>6.9094443425179959</v>
      </c>
      <c r="Y16" s="546">
        <f t="shared" ca="1" si="33"/>
        <v>7.5527787918515799</v>
      </c>
      <c r="Z16" s="546">
        <f t="shared" ca="1" si="33"/>
        <v>8.0677791514071959</v>
      </c>
      <c r="AA16" s="546">
        <f t="shared" ca="1" si="33"/>
        <v>7.3398618322959628</v>
      </c>
      <c r="AB16" s="546">
        <f t="shared" ca="1" si="33"/>
        <v>9.3727789994070605</v>
      </c>
      <c r="AC16" s="546">
        <f t="shared" ca="1" si="33"/>
        <v>11.436112771851475</v>
      </c>
      <c r="AD16" s="546">
        <f t="shared" ca="1" si="33"/>
        <v>10.376664176740627</v>
      </c>
      <c r="AE16" s="546">
        <f t="shared" ca="1" si="33"/>
        <v>11.773330666666654</v>
      </c>
      <c r="AF16" s="546">
        <f t="shared" ca="1" si="33"/>
        <v>10.739721653666454</v>
      </c>
      <c r="AG16" s="546">
        <f t="shared" ca="1" si="33"/>
        <v>12.717775111111097</v>
      </c>
      <c r="AH16" s="546">
        <f t="shared" ca="1" si="33"/>
        <v>14.854441555555539</v>
      </c>
      <c r="AI16" s="546">
        <f t="shared" ca="1" si="33"/>
        <v>14.57110944444443</v>
      </c>
      <c r="AJ16" s="546">
        <f t="shared" ca="1" si="33"/>
        <v>14.527776222222213</v>
      </c>
      <c r="AK16" s="546">
        <f t="shared" ca="1" si="33"/>
        <v>14.16777558333332</v>
      </c>
      <c r="AL16" s="546">
        <f t="shared" ca="1" si="33"/>
        <v>17.005552777777762</v>
      </c>
      <c r="AM16" s="546">
        <f t="shared" ca="1" si="33"/>
        <v>21.646665888888865</v>
      </c>
      <c r="AN16" s="546">
        <f t="shared" ref="AN16:BI16" ca="1" si="34">IF(MOD(AN$14+1,5)=0,OFFSET($H11,0,TRUNC(AN$14/5,0)),OFFSET($H6,0,AN$14-TRUNC(AN$14/5,0)))</f>
        <v>20.758885888888866</v>
      </c>
      <c r="AO16" s="546">
        <f t="shared" ca="1" si="34"/>
        <v>12.825551444444431</v>
      </c>
      <c r="AP16" s="546">
        <f t="shared" ca="1" si="34"/>
        <v>18.059163999999981</v>
      </c>
      <c r="AQ16" s="546">
        <f t="shared" ca="1" si="34"/>
        <v>8.8322195555555449</v>
      </c>
      <c r="AR16" s="546">
        <f t="shared" ca="1" si="34"/>
        <v>10.664442444444434</v>
      </c>
      <c r="AS16" s="546">
        <f t="shared" ca="1" si="34"/>
        <v>13.831109111111097</v>
      </c>
      <c r="AT16" s="546">
        <f t="shared" ca="1" si="34"/>
        <v>15.349997777777764</v>
      </c>
      <c r="AU16" s="546">
        <f t="shared" ca="1" si="34"/>
        <v>12.169442222222211</v>
      </c>
      <c r="AV16" s="546">
        <f t="shared" ca="1" si="34"/>
        <v>15.691107999999986</v>
      </c>
      <c r="AW16" s="546">
        <f t="shared" ca="1" si="34"/>
        <v>17.547775333333316</v>
      </c>
      <c r="AX16" s="546">
        <f t="shared" ca="1" si="34"/>
        <v>17.547775444444429</v>
      </c>
      <c r="AY16" s="546">
        <f t="shared" ca="1" si="34"/>
        <v>20.763331222222202</v>
      </c>
      <c r="AZ16" s="546">
        <f t="shared" ca="1" si="34"/>
        <v>17.887497499999984</v>
      </c>
      <c r="BA16" s="546">
        <f t="shared" ca="1" si="34"/>
        <v>24.873330111111084</v>
      </c>
      <c r="BB16" s="546">
        <f t="shared" ca="1" si="34"/>
        <v>26.29443711111109</v>
      </c>
      <c r="BC16" s="546">
        <f t="shared" ca="1" si="34"/>
        <v>21.726659999999999</v>
      </c>
      <c r="BD16" s="546">
        <f t="shared" ca="1" si="34"/>
        <v>21.373839692307691</v>
      </c>
      <c r="BE16" s="546">
        <f t="shared" ca="1" si="34"/>
        <v>23.567066728632469</v>
      </c>
      <c r="BF16" s="546">
        <f t="shared" ca="1" si="34"/>
        <v>22.021531923076925</v>
      </c>
      <c r="BG16" s="546">
        <f t="shared" ca="1" si="34"/>
        <v>21.640761769230771</v>
      </c>
      <c r="BH16" s="546">
        <f t="shared" ca="1" si="34"/>
        <v>22.505377461538462</v>
      </c>
      <c r="BI16" s="546">
        <f t="shared" ca="1" si="34"/>
        <v>20.189223538461537</v>
      </c>
      <c r="BJ16" s="546">
        <f ca="1">IF(MOD(BJ$14+1,5)=0,OFFSET($H11,0,TRUNC(BJ$14/5,0)),OFFSET($H6,0,BJ$14-TRUNC(BJ$14/5,0)))</f>
        <v>21.589223673076923</v>
      </c>
      <c r="BK16" s="546">
        <f t="shared" ca="1" si="27"/>
        <v>22.523837153846156</v>
      </c>
      <c r="BL16" s="546">
        <f t="shared" ca="1" si="27"/>
        <v>24.604610076923077</v>
      </c>
      <c r="BM16" s="546">
        <f t="shared" ca="1" si="27"/>
        <v>25.257684999999999</v>
      </c>
      <c r="BN16" s="546">
        <f t="shared" ca="1" si="27"/>
        <v>26.916146923076919</v>
      </c>
      <c r="BO16" s="546">
        <f ca="1">IF(MOD(BO$14+1,5)=0,OFFSET($H11,0,TRUNC(BO$14/5,0)),OFFSET($H6,0,BO$14-TRUNC(BO$14/5,0)))</f>
        <v>24.825569788461539</v>
      </c>
      <c r="BP16" s="546">
        <f t="shared" ca="1" si="28"/>
        <v>27.849993615384619</v>
      </c>
      <c r="BQ16" s="546">
        <f t="shared" ca="1" si="28"/>
        <v>29.236916615384612</v>
      </c>
      <c r="BR16" s="546">
        <f t="shared" ca="1" si="28"/>
        <v>30.940763538461535</v>
      </c>
      <c r="BS16" s="546">
        <f t="shared" ca="1" si="28"/>
        <v>35.167686307692307</v>
      </c>
      <c r="BT16" s="546">
        <f ca="1">IF(MOD(BT$14+1,5)=0,OFFSET($H11,0,TRUNC(BT$14/5,0)),OFFSET($H6,0,BT$14-TRUNC(BT$14/5,0)))</f>
        <v>30.79884001923077</v>
      </c>
      <c r="BU16" s="546">
        <f ca="1">IF(MOD(BU$14+1,5)=0,OFFSET($H11,0,TRUNC(BU$14/5,0)),OFFSET($H6,0,BU$14-TRUNC(BU$14/5,0)))</f>
        <v>34.648462615384616</v>
      </c>
      <c r="BV16" s="546">
        <f ca="1">IF(MOD(BV$14+1,5)=0,OFFSET($H11,0,TRUNC(BV$14/5,0)),OFFSET($H6,0,BV$14-TRUNC(BV$14/5,0)))</f>
        <v>34.963077692307692</v>
      </c>
      <c r="BW16" s="546">
        <f ca="1">IF(MOD(BW$14+1,5)=0,OFFSET($H11,0,TRUNC(BW$14/5,0)),OFFSET($H6,0,BW$14-TRUNC(BW$14/5,0)))</f>
        <v>29.527694307692311</v>
      </c>
      <c r="BX16" s="546">
        <f ca="1">IF(MOD(BX$14+1,5)=0,OFFSET($H11,0,TRUNC(BX$14/5,0)),OFFSET($H6,0,BX$14-TRUNC(BX$14/5,0)))</f>
        <v>27.382308230769233</v>
      </c>
      <c r="BY16" s="546">
        <f ca="1">IF(MOD(BY$14+1,5)=0,OFFSET($H11,0,TRUNC(BY$14/5,0)),OFFSET($H6,0,BY$14-TRUNC(BY$14/5,0)))</f>
        <v>31.630385711538466</v>
      </c>
      <c r="BZ16" s="546">
        <f t="shared" ca="1" si="29"/>
        <v>27.224614615384617</v>
      </c>
      <c r="CA16" s="546">
        <f t="shared" ca="1" si="29"/>
        <v>26.154615461538462</v>
      </c>
      <c r="CB16" s="546">
        <f t="shared" ca="1" si="29"/>
        <v>28.201539692307691</v>
      </c>
      <c r="CC16" s="546">
        <f t="shared" ca="1" si="29"/>
        <v>33.405767999999995</v>
      </c>
      <c r="CD16" s="546">
        <f ca="1">IF(MOD(CD$14+1,5)=0,OFFSET($H11,0,TRUNC(CD$14/5,0)),OFFSET($H6,0,CD$14-TRUNC(CD$14/5,0)))</f>
        <v>28.746634442307691</v>
      </c>
      <c r="CE16" s="546">
        <f t="shared" ref="CE16:CG16" ca="1" si="35">IF(MOD(CE$14+1,5)=0,OFFSET($H11,0,TRUNC(CE$14/5,0)),OFFSET($H6,0,CE$14-TRUNC(CE$14/5,0)))</f>
        <v>42.366923307692304</v>
      </c>
      <c r="CF16" s="546">
        <f t="shared" ca="1" si="35"/>
        <v>51.074616307692295</v>
      </c>
      <c r="CG16" s="546">
        <f t="shared" ca="1" si="35"/>
        <v>55.658462923076925</v>
      </c>
      <c r="CH16" s="546">
        <f ca="1">IF(MOD(CH$14+1,5)=0,OFFSET($H11,0,TRUNC(CH$14/5,0)),OFFSET($H6,0,CH$14-TRUNC(CH$14/5,0)))</f>
        <v>48.844615461538453</v>
      </c>
      <c r="CI16" s="546">
        <f ca="1">IF(MOD(CI$14+1,5)=0,OFFSET($H11,0,TRUNC(CI$14/5,0)),OFFSET($H6,0,CI$14-TRUNC(CI$14/5,0)))</f>
        <v>49.486154499999998</v>
      </c>
      <c r="CJ16" s="546">
        <f t="shared" ref="CJ16:CM16" ca="1" si="36">IF(MOD(CJ$14+1,5)=0,OFFSET($H11,0,TRUNC(CJ$14/5,0)),OFFSET($H6,0,CJ$14-TRUNC(CJ$14/5,0)))</f>
        <v>64.754616846153837</v>
      </c>
      <c r="CK16" s="546">
        <f t="shared" ca="1" si="36"/>
        <v>51.849231076923054</v>
      </c>
      <c r="CL16" s="546">
        <f t="shared" ca="1" si="36"/>
        <v>56.409999999999975</v>
      </c>
      <c r="CM16" s="546">
        <f t="shared" ca="1" si="36"/>
        <v>56.409999999999975</v>
      </c>
      <c r="CN16" s="546">
        <f ca="1">IF(MOD(CN$14+1,5)=0,OFFSET($H11,0,TRUNC(CN$14/5,0)),OFFSET($H6,0,CN$14-TRUNC(CN$14/5,0)))</f>
        <v>57.355961980769209</v>
      </c>
      <c r="CO16" s="546">
        <f t="shared" ref="CO16:CR16" ca="1" si="37">IF(MOD(CO$14+1,5)=0,OFFSET($H11,0,TRUNC(CO$14/5,0)),OFFSET($H6,0,CO$14-TRUNC(CO$14/5,0)))</f>
        <v>56.409999999999975</v>
      </c>
      <c r="CP16" s="546">
        <f t="shared" ca="1" si="37"/>
        <v>56.409999999999975</v>
      </c>
      <c r="CQ16" s="546">
        <f t="shared" ca="1" si="37"/>
        <v>56.409999999999975</v>
      </c>
      <c r="CR16" s="546">
        <f t="shared" ca="1" si="37"/>
        <v>56.409999999999975</v>
      </c>
      <c r="CS16" s="546">
        <f ca="1">IF(MOD(CS$14+1,5)=0,OFFSET($H11,0,TRUNC(CS$14/5,0)),OFFSET($H6,0,CS$14-TRUNC(CS$14/5,0)))</f>
        <v>56.409999999999975</v>
      </c>
    </row>
    <row r="17" spans="1:97" x14ac:dyDescent="0.2">
      <c r="A17" s="536">
        <f t="shared" si="24"/>
        <v>1</v>
      </c>
      <c r="B17" s="536">
        <f t="shared" si="0"/>
        <v>2003</v>
      </c>
      <c r="C17" s="539">
        <v>37711</v>
      </c>
      <c r="D17" s="536" t="str">
        <f t="shared" si="1"/>
        <v>1Q03</v>
      </c>
      <c r="E17" s="540">
        <v>4.7533327675550634</v>
      </c>
      <c r="F17" s="535"/>
      <c r="G17" s="536"/>
      <c r="H17" s="550"/>
      <c r="I17" s="550"/>
      <c r="J17" s="550"/>
      <c r="K17" s="550"/>
      <c r="L17" s="550"/>
      <c r="M17" s="550"/>
      <c r="N17" s="550"/>
      <c r="O17" s="550"/>
      <c r="P17" s="550"/>
      <c r="Q17" s="550"/>
      <c r="R17" s="550"/>
      <c r="S17" s="550"/>
      <c r="T17" s="550"/>
      <c r="U17" s="550"/>
      <c r="V17" s="550"/>
      <c r="W17" s="550"/>
      <c r="X17" s="550"/>
      <c r="Y17" s="550"/>
      <c r="Z17" s="550"/>
      <c r="AA17" s="550"/>
      <c r="AB17" s="550"/>
      <c r="AC17" s="550"/>
      <c r="AD17" s="550"/>
      <c r="AE17" s="550"/>
      <c r="AF17" s="550"/>
      <c r="AG17" s="550"/>
      <c r="AH17" s="550"/>
      <c r="AI17" s="550"/>
      <c r="AJ17" s="550"/>
      <c r="AK17" s="550"/>
      <c r="AL17" s="550"/>
      <c r="AM17" s="550"/>
      <c r="AN17" s="550"/>
      <c r="AO17" s="550"/>
      <c r="AP17" s="550"/>
      <c r="AQ17" s="550"/>
      <c r="AR17" s="550"/>
      <c r="AS17" s="550"/>
      <c r="AT17" s="550"/>
      <c r="AU17" s="550"/>
      <c r="AV17" s="550"/>
      <c r="AW17" s="550"/>
      <c r="AX17" s="550"/>
      <c r="AY17" s="550"/>
      <c r="AZ17" s="550"/>
      <c r="BA17" s="550"/>
      <c r="BB17" s="550"/>
      <c r="BC17" s="550"/>
      <c r="BD17" s="550"/>
      <c r="BE17" s="550"/>
      <c r="BF17" s="550"/>
      <c r="BG17" s="550"/>
      <c r="BH17" s="550"/>
      <c r="BI17" s="550"/>
      <c r="BJ17" s="550"/>
      <c r="BK17" s="536"/>
      <c r="BL17" s="536"/>
      <c r="BM17" s="536"/>
      <c r="BN17" s="536"/>
      <c r="BO17" s="536"/>
      <c r="BP17" s="536"/>
      <c r="BQ17" s="536"/>
      <c r="BR17" s="536"/>
      <c r="BS17" s="536"/>
      <c r="BT17" s="536"/>
      <c r="BU17" s="536"/>
      <c r="BV17" s="536"/>
      <c r="BW17" s="536"/>
      <c r="BX17" s="536"/>
      <c r="BY17" s="536"/>
      <c r="BZ17" s="536"/>
      <c r="CA17" s="536"/>
      <c r="CB17" s="536"/>
      <c r="CC17" s="536"/>
      <c r="CD17" s="536"/>
    </row>
    <row r="18" spans="1:97" x14ac:dyDescent="0.2">
      <c r="A18" s="536">
        <f t="shared" si="24"/>
        <v>2</v>
      </c>
      <c r="B18" s="536">
        <f t="shared" si="0"/>
        <v>2003</v>
      </c>
      <c r="C18" s="539">
        <v>37741</v>
      </c>
      <c r="D18" s="536" t="str">
        <f t="shared" si="1"/>
        <v>2Q03</v>
      </c>
      <c r="E18" s="540">
        <v>5.3300007546664858</v>
      </c>
      <c r="F18" s="535"/>
      <c r="G18" s="538" t="s">
        <v>237</v>
      </c>
      <c r="H18" s="538"/>
      <c r="I18" s="538"/>
      <c r="J18" s="538"/>
      <c r="K18" s="538"/>
      <c r="L18" s="538"/>
      <c r="M18" s="538"/>
      <c r="N18" s="538"/>
      <c r="O18" s="538"/>
      <c r="P18" s="538"/>
      <c r="Q18" s="538"/>
      <c r="R18" s="538"/>
      <c r="S18" s="538"/>
      <c r="T18" s="538"/>
      <c r="U18" s="538"/>
      <c r="V18" s="538"/>
      <c r="W18" s="538"/>
      <c r="X18" s="538"/>
      <c r="Y18" s="538"/>
      <c r="Z18" s="538"/>
      <c r="AA18" s="538"/>
      <c r="AB18" s="538"/>
      <c r="AC18" s="538"/>
      <c r="AD18" s="538"/>
      <c r="AE18" s="538"/>
      <c r="AF18" s="538"/>
      <c r="AG18" s="538"/>
      <c r="AH18" s="538"/>
      <c r="AI18" s="538"/>
      <c r="AJ18" s="538"/>
      <c r="AK18" s="538"/>
      <c r="AL18" s="538"/>
      <c r="AM18" s="538"/>
      <c r="AN18" s="538"/>
      <c r="AO18" s="538"/>
      <c r="AP18" s="538"/>
      <c r="AQ18" s="538"/>
      <c r="AR18" s="538"/>
      <c r="AS18" s="538"/>
      <c r="AT18" s="538"/>
      <c r="AU18" s="538"/>
      <c r="AV18" s="538"/>
      <c r="AW18" s="538"/>
      <c r="AX18" s="538"/>
      <c r="AY18" s="538"/>
      <c r="AZ18" s="538"/>
      <c r="BA18" s="538"/>
      <c r="BB18" s="538"/>
      <c r="BC18" s="538"/>
      <c r="BD18" s="538"/>
      <c r="BE18" s="538"/>
      <c r="BF18" s="538"/>
      <c r="BG18" s="538"/>
      <c r="BH18" s="538"/>
      <c r="BI18" s="538"/>
      <c r="BJ18" s="538"/>
      <c r="BK18" s="538"/>
      <c r="BL18" s="538"/>
      <c r="BM18" s="538"/>
      <c r="BN18" s="538"/>
      <c r="BO18" s="538"/>
      <c r="BP18" s="538"/>
      <c r="BQ18" s="538"/>
      <c r="BR18" s="538"/>
      <c r="BS18" s="538"/>
      <c r="BT18" s="538"/>
      <c r="BU18" s="538"/>
      <c r="BV18" s="538"/>
      <c r="BW18" s="538"/>
      <c r="BX18" s="538"/>
      <c r="BY18" s="538"/>
      <c r="BZ18" s="538"/>
      <c r="CA18" s="538"/>
      <c r="CB18" s="538"/>
      <c r="CC18" s="538"/>
      <c r="CD18" s="538"/>
    </row>
    <row r="19" spans="1:97" x14ac:dyDescent="0.2">
      <c r="A19" s="536">
        <f t="shared" si="24"/>
        <v>2</v>
      </c>
      <c r="B19" s="536">
        <f t="shared" si="0"/>
        <v>2003</v>
      </c>
      <c r="C19" s="539">
        <v>37772</v>
      </c>
      <c r="D19" s="536" t="str">
        <f t="shared" si="1"/>
        <v>2Q03</v>
      </c>
      <c r="E19" s="540">
        <v>5.4583347888888856</v>
      </c>
      <c r="F19" s="535"/>
      <c r="G19" s="541" t="s">
        <v>590</v>
      </c>
      <c r="H19" s="542"/>
      <c r="I19" s="542"/>
      <c r="J19" s="542"/>
      <c r="K19" s="542"/>
      <c r="L19" s="542"/>
      <c r="M19" s="542"/>
      <c r="N19" s="542"/>
      <c r="O19" s="542"/>
      <c r="P19" s="542"/>
      <c r="Q19" s="542"/>
      <c r="R19" s="542"/>
      <c r="S19" s="542"/>
      <c r="T19" s="542"/>
      <c r="U19" s="542"/>
      <c r="V19" s="542"/>
      <c r="W19" s="542"/>
      <c r="X19" s="542"/>
      <c r="Y19" s="542"/>
      <c r="Z19" s="542"/>
      <c r="AA19" s="542"/>
      <c r="AB19" s="542"/>
      <c r="AC19" s="542"/>
      <c r="AD19" s="542"/>
      <c r="AE19" s="542"/>
      <c r="AF19" s="542"/>
      <c r="AG19" s="542"/>
      <c r="AH19" s="542"/>
      <c r="AI19" s="542"/>
      <c r="AJ19" s="542"/>
      <c r="AK19" s="542"/>
      <c r="AL19" s="542"/>
      <c r="AM19" s="542"/>
      <c r="AN19" s="542"/>
      <c r="AO19" s="542"/>
      <c r="AP19" s="542"/>
      <c r="AQ19" s="542"/>
      <c r="AR19" s="542"/>
      <c r="AS19" s="542"/>
      <c r="AT19" s="542"/>
      <c r="AU19" s="542">
        <v>1</v>
      </c>
      <c r="AV19" s="542">
        <f t="shared" ref="AV19:BG19" si="38">AU19+1</f>
        <v>2</v>
      </c>
      <c r="AW19" s="542">
        <f t="shared" si="38"/>
        <v>3</v>
      </c>
      <c r="AX19" s="542">
        <f t="shared" si="38"/>
        <v>4</v>
      </c>
      <c r="AY19" s="542">
        <f t="shared" si="38"/>
        <v>5</v>
      </c>
      <c r="AZ19" s="542">
        <f t="shared" si="38"/>
        <v>6</v>
      </c>
      <c r="BA19" s="542">
        <f t="shared" si="38"/>
        <v>7</v>
      </c>
      <c r="BB19" s="542">
        <f t="shared" si="38"/>
        <v>8</v>
      </c>
      <c r="BC19" s="542">
        <f t="shared" si="38"/>
        <v>9</v>
      </c>
      <c r="BD19" s="542">
        <f t="shared" si="38"/>
        <v>10</v>
      </c>
      <c r="BE19" s="542">
        <f t="shared" si="38"/>
        <v>11</v>
      </c>
      <c r="BF19" s="542">
        <f t="shared" si="38"/>
        <v>12</v>
      </c>
      <c r="BG19" s="542">
        <f t="shared" si="38"/>
        <v>13</v>
      </c>
      <c r="BH19" s="542">
        <f t="shared" ref="BH19:BK20" si="39">BG19+1</f>
        <v>14</v>
      </c>
      <c r="BI19" s="542">
        <f t="shared" si="39"/>
        <v>15</v>
      </c>
      <c r="BJ19" s="542">
        <f t="shared" si="39"/>
        <v>16</v>
      </c>
      <c r="BK19" s="542">
        <f t="shared" si="39"/>
        <v>17</v>
      </c>
      <c r="BL19" s="542">
        <f t="shared" ref="BL19:BO20" si="40">BK19+1</f>
        <v>18</v>
      </c>
      <c r="BM19" s="542">
        <f t="shared" si="40"/>
        <v>19</v>
      </c>
      <c r="BN19" s="542">
        <f t="shared" si="40"/>
        <v>20</v>
      </c>
      <c r="BO19" s="542">
        <f t="shared" si="40"/>
        <v>21</v>
      </c>
      <c r="BP19" s="542">
        <f t="shared" ref="BP19:BP20" si="41">BO19+1</f>
        <v>22</v>
      </c>
      <c r="BQ19" s="542">
        <f t="shared" ref="BQ19:BQ20" si="42">BP19+1</f>
        <v>23</v>
      </c>
      <c r="BR19" s="542">
        <f t="shared" ref="BR19:BR20" si="43">BQ19+1</f>
        <v>24</v>
      </c>
      <c r="BS19" s="542">
        <f t="shared" ref="BS19:BS20" si="44">BR19+1</f>
        <v>25</v>
      </c>
      <c r="BT19" s="542">
        <f t="shared" ref="BT19:BT20" si="45">BS19+1</f>
        <v>26</v>
      </c>
      <c r="BU19" s="542">
        <f t="shared" ref="BU19:BU20" si="46">BT19+1</f>
        <v>27</v>
      </c>
      <c r="BV19" s="542">
        <f t="shared" ref="BV19:BV20" si="47">BU19+1</f>
        <v>28</v>
      </c>
      <c r="BW19" s="542">
        <f t="shared" ref="BW19:BW20" si="48">BV19+1</f>
        <v>29</v>
      </c>
      <c r="BX19" s="542">
        <f t="shared" ref="BX19:BX20" si="49">BW19+1</f>
        <v>30</v>
      </c>
      <c r="BY19" s="542">
        <f t="shared" ref="BY19:BY20" si="50">BX19+1</f>
        <v>31</v>
      </c>
      <c r="BZ19" s="542">
        <f t="shared" ref="BZ19:BZ20" si="51">BY19+1</f>
        <v>32</v>
      </c>
      <c r="CA19" s="542">
        <f t="shared" ref="CA19:CA20" si="52">BZ19+1</f>
        <v>33</v>
      </c>
      <c r="CB19" s="542"/>
      <c r="CC19" s="542"/>
      <c r="CD19" s="542"/>
    </row>
    <row r="20" spans="1:97" x14ac:dyDescent="0.2">
      <c r="A20" s="536">
        <f t="shared" si="24"/>
        <v>2</v>
      </c>
      <c r="B20" s="536">
        <f t="shared" si="0"/>
        <v>2003</v>
      </c>
      <c r="C20" s="539">
        <v>37802</v>
      </c>
      <c r="D20" s="536" t="str">
        <f t="shared" si="1"/>
        <v>2Q03</v>
      </c>
      <c r="E20" s="540">
        <v>5.0150006706664856</v>
      </c>
      <c r="F20" s="535"/>
      <c r="G20" s="543" t="s">
        <v>67</v>
      </c>
      <c r="H20" s="543">
        <v>0</v>
      </c>
      <c r="I20" s="543">
        <f t="shared" ref="I20:BC20" si="53">H20+1</f>
        <v>1</v>
      </c>
      <c r="J20" s="543">
        <f t="shared" si="53"/>
        <v>2</v>
      </c>
      <c r="K20" s="543">
        <f t="shared" si="53"/>
        <v>3</v>
      </c>
      <c r="L20" s="543">
        <f t="shared" si="53"/>
        <v>4</v>
      </c>
      <c r="M20" s="543">
        <f t="shared" si="53"/>
        <v>5</v>
      </c>
      <c r="N20" s="543">
        <f t="shared" si="53"/>
        <v>6</v>
      </c>
      <c r="O20" s="543">
        <f t="shared" si="53"/>
        <v>7</v>
      </c>
      <c r="P20" s="543">
        <f t="shared" si="53"/>
        <v>8</v>
      </c>
      <c r="Q20" s="543">
        <f t="shared" si="53"/>
        <v>9</v>
      </c>
      <c r="R20" s="543">
        <f t="shared" si="53"/>
        <v>10</v>
      </c>
      <c r="S20" s="543">
        <f t="shared" si="53"/>
        <v>11</v>
      </c>
      <c r="T20" s="543">
        <f t="shared" si="53"/>
        <v>12</v>
      </c>
      <c r="U20" s="543">
        <f t="shared" si="53"/>
        <v>13</v>
      </c>
      <c r="V20" s="543">
        <f t="shared" si="53"/>
        <v>14</v>
      </c>
      <c r="W20" s="543">
        <f t="shared" si="53"/>
        <v>15</v>
      </c>
      <c r="X20" s="543">
        <f t="shared" si="53"/>
        <v>16</v>
      </c>
      <c r="Y20" s="543">
        <f t="shared" si="53"/>
        <v>17</v>
      </c>
      <c r="Z20" s="543">
        <f t="shared" si="53"/>
        <v>18</v>
      </c>
      <c r="AA20" s="543">
        <f t="shared" si="53"/>
        <v>19</v>
      </c>
      <c r="AB20" s="543">
        <f t="shared" si="53"/>
        <v>20</v>
      </c>
      <c r="AC20" s="543">
        <f t="shared" si="53"/>
        <v>21</v>
      </c>
      <c r="AD20" s="543">
        <f t="shared" si="53"/>
        <v>22</v>
      </c>
      <c r="AE20" s="543">
        <f t="shared" si="53"/>
        <v>23</v>
      </c>
      <c r="AF20" s="543">
        <f t="shared" si="53"/>
        <v>24</v>
      </c>
      <c r="AG20" s="543">
        <f t="shared" si="53"/>
        <v>25</v>
      </c>
      <c r="AH20" s="543">
        <f t="shared" si="53"/>
        <v>26</v>
      </c>
      <c r="AI20" s="543">
        <f t="shared" si="53"/>
        <v>27</v>
      </c>
      <c r="AJ20" s="543">
        <f t="shared" si="53"/>
        <v>28</v>
      </c>
      <c r="AK20" s="543">
        <f t="shared" si="53"/>
        <v>29</v>
      </c>
      <c r="AL20" s="543">
        <f t="shared" si="53"/>
        <v>30</v>
      </c>
      <c r="AM20" s="543">
        <f t="shared" si="53"/>
        <v>31</v>
      </c>
      <c r="AN20" s="543">
        <f t="shared" si="53"/>
        <v>32</v>
      </c>
      <c r="AO20" s="543">
        <f t="shared" si="53"/>
        <v>33</v>
      </c>
      <c r="AP20" s="543">
        <f t="shared" si="53"/>
        <v>34</v>
      </c>
      <c r="AQ20" s="543">
        <f t="shared" si="53"/>
        <v>35</v>
      </c>
      <c r="AR20" s="543">
        <f t="shared" si="53"/>
        <v>36</v>
      </c>
      <c r="AS20" s="543">
        <f t="shared" si="53"/>
        <v>37</v>
      </c>
      <c r="AT20" s="543">
        <f t="shared" si="53"/>
        <v>38</v>
      </c>
      <c r="AU20" s="549">
        <f t="shared" si="53"/>
        <v>39</v>
      </c>
      <c r="AV20" s="543">
        <f t="shared" si="53"/>
        <v>40</v>
      </c>
      <c r="AW20" s="543">
        <f t="shared" si="53"/>
        <v>41</v>
      </c>
      <c r="AX20" s="543">
        <f t="shared" si="53"/>
        <v>42</v>
      </c>
      <c r="AY20" s="543">
        <f t="shared" si="53"/>
        <v>43</v>
      </c>
      <c r="AZ20" s="543">
        <f t="shared" si="53"/>
        <v>44</v>
      </c>
      <c r="BA20" s="543">
        <f t="shared" si="53"/>
        <v>45</v>
      </c>
      <c r="BB20" s="543">
        <f t="shared" si="53"/>
        <v>46</v>
      </c>
      <c r="BC20" s="543">
        <f t="shared" si="53"/>
        <v>47</v>
      </c>
      <c r="BD20" s="543">
        <f>BC20+1</f>
        <v>48</v>
      </c>
      <c r="BE20" s="543">
        <f>BD20+1</f>
        <v>49</v>
      </c>
      <c r="BF20" s="543">
        <f>BE20+1</f>
        <v>50</v>
      </c>
      <c r="BG20" s="543">
        <f>BF20+1</f>
        <v>51</v>
      </c>
      <c r="BH20" s="543">
        <f t="shared" si="39"/>
        <v>52</v>
      </c>
      <c r="BI20" s="543">
        <f t="shared" si="39"/>
        <v>53</v>
      </c>
      <c r="BJ20" s="543">
        <f t="shared" si="39"/>
        <v>54</v>
      </c>
      <c r="BK20" s="543">
        <f t="shared" si="39"/>
        <v>55</v>
      </c>
      <c r="BL20" s="543">
        <f t="shared" si="40"/>
        <v>56</v>
      </c>
      <c r="BM20" s="543">
        <f t="shared" si="40"/>
        <v>57</v>
      </c>
      <c r="BN20" s="543">
        <f t="shared" si="40"/>
        <v>58</v>
      </c>
      <c r="BO20" s="543">
        <f t="shared" si="40"/>
        <v>59</v>
      </c>
      <c r="BP20" s="543">
        <f t="shared" si="41"/>
        <v>60</v>
      </c>
      <c r="BQ20" s="543">
        <f t="shared" si="42"/>
        <v>61</v>
      </c>
      <c r="BR20" s="543">
        <f t="shared" si="43"/>
        <v>62</v>
      </c>
      <c r="BS20" s="543">
        <f t="shared" si="44"/>
        <v>63</v>
      </c>
      <c r="BT20" s="543">
        <f t="shared" si="45"/>
        <v>64</v>
      </c>
      <c r="BU20" s="543">
        <f t="shared" si="46"/>
        <v>65</v>
      </c>
      <c r="BV20" s="543">
        <f t="shared" si="47"/>
        <v>66</v>
      </c>
      <c r="BW20" s="543">
        <f t="shared" si="48"/>
        <v>67</v>
      </c>
      <c r="BX20" s="543">
        <f t="shared" si="49"/>
        <v>68</v>
      </c>
      <c r="BY20" s="543">
        <f t="shared" si="50"/>
        <v>69</v>
      </c>
      <c r="BZ20" s="543">
        <f t="shared" si="51"/>
        <v>70</v>
      </c>
      <c r="CA20" s="543">
        <f t="shared" si="52"/>
        <v>71</v>
      </c>
      <c r="CB20" s="544"/>
      <c r="CC20" s="544"/>
      <c r="CD20" s="544"/>
    </row>
    <row r="21" spans="1:97" x14ac:dyDescent="0.2">
      <c r="A21" s="536">
        <f t="shared" si="24"/>
        <v>3</v>
      </c>
      <c r="B21" s="536">
        <f t="shared" si="0"/>
        <v>2003</v>
      </c>
      <c r="C21" s="539">
        <v>37833</v>
      </c>
      <c r="D21" s="536" t="str">
        <f t="shared" si="1"/>
        <v>3Q03</v>
      </c>
      <c r="E21" s="540">
        <v>5.2166660577772408</v>
      </c>
      <c r="F21" s="535"/>
      <c r="G21" s="543" t="s">
        <v>22</v>
      </c>
      <c r="H21" s="545" t="str">
        <f ca="1">"1Q"&amp;RIGHT(YEAR(OFFSET($C$3,H20*3,0)),2)</f>
        <v>1Q02</v>
      </c>
      <c r="I21" s="545" t="str">
        <f ca="1">"2Q"&amp;RIGHT(YEAR(OFFSET($C$3,I20*3,0)),2)</f>
        <v>2Q02</v>
      </c>
      <c r="J21" s="545" t="str">
        <f ca="1">"3Q"&amp;RIGHT(YEAR(OFFSET($C$3,J20*3,0)),2)</f>
        <v>3Q02</v>
      </c>
      <c r="K21" s="545" t="str">
        <f ca="1">"4Q"&amp;RIGHT(YEAR(OFFSET($C$3,K20*3,0)),2)</f>
        <v>4Q02</v>
      </c>
      <c r="L21" s="543" t="str">
        <f t="shared" ref="L21:AU21" ca="1" si="54">LEFT(H21,1)&amp;"Q"&amp;RIGHT(YEAR(OFFSET($C$3,L20*3,0)),2)</f>
        <v>1Q03</v>
      </c>
      <c r="M21" s="543" t="str">
        <f t="shared" ca="1" si="54"/>
        <v>2Q03</v>
      </c>
      <c r="N21" s="543" t="str">
        <f t="shared" ca="1" si="54"/>
        <v>3Q03</v>
      </c>
      <c r="O21" s="543" t="str">
        <f t="shared" ca="1" si="54"/>
        <v>4Q03</v>
      </c>
      <c r="P21" s="543" t="str">
        <f t="shared" ca="1" si="54"/>
        <v>1Q04</v>
      </c>
      <c r="Q21" s="543" t="str">
        <f t="shared" ca="1" si="54"/>
        <v>2Q04</v>
      </c>
      <c r="R21" s="543" t="str">
        <f t="shared" ca="1" si="54"/>
        <v>3Q04</v>
      </c>
      <c r="S21" s="543" t="str">
        <f t="shared" ca="1" si="54"/>
        <v>4Q04</v>
      </c>
      <c r="T21" s="543" t="str">
        <f t="shared" ca="1" si="54"/>
        <v>1Q05</v>
      </c>
      <c r="U21" s="543" t="str">
        <f t="shared" ca="1" si="54"/>
        <v>2Q05</v>
      </c>
      <c r="V21" s="543" t="str">
        <f t="shared" ca="1" si="54"/>
        <v>3Q05</v>
      </c>
      <c r="W21" s="543" t="str">
        <f t="shared" ca="1" si="54"/>
        <v>4Q05</v>
      </c>
      <c r="X21" s="543" t="str">
        <f t="shared" ca="1" si="54"/>
        <v>1Q06</v>
      </c>
      <c r="Y21" s="543" t="str">
        <f t="shared" ca="1" si="54"/>
        <v>2Q06</v>
      </c>
      <c r="Z21" s="543" t="str">
        <f t="shared" ca="1" si="54"/>
        <v>3Q06</v>
      </c>
      <c r="AA21" s="543" t="str">
        <f t="shared" ca="1" si="54"/>
        <v>4Q06</v>
      </c>
      <c r="AB21" s="543" t="str">
        <f t="shared" ca="1" si="54"/>
        <v>1Q07</v>
      </c>
      <c r="AC21" s="543" t="str">
        <f t="shared" ca="1" si="54"/>
        <v>2Q07</v>
      </c>
      <c r="AD21" s="543" t="str">
        <f t="shared" ca="1" si="54"/>
        <v>3Q07</v>
      </c>
      <c r="AE21" s="543" t="str">
        <f t="shared" ca="1" si="54"/>
        <v>4Q07</v>
      </c>
      <c r="AF21" s="543" t="str">
        <f t="shared" ca="1" si="54"/>
        <v>1Q08</v>
      </c>
      <c r="AG21" s="543" t="str">
        <f t="shared" ca="1" si="54"/>
        <v>2Q08</v>
      </c>
      <c r="AH21" s="543" t="str">
        <f t="shared" ca="1" si="54"/>
        <v>3Q08</v>
      </c>
      <c r="AI21" s="543" t="str">
        <f t="shared" ca="1" si="54"/>
        <v>4Q08</v>
      </c>
      <c r="AJ21" s="543" t="str">
        <f t="shared" ca="1" si="54"/>
        <v>1Q09</v>
      </c>
      <c r="AK21" s="543" t="str">
        <f t="shared" ca="1" si="54"/>
        <v>2Q09</v>
      </c>
      <c r="AL21" s="543" t="str">
        <f t="shared" ca="1" si="54"/>
        <v>3Q09</v>
      </c>
      <c r="AM21" s="543" t="str">
        <f t="shared" ca="1" si="54"/>
        <v>4Q09</v>
      </c>
      <c r="AN21" s="543" t="str">
        <f t="shared" ca="1" si="54"/>
        <v>1Q10</v>
      </c>
      <c r="AO21" s="543" t="str">
        <f t="shared" ca="1" si="54"/>
        <v>2Q10</v>
      </c>
      <c r="AP21" s="543" t="str">
        <f t="shared" ca="1" si="54"/>
        <v>3Q10</v>
      </c>
      <c r="AQ21" s="543" t="str">
        <f t="shared" ca="1" si="54"/>
        <v>4Q10</v>
      </c>
      <c r="AR21" s="543" t="str">
        <f t="shared" ca="1" si="54"/>
        <v>1Q11</v>
      </c>
      <c r="AS21" s="543" t="str">
        <f t="shared" ca="1" si="54"/>
        <v>2Q11</v>
      </c>
      <c r="AT21" s="543" t="str">
        <f t="shared" ca="1" si="54"/>
        <v>3Q11</v>
      </c>
      <c r="AU21" s="549" t="str">
        <f t="shared" ca="1" si="54"/>
        <v>4Q11</v>
      </c>
      <c r="AV21" s="543" t="str">
        <f t="shared" ref="AV21:BC21" ca="1" si="55">LEFT(AR21,2)&amp;RIGHT(AR21,2)+1</f>
        <v>1Q12</v>
      </c>
      <c r="AW21" s="543" t="str">
        <f t="shared" ca="1" si="55"/>
        <v>2Q12</v>
      </c>
      <c r="AX21" s="543" t="str">
        <f t="shared" ca="1" si="55"/>
        <v>3Q12</v>
      </c>
      <c r="AY21" s="543" t="str">
        <f t="shared" ca="1" si="55"/>
        <v>4Q12</v>
      </c>
      <c r="AZ21" s="543" t="str">
        <f t="shared" ca="1" si="55"/>
        <v>1Q13</v>
      </c>
      <c r="BA21" s="543" t="str">
        <f t="shared" ca="1" si="55"/>
        <v>2Q13</v>
      </c>
      <c r="BB21" s="543" t="str">
        <f t="shared" ca="1" si="55"/>
        <v>3Q13</v>
      </c>
      <c r="BC21" s="543" t="str">
        <f t="shared" ca="1" si="55"/>
        <v>4Q13</v>
      </c>
      <c r="BD21" s="543" t="str">
        <f t="shared" ref="BD21:BK21" ca="1" si="56">LEFT(AZ21,2)&amp;RIGHT(AZ21,2)+1</f>
        <v>1Q14</v>
      </c>
      <c r="BE21" s="543" t="str">
        <f t="shared" ca="1" si="56"/>
        <v>2Q14</v>
      </c>
      <c r="BF21" s="543" t="str">
        <f t="shared" ca="1" si="56"/>
        <v>3Q14</v>
      </c>
      <c r="BG21" s="543" t="str">
        <f t="shared" ca="1" si="56"/>
        <v>4Q14</v>
      </c>
      <c r="BH21" s="543" t="str">
        <f t="shared" ca="1" si="56"/>
        <v>1Q15</v>
      </c>
      <c r="BI21" s="543" t="str">
        <f t="shared" ca="1" si="56"/>
        <v>2Q15</v>
      </c>
      <c r="BJ21" s="543" t="str">
        <f t="shared" ca="1" si="56"/>
        <v>3Q15</v>
      </c>
      <c r="BK21" s="543" t="str">
        <f t="shared" ca="1" si="56"/>
        <v>4Q15</v>
      </c>
      <c r="BL21" s="543" t="str">
        <f t="shared" ref="BL21:CA21" ca="1" si="57">LEFT(BH21,2)&amp;RIGHT(BH21,2)+1</f>
        <v>1Q16</v>
      </c>
      <c r="BM21" s="543" t="str">
        <f t="shared" ca="1" si="57"/>
        <v>2Q16</v>
      </c>
      <c r="BN21" s="543" t="str">
        <f t="shared" ca="1" si="57"/>
        <v>3Q16</v>
      </c>
      <c r="BO21" s="543" t="str">
        <f t="shared" ca="1" si="57"/>
        <v>4Q16</v>
      </c>
      <c r="BP21" s="543" t="str">
        <f t="shared" ca="1" si="57"/>
        <v>1Q17</v>
      </c>
      <c r="BQ21" s="543" t="str">
        <f t="shared" ca="1" si="57"/>
        <v>2Q17</v>
      </c>
      <c r="BR21" s="543" t="str">
        <f t="shared" ca="1" si="57"/>
        <v>3Q17</v>
      </c>
      <c r="BS21" s="543" t="str">
        <f t="shared" ca="1" si="57"/>
        <v>4Q17</v>
      </c>
      <c r="BT21" s="543" t="str">
        <f t="shared" ca="1" si="57"/>
        <v>1Q18</v>
      </c>
      <c r="BU21" s="543" t="str">
        <f t="shared" ca="1" si="57"/>
        <v>2Q18</v>
      </c>
      <c r="BV21" s="543" t="str">
        <f t="shared" ca="1" si="57"/>
        <v>3Q18</v>
      </c>
      <c r="BW21" s="543" t="str">
        <f t="shared" ca="1" si="57"/>
        <v>4Q18</v>
      </c>
      <c r="BX21" s="543" t="str">
        <f t="shared" ca="1" si="57"/>
        <v>1Q19</v>
      </c>
      <c r="BY21" s="543" t="str">
        <f t="shared" ca="1" si="57"/>
        <v>2Q19</v>
      </c>
      <c r="BZ21" s="543" t="str">
        <f t="shared" ca="1" si="57"/>
        <v>3Q19</v>
      </c>
      <c r="CA21" s="543" t="str">
        <f t="shared" ca="1" si="57"/>
        <v>4Q19</v>
      </c>
      <c r="CB21" s="536"/>
      <c r="CC21" s="536"/>
      <c r="CD21" s="536"/>
    </row>
    <row r="22" spans="1:97" x14ac:dyDescent="0.2">
      <c r="A22" s="536">
        <f t="shared" si="24"/>
        <v>3</v>
      </c>
      <c r="B22" s="536">
        <f t="shared" si="0"/>
        <v>2003</v>
      </c>
      <c r="C22" s="539">
        <v>37864</v>
      </c>
      <c r="D22" s="536" t="str">
        <f t="shared" si="1"/>
        <v>3Q03</v>
      </c>
      <c r="E22" s="540">
        <v>5.3800012679999512</v>
      </c>
      <c r="F22" s="535"/>
      <c r="G22" s="544" t="s">
        <v>620</v>
      </c>
      <c r="H22" s="546">
        <f t="shared" ref="H22:AT22" ca="1" si="58">OFFSET($E$5,H20*3,0)</f>
        <v>6.3516658604437737</v>
      </c>
      <c r="I22" s="546">
        <f t="shared" ca="1" si="58"/>
        <v>5.841666224443907</v>
      </c>
      <c r="J22" s="546">
        <f t="shared" ca="1" si="58"/>
        <v>4.3966661724439975</v>
      </c>
      <c r="K22" s="546">
        <f t="shared" ca="1" si="58"/>
        <v>4.7183342582221304</v>
      </c>
      <c r="L22" s="546">
        <f t="shared" ca="1" si="58"/>
        <v>4.7533327675550634</v>
      </c>
      <c r="M22" s="546">
        <f t="shared" ca="1" si="58"/>
        <v>5.0150006706664856</v>
      </c>
      <c r="N22" s="546">
        <f t="shared" ca="1" si="58"/>
        <v>4.8750012999999965</v>
      </c>
      <c r="O22" s="546">
        <f t="shared" ca="1" si="58"/>
        <v>5.9899994306660851</v>
      </c>
      <c r="P22" s="546">
        <f t="shared" ca="1" si="58"/>
        <v>5.0483335128885747</v>
      </c>
      <c r="Q22" s="546">
        <f t="shared" ca="1" si="58"/>
        <v>5.4616662897772859</v>
      </c>
      <c r="R22" s="546">
        <f t="shared" ca="1" si="58"/>
        <v>5.5333343088887528</v>
      </c>
      <c r="S22" s="546">
        <f t="shared" ca="1" si="58"/>
        <v>6.6799996146660847</v>
      </c>
      <c r="T22" s="546">
        <f t="shared" ca="1" si="58"/>
        <v>6.9416675177775069</v>
      </c>
      <c r="U22" s="546">
        <f t="shared" ca="1" si="58"/>
        <v>7.1099998959994615</v>
      </c>
      <c r="V22" s="546">
        <f t="shared" ca="1" si="58"/>
        <v>7.7466680657775946</v>
      </c>
      <c r="W22" s="546">
        <f t="shared" ca="1" si="58"/>
        <v>8.4616670897772845</v>
      </c>
      <c r="X22" s="546">
        <f t="shared" ca="1" si="58"/>
        <v>9.9666673244439039</v>
      </c>
      <c r="Y22" s="546">
        <f t="shared" ca="1" si="58"/>
        <v>11.740000963999416</v>
      </c>
      <c r="Z22" s="546">
        <f t="shared" ca="1" si="58"/>
        <v>10.94332899999999</v>
      </c>
      <c r="AA22" s="546">
        <f t="shared" ca="1" si="58"/>
        <v>11.476664333333323</v>
      </c>
      <c r="AB22" s="546">
        <f t="shared" ca="1" si="58"/>
        <v>13.349995999999985</v>
      </c>
      <c r="AC22" s="546">
        <f t="shared" ca="1" si="58"/>
        <v>15.026662333333318</v>
      </c>
      <c r="AD22" s="546">
        <f t="shared" ca="1" si="58"/>
        <v>14.243331999999985</v>
      </c>
      <c r="AE22" s="546">
        <f t="shared" ca="1" si="58"/>
        <v>14.659998666666651</v>
      </c>
      <c r="AF22" s="546">
        <f t="shared" ca="1" si="58"/>
        <v>18.689997666666645</v>
      </c>
      <c r="AG22" s="546">
        <f t="shared" ca="1" si="58"/>
        <v>20.936665999999978</v>
      </c>
      <c r="AH22" s="546">
        <f t="shared" ca="1" si="58"/>
        <v>18.189997666666645</v>
      </c>
      <c r="AI22" s="546">
        <f t="shared" ca="1" si="58"/>
        <v>10.823328666666654</v>
      </c>
      <c r="AJ22" s="546">
        <f t="shared" ca="1" si="58"/>
        <v>8.616663666666657</v>
      </c>
      <c r="AK22" s="546">
        <f t="shared" ca="1" si="58"/>
        <v>11.543329999999987</v>
      </c>
      <c r="AL22" s="546">
        <f t="shared" ca="1" si="58"/>
        <v>13.953328666666652</v>
      </c>
      <c r="AM22" s="546">
        <f t="shared" ca="1" si="58"/>
        <v>16.163330333333317</v>
      </c>
      <c r="AN22" s="546">
        <f t="shared" ca="1" si="58"/>
        <v>16.966664666666649</v>
      </c>
      <c r="AO22" s="546">
        <f t="shared" ca="1" si="58"/>
        <v>16.543329999999983</v>
      </c>
      <c r="AP22" s="546">
        <f t="shared" ca="1" si="58"/>
        <v>18.439997666666645</v>
      </c>
      <c r="AQ22" s="546">
        <f t="shared" ca="1" si="58"/>
        <v>21.536661999999978</v>
      </c>
      <c r="AR22" s="546">
        <f t="shared" ca="1" si="58"/>
        <v>26.199996999999975</v>
      </c>
      <c r="AS22" s="546">
        <f t="shared" ca="1" si="58"/>
        <v>26.219985999999999</v>
      </c>
      <c r="AT22" s="546">
        <f t="shared" ca="1" si="58"/>
        <v>18.669999000000001</v>
      </c>
      <c r="AU22" s="634">
        <f ca="1">OFFSET($E$5,AU20*3+10*AU19,0)</f>
        <v>21.059998</v>
      </c>
      <c r="AV22" s="546">
        <f t="shared" ref="AV22:BG22" ca="1" si="59">OFFSET($E$5,AV20*3+10*AV19,0)</f>
        <v>21.51999</v>
      </c>
      <c r="AW22" s="546">
        <f t="shared" ca="1" si="59"/>
        <v>22.359985999999999</v>
      </c>
      <c r="AX22" s="546">
        <f t="shared" ca="1" si="59"/>
        <v>20.75</v>
      </c>
      <c r="AY22" s="546">
        <f t="shared" ca="1" si="59"/>
        <v>19.429993</v>
      </c>
      <c r="AZ22" s="546">
        <f t="shared" ca="1" si="59"/>
        <v>24.629989999999999</v>
      </c>
      <c r="BA22" s="546">
        <f t="shared" ca="1" si="59"/>
        <v>23.14</v>
      </c>
      <c r="BB22" s="546">
        <f t="shared" ca="1" si="59"/>
        <v>25.849990999999999</v>
      </c>
      <c r="BC22" s="546">
        <f t="shared" ca="1" si="59"/>
        <v>28.289994</v>
      </c>
      <c r="BD22" s="546">
        <f t="shared" ca="1" si="59"/>
        <v>28.579986999999999</v>
      </c>
      <c r="BE22" s="546">
        <f t="shared" ca="1" si="59"/>
        <v>30.76999</v>
      </c>
      <c r="BF22" s="546">
        <f t="shared" ca="1" si="59"/>
        <v>32.319992999999997</v>
      </c>
      <c r="BG22" s="546">
        <f t="shared" ca="1" si="59"/>
        <v>36.679993000000003</v>
      </c>
      <c r="BH22" s="546">
        <f t="shared" ref="BH22:BO22" ca="1" si="60">OFFSET($E$5,BH20*3+10*BH19,0)</f>
        <v>33.199997000000003</v>
      </c>
      <c r="BI22" s="546">
        <f t="shared" ca="1" si="60"/>
        <v>33.669998999999997</v>
      </c>
      <c r="BJ22" s="546">
        <f t="shared" ca="1" si="60"/>
        <v>26.520005000000001</v>
      </c>
      <c r="BK22" s="546">
        <f t="shared" ca="1" si="60"/>
        <v>26.130005000000001</v>
      </c>
      <c r="BL22" s="546">
        <f t="shared" ca="1" si="60"/>
        <v>26.169999000000001</v>
      </c>
      <c r="BM22" s="546">
        <f t="shared" ca="1" si="60"/>
        <v>25.699997</v>
      </c>
      <c r="BN22" s="546">
        <f t="shared" ca="1" si="60"/>
        <v>29.64</v>
      </c>
      <c r="BO22" s="546">
        <f t="shared" ca="1" si="60"/>
        <v>36.649994</v>
      </c>
      <c r="BP22" s="546">
        <f t="shared" ref="BP22:CA22" ca="1" si="61">OFFSET($E$5,BP20*3+10*BP19,0)</f>
        <v>46.32</v>
      </c>
      <c r="BQ22" s="546">
        <f t="shared" ca="1" si="61"/>
        <v>52.649994</v>
      </c>
      <c r="BR22" s="546">
        <f t="shared" ca="1" si="61"/>
        <v>53.100006999999998</v>
      </c>
      <c r="BS22" s="546">
        <f t="shared" ca="1" si="61"/>
        <v>55</v>
      </c>
      <c r="BT22" s="546">
        <f t="shared" ca="1" si="61"/>
        <v>54.270004999999998</v>
      </c>
      <c r="BU22" s="546">
        <f t="shared" ca="1" si="61"/>
        <v>56.41</v>
      </c>
      <c r="BV22" s="546">
        <f t="shared" ca="1" si="61"/>
        <v>56.41</v>
      </c>
      <c r="BW22" s="546">
        <f t="shared" ca="1" si="61"/>
        <v>56.41</v>
      </c>
      <c r="BX22" s="546">
        <f t="shared" ca="1" si="61"/>
        <v>56.41</v>
      </c>
      <c r="BY22" s="546">
        <f t="shared" ca="1" si="61"/>
        <v>56.41</v>
      </c>
      <c r="BZ22" s="546">
        <f t="shared" ca="1" si="61"/>
        <v>56.41</v>
      </c>
      <c r="CA22" s="546">
        <f t="shared" ca="1" si="61"/>
        <v>56.41</v>
      </c>
      <c r="CB22" s="536"/>
      <c r="CC22" s="536"/>
      <c r="CD22" s="536"/>
    </row>
    <row r="23" spans="1:97" x14ac:dyDescent="0.2">
      <c r="A23" s="536">
        <f t="shared" si="24"/>
        <v>3</v>
      </c>
      <c r="B23" s="536">
        <f t="shared" si="0"/>
        <v>2003</v>
      </c>
      <c r="C23" s="539">
        <v>37894</v>
      </c>
      <c r="D23" s="536" t="str">
        <f t="shared" si="1"/>
        <v>3Q03</v>
      </c>
      <c r="E23" s="540">
        <v>4.8750012999999965</v>
      </c>
      <c r="F23" s="535"/>
      <c r="G23" s="536"/>
      <c r="H23" s="536"/>
      <c r="I23" s="536"/>
      <c r="J23" s="536"/>
      <c r="K23" s="536"/>
      <c r="L23" s="536"/>
      <c r="M23" s="536"/>
      <c r="N23" s="536"/>
      <c r="O23" s="536"/>
      <c r="P23" s="536"/>
      <c r="Q23" s="536"/>
      <c r="R23" s="536"/>
      <c r="S23" s="536"/>
      <c r="T23" s="536"/>
      <c r="U23" s="536"/>
      <c r="V23" s="536"/>
      <c r="W23" s="536"/>
      <c r="X23" s="536"/>
      <c r="Y23" s="536"/>
      <c r="Z23" s="536"/>
      <c r="AA23" s="536"/>
      <c r="AB23" s="536"/>
      <c r="AC23" s="536"/>
      <c r="AD23" s="536"/>
      <c r="AE23" s="536"/>
      <c r="AF23" s="536"/>
      <c r="AG23" s="536"/>
      <c r="AH23" s="536"/>
      <c r="AI23" s="536"/>
      <c r="AJ23" s="536"/>
      <c r="AK23" s="536"/>
      <c r="AL23" s="536"/>
      <c r="AM23" s="536"/>
      <c r="AN23" s="536"/>
      <c r="AO23" s="536"/>
      <c r="AP23" s="536"/>
      <c r="AQ23" s="536"/>
      <c r="AR23" s="536"/>
      <c r="AS23" s="536"/>
      <c r="AT23" s="536"/>
      <c r="AU23" s="536"/>
      <c r="AV23" s="536"/>
      <c r="AW23" s="536"/>
      <c r="AX23" s="536"/>
      <c r="AY23" s="536"/>
      <c r="AZ23" s="536"/>
      <c r="BA23" s="536"/>
      <c r="BB23" s="536"/>
      <c r="BC23" s="536"/>
      <c r="BD23" s="536"/>
      <c r="BE23" s="536"/>
      <c r="BF23" s="536"/>
      <c r="BG23" s="536"/>
      <c r="BH23" s="536"/>
      <c r="BI23" s="536"/>
      <c r="BJ23" s="536"/>
      <c r="BK23" s="536"/>
      <c r="BL23" s="536"/>
      <c r="BM23" s="536"/>
      <c r="BN23" s="536"/>
      <c r="BO23" s="536"/>
      <c r="BP23" s="536"/>
      <c r="BQ23" s="536"/>
      <c r="BR23" s="536"/>
      <c r="BS23" s="536"/>
      <c r="BT23" s="536"/>
      <c r="BU23" s="536"/>
      <c r="BV23" s="536"/>
      <c r="BW23" s="536"/>
      <c r="BX23" s="536"/>
      <c r="BY23" s="536"/>
      <c r="BZ23" s="536"/>
      <c r="CA23" s="536"/>
      <c r="CB23" s="536"/>
      <c r="CC23" s="536"/>
      <c r="CD23" s="536"/>
    </row>
    <row r="24" spans="1:97" x14ac:dyDescent="0.2">
      <c r="A24" s="536">
        <f t="shared" si="24"/>
        <v>4</v>
      </c>
      <c r="B24" s="536">
        <f t="shared" si="0"/>
        <v>2003</v>
      </c>
      <c r="C24" s="539">
        <v>37925</v>
      </c>
      <c r="D24" s="536" t="str">
        <f t="shared" si="1"/>
        <v>4Q03</v>
      </c>
      <c r="E24" s="540">
        <v>5.3033334142218633</v>
      </c>
      <c r="F24" s="535"/>
      <c r="G24" s="541" t="s">
        <v>591</v>
      </c>
      <c r="H24" s="542"/>
      <c r="I24" s="542"/>
      <c r="J24" s="542"/>
      <c r="K24" s="542"/>
      <c r="L24" s="542"/>
      <c r="M24" s="542"/>
      <c r="N24" s="542"/>
      <c r="O24" s="542"/>
      <c r="P24" s="542"/>
      <c r="Q24" s="542">
        <v>1</v>
      </c>
      <c r="R24" s="542">
        <f t="shared" ref="R24:Z24" si="62">Q24+1</f>
        <v>2</v>
      </c>
      <c r="S24" s="542">
        <f t="shared" si="62"/>
        <v>3</v>
      </c>
      <c r="T24" s="542">
        <f t="shared" si="62"/>
        <v>4</v>
      </c>
      <c r="U24" s="542">
        <f t="shared" si="62"/>
        <v>5</v>
      </c>
      <c r="V24" s="542">
        <f t="shared" si="62"/>
        <v>6</v>
      </c>
      <c r="W24" s="542">
        <f t="shared" si="62"/>
        <v>7</v>
      </c>
      <c r="X24" s="542">
        <f t="shared" si="62"/>
        <v>8</v>
      </c>
      <c r="Y24" s="542">
        <f t="shared" si="62"/>
        <v>9</v>
      </c>
      <c r="Z24" s="542">
        <f t="shared" si="62"/>
        <v>10</v>
      </c>
      <c r="AA24" s="542"/>
      <c r="AB24" s="542"/>
      <c r="AC24" s="542"/>
      <c r="AD24" s="542"/>
      <c r="AE24" s="542"/>
      <c r="AF24" s="542"/>
      <c r="AG24" s="542"/>
      <c r="AH24" s="542"/>
      <c r="AI24" s="542"/>
      <c r="AJ24" s="542"/>
      <c r="AK24" s="542"/>
      <c r="AL24" s="542"/>
      <c r="AM24" s="542"/>
      <c r="AN24" s="542"/>
      <c r="AO24" s="542"/>
      <c r="AP24" s="542"/>
      <c r="AQ24" s="542"/>
      <c r="AR24" s="542"/>
      <c r="AS24" s="542"/>
      <c r="AT24" s="542"/>
      <c r="AU24" s="542"/>
      <c r="AV24" s="542"/>
      <c r="AW24" s="542"/>
      <c r="AX24" s="542"/>
      <c r="AY24" s="542"/>
      <c r="AZ24" s="542"/>
      <c r="BA24" s="542"/>
      <c r="BB24" s="542"/>
      <c r="BC24" s="542"/>
      <c r="BD24" s="542"/>
      <c r="BE24" s="542"/>
      <c r="BF24" s="542"/>
      <c r="BG24" s="542"/>
      <c r="BH24" s="542"/>
      <c r="BI24" s="542"/>
      <c r="BJ24" s="542"/>
      <c r="BK24" s="542"/>
      <c r="BL24" s="542"/>
      <c r="BM24" s="542"/>
      <c r="BN24" s="542"/>
      <c r="BO24" s="542"/>
      <c r="BP24" s="542"/>
      <c r="BQ24" s="542"/>
      <c r="BR24" s="542"/>
      <c r="BS24" s="542"/>
      <c r="BT24" s="542"/>
      <c r="BU24" s="542"/>
      <c r="BV24" s="542"/>
      <c r="BW24" s="542"/>
      <c r="BX24" s="542"/>
      <c r="BY24" s="542"/>
      <c r="BZ24" s="542"/>
      <c r="CA24" s="542"/>
      <c r="CB24" s="542"/>
      <c r="CC24" s="542"/>
      <c r="CD24" s="542"/>
    </row>
    <row r="25" spans="1:97" x14ac:dyDescent="0.2">
      <c r="A25" s="536">
        <f t="shared" si="24"/>
        <v>4</v>
      </c>
      <c r="B25" s="536">
        <f t="shared" si="0"/>
        <v>2003</v>
      </c>
      <c r="C25" s="539">
        <v>37955</v>
      </c>
      <c r="D25" s="536" t="str">
        <f t="shared" si="1"/>
        <v>4Q03</v>
      </c>
      <c r="E25" s="540">
        <v>5.6483346728888417</v>
      </c>
      <c r="F25" s="535"/>
      <c r="G25" s="543" t="s">
        <v>67</v>
      </c>
      <c r="H25" s="543">
        <v>0</v>
      </c>
      <c r="I25" s="543">
        <f t="shared" ref="I25:S25" si="63">H25+1</f>
        <v>1</v>
      </c>
      <c r="J25" s="543">
        <f t="shared" si="63"/>
        <v>2</v>
      </c>
      <c r="K25" s="543">
        <f t="shared" si="63"/>
        <v>3</v>
      </c>
      <c r="L25" s="543">
        <f t="shared" si="63"/>
        <v>4</v>
      </c>
      <c r="M25" s="543">
        <f t="shared" si="63"/>
        <v>5</v>
      </c>
      <c r="N25" s="543">
        <f t="shared" si="63"/>
        <v>6</v>
      </c>
      <c r="O25" s="543">
        <f t="shared" si="63"/>
        <v>7</v>
      </c>
      <c r="P25" s="543">
        <f t="shared" si="63"/>
        <v>8</v>
      </c>
      <c r="Q25" s="549">
        <f t="shared" si="63"/>
        <v>9</v>
      </c>
      <c r="R25" s="543">
        <f t="shared" si="63"/>
        <v>10</v>
      </c>
      <c r="S25" s="543">
        <f t="shared" si="63"/>
        <v>11</v>
      </c>
      <c r="T25" s="543">
        <f t="shared" ref="T25:Z26" si="64">S25+1</f>
        <v>12</v>
      </c>
      <c r="U25" s="543">
        <f t="shared" si="64"/>
        <v>13</v>
      </c>
      <c r="V25" s="543">
        <f t="shared" si="64"/>
        <v>14</v>
      </c>
      <c r="W25" s="543">
        <f t="shared" si="64"/>
        <v>15</v>
      </c>
      <c r="X25" s="543">
        <f t="shared" si="64"/>
        <v>16</v>
      </c>
      <c r="Y25" s="543">
        <f t="shared" si="64"/>
        <v>17</v>
      </c>
      <c r="Z25" s="543">
        <f t="shared" si="64"/>
        <v>18</v>
      </c>
      <c r="AA25" s="543"/>
      <c r="AB25" s="536"/>
      <c r="AC25" s="536"/>
      <c r="AD25" s="536"/>
      <c r="AE25" s="536"/>
      <c r="AF25" s="536"/>
      <c r="AG25" s="536"/>
      <c r="AH25" s="536"/>
      <c r="AI25" s="536"/>
      <c r="AJ25" s="536"/>
      <c r="AK25" s="536"/>
      <c r="AL25" s="536"/>
      <c r="AM25" s="536"/>
      <c r="AN25" s="536"/>
      <c r="AO25" s="536"/>
      <c r="AP25" s="536"/>
      <c r="AQ25" s="536"/>
      <c r="AR25" s="536"/>
      <c r="AS25" s="536"/>
      <c r="AT25" s="536"/>
      <c r="AU25" s="536"/>
      <c r="AV25" s="536"/>
      <c r="AW25" s="536"/>
      <c r="AX25" s="536"/>
      <c r="AY25" s="536"/>
      <c r="AZ25" s="536"/>
      <c r="BA25" s="536"/>
      <c r="BB25" s="536"/>
      <c r="BC25" s="536"/>
      <c r="BD25" s="536"/>
      <c r="BE25" s="536"/>
      <c r="BF25" s="536"/>
      <c r="BG25" s="536"/>
      <c r="BH25" s="536"/>
      <c r="BI25" s="536"/>
      <c r="BJ25" s="536"/>
      <c r="BK25" s="536"/>
      <c r="BL25" s="536"/>
      <c r="BM25" s="536"/>
      <c r="BN25" s="536"/>
      <c r="BO25" s="536"/>
      <c r="BP25" s="536"/>
      <c r="BQ25" s="536"/>
      <c r="BR25" s="536"/>
      <c r="BS25" s="536"/>
      <c r="BT25" s="536"/>
      <c r="BU25" s="536"/>
      <c r="BV25" s="536"/>
      <c r="BW25" s="536"/>
      <c r="BX25" s="536"/>
      <c r="BY25" s="536"/>
      <c r="BZ25" s="536"/>
      <c r="CA25" s="536"/>
      <c r="CB25" s="536"/>
      <c r="CC25" s="536"/>
      <c r="CD25" s="536"/>
    </row>
    <row r="26" spans="1:97" x14ac:dyDescent="0.2">
      <c r="A26" s="536">
        <f t="shared" si="24"/>
        <v>4</v>
      </c>
      <c r="B26" s="536">
        <f t="shared" si="0"/>
        <v>2003</v>
      </c>
      <c r="C26" s="539">
        <v>37986</v>
      </c>
      <c r="D26" s="536" t="str">
        <f t="shared" si="1"/>
        <v>4Q03</v>
      </c>
      <c r="E26" s="540">
        <v>5.9899994306660851</v>
      </c>
      <c r="F26" s="535"/>
      <c r="G26" s="548" t="s">
        <v>293</v>
      </c>
      <c r="H26" s="548">
        <f t="shared" ref="H26:Q26" ca="1" si="65">YEAR(OFFSET($C$3,H25*12,0))</f>
        <v>2002</v>
      </c>
      <c r="I26" s="548">
        <f t="shared" ca="1" si="65"/>
        <v>2003</v>
      </c>
      <c r="J26" s="548">
        <f t="shared" ca="1" si="65"/>
        <v>2004</v>
      </c>
      <c r="K26" s="548">
        <f t="shared" ca="1" si="65"/>
        <v>2005</v>
      </c>
      <c r="L26" s="548">
        <f t="shared" ca="1" si="65"/>
        <v>2006</v>
      </c>
      <c r="M26" s="548">
        <f t="shared" ca="1" si="65"/>
        <v>2007</v>
      </c>
      <c r="N26" s="548">
        <f t="shared" ca="1" si="65"/>
        <v>2008</v>
      </c>
      <c r="O26" s="548">
        <f t="shared" ca="1" si="65"/>
        <v>2009</v>
      </c>
      <c r="P26" s="548">
        <f t="shared" ca="1" si="65"/>
        <v>2010</v>
      </c>
      <c r="Q26" s="635">
        <f t="shared" ca="1" si="65"/>
        <v>2011</v>
      </c>
      <c r="R26" s="548">
        <f ca="1">Q26+1</f>
        <v>2012</v>
      </c>
      <c r="S26" s="548">
        <f ca="1">R26+1</f>
        <v>2013</v>
      </c>
      <c r="T26" s="548">
        <f t="shared" ca="1" si="64"/>
        <v>2014</v>
      </c>
      <c r="U26" s="548">
        <f t="shared" ca="1" si="64"/>
        <v>2015</v>
      </c>
      <c r="V26" s="548">
        <f t="shared" ca="1" si="64"/>
        <v>2016</v>
      </c>
      <c r="W26" s="548">
        <f t="shared" ca="1" si="64"/>
        <v>2017</v>
      </c>
      <c r="X26" s="548">
        <f t="shared" ca="1" si="64"/>
        <v>2018</v>
      </c>
      <c r="Y26" s="548">
        <f t="shared" ca="1" si="64"/>
        <v>2019</v>
      </c>
      <c r="Z26" s="548">
        <f t="shared" ca="1" si="64"/>
        <v>2020</v>
      </c>
      <c r="AA26" s="536"/>
      <c r="AB26" s="536"/>
      <c r="AC26" s="536"/>
      <c r="AD26" s="536"/>
      <c r="AE26" s="536"/>
      <c r="AF26" s="536"/>
      <c r="AG26" s="536"/>
      <c r="AH26" s="536"/>
      <c r="AI26" s="536"/>
      <c r="AJ26" s="536"/>
      <c r="AK26" s="536"/>
      <c r="AL26" s="536"/>
      <c r="AM26" s="536"/>
      <c r="AN26" s="536"/>
      <c r="AO26" s="536"/>
      <c r="AP26" s="536"/>
      <c r="AQ26" s="536"/>
      <c r="AR26" s="536"/>
      <c r="AS26" s="536"/>
      <c r="AT26" s="536"/>
      <c r="AU26" s="536"/>
      <c r="AV26" s="536"/>
      <c r="AW26" s="536"/>
      <c r="AX26" s="536"/>
      <c r="AY26" s="536"/>
      <c r="AZ26" s="536"/>
      <c r="BA26" s="536"/>
      <c r="BB26" s="536"/>
      <c r="BC26" s="536"/>
      <c r="BD26" s="536"/>
      <c r="BE26" s="536"/>
      <c r="BF26" s="536"/>
      <c r="BG26" s="536"/>
      <c r="BH26" s="536"/>
      <c r="BI26" s="536"/>
      <c r="BJ26" s="536"/>
      <c r="BK26" s="536"/>
      <c r="BL26" s="536"/>
      <c r="BM26" s="536"/>
      <c r="BN26" s="536"/>
      <c r="BO26" s="536"/>
      <c r="BP26" s="536"/>
      <c r="BQ26" s="536"/>
      <c r="BR26" s="536"/>
      <c r="BS26" s="536"/>
      <c r="BT26" s="536"/>
      <c r="BU26" s="536"/>
      <c r="BV26" s="536"/>
      <c r="BW26" s="536"/>
      <c r="BX26" s="536"/>
      <c r="BY26" s="536"/>
      <c r="BZ26" s="536"/>
      <c r="CA26" s="536"/>
      <c r="CB26" s="536"/>
      <c r="CC26" s="536"/>
      <c r="CD26" s="536"/>
    </row>
    <row r="27" spans="1:97" x14ac:dyDescent="0.2">
      <c r="A27" s="536">
        <f t="shared" si="24"/>
        <v>1</v>
      </c>
      <c r="B27" s="536">
        <f t="shared" si="0"/>
        <v>2004</v>
      </c>
      <c r="C27" s="539">
        <v>38017</v>
      </c>
      <c r="D27" s="536" t="str">
        <f t="shared" si="1"/>
        <v>1Q04</v>
      </c>
      <c r="E27" s="540">
        <v>5.2600010693332413</v>
      </c>
      <c r="F27" s="535"/>
      <c r="G27" s="544" t="str">
        <f>G22</f>
        <v>Avg CSX Stock Price</v>
      </c>
      <c r="H27" s="546">
        <f t="shared" ref="H27:P27" ca="1" si="66">OFFSET($E$14,H25*12,0)</f>
        <v>4.7183342582221304</v>
      </c>
      <c r="I27" s="546">
        <f t="shared" ca="1" si="66"/>
        <v>5.9899994306660851</v>
      </c>
      <c r="J27" s="546">
        <f t="shared" ca="1" si="66"/>
        <v>6.6799996146660847</v>
      </c>
      <c r="K27" s="546">
        <f t="shared" ca="1" si="66"/>
        <v>8.4616670897772845</v>
      </c>
      <c r="L27" s="546">
        <f t="shared" ca="1" si="66"/>
        <v>11.476664333333323</v>
      </c>
      <c r="M27" s="546">
        <f t="shared" ca="1" si="66"/>
        <v>14.659998666666651</v>
      </c>
      <c r="N27" s="546">
        <f t="shared" ca="1" si="66"/>
        <v>10.823328666666654</v>
      </c>
      <c r="O27" s="546">
        <f t="shared" ca="1" si="66"/>
        <v>16.163330333333317</v>
      </c>
      <c r="P27" s="546">
        <f t="shared" ca="1" si="66"/>
        <v>21.536661999999978</v>
      </c>
      <c r="Q27" s="634">
        <f t="shared" ref="Q27:Z27" ca="1" si="67">OFFSET($E$14,Q25*12+10*Q24,0)</f>
        <v>21.059998</v>
      </c>
      <c r="R27" s="546">
        <f t="shared" ca="1" si="67"/>
        <v>20.319993</v>
      </c>
      <c r="S27" s="546">
        <f t="shared" ca="1" si="67"/>
        <v>20.659988999999999</v>
      </c>
      <c r="T27" s="546">
        <f t="shared" ca="1" si="67"/>
        <v>23.839997</v>
      </c>
      <c r="U27" s="546">
        <f t="shared" ca="1" si="67"/>
        <v>25.449997</v>
      </c>
      <c r="V27" s="546">
        <f t="shared" ca="1" si="67"/>
        <v>27.25</v>
      </c>
      <c r="W27" s="546">
        <f t="shared" ca="1" si="67"/>
        <v>31</v>
      </c>
      <c r="X27" s="546">
        <f t="shared" ca="1" si="67"/>
        <v>34.839996999999997</v>
      </c>
      <c r="Y27" s="546">
        <f t="shared" ca="1" si="67"/>
        <v>35.5</v>
      </c>
      <c r="Z27" s="546">
        <f t="shared" ca="1" si="67"/>
        <v>27.429993</v>
      </c>
      <c r="AA27" s="536"/>
      <c r="AB27" s="536"/>
      <c r="AC27" s="536"/>
      <c r="AD27" s="536"/>
      <c r="AE27" s="536"/>
      <c r="AF27" s="536"/>
      <c r="AG27" s="536"/>
      <c r="AH27" s="536"/>
      <c r="AI27" s="536"/>
      <c r="AJ27" s="536"/>
      <c r="AK27" s="536"/>
      <c r="AL27" s="536"/>
      <c r="AM27" s="536"/>
      <c r="AN27" s="536"/>
      <c r="AO27" s="536"/>
      <c r="AP27" s="536"/>
      <c r="AQ27" s="536"/>
      <c r="AR27" s="536"/>
      <c r="AS27" s="536"/>
      <c r="AT27" s="536"/>
      <c r="AU27" s="536"/>
      <c r="AV27" s="536"/>
      <c r="AW27" s="536"/>
      <c r="AX27" s="536"/>
      <c r="AY27" s="536"/>
      <c r="AZ27" s="536"/>
      <c r="BA27" s="536"/>
      <c r="BB27" s="536"/>
      <c r="BC27" s="536"/>
      <c r="BD27" s="536"/>
      <c r="BE27" s="536"/>
      <c r="BF27" s="536"/>
      <c r="BG27" s="536"/>
      <c r="BH27" s="536"/>
      <c r="BI27" s="536"/>
      <c r="BJ27" s="536"/>
      <c r="BK27" s="536"/>
      <c r="BL27" s="536"/>
      <c r="BM27" s="536"/>
      <c r="BN27" s="536"/>
      <c r="BO27" s="536"/>
      <c r="BP27" s="536"/>
      <c r="BQ27" s="536"/>
      <c r="BR27" s="536"/>
      <c r="BS27" s="536"/>
      <c r="BT27" s="536"/>
      <c r="BU27" s="536"/>
      <c r="BV27" s="536"/>
      <c r="BW27" s="536"/>
      <c r="BX27" s="536"/>
      <c r="BY27" s="536"/>
      <c r="BZ27" s="536"/>
      <c r="CA27" s="536"/>
      <c r="CB27" s="536"/>
      <c r="CC27" s="536"/>
      <c r="CD27" s="536"/>
    </row>
    <row r="28" spans="1:97" x14ac:dyDescent="0.2">
      <c r="A28" s="536">
        <f t="shared" si="24"/>
        <v>1</v>
      </c>
      <c r="B28" s="536">
        <f t="shared" si="0"/>
        <v>2004</v>
      </c>
      <c r="C28" s="539">
        <v>38046</v>
      </c>
      <c r="D28" s="536" t="str">
        <f t="shared" si="1"/>
        <v>1Q04</v>
      </c>
      <c r="E28" s="540">
        <v>5.2550012346666186</v>
      </c>
      <c r="F28" s="535"/>
      <c r="G28" s="536"/>
      <c r="H28" s="536"/>
      <c r="I28" s="536"/>
      <c r="J28" s="536"/>
      <c r="K28" s="536"/>
      <c r="L28" s="536"/>
      <c r="M28" s="536"/>
      <c r="N28" s="536"/>
      <c r="O28" s="536"/>
      <c r="P28" s="536"/>
      <c r="Q28" s="536"/>
      <c r="R28" s="536"/>
      <c r="S28" s="536"/>
      <c r="T28" s="536"/>
      <c r="U28" s="536"/>
      <c r="V28" s="536"/>
      <c r="W28" s="536"/>
      <c r="X28" s="536"/>
      <c r="Y28" s="536"/>
      <c r="Z28" s="536"/>
      <c r="AA28" s="536"/>
      <c r="AB28" s="536"/>
      <c r="AC28" s="536"/>
      <c r="AD28" s="536"/>
      <c r="AE28" s="536"/>
      <c r="AF28" s="536"/>
      <c r="AG28" s="536"/>
      <c r="AH28" s="536"/>
      <c r="AI28" s="536"/>
      <c r="AJ28" s="536"/>
      <c r="AK28" s="536"/>
      <c r="AL28" s="536"/>
      <c r="AM28" s="536"/>
      <c r="AN28" s="536"/>
      <c r="AO28" s="536"/>
      <c r="AP28" s="536"/>
      <c r="AQ28" s="536"/>
      <c r="AR28" s="536"/>
      <c r="AS28" s="536"/>
      <c r="AT28" s="536"/>
      <c r="AU28" s="536"/>
      <c r="AV28" s="536"/>
      <c r="AW28" s="536"/>
      <c r="AX28" s="536"/>
      <c r="AY28" s="536"/>
      <c r="AZ28" s="536"/>
      <c r="BA28" s="536"/>
      <c r="BB28" s="536"/>
      <c r="BC28" s="536"/>
      <c r="BD28" s="536"/>
      <c r="BE28" s="536"/>
      <c r="BF28" s="536"/>
      <c r="BG28" s="536"/>
      <c r="BH28" s="536"/>
      <c r="BI28" s="536"/>
      <c r="BJ28" s="536"/>
      <c r="BK28" s="536"/>
      <c r="BL28" s="536"/>
      <c r="BM28" s="536"/>
      <c r="BN28" s="536"/>
      <c r="BO28" s="536"/>
      <c r="BP28" s="536"/>
      <c r="BQ28" s="536"/>
      <c r="BR28" s="536"/>
      <c r="BS28" s="536"/>
      <c r="BT28" s="536"/>
      <c r="BU28" s="536"/>
      <c r="BV28" s="536"/>
      <c r="BW28" s="536"/>
      <c r="BX28" s="536"/>
      <c r="BY28" s="536"/>
      <c r="BZ28" s="536"/>
      <c r="CA28" s="536"/>
      <c r="CB28" s="536"/>
      <c r="CC28" s="536"/>
      <c r="CD28" s="536"/>
    </row>
    <row r="29" spans="1:97" x14ac:dyDescent="0.2">
      <c r="A29" s="536">
        <f t="shared" si="24"/>
        <v>1</v>
      </c>
      <c r="B29" s="536">
        <f t="shared" si="0"/>
        <v>2004</v>
      </c>
      <c r="C29" s="539">
        <v>38077</v>
      </c>
      <c r="D29" s="536" t="str">
        <f t="shared" si="1"/>
        <v>1Q04</v>
      </c>
      <c r="E29" s="540">
        <v>5.0483335128885747</v>
      </c>
      <c r="F29" s="535"/>
      <c r="G29" s="541" t="s">
        <v>235</v>
      </c>
      <c r="H29" s="542"/>
      <c r="I29" s="542"/>
      <c r="J29" s="542"/>
      <c r="K29" s="542"/>
      <c r="L29" s="542"/>
      <c r="M29" s="542"/>
      <c r="N29" s="542"/>
      <c r="O29" s="542"/>
      <c r="P29" s="542"/>
      <c r="Q29" s="542"/>
      <c r="R29" s="542"/>
      <c r="S29" s="542"/>
      <c r="T29" s="542"/>
      <c r="U29" s="542"/>
      <c r="V29" s="542"/>
      <c r="W29" s="542"/>
      <c r="X29" s="542"/>
      <c r="Y29" s="542"/>
      <c r="Z29" s="542"/>
      <c r="AA29" s="542"/>
      <c r="AB29" s="542"/>
      <c r="AC29" s="542"/>
      <c r="AD29" s="542"/>
      <c r="AE29" s="542"/>
      <c r="AF29" s="542"/>
      <c r="AG29" s="542"/>
      <c r="AH29" s="542"/>
      <c r="AI29" s="542"/>
      <c r="AJ29" s="542"/>
      <c r="AK29" s="542"/>
      <c r="AL29" s="542"/>
      <c r="AM29" s="542"/>
      <c r="AN29" s="542"/>
      <c r="AO29" s="542"/>
      <c r="AP29" s="542"/>
      <c r="AQ29" s="542"/>
      <c r="AR29" s="542"/>
      <c r="AS29" s="542"/>
      <c r="AT29" s="542"/>
      <c r="AU29" s="542"/>
      <c r="AV29" s="542"/>
      <c r="AW29" s="542"/>
      <c r="AX29" s="542"/>
      <c r="AY29" s="542"/>
      <c r="AZ29" s="542"/>
      <c r="BA29" s="542"/>
      <c r="BB29" s="542"/>
      <c r="BC29" s="542"/>
      <c r="BD29" s="542"/>
      <c r="BE29" s="542"/>
      <c r="BF29" s="542"/>
      <c r="BG29" s="542"/>
      <c r="BH29" s="542"/>
      <c r="BI29" s="542"/>
      <c r="BJ29" s="542"/>
      <c r="BK29" s="542"/>
      <c r="BL29" s="542"/>
      <c r="BM29" s="542"/>
      <c r="BN29" s="542"/>
      <c r="BO29" s="542"/>
      <c r="BP29" s="542"/>
      <c r="BQ29" s="542"/>
      <c r="BR29" s="542"/>
      <c r="BS29" s="542"/>
      <c r="BT29" s="542"/>
      <c r="BU29" s="542"/>
      <c r="BV29" s="542"/>
      <c r="BW29" s="542"/>
      <c r="BX29" s="542"/>
      <c r="BY29" s="542"/>
      <c r="BZ29" s="542"/>
      <c r="CA29" s="542"/>
      <c r="CB29" s="542"/>
      <c r="CC29" s="542"/>
      <c r="CD29" s="542"/>
      <c r="CE29" s="542"/>
      <c r="CF29" s="542"/>
      <c r="CG29" s="542"/>
      <c r="CH29" s="542"/>
      <c r="CI29" s="542"/>
      <c r="CJ29" s="542"/>
      <c r="CK29" s="542"/>
      <c r="CL29" s="542"/>
      <c r="CM29" s="542"/>
      <c r="CN29" s="542"/>
      <c r="CO29" s="542"/>
      <c r="CP29" s="542"/>
      <c r="CQ29" s="542"/>
      <c r="CR29" s="542"/>
      <c r="CS29" s="542"/>
    </row>
    <row r="30" spans="1:97" x14ac:dyDescent="0.2">
      <c r="A30" s="536">
        <f t="shared" si="24"/>
        <v>2</v>
      </c>
      <c r="B30" s="536">
        <f t="shared" si="0"/>
        <v>2004</v>
      </c>
      <c r="C30" s="539">
        <v>38107</v>
      </c>
      <c r="D30" s="536" t="str">
        <f t="shared" si="1"/>
        <v>2Q04</v>
      </c>
      <c r="E30" s="540">
        <v>5.1266672004442189</v>
      </c>
      <c r="F30" s="535"/>
      <c r="G30" s="543" t="s">
        <v>67</v>
      </c>
      <c r="H30" s="543">
        <v>0</v>
      </c>
      <c r="I30" s="543">
        <f t="shared" ref="I30:AN30" si="68">H30+1</f>
        <v>1</v>
      </c>
      <c r="J30" s="543">
        <f t="shared" si="68"/>
        <v>2</v>
      </c>
      <c r="K30" s="543">
        <f t="shared" si="68"/>
        <v>3</v>
      </c>
      <c r="L30" s="543">
        <f t="shared" si="68"/>
        <v>4</v>
      </c>
      <c r="M30" s="543">
        <f t="shared" si="68"/>
        <v>5</v>
      </c>
      <c r="N30" s="543">
        <f t="shared" si="68"/>
        <v>6</v>
      </c>
      <c r="O30" s="543">
        <f t="shared" si="68"/>
        <v>7</v>
      </c>
      <c r="P30" s="543">
        <f t="shared" si="68"/>
        <v>8</v>
      </c>
      <c r="Q30" s="543">
        <f t="shared" si="68"/>
        <v>9</v>
      </c>
      <c r="R30" s="543">
        <f t="shared" si="68"/>
        <v>10</v>
      </c>
      <c r="S30" s="543">
        <f t="shared" si="68"/>
        <v>11</v>
      </c>
      <c r="T30" s="543">
        <f t="shared" si="68"/>
        <v>12</v>
      </c>
      <c r="U30" s="543">
        <f t="shared" si="68"/>
        <v>13</v>
      </c>
      <c r="V30" s="543">
        <f t="shared" si="68"/>
        <v>14</v>
      </c>
      <c r="W30" s="543">
        <f t="shared" si="68"/>
        <v>15</v>
      </c>
      <c r="X30" s="543">
        <f t="shared" si="68"/>
        <v>16</v>
      </c>
      <c r="Y30" s="543">
        <f t="shared" si="68"/>
        <v>17</v>
      </c>
      <c r="Z30" s="543">
        <f t="shared" si="68"/>
        <v>18</v>
      </c>
      <c r="AA30" s="543">
        <f t="shared" si="68"/>
        <v>19</v>
      </c>
      <c r="AB30" s="543">
        <f t="shared" si="68"/>
        <v>20</v>
      </c>
      <c r="AC30" s="543">
        <f t="shared" si="68"/>
        <v>21</v>
      </c>
      <c r="AD30" s="543">
        <f t="shared" si="68"/>
        <v>22</v>
      </c>
      <c r="AE30" s="543">
        <f t="shared" si="68"/>
        <v>23</v>
      </c>
      <c r="AF30" s="543">
        <f t="shared" si="68"/>
        <v>24</v>
      </c>
      <c r="AG30" s="543">
        <f t="shared" si="68"/>
        <v>25</v>
      </c>
      <c r="AH30" s="543">
        <f t="shared" si="68"/>
        <v>26</v>
      </c>
      <c r="AI30" s="543">
        <f t="shared" si="68"/>
        <v>27</v>
      </c>
      <c r="AJ30" s="543">
        <f t="shared" si="68"/>
        <v>28</v>
      </c>
      <c r="AK30" s="543">
        <f t="shared" si="68"/>
        <v>29</v>
      </c>
      <c r="AL30" s="543">
        <f t="shared" si="68"/>
        <v>30</v>
      </c>
      <c r="AM30" s="543">
        <f t="shared" si="68"/>
        <v>31</v>
      </c>
      <c r="AN30" s="543">
        <f t="shared" si="68"/>
        <v>32</v>
      </c>
      <c r="AO30" s="543">
        <f t="shared" ref="AO30:BO30" si="69">AN30+1</f>
        <v>33</v>
      </c>
      <c r="AP30" s="543">
        <f t="shared" si="69"/>
        <v>34</v>
      </c>
      <c r="AQ30" s="543">
        <f t="shared" si="69"/>
        <v>35</v>
      </c>
      <c r="AR30" s="543">
        <f t="shared" si="69"/>
        <v>36</v>
      </c>
      <c r="AS30" s="543">
        <f t="shared" si="69"/>
        <v>37</v>
      </c>
      <c r="AT30" s="543">
        <f t="shared" si="69"/>
        <v>38</v>
      </c>
      <c r="AU30" s="543">
        <f t="shared" si="69"/>
        <v>39</v>
      </c>
      <c r="AV30" s="543">
        <f t="shared" si="69"/>
        <v>40</v>
      </c>
      <c r="AW30" s="543">
        <f t="shared" si="69"/>
        <v>41</v>
      </c>
      <c r="AX30" s="543">
        <f t="shared" si="69"/>
        <v>42</v>
      </c>
      <c r="AY30" s="543">
        <f t="shared" si="69"/>
        <v>43</v>
      </c>
      <c r="AZ30" s="543">
        <f t="shared" si="69"/>
        <v>44</v>
      </c>
      <c r="BA30" s="543">
        <f t="shared" si="69"/>
        <v>45</v>
      </c>
      <c r="BB30" s="543">
        <f t="shared" si="69"/>
        <v>46</v>
      </c>
      <c r="BC30" s="543">
        <f t="shared" si="69"/>
        <v>47</v>
      </c>
      <c r="BD30" s="543">
        <f t="shared" si="69"/>
        <v>48</v>
      </c>
      <c r="BE30" s="543">
        <f t="shared" si="69"/>
        <v>49</v>
      </c>
      <c r="BF30" s="543">
        <f t="shared" si="69"/>
        <v>50</v>
      </c>
      <c r="BG30" s="543">
        <f t="shared" si="69"/>
        <v>51</v>
      </c>
      <c r="BH30" s="543">
        <f t="shared" si="69"/>
        <v>52</v>
      </c>
      <c r="BI30" s="543">
        <f t="shared" si="69"/>
        <v>53</v>
      </c>
      <c r="BJ30" s="543">
        <f t="shared" si="69"/>
        <v>54</v>
      </c>
      <c r="BK30" s="543">
        <f t="shared" si="69"/>
        <v>55</v>
      </c>
      <c r="BL30" s="543">
        <f t="shared" si="69"/>
        <v>56</v>
      </c>
      <c r="BM30" s="543">
        <f t="shared" si="69"/>
        <v>57</v>
      </c>
      <c r="BN30" s="543">
        <f t="shared" si="69"/>
        <v>58</v>
      </c>
      <c r="BO30" s="543">
        <f t="shared" si="69"/>
        <v>59</v>
      </c>
      <c r="BP30" s="543">
        <f t="shared" ref="BP30:BY30" si="70">BO30+1</f>
        <v>60</v>
      </c>
      <c r="BQ30" s="543">
        <f t="shared" si="70"/>
        <v>61</v>
      </c>
      <c r="BR30" s="543">
        <f t="shared" si="70"/>
        <v>62</v>
      </c>
      <c r="BS30" s="543">
        <f t="shared" si="70"/>
        <v>63</v>
      </c>
      <c r="BT30" s="543">
        <f t="shared" si="70"/>
        <v>64</v>
      </c>
      <c r="BU30" s="543">
        <f t="shared" si="70"/>
        <v>65</v>
      </c>
      <c r="BV30" s="543">
        <f t="shared" si="70"/>
        <v>66</v>
      </c>
      <c r="BW30" s="543">
        <f t="shared" si="70"/>
        <v>67</v>
      </c>
      <c r="BX30" s="543">
        <f t="shared" si="70"/>
        <v>68</v>
      </c>
      <c r="BY30" s="543">
        <f t="shared" si="70"/>
        <v>69</v>
      </c>
      <c r="BZ30" s="543">
        <f t="shared" ref="BZ30:CS30" si="71">BY30+1</f>
        <v>70</v>
      </c>
      <c r="CA30" s="543">
        <f t="shared" si="71"/>
        <v>71</v>
      </c>
      <c r="CB30" s="543">
        <f t="shared" si="71"/>
        <v>72</v>
      </c>
      <c r="CC30" s="543">
        <f t="shared" si="71"/>
        <v>73</v>
      </c>
      <c r="CD30" s="543">
        <f t="shared" si="71"/>
        <v>74</v>
      </c>
      <c r="CE30" s="543">
        <f t="shared" si="71"/>
        <v>75</v>
      </c>
      <c r="CF30" s="543">
        <f t="shared" si="71"/>
        <v>76</v>
      </c>
      <c r="CG30" s="543">
        <f t="shared" si="71"/>
        <v>77</v>
      </c>
      <c r="CH30" s="543">
        <f t="shared" si="71"/>
        <v>78</v>
      </c>
      <c r="CI30" s="543">
        <f t="shared" si="71"/>
        <v>79</v>
      </c>
      <c r="CJ30" s="543">
        <f t="shared" si="71"/>
        <v>80</v>
      </c>
      <c r="CK30" s="543">
        <f t="shared" si="71"/>
        <v>81</v>
      </c>
      <c r="CL30" s="543">
        <f t="shared" si="71"/>
        <v>82</v>
      </c>
      <c r="CM30" s="543">
        <f t="shared" si="71"/>
        <v>83</v>
      </c>
      <c r="CN30" s="543">
        <f t="shared" si="71"/>
        <v>84</v>
      </c>
      <c r="CO30" s="543">
        <f t="shared" si="71"/>
        <v>85</v>
      </c>
      <c r="CP30" s="543">
        <f t="shared" si="71"/>
        <v>86</v>
      </c>
      <c r="CQ30" s="543">
        <f t="shared" si="71"/>
        <v>87</v>
      </c>
      <c r="CR30" s="543">
        <f t="shared" si="71"/>
        <v>88</v>
      </c>
      <c r="CS30" s="543">
        <f t="shared" si="71"/>
        <v>89</v>
      </c>
    </row>
    <row r="31" spans="1:97" x14ac:dyDescent="0.2">
      <c r="A31" s="536">
        <f t="shared" si="24"/>
        <v>2</v>
      </c>
      <c r="B31" s="536">
        <f t="shared" si="0"/>
        <v>2004</v>
      </c>
      <c r="C31" s="539">
        <v>38138</v>
      </c>
      <c r="D31" s="536" t="str">
        <f t="shared" si="1"/>
        <v>2Q04</v>
      </c>
      <c r="E31" s="540">
        <v>5.2666665711107079</v>
      </c>
      <c r="F31" s="535"/>
      <c r="G31" s="543" t="s">
        <v>22</v>
      </c>
      <c r="H31" s="549" t="str">
        <f t="shared" ref="H31:AM31" ca="1" si="72">IF(MOD(H$30+1,5)=0,OFFSET($H26,0,TRUNC(H$30/5,0)),OFFSET($H21,0,H$30-TRUNC(H$30/5,0)))</f>
        <v>1Q02</v>
      </c>
      <c r="I31" s="549" t="str">
        <f t="shared" ca="1" si="72"/>
        <v>2Q02</v>
      </c>
      <c r="J31" s="549" t="str">
        <f t="shared" ca="1" si="72"/>
        <v>3Q02</v>
      </c>
      <c r="K31" s="549" t="str">
        <f t="shared" ca="1" si="72"/>
        <v>4Q02</v>
      </c>
      <c r="L31" s="549">
        <f t="shared" ca="1" si="72"/>
        <v>2002</v>
      </c>
      <c r="M31" s="549" t="str">
        <f t="shared" ca="1" si="72"/>
        <v>1Q03</v>
      </c>
      <c r="N31" s="549" t="str">
        <f t="shared" ca="1" si="72"/>
        <v>2Q03</v>
      </c>
      <c r="O31" s="549" t="str">
        <f t="shared" ca="1" si="72"/>
        <v>3Q03</v>
      </c>
      <c r="P31" s="549" t="str">
        <f t="shared" ca="1" si="72"/>
        <v>4Q03</v>
      </c>
      <c r="Q31" s="549">
        <f t="shared" ca="1" si="72"/>
        <v>2003</v>
      </c>
      <c r="R31" s="549" t="str">
        <f t="shared" ca="1" si="72"/>
        <v>1Q04</v>
      </c>
      <c r="S31" s="549" t="str">
        <f t="shared" ca="1" si="72"/>
        <v>2Q04</v>
      </c>
      <c r="T31" s="549" t="str">
        <f t="shared" ca="1" si="72"/>
        <v>3Q04</v>
      </c>
      <c r="U31" s="549" t="str">
        <f t="shared" ca="1" si="72"/>
        <v>4Q04</v>
      </c>
      <c r="V31" s="549">
        <f t="shared" ca="1" si="72"/>
        <v>2004</v>
      </c>
      <c r="W31" s="549" t="str">
        <f t="shared" ca="1" si="72"/>
        <v>1Q05</v>
      </c>
      <c r="X31" s="549" t="str">
        <f t="shared" ca="1" si="72"/>
        <v>2Q05</v>
      </c>
      <c r="Y31" s="549" t="str">
        <f t="shared" ca="1" si="72"/>
        <v>3Q05</v>
      </c>
      <c r="Z31" s="549" t="str">
        <f t="shared" ca="1" si="72"/>
        <v>4Q05</v>
      </c>
      <c r="AA31" s="549">
        <f t="shared" ca="1" si="72"/>
        <v>2005</v>
      </c>
      <c r="AB31" s="549" t="str">
        <f t="shared" ca="1" si="72"/>
        <v>1Q06</v>
      </c>
      <c r="AC31" s="549" t="str">
        <f t="shared" ca="1" si="72"/>
        <v>2Q06</v>
      </c>
      <c r="AD31" s="549" t="str">
        <f t="shared" ca="1" si="72"/>
        <v>3Q06</v>
      </c>
      <c r="AE31" s="549" t="str">
        <f t="shared" ca="1" si="72"/>
        <v>4Q06</v>
      </c>
      <c r="AF31" s="549">
        <f t="shared" ca="1" si="72"/>
        <v>2006</v>
      </c>
      <c r="AG31" s="549" t="str">
        <f t="shared" ca="1" si="72"/>
        <v>1Q07</v>
      </c>
      <c r="AH31" s="549" t="str">
        <f t="shared" ca="1" si="72"/>
        <v>2Q07</v>
      </c>
      <c r="AI31" s="549" t="str">
        <f t="shared" ca="1" si="72"/>
        <v>3Q07</v>
      </c>
      <c r="AJ31" s="549" t="str">
        <f t="shared" ca="1" si="72"/>
        <v>4Q07</v>
      </c>
      <c r="AK31" s="549">
        <f t="shared" ca="1" si="72"/>
        <v>2007</v>
      </c>
      <c r="AL31" s="549" t="str">
        <f t="shared" ca="1" si="72"/>
        <v>1Q08</v>
      </c>
      <c r="AM31" s="549" t="str">
        <f t="shared" ca="1" si="72"/>
        <v>2Q08</v>
      </c>
      <c r="AN31" s="549" t="str">
        <f t="shared" ref="AN31:BO31" ca="1" si="73">IF(MOD(AN$30+1,5)=0,OFFSET($H26,0,TRUNC(AN$30/5,0)),OFFSET($H21,0,AN$30-TRUNC(AN$30/5,0)))</f>
        <v>3Q08</v>
      </c>
      <c r="AO31" s="549" t="str">
        <f t="shared" ca="1" si="73"/>
        <v>4Q08</v>
      </c>
      <c r="AP31" s="549">
        <f t="shared" ca="1" si="73"/>
        <v>2008</v>
      </c>
      <c r="AQ31" s="549" t="str">
        <f t="shared" ca="1" si="73"/>
        <v>1Q09</v>
      </c>
      <c r="AR31" s="549" t="str">
        <f t="shared" ca="1" si="73"/>
        <v>2Q09</v>
      </c>
      <c r="AS31" s="549" t="str">
        <f t="shared" ca="1" si="73"/>
        <v>3Q09</v>
      </c>
      <c r="AT31" s="549" t="str">
        <f t="shared" ca="1" si="73"/>
        <v>4Q09</v>
      </c>
      <c r="AU31" s="549">
        <f t="shared" ca="1" si="73"/>
        <v>2009</v>
      </c>
      <c r="AV31" s="549" t="str">
        <f t="shared" ca="1" si="73"/>
        <v>1Q10</v>
      </c>
      <c r="AW31" s="549" t="str">
        <f t="shared" ca="1" si="73"/>
        <v>2Q10</v>
      </c>
      <c r="AX31" s="549" t="str">
        <f t="shared" ca="1" si="73"/>
        <v>3Q10</v>
      </c>
      <c r="AY31" s="549" t="str">
        <f t="shared" ca="1" si="73"/>
        <v>4Q10</v>
      </c>
      <c r="AZ31" s="549">
        <f t="shared" ca="1" si="73"/>
        <v>2010</v>
      </c>
      <c r="BA31" s="549" t="str">
        <f t="shared" ca="1" si="73"/>
        <v>1Q11</v>
      </c>
      <c r="BB31" s="549" t="str">
        <f t="shared" ca="1" si="73"/>
        <v>2Q11</v>
      </c>
      <c r="BC31" s="549" t="str">
        <f t="shared" ca="1" si="73"/>
        <v>3Q11</v>
      </c>
      <c r="BD31" s="549" t="str">
        <f t="shared" ca="1" si="73"/>
        <v>4Q11</v>
      </c>
      <c r="BE31" s="549">
        <f t="shared" ca="1" si="73"/>
        <v>2011</v>
      </c>
      <c r="BF31" s="549" t="str">
        <f t="shared" ca="1" si="73"/>
        <v>1Q12</v>
      </c>
      <c r="BG31" s="549" t="str">
        <f t="shared" ca="1" si="73"/>
        <v>2Q12</v>
      </c>
      <c r="BH31" s="549" t="str">
        <f t="shared" ca="1" si="73"/>
        <v>3Q12</v>
      </c>
      <c r="BI31" s="549" t="str">
        <f t="shared" ca="1" si="73"/>
        <v>4Q12</v>
      </c>
      <c r="BJ31" s="549">
        <f t="shared" ca="1" si="73"/>
        <v>2012</v>
      </c>
      <c r="BK31" s="549" t="str">
        <f t="shared" ca="1" si="73"/>
        <v>1Q13</v>
      </c>
      <c r="BL31" s="549" t="str">
        <f t="shared" ca="1" si="73"/>
        <v>2Q13</v>
      </c>
      <c r="BM31" s="549" t="str">
        <f t="shared" ca="1" si="73"/>
        <v>3Q13</v>
      </c>
      <c r="BN31" s="549" t="str">
        <f t="shared" ca="1" si="73"/>
        <v>4Q13</v>
      </c>
      <c r="BO31" s="549">
        <f t="shared" ca="1" si="73"/>
        <v>2013</v>
      </c>
      <c r="BP31" s="549" t="str">
        <f t="shared" ref="BP31:BT32" ca="1" si="74">IF(MOD(BP$30+1,5)=0,OFFSET($H26,0,TRUNC(BP$30/5,0)),OFFSET($H21,0,BP$30-TRUNC(BP$30/5,0)))</f>
        <v>1Q14</v>
      </c>
      <c r="BQ31" s="549" t="str">
        <f t="shared" ca="1" si="74"/>
        <v>2Q14</v>
      </c>
      <c r="BR31" s="549" t="str">
        <f t="shared" ca="1" si="74"/>
        <v>3Q14</v>
      </c>
      <c r="BS31" s="549" t="str">
        <f t="shared" ca="1" si="74"/>
        <v>4Q14</v>
      </c>
      <c r="BT31" s="549">
        <f t="shared" ca="1" si="74"/>
        <v>2014</v>
      </c>
      <c r="BU31" s="549" t="str">
        <f t="shared" ref="BU31:BY32" ca="1" si="75">IF(MOD(BU$30+1,5)=0,OFFSET($H26,0,TRUNC(BU$30/5,0)),OFFSET($H21,0,BU$30-TRUNC(BU$30/5,0)))</f>
        <v>1Q15</v>
      </c>
      <c r="BV31" s="549" t="str">
        <f t="shared" ca="1" si="75"/>
        <v>2Q15</v>
      </c>
      <c r="BW31" s="549" t="str">
        <f t="shared" ca="1" si="75"/>
        <v>3Q15</v>
      </c>
      <c r="BX31" s="549" t="str">
        <f t="shared" ca="1" si="75"/>
        <v>4Q15</v>
      </c>
      <c r="BY31" s="549">
        <f t="shared" ca="1" si="75"/>
        <v>2015</v>
      </c>
      <c r="BZ31" s="549" t="str">
        <f t="shared" ref="BZ31:CD32" ca="1" si="76">IF(MOD(BZ$30+1,5)=0,OFFSET($H26,0,TRUNC(BZ$30/5,0)),OFFSET($H21,0,BZ$30-TRUNC(BZ$30/5,0)))</f>
        <v>1Q16</v>
      </c>
      <c r="CA31" s="549" t="str">
        <f t="shared" ca="1" si="76"/>
        <v>2Q16</v>
      </c>
      <c r="CB31" s="549" t="str">
        <f t="shared" ca="1" si="76"/>
        <v>3Q16</v>
      </c>
      <c r="CC31" s="549" t="str">
        <f t="shared" ca="1" si="76"/>
        <v>4Q16</v>
      </c>
      <c r="CD31" s="549">
        <f t="shared" ca="1" si="76"/>
        <v>2016</v>
      </c>
      <c r="CE31" s="549" t="str">
        <f t="shared" ref="CE31:CS31" ca="1" si="77">IF(MOD(CE$30+1,5)=0,OFFSET($H26,0,TRUNC(CE$30/5,0)),OFFSET($H21,0,CE$30-TRUNC(CE$30/5,0)))</f>
        <v>1Q17</v>
      </c>
      <c r="CF31" s="549" t="str">
        <f t="shared" ca="1" si="77"/>
        <v>2Q17</v>
      </c>
      <c r="CG31" s="549" t="str">
        <f t="shared" ca="1" si="77"/>
        <v>3Q17</v>
      </c>
      <c r="CH31" s="549" t="str">
        <f t="shared" ca="1" si="77"/>
        <v>4Q17</v>
      </c>
      <c r="CI31" s="549">
        <f t="shared" ca="1" si="77"/>
        <v>2017</v>
      </c>
      <c r="CJ31" s="549" t="str">
        <f t="shared" ca="1" si="77"/>
        <v>1Q18</v>
      </c>
      <c r="CK31" s="549" t="str">
        <f t="shared" ca="1" si="77"/>
        <v>2Q18</v>
      </c>
      <c r="CL31" s="549" t="str">
        <f t="shared" ca="1" si="77"/>
        <v>3Q18</v>
      </c>
      <c r="CM31" s="549" t="str">
        <f t="shared" ca="1" si="77"/>
        <v>4Q18</v>
      </c>
      <c r="CN31" s="549">
        <f t="shared" ca="1" si="77"/>
        <v>2018</v>
      </c>
      <c r="CO31" s="549" t="str">
        <f t="shared" ca="1" si="77"/>
        <v>1Q19</v>
      </c>
      <c r="CP31" s="549" t="str">
        <f t="shared" ca="1" si="77"/>
        <v>2Q19</v>
      </c>
      <c r="CQ31" s="549" t="str">
        <f t="shared" ca="1" si="77"/>
        <v>3Q19</v>
      </c>
      <c r="CR31" s="549" t="str">
        <f t="shared" ca="1" si="77"/>
        <v>4Q19</v>
      </c>
      <c r="CS31" s="549">
        <f t="shared" ca="1" si="77"/>
        <v>2019</v>
      </c>
    </row>
    <row r="32" spans="1:97" x14ac:dyDescent="0.2">
      <c r="A32" s="536">
        <f t="shared" si="24"/>
        <v>2</v>
      </c>
      <c r="B32" s="536">
        <f t="shared" si="0"/>
        <v>2004</v>
      </c>
      <c r="C32" s="539">
        <v>38168</v>
      </c>
      <c r="D32" s="536" t="str">
        <f t="shared" si="1"/>
        <v>2Q04</v>
      </c>
      <c r="E32" s="540">
        <v>5.4616662897772859</v>
      </c>
      <c r="F32" s="535"/>
      <c r="G32" s="536" t="str">
        <f>G27</f>
        <v>Avg CSX Stock Price</v>
      </c>
      <c r="H32" s="546">
        <f t="shared" ref="H32:AM32" ca="1" si="78">IF(MOD(H$30+1,5)=0,OFFSET($H27,0,TRUNC(H$30/5,0)),OFFSET($H22,0,H$30-TRUNC(H$30/5,0)))</f>
        <v>6.3516658604437737</v>
      </c>
      <c r="I32" s="546">
        <f t="shared" ca="1" si="78"/>
        <v>5.841666224443907</v>
      </c>
      <c r="J32" s="546">
        <f t="shared" ca="1" si="78"/>
        <v>4.3966661724439975</v>
      </c>
      <c r="K32" s="546">
        <f t="shared" ca="1" si="78"/>
        <v>4.7183342582221304</v>
      </c>
      <c r="L32" s="546">
        <f t="shared" ca="1" si="78"/>
        <v>4.7183342582221304</v>
      </c>
      <c r="M32" s="546">
        <f t="shared" ca="1" si="78"/>
        <v>4.7533327675550634</v>
      </c>
      <c r="N32" s="546">
        <f t="shared" ca="1" si="78"/>
        <v>5.0150006706664856</v>
      </c>
      <c r="O32" s="546">
        <f t="shared" ca="1" si="78"/>
        <v>4.8750012999999965</v>
      </c>
      <c r="P32" s="546">
        <f t="shared" ca="1" si="78"/>
        <v>5.9899994306660851</v>
      </c>
      <c r="Q32" s="546">
        <f t="shared" ca="1" si="78"/>
        <v>5.9899994306660851</v>
      </c>
      <c r="R32" s="546">
        <f t="shared" ca="1" si="78"/>
        <v>5.0483335128885747</v>
      </c>
      <c r="S32" s="546">
        <f t="shared" ca="1" si="78"/>
        <v>5.4616662897772859</v>
      </c>
      <c r="T32" s="546">
        <f t="shared" ca="1" si="78"/>
        <v>5.5333343088887528</v>
      </c>
      <c r="U32" s="546">
        <f t="shared" ca="1" si="78"/>
        <v>6.6799996146660847</v>
      </c>
      <c r="V32" s="546">
        <f t="shared" ca="1" si="78"/>
        <v>6.6799996146660847</v>
      </c>
      <c r="W32" s="546">
        <f t="shared" ca="1" si="78"/>
        <v>6.9416675177775069</v>
      </c>
      <c r="X32" s="546">
        <f t="shared" ca="1" si="78"/>
        <v>7.1099998959994615</v>
      </c>
      <c r="Y32" s="546">
        <f t="shared" ca="1" si="78"/>
        <v>7.7466680657775946</v>
      </c>
      <c r="Z32" s="546">
        <f t="shared" ca="1" si="78"/>
        <v>8.4616670897772845</v>
      </c>
      <c r="AA32" s="546">
        <f t="shared" ca="1" si="78"/>
        <v>8.4616670897772845</v>
      </c>
      <c r="AB32" s="546">
        <f t="shared" ca="1" si="78"/>
        <v>9.9666673244439039</v>
      </c>
      <c r="AC32" s="546">
        <f t="shared" ca="1" si="78"/>
        <v>11.740000963999416</v>
      </c>
      <c r="AD32" s="546">
        <f t="shared" ca="1" si="78"/>
        <v>10.94332899999999</v>
      </c>
      <c r="AE32" s="546">
        <f t="shared" ca="1" si="78"/>
        <v>11.476664333333323</v>
      </c>
      <c r="AF32" s="546">
        <f t="shared" ca="1" si="78"/>
        <v>11.476664333333323</v>
      </c>
      <c r="AG32" s="546">
        <f t="shared" ca="1" si="78"/>
        <v>13.349995999999985</v>
      </c>
      <c r="AH32" s="546">
        <f t="shared" ca="1" si="78"/>
        <v>15.026662333333318</v>
      </c>
      <c r="AI32" s="546">
        <f t="shared" ca="1" si="78"/>
        <v>14.243331999999985</v>
      </c>
      <c r="AJ32" s="546">
        <f t="shared" ca="1" si="78"/>
        <v>14.659998666666651</v>
      </c>
      <c r="AK32" s="546">
        <f t="shared" ca="1" si="78"/>
        <v>14.659998666666651</v>
      </c>
      <c r="AL32" s="546">
        <f t="shared" ca="1" si="78"/>
        <v>18.689997666666645</v>
      </c>
      <c r="AM32" s="546">
        <f t="shared" ca="1" si="78"/>
        <v>20.936665999999978</v>
      </c>
      <c r="AN32" s="546">
        <f t="shared" ref="AN32:BO32" ca="1" si="79">IF(MOD(AN$30+1,5)=0,OFFSET($H27,0,TRUNC(AN$30/5,0)),OFFSET($H22,0,AN$30-TRUNC(AN$30/5,0)))</f>
        <v>18.189997666666645</v>
      </c>
      <c r="AO32" s="546">
        <f t="shared" ca="1" si="79"/>
        <v>10.823328666666654</v>
      </c>
      <c r="AP32" s="546">
        <f t="shared" ca="1" si="79"/>
        <v>10.823328666666654</v>
      </c>
      <c r="AQ32" s="546">
        <f t="shared" ca="1" si="79"/>
        <v>8.616663666666657</v>
      </c>
      <c r="AR32" s="546">
        <f t="shared" ca="1" si="79"/>
        <v>11.543329999999987</v>
      </c>
      <c r="AS32" s="546">
        <f t="shared" ca="1" si="79"/>
        <v>13.953328666666652</v>
      </c>
      <c r="AT32" s="546">
        <f t="shared" ca="1" si="79"/>
        <v>16.163330333333317</v>
      </c>
      <c r="AU32" s="546">
        <f t="shared" ca="1" si="79"/>
        <v>16.163330333333317</v>
      </c>
      <c r="AV32" s="546">
        <f t="shared" ca="1" si="79"/>
        <v>16.966664666666649</v>
      </c>
      <c r="AW32" s="546">
        <f t="shared" ca="1" si="79"/>
        <v>16.543329999999983</v>
      </c>
      <c r="AX32" s="546">
        <f t="shared" ca="1" si="79"/>
        <v>18.439997666666645</v>
      </c>
      <c r="AY32" s="546">
        <f t="shared" ca="1" si="79"/>
        <v>21.536661999999978</v>
      </c>
      <c r="AZ32" s="546">
        <f t="shared" ca="1" si="79"/>
        <v>21.536661999999978</v>
      </c>
      <c r="BA32" s="546">
        <f t="shared" ca="1" si="79"/>
        <v>26.199996999999975</v>
      </c>
      <c r="BB32" s="546">
        <f t="shared" ca="1" si="79"/>
        <v>26.219985999999999</v>
      </c>
      <c r="BC32" s="546">
        <f t="shared" ca="1" si="79"/>
        <v>18.669999000000001</v>
      </c>
      <c r="BD32" s="546">
        <f t="shared" ca="1" si="79"/>
        <v>21.059998</v>
      </c>
      <c r="BE32" s="546">
        <f t="shared" ca="1" si="79"/>
        <v>21.059998</v>
      </c>
      <c r="BF32" s="546">
        <f t="shared" ca="1" si="79"/>
        <v>21.51999</v>
      </c>
      <c r="BG32" s="546">
        <f t="shared" ca="1" si="79"/>
        <v>22.359985999999999</v>
      </c>
      <c r="BH32" s="546">
        <f t="shared" ca="1" si="79"/>
        <v>20.75</v>
      </c>
      <c r="BI32" s="546">
        <f t="shared" ca="1" si="79"/>
        <v>19.429993</v>
      </c>
      <c r="BJ32" s="546">
        <f t="shared" ca="1" si="79"/>
        <v>20.319993</v>
      </c>
      <c r="BK32" s="546">
        <f t="shared" ca="1" si="79"/>
        <v>24.629989999999999</v>
      </c>
      <c r="BL32" s="546">
        <f t="shared" ca="1" si="79"/>
        <v>23.14</v>
      </c>
      <c r="BM32" s="546">
        <f t="shared" ca="1" si="79"/>
        <v>25.849990999999999</v>
      </c>
      <c r="BN32" s="546">
        <f t="shared" ca="1" si="79"/>
        <v>28.289994</v>
      </c>
      <c r="BO32" s="546">
        <f t="shared" ca="1" si="79"/>
        <v>20.659988999999999</v>
      </c>
      <c r="BP32" s="546">
        <f t="shared" ca="1" si="74"/>
        <v>28.579986999999999</v>
      </c>
      <c r="BQ32" s="546">
        <f t="shared" ca="1" si="74"/>
        <v>30.76999</v>
      </c>
      <c r="BR32" s="546">
        <f t="shared" ca="1" si="74"/>
        <v>32.319992999999997</v>
      </c>
      <c r="BS32" s="546">
        <f t="shared" ca="1" si="74"/>
        <v>36.679993000000003</v>
      </c>
      <c r="BT32" s="546">
        <f t="shared" ca="1" si="74"/>
        <v>23.839997</v>
      </c>
      <c r="BU32" s="546">
        <f t="shared" ca="1" si="75"/>
        <v>33.199997000000003</v>
      </c>
      <c r="BV32" s="546">
        <f t="shared" ca="1" si="75"/>
        <v>33.669998999999997</v>
      </c>
      <c r="BW32" s="546">
        <f t="shared" ca="1" si="75"/>
        <v>26.520005000000001</v>
      </c>
      <c r="BX32" s="546">
        <f t="shared" ca="1" si="75"/>
        <v>26.130005000000001</v>
      </c>
      <c r="BY32" s="546">
        <f t="shared" ca="1" si="75"/>
        <v>25.449997</v>
      </c>
      <c r="BZ32" s="546">
        <f t="shared" ca="1" si="76"/>
        <v>26.169999000000001</v>
      </c>
      <c r="CA32" s="546">
        <f t="shared" ca="1" si="76"/>
        <v>25.699997</v>
      </c>
      <c r="CB32" s="546">
        <f t="shared" ca="1" si="76"/>
        <v>29.64</v>
      </c>
      <c r="CC32" s="546">
        <f t="shared" ca="1" si="76"/>
        <v>36.649994</v>
      </c>
      <c r="CD32" s="546">
        <f t="shared" ca="1" si="76"/>
        <v>27.25</v>
      </c>
      <c r="CE32" s="546">
        <f t="shared" ref="CE32:CS32" ca="1" si="80">IF(MOD(CE$30+1,5)=0,OFFSET($H27,0,TRUNC(CE$30/5,0)),OFFSET($H22,0,CE$30-TRUNC(CE$30/5,0)))</f>
        <v>46.32</v>
      </c>
      <c r="CF32" s="546">
        <f t="shared" ca="1" si="80"/>
        <v>52.649994</v>
      </c>
      <c r="CG32" s="546">
        <f t="shared" ca="1" si="80"/>
        <v>53.100006999999998</v>
      </c>
      <c r="CH32" s="546">
        <f t="shared" ca="1" si="80"/>
        <v>55</v>
      </c>
      <c r="CI32" s="546">
        <f t="shared" ca="1" si="80"/>
        <v>31</v>
      </c>
      <c r="CJ32" s="546">
        <f t="shared" ca="1" si="80"/>
        <v>54.270004999999998</v>
      </c>
      <c r="CK32" s="546">
        <f t="shared" ca="1" si="80"/>
        <v>56.41</v>
      </c>
      <c r="CL32" s="546">
        <f t="shared" ca="1" si="80"/>
        <v>56.41</v>
      </c>
      <c r="CM32" s="546">
        <f t="shared" ca="1" si="80"/>
        <v>56.41</v>
      </c>
      <c r="CN32" s="546">
        <f t="shared" ca="1" si="80"/>
        <v>34.839996999999997</v>
      </c>
      <c r="CO32" s="546">
        <f t="shared" ca="1" si="80"/>
        <v>56.41</v>
      </c>
      <c r="CP32" s="546">
        <f t="shared" ca="1" si="80"/>
        <v>56.41</v>
      </c>
      <c r="CQ32" s="546">
        <f t="shared" ca="1" si="80"/>
        <v>56.41</v>
      </c>
      <c r="CR32" s="546">
        <f t="shared" ca="1" si="80"/>
        <v>56.41</v>
      </c>
      <c r="CS32" s="546">
        <f t="shared" ca="1" si="80"/>
        <v>35.5</v>
      </c>
    </row>
    <row r="33" spans="1:82" x14ac:dyDescent="0.2">
      <c r="A33" s="536">
        <f t="shared" si="24"/>
        <v>3</v>
      </c>
      <c r="B33" s="536">
        <f t="shared" si="0"/>
        <v>2004</v>
      </c>
      <c r="C33" s="539">
        <v>38199</v>
      </c>
      <c r="D33" s="536" t="str">
        <f t="shared" si="1"/>
        <v>3Q04</v>
      </c>
      <c r="E33" s="540">
        <v>5.2166660577772408</v>
      </c>
      <c r="F33" s="535"/>
      <c r="G33" s="536"/>
      <c r="H33" s="536"/>
      <c r="I33" s="536"/>
      <c r="J33" s="536"/>
      <c r="K33" s="536"/>
      <c r="L33" s="536"/>
      <c r="M33" s="536"/>
      <c r="N33" s="536"/>
      <c r="O33" s="536"/>
      <c r="P33" s="536"/>
      <c r="Q33" s="536"/>
      <c r="R33" s="536"/>
      <c r="S33" s="536"/>
      <c r="T33" s="536"/>
      <c r="U33" s="536"/>
      <c r="V33" s="536"/>
      <c r="W33" s="536"/>
      <c r="X33" s="536"/>
      <c r="Y33" s="536"/>
      <c r="Z33" s="536"/>
      <c r="AA33" s="536"/>
      <c r="AB33" s="536"/>
      <c r="AC33" s="536"/>
      <c r="AD33" s="536"/>
      <c r="AE33" s="536"/>
      <c r="AF33" s="536"/>
      <c r="AG33" s="536"/>
      <c r="AH33" s="536"/>
      <c r="AI33" s="536"/>
      <c r="AJ33" s="536"/>
      <c r="AK33" s="536"/>
      <c r="AL33" s="536"/>
      <c r="AM33" s="536"/>
      <c r="AN33" s="536"/>
      <c r="AO33" s="536"/>
      <c r="AP33" s="536"/>
      <c r="AQ33" s="536"/>
      <c r="AR33" s="536"/>
      <c r="AS33" s="536"/>
      <c r="AT33" s="536"/>
      <c r="AU33" s="536"/>
      <c r="AV33" s="536"/>
      <c r="AW33" s="536"/>
      <c r="AX33" s="536"/>
      <c r="AY33" s="536"/>
      <c r="AZ33" s="536"/>
      <c r="BA33" s="536"/>
      <c r="BB33" s="536"/>
      <c r="BC33" s="536"/>
      <c r="BD33" s="536"/>
      <c r="BE33" s="536"/>
      <c r="BF33" s="536"/>
      <c r="BG33" s="536"/>
      <c r="BH33" s="536"/>
      <c r="BI33" s="536"/>
      <c r="BJ33" s="536"/>
      <c r="BK33" s="536"/>
      <c r="BL33" s="536"/>
      <c r="BM33" s="536"/>
      <c r="BN33" s="536"/>
      <c r="BO33" s="536"/>
      <c r="BP33" s="536"/>
      <c r="BQ33" s="536"/>
      <c r="BR33" s="536"/>
      <c r="BS33" s="536"/>
      <c r="BT33" s="536"/>
      <c r="BU33" s="536"/>
      <c r="BV33" s="536"/>
      <c r="BW33" s="536"/>
      <c r="BX33" s="536"/>
      <c r="BY33" s="536"/>
      <c r="BZ33" s="536"/>
      <c r="CA33" s="536"/>
      <c r="CB33" s="536"/>
      <c r="CC33" s="536"/>
      <c r="CD33" s="536"/>
    </row>
    <row r="34" spans="1:82" x14ac:dyDescent="0.2">
      <c r="A34" s="536">
        <f t="shared" si="24"/>
        <v>3</v>
      </c>
      <c r="B34" s="536">
        <f t="shared" si="0"/>
        <v>2004</v>
      </c>
      <c r="C34" s="539">
        <v>38230</v>
      </c>
      <c r="D34" s="536" t="str">
        <f t="shared" si="1"/>
        <v>3Q04</v>
      </c>
      <c r="E34" s="540">
        <v>5.2633325702216407</v>
      </c>
      <c r="F34" s="535"/>
      <c r="G34" s="536"/>
      <c r="H34" s="536"/>
      <c r="I34" s="536"/>
      <c r="J34" s="536"/>
      <c r="K34" s="536"/>
      <c r="L34" s="536"/>
      <c r="M34" s="536"/>
      <c r="N34" s="536"/>
      <c r="O34" s="536"/>
      <c r="P34" s="536"/>
      <c r="Q34" s="536"/>
      <c r="R34" s="536"/>
      <c r="S34" s="536"/>
      <c r="T34" s="536"/>
      <c r="U34" s="536"/>
      <c r="V34" s="536"/>
      <c r="W34" s="536"/>
      <c r="X34" s="536"/>
      <c r="Y34" s="536"/>
      <c r="Z34" s="536"/>
      <c r="AA34" s="536"/>
      <c r="AB34" s="536"/>
      <c r="AC34" s="536"/>
      <c r="AD34" s="536"/>
      <c r="AE34" s="536"/>
      <c r="AF34" s="536"/>
      <c r="AG34" s="536"/>
      <c r="AH34" s="536"/>
      <c r="AI34" s="536"/>
      <c r="AJ34" s="536"/>
      <c r="AK34" s="536"/>
      <c r="AL34" s="536"/>
      <c r="AM34" s="536"/>
      <c r="AN34" s="536"/>
      <c r="AO34" s="536"/>
      <c r="AP34" s="536"/>
      <c r="AQ34" s="536"/>
      <c r="AR34" s="536"/>
      <c r="AS34" s="536"/>
      <c r="AT34" s="536"/>
      <c r="AU34" s="536"/>
      <c r="AV34" s="536"/>
      <c r="AW34" s="536"/>
      <c r="AX34" s="536"/>
      <c r="AY34" s="536"/>
      <c r="AZ34" s="536"/>
      <c r="BA34" s="536"/>
      <c r="BB34" s="536"/>
      <c r="BC34" s="536"/>
      <c r="BD34" s="536"/>
      <c r="BE34" s="536"/>
      <c r="BF34" s="536"/>
      <c r="BG34" s="536"/>
      <c r="BH34" s="536"/>
      <c r="BI34" s="536"/>
      <c r="BJ34" s="536"/>
      <c r="BK34" s="536"/>
      <c r="BL34" s="536"/>
      <c r="BM34" s="536"/>
      <c r="BN34" s="536"/>
      <c r="BO34" s="536"/>
      <c r="BP34" s="536"/>
      <c r="BQ34" s="536"/>
      <c r="BR34" s="536"/>
      <c r="BS34" s="536"/>
      <c r="BT34" s="536"/>
      <c r="BU34" s="536"/>
      <c r="BV34" s="536"/>
      <c r="BW34" s="536"/>
      <c r="BX34" s="536"/>
      <c r="BY34" s="536"/>
      <c r="BZ34" s="536"/>
      <c r="CA34" s="536"/>
      <c r="CB34" s="536"/>
      <c r="CC34" s="536"/>
      <c r="CD34" s="536"/>
    </row>
    <row r="35" spans="1:82" x14ac:dyDescent="0.2">
      <c r="A35" s="536">
        <f t="shared" si="24"/>
        <v>3</v>
      </c>
      <c r="B35" s="536">
        <f t="shared" si="0"/>
        <v>2004</v>
      </c>
      <c r="C35" s="539">
        <v>38260</v>
      </c>
      <c r="D35" s="536" t="str">
        <f t="shared" si="1"/>
        <v>3Q04</v>
      </c>
      <c r="E35" s="540">
        <v>5.5333343088887528</v>
      </c>
      <c r="F35" s="535"/>
      <c r="G35" s="536"/>
      <c r="H35" s="536"/>
      <c r="I35" s="536"/>
      <c r="J35" s="536"/>
      <c r="K35" s="536"/>
      <c r="L35" s="536"/>
      <c r="M35" s="536"/>
      <c r="N35" s="536"/>
      <c r="O35" s="536"/>
      <c r="P35" s="536"/>
      <c r="Q35" s="536"/>
      <c r="R35" s="536"/>
      <c r="S35" s="536"/>
      <c r="T35" s="536"/>
      <c r="U35" s="536"/>
      <c r="V35" s="536"/>
      <c r="W35" s="536"/>
      <c r="X35" s="536"/>
      <c r="Y35" s="536"/>
      <c r="Z35" s="536"/>
      <c r="AA35" s="536"/>
      <c r="AB35" s="536"/>
      <c r="AC35" s="536"/>
      <c r="AD35" s="536"/>
      <c r="AE35" s="536"/>
      <c r="AF35" s="536"/>
      <c r="AG35" s="536"/>
      <c r="AH35" s="536"/>
      <c r="AI35" s="536"/>
      <c r="AJ35" s="536"/>
      <c r="AK35" s="536"/>
      <c r="AL35" s="536"/>
      <c r="AM35" s="536"/>
      <c r="AN35" s="536"/>
      <c r="AO35" s="536"/>
      <c r="AP35" s="536"/>
      <c r="AQ35" s="536"/>
      <c r="AR35" s="536"/>
      <c r="AS35" s="536"/>
      <c r="AT35" s="536"/>
      <c r="AU35" s="536"/>
      <c r="AV35" s="536"/>
      <c r="AW35" s="536"/>
      <c r="AX35" s="536"/>
      <c r="AY35" s="536"/>
      <c r="AZ35" s="536"/>
      <c r="BA35" s="536"/>
      <c r="BB35" s="536"/>
      <c r="BC35" s="536"/>
      <c r="BD35" s="536"/>
      <c r="BE35" s="536"/>
      <c r="BF35" s="536"/>
      <c r="BG35" s="536"/>
      <c r="BH35" s="536"/>
      <c r="BI35" s="536"/>
      <c r="BJ35" s="536"/>
      <c r="BK35" s="536"/>
      <c r="BL35" s="536"/>
      <c r="BM35" s="536"/>
      <c r="BN35" s="536"/>
      <c r="BO35" s="536"/>
      <c r="BP35" s="536"/>
      <c r="BQ35" s="536"/>
      <c r="BR35" s="536"/>
      <c r="BS35" s="536"/>
      <c r="BT35" s="536"/>
      <c r="BU35" s="536"/>
      <c r="BV35" s="536"/>
      <c r="BW35" s="536"/>
      <c r="BX35" s="536"/>
      <c r="BY35" s="536"/>
      <c r="BZ35" s="536"/>
      <c r="CA35" s="536"/>
      <c r="CB35" s="536"/>
      <c r="CC35" s="536"/>
      <c r="CD35" s="536"/>
    </row>
    <row r="36" spans="1:82" x14ac:dyDescent="0.2">
      <c r="A36" s="536">
        <f t="shared" si="24"/>
        <v>4</v>
      </c>
      <c r="B36" s="536">
        <f t="shared" si="0"/>
        <v>2004</v>
      </c>
      <c r="C36" s="539">
        <v>38291</v>
      </c>
      <c r="D36" s="536" t="str">
        <f t="shared" si="1"/>
        <v>4Q04</v>
      </c>
      <c r="E36" s="540">
        <v>6.0833349555555518</v>
      </c>
      <c r="F36" s="535"/>
      <c r="G36" s="536"/>
      <c r="H36" s="536"/>
      <c r="I36" s="536"/>
      <c r="J36" s="536"/>
      <c r="K36" s="536"/>
      <c r="L36" s="536"/>
      <c r="M36" s="536"/>
      <c r="N36" s="536"/>
      <c r="O36" s="536"/>
      <c r="P36" s="536"/>
      <c r="Q36" s="536"/>
      <c r="R36" s="536"/>
      <c r="S36" s="536"/>
      <c r="T36" s="536"/>
      <c r="U36" s="536"/>
      <c r="V36" s="536"/>
      <c r="W36" s="536"/>
      <c r="X36" s="536"/>
      <c r="Y36" s="536"/>
      <c r="Z36" s="536"/>
      <c r="AA36" s="536"/>
      <c r="AB36" s="536"/>
      <c r="AC36" s="536"/>
      <c r="AD36" s="536"/>
      <c r="AE36" s="536"/>
      <c r="AF36" s="536"/>
      <c r="AG36" s="536"/>
      <c r="AH36" s="536"/>
      <c r="AI36" s="536"/>
      <c r="AJ36" s="536"/>
      <c r="AK36" s="536"/>
      <c r="AL36" s="536"/>
      <c r="AM36" s="536"/>
      <c r="AN36" s="536"/>
      <c r="AO36" s="536"/>
      <c r="AP36" s="536"/>
      <c r="AQ36" s="536"/>
      <c r="AR36" s="536"/>
      <c r="AS36" s="536"/>
      <c r="AT36" s="536"/>
      <c r="AU36" s="536"/>
      <c r="AV36" s="536"/>
      <c r="AW36" s="536"/>
      <c r="AX36" s="536"/>
      <c r="AY36" s="536"/>
      <c r="AZ36" s="536"/>
      <c r="BA36" s="536"/>
      <c r="BB36" s="536"/>
      <c r="BC36" s="536"/>
      <c r="BD36" s="536"/>
      <c r="BE36" s="536"/>
      <c r="BF36" s="536"/>
      <c r="BG36" s="536"/>
      <c r="BH36" s="536"/>
      <c r="BI36" s="536"/>
      <c r="BJ36" s="536"/>
      <c r="BK36" s="536"/>
      <c r="BL36" s="536"/>
      <c r="BM36" s="536"/>
      <c r="BN36" s="536"/>
      <c r="BO36" s="536"/>
      <c r="BP36" s="536"/>
      <c r="BQ36" s="536"/>
      <c r="BR36" s="536"/>
      <c r="BS36" s="536"/>
      <c r="BT36" s="536"/>
      <c r="BU36" s="536"/>
      <c r="BV36" s="536"/>
      <c r="BW36" s="536"/>
      <c r="BX36" s="536"/>
      <c r="BY36" s="536"/>
      <c r="BZ36" s="536"/>
      <c r="CA36" s="536"/>
      <c r="CB36" s="536"/>
      <c r="CC36" s="536"/>
      <c r="CD36" s="536"/>
    </row>
    <row r="37" spans="1:82" x14ac:dyDescent="0.2">
      <c r="A37" s="536">
        <f t="shared" si="24"/>
        <v>4</v>
      </c>
      <c r="B37" s="536">
        <f t="shared" si="0"/>
        <v>2004</v>
      </c>
      <c r="C37" s="539">
        <v>38321</v>
      </c>
      <c r="D37" s="536" t="str">
        <f t="shared" si="1"/>
        <v>4Q04</v>
      </c>
      <c r="E37" s="540">
        <v>6.3550000279995515</v>
      </c>
      <c r="F37" s="535"/>
      <c r="G37" s="536"/>
      <c r="H37" s="536"/>
      <c r="I37" s="536"/>
      <c r="J37" s="536"/>
      <c r="K37" s="536"/>
      <c r="L37" s="536"/>
      <c r="M37" s="536"/>
      <c r="N37" s="536"/>
      <c r="O37" s="536"/>
      <c r="P37" s="536"/>
      <c r="Q37" s="536"/>
      <c r="R37" s="536"/>
      <c r="S37" s="536"/>
      <c r="T37" s="536"/>
      <c r="U37" s="536"/>
      <c r="V37" s="536"/>
      <c r="W37" s="536"/>
      <c r="X37" s="536"/>
      <c r="Y37" s="536"/>
      <c r="Z37" s="536"/>
      <c r="AA37" s="536"/>
      <c r="AB37" s="536"/>
      <c r="AC37" s="536"/>
      <c r="AD37" s="536"/>
      <c r="AE37" s="536"/>
      <c r="AF37" s="536"/>
      <c r="AG37" s="536"/>
      <c r="AH37" s="536"/>
      <c r="AI37" s="536"/>
      <c r="AJ37" s="536"/>
      <c r="AK37" s="536"/>
      <c r="AL37" s="536"/>
      <c r="AM37" s="536"/>
      <c r="AN37" s="536"/>
      <c r="AO37" s="536"/>
      <c r="AP37" s="536"/>
      <c r="AQ37" s="536"/>
      <c r="AR37" s="536"/>
      <c r="AS37" s="536"/>
      <c r="AT37" s="536"/>
      <c r="AU37" s="536"/>
      <c r="AV37" s="536"/>
      <c r="AW37" s="536"/>
      <c r="AX37" s="536"/>
      <c r="AY37" s="536"/>
      <c r="AZ37" s="536"/>
      <c r="BA37" s="536"/>
      <c r="BB37" s="536"/>
      <c r="BC37" s="536"/>
      <c r="BD37" s="536"/>
      <c r="BE37" s="536"/>
      <c r="BF37" s="536"/>
      <c r="BG37" s="536"/>
      <c r="BH37" s="536"/>
      <c r="BI37" s="536"/>
      <c r="BJ37" s="536"/>
      <c r="BK37" s="536"/>
      <c r="BL37" s="536"/>
      <c r="BM37" s="536"/>
      <c r="BN37" s="536"/>
      <c r="BO37" s="536"/>
      <c r="BP37" s="536"/>
      <c r="BQ37" s="536"/>
      <c r="BR37" s="536"/>
      <c r="BS37" s="536"/>
      <c r="BT37" s="536"/>
      <c r="BU37" s="536"/>
      <c r="BV37" s="536"/>
      <c r="BW37" s="536"/>
      <c r="BX37" s="536"/>
      <c r="BY37" s="536"/>
      <c r="BZ37" s="536"/>
      <c r="CA37" s="536"/>
      <c r="CB37" s="536"/>
      <c r="CC37" s="536"/>
      <c r="CD37" s="536"/>
    </row>
    <row r="38" spans="1:82" x14ac:dyDescent="0.2">
      <c r="A38" s="536">
        <f t="shared" si="24"/>
        <v>4</v>
      </c>
      <c r="B38" s="536">
        <f t="shared" si="0"/>
        <v>2004</v>
      </c>
      <c r="C38" s="539">
        <v>38352</v>
      </c>
      <c r="D38" s="536" t="str">
        <f t="shared" si="1"/>
        <v>4Q04</v>
      </c>
      <c r="E38" s="540">
        <v>6.6799996146660847</v>
      </c>
      <c r="F38" s="535"/>
      <c r="G38" s="536"/>
      <c r="H38" s="536"/>
      <c r="I38" s="536"/>
      <c r="J38" s="536"/>
      <c r="K38" s="536"/>
      <c r="L38" s="536"/>
      <c r="M38" s="536"/>
      <c r="N38" s="536"/>
      <c r="O38" s="536"/>
      <c r="P38" s="536"/>
      <c r="Q38" s="536"/>
      <c r="R38" s="536"/>
      <c r="S38" s="536"/>
      <c r="T38" s="536"/>
      <c r="U38" s="536"/>
      <c r="V38" s="536"/>
      <c r="W38" s="536"/>
      <c r="X38" s="536"/>
      <c r="Y38" s="536"/>
      <c r="Z38" s="536"/>
      <c r="AA38" s="536"/>
      <c r="AB38" s="536"/>
      <c r="AC38" s="536"/>
      <c r="AD38" s="536"/>
      <c r="AE38" s="536"/>
      <c r="AF38" s="536"/>
      <c r="AG38" s="536"/>
      <c r="AH38" s="536"/>
      <c r="AI38" s="536"/>
      <c r="AJ38" s="536"/>
      <c r="AK38" s="536"/>
      <c r="AL38" s="536"/>
      <c r="AM38" s="536"/>
      <c r="AN38" s="536"/>
      <c r="AO38" s="536"/>
      <c r="AP38" s="536"/>
      <c r="AQ38" s="536"/>
      <c r="AR38" s="536"/>
      <c r="AS38" s="536"/>
      <c r="AT38" s="536"/>
      <c r="AU38" s="536"/>
      <c r="AV38" s="536"/>
      <c r="AW38" s="536"/>
      <c r="AX38" s="536"/>
      <c r="AY38" s="536"/>
      <c r="AZ38" s="536"/>
      <c r="BA38" s="536"/>
      <c r="BB38" s="536"/>
      <c r="BC38" s="536"/>
      <c r="BD38" s="536"/>
      <c r="BE38" s="536"/>
      <c r="BF38" s="536"/>
      <c r="BG38" s="536"/>
      <c r="BH38" s="536"/>
      <c r="BI38" s="536"/>
      <c r="BJ38" s="536"/>
      <c r="BK38" s="536"/>
      <c r="BL38" s="536"/>
      <c r="BM38" s="536"/>
      <c r="BN38" s="536"/>
      <c r="BO38" s="536"/>
      <c r="BP38" s="536"/>
      <c r="BQ38" s="536"/>
      <c r="BR38" s="536"/>
      <c r="BS38" s="536"/>
      <c r="BT38" s="536"/>
      <c r="BU38" s="536"/>
      <c r="BV38" s="536"/>
      <c r="BW38" s="536"/>
      <c r="BX38" s="536"/>
      <c r="BY38" s="536"/>
      <c r="BZ38" s="536"/>
      <c r="CA38" s="536"/>
      <c r="CB38" s="536"/>
      <c r="CC38" s="536"/>
      <c r="CD38" s="536"/>
    </row>
    <row r="39" spans="1:82" x14ac:dyDescent="0.2">
      <c r="A39" s="536">
        <f t="shared" si="24"/>
        <v>1</v>
      </c>
      <c r="B39" s="536">
        <f t="shared" si="0"/>
        <v>2005</v>
      </c>
      <c r="C39" s="539">
        <v>38383</v>
      </c>
      <c r="D39" s="536" t="str">
        <f t="shared" si="1"/>
        <v>1Q05</v>
      </c>
      <c r="E39" s="540">
        <v>6.6616661097771512</v>
      </c>
      <c r="F39" s="535"/>
      <c r="G39" s="536"/>
      <c r="H39" s="536"/>
      <c r="I39" s="536"/>
      <c r="J39" s="536"/>
      <c r="K39" s="536"/>
      <c r="L39" s="536"/>
      <c r="M39" s="536"/>
      <c r="N39" s="536"/>
      <c r="O39" s="536"/>
      <c r="P39" s="536"/>
      <c r="Q39" s="536"/>
      <c r="R39" s="536"/>
      <c r="S39" s="536"/>
      <c r="T39" s="536"/>
      <c r="U39" s="536"/>
      <c r="V39" s="536"/>
      <c r="W39" s="536"/>
      <c r="X39" s="536"/>
      <c r="Y39" s="536"/>
      <c r="Z39" s="536"/>
      <c r="AA39" s="536"/>
      <c r="AB39" s="536"/>
      <c r="AC39" s="536"/>
      <c r="AD39" s="536"/>
      <c r="AE39" s="536"/>
      <c r="AF39" s="536"/>
      <c r="AG39" s="536"/>
      <c r="AH39" s="536"/>
      <c r="AI39" s="536"/>
      <c r="AJ39" s="536"/>
      <c r="AK39" s="536"/>
      <c r="AL39" s="536"/>
      <c r="AM39" s="536"/>
      <c r="AN39" s="536"/>
      <c r="AO39" s="536"/>
      <c r="AP39" s="536"/>
      <c r="AQ39" s="536"/>
      <c r="AR39" s="536"/>
      <c r="AS39" s="536"/>
      <c r="AT39" s="536"/>
      <c r="AU39" s="536"/>
      <c r="AV39" s="536"/>
      <c r="AW39" s="536"/>
      <c r="AX39" s="536"/>
      <c r="AY39" s="536"/>
      <c r="AZ39" s="536"/>
      <c r="BA39" s="536"/>
      <c r="BB39" s="536"/>
      <c r="BC39" s="536"/>
      <c r="BD39" s="536"/>
      <c r="BE39" s="536"/>
      <c r="BF39" s="536"/>
      <c r="BG39" s="536"/>
      <c r="BH39" s="536"/>
      <c r="BI39" s="536"/>
      <c r="BJ39" s="536"/>
      <c r="BK39" s="536"/>
      <c r="BL39" s="536"/>
      <c r="BM39" s="536"/>
      <c r="BN39" s="536"/>
      <c r="BO39" s="536"/>
      <c r="BP39" s="536"/>
      <c r="BQ39" s="536"/>
      <c r="BR39" s="536"/>
      <c r="BS39" s="536"/>
      <c r="BT39" s="536"/>
      <c r="BU39" s="536"/>
      <c r="BV39" s="536"/>
      <c r="BW39" s="536"/>
      <c r="BX39" s="536"/>
      <c r="BY39" s="536"/>
      <c r="BZ39" s="536"/>
      <c r="CA39" s="536"/>
      <c r="CB39" s="536"/>
      <c r="CC39" s="536"/>
      <c r="CD39" s="536"/>
    </row>
    <row r="40" spans="1:82" x14ac:dyDescent="0.2">
      <c r="A40" s="536">
        <f t="shared" si="24"/>
        <v>1</v>
      </c>
      <c r="B40" s="536">
        <f t="shared" si="0"/>
        <v>2005</v>
      </c>
      <c r="C40" s="539">
        <v>38411</v>
      </c>
      <c r="D40" s="536" t="str">
        <f t="shared" si="1"/>
        <v>1Q05</v>
      </c>
      <c r="E40" s="540">
        <v>6.8850015026665732</v>
      </c>
      <c r="F40" s="535"/>
      <c r="G40" s="536"/>
      <c r="H40" s="536"/>
      <c r="I40" s="536"/>
      <c r="J40" s="536"/>
      <c r="K40" s="536"/>
      <c r="L40" s="536"/>
      <c r="M40" s="536"/>
      <c r="N40" s="536"/>
      <c r="O40" s="536"/>
      <c r="P40" s="536"/>
      <c r="Q40" s="536"/>
      <c r="R40" s="536"/>
      <c r="S40" s="536"/>
      <c r="T40" s="536"/>
      <c r="U40" s="536"/>
      <c r="V40" s="536"/>
      <c r="W40" s="536"/>
      <c r="X40" s="536"/>
      <c r="Y40" s="536"/>
      <c r="Z40" s="536"/>
      <c r="AA40" s="536"/>
      <c r="AB40" s="536"/>
      <c r="AC40" s="536"/>
      <c r="AD40" s="536"/>
      <c r="AE40" s="536"/>
      <c r="AF40" s="536"/>
      <c r="AG40" s="536"/>
      <c r="AH40" s="536"/>
      <c r="AI40" s="536"/>
      <c r="AJ40" s="536"/>
      <c r="AK40" s="536"/>
      <c r="AL40" s="536"/>
      <c r="AM40" s="536"/>
      <c r="AN40" s="536"/>
      <c r="AO40" s="536"/>
      <c r="AP40" s="536"/>
      <c r="AQ40" s="536"/>
      <c r="AR40" s="536"/>
      <c r="AS40" s="536"/>
      <c r="AT40" s="536"/>
      <c r="AU40" s="536"/>
      <c r="AV40" s="536"/>
      <c r="AW40" s="536"/>
      <c r="AX40" s="536"/>
      <c r="AY40" s="536"/>
      <c r="AZ40" s="536"/>
      <c r="BA40" s="536"/>
      <c r="BB40" s="536"/>
      <c r="BC40" s="536"/>
      <c r="BD40" s="536"/>
      <c r="BE40" s="536"/>
      <c r="BF40" s="536"/>
      <c r="BG40" s="536"/>
      <c r="BH40" s="536"/>
      <c r="BI40" s="536"/>
      <c r="BJ40" s="536"/>
      <c r="BK40" s="536"/>
      <c r="BL40" s="536"/>
      <c r="BM40" s="536"/>
      <c r="BN40" s="536"/>
      <c r="BO40" s="536"/>
      <c r="BP40" s="536"/>
      <c r="BQ40" s="536"/>
      <c r="BR40" s="536"/>
      <c r="BS40" s="536"/>
      <c r="BT40" s="536"/>
      <c r="BU40" s="536"/>
      <c r="BV40" s="536"/>
      <c r="BW40" s="536"/>
      <c r="BX40" s="536"/>
      <c r="BY40" s="536"/>
      <c r="BZ40" s="536"/>
      <c r="CA40" s="536"/>
      <c r="CB40" s="536"/>
      <c r="CC40" s="536"/>
      <c r="CD40" s="536"/>
    </row>
    <row r="41" spans="1:82" x14ac:dyDescent="0.2">
      <c r="A41" s="536">
        <f t="shared" si="24"/>
        <v>1</v>
      </c>
      <c r="B41" s="536">
        <f t="shared" si="0"/>
        <v>2005</v>
      </c>
      <c r="C41" s="539">
        <v>38442</v>
      </c>
      <c r="D41" s="536" t="str">
        <f t="shared" si="1"/>
        <v>1Q05</v>
      </c>
      <c r="E41" s="540">
        <v>6.9416675177775069</v>
      </c>
      <c r="F41" s="535"/>
      <c r="G41" s="536"/>
      <c r="H41" s="536"/>
      <c r="I41" s="536"/>
      <c r="J41" s="536"/>
      <c r="K41" s="536"/>
      <c r="L41" s="536"/>
      <c r="M41" s="536"/>
      <c r="N41" s="536"/>
      <c r="O41" s="536"/>
      <c r="P41" s="536"/>
      <c r="Q41" s="536"/>
      <c r="R41" s="536"/>
      <c r="S41" s="536"/>
      <c r="T41" s="536"/>
      <c r="U41" s="536"/>
      <c r="V41" s="536"/>
      <c r="W41" s="536"/>
      <c r="X41" s="536"/>
      <c r="Y41" s="536"/>
      <c r="Z41" s="536"/>
      <c r="AA41" s="536"/>
      <c r="AB41" s="536"/>
      <c r="AC41" s="536"/>
      <c r="AD41" s="536"/>
      <c r="AE41" s="536"/>
      <c r="AF41" s="536"/>
      <c r="AG41" s="536"/>
      <c r="AH41" s="536"/>
      <c r="AI41" s="536"/>
      <c r="AJ41" s="536"/>
      <c r="AK41" s="536"/>
      <c r="AL41" s="536"/>
      <c r="AM41" s="536"/>
      <c r="AN41" s="536"/>
      <c r="AO41" s="536"/>
      <c r="AP41" s="536"/>
      <c r="AQ41" s="536"/>
      <c r="AR41" s="536"/>
      <c r="AS41" s="536"/>
      <c r="AT41" s="536"/>
      <c r="AU41" s="536"/>
      <c r="AV41" s="536"/>
      <c r="AW41" s="536"/>
      <c r="AX41" s="536"/>
      <c r="AY41" s="536"/>
      <c r="AZ41" s="536"/>
      <c r="BA41" s="536"/>
      <c r="BB41" s="536"/>
      <c r="BC41" s="536"/>
      <c r="BD41" s="536"/>
      <c r="BE41" s="536"/>
      <c r="BF41" s="536"/>
      <c r="BG41" s="536"/>
      <c r="BH41" s="536"/>
      <c r="BI41" s="536"/>
      <c r="BJ41" s="536"/>
      <c r="BK41" s="536"/>
      <c r="BL41" s="536"/>
      <c r="BM41" s="536"/>
      <c r="BN41" s="536"/>
      <c r="BO41" s="536"/>
      <c r="BP41" s="536"/>
      <c r="BQ41" s="536"/>
      <c r="BR41" s="536"/>
      <c r="BS41" s="536"/>
      <c r="BT41" s="536"/>
      <c r="BU41" s="536"/>
      <c r="BV41" s="536"/>
      <c r="BW41" s="536"/>
      <c r="BX41" s="536"/>
      <c r="BY41" s="536"/>
      <c r="BZ41" s="536"/>
      <c r="CA41" s="536"/>
      <c r="CB41" s="536"/>
      <c r="CC41" s="536"/>
      <c r="CD41" s="536"/>
    </row>
    <row r="42" spans="1:82" x14ac:dyDescent="0.2">
      <c r="A42" s="536">
        <f t="shared" si="24"/>
        <v>2</v>
      </c>
      <c r="B42" s="536">
        <f t="shared" si="0"/>
        <v>2005</v>
      </c>
      <c r="C42" s="539">
        <v>38472</v>
      </c>
      <c r="D42" s="536" t="str">
        <f t="shared" si="1"/>
        <v>2Q05</v>
      </c>
      <c r="E42" s="540">
        <v>6.6883334502217737</v>
      </c>
      <c r="F42" s="535"/>
      <c r="G42" s="536"/>
      <c r="H42" s="536"/>
      <c r="I42" s="536"/>
      <c r="J42" s="536"/>
      <c r="K42" s="536"/>
      <c r="L42" s="536"/>
      <c r="M42" s="536"/>
      <c r="N42" s="536"/>
      <c r="O42" s="536"/>
      <c r="P42" s="536"/>
      <c r="Q42" s="536"/>
      <c r="R42" s="536"/>
      <c r="S42" s="536"/>
      <c r="T42" s="536"/>
      <c r="U42" s="536"/>
      <c r="V42" s="536"/>
      <c r="W42" s="536"/>
      <c r="X42" s="536"/>
      <c r="Y42" s="536"/>
      <c r="Z42" s="536"/>
      <c r="AA42" s="536"/>
      <c r="AB42" s="536"/>
      <c r="AC42" s="536"/>
      <c r="AD42" s="536"/>
      <c r="AE42" s="536"/>
      <c r="AF42" s="536"/>
      <c r="AG42" s="536"/>
      <c r="AH42" s="536"/>
      <c r="AI42" s="536"/>
      <c r="AJ42" s="536"/>
      <c r="AK42" s="536"/>
      <c r="AL42" s="536"/>
      <c r="AM42" s="536"/>
      <c r="AN42" s="536"/>
      <c r="AO42" s="536"/>
      <c r="AP42" s="536"/>
      <c r="AQ42" s="536"/>
      <c r="AR42" s="536"/>
      <c r="AS42" s="536"/>
      <c r="AT42" s="536"/>
      <c r="AU42" s="536"/>
      <c r="AV42" s="536"/>
      <c r="AW42" s="536"/>
      <c r="AX42" s="536"/>
      <c r="AY42" s="536"/>
      <c r="AZ42" s="536"/>
      <c r="BA42" s="536"/>
      <c r="BB42" s="536"/>
      <c r="BC42" s="536"/>
      <c r="BD42" s="536"/>
      <c r="BE42" s="536"/>
      <c r="BF42" s="536"/>
      <c r="BG42" s="536"/>
      <c r="BH42" s="536"/>
      <c r="BI42" s="536"/>
      <c r="BJ42" s="536"/>
      <c r="BK42" s="536"/>
      <c r="BL42" s="536"/>
      <c r="BM42" s="536"/>
      <c r="BN42" s="536"/>
      <c r="BO42" s="536"/>
      <c r="BP42" s="536"/>
      <c r="BQ42" s="536"/>
      <c r="BR42" s="536"/>
      <c r="BS42" s="536"/>
      <c r="BT42" s="536"/>
      <c r="BU42" s="536"/>
      <c r="BV42" s="536"/>
      <c r="BW42" s="536"/>
      <c r="BX42" s="536"/>
      <c r="BY42" s="536"/>
      <c r="BZ42" s="536"/>
      <c r="CA42" s="536"/>
      <c r="CB42" s="536"/>
      <c r="CC42" s="536"/>
      <c r="CD42" s="536"/>
    </row>
    <row r="43" spans="1:82" x14ac:dyDescent="0.2">
      <c r="A43" s="536">
        <f t="shared" si="24"/>
        <v>2</v>
      </c>
      <c r="B43" s="536">
        <f t="shared" si="0"/>
        <v>2005</v>
      </c>
      <c r="C43" s="539">
        <v>38503</v>
      </c>
      <c r="D43" s="536" t="str">
        <f t="shared" si="1"/>
        <v>2Q05</v>
      </c>
      <c r="E43" s="540">
        <v>6.9299996813327516</v>
      </c>
      <c r="F43" s="535"/>
      <c r="G43" s="536"/>
      <c r="H43" s="536"/>
      <c r="I43" s="536"/>
      <c r="J43" s="536"/>
      <c r="K43" s="536"/>
      <c r="L43" s="536"/>
      <c r="M43" s="536"/>
      <c r="N43" s="536"/>
      <c r="O43" s="536"/>
      <c r="P43" s="536"/>
      <c r="Q43" s="536"/>
      <c r="R43" s="536"/>
      <c r="S43" s="536"/>
      <c r="T43" s="536"/>
      <c r="U43" s="536"/>
      <c r="V43" s="536"/>
      <c r="W43" s="536"/>
      <c r="X43" s="536"/>
      <c r="Y43" s="536"/>
      <c r="Z43" s="536"/>
      <c r="AA43" s="536"/>
      <c r="AB43" s="536"/>
      <c r="AC43" s="536"/>
      <c r="AD43" s="536"/>
      <c r="AE43" s="536"/>
      <c r="AF43" s="536"/>
      <c r="AG43" s="536"/>
      <c r="AH43" s="536"/>
      <c r="AI43" s="536"/>
      <c r="AJ43" s="536"/>
      <c r="AK43" s="536"/>
      <c r="AL43" s="536"/>
      <c r="AM43" s="536"/>
      <c r="AN43" s="536"/>
      <c r="AO43" s="536"/>
      <c r="AP43" s="536"/>
      <c r="AQ43" s="536"/>
      <c r="AR43" s="536"/>
      <c r="AS43" s="536"/>
      <c r="AT43" s="536"/>
      <c r="AU43" s="536"/>
      <c r="AV43" s="536"/>
      <c r="AW43" s="536"/>
      <c r="AX43" s="536"/>
      <c r="AY43" s="536"/>
      <c r="AZ43" s="536"/>
      <c r="BA43" s="536"/>
      <c r="BB43" s="536"/>
      <c r="BC43" s="536"/>
      <c r="BD43" s="536"/>
      <c r="BE43" s="536"/>
      <c r="BF43" s="536"/>
      <c r="BG43" s="536"/>
      <c r="BH43" s="536"/>
      <c r="BI43" s="536"/>
      <c r="BJ43" s="536"/>
      <c r="BK43" s="536"/>
      <c r="BL43" s="536"/>
      <c r="BM43" s="536"/>
      <c r="BN43" s="536"/>
      <c r="BO43" s="536"/>
      <c r="BP43" s="536"/>
      <c r="BQ43" s="536"/>
      <c r="BR43" s="536"/>
      <c r="BS43" s="536"/>
      <c r="BT43" s="536"/>
      <c r="BU43" s="536"/>
      <c r="BV43" s="536"/>
      <c r="BW43" s="536"/>
      <c r="BX43" s="536"/>
      <c r="BY43" s="536"/>
      <c r="BZ43" s="536"/>
      <c r="CA43" s="536"/>
      <c r="CB43" s="536"/>
      <c r="CC43" s="536"/>
      <c r="CD43" s="536"/>
    </row>
    <row r="44" spans="1:82" x14ac:dyDescent="0.2">
      <c r="A44" s="536">
        <f t="shared" si="24"/>
        <v>2</v>
      </c>
      <c r="B44" s="536">
        <f t="shared" si="0"/>
        <v>2005</v>
      </c>
      <c r="C44" s="539">
        <v>38533</v>
      </c>
      <c r="D44" s="536" t="str">
        <f t="shared" si="1"/>
        <v>2Q05</v>
      </c>
      <c r="E44" s="540">
        <v>7.1099998959994615</v>
      </c>
      <c r="F44" s="535"/>
      <c r="G44" s="536"/>
      <c r="H44" s="536"/>
      <c r="I44" s="536"/>
      <c r="J44" s="536"/>
      <c r="K44" s="536"/>
      <c r="L44" s="536"/>
      <c r="M44" s="536"/>
      <c r="N44" s="536"/>
      <c r="O44" s="536"/>
      <c r="P44" s="536"/>
      <c r="Q44" s="536"/>
      <c r="R44" s="536"/>
      <c r="S44" s="536"/>
      <c r="T44" s="536"/>
      <c r="U44" s="536"/>
      <c r="V44" s="536"/>
      <c r="W44" s="536"/>
      <c r="X44" s="536"/>
      <c r="Y44" s="536"/>
      <c r="Z44" s="536"/>
      <c r="AA44" s="536"/>
      <c r="AB44" s="536"/>
      <c r="AC44" s="536"/>
      <c r="AD44" s="536"/>
      <c r="AE44" s="536"/>
      <c r="AF44" s="536"/>
      <c r="AG44" s="536"/>
      <c r="AH44" s="536"/>
      <c r="AI44" s="536"/>
      <c r="AJ44" s="536"/>
      <c r="AK44" s="536"/>
      <c r="AL44" s="536"/>
      <c r="AM44" s="536"/>
      <c r="AN44" s="536"/>
      <c r="AO44" s="536"/>
      <c r="AP44" s="536"/>
      <c r="AQ44" s="536"/>
      <c r="AR44" s="536"/>
      <c r="AS44" s="536"/>
      <c r="AT44" s="536"/>
      <c r="AU44" s="536"/>
      <c r="AV44" s="536"/>
      <c r="AW44" s="536"/>
      <c r="AX44" s="536"/>
      <c r="AY44" s="536"/>
      <c r="AZ44" s="536"/>
      <c r="BA44" s="536"/>
      <c r="BB44" s="536"/>
      <c r="BC44" s="536"/>
      <c r="BD44" s="536"/>
      <c r="BE44" s="536"/>
      <c r="BF44" s="536"/>
      <c r="BG44" s="536"/>
      <c r="BH44" s="536"/>
      <c r="BI44" s="536"/>
      <c r="BJ44" s="536"/>
      <c r="BK44" s="536"/>
      <c r="BL44" s="536"/>
      <c r="BM44" s="536"/>
      <c r="BN44" s="536"/>
      <c r="BO44" s="536"/>
      <c r="BP44" s="536"/>
      <c r="BQ44" s="536"/>
      <c r="BR44" s="536"/>
      <c r="BS44" s="536"/>
      <c r="BT44" s="536"/>
      <c r="BU44" s="536"/>
      <c r="BV44" s="536"/>
      <c r="BW44" s="536"/>
      <c r="BX44" s="536"/>
      <c r="BY44" s="536"/>
      <c r="BZ44" s="536"/>
      <c r="CA44" s="536"/>
      <c r="CB44" s="536"/>
      <c r="CC44" s="536"/>
      <c r="CD44" s="536"/>
    </row>
    <row r="45" spans="1:82" x14ac:dyDescent="0.2">
      <c r="A45" s="536">
        <f t="shared" si="24"/>
        <v>3</v>
      </c>
      <c r="B45" s="536">
        <f t="shared" si="0"/>
        <v>2005</v>
      </c>
      <c r="C45" s="539">
        <v>38564</v>
      </c>
      <c r="D45" s="536" t="str">
        <f t="shared" si="1"/>
        <v>3Q05</v>
      </c>
      <c r="E45" s="540">
        <v>7.5900008573330178</v>
      </c>
      <c r="F45" s="535"/>
      <c r="G45" s="536"/>
      <c r="H45" s="536"/>
      <c r="I45" s="536"/>
      <c r="J45" s="536"/>
      <c r="K45" s="536"/>
      <c r="L45" s="536"/>
      <c r="M45" s="536"/>
      <c r="N45" s="536"/>
      <c r="O45" s="536"/>
      <c r="P45" s="536"/>
      <c r="Q45" s="536"/>
      <c r="R45" s="536"/>
      <c r="S45" s="536"/>
      <c r="T45" s="536"/>
      <c r="U45" s="536"/>
      <c r="V45" s="536"/>
      <c r="W45" s="536"/>
      <c r="X45" s="536"/>
      <c r="Y45" s="536"/>
      <c r="Z45" s="536"/>
      <c r="AA45" s="536"/>
      <c r="AB45" s="536"/>
      <c r="AC45" s="536"/>
      <c r="AD45" s="536"/>
      <c r="AE45" s="536"/>
      <c r="AF45" s="536"/>
      <c r="AG45" s="536"/>
      <c r="AH45" s="536"/>
      <c r="AI45" s="536"/>
      <c r="AJ45" s="536"/>
      <c r="AK45" s="536"/>
      <c r="AL45" s="536"/>
      <c r="AM45" s="536"/>
      <c r="AN45" s="536"/>
      <c r="AO45" s="536"/>
      <c r="AP45" s="536"/>
      <c r="AQ45" s="536"/>
      <c r="AR45" s="536"/>
      <c r="AS45" s="536"/>
      <c r="AT45" s="536"/>
      <c r="AU45" s="536"/>
      <c r="AV45" s="536"/>
      <c r="AW45" s="536"/>
      <c r="AX45" s="536"/>
      <c r="AY45" s="536"/>
      <c r="AZ45" s="536"/>
      <c r="BA45" s="536"/>
      <c r="BB45" s="536"/>
      <c r="BC45" s="536"/>
      <c r="BD45" s="536"/>
      <c r="BE45" s="536"/>
      <c r="BF45" s="536"/>
      <c r="BG45" s="536"/>
      <c r="BH45" s="536"/>
      <c r="BI45" s="536"/>
      <c r="BJ45" s="536"/>
      <c r="BK45" s="536"/>
      <c r="BL45" s="536"/>
      <c r="BM45" s="536"/>
      <c r="BN45" s="536"/>
      <c r="BO45" s="536"/>
      <c r="BP45" s="536"/>
      <c r="BQ45" s="536"/>
      <c r="BR45" s="536"/>
      <c r="BS45" s="536"/>
      <c r="BT45" s="536"/>
      <c r="BU45" s="536"/>
      <c r="BV45" s="536"/>
      <c r="BW45" s="536"/>
      <c r="BX45" s="536"/>
      <c r="BY45" s="536"/>
      <c r="BZ45" s="536"/>
      <c r="CA45" s="536"/>
      <c r="CB45" s="536"/>
      <c r="CC45" s="536"/>
      <c r="CD45" s="536"/>
    </row>
    <row r="46" spans="1:82" x14ac:dyDescent="0.2">
      <c r="A46" s="536">
        <f t="shared" si="24"/>
        <v>3</v>
      </c>
      <c r="B46" s="536">
        <f t="shared" si="0"/>
        <v>2005</v>
      </c>
      <c r="C46" s="539">
        <v>38595</v>
      </c>
      <c r="D46" s="536" t="str">
        <f t="shared" si="1"/>
        <v>3Q05</v>
      </c>
      <c r="E46" s="540">
        <v>7.321667452444129</v>
      </c>
      <c r="F46" s="535"/>
      <c r="G46" s="536"/>
      <c r="H46" s="536"/>
      <c r="I46" s="536"/>
      <c r="J46" s="536"/>
      <c r="K46" s="536"/>
      <c r="L46" s="536"/>
      <c r="M46" s="536"/>
      <c r="N46" s="536"/>
      <c r="O46" s="536"/>
      <c r="P46" s="536"/>
      <c r="Q46" s="536"/>
      <c r="R46" s="536"/>
      <c r="S46" s="536"/>
      <c r="T46" s="536"/>
      <c r="U46" s="536"/>
      <c r="V46" s="536"/>
      <c r="W46" s="536"/>
      <c r="X46" s="536"/>
      <c r="Y46" s="536"/>
      <c r="Z46" s="536"/>
      <c r="AA46" s="536"/>
      <c r="AB46" s="536"/>
      <c r="AC46" s="536"/>
      <c r="AD46" s="536"/>
      <c r="AE46" s="536"/>
      <c r="AF46" s="536"/>
      <c r="AG46" s="536"/>
      <c r="AH46" s="536"/>
      <c r="AI46" s="536"/>
      <c r="AJ46" s="536"/>
      <c r="AK46" s="536"/>
      <c r="AL46" s="536"/>
      <c r="AM46" s="536"/>
      <c r="AN46" s="536"/>
      <c r="AO46" s="536"/>
      <c r="AP46" s="536"/>
      <c r="AQ46" s="536"/>
      <c r="AR46" s="536"/>
      <c r="AS46" s="536"/>
      <c r="AT46" s="536"/>
      <c r="AU46" s="536"/>
      <c r="AV46" s="536"/>
      <c r="AW46" s="536"/>
      <c r="AX46" s="536"/>
      <c r="AY46" s="536"/>
      <c r="AZ46" s="536"/>
      <c r="BA46" s="536"/>
      <c r="BB46" s="536"/>
      <c r="BC46" s="536"/>
      <c r="BD46" s="536"/>
      <c r="BE46" s="536"/>
      <c r="BF46" s="536"/>
      <c r="BG46" s="536"/>
      <c r="BH46" s="536"/>
      <c r="BI46" s="536"/>
      <c r="BJ46" s="536"/>
      <c r="BK46" s="536"/>
      <c r="BL46" s="536"/>
      <c r="BM46" s="536"/>
      <c r="BN46" s="536"/>
      <c r="BO46" s="536"/>
      <c r="BP46" s="536"/>
      <c r="BQ46" s="536"/>
      <c r="BR46" s="536"/>
      <c r="BS46" s="536"/>
      <c r="BT46" s="536"/>
      <c r="BU46" s="536"/>
      <c r="BV46" s="536"/>
      <c r="BW46" s="536"/>
      <c r="BX46" s="536"/>
      <c r="BY46" s="536"/>
      <c r="BZ46" s="536"/>
      <c r="CA46" s="536"/>
      <c r="CB46" s="536"/>
      <c r="CC46" s="536"/>
      <c r="CD46" s="536"/>
    </row>
    <row r="47" spans="1:82" x14ac:dyDescent="0.2">
      <c r="A47" s="536">
        <f t="shared" ref="A47:A78" si="81">A35</f>
        <v>3</v>
      </c>
      <c r="B47" s="536">
        <f t="shared" si="0"/>
        <v>2005</v>
      </c>
      <c r="C47" s="539">
        <v>38625</v>
      </c>
      <c r="D47" s="536" t="str">
        <f t="shared" si="1"/>
        <v>3Q05</v>
      </c>
      <c r="E47" s="540">
        <v>7.7466680657775946</v>
      </c>
      <c r="F47" s="535"/>
      <c r="G47" s="536"/>
      <c r="H47" s="536"/>
      <c r="I47" s="536"/>
      <c r="J47" s="536"/>
      <c r="K47" s="536"/>
      <c r="L47" s="536"/>
      <c r="M47" s="536"/>
      <c r="N47" s="536"/>
      <c r="O47" s="536"/>
      <c r="P47" s="536"/>
      <c r="Q47" s="536"/>
      <c r="R47" s="536"/>
      <c r="S47" s="536"/>
      <c r="T47" s="536"/>
      <c r="U47" s="536"/>
      <c r="V47" s="536"/>
      <c r="W47" s="536"/>
      <c r="X47" s="536"/>
      <c r="Y47" s="536"/>
      <c r="Z47" s="536"/>
      <c r="AA47" s="536"/>
      <c r="AB47" s="536"/>
      <c r="AC47" s="536"/>
      <c r="AD47" s="536"/>
      <c r="AE47" s="536"/>
      <c r="AF47" s="536"/>
      <c r="AG47" s="536"/>
      <c r="AH47" s="536"/>
      <c r="AI47" s="536"/>
      <c r="AJ47" s="536"/>
      <c r="AK47" s="536"/>
      <c r="AL47" s="536"/>
      <c r="AM47" s="536"/>
      <c r="AN47" s="536"/>
      <c r="AO47" s="536"/>
      <c r="AP47" s="536"/>
      <c r="AQ47" s="536"/>
      <c r="AR47" s="536"/>
      <c r="AS47" s="536"/>
      <c r="AT47" s="536"/>
      <c r="AU47" s="536"/>
      <c r="AV47" s="536"/>
      <c r="AW47" s="536"/>
      <c r="AX47" s="536"/>
      <c r="AY47" s="536"/>
      <c r="AZ47" s="536"/>
      <c r="BA47" s="536"/>
      <c r="BB47" s="536"/>
      <c r="BC47" s="536"/>
      <c r="BD47" s="536"/>
      <c r="BE47" s="536"/>
      <c r="BF47" s="536"/>
      <c r="BG47" s="536"/>
      <c r="BH47" s="536"/>
      <c r="BI47" s="536"/>
      <c r="BJ47" s="536"/>
      <c r="BK47" s="536"/>
      <c r="BL47" s="536"/>
      <c r="BM47" s="536"/>
      <c r="BN47" s="536"/>
      <c r="BO47" s="536"/>
      <c r="BP47" s="536"/>
      <c r="BQ47" s="536"/>
      <c r="BR47" s="536"/>
      <c r="BS47" s="536"/>
      <c r="BT47" s="536"/>
      <c r="BU47" s="536"/>
      <c r="BV47" s="536"/>
      <c r="BW47" s="536"/>
      <c r="BX47" s="536"/>
      <c r="BY47" s="536"/>
      <c r="BZ47" s="536"/>
      <c r="CA47" s="536"/>
      <c r="CB47" s="536"/>
      <c r="CC47" s="536"/>
      <c r="CD47" s="536"/>
    </row>
    <row r="48" spans="1:82" x14ac:dyDescent="0.2">
      <c r="A48" s="536">
        <f t="shared" si="81"/>
        <v>4</v>
      </c>
      <c r="B48" s="536">
        <f t="shared" si="0"/>
        <v>2005</v>
      </c>
      <c r="C48" s="539">
        <v>38656</v>
      </c>
      <c r="D48" s="536" t="str">
        <f t="shared" si="1"/>
        <v>4Q05</v>
      </c>
      <c r="E48" s="540">
        <v>7.6350017026665729</v>
      </c>
      <c r="F48" s="535"/>
      <c r="G48" s="536"/>
      <c r="H48" s="536"/>
      <c r="I48" s="536"/>
      <c r="J48" s="536"/>
      <c r="K48" s="536"/>
      <c r="L48" s="536"/>
      <c r="M48" s="536"/>
      <c r="N48" s="536"/>
      <c r="O48" s="536"/>
      <c r="P48" s="536"/>
      <c r="Q48" s="536"/>
      <c r="R48" s="536"/>
      <c r="S48" s="536"/>
      <c r="T48" s="536"/>
      <c r="U48" s="536"/>
      <c r="V48" s="536"/>
      <c r="W48" s="536"/>
      <c r="X48" s="536"/>
      <c r="Y48" s="536"/>
      <c r="Z48" s="536"/>
      <c r="AA48" s="536"/>
      <c r="AB48" s="536"/>
      <c r="AC48" s="536"/>
      <c r="AD48" s="536"/>
      <c r="AE48" s="536"/>
      <c r="AF48" s="536"/>
      <c r="AG48" s="536"/>
      <c r="AH48" s="536"/>
      <c r="AI48" s="536"/>
      <c r="AJ48" s="536"/>
      <c r="AK48" s="536"/>
      <c r="AL48" s="536"/>
      <c r="AM48" s="536"/>
      <c r="AN48" s="536"/>
      <c r="AO48" s="536"/>
      <c r="AP48" s="536"/>
      <c r="AQ48" s="536"/>
      <c r="AR48" s="536"/>
      <c r="AS48" s="536"/>
      <c r="AT48" s="536"/>
      <c r="AU48" s="536"/>
      <c r="AV48" s="536"/>
      <c r="AW48" s="536"/>
      <c r="AX48" s="536"/>
      <c r="AY48" s="536"/>
      <c r="AZ48" s="536"/>
      <c r="BA48" s="536"/>
      <c r="BB48" s="536"/>
      <c r="BC48" s="536"/>
      <c r="BD48" s="536"/>
      <c r="BE48" s="536"/>
      <c r="BF48" s="536"/>
      <c r="BG48" s="536"/>
      <c r="BH48" s="536"/>
      <c r="BI48" s="536"/>
      <c r="BJ48" s="536"/>
      <c r="BK48" s="536"/>
      <c r="BL48" s="536"/>
      <c r="BM48" s="536"/>
      <c r="BN48" s="536"/>
      <c r="BO48" s="536"/>
      <c r="BP48" s="536"/>
      <c r="BQ48" s="536"/>
      <c r="BR48" s="536"/>
      <c r="BS48" s="536"/>
      <c r="BT48" s="536"/>
      <c r="BU48" s="536"/>
      <c r="BV48" s="536"/>
      <c r="BW48" s="536"/>
      <c r="BX48" s="536"/>
      <c r="BY48" s="536"/>
      <c r="BZ48" s="536"/>
      <c r="CA48" s="536"/>
      <c r="CB48" s="536"/>
      <c r="CC48" s="536"/>
      <c r="CD48" s="536"/>
    </row>
    <row r="49" spans="1:82" x14ac:dyDescent="0.2">
      <c r="A49" s="536">
        <f t="shared" si="81"/>
        <v>4</v>
      </c>
      <c r="B49" s="536">
        <f t="shared" si="0"/>
        <v>2005</v>
      </c>
      <c r="C49" s="539">
        <v>38686</v>
      </c>
      <c r="D49" s="536" t="str">
        <f t="shared" si="1"/>
        <v>4Q05</v>
      </c>
      <c r="E49" s="540">
        <v>8.1066686617777286</v>
      </c>
      <c r="F49" s="535"/>
      <c r="G49" s="536"/>
      <c r="H49" s="536"/>
      <c r="I49" s="536"/>
      <c r="J49" s="536"/>
      <c r="K49" s="536"/>
      <c r="L49" s="536"/>
      <c r="M49" s="536"/>
      <c r="N49" s="536"/>
      <c r="O49" s="536"/>
      <c r="P49" s="536"/>
      <c r="Q49" s="536"/>
      <c r="R49" s="536"/>
      <c r="S49" s="536"/>
      <c r="T49" s="536"/>
      <c r="U49" s="536"/>
      <c r="V49" s="536"/>
      <c r="W49" s="536"/>
      <c r="X49" s="536"/>
      <c r="Y49" s="536"/>
      <c r="Z49" s="536"/>
      <c r="AA49" s="536"/>
      <c r="AB49" s="536"/>
      <c r="AC49" s="536"/>
      <c r="AD49" s="536"/>
      <c r="AE49" s="536"/>
      <c r="AF49" s="536"/>
      <c r="AG49" s="536"/>
      <c r="AH49" s="536"/>
      <c r="AI49" s="536"/>
      <c r="AJ49" s="536"/>
      <c r="AK49" s="536"/>
      <c r="AL49" s="536"/>
      <c r="AM49" s="536"/>
      <c r="AN49" s="536"/>
      <c r="AO49" s="536"/>
      <c r="AP49" s="536"/>
      <c r="AQ49" s="536"/>
      <c r="AR49" s="536"/>
      <c r="AS49" s="536"/>
      <c r="AT49" s="536"/>
      <c r="AU49" s="536"/>
      <c r="AV49" s="536"/>
      <c r="AW49" s="536"/>
      <c r="AX49" s="536"/>
      <c r="AY49" s="536"/>
      <c r="AZ49" s="536"/>
      <c r="BA49" s="536"/>
      <c r="BB49" s="536"/>
      <c r="BC49" s="536"/>
      <c r="BD49" s="536"/>
      <c r="BE49" s="536"/>
      <c r="BF49" s="536"/>
      <c r="BG49" s="536"/>
      <c r="BH49" s="536"/>
      <c r="BI49" s="536"/>
      <c r="BJ49" s="536"/>
      <c r="BK49" s="536"/>
      <c r="BL49" s="536"/>
      <c r="BM49" s="536"/>
      <c r="BN49" s="536"/>
      <c r="BO49" s="536"/>
      <c r="BP49" s="536"/>
      <c r="BQ49" s="536"/>
      <c r="BR49" s="536"/>
      <c r="BS49" s="536"/>
      <c r="BT49" s="536"/>
      <c r="BU49" s="536"/>
      <c r="BV49" s="536"/>
      <c r="BW49" s="536"/>
      <c r="BX49" s="536"/>
      <c r="BY49" s="536"/>
      <c r="BZ49" s="536"/>
      <c r="CA49" s="536"/>
      <c r="CB49" s="536"/>
      <c r="CC49" s="536"/>
      <c r="CD49" s="536"/>
    </row>
    <row r="50" spans="1:82" x14ac:dyDescent="0.2">
      <c r="A50" s="536">
        <f t="shared" si="81"/>
        <v>4</v>
      </c>
      <c r="B50" s="536">
        <f t="shared" si="0"/>
        <v>2005</v>
      </c>
      <c r="C50" s="539">
        <v>38717</v>
      </c>
      <c r="D50" s="536" t="str">
        <f t="shared" si="1"/>
        <v>4Q05</v>
      </c>
      <c r="E50" s="540">
        <v>8.4616670897772845</v>
      </c>
      <c r="F50" s="535"/>
      <c r="G50" s="536"/>
      <c r="H50" s="536"/>
      <c r="I50" s="536"/>
      <c r="J50" s="536"/>
      <c r="K50" s="536"/>
      <c r="L50" s="536"/>
      <c r="M50" s="536"/>
      <c r="N50" s="536"/>
      <c r="O50" s="536"/>
      <c r="P50" s="536"/>
      <c r="Q50" s="536"/>
      <c r="R50" s="536"/>
      <c r="S50" s="536"/>
      <c r="T50" s="536"/>
      <c r="U50" s="536"/>
      <c r="V50" s="536"/>
      <c r="W50" s="536"/>
      <c r="X50" s="536"/>
      <c r="Y50" s="536"/>
      <c r="Z50" s="536"/>
      <c r="AA50" s="536"/>
      <c r="AB50" s="536"/>
      <c r="AC50" s="536"/>
      <c r="AD50" s="536"/>
      <c r="AE50" s="536"/>
      <c r="AF50" s="536"/>
      <c r="AG50" s="536"/>
      <c r="AH50" s="536"/>
      <c r="AI50" s="536"/>
      <c r="AJ50" s="536"/>
      <c r="AK50" s="536"/>
      <c r="AL50" s="536"/>
      <c r="AM50" s="536"/>
      <c r="AN50" s="536"/>
      <c r="AO50" s="536"/>
      <c r="AP50" s="536"/>
      <c r="AQ50" s="536"/>
      <c r="AR50" s="536"/>
      <c r="AS50" s="536"/>
      <c r="AT50" s="536"/>
      <c r="AU50" s="536"/>
      <c r="AV50" s="536"/>
      <c r="AW50" s="536"/>
      <c r="AX50" s="536"/>
      <c r="AY50" s="536"/>
      <c r="AZ50" s="536"/>
      <c r="BA50" s="536"/>
      <c r="BB50" s="536"/>
      <c r="BC50" s="536"/>
      <c r="BD50" s="536"/>
      <c r="BE50" s="536"/>
      <c r="BF50" s="536"/>
      <c r="BG50" s="536"/>
      <c r="BH50" s="536"/>
      <c r="BI50" s="536"/>
      <c r="BJ50" s="536"/>
      <c r="BK50" s="536"/>
      <c r="BL50" s="536"/>
      <c r="BM50" s="536"/>
      <c r="BN50" s="536"/>
      <c r="BO50" s="536"/>
      <c r="BP50" s="536"/>
      <c r="BQ50" s="536"/>
      <c r="BR50" s="536"/>
      <c r="BS50" s="536"/>
      <c r="BT50" s="536"/>
      <c r="BU50" s="536"/>
      <c r="BV50" s="536"/>
      <c r="BW50" s="536"/>
      <c r="BX50" s="536"/>
      <c r="BY50" s="536"/>
      <c r="BZ50" s="536"/>
      <c r="CA50" s="536"/>
      <c r="CB50" s="536"/>
      <c r="CC50" s="536"/>
      <c r="CD50" s="536"/>
    </row>
    <row r="51" spans="1:82" x14ac:dyDescent="0.2">
      <c r="A51" s="536">
        <f t="shared" si="81"/>
        <v>1</v>
      </c>
      <c r="B51" s="536">
        <f t="shared" si="0"/>
        <v>2006</v>
      </c>
      <c r="C51" s="539">
        <v>38748</v>
      </c>
      <c r="D51" s="536" t="str">
        <f t="shared" si="1"/>
        <v>1Q06</v>
      </c>
      <c r="E51" s="540">
        <v>8.9216688791110599</v>
      </c>
      <c r="F51" s="535"/>
      <c r="G51" s="536"/>
      <c r="H51" s="536"/>
      <c r="I51" s="536"/>
      <c r="J51" s="536"/>
      <c r="K51" s="536"/>
      <c r="L51" s="536"/>
      <c r="M51" s="536"/>
      <c r="N51" s="536"/>
      <c r="O51" s="536"/>
      <c r="P51" s="536"/>
      <c r="Q51" s="536"/>
      <c r="R51" s="536"/>
      <c r="S51" s="536"/>
      <c r="T51" s="536"/>
      <c r="U51" s="536"/>
      <c r="V51" s="536"/>
      <c r="W51" s="536"/>
      <c r="X51" s="536"/>
      <c r="Y51" s="536"/>
      <c r="Z51" s="536"/>
      <c r="AA51" s="536"/>
      <c r="AB51" s="536"/>
      <c r="AC51" s="536"/>
      <c r="AD51" s="536"/>
      <c r="AE51" s="536"/>
      <c r="AF51" s="536"/>
      <c r="AG51" s="536"/>
      <c r="AH51" s="536"/>
      <c r="AI51" s="536"/>
      <c r="AJ51" s="536"/>
      <c r="AK51" s="536"/>
      <c r="AL51" s="536"/>
      <c r="AM51" s="536"/>
      <c r="AN51" s="536"/>
      <c r="AO51" s="536"/>
      <c r="AP51" s="536"/>
      <c r="AQ51" s="536"/>
      <c r="AR51" s="536"/>
      <c r="AS51" s="536"/>
      <c r="AT51" s="536"/>
      <c r="AU51" s="536"/>
      <c r="AV51" s="536"/>
      <c r="AW51" s="536"/>
      <c r="AX51" s="536"/>
      <c r="AY51" s="536"/>
      <c r="AZ51" s="536"/>
      <c r="BA51" s="536"/>
      <c r="BB51" s="536"/>
      <c r="BC51" s="536"/>
      <c r="BD51" s="536"/>
      <c r="BE51" s="536"/>
      <c r="BF51" s="536"/>
      <c r="BG51" s="536"/>
      <c r="BH51" s="536"/>
      <c r="BI51" s="536"/>
      <c r="BJ51" s="536"/>
      <c r="BK51" s="536"/>
      <c r="BL51" s="536"/>
      <c r="BM51" s="536"/>
      <c r="BN51" s="536"/>
      <c r="BO51" s="536"/>
      <c r="BP51" s="536"/>
      <c r="BQ51" s="536"/>
      <c r="BR51" s="536"/>
      <c r="BS51" s="536"/>
      <c r="BT51" s="536"/>
      <c r="BU51" s="536"/>
      <c r="BV51" s="536"/>
      <c r="BW51" s="536"/>
      <c r="BX51" s="536"/>
      <c r="BY51" s="536"/>
      <c r="BZ51" s="536"/>
      <c r="CA51" s="536"/>
      <c r="CB51" s="536"/>
      <c r="CC51" s="536"/>
      <c r="CD51" s="536"/>
    </row>
    <row r="52" spans="1:82" x14ac:dyDescent="0.2">
      <c r="A52" s="536">
        <f t="shared" si="81"/>
        <v>1</v>
      </c>
      <c r="B52" s="536">
        <f t="shared" si="0"/>
        <v>2006</v>
      </c>
      <c r="C52" s="539">
        <v>38776</v>
      </c>
      <c r="D52" s="536" t="str">
        <f t="shared" si="1"/>
        <v>1Q06</v>
      </c>
      <c r="E52" s="540">
        <v>9.2300007946662159</v>
      </c>
      <c r="F52" s="535"/>
      <c r="G52" s="536"/>
      <c r="H52" s="536"/>
      <c r="I52" s="536"/>
      <c r="J52" s="536"/>
      <c r="K52" s="536"/>
      <c r="L52" s="536"/>
      <c r="M52" s="536"/>
      <c r="N52" s="536"/>
      <c r="O52" s="536"/>
      <c r="P52" s="536"/>
      <c r="Q52" s="536"/>
      <c r="R52" s="536"/>
      <c r="S52" s="536"/>
      <c r="T52" s="536"/>
      <c r="U52" s="536"/>
      <c r="V52" s="536"/>
      <c r="W52" s="536"/>
      <c r="X52" s="536"/>
      <c r="Y52" s="536"/>
      <c r="Z52" s="536"/>
      <c r="AA52" s="536"/>
      <c r="AB52" s="536"/>
      <c r="AC52" s="536"/>
      <c r="AD52" s="536"/>
      <c r="AE52" s="536"/>
      <c r="AF52" s="536"/>
      <c r="AG52" s="536"/>
      <c r="AH52" s="536"/>
      <c r="AI52" s="536"/>
      <c r="AJ52" s="536"/>
      <c r="AK52" s="536"/>
      <c r="AL52" s="536"/>
      <c r="AM52" s="536"/>
      <c r="AN52" s="536"/>
      <c r="AO52" s="536"/>
      <c r="AP52" s="536"/>
      <c r="AQ52" s="536"/>
      <c r="AR52" s="536"/>
      <c r="AS52" s="536"/>
      <c r="AT52" s="536"/>
      <c r="AU52" s="536"/>
      <c r="AV52" s="536"/>
      <c r="AW52" s="536"/>
      <c r="AX52" s="536"/>
      <c r="AY52" s="536"/>
      <c r="AZ52" s="536"/>
      <c r="BA52" s="536"/>
      <c r="BB52" s="536"/>
      <c r="BC52" s="536"/>
      <c r="BD52" s="536"/>
      <c r="BE52" s="536"/>
      <c r="BF52" s="536"/>
      <c r="BG52" s="536"/>
      <c r="BH52" s="536"/>
      <c r="BI52" s="536"/>
      <c r="BJ52" s="536"/>
      <c r="BK52" s="536"/>
      <c r="BL52" s="536"/>
      <c r="BM52" s="536"/>
      <c r="BN52" s="536"/>
      <c r="BO52" s="536"/>
      <c r="BP52" s="536"/>
      <c r="BQ52" s="536"/>
      <c r="BR52" s="536"/>
      <c r="BS52" s="536"/>
      <c r="BT52" s="536"/>
      <c r="BU52" s="536"/>
      <c r="BV52" s="536"/>
      <c r="BW52" s="536"/>
      <c r="BX52" s="536"/>
      <c r="BY52" s="536"/>
      <c r="BZ52" s="536"/>
      <c r="CA52" s="536"/>
      <c r="CB52" s="536"/>
      <c r="CC52" s="536"/>
      <c r="CD52" s="536"/>
    </row>
    <row r="53" spans="1:82" x14ac:dyDescent="0.2">
      <c r="A53" s="536">
        <f t="shared" si="81"/>
        <v>1</v>
      </c>
      <c r="B53" s="536">
        <f t="shared" si="0"/>
        <v>2006</v>
      </c>
      <c r="C53" s="539">
        <v>38807</v>
      </c>
      <c r="D53" s="536" t="str">
        <f t="shared" si="1"/>
        <v>1Q06</v>
      </c>
      <c r="E53" s="540">
        <v>9.9666673244439039</v>
      </c>
      <c r="F53" s="535"/>
      <c r="G53" s="536"/>
      <c r="H53" s="536"/>
      <c r="I53" s="536"/>
      <c r="J53" s="536"/>
      <c r="K53" s="536"/>
      <c r="L53" s="536"/>
      <c r="M53" s="536"/>
      <c r="N53" s="536"/>
      <c r="O53" s="536"/>
      <c r="P53" s="536"/>
      <c r="Q53" s="536"/>
      <c r="R53" s="536"/>
      <c r="S53" s="536"/>
      <c r="T53" s="536"/>
      <c r="U53" s="536"/>
      <c r="V53" s="536"/>
      <c r="W53" s="536"/>
      <c r="X53" s="536"/>
      <c r="Y53" s="536"/>
      <c r="Z53" s="536"/>
      <c r="AA53" s="536"/>
      <c r="AB53" s="536"/>
      <c r="AC53" s="536"/>
      <c r="AD53" s="536"/>
      <c r="AE53" s="536"/>
      <c r="AF53" s="536"/>
      <c r="AG53" s="536"/>
      <c r="AH53" s="536"/>
      <c r="AI53" s="536"/>
      <c r="AJ53" s="536"/>
      <c r="AK53" s="536"/>
      <c r="AL53" s="536"/>
      <c r="AM53" s="536"/>
      <c r="AN53" s="536"/>
      <c r="AO53" s="536"/>
      <c r="AP53" s="536"/>
      <c r="AQ53" s="536"/>
      <c r="AR53" s="536"/>
      <c r="AS53" s="536"/>
      <c r="AT53" s="536"/>
      <c r="AU53" s="536"/>
      <c r="AV53" s="536"/>
      <c r="AW53" s="536"/>
      <c r="AX53" s="536"/>
      <c r="AY53" s="536"/>
      <c r="AZ53" s="536"/>
      <c r="BA53" s="536"/>
      <c r="BB53" s="536"/>
      <c r="BC53" s="536"/>
      <c r="BD53" s="536"/>
      <c r="BE53" s="536"/>
      <c r="BF53" s="536"/>
      <c r="BG53" s="536"/>
      <c r="BH53" s="536"/>
      <c r="BI53" s="536"/>
      <c r="BJ53" s="536"/>
      <c r="BK53" s="536"/>
      <c r="BL53" s="536"/>
      <c r="BM53" s="536"/>
      <c r="BN53" s="536"/>
      <c r="BO53" s="536"/>
      <c r="BP53" s="536"/>
      <c r="BQ53" s="536"/>
      <c r="BR53" s="536"/>
      <c r="BS53" s="536"/>
      <c r="BT53" s="536"/>
      <c r="BU53" s="536"/>
      <c r="BV53" s="536"/>
      <c r="BW53" s="536"/>
      <c r="BX53" s="536"/>
      <c r="BY53" s="536"/>
      <c r="BZ53" s="536"/>
      <c r="CA53" s="536"/>
      <c r="CB53" s="536"/>
      <c r="CC53" s="536"/>
      <c r="CD53" s="536"/>
    </row>
    <row r="54" spans="1:82" x14ac:dyDescent="0.2">
      <c r="A54" s="536">
        <f t="shared" si="81"/>
        <v>2</v>
      </c>
      <c r="B54" s="536">
        <f t="shared" si="0"/>
        <v>2006</v>
      </c>
      <c r="C54" s="539">
        <v>38837</v>
      </c>
      <c r="D54" s="536" t="str">
        <f t="shared" si="1"/>
        <v>2Q06</v>
      </c>
      <c r="E54" s="540">
        <v>11.415001377332883</v>
      </c>
      <c r="F54" s="535"/>
      <c r="G54" s="536"/>
      <c r="H54" s="536"/>
      <c r="I54" s="536"/>
      <c r="J54" s="536"/>
      <c r="K54" s="536"/>
      <c r="L54" s="536"/>
      <c r="M54" s="536"/>
      <c r="N54" s="536"/>
      <c r="O54" s="536"/>
      <c r="P54" s="536"/>
      <c r="Q54" s="536"/>
      <c r="R54" s="536"/>
      <c r="S54" s="536"/>
      <c r="T54" s="536"/>
      <c r="U54" s="536"/>
      <c r="V54" s="536"/>
      <c r="W54" s="536"/>
      <c r="X54" s="536"/>
      <c r="Y54" s="536"/>
      <c r="Z54" s="536"/>
      <c r="AA54" s="536"/>
      <c r="AB54" s="536"/>
      <c r="AC54" s="536"/>
      <c r="AD54" s="536"/>
      <c r="AE54" s="536"/>
      <c r="AF54" s="536"/>
      <c r="AG54" s="536"/>
      <c r="AH54" s="536"/>
      <c r="AI54" s="536"/>
      <c r="AJ54" s="536"/>
      <c r="AK54" s="536"/>
      <c r="AL54" s="536"/>
      <c r="AM54" s="536"/>
      <c r="AN54" s="536"/>
      <c r="AO54" s="536"/>
      <c r="AP54" s="536"/>
      <c r="AQ54" s="536"/>
      <c r="AR54" s="536"/>
      <c r="AS54" s="536"/>
      <c r="AT54" s="536"/>
      <c r="AU54" s="536"/>
      <c r="AV54" s="536"/>
      <c r="AW54" s="536"/>
      <c r="AX54" s="536"/>
      <c r="AY54" s="536"/>
      <c r="AZ54" s="536"/>
      <c r="BA54" s="536"/>
      <c r="BB54" s="536"/>
      <c r="BC54" s="536"/>
      <c r="BD54" s="536"/>
      <c r="BE54" s="536"/>
      <c r="BF54" s="536"/>
      <c r="BG54" s="536"/>
      <c r="BH54" s="536"/>
      <c r="BI54" s="536"/>
      <c r="BJ54" s="536"/>
      <c r="BK54" s="536"/>
      <c r="BL54" s="536"/>
      <c r="BM54" s="536"/>
      <c r="BN54" s="536"/>
      <c r="BO54" s="536"/>
      <c r="BP54" s="536"/>
      <c r="BQ54" s="536"/>
      <c r="BR54" s="536"/>
      <c r="BS54" s="536"/>
      <c r="BT54" s="536"/>
      <c r="BU54" s="536"/>
      <c r="BV54" s="536"/>
      <c r="BW54" s="536"/>
      <c r="BX54" s="536"/>
      <c r="BY54" s="536"/>
      <c r="BZ54" s="536"/>
      <c r="CA54" s="536"/>
      <c r="CB54" s="536"/>
      <c r="CC54" s="536"/>
      <c r="CD54" s="536"/>
    </row>
    <row r="55" spans="1:82" x14ac:dyDescent="0.2">
      <c r="A55" s="536">
        <f t="shared" si="81"/>
        <v>2</v>
      </c>
      <c r="B55" s="536">
        <f t="shared" si="0"/>
        <v>2006</v>
      </c>
      <c r="C55" s="539">
        <v>38868</v>
      </c>
      <c r="D55" s="536" t="str">
        <f t="shared" si="1"/>
        <v>2Q06</v>
      </c>
      <c r="E55" s="540">
        <v>11.153335974222127</v>
      </c>
      <c r="F55" s="535"/>
      <c r="G55" s="536"/>
      <c r="H55" s="536"/>
      <c r="I55" s="536"/>
      <c r="J55" s="536"/>
      <c r="K55" s="536"/>
      <c r="L55" s="536"/>
      <c r="M55" s="536"/>
      <c r="N55" s="536"/>
      <c r="O55" s="536"/>
      <c r="P55" s="536"/>
      <c r="Q55" s="536"/>
      <c r="R55" s="536"/>
      <c r="S55" s="536"/>
      <c r="T55" s="536"/>
      <c r="U55" s="536"/>
      <c r="V55" s="536"/>
      <c r="W55" s="536"/>
      <c r="X55" s="536"/>
      <c r="Y55" s="536"/>
      <c r="Z55" s="536"/>
      <c r="AA55" s="536"/>
      <c r="AB55" s="536"/>
      <c r="AC55" s="536"/>
      <c r="AD55" s="536"/>
      <c r="AE55" s="536"/>
      <c r="AF55" s="536"/>
      <c r="AG55" s="536"/>
      <c r="AH55" s="536"/>
      <c r="AI55" s="536"/>
      <c r="AJ55" s="536"/>
      <c r="AK55" s="536"/>
      <c r="AL55" s="536"/>
      <c r="AM55" s="536"/>
      <c r="AN55" s="536"/>
      <c r="AO55" s="536"/>
      <c r="AP55" s="536"/>
      <c r="AQ55" s="536"/>
      <c r="AR55" s="536"/>
      <c r="AS55" s="536"/>
      <c r="AT55" s="536"/>
      <c r="AU55" s="536"/>
      <c r="AV55" s="536"/>
      <c r="AW55" s="536"/>
      <c r="AX55" s="536"/>
      <c r="AY55" s="536"/>
      <c r="AZ55" s="536"/>
      <c r="BA55" s="536"/>
      <c r="BB55" s="536"/>
      <c r="BC55" s="536"/>
      <c r="BD55" s="536"/>
      <c r="BE55" s="536"/>
      <c r="BF55" s="536"/>
      <c r="BG55" s="536"/>
      <c r="BH55" s="536"/>
      <c r="BI55" s="536"/>
      <c r="BJ55" s="536"/>
      <c r="BK55" s="536"/>
      <c r="BL55" s="536"/>
      <c r="BM55" s="536"/>
      <c r="BN55" s="536"/>
      <c r="BO55" s="536"/>
      <c r="BP55" s="536"/>
      <c r="BQ55" s="536"/>
      <c r="BR55" s="536"/>
      <c r="BS55" s="536"/>
      <c r="BT55" s="536"/>
      <c r="BU55" s="536"/>
      <c r="BV55" s="536"/>
      <c r="BW55" s="536"/>
      <c r="BX55" s="536"/>
      <c r="BY55" s="536"/>
      <c r="BZ55" s="536"/>
      <c r="CA55" s="536"/>
      <c r="CB55" s="536"/>
      <c r="CC55" s="536"/>
      <c r="CD55" s="536"/>
    </row>
    <row r="56" spans="1:82" x14ac:dyDescent="0.2">
      <c r="A56" s="536">
        <f t="shared" si="81"/>
        <v>2</v>
      </c>
      <c r="B56" s="536">
        <f t="shared" si="0"/>
        <v>2006</v>
      </c>
      <c r="C56" s="539">
        <v>38898</v>
      </c>
      <c r="D56" s="536" t="str">
        <f t="shared" si="1"/>
        <v>2Q06</v>
      </c>
      <c r="E56" s="540">
        <v>11.740000963999416</v>
      </c>
      <c r="F56" s="535"/>
      <c r="G56" s="536"/>
      <c r="H56" s="536"/>
      <c r="I56" s="536"/>
      <c r="J56" s="536"/>
      <c r="K56" s="536"/>
      <c r="L56" s="536"/>
      <c r="M56" s="536"/>
      <c r="N56" s="536"/>
      <c r="O56" s="536"/>
      <c r="P56" s="536"/>
      <c r="Q56" s="536"/>
      <c r="R56" s="536"/>
      <c r="S56" s="536"/>
      <c r="T56" s="536"/>
      <c r="U56" s="536"/>
      <c r="V56" s="536"/>
      <c r="W56" s="536"/>
      <c r="X56" s="536"/>
      <c r="Y56" s="536"/>
      <c r="Z56" s="536"/>
      <c r="AA56" s="536"/>
      <c r="AB56" s="536"/>
      <c r="AC56" s="536"/>
      <c r="AD56" s="536"/>
      <c r="AE56" s="536"/>
      <c r="AF56" s="536"/>
      <c r="AG56" s="536"/>
      <c r="AH56" s="536"/>
      <c r="AI56" s="536"/>
      <c r="AJ56" s="536"/>
      <c r="AK56" s="536"/>
      <c r="AL56" s="536"/>
      <c r="AM56" s="536"/>
      <c r="AN56" s="536"/>
      <c r="AO56" s="536"/>
      <c r="AP56" s="536"/>
      <c r="AQ56" s="536"/>
      <c r="AR56" s="536"/>
      <c r="AS56" s="536"/>
      <c r="AT56" s="536"/>
      <c r="AU56" s="536"/>
      <c r="AV56" s="536"/>
      <c r="AW56" s="536"/>
      <c r="AX56" s="536"/>
      <c r="AY56" s="536"/>
      <c r="AZ56" s="536"/>
      <c r="BA56" s="536"/>
      <c r="BB56" s="536"/>
      <c r="BC56" s="536"/>
      <c r="BD56" s="536"/>
      <c r="BE56" s="536"/>
      <c r="BF56" s="536"/>
      <c r="BG56" s="536"/>
      <c r="BH56" s="536"/>
      <c r="BI56" s="536"/>
      <c r="BJ56" s="536"/>
      <c r="BK56" s="536"/>
      <c r="BL56" s="536"/>
      <c r="BM56" s="536"/>
      <c r="BN56" s="536"/>
      <c r="BO56" s="536"/>
      <c r="BP56" s="536"/>
      <c r="BQ56" s="536"/>
      <c r="BR56" s="536"/>
      <c r="BS56" s="536"/>
      <c r="BT56" s="536"/>
      <c r="BU56" s="536"/>
      <c r="BV56" s="536"/>
      <c r="BW56" s="536"/>
      <c r="BX56" s="536"/>
      <c r="BY56" s="536"/>
      <c r="BZ56" s="536"/>
      <c r="CA56" s="536"/>
      <c r="CB56" s="536"/>
      <c r="CC56" s="536"/>
      <c r="CD56" s="536"/>
    </row>
    <row r="57" spans="1:82" x14ac:dyDescent="0.2">
      <c r="A57" s="536">
        <f t="shared" si="81"/>
        <v>3</v>
      </c>
      <c r="B57" s="536">
        <f t="shared" si="0"/>
        <v>2006</v>
      </c>
      <c r="C57" s="539">
        <v>38929</v>
      </c>
      <c r="D57" s="536" t="str">
        <f t="shared" si="1"/>
        <v>3Q06</v>
      </c>
      <c r="E57" s="540">
        <v>10.113334863555238</v>
      </c>
      <c r="F57" s="535"/>
      <c r="G57" s="536"/>
      <c r="H57" s="536"/>
      <c r="I57" s="536"/>
      <c r="J57" s="536"/>
      <c r="K57" s="536"/>
      <c r="L57" s="536"/>
      <c r="M57" s="536"/>
      <c r="N57" s="536"/>
      <c r="O57" s="536"/>
      <c r="P57" s="536"/>
      <c r="Q57" s="536"/>
      <c r="R57" s="536"/>
      <c r="S57" s="536"/>
      <c r="T57" s="536"/>
      <c r="U57" s="536"/>
      <c r="V57" s="536"/>
      <c r="W57" s="536"/>
      <c r="X57" s="536"/>
      <c r="Y57" s="536"/>
      <c r="Z57" s="536"/>
      <c r="AA57" s="536"/>
      <c r="AB57" s="536"/>
      <c r="AC57" s="536"/>
      <c r="AD57" s="536"/>
      <c r="AE57" s="536"/>
      <c r="AF57" s="536"/>
      <c r="AG57" s="536"/>
      <c r="AH57" s="536"/>
      <c r="AI57" s="536"/>
      <c r="AJ57" s="536"/>
      <c r="AK57" s="536"/>
      <c r="AL57" s="536"/>
      <c r="AM57" s="536"/>
      <c r="AN57" s="536"/>
      <c r="AO57" s="536"/>
      <c r="AP57" s="536"/>
      <c r="AQ57" s="536"/>
      <c r="AR57" s="536"/>
      <c r="AS57" s="536"/>
      <c r="AT57" s="536"/>
      <c r="AU57" s="536"/>
      <c r="AV57" s="536"/>
      <c r="AW57" s="536"/>
      <c r="AX57" s="536"/>
      <c r="AY57" s="536"/>
      <c r="AZ57" s="536"/>
      <c r="BA57" s="536"/>
      <c r="BB57" s="536"/>
      <c r="BC57" s="536"/>
      <c r="BD57" s="536"/>
      <c r="BE57" s="536"/>
      <c r="BF57" s="536"/>
      <c r="BG57" s="536"/>
      <c r="BH57" s="536"/>
      <c r="BI57" s="536"/>
      <c r="BJ57" s="536"/>
      <c r="BK57" s="536"/>
      <c r="BL57" s="536"/>
      <c r="BM57" s="536"/>
      <c r="BN57" s="536"/>
      <c r="BO57" s="536"/>
      <c r="BP57" s="536"/>
      <c r="BQ57" s="536"/>
      <c r="BR57" s="536"/>
      <c r="BS57" s="536"/>
      <c r="BT57" s="536"/>
      <c r="BU57" s="536"/>
      <c r="BV57" s="536"/>
      <c r="BW57" s="536"/>
      <c r="BX57" s="536"/>
      <c r="BY57" s="536"/>
      <c r="BZ57" s="536"/>
      <c r="CA57" s="536"/>
      <c r="CB57" s="536"/>
      <c r="CC57" s="536"/>
      <c r="CD57" s="536"/>
    </row>
    <row r="58" spans="1:82" x14ac:dyDescent="0.2">
      <c r="A58" s="536">
        <f t="shared" si="81"/>
        <v>3</v>
      </c>
      <c r="B58" s="536">
        <f t="shared" si="0"/>
        <v>2006</v>
      </c>
      <c r="C58" s="539">
        <v>38960</v>
      </c>
      <c r="D58" s="536" t="str">
        <f t="shared" si="1"/>
        <v>3Q06</v>
      </c>
      <c r="E58" s="540">
        <v>10.073328666666656</v>
      </c>
      <c r="F58" s="535"/>
      <c r="G58" s="536"/>
      <c r="H58" s="536"/>
      <c r="I58" s="536"/>
      <c r="J58" s="536"/>
      <c r="K58" s="536"/>
      <c r="L58" s="536"/>
      <c r="M58" s="536"/>
      <c r="N58" s="536"/>
      <c r="O58" s="536"/>
      <c r="P58" s="536"/>
      <c r="Q58" s="536"/>
      <c r="R58" s="536"/>
      <c r="S58" s="536"/>
      <c r="T58" s="536"/>
      <c r="U58" s="536"/>
      <c r="V58" s="536"/>
      <c r="W58" s="536"/>
      <c r="X58" s="536"/>
      <c r="Y58" s="536"/>
      <c r="Z58" s="536"/>
      <c r="AA58" s="536"/>
      <c r="AB58" s="536"/>
      <c r="AC58" s="536"/>
      <c r="AD58" s="536"/>
      <c r="AE58" s="536"/>
      <c r="AF58" s="536"/>
      <c r="AG58" s="536"/>
      <c r="AH58" s="536"/>
      <c r="AI58" s="536"/>
      <c r="AJ58" s="536"/>
      <c r="AK58" s="536"/>
      <c r="AL58" s="536"/>
      <c r="AM58" s="536"/>
      <c r="AN58" s="536"/>
      <c r="AO58" s="536"/>
      <c r="AP58" s="536"/>
      <c r="AQ58" s="536"/>
      <c r="AR58" s="536"/>
      <c r="AS58" s="536"/>
      <c r="AT58" s="536"/>
      <c r="AU58" s="536"/>
      <c r="AV58" s="536"/>
      <c r="AW58" s="536"/>
      <c r="AX58" s="536"/>
      <c r="AY58" s="536"/>
      <c r="AZ58" s="536"/>
      <c r="BA58" s="536"/>
      <c r="BB58" s="536"/>
      <c r="BC58" s="536"/>
      <c r="BD58" s="536"/>
      <c r="BE58" s="536"/>
      <c r="BF58" s="536"/>
      <c r="BG58" s="536"/>
      <c r="BH58" s="536"/>
      <c r="BI58" s="536"/>
      <c r="BJ58" s="536"/>
      <c r="BK58" s="536"/>
      <c r="BL58" s="536"/>
      <c r="BM58" s="536"/>
      <c r="BN58" s="536"/>
      <c r="BO58" s="536"/>
      <c r="BP58" s="536"/>
      <c r="BQ58" s="536"/>
      <c r="BR58" s="536"/>
      <c r="BS58" s="536"/>
      <c r="BT58" s="536"/>
      <c r="BU58" s="536"/>
      <c r="BV58" s="536"/>
      <c r="BW58" s="536"/>
      <c r="BX58" s="536"/>
      <c r="BY58" s="536"/>
      <c r="BZ58" s="536"/>
      <c r="CA58" s="536"/>
      <c r="CB58" s="536"/>
      <c r="CC58" s="536"/>
      <c r="CD58" s="536"/>
    </row>
    <row r="59" spans="1:82" x14ac:dyDescent="0.2">
      <c r="A59" s="536">
        <f t="shared" si="81"/>
        <v>3</v>
      </c>
      <c r="B59" s="536">
        <f t="shared" si="0"/>
        <v>2006</v>
      </c>
      <c r="C59" s="539">
        <v>38990</v>
      </c>
      <c r="D59" s="536" t="str">
        <f t="shared" si="1"/>
        <v>3Q06</v>
      </c>
      <c r="E59" s="540">
        <v>10.94332899999999</v>
      </c>
      <c r="F59" s="535"/>
      <c r="G59" s="536"/>
      <c r="H59" s="536"/>
      <c r="I59" s="536"/>
      <c r="J59" s="536"/>
      <c r="K59" s="536"/>
      <c r="L59" s="536"/>
      <c r="M59" s="536"/>
      <c r="N59" s="536"/>
      <c r="O59" s="536"/>
      <c r="P59" s="536"/>
      <c r="Q59" s="536"/>
      <c r="R59" s="536"/>
      <c r="S59" s="536"/>
      <c r="T59" s="536"/>
      <c r="U59" s="536"/>
      <c r="V59" s="536"/>
      <c r="W59" s="536"/>
      <c r="X59" s="536"/>
      <c r="Y59" s="536"/>
      <c r="Z59" s="536"/>
      <c r="AA59" s="536"/>
      <c r="AB59" s="536"/>
      <c r="AC59" s="536"/>
      <c r="AD59" s="536"/>
      <c r="AE59" s="536"/>
      <c r="AF59" s="536"/>
      <c r="AG59" s="536"/>
      <c r="AH59" s="536"/>
      <c r="AI59" s="536"/>
      <c r="AJ59" s="536"/>
      <c r="AK59" s="536"/>
      <c r="AL59" s="536"/>
      <c r="AM59" s="536"/>
      <c r="AN59" s="536"/>
      <c r="AO59" s="536"/>
      <c r="AP59" s="536"/>
      <c r="AQ59" s="536"/>
      <c r="AR59" s="536"/>
      <c r="AS59" s="536"/>
      <c r="AT59" s="536"/>
      <c r="AU59" s="536"/>
      <c r="AV59" s="536"/>
      <c r="AW59" s="536"/>
      <c r="AX59" s="536"/>
      <c r="AY59" s="536"/>
      <c r="AZ59" s="536"/>
      <c r="BA59" s="536"/>
      <c r="BB59" s="536"/>
      <c r="BC59" s="536"/>
      <c r="BD59" s="536"/>
      <c r="BE59" s="536"/>
      <c r="BF59" s="536"/>
      <c r="BG59" s="536"/>
      <c r="BH59" s="536"/>
      <c r="BI59" s="536"/>
      <c r="BJ59" s="536"/>
      <c r="BK59" s="536"/>
      <c r="BL59" s="536"/>
      <c r="BM59" s="536"/>
      <c r="BN59" s="536"/>
      <c r="BO59" s="536"/>
      <c r="BP59" s="536"/>
      <c r="BQ59" s="536"/>
      <c r="BR59" s="536"/>
      <c r="BS59" s="536"/>
      <c r="BT59" s="536"/>
      <c r="BU59" s="536"/>
      <c r="BV59" s="536"/>
      <c r="BW59" s="536"/>
      <c r="BX59" s="536"/>
      <c r="BY59" s="536"/>
      <c r="BZ59" s="536"/>
      <c r="CA59" s="536"/>
      <c r="CB59" s="536"/>
      <c r="CC59" s="536"/>
      <c r="CD59" s="536"/>
    </row>
    <row r="60" spans="1:82" x14ac:dyDescent="0.2">
      <c r="A60" s="536">
        <f t="shared" si="81"/>
        <v>4</v>
      </c>
      <c r="B60" s="536">
        <f t="shared" si="0"/>
        <v>2006</v>
      </c>
      <c r="C60" s="539">
        <v>39021</v>
      </c>
      <c r="D60" s="536" t="str">
        <f t="shared" si="1"/>
        <v>4Q06</v>
      </c>
      <c r="E60" s="540">
        <v>11.889999333333321</v>
      </c>
      <c r="F60" s="535"/>
      <c r="G60" s="536"/>
      <c r="H60" s="536"/>
      <c r="I60" s="536"/>
      <c r="J60" s="536"/>
      <c r="K60" s="536"/>
      <c r="L60" s="536"/>
      <c r="M60" s="536"/>
      <c r="N60" s="536"/>
      <c r="O60" s="536"/>
      <c r="P60" s="536"/>
      <c r="Q60" s="536"/>
      <c r="R60" s="536"/>
      <c r="S60" s="536"/>
      <c r="T60" s="536"/>
      <c r="U60" s="536"/>
      <c r="V60" s="536"/>
      <c r="W60" s="536"/>
      <c r="X60" s="536"/>
      <c r="Y60" s="536"/>
      <c r="Z60" s="536"/>
      <c r="AA60" s="536"/>
      <c r="AB60" s="536"/>
      <c r="AC60" s="536"/>
      <c r="AD60" s="536"/>
      <c r="AE60" s="536"/>
      <c r="AF60" s="536"/>
      <c r="AG60" s="536"/>
      <c r="AH60" s="536"/>
      <c r="AI60" s="536"/>
      <c r="AJ60" s="536"/>
      <c r="AK60" s="536"/>
      <c r="AL60" s="536"/>
      <c r="AM60" s="536"/>
      <c r="AN60" s="536"/>
      <c r="AO60" s="536"/>
      <c r="AP60" s="536"/>
      <c r="AQ60" s="536"/>
      <c r="AR60" s="536"/>
      <c r="AS60" s="536"/>
      <c r="AT60" s="536"/>
      <c r="AU60" s="536"/>
      <c r="AV60" s="536"/>
      <c r="AW60" s="536"/>
      <c r="AX60" s="536"/>
      <c r="AY60" s="536"/>
      <c r="AZ60" s="536"/>
      <c r="BA60" s="536"/>
      <c r="BB60" s="536"/>
      <c r="BC60" s="536"/>
      <c r="BD60" s="536"/>
      <c r="BE60" s="536"/>
      <c r="BF60" s="536"/>
      <c r="BG60" s="536"/>
      <c r="BH60" s="536"/>
      <c r="BI60" s="536"/>
      <c r="BJ60" s="536"/>
      <c r="BK60" s="536"/>
      <c r="BL60" s="536"/>
      <c r="BM60" s="536"/>
      <c r="BN60" s="536"/>
      <c r="BO60" s="536"/>
      <c r="BP60" s="536"/>
      <c r="BQ60" s="536"/>
      <c r="BR60" s="536"/>
      <c r="BS60" s="536"/>
      <c r="BT60" s="536"/>
      <c r="BU60" s="536"/>
      <c r="BV60" s="536"/>
      <c r="BW60" s="536"/>
      <c r="BX60" s="536"/>
      <c r="BY60" s="536"/>
      <c r="BZ60" s="536"/>
      <c r="CA60" s="536"/>
      <c r="CB60" s="536"/>
      <c r="CC60" s="536"/>
      <c r="CD60" s="536"/>
    </row>
    <row r="61" spans="1:82" x14ac:dyDescent="0.2">
      <c r="A61" s="536">
        <f t="shared" si="81"/>
        <v>4</v>
      </c>
      <c r="B61" s="536">
        <f t="shared" si="0"/>
        <v>2006</v>
      </c>
      <c r="C61" s="539">
        <v>39051</v>
      </c>
      <c r="D61" s="536" t="str">
        <f t="shared" si="1"/>
        <v>4Q06</v>
      </c>
      <c r="E61" s="540">
        <v>11.953328333333321</v>
      </c>
      <c r="F61" s="535"/>
      <c r="G61" s="536"/>
      <c r="H61" s="536"/>
      <c r="I61" s="536"/>
      <c r="J61" s="536"/>
      <c r="K61" s="536"/>
      <c r="L61" s="536"/>
      <c r="M61" s="536"/>
      <c r="N61" s="536"/>
      <c r="O61" s="536"/>
      <c r="P61" s="536"/>
      <c r="Q61" s="536"/>
      <c r="R61" s="536"/>
      <c r="S61" s="536"/>
      <c r="T61" s="536"/>
      <c r="U61" s="536"/>
      <c r="V61" s="536"/>
      <c r="W61" s="536"/>
      <c r="X61" s="536"/>
      <c r="Y61" s="536"/>
      <c r="Z61" s="536"/>
      <c r="AA61" s="536"/>
      <c r="AB61" s="536"/>
      <c r="AC61" s="536"/>
      <c r="AD61" s="536"/>
      <c r="AE61" s="536"/>
      <c r="AF61" s="536"/>
      <c r="AG61" s="536"/>
      <c r="AH61" s="536"/>
      <c r="AI61" s="536"/>
      <c r="AJ61" s="536"/>
      <c r="AK61" s="536"/>
      <c r="AL61" s="536"/>
      <c r="AM61" s="536"/>
      <c r="AN61" s="536"/>
      <c r="AO61" s="536"/>
      <c r="AP61" s="536"/>
      <c r="AQ61" s="536"/>
      <c r="AR61" s="536"/>
      <c r="AS61" s="536"/>
      <c r="AT61" s="536"/>
      <c r="AU61" s="536"/>
      <c r="AV61" s="536"/>
      <c r="AW61" s="536"/>
      <c r="AX61" s="536"/>
      <c r="AY61" s="536"/>
      <c r="AZ61" s="536"/>
      <c r="BA61" s="536"/>
      <c r="BB61" s="536"/>
      <c r="BC61" s="536"/>
      <c r="BD61" s="536"/>
      <c r="BE61" s="536"/>
      <c r="BF61" s="536"/>
      <c r="BG61" s="536"/>
      <c r="BH61" s="536"/>
      <c r="BI61" s="536"/>
      <c r="BJ61" s="536"/>
      <c r="BK61" s="536"/>
      <c r="BL61" s="536"/>
      <c r="BM61" s="536"/>
      <c r="BN61" s="536"/>
      <c r="BO61" s="536"/>
      <c r="BP61" s="536"/>
      <c r="BQ61" s="536"/>
      <c r="BR61" s="536"/>
      <c r="BS61" s="536"/>
      <c r="BT61" s="536"/>
      <c r="BU61" s="536"/>
      <c r="BV61" s="536"/>
      <c r="BW61" s="536"/>
      <c r="BX61" s="536"/>
      <c r="BY61" s="536"/>
      <c r="BZ61" s="536"/>
      <c r="CA61" s="536"/>
      <c r="CB61" s="536"/>
      <c r="CC61" s="536"/>
      <c r="CD61" s="536"/>
    </row>
    <row r="62" spans="1:82" x14ac:dyDescent="0.2">
      <c r="A62" s="536">
        <f t="shared" si="81"/>
        <v>4</v>
      </c>
      <c r="B62" s="536">
        <f t="shared" si="0"/>
        <v>2006</v>
      </c>
      <c r="C62" s="539">
        <v>39082</v>
      </c>
      <c r="D62" s="536" t="str">
        <f t="shared" si="1"/>
        <v>4Q06</v>
      </c>
      <c r="E62" s="540">
        <v>11.476664333333323</v>
      </c>
      <c r="F62" s="535"/>
      <c r="G62" s="536"/>
      <c r="H62" s="536"/>
      <c r="I62" s="536"/>
      <c r="J62" s="536"/>
      <c r="K62" s="536"/>
      <c r="L62" s="536"/>
      <c r="M62" s="536"/>
      <c r="N62" s="536"/>
      <c r="O62" s="536"/>
      <c r="P62" s="536"/>
      <c r="Q62" s="536"/>
      <c r="R62" s="536"/>
      <c r="S62" s="536"/>
      <c r="T62" s="536"/>
      <c r="U62" s="536"/>
      <c r="V62" s="536"/>
      <c r="W62" s="536"/>
      <c r="X62" s="536"/>
      <c r="Y62" s="536"/>
      <c r="Z62" s="536"/>
      <c r="AA62" s="536"/>
      <c r="AB62" s="536"/>
      <c r="AC62" s="536"/>
      <c r="AD62" s="536"/>
      <c r="AE62" s="536"/>
      <c r="AF62" s="536"/>
      <c r="AG62" s="536"/>
      <c r="AH62" s="536"/>
      <c r="AI62" s="536"/>
      <c r="AJ62" s="536"/>
      <c r="AK62" s="536"/>
      <c r="AL62" s="536"/>
      <c r="AM62" s="536"/>
      <c r="AN62" s="536"/>
      <c r="AO62" s="536"/>
      <c r="AP62" s="536"/>
      <c r="AQ62" s="536"/>
      <c r="AR62" s="536"/>
      <c r="AS62" s="536"/>
      <c r="AT62" s="536"/>
      <c r="AU62" s="536"/>
      <c r="AV62" s="536"/>
      <c r="AW62" s="536"/>
      <c r="AX62" s="536"/>
      <c r="AY62" s="536"/>
      <c r="AZ62" s="536"/>
      <c r="BA62" s="536"/>
      <c r="BB62" s="536"/>
      <c r="BC62" s="536"/>
      <c r="BD62" s="536"/>
      <c r="BE62" s="536"/>
      <c r="BF62" s="536"/>
      <c r="BG62" s="536"/>
      <c r="BH62" s="536"/>
      <c r="BI62" s="536"/>
      <c r="BJ62" s="536"/>
      <c r="BK62" s="536"/>
      <c r="BL62" s="536"/>
      <c r="BM62" s="536"/>
      <c r="BN62" s="536"/>
      <c r="BO62" s="536"/>
      <c r="BP62" s="536"/>
      <c r="BQ62" s="536"/>
      <c r="BR62" s="536"/>
      <c r="BS62" s="536"/>
      <c r="BT62" s="536"/>
      <c r="BU62" s="536"/>
      <c r="BV62" s="536"/>
      <c r="BW62" s="536"/>
      <c r="BX62" s="536"/>
      <c r="BY62" s="536"/>
      <c r="BZ62" s="536"/>
      <c r="CA62" s="536"/>
      <c r="CB62" s="536"/>
      <c r="CC62" s="536"/>
      <c r="CD62" s="536"/>
    </row>
    <row r="63" spans="1:82" x14ac:dyDescent="0.2">
      <c r="A63" s="536">
        <f t="shared" si="81"/>
        <v>1</v>
      </c>
      <c r="B63" s="536">
        <f t="shared" si="0"/>
        <v>2007</v>
      </c>
      <c r="C63" s="539">
        <v>39113</v>
      </c>
      <c r="D63" s="536" t="str">
        <f t="shared" si="1"/>
        <v>1Q07</v>
      </c>
      <c r="E63" s="540">
        <v>12.263330999999988</v>
      </c>
      <c r="F63" s="535"/>
      <c r="G63" s="536"/>
      <c r="H63" s="536"/>
      <c r="I63" s="536"/>
      <c r="J63" s="536"/>
      <c r="K63" s="536"/>
      <c r="L63" s="536"/>
      <c r="M63" s="536"/>
      <c r="N63" s="536"/>
      <c r="O63" s="536"/>
      <c r="P63" s="536"/>
      <c r="Q63" s="536"/>
      <c r="R63" s="536"/>
      <c r="S63" s="536"/>
      <c r="T63" s="536"/>
      <c r="U63" s="536"/>
      <c r="V63" s="536"/>
      <c r="W63" s="536"/>
      <c r="X63" s="536"/>
      <c r="Y63" s="536"/>
      <c r="Z63" s="536"/>
      <c r="AA63" s="536"/>
      <c r="AB63" s="536"/>
      <c r="AC63" s="536"/>
      <c r="AD63" s="536"/>
      <c r="AE63" s="536"/>
      <c r="AF63" s="536"/>
      <c r="AG63" s="536"/>
      <c r="AH63" s="536"/>
      <c r="AI63" s="536"/>
      <c r="AJ63" s="536"/>
      <c r="AK63" s="536"/>
      <c r="AL63" s="536"/>
      <c r="AM63" s="536"/>
      <c r="AN63" s="536"/>
      <c r="AO63" s="536"/>
      <c r="AP63" s="536"/>
      <c r="AQ63" s="536"/>
      <c r="AR63" s="536"/>
      <c r="AS63" s="536"/>
      <c r="AT63" s="536"/>
      <c r="AU63" s="536"/>
      <c r="AV63" s="536"/>
      <c r="AW63" s="536"/>
      <c r="AX63" s="536"/>
      <c r="AY63" s="536"/>
      <c r="AZ63" s="536"/>
      <c r="BA63" s="536"/>
      <c r="BB63" s="536"/>
      <c r="BC63" s="536"/>
      <c r="BD63" s="536"/>
      <c r="BE63" s="536"/>
      <c r="BF63" s="536"/>
      <c r="BG63" s="536"/>
      <c r="BH63" s="536"/>
      <c r="BI63" s="536"/>
      <c r="BJ63" s="536"/>
      <c r="BK63" s="536"/>
      <c r="BL63" s="536"/>
      <c r="BM63" s="536"/>
      <c r="BN63" s="536"/>
      <c r="BO63" s="536"/>
      <c r="BP63" s="536"/>
      <c r="BQ63" s="536"/>
      <c r="BR63" s="536"/>
      <c r="BS63" s="536"/>
      <c r="BT63" s="536"/>
      <c r="BU63" s="536"/>
      <c r="BV63" s="536"/>
      <c r="BW63" s="536"/>
      <c r="BX63" s="536"/>
      <c r="BY63" s="536"/>
      <c r="BZ63" s="536"/>
      <c r="CA63" s="536"/>
      <c r="CB63" s="536"/>
      <c r="CC63" s="536"/>
      <c r="CD63" s="536"/>
    </row>
    <row r="64" spans="1:82" x14ac:dyDescent="0.2">
      <c r="A64" s="536">
        <f t="shared" si="81"/>
        <v>1</v>
      </c>
      <c r="B64" s="536">
        <f t="shared" si="0"/>
        <v>2007</v>
      </c>
      <c r="C64" s="539">
        <v>39141</v>
      </c>
      <c r="D64" s="536" t="str">
        <f t="shared" si="1"/>
        <v>1Q07</v>
      </c>
      <c r="E64" s="540">
        <v>12.539998333333321</v>
      </c>
      <c r="F64" s="535"/>
      <c r="G64" s="536"/>
      <c r="H64" s="536"/>
      <c r="I64" s="536"/>
      <c r="J64" s="536"/>
      <c r="K64" s="536"/>
      <c r="L64" s="536"/>
      <c r="M64" s="536"/>
      <c r="N64" s="536"/>
      <c r="O64" s="536"/>
      <c r="P64" s="536"/>
      <c r="Q64" s="536"/>
      <c r="R64" s="536"/>
      <c r="S64" s="536"/>
      <c r="T64" s="536"/>
      <c r="U64" s="536"/>
      <c r="V64" s="536"/>
      <c r="W64" s="536"/>
      <c r="X64" s="536"/>
      <c r="Y64" s="536"/>
      <c r="Z64" s="536"/>
      <c r="AA64" s="536"/>
      <c r="AB64" s="536"/>
      <c r="AC64" s="536"/>
      <c r="AD64" s="536"/>
      <c r="AE64" s="536"/>
      <c r="AF64" s="536"/>
      <c r="AG64" s="536"/>
      <c r="AH64" s="536"/>
      <c r="AI64" s="536"/>
      <c r="AJ64" s="536"/>
      <c r="AK64" s="536"/>
      <c r="AL64" s="536"/>
      <c r="AM64" s="536"/>
      <c r="AN64" s="536"/>
      <c r="AO64" s="536"/>
      <c r="AP64" s="536"/>
      <c r="AQ64" s="536"/>
      <c r="AR64" s="536"/>
      <c r="AS64" s="536"/>
      <c r="AT64" s="536"/>
      <c r="AU64" s="536"/>
      <c r="AV64" s="536"/>
      <c r="AW64" s="536"/>
      <c r="AX64" s="536"/>
      <c r="AY64" s="536"/>
      <c r="AZ64" s="536"/>
      <c r="BA64" s="536"/>
      <c r="BB64" s="536"/>
      <c r="BC64" s="536"/>
      <c r="BD64" s="536"/>
      <c r="BE64" s="536"/>
      <c r="BF64" s="536"/>
      <c r="BG64" s="536"/>
      <c r="BH64" s="536"/>
      <c r="BI64" s="536"/>
      <c r="BJ64" s="536"/>
      <c r="BK64" s="536"/>
      <c r="BL64" s="536"/>
      <c r="BM64" s="536"/>
      <c r="BN64" s="536"/>
      <c r="BO64" s="536"/>
      <c r="BP64" s="536"/>
      <c r="BQ64" s="536"/>
      <c r="BR64" s="536"/>
      <c r="BS64" s="536"/>
      <c r="BT64" s="536"/>
      <c r="BU64" s="536"/>
      <c r="BV64" s="536"/>
      <c r="BW64" s="536"/>
      <c r="BX64" s="536"/>
      <c r="BY64" s="536"/>
      <c r="BZ64" s="536"/>
      <c r="CA64" s="536"/>
      <c r="CB64" s="536"/>
      <c r="CC64" s="536"/>
      <c r="CD64" s="536"/>
    </row>
    <row r="65" spans="1:82" x14ac:dyDescent="0.2">
      <c r="A65" s="536">
        <f t="shared" si="81"/>
        <v>1</v>
      </c>
      <c r="B65" s="536">
        <f t="shared" si="0"/>
        <v>2007</v>
      </c>
      <c r="C65" s="539">
        <v>39172</v>
      </c>
      <c r="D65" s="536" t="str">
        <f t="shared" si="1"/>
        <v>1Q07</v>
      </c>
      <c r="E65" s="540">
        <v>13.349995999999985</v>
      </c>
      <c r="F65" s="535"/>
      <c r="G65" s="536"/>
      <c r="H65" s="536"/>
      <c r="I65" s="536"/>
      <c r="J65" s="536"/>
      <c r="K65" s="536"/>
      <c r="L65" s="536"/>
      <c r="M65" s="536"/>
      <c r="N65" s="536"/>
      <c r="O65" s="536"/>
      <c r="P65" s="536"/>
      <c r="Q65" s="536"/>
      <c r="R65" s="536"/>
      <c r="S65" s="536"/>
      <c r="T65" s="536"/>
      <c r="U65" s="536"/>
      <c r="V65" s="536"/>
      <c r="W65" s="536"/>
      <c r="X65" s="536"/>
      <c r="Y65" s="536"/>
      <c r="Z65" s="536"/>
      <c r="AA65" s="536"/>
      <c r="AB65" s="536"/>
      <c r="AC65" s="536"/>
      <c r="AD65" s="536"/>
      <c r="AE65" s="536"/>
      <c r="AF65" s="536"/>
      <c r="AG65" s="536"/>
      <c r="AH65" s="536"/>
      <c r="AI65" s="536"/>
      <c r="AJ65" s="536"/>
      <c r="AK65" s="536"/>
      <c r="AL65" s="536"/>
      <c r="AM65" s="536"/>
      <c r="AN65" s="536"/>
      <c r="AO65" s="536"/>
      <c r="AP65" s="536"/>
      <c r="AQ65" s="536"/>
      <c r="AR65" s="536"/>
      <c r="AS65" s="536"/>
      <c r="AT65" s="536"/>
      <c r="AU65" s="536"/>
      <c r="AV65" s="536"/>
      <c r="AW65" s="536"/>
      <c r="AX65" s="536"/>
      <c r="AY65" s="536"/>
      <c r="AZ65" s="536"/>
      <c r="BA65" s="536"/>
      <c r="BB65" s="536"/>
      <c r="BC65" s="536"/>
      <c r="BD65" s="536"/>
      <c r="BE65" s="536"/>
      <c r="BF65" s="536"/>
      <c r="BG65" s="536"/>
      <c r="BH65" s="536"/>
      <c r="BI65" s="536"/>
      <c r="BJ65" s="536"/>
      <c r="BK65" s="536"/>
      <c r="BL65" s="536"/>
      <c r="BM65" s="536"/>
      <c r="BN65" s="536"/>
      <c r="BO65" s="536"/>
      <c r="BP65" s="536"/>
      <c r="BQ65" s="536"/>
      <c r="BR65" s="536"/>
      <c r="BS65" s="536"/>
      <c r="BT65" s="536"/>
      <c r="BU65" s="536"/>
      <c r="BV65" s="536"/>
      <c r="BW65" s="536"/>
      <c r="BX65" s="536"/>
      <c r="BY65" s="536"/>
      <c r="BZ65" s="536"/>
      <c r="CA65" s="536"/>
      <c r="CB65" s="536"/>
      <c r="CC65" s="536"/>
      <c r="CD65" s="536"/>
    </row>
    <row r="66" spans="1:82" x14ac:dyDescent="0.2">
      <c r="A66" s="536">
        <f t="shared" si="81"/>
        <v>2</v>
      </c>
      <c r="B66" s="536">
        <f t="shared" si="0"/>
        <v>2007</v>
      </c>
      <c r="C66" s="539">
        <v>39202</v>
      </c>
      <c r="D66" s="536" t="str">
        <f t="shared" si="1"/>
        <v>2Q07</v>
      </c>
      <c r="E66" s="540">
        <v>14.38999966666665</v>
      </c>
      <c r="F66" s="535"/>
      <c r="G66" s="536"/>
      <c r="H66" s="536"/>
      <c r="I66" s="536"/>
      <c r="J66" s="536"/>
      <c r="K66" s="536"/>
      <c r="L66" s="536"/>
      <c r="M66" s="536"/>
      <c r="N66" s="536"/>
      <c r="O66" s="536"/>
      <c r="P66" s="536"/>
      <c r="Q66" s="536"/>
      <c r="R66" s="536"/>
      <c r="S66" s="536"/>
      <c r="T66" s="536"/>
      <c r="U66" s="536"/>
      <c r="V66" s="536"/>
      <c r="W66" s="536"/>
      <c r="X66" s="536"/>
      <c r="Y66" s="536"/>
      <c r="Z66" s="536"/>
      <c r="AA66" s="536"/>
      <c r="AB66" s="536"/>
      <c r="AC66" s="536"/>
      <c r="AD66" s="536"/>
      <c r="AE66" s="536"/>
      <c r="AF66" s="536"/>
      <c r="AG66" s="536"/>
      <c r="AH66" s="536"/>
      <c r="AI66" s="536"/>
      <c r="AJ66" s="536"/>
      <c r="AK66" s="536"/>
      <c r="AL66" s="536"/>
      <c r="AM66" s="536"/>
      <c r="AN66" s="536"/>
      <c r="AO66" s="536"/>
      <c r="AP66" s="536"/>
      <c r="AQ66" s="536"/>
      <c r="AR66" s="536"/>
      <c r="AS66" s="536"/>
      <c r="AT66" s="536"/>
      <c r="AU66" s="536"/>
      <c r="AV66" s="536"/>
      <c r="AW66" s="536"/>
      <c r="AX66" s="536"/>
      <c r="AY66" s="536"/>
      <c r="AZ66" s="536"/>
      <c r="BA66" s="536"/>
      <c r="BB66" s="536"/>
      <c r="BC66" s="536"/>
      <c r="BD66" s="536"/>
      <c r="BE66" s="536"/>
      <c r="BF66" s="536"/>
      <c r="BG66" s="536"/>
      <c r="BH66" s="536"/>
      <c r="BI66" s="536"/>
      <c r="BJ66" s="536"/>
      <c r="BK66" s="536"/>
      <c r="BL66" s="536"/>
      <c r="BM66" s="536"/>
      <c r="BN66" s="536"/>
      <c r="BO66" s="536"/>
      <c r="BP66" s="536"/>
      <c r="BQ66" s="536"/>
      <c r="BR66" s="536"/>
      <c r="BS66" s="536"/>
      <c r="BT66" s="536"/>
      <c r="BU66" s="536"/>
      <c r="BV66" s="536"/>
      <c r="BW66" s="536"/>
      <c r="BX66" s="536"/>
      <c r="BY66" s="536"/>
      <c r="BZ66" s="536"/>
      <c r="CA66" s="536"/>
      <c r="CB66" s="536"/>
      <c r="CC66" s="536"/>
      <c r="CD66" s="536"/>
    </row>
    <row r="67" spans="1:82" x14ac:dyDescent="0.2">
      <c r="A67" s="536">
        <f t="shared" si="81"/>
        <v>2</v>
      </c>
      <c r="B67" s="536">
        <f t="shared" ref="B67:B121" si="82">YEAR(C67)</f>
        <v>2007</v>
      </c>
      <c r="C67" s="539">
        <v>39233</v>
      </c>
      <c r="D67" s="536" t="str">
        <f t="shared" ref="D67:D121" si="83">A67&amp;"Q"&amp;RIGHT(B67,2)</f>
        <v>2Q07</v>
      </c>
      <c r="E67" s="540">
        <v>15.14666266666665</v>
      </c>
      <c r="F67" s="535"/>
      <c r="G67" s="536"/>
      <c r="H67" s="536"/>
      <c r="I67" s="536"/>
      <c r="J67" s="536"/>
      <c r="K67" s="536"/>
      <c r="L67" s="536"/>
      <c r="M67" s="536"/>
      <c r="N67" s="536"/>
      <c r="O67" s="536"/>
      <c r="P67" s="536"/>
      <c r="Q67" s="536"/>
      <c r="R67" s="536"/>
      <c r="S67" s="536"/>
      <c r="T67" s="536"/>
      <c r="U67" s="536"/>
      <c r="V67" s="536"/>
      <c r="W67" s="536"/>
      <c r="X67" s="536"/>
      <c r="Y67" s="536"/>
      <c r="Z67" s="536"/>
      <c r="AA67" s="536"/>
      <c r="AB67" s="536"/>
      <c r="AC67" s="536"/>
      <c r="AD67" s="536"/>
      <c r="AE67" s="536"/>
      <c r="AF67" s="536"/>
      <c r="AG67" s="536"/>
      <c r="AH67" s="536"/>
      <c r="AI67" s="536"/>
      <c r="AJ67" s="536"/>
      <c r="AK67" s="536"/>
      <c r="AL67" s="536"/>
      <c r="AM67" s="536"/>
      <c r="AN67" s="536"/>
      <c r="AO67" s="536"/>
      <c r="AP67" s="536"/>
      <c r="AQ67" s="536"/>
      <c r="AR67" s="536"/>
      <c r="AS67" s="536"/>
      <c r="AT67" s="536"/>
      <c r="AU67" s="536"/>
      <c r="AV67" s="536"/>
      <c r="AW67" s="536"/>
      <c r="AX67" s="536"/>
      <c r="AY67" s="536"/>
      <c r="AZ67" s="536"/>
      <c r="BA67" s="536"/>
      <c r="BB67" s="536"/>
      <c r="BC67" s="536"/>
      <c r="BD67" s="536"/>
      <c r="BE67" s="536"/>
      <c r="BF67" s="536"/>
      <c r="BG67" s="536"/>
      <c r="BH67" s="536"/>
      <c r="BI67" s="536"/>
      <c r="BJ67" s="536"/>
      <c r="BK67" s="536"/>
      <c r="BL67" s="536"/>
      <c r="BM67" s="536"/>
      <c r="BN67" s="536"/>
      <c r="BO67" s="536"/>
      <c r="BP67" s="536"/>
      <c r="BQ67" s="536"/>
      <c r="BR67" s="536"/>
      <c r="BS67" s="536"/>
      <c r="BT67" s="536"/>
      <c r="BU67" s="536"/>
      <c r="BV67" s="536"/>
      <c r="BW67" s="536"/>
      <c r="BX67" s="536"/>
      <c r="BY67" s="536"/>
      <c r="BZ67" s="536"/>
      <c r="CA67" s="536"/>
      <c r="CB67" s="536"/>
      <c r="CC67" s="536"/>
      <c r="CD67" s="536"/>
    </row>
    <row r="68" spans="1:82" x14ac:dyDescent="0.2">
      <c r="A68" s="536">
        <f t="shared" si="81"/>
        <v>2</v>
      </c>
      <c r="B68" s="536">
        <f t="shared" si="82"/>
        <v>2007</v>
      </c>
      <c r="C68" s="539">
        <v>39263</v>
      </c>
      <c r="D68" s="536" t="str">
        <f t="shared" si="83"/>
        <v>2Q07</v>
      </c>
      <c r="E68" s="540">
        <v>15.026662333333318</v>
      </c>
      <c r="F68" s="535"/>
      <c r="G68" s="536"/>
      <c r="H68" s="536"/>
      <c r="I68" s="536"/>
      <c r="J68" s="536"/>
      <c r="K68" s="536"/>
      <c r="L68" s="536"/>
      <c r="M68" s="536"/>
      <c r="N68" s="536"/>
      <c r="O68" s="536"/>
      <c r="P68" s="536"/>
      <c r="Q68" s="536"/>
      <c r="R68" s="536"/>
      <c r="S68" s="536"/>
      <c r="T68" s="536"/>
      <c r="U68" s="536"/>
      <c r="V68" s="536"/>
      <c r="W68" s="536"/>
      <c r="X68" s="536"/>
      <c r="Y68" s="536"/>
      <c r="Z68" s="536"/>
      <c r="AA68" s="536"/>
      <c r="AB68" s="536"/>
      <c r="AC68" s="536"/>
      <c r="AD68" s="536"/>
      <c r="AE68" s="536"/>
      <c r="AF68" s="536"/>
      <c r="AG68" s="536"/>
      <c r="AH68" s="536"/>
      <c r="AI68" s="536"/>
      <c r="AJ68" s="536"/>
      <c r="AK68" s="536"/>
      <c r="AL68" s="536"/>
      <c r="AM68" s="536"/>
      <c r="AN68" s="536"/>
      <c r="AO68" s="536"/>
      <c r="AP68" s="536"/>
      <c r="AQ68" s="536"/>
      <c r="AR68" s="536"/>
      <c r="AS68" s="536"/>
      <c r="AT68" s="536"/>
      <c r="AU68" s="536"/>
      <c r="AV68" s="536"/>
      <c r="AW68" s="536"/>
      <c r="AX68" s="536"/>
      <c r="AY68" s="536"/>
      <c r="AZ68" s="536"/>
      <c r="BA68" s="536"/>
      <c r="BB68" s="536"/>
      <c r="BC68" s="536"/>
      <c r="BD68" s="536"/>
      <c r="BE68" s="536"/>
      <c r="BF68" s="536"/>
      <c r="BG68" s="536"/>
      <c r="BH68" s="536"/>
      <c r="BI68" s="536"/>
      <c r="BJ68" s="536"/>
      <c r="BK68" s="536"/>
      <c r="BL68" s="536"/>
      <c r="BM68" s="536"/>
      <c r="BN68" s="536"/>
      <c r="BO68" s="536"/>
      <c r="BP68" s="536"/>
      <c r="BQ68" s="536"/>
      <c r="BR68" s="536"/>
      <c r="BS68" s="536"/>
      <c r="BT68" s="536"/>
      <c r="BU68" s="536"/>
      <c r="BV68" s="536"/>
      <c r="BW68" s="536"/>
      <c r="BX68" s="536"/>
      <c r="BY68" s="536"/>
      <c r="BZ68" s="536"/>
      <c r="CA68" s="536"/>
      <c r="CB68" s="536"/>
      <c r="CC68" s="536"/>
      <c r="CD68" s="536"/>
    </row>
    <row r="69" spans="1:82" x14ac:dyDescent="0.2">
      <c r="A69" s="536">
        <f t="shared" si="81"/>
        <v>3</v>
      </c>
      <c r="B69" s="536">
        <f t="shared" si="82"/>
        <v>2007</v>
      </c>
      <c r="C69" s="539">
        <v>39294</v>
      </c>
      <c r="D69" s="536" t="str">
        <f t="shared" si="83"/>
        <v>3Q07</v>
      </c>
      <c r="E69" s="540">
        <v>15.803329666666651</v>
      </c>
      <c r="F69" s="535"/>
      <c r="G69" s="536"/>
      <c r="H69" s="536"/>
      <c r="I69" s="536"/>
      <c r="J69" s="536"/>
      <c r="K69" s="536"/>
      <c r="L69" s="536"/>
      <c r="M69" s="536"/>
      <c r="N69" s="536"/>
      <c r="O69" s="536"/>
      <c r="P69" s="536"/>
      <c r="Q69" s="536"/>
      <c r="R69" s="536"/>
      <c r="S69" s="536"/>
      <c r="T69" s="536"/>
      <c r="U69" s="536"/>
      <c r="V69" s="536"/>
      <c r="W69" s="536"/>
      <c r="X69" s="536"/>
      <c r="Y69" s="536"/>
      <c r="Z69" s="536"/>
      <c r="AA69" s="536"/>
      <c r="AB69" s="536"/>
      <c r="AC69" s="536"/>
      <c r="AD69" s="536"/>
      <c r="AE69" s="536"/>
      <c r="AF69" s="536"/>
      <c r="AG69" s="536"/>
      <c r="AH69" s="536"/>
      <c r="AI69" s="536"/>
      <c r="AJ69" s="536"/>
      <c r="AK69" s="536"/>
      <c r="AL69" s="536"/>
      <c r="AM69" s="536"/>
      <c r="AN69" s="536"/>
      <c r="AO69" s="536"/>
      <c r="AP69" s="536"/>
      <c r="AQ69" s="536"/>
      <c r="AR69" s="536"/>
      <c r="AS69" s="536"/>
      <c r="AT69" s="536"/>
      <c r="AU69" s="536"/>
      <c r="AV69" s="536"/>
      <c r="AW69" s="536"/>
      <c r="AX69" s="536"/>
      <c r="AY69" s="536"/>
      <c r="AZ69" s="536"/>
      <c r="BA69" s="536"/>
      <c r="BB69" s="536"/>
      <c r="BC69" s="536"/>
      <c r="BD69" s="536"/>
      <c r="BE69" s="536"/>
      <c r="BF69" s="536"/>
      <c r="BG69" s="536"/>
      <c r="BH69" s="536"/>
      <c r="BI69" s="536"/>
      <c r="BJ69" s="536"/>
      <c r="BK69" s="536"/>
      <c r="BL69" s="536"/>
      <c r="BM69" s="536"/>
      <c r="BN69" s="536"/>
      <c r="BO69" s="536"/>
      <c r="BP69" s="536"/>
      <c r="BQ69" s="536"/>
      <c r="BR69" s="536"/>
      <c r="BS69" s="536"/>
      <c r="BT69" s="536"/>
      <c r="BU69" s="536"/>
      <c r="BV69" s="536"/>
      <c r="BW69" s="536"/>
      <c r="BX69" s="536"/>
      <c r="BY69" s="536"/>
      <c r="BZ69" s="536"/>
      <c r="CA69" s="536"/>
      <c r="CB69" s="536"/>
      <c r="CC69" s="536"/>
      <c r="CD69" s="536"/>
    </row>
    <row r="70" spans="1:82" x14ac:dyDescent="0.2">
      <c r="A70" s="536">
        <f t="shared" si="81"/>
        <v>3</v>
      </c>
      <c r="B70" s="536">
        <f t="shared" si="82"/>
        <v>2007</v>
      </c>
      <c r="C70" s="539">
        <v>39325</v>
      </c>
      <c r="D70" s="536" t="str">
        <f t="shared" si="83"/>
        <v>3Q07</v>
      </c>
      <c r="E70" s="540">
        <v>13.666666666666652</v>
      </c>
      <c r="F70" s="535"/>
      <c r="G70" s="536"/>
      <c r="H70" s="536"/>
      <c r="I70" s="536"/>
      <c r="J70" s="536"/>
      <c r="K70" s="536"/>
      <c r="L70" s="536"/>
      <c r="M70" s="536"/>
      <c r="N70" s="536"/>
      <c r="O70" s="536"/>
      <c r="P70" s="536"/>
      <c r="Q70" s="536"/>
      <c r="R70" s="536"/>
      <c r="S70" s="536"/>
      <c r="T70" s="536"/>
      <c r="U70" s="536"/>
      <c r="V70" s="536"/>
      <c r="W70" s="536"/>
      <c r="X70" s="536"/>
      <c r="Y70" s="536"/>
      <c r="Z70" s="536"/>
      <c r="AA70" s="536"/>
      <c r="AB70" s="536"/>
      <c r="AC70" s="536"/>
      <c r="AD70" s="536"/>
      <c r="AE70" s="536"/>
      <c r="AF70" s="536"/>
      <c r="AG70" s="536"/>
      <c r="AH70" s="536"/>
      <c r="AI70" s="536"/>
      <c r="AJ70" s="536"/>
      <c r="AK70" s="536"/>
      <c r="AL70" s="536"/>
      <c r="AM70" s="536"/>
      <c r="AN70" s="536"/>
      <c r="AO70" s="536"/>
      <c r="AP70" s="536"/>
      <c r="AQ70" s="536"/>
      <c r="AR70" s="536"/>
      <c r="AS70" s="536"/>
      <c r="AT70" s="536"/>
      <c r="AU70" s="536"/>
      <c r="AV70" s="536"/>
      <c r="AW70" s="536"/>
      <c r="AX70" s="536"/>
      <c r="AY70" s="536"/>
      <c r="AZ70" s="536"/>
      <c r="BA70" s="536"/>
      <c r="BB70" s="536"/>
      <c r="BC70" s="536"/>
      <c r="BD70" s="536"/>
      <c r="BE70" s="536"/>
      <c r="BF70" s="536"/>
      <c r="BG70" s="536"/>
      <c r="BH70" s="536"/>
      <c r="BI70" s="536"/>
      <c r="BJ70" s="536"/>
      <c r="BK70" s="536"/>
      <c r="BL70" s="536"/>
      <c r="BM70" s="536"/>
      <c r="BN70" s="536"/>
      <c r="BO70" s="536"/>
      <c r="BP70" s="536"/>
      <c r="BQ70" s="536"/>
      <c r="BR70" s="536"/>
      <c r="BS70" s="536"/>
      <c r="BT70" s="536"/>
      <c r="BU70" s="536"/>
      <c r="BV70" s="536"/>
      <c r="BW70" s="536"/>
      <c r="BX70" s="536"/>
      <c r="BY70" s="536"/>
      <c r="BZ70" s="536"/>
      <c r="CA70" s="536"/>
      <c r="CB70" s="536"/>
      <c r="CC70" s="536"/>
      <c r="CD70" s="536"/>
    </row>
    <row r="71" spans="1:82" x14ac:dyDescent="0.2">
      <c r="A71" s="536">
        <f t="shared" si="81"/>
        <v>3</v>
      </c>
      <c r="B71" s="536">
        <f t="shared" si="82"/>
        <v>2007</v>
      </c>
      <c r="C71" s="539">
        <v>39355</v>
      </c>
      <c r="D71" s="536" t="str">
        <f t="shared" si="83"/>
        <v>3Q07</v>
      </c>
      <c r="E71" s="540">
        <v>14.243331999999985</v>
      </c>
      <c r="F71" s="535"/>
      <c r="G71" s="536"/>
      <c r="H71" s="536"/>
      <c r="I71" s="536"/>
      <c r="J71" s="536"/>
      <c r="K71" s="536"/>
      <c r="L71" s="536"/>
      <c r="M71" s="536"/>
      <c r="N71" s="536"/>
      <c r="O71" s="536"/>
      <c r="P71" s="536"/>
      <c r="Q71" s="536"/>
      <c r="R71" s="536"/>
      <c r="S71" s="536"/>
      <c r="T71" s="536"/>
      <c r="U71" s="536"/>
      <c r="V71" s="536"/>
      <c r="W71" s="536"/>
      <c r="X71" s="536"/>
      <c r="Y71" s="536"/>
      <c r="Z71" s="536"/>
      <c r="AA71" s="536"/>
      <c r="AB71" s="536"/>
      <c r="AC71" s="536"/>
      <c r="AD71" s="536"/>
      <c r="AE71" s="536"/>
      <c r="AF71" s="536"/>
      <c r="AG71" s="536"/>
      <c r="AH71" s="536"/>
      <c r="AI71" s="536"/>
      <c r="AJ71" s="536"/>
      <c r="AK71" s="536"/>
      <c r="AL71" s="536"/>
      <c r="AM71" s="536"/>
      <c r="AN71" s="536"/>
      <c r="AO71" s="536"/>
      <c r="AP71" s="536"/>
      <c r="AQ71" s="536"/>
      <c r="AR71" s="536"/>
      <c r="AS71" s="536"/>
      <c r="AT71" s="536"/>
      <c r="AU71" s="536"/>
      <c r="AV71" s="536"/>
      <c r="AW71" s="536"/>
      <c r="AX71" s="536"/>
      <c r="AY71" s="536"/>
      <c r="AZ71" s="536"/>
      <c r="BA71" s="536"/>
      <c r="BB71" s="536"/>
      <c r="BC71" s="536"/>
      <c r="BD71" s="536"/>
      <c r="BE71" s="536"/>
      <c r="BF71" s="536"/>
      <c r="BG71" s="536"/>
      <c r="BH71" s="536"/>
      <c r="BI71" s="536"/>
      <c r="BJ71" s="536"/>
      <c r="BK71" s="536"/>
      <c r="BL71" s="536"/>
      <c r="BM71" s="536"/>
      <c r="BN71" s="536"/>
      <c r="BO71" s="536"/>
      <c r="BP71" s="536"/>
      <c r="BQ71" s="536"/>
      <c r="BR71" s="536"/>
      <c r="BS71" s="536"/>
      <c r="BT71" s="536"/>
      <c r="BU71" s="536"/>
      <c r="BV71" s="536"/>
      <c r="BW71" s="536"/>
      <c r="BX71" s="536"/>
      <c r="BY71" s="536"/>
      <c r="BZ71" s="536"/>
      <c r="CA71" s="536"/>
      <c r="CB71" s="536"/>
      <c r="CC71" s="536"/>
      <c r="CD71" s="536"/>
    </row>
    <row r="72" spans="1:82" x14ac:dyDescent="0.2">
      <c r="A72" s="536">
        <f t="shared" si="81"/>
        <v>4</v>
      </c>
      <c r="B72" s="536">
        <f t="shared" si="82"/>
        <v>2007</v>
      </c>
      <c r="C72" s="539">
        <v>39386</v>
      </c>
      <c r="D72" s="536" t="str">
        <f t="shared" si="83"/>
        <v>4Q07</v>
      </c>
      <c r="E72" s="540">
        <v>14.923329999999984</v>
      </c>
      <c r="F72" s="535"/>
      <c r="G72" s="536"/>
      <c r="H72" s="536"/>
      <c r="I72" s="536"/>
      <c r="J72" s="536"/>
      <c r="K72" s="536"/>
      <c r="L72" s="536"/>
      <c r="M72" s="536"/>
      <c r="N72" s="536"/>
      <c r="O72" s="536"/>
      <c r="P72" s="536"/>
      <c r="Q72" s="536"/>
      <c r="R72" s="536"/>
      <c r="S72" s="536"/>
      <c r="T72" s="536"/>
      <c r="U72" s="536"/>
      <c r="V72" s="536"/>
      <c r="W72" s="536"/>
      <c r="X72" s="536"/>
      <c r="Y72" s="536"/>
      <c r="Z72" s="536"/>
      <c r="AA72" s="536"/>
      <c r="AB72" s="536"/>
      <c r="AC72" s="536"/>
      <c r="AD72" s="536"/>
      <c r="AE72" s="536"/>
      <c r="AF72" s="536"/>
      <c r="AG72" s="536"/>
      <c r="AH72" s="536"/>
      <c r="AI72" s="536"/>
      <c r="AJ72" s="536"/>
      <c r="AK72" s="536"/>
      <c r="AL72" s="536"/>
      <c r="AM72" s="536"/>
      <c r="AN72" s="536"/>
      <c r="AO72" s="536"/>
      <c r="AP72" s="536"/>
      <c r="AQ72" s="536"/>
      <c r="AR72" s="536"/>
      <c r="AS72" s="536"/>
      <c r="AT72" s="536"/>
      <c r="AU72" s="536"/>
      <c r="AV72" s="536"/>
      <c r="AW72" s="536"/>
      <c r="AX72" s="536"/>
      <c r="AY72" s="536"/>
      <c r="AZ72" s="536"/>
      <c r="BA72" s="536"/>
      <c r="BB72" s="536"/>
      <c r="BC72" s="536"/>
      <c r="BD72" s="536"/>
      <c r="BE72" s="536"/>
      <c r="BF72" s="536"/>
      <c r="BG72" s="536"/>
      <c r="BH72" s="536"/>
      <c r="BI72" s="536"/>
      <c r="BJ72" s="536"/>
      <c r="BK72" s="536"/>
      <c r="BL72" s="536"/>
      <c r="BM72" s="536"/>
      <c r="BN72" s="536"/>
      <c r="BO72" s="536"/>
      <c r="BP72" s="536"/>
      <c r="BQ72" s="536"/>
      <c r="BR72" s="536"/>
      <c r="BS72" s="536"/>
      <c r="BT72" s="536"/>
      <c r="BU72" s="536"/>
      <c r="BV72" s="536"/>
      <c r="BW72" s="536"/>
      <c r="BX72" s="536"/>
      <c r="BY72" s="536"/>
      <c r="BZ72" s="536"/>
      <c r="CA72" s="536"/>
      <c r="CB72" s="536"/>
      <c r="CC72" s="536"/>
      <c r="CD72" s="536"/>
    </row>
    <row r="73" spans="1:82" x14ac:dyDescent="0.2">
      <c r="A73" s="536">
        <f t="shared" si="81"/>
        <v>4</v>
      </c>
      <c r="B73" s="536">
        <f t="shared" si="82"/>
        <v>2007</v>
      </c>
      <c r="C73" s="539">
        <v>39416</v>
      </c>
      <c r="D73" s="536" t="str">
        <f t="shared" si="83"/>
        <v>4Q07</v>
      </c>
      <c r="E73" s="540">
        <v>14</v>
      </c>
      <c r="F73" s="535"/>
      <c r="G73" s="536"/>
      <c r="H73" s="536"/>
      <c r="I73" s="536"/>
      <c r="J73" s="536"/>
      <c r="K73" s="536"/>
      <c r="L73" s="536"/>
      <c r="M73" s="536"/>
      <c r="N73" s="536"/>
      <c r="O73" s="536"/>
      <c r="P73" s="536"/>
      <c r="Q73" s="536"/>
      <c r="R73" s="536"/>
      <c r="S73" s="536"/>
      <c r="T73" s="536"/>
      <c r="U73" s="536"/>
      <c r="V73" s="536"/>
      <c r="W73" s="536"/>
      <c r="X73" s="536"/>
      <c r="Y73" s="536"/>
      <c r="Z73" s="536"/>
      <c r="AA73" s="536"/>
      <c r="AB73" s="536"/>
      <c r="AC73" s="536"/>
      <c r="AD73" s="536"/>
      <c r="AE73" s="536"/>
      <c r="AF73" s="536"/>
      <c r="AG73" s="536"/>
      <c r="AH73" s="536"/>
      <c r="AI73" s="536"/>
      <c r="AJ73" s="536"/>
      <c r="AK73" s="536"/>
      <c r="AL73" s="536"/>
      <c r="AM73" s="536"/>
      <c r="AN73" s="536"/>
      <c r="AO73" s="536"/>
      <c r="AP73" s="536"/>
      <c r="AQ73" s="536"/>
      <c r="AR73" s="536"/>
      <c r="AS73" s="536"/>
      <c r="AT73" s="536"/>
      <c r="AU73" s="536"/>
      <c r="AV73" s="536"/>
      <c r="AW73" s="536"/>
      <c r="AX73" s="536"/>
      <c r="AY73" s="536"/>
      <c r="AZ73" s="536"/>
      <c r="BA73" s="536"/>
      <c r="BB73" s="536"/>
      <c r="BC73" s="536"/>
      <c r="BD73" s="536"/>
      <c r="BE73" s="536"/>
      <c r="BF73" s="536"/>
      <c r="BG73" s="536"/>
      <c r="BH73" s="536"/>
      <c r="BI73" s="536"/>
      <c r="BJ73" s="536"/>
      <c r="BK73" s="536"/>
      <c r="BL73" s="536"/>
      <c r="BM73" s="536"/>
      <c r="BN73" s="536"/>
      <c r="BO73" s="536"/>
      <c r="BP73" s="536"/>
      <c r="BQ73" s="536"/>
      <c r="BR73" s="536"/>
      <c r="BS73" s="536"/>
      <c r="BT73" s="536"/>
      <c r="BU73" s="536"/>
      <c r="BV73" s="536"/>
      <c r="BW73" s="536"/>
      <c r="BX73" s="536"/>
      <c r="BY73" s="536"/>
      <c r="BZ73" s="536"/>
      <c r="CA73" s="536"/>
      <c r="CB73" s="536"/>
      <c r="CC73" s="536"/>
      <c r="CD73" s="536"/>
    </row>
    <row r="74" spans="1:82" x14ac:dyDescent="0.2">
      <c r="A74" s="536">
        <f t="shared" si="81"/>
        <v>4</v>
      </c>
      <c r="B74" s="536">
        <f t="shared" si="82"/>
        <v>2007</v>
      </c>
      <c r="C74" s="539">
        <v>39447</v>
      </c>
      <c r="D74" s="536" t="str">
        <f t="shared" si="83"/>
        <v>4Q07</v>
      </c>
      <c r="E74" s="540">
        <v>14.659998666666651</v>
      </c>
      <c r="F74" s="535"/>
      <c r="G74" s="536"/>
      <c r="H74" s="536"/>
      <c r="I74" s="536"/>
      <c r="J74" s="536"/>
      <c r="K74" s="536"/>
      <c r="L74" s="536"/>
      <c r="M74" s="536"/>
      <c r="N74" s="536"/>
      <c r="O74" s="536"/>
      <c r="P74" s="536"/>
      <c r="Q74" s="536"/>
      <c r="R74" s="536"/>
      <c r="S74" s="536"/>
      <c r="T74" s="536"/>
      <c r="U74" s="536"/>
      <c r="V74" s="536"/>
      <c r="W74" s="536"/>
      <c r="X74" s="536"/>
      <c r="Y74" s="536"/>
      <c r="Z74" s="536"/>
      <c r="AA74" s="536"/>
      <c r="AB74" s="536"/>
      <c r="AC74" s="536"/>
      <c r="AD74" s="536"/>
      <c r="AE74" s="536"/>
      <c r="AF74" s="536"/>
      <c r="AG74" s="536"/>
      <c r="AH74" s="536"/>
      <c r="AI74" s="536"/>
      <c r="AJ74" s="536"/>
      <c r="AK74" s="536"/>
      <c r="AL74" s="536"/>
      <c r="AM74" s="536"/>
      <c r="AN74" s="536"/>
      <c r="AO74" s="536"/>
      <c r="AP74" s="536"/>
      <c r="AQ74" s="536"/>
      <c r="AR74" s="536"/>
      <c r="AS74" s="536"/>
      <c r="AT74" s="536"/>
      <c r="AU74" s="536"/>
      <c r="AV74" s="536"/>
      <c r="AW74" s="536"/>
      <c r="AX74" s="536"/>
      <c r="AY74" s="536"/>
      <c r="AZ74" s="536"/>
      <c r="BA74" s="536"/>
      <c r="BB74" s="536"/>
      <c r="BC74" s="536"/>
      <c r="BD74" s="536"/>
      <c r="BE74" s="536"/>
      <c r="BF74" s="536"/>
      <c r="BG74" s="536"/>
      <c r="BH74" s="536"/>
      <c r="BI74" s="536"/>
      <c r="BJ74" s="536"/>
      <c r="BK74" s="536"/>
      <c r="BL74" s="536"/>
      <c r="BM74" s="536"/>
      <c r="BN74" s="536"/>
      <c r="BO74" s="536"/>
      <c r="BP74" s="536"/>
      <c r="BQ74" s="536"/>
      <c r="BR74" s="536"/>
      <c r="BS74" s="536"/>
      <c r="BT74" s="536"/>
      <c r="BU74" s="536"/>
      <c r="BV74" s="536"/>
      <c r="BW74" s="536"/>
      <c r="BX74" s="536"/>
      <c r="BY74" s="536"/>
      <c r="BZ74" s="536"/>
      <c r="CA74" s="536"/>
      <c r="CB74" s="536"/>
      <c r="CC74" s="536"/>
      <c r="CD74" s="536"/>
    </row>
    <row r="75" spans="1:82" x14ac:dyDescent="0.2">
      <c r="A75" s="536">
        <f t="shared" si="81"/>
        <v>1</v>
      </c>
      <c r="B75" s="536">
        <f t="shared" si="82"/>
        <v>2008</v>
      </c>
      <c r="C75" s="539">
        <v>39478</v>
      </c>
      <c r="D75" s="536" t="str">
        <f t="shared" si="83"/>
        <v>1Q08</v>
      </c>
      <c r="E75" s="540">
        <v>16.153330666666651</v>
      </c>
      <c r="F75" s="535"/>
      <c r="G75" s="536"/>
      <c r="H75" s="536"/>
      <c r="I75" s="536"/>
      <c r="J75" s="536"/>
      <c r="K75" s="536"/>
      <c r="L75" s="536"/>
      <c r="M75" s="536"/>
      <c r="N75" s="536"/>
      <c r="O75" s="536"/>
      <c r="P75" s="536"/>
      <c r="Q75" s="536"/>
      <c r="R75" s="536"/>
      <c r="S75" s="536"/>
      <c r="T75" s="536"/>
      <c r="U75" s="536"/>
      <c r="V75" s="536"/>
      <c r="W75" s="536"/>
      <c r="X75" s="536"/>
      <c r="Y75" s="536"/>
      <c r="Z75" s="536"/>
      <c r="AA75" s="536"/>
      <c r="AB75" s="536"/>
      <c r="AC75" s="536"/>
      <c r="AD75" s="536"/>
      <c r="AE75" s="536"/>
      <c r="AF75" s="536"/>
      <c r="AG75" s="536"/>
      <c r="AH75" s="536"/>
      <c r="AI75" s="536"/>
      <c r="AJ75" s="536"/>
      <c r="AK75" s="536"/>
      <c r="AL75" s="536"/>
      <c r="AM75" s="536"/>
      <c r="AN75" s="536"/>
      <c r="AO75" s="536"/>
      <c r="AP75" s="536"/>
      <c r="AQ75" s="536"/>
      <c r="AR75" s="536"/>
      <c r="AS75" s="536"/>
      <c r="AT75" s="536"/>
      <c r="AU75" s="536"/>
      <c r="AV75" s="536"/>
      <c r="AW75" s="536"/>
      <c r="AX75" s="536"/>
      <c r="AY75" s="536"/>
      <c r="AZ75" s="536"/>
      <c r="BA75" s="536"/>
      <c r="BB75" s="536"/>
      <c r="BC75" s="536"/>
      <c r="BD75" s="536"/>
      <c r="BE75" s="536"/>
      <c r="BF75" s="536"/>
      <c r="BG75" s="536"/>
      <c r="BH75" s="536"/>
      <c r="BI75" s="536"/>
      <c r="BJ75" s="536"/>
      <c r="BK75" s="536"/>
      <c r="BL75" s="536"/>
      <c r="BM75" s="536"/>
      <c r="BN75" s="536"/>
      <c r="BO75" s="536"/>
      <c r="BP75" s="536"/>
      <c r="BQ75" s="536"/>
      <c r="BR75" s="536"/>
      <c r="BS75" s="536"/>
      <c r="BT75" s="536"/>
      <c r="BU75" s="536"/>
      <c r="BV75" s="536"/>
      <c r="BW75" s="536"/>
      <c r="BX75" s="536"/>
      <c r="BY75" s="536"/>
      <c r="BZ75" s="536"/>
      <c r="CA75" s="536"/>
      <c r="CB75" s="536"/>
      <c r="CC75" s="536"/>
      <c r="CD75" s="536"/>
    </row>
    <row r="76" spans="1:82" x14ac:dyDescent="0.2">
      <c r="A76" s="536">
        <f t="shared" si="81"/>
        <v>1</v>
      </c>
      <c r="B76" s="536">
        <f t="shared" si="82"/>
        <v>2008</v>
      </c>
      <c r="C76" s="539">
        <v>39507</v>
      </c>
      <c r="D76" s="536" t="str">
        <f t="shared" si="83"/>
        <v>1Q08</v>
      </c>
      <c r="E76" s="540">
        <v>16.173329999999982</v>
      </c>
      <c r="F76" s="535"/>
      <c r="G76" s="536"/>
      <c r="H76" s="536"/>
      <c r="I76" s="536"/>
      <c r="J76" s="536"/>
      <c r="K76" s="536"/>
      <c r="L76" s="536"/>
      <c r="M76" s="536"/>
      <c r="N76" s="536"/>
      <c r="O76" s="536"/>
      <c r="P76" s="536"/>
      <c r="Q76" s="536"/>
      <c r="R76" s="536"/>
      <c r="S76" s="536"/>
      <c r="T76" s="536"/>
      <c r="U76" s="536"/>
      <c r="V76" s="536"/>
      <c r="W76" s="536"/>
      <c r="X76" s="536"/>
      <c r="Y76" s="536"/>
      <c r="Z76" s="536"/>
      <c r="AA76" s="536"/>
      <c r="AB76" s="536"/>
      <c r="AC76" s="536"/>
      <c r="AD76" s="536"/>
      <c r="AE76" s="536"/>
      <c r="AF76" s="536"/>
      <c r="AG76" s="536"/>
      <c r="AH76" s="536"/>
      <c r="AI76" s="536"/>
      <c r="AJ76" s="536"/>
      <c r="AK76" s="536"/>
      <c r="AL76" s="536"/>
      <c r="AM76" s="536"/>
      <c r="AN76" s="536"/>
      <c r="AO76" s="536"/>
      <c r="AP76" s="536"/>
      <c r="AQ76" s="536"/>
      <c r="AR76" s="536"/>
      <c r="AS76" s="536"/>
      <c r="AT76" s="536"/>
      <c r="AU76" s="536"/>
      <c r="AV76" s="536"/>
      <c r="AW76" s="536"/>
      <c r="AX76" s="536"/>
      <c r="AY76" s="536"/>
      <c r="AZ76" s="536"/>
      <c r="BA76" s="536"/>
      <c r="BB76" s="536"/>
      <c r="BC76" s="536"/>
      <c r="BD76" s="536"/>
      <c r="BE76" s="536"/>
      <c r="BF76" s="536"/>
      <c r="BG76" s="536"/>
      <c r="BH76" s="536"/>
      <c r="BI76" s="536"/>
      <c r="BJ76" s="536"/>
      <c r="BK76" s="536"/>
      <c r="BL76" s="536"/>
      <c r="BM76" s="536"/>
      <c r="BN76" s="536"/>
      <c r="BO76" s="536"/>
      <c r="BP76" s="536"/>
      <c r="BQ76" s="536"/>
      <c r="BR76" s="536"/>
      <c r="BS76" s="536"/>
      <c r="BT76" s="536"/>
      <c r="BU76" s="536"/>
      <c r="BV76" s="536"/>
      <c r="BW76" s="536"/>
      <c r="BX76" s="536"/>
      <c r="BY76" s="536"/>
      <c r="BZ76" s="536"/>
      <c r="CA76" s="536"/>
      <c r="CB76" s="536"/>
      <c r="CC76" s="536"/>
      <c r="CD76" s="536"/>
    </row>
    <row r="77" spans="1:82" x14ac:dyDescent="0.2">
      <c r="A77" s="536">
        <f t="shared" si="81"/>
        <v>1</v>
      </c>
      <c r="B77" s="536">
        <f t="shared" si="82"/>
        <v>2008</v>
      </c>
      <c r="C77" s="539">
        <v>39538</v>
      </c>
      <c r="D77" s="536" t="str">
        <f t="shared" si="83"/>
        <v>1Q08</v>
      </c>
      <c r="E77" s="540">
        <v>18.689997666666645</v>
      </c>
      <c r="F77" s="535"/>
      <c r="G77" s="536"/>
      <c r="H77" s="536"/>
      <c r="I77" s="536"/>
      <c r="J77" s="536"/>
      <c r="K77" s="536"/>
      <c r="L77" s="536"/>
      <c r="M77" s="536"/>
      <c r="N77" s="536"/>
      <c r="O77" s="536"/>
      <c r="P77" s="536"/>
      <c r="Q77" s="536"/>
      <c r="R77" s="536"/>
      <c r="S77" s="536"/>
      <c r="T77" s="536"/>
      <c r="U77" s="536"/>
      <c r="V77" s="536"/>
      <c r="W77" s="536"/>
      <c r="X77" s="536"/>
      <c r="Y77" s="536"/>
      <c r="Z77" s="536"/>
      <c r="AA77" s="536"/>
      <c r="AB77" s="536"/>
      <c r="AC77" s="536"/>
      <c r="AD77" s="536"/>
      <c r="AE77" s="536"/>
      <c r="AF77" s="536"/>
      <c r="AG77" s="536"/>
      <c r="AH77" s="536"/>
      <c r="AI77" s="536"/>
      <c r="AJ77" s="536"/>
      <c r="AK77" s="536"/>
      <c r="AL77" s="536"/>
      <c r="AM77" s="536"/>
      <c r="AN77" s="536"/>
      <c r="AO77" s="536"/>
      <c r="AP77" s="536"/>
      <c r="AQ77" s="536"/>
      <c r="AR77" s="536"/>
      <c r="AS77" s="536"/>
      <c r="AT77" s="536"/>
      <c r="AU77" s="536"/>
      <c r="AV77" s="536"/>
      <c r="AW77" s="536"/>
      <c r="AX77" s="536"/>
      <c r="AY77" s="536"/>
      <c r="AZ77" s="536"/>
      <c r="BA77" s="536"/>
      <c r="BB77" s="536"/>
      <c r="BC77" s="536"/>
      <c r="BD77" s="536"/>
      <c r="BE77" s="536"/>
      <c r="BF77" s="536"/>
      <c r="BG77" s="536"/>
      <c r="BH77" s="536"/>
      <c r="BI77" s="536"/>
      <c r="BJ77" s="536"/>
      <c r="BK77" s="536"/>
      <c r="BL77" s="536"/>
      <c r="BM77" s="536"/>
      <c r="BN77" s="536"/>
      <c r="BO77" s="536"/>
      <c r="BP77" s="536"/>
      <c r="BQ77" s="536"/>
      <c r="BR77" s="536"/>
      <c r="BS77" s="536"/>
      <c r="BT77" s="536"/>
      <c r="BU77" s="536"/>
      <c r="BV77" s="536"/>
      <c r="BW77" s="536"/>
      <c r="BX77" s="536"/>
      <c r="BY77" s="536"/>
      <c r="BZ77" s="536"/>
      <c r="CA77" s="536"/>
      <c r="CB77" s="536"/>
      <c r="CC77" s="536"/>
      <c r="CD77" s="536"/>
    </row>
    <row r="78" spans="1:82" x14ac:dyDescent="0.2">
      <c r="A78" s="536">
        <f t="shared" si="81"/>
        <v>2</v>
      </c>
      <c r="B78" s="536">
        <f t="shared" si="82"/>
        <v>2008</v>
      </c>
      <c r="C78" s="539">
        <v>39568</v>
      </c>
      <c r="D78" s="536" t="str">
        <f t="shared" si="83"/>
        <v>2Q08</v>
      </c>
      <c r="E78" s="540">
        <v>20.983332333333312</v>
      </c>
      <c r="F78" s="535"/>
      <c r="G78" s="536"/>
      <c r="H78" s="536"/>
      <c r="I78" s="536"/>
      <c r="J78" s="536"/>
      <c r="K78" s="536"/>
      <c r="L78" s="536"/>
      <c r="M78" s="536"/>
      <c r="N78" s="536"/>
      <c r="O78" s="536"/>
      <c r="P78" s="536"/>
      <c r="Q78" s="536"/>
      <c r="R78" s="536"/>
      <c r="S78" s="536"/>
      <c r="T78" s="536"/>
      <c r="U78" s="536"/>
      <c r="V78" s="536"/>
      <c r="W78" s="536"/>
      <c r="X78" s="536"/>
      <c r="Y78" s="536"/>
      <c r="Z78" s="536"/>
      <c r="AA78" s="536"/>
      <c r="AB78" s="536"/>
      <c r="AC78" s="536"/>
      <c r="AD78" s="536"/>
      <c r="AE78" s="536"/>
      <c r="AF78" s="536"/>
      <c r="AG78" s="536"/>
      <c r="AH78" s="536"/>
      <c r="AI78" s="536"/>
      <c r="AJ78" s="536"/>
      <c r="AK78" s="536"/>
      <c r="AL78" s="536"/>
      <c r="AM78" s="536"/>
      <c r="AN78" s="536"/>
      <c r="AO78" s="536"/>
      <c r="AP78" s="536"/>
      <c r="AQ78" s="536"/>
      <c r="AR78" s="536"/>
      <c r="AS78" s="536"/>
      <c r="AT78" s="536"/>
      <c r="AU78" s="536"/>
      <c r="AV78" s="536"/>
      <c r="AW78" s="536"/>
      <c r="AX78" s="536"/>
      <c r="AY78" s="536"/>
      <c r="AZ78" s="536"/>
      <c r="BA78" s="536"/>
      <c r="BB78" s="536"/>
      <c r="BC78" s="536"/>
      <c r="BD78" s="536"/>
      <c r="BE78" s="536"/>
      <c r="BF78" s="536"/>
      <c r="BG78" s="536"/>
      <c r="BH78" s="536"/>
      <c r="BI78" s="536"/>
      <c r="BJ78" s="536"/>
      <c r="BK78" s="536"/>
      <c r="BL78" s="536"/>
      <c r="BM78" s="536"/>
      <c r="BN78" s="536"/>
      <c r="BO78" s="536"/>
      <c r="BP78" s="536"/>
      <c r="BQ78" s="536"/>
      <c r="BR78" s="536"/>
      <c r="BS78" s="536"/>
      <c r="BT78" s="536"/>
      <c r="BU78" s="536"/>
      <c r="BV78" s="536"/>
      <c r="BW78" s="536"/>
      <c r="BX78" s="536"/>
      <c r="BY78" s="536"/>
      <c r="BZ78" s="536"/>
      <c r="CA78" s="536"/>
      <c r="CB78" s="536"/>
      <c r="CC78" s="536"/>
      <c r="CD78" s="536"/>
    </row>
    <row r="79" spans="1:82" x14ac:dyDescent="0.2">
      <c r="A79" s="536">
        <f t="shared" ref="A79:A110" si="84">A67</f>
        <v>2</v>
      </c>
      <c r="B79" s="536">
        <f t="shared" si="82"/>
        <v>2008</v>
      </c>
      <c r="C79" s="539">
        <v>39599</v>
      </c>
      <c r="D79" s="536" t="str">
        <f t="shared" si="83"/>
        <v>2Q08</v>
      </c>
      <c r="E79" s="540">
        <v>23.019999333333306</v>
      </c>
      <c r="F79" s="535"/>
      <c r="G79" s="536"/>
      <c r="H79" s="536"/>
      <c r="I79" s="536"/>
      <c r="J79" s="536"/>
      <c r="K79" s="536"/>
      <c r="L79" s="536"/>
      <c r="M79" s="536"/>
      <c r="N79" s="536"/>
      <c r="O79" s="536"/>
      <c r="P79" s="536"/>
      <c r="Q79" s="536"/>
      <c r="R79" s="536"/>
      <c r="S79" s="536"/>
      <c r="T79" s="536"/>
      <c r="U79" s="536"/>
      <c r="V79" s="536"/>
      <c r="W79" s="536"/>
      <c r="X79" s="536"/>
      <c r="Y79" s="536"/>
      <c r="Z79" s="536"/>
      <c r="AA79" s="536"/>
      <c r="AB79" s="536"/>
      <c r="AC79" s="536"/>
      <c r="AD79" s="536"/>
      <c r="AE79" s="536"/>
      <c r="AF79" s="536"/>
      <c r="AG79" s="536"/>
      <c r="AH79" s="536"/>
      <c r="AI79" s="536"/>
      <c r="AJ79" s="536"/>
      <c r="AK79" s="536"/>
      <c r="AL79" s="536"/>
      <c r="AM79" s="536"/>
      <c r="AN79" s="536"/>
      <c r="AO79" s="536"/>
      <c r="AP79" s="536"/>
      <c r="AQ79" s="536"/>
      <c r="AR79" s="536"/>
      <c r="AS79" s="536"/>
      <c r="AT79" s="536"/>
      <c r="AU79" s="536"/>
      <c r="AV79" s="536"/>
      <c r="AW79" s="536"/>
      <c r="AX79" s="536"/>
      <c r="AY79" s="536"/>
      <c r="AZ79" s="536"/>
      <c r="BA79" s="536"/>
      <c r="BB79" s="536"/>
      <c r="BC79" s="536"/>
      <c r="BD79" s="536"/>
      <c r="BE79" s="536"/>
      <c r="BF79" s="536"/>
      <c r="BG79" s="536"/>
      <c r="BH79" s="536"/>
      <c r="BI79" s="536"/>
      <c r="BJ79" s="536"/>
      <c r="BK79" s="536"/>
      <c r="BL79" s="536"/>
      <c r="BM79" s="536"/>
      <c r="BN79" s="536"/>
      <c r="BO79" s="536"/>
      <c r="BP79" s="536"/>
      <c r="BQ79" s="536"/>
      <c r="BR79" s="536"/>
      <c r="BS79" s="536"/>
      <c r="BT79" s="536"/>
      <c r="BU79" s="536"/>
      <c r="BV79" s="536"/>
      <c r="BW79" s="536"/>
      <c r="BX79" s="536"/>
      <c r="BY79" s="536"/>
      <c r="BZ79" s="536"/>
      <c r="CA79" s="536"/>
      <c r="CB79" s="536"/>
      <c r="CC79" s="536"/>
      <c r="CD79" s="536"/>
    </row>
    <row r="80" spans="1:82" x14ac:dyDescent="0.2">
      <c r="A80" s="536">
        <f t="shared" si="84"/>
        <v>2</v>
      </c>
      <c r="B80" s="536">
        <f t="shared" si="82"/>
        <v>2008</v>
      </c>
      <c r="C80" s="539">
        <v>39629</v>
      </c>
      <c r="D80" s="536" t="str">
        <f t="shared" si="83"/>
        <v>2Q08</v>
      </c>
      <c r="E80" s="540">
        <v>20.936665999999978</v>
      </c>
      <c r="F80" s="535"/>
      <c r="G80" s="536"/>
      <c r="H80" s="536"/>
      <c r="I80" s="536"/>
      <c r="J80" s="536"/>
      <c r="K80" s="536"/>
      <c r="L80" s="536"/>
      <c r="M80" s="536"/>
      <c r="N80" s="536"/>
      <c r="O80" s="536"/>
      <c r="P80" s="536"/>
      <c r="Q80" s="536"/>
      <c r="R80" s="536"/>
      <c r="S80" s="536"/>
      <c r="T80" s="536"/>
      <c r="U80" s="536"/>
      <c r="V80" s="536"/>
      <c r="W80" s="536"/>
      <c r="X80" s="536"/>
      <c r="Y80" s="536"/>
      <c r="Z80" s="536"/>
      <c r="AA80" s="536"/>
      <c r="AB80" s="536"/>
      <c r="AC80" s="536"/>
      <c r="AD80" s="536"/>
      <c r="AE80" s="536"/>
      <c r="AF80" s="536"/>
      <c r="AG80" s="536"/>
      <c r="AH80" s="536"/>
      <c r="AI80" s="536"/>
      <c r="AJ80" s="536"/>
      <c r="AK80" s="536"/>
      <c r="AL80" s="536"/>
      <c r="AM80" s="536"/>
      <c r="AN80" s="536"/>
      <c r="AO80" s="536"/>
      <c r="AP80" s="536"/>
      <c r="AQ80" s="536"/>
      <c r="AR80" s="536"/>
      <c r="AS80" s="536"/>
      <c r="AT80" s="536"/>
      <c r="AU80" s="536"/>
      <c r="AV80" s="536"/>
      <c r="AW80" s="536"/>
      <c r="AX80" s="536"/>
      <c r="AY80" s="536"/>
      <c r="AZ80" s="536"/>
      <c r="BA80" s="536"/>
      <c r="BB80" s="536"/>
      <c r="BC80" s="536"/>
      <c r="BD80" s="536"/>
      <c r="BE80" s="536"/>
      <c r="BF80" s="536"/>
      <c r="BG80" s="536"/>
      <c r="BH80" s="536"/>
      <c r="BI80" s="536"/>
      <c r="BJ80" s="536"/>
      <c r="BK80" s="536"/>
      <c r="BL80" s="536"/>
      <c r="BM80" s="536"/>
      <c r="BN80" s="536"/>
      <c r="BO80" s="536"/>
      <c r="BP80" s="536"/>
      <c r="BQ80" s="536"/>
      <c r="BR80" s="536"/>
      <c r="BS80" s="536"/>
      <c r="BT80" s="536"/>
      <c r="BU80" s="536"/>
      <c r="BV80" s="536"/>
      <c r="BW80" s="536"/>
      <c r="BX80" s="536"/>
      <c r="BY80" s="536"/>
      <c r="BZ80" s="536"/>
      <c r="CA80" s="536"/>
      <c r="CB80" s="536"/>
      <c r="CC80" s="536"/>
      <c r="CD80" s="536"/>
    </row>
    <row r="81" spans="1:82" x14ac:dyDescent="0.2">
      <c r="A81" s="536">
        <f t="shared" si="84"/>
        <v>3</v>
      </c>
      <c r="B81" s="536">
        <f t="shared" si="82"/>
        <v>2008</v>
      </c>
      <c r="C81" s="539">
        <v>39660</v>
      </c>
      <c r="D81" s="536" t="str">
        <f t="shared" si="83"/>
        <v>3Q08</v>
      </c>
      <c r="E81" s="540">
        <v>22.526662333333309</v>
      </c>
      <c r="F81" s="535"/>
      <c r="G81" s="536"/>
      <c r="H81" s="536"/>
      <c r="I81" s="536"/>
      <c r="J81" s="536"/>
      <c r="K81" s="536"/>
      <c r="L81" s="536"/>
      <c r="M81" s="536"/>
      <c r="N81" s="536"/>
      <c r="O81" s="536"/>
      <c r="P81" s="536"/>
      <c r="Q81" s="536"/>
      <c r="R81" s="536"/>
      <c r="S81" s="536"/>
      <c r="T81" s="536"/>
      <c r="U81" s="536"/>
      <c r="V81" s="536"/>
      <c r="W81" s="536"/>
      <c r="X81" s="536"/>
      <c r="Y81" s="536"/>
      <c r="Z81" s="536"/>
      <c r="AA81" s="536"/>
      <c r="AB81" s="536"/>
      <c r="AC81" s="536"/>
      <c r="AD81" s="536"/>
      <c r="AE81" s="536"/>
      <c r="AF81" s="536"/>
      <c r="AG81" s="536"/>
      <c r="AH81" s="536"/>
      <c r="AI81" s="536"/>
      <c r="AJ81" s="536"/>
      <c r="AK81" s="536"/>
      <c r="AL81" s="536"/>
      <c r="AM81" s="536"/>
      <c r="AN81" s="536"/>
      <c r="AO81" s="536"/>
      <c r="AP81" s="536"/>
      <c r="AQ81" s="536"/>
      <c r="AR81" s="536"/>
      <c r="AS81" s="536"/>
      <c r="AT81" s="536"/>
      <c r="AU81" s="536"/>
      <c r="AV81" s="536"/>
      <c r="AW81" s="536"/>
      <c r="AX81" s="536"/>
      <c r="AY81" s="536"/>
      <c r="AZ81" s="536"/>
      <c r="BA81" s="536"/>
      <c r="BB81" s="536"/>
      <c r="BC81" s="536"/>
      <c r="BD81" s="536"/>
      <c r="BE81" s="536"/>
      <c r="BF81" s="536"/>
      <c r="BG81" s="536"/>
      <c r="BH81" s="536"/>
      <c r="BI81" s="536"/>
      <c r="BJ81" s="536"/>
      <c r="BK81" s="536"/>
      <c r="BL81" s="536"/>
      <c r="BM81" s="536"/>
      <c r="BN81" s="536"/>
      <c r="BO81" s="536"/>
      <c r="BP81" s="536"/>
      <c r="BQ81" s="536"/>
      <c r="BR81" s="536"/>
      <c r="BS81" s="536"/>
      <c r="BT81" s="536"/>
      <c r="BU81" s="536"/>
      <c r="BV81" s="536"/>
      <c r="BW81" s="536"/>
      <c r="BX81" s="536"/>
      <c r="BY81" s="536"/>
      <c r="BZ81" s="536"/>
      <c r="CA81" s="536"/>
      <c r="CB81" s="536"/>
      <c r="CC81" s="536"/>
      <c r="CD81" s="536"/>
    </row>
    <row r="82" spans="1:82" x14ac:dyDescent="0.2">
      <c r="A82" s="536">
        <f t="shared" si="84"/>
        <v>3</v>
      </c>
      <c r="B82" s="536">
        <f t="shared" si="82"/>
        <v>2008</v>
      </c>
      <c r="C82" s="539">
        <v>39691</v>
      </c>
      <c r="D82" s="536" t="str">
        <f t="shared" si="83"/>
        <v>3Q08</v>
      </c>
      <c r="E82" s="540">
        <v>21.559997666666643</v>
      </c>
      <c r="F82" s="535"/>
      <c r="G82" s="536"/>
      <c r="H82" s="536"/>
      <c r="I82" s="536"/>
      <c r="J82" s="536"/>
      <c r="K82" s="536"/>
      <c r="L82" s="536"/>
      <c r="M82" s="536"/>
      <c r="N82" s="536"/>
      <c r="O82" s="536"/>
      <c r="P82" s="536"/>
      <c r="Q82" s="536"/>
      <c r="R82" s="536"/>
      <c r="S82" s="536"/>
      <c r="T82" s="536"/>
      <c r="U82" s="536"/>
      <c r="V82" s="536"/>
      <c r="W82" s="536"/>
      <c r="X82" s="536"/>
      <c r="Y82" s="536"/>
      <c r="Z82" s="536"/>
      <c r="AA82" s="536"/>
      <c r="AB82" s="536"/>
      <c r="AC82" s="536"/>
      <c r="AD82" s="536"/>
      <c r="AE82" s="536"/>
      <c r="AF82" s="536"/>
      <c r="AG82" s="536"/>
      <c r="AH82" s="536"/>
      <c r="AI82" s="536"/>
      <c r="AJ82" s="536"/>
      <c r="AK82" s="536"/>
      <c r="AL82" s="536"/>
      <c r="AM82" s="536"/>
      <c r="AN82" s="536"/>
      <c r="AO82" s="536"/>
      <c r="AP82" s="536"/>
      <c r="AQ82" s="536"/>
      <c r="AR82" s="536"/>
      <c r="AS82" s="536"/>
      <c r="AT82" s="536"/>
      <c r="AU82" s="536"/>
      <c r="AV82" s="536"/>
      <c r="AW82" s="536"/>
      <c r="AX82" s="536"/>
      <c r="AY82" s="536"/>
      <c r="AZ82" s="536"/>
      <c r="BA82" s="536"/>
      <c r="BB82" s="536"/>
      <c r="BC82" s="536"/>
      <c r="BD82" s="536"/>
      <c r="BE82" s="536"/>
      <c r="BF82" s="536"/>
      <c r="BG82" s="536"/>
      <c r="BH82" s="536"/>
      <c r="BI82" s="536"/>
      <c r="BJ82" s="536"/>
      <c r="BK82" s="536"/>
      <c r="BL82" s="536"/>
      <c r="BM82" s="536"/>
      <c r="BN82" s="536"/>
      <c r="BO82" s="536"/>
      <c r="BP82" s="536"/>
      <c r="BQ82" s="536"/>
      <c r="BR82" s="536"/>
      <c r="BS82" s="536"/>
      <c r="BT82" s="536"/>
      <c r="BU82" s="536"/>
      <c r="BV82" s="536"/>
      <c r="BW82" s="536"/>
      <c r="BX82" s="536"/>
      <c r="BY82" s="536"/>
      <c r="BZ82" s="536"/>
      <c r="CA82" s="536"/>
      <c r="CB82" s="536"/>
      <c r="CC82" s="536"/>
      <c r="CD82" s="536"/>
    </row>
    <row r="83" spans="1:82" x14ac:dyDescent="0.2">
      <c r="A83" s="536">
        <f t="shared" si="84"/>
        <v>3</v>
      </c>
      <c r="B83" s="536">
        <f t="shared" si="82"/>
        <v>2008</v>
      </c>
      <c r="C83" s="539">
        <v>39721</v>
      </c>
      <c r="D83" s="536" t="str">
        <f t="shared" si="83"/>
        <v>3Q08</v>
      </c>
      <c r="E83" s="540">
        <v>18.189997666666645</v>
      </c>
      <c r="F83" s="535"/>
      <c r="G83" s="536"/>
      <c r="H83" s="536"/>
      <c r="I83" s="536"/>
      <c r="J83" s="536"/>
      <c r="K83" s="536"/>
      <c r="L83" s="536"/>
      <c r="M83" s="536"/>
      <c r="N83" s="536"/>
      <c r="O83" s="536"/>
      <c r="P83" s="536"/>
      <c r="Q83" s="536"/>
      <c r="R83" s="536"/>
      <c r="S83" s="536"/>
      <c r="T83" s="536"/>
      <c r="U83" s="536"/>
      <c r="V83" s="536"/>
      <c r="W83" s="536"/>
      <c r="X83" s="536"/>
      <c r="Y83" s="536"/>
      <c r="Z83" s="536"/>
      <c r="AA83" s="536"/>
      <c r="AB83" s="536"/>
      <c r="AC83" s="536"/>
      <c r="AD83" s="536"/>
      <c r="AE83" s="536"/>
      <c r="AF83" s="536"/>
      <c r="AG83" s="536"/>
      <c r="AH83" s="536"/>
      <c r="AI83" s="536"/>
      <c r="AJ83" s="536"/>
      <c r="AK83" s="536"/>
      <c r="AL83" s="536"/>
      <c r="AM83" s="536"/>
      <c r="AN83" s="536"/>
      <c r="AO83" s="536"/>
      <c r="AP83" s="536"/>
      <c r="AQ83" s="536"/>
      <c r="AR83" s="536"/>
      <c r="AS83" s="536"/>
      <c r="AT83" s="536"/>
      <c r="AU83" s="536"/>
      <c r="AV83" s="536"/>
      <c r="AW83" s="536"/>
      <c r="AX83" s="536"/>
      <c r="AY83" s="536"/>
      <c r="AZ83" s="536"/>
      <c r="BA83" s="536"/>
      <c r="BB83" s="536"/>
      <c r="BC83" s="536"/>
      <c r="BD83" s="536"/>
      <c r="BE83" s="536"/>
      <c r="BF83" s="536"/>
      <c r="BG83" s="536"/>
      <c r="BH83" s="536"/>
      <c r="BI83" s="536"/>
      <c r="BJ83" s="536"/>
      <c r="BK83" s="536"/>
      <c r="BL83" s="536"/>
      <c r="BM83" s="536"/>
      <c r="BN83" s="536"/>
      <c r="BO83" s="536"/>
      <c r="BP83" s="536"/>
      <c r="BQ83" s="536"/>
      <c r="BR83" s="536"/>
      <c r="BS83" s="536"/>
      <c r="BT83" s="536"/>
      <c r="BU83" s="536"/>
      <c r="BV83" s="536"/>
      <c r="BW83" s="536"/>
      <c r="BX83" s="536"/>
      <c r="BY83" s="536"/>
      <c r="BZ83" s="536"/>
      <c r="CA83" s="536"/>
      <c r="CB83" s="536"/>
      <c r="CC83" s="536"/>
      <c r="CD83" s="536"/>
    </row>
    <row r="84" spans="1:82" x14ac:dyDescent="0.2">
      <c r="A84" s="536">
        <f t="shared" si="84"/>
        <v>4</v>
      </c>
      <c r="B84" s="536">
        <f t="shared" si="82"/>
        <v>2008</v>
      </c>
      <c r="C84" s="539">
        <v>39752</v>
      </c>
      <c r="D84" s="536" t="str">
        <f t="shared" si="83"/>
        <v>4Q08</v>
      </c>
      <c r="E84" s="540">
        <v>15.239995333333317</v>
      </c>
      <c r="F84" s="535"/>
      <c r="G84" s="536"/>
      <c r="H84" s="536"/>
      <c r="I84" s="536"/>
      <c r="J84" s="536"/>
      <c r="K84" s="536"/>
      <c r="L84" s="536"/>
      <c r="M84" s="536"/>
      <c r="N84" s="536"/>
      <c r="O84" s="536"/>
      <c r="P84" s="536"/>
      <c r="Q84" s="536"/>
      <c r="R84" s="536"/>
      <c r="S84" s="536"/>
      <c r="T84" s="536"/>
      <c r="U84" s="536"/>
      <c r="V84" s="536"/>
      <c r="W84" s="536"/>
      <c r="X84" s="536"/>
      <c r="Y84" s="536"/>
      <c r="Z84" s="536"/>
      <c r="AA84" s="536"/>
      <c r="AB84" s="536"/>
      <c r="AC84" s="536"/>
      <c r="AD84" s="536"/>
      <c r="AE84" s="536"/>
      <c r="AF84" s="536"/>
      <c r="AG84" s="536"/>
      <c r="AH84" s="536"/>
      <c r="AI84" s="536"/>
      <c r="AJ84" s="536"/>
      <c r="AK84" s="536"/>
      <c r="AL84" s="536"/>
      <c r="AM84" s="536"/>
      <c r="AN84" s="536"/>
      <c r="AO84" s="536"/>
      <c r="AP84" s="536"/>
      <c r="AQ84" s="536"/>
      <c r="AR84" s="536"/>
      <c r="AS84" s="536"/>
      <c r="AT84" s="536"/>
      <c r="AU84" s="536"/>
      <c r="AV84" s="536"/>
      <c r="AW84" s="536"/>
      <c r="AX84" s="536"/>
      <c r="AY84" s="536"/>
      <c r="AZ84" s="536"/>
      <c r="BA84" s="536"/>
      <c r="BB84" s="536"/>
      <c r="BC84" s="536"/>
      <c r="BD84" s="536"/>
      <c r="BE84" s="536"/>
      <c r="BF84" s="536"/>
      <c r="BG84" s="536"/>
      <c r="BH84" s="536"/>
      <c r="BI84" s="536"/>
      <c r="BJ84" s="536"/>
      <c r="BK84" s="536"/>
      <c r="BL84" s="536"/>
      <c r="BM84" s="536"/>
      <c r="BN84" s="536"/>
      <c r="BO84" s="536"/>
      <c r="BP84" s="536"/>
      <c r="BQ84" s="536"/>
      <c r="BR84" s="536"/>
      <c r="BS84" s="536"/>
      <c r="BT84" s="536"/>
      <c r="BU84" s="536"/>
      <c r="BV84" s="536"/>
      <c r="BW84" s="536"/>
      <c r="BX84" s="536"/>
      <c r="BY84" s="536"/>
      <c r="BZ84" s="536"/>
      <c r="CA84" s="536"/>
      <c r="CB84" s="536"/>
      <c r="CC84" s="536"/>
      <c r="CD84" s="536"/>
    </row>
    <row r="85" spans="1:82" x14ac:dyDescent="0.2">
      <c r="A85" s="536">
        <f t="shared" si="84"/>
        <v>4</v>
      </c>
      <c r="B85" s="536">
        <f t="shared" si="82"/>
        <v>2008</v>
      </c>
      <c r="C85" s="539">
        <v>39782</v>
      </c>
      <c r="D85" s="536" t="str">
        <f t="shared" si="83"/>
        <v>4Q08</v>
      </c>
      <c r="E85" s="540">
        <v>12.413330333333322</v>
      </c>
      <c r="F85" s="535"/>
      <c r="G85" s="536"/>
      <c r="H85" s="536"/>
      <c r="I85" s="536"/>
      <c r="J85" s="536"/>
      <c r="K85" s="536"/>
      <c r="L85" s="536"/>
      <c r="M85" s="536"/>
      <c r="N85" s="536"/>
      <c r="O85" s="536"/>
      <c r="P85" s="536"/>
      <c r="Q85" s="536"/>
      <c r="R85" s="536"/>
      <c r="S85" s="536"/>
      <c r="T85" s="536"/>
      <c r="U85" s="536"/>
      <c r="V85" s="536"/>
      <c r="W85" s="536"/>
      <c r="X85" s="536"/>
      <c r="Y85" s="536"/>
      <c r="Z85" s="536"/>
      <c r="AA85" s="536"/>
      <c r="AB85" s="536"/>
      <c r="AC85" s="536"/>
      <c r="AD85" s="536"/>
      <c r="AE85" s="536"/>
      <c r="AF85" s="536"/>
      <c r="AG85" s="536"/>
      <c r="AH85" s="536"/>
      <c r="AI85" s="536"/>
      <c r="AJ85" s="536"/>
      <c r="AK85" s="536"/>
      <c r="AL85" s="536"/>
      <c r="AM85" s="536"/>
      <c r="AN85" s="536"/>
      <c r="AO85" s="536"/>
      <c r="AP85" s="536"/>
      <c r="AQ85" s="536"/>
      <c r="AR85" s="536"/>
      <c r="AS85" s="536"/>
      <c r="AT85" s="536"/>
      <c r="AU85" s="536"/>
      <c r="AV85" s="536"/>
      <c r="AW85" s="536"/>
      <c r="AX85" s="536"/>
      <c r="AY85" s="536"/>
      <c r="AZ85" s="536"/>
      <c r="BA85" s="536"/>
      <c r="BB85" s="536"/>
      <c r="BC85" s="536"/>
      <c r="BD85" s="536"/>
      <c r="BE85" s="536"/>
      <c r="BF85" s="536"/>
      <c r="BG85" s="536"/>
      <c r="BH85" s="536"/>
      <c r="BI85" s="536"/>
      <c r="BJ85" s="536"/>
      <c r="BK85" s="536"/>
      <c r="BL85" s="536"/>
      <c r="BM85" s="536"/>
      <c r="BN85" s="536"/>
      <c r="BO85" s="536"/>
      <c r="BP85" s="536"/>
      <c r="BQ85" s="536"/>
      <c r="BR85" s="536"/>
      <c r="BS85" s="536"/>
      <c r="BT85" s="536"/>
      <c r="BU85" s="536"/>
      <c r="BV85" s="536"/>
      <c r="BW85" s="536"/>
      <c r="BX85" s="536"/>
      <c r="BY85" s="536"/>
      <c r="BZ85" s="536"/>
      <c r="CA85" s="536"/>
      <c r="CB85" s="536"/>
      <c r="CC85" s="536"/>
      <c r="CD85" s="536"/>
    </row>
    <row r="86" spans="1:82" x14ac:dyDescent="0.2">
      <c r="A86" s="536">
        <f t="shared" si="84"/>
        <v>4</v>
      </c>
      <c r="B86" s="536">
        <f t="shared" si="82"/>
        <v>2008</v>
      </c>
      <c r="C86" s="539">
        <v>39813</v>
      </c>
      <c r="D86" s="536" t="str">
        <f t="shared" si="83"/>
        <v>4Q08</v>
      </c>
      <c r="E86" s="540">
        <v>10.823328666666654</v>
      </c>
      <c r="F86" s="535"/>
      <c r="G86" s="536"/>
      <c r="H86" s="536"/>
      <c r="I86" s="536"/>
      <c r="J86" s="536"/>
      <c r="K86" s="536"/>
      <c r="L86" s="536"/>
      <c r="M86" s="536"/>
      <c r="N86" s="536"/>
      <c r="O86" s="536"/>
      <c r="P86" s="536"/>
      <c r="Q86" s="536"/>
      <c r="R86" s="536"/>
      <c r="S86" s="536"/>
      <c r="T86" s="536"/>
      <c r="U86" s="536"/>
      <c r="V86" s="536"/>
      <c r="W86" s="536"/>
      <c r="X86" s="536"/>
      <c r="Y86" s="536"/>
      <c r="Z86" s="536"/>
      <c r="AA86" s="536"/>
      <c r="AB86" s="536"/>
      <c r="AC86" s="536"/>
      <c r="AD86" s="536"/>
      <c r="AE86" s="536"/>
      <c r="AF86" s="536"/>
      <c r="AG86" s="536"/>
      <c r="AH86" s="536"/>
      <c r="AI86" s="536"/>
      <c r="AJ86" s="536"/>
      <c r="AK86" s="536"/>
      <c r="AL86" s="536"/>
      <c r="AM86" s="536"/>
      <c r="AN86" s="536"/>
      <c r="AO86" s="536"/>
      <c r="AP86" s="536"/>
      <c r="AQ86" s="536"/>
      <c r="AR86" s="536"/>
      <c r="AS86" s="536"/>
      <c r="AT86" s="536"/>
      <c r="AU86" s="536"/>
      <c r="AV86" s="536"/>
      <c r="AW86" s="536"/>
      <c r="AX86" s="536"/>
      <c r="AY86" s="536"/>
      <c r="AZ86" s="536"/>
      <c r="BA86" s="536"/>
      <c r="BB86" s="536"/>
      <c r="BC86" s="536"/>
      <c r="BD86" s="536"/>
      <c r="BE86" s="536"/>
      <c r="BF86" s="536"/>
      <c r="BG86" s="536"/>
      <c r="BH86" s="536"/>
      <c r="BI86" s="536"/>
      <c r="BJ86" s="536"/>
      <c r="BK86" s="536"/>
      <c r="BL86" s="536"/>
      <c r="BM86" s="536"/>
      <c r="BN86" s="536"/>
      <c r="BO86" s="536"/>
      <c r="BP86" s="536"/>
      <c r="BQ86" s="536"/>
      <c r="BR86" s="536"/>
      <c r="BS86" s="536"/>
      <c r="BT86" s="536"/>
      <c r="BU86" s="536"/>
      <c r="BV86" s="536"/>
      <c r="BW86" s="536"/>
      <c r="BX86" s="536"/>
      <c r="BY86" s="536"/>
      <c r="BZ86" s="536"/>
      <c r="CA86" s="536"/>
      <c r="CB86" s="536"/>
      <c r="CC86" s="536"/>
      <c r="CD86" s="536"/>
    </row>
    <row r="87" spans="1:82" x14ac:dyDescent="0.2">
      <c r="A87" s="536">
        <f t="shared" si="84"/>
        <v>1</v>
      </c>
      <c r="B87" s="536">
        <f t="shared" si="82"/>
        <v>2009</v>
      </c>
      <c r="C87" s="539">
        <v>39844</v>
      </c>
      <c r="D87" s="536" t="str">
        <f t="shared" si="83"/>
        <v>1Q09</v>
      </c>
      <c r="E87" s="540">
        <v>9.6533306666666565</v>
      </c>
      <c r="F87" s="535"/>
      <c r="G87" s="536"/>
      <c r="H87" s="536"/>
      <c r="I87" s="536"/>
      <c r="J87" s="536"/>
      <c r="K87" s="536"/>
      <c r="L87" s="536"/>
      <c r="M87" s="536"/>
      <c r="N87" s="536"/>
      <c r="O87" s="536"/>
      <c r="P87" s="536"/>
      <c r="Q87" s="536"/>
      <c r="R87" s="536"/>
      <c r="S87" s="536"/>
      <c r="T87" s="536"/>
      <c r="U87" s="536"/>
      <c r="V87" s="536"/>
      <c r="W87" s="536"/>
      <c r="X87" s="536"/>
      <c r="Y87" s="536"/>
      <c r="Z87" s="536"/>
      <c r="AA87" s="536"/>
      <c r="AB87" s="536"/>
      <c r="AC87" s="536"/>
      <c r="AD87" s="536"/>
      <c r="AE87" s="536"/>
      <c r="AF87" s="536"/>
      <c r="AG87" s="536"/>
      <c r="AH87" s="536"/>
      <c r="AI87" s="536"/>
      <c r="AJ87" s="536"/>
      <c r="AK87" s="536"/>
      <c r="AL87" s="536"/>
      <c r="AM87" s="536"/>
      <c r="AN87" s="536"/>
      <c r="AO87" s="536"/>
      <c r="AP87" s="536"/>
      <c r="AQ87" s="536"/>
      <c r="AR87" s="536"/>
      <c r="AS87" s="536"/>
      <c r="AT87" s="536"/>
      <c r="AU87" s="536"/>
      <c r="AV87" s="536"/>
      <c r="AW87" s="536"/>
      <c r="AX87" s="536"/>
      <c r="AY87" s="536"/>
      <c r="AZ87" s="536"/>
      <c r="BA87" s="536"/>
      <c r="BB87" s="536"/>
      <c r="BC87" s="536"/>
      <c r="BD87" s="536"/>
      <c r="BE87" s="536"/>
      <c r="BF87" s="536"/>
      <c r="BG87" s="536"/>
      <c r="BH87" s="536"/>
      <c r="BI87" s="536"/>
      <c r="BJ87" s="536"/>
      <c r="BK87" s="536"/>
      <c r="BL87" s="536"/>
      <c r="BM87" s="536"/>
      <c r="BN87" s="536"/>
      <c r="BO87" s="536"/>
      <c r="BP87" s="536"/>
      <c r="BQ87" s="536"/>
      <c r="BR87" s="536"/>
      <c r="BS87" s="536"/>
      <c r="BT87" s="536"/>
      <c r="BU87" s="536"/>
      <c r="BV87" s="536"/>
      <c r="BW87" s="536"/>
      <c r="BX87" s="536"/>
      <c r="BY87" s="536"/>
      <c r="BZ87" s="536"/>
      <c r="CA87" s="536"/>
      <c r="CB87" s="536"/>
      <c r="CC87" s="536"/>
      <c r="CD87" s="536"/>
    </row>
    <row r="88" spans="1:82" x14ac:dyDescent="0.2">
      <c r="A88" s="536">
        <f t="shared" si="84"/>
        <v>1</v>
      </c>
      <c r="B88" s="536">
        <f t="shared" si="82"/>
        <v>2009</v>
      </c>
      <c r="C88" s="539">
        <v>39872</v>
      </c>
      <c r="D88" s="536" t="str">
        <f t="shared" si="83"/>
        <v>1Q09</v>
      </c>
      <c r="E88" s="540">
        <v>8.2266643333333249</v>
      </c>
      <c r="F88" s="535"/>
      <c r="G88" s="536"/>
      <c r="H88" s="536"/>
      <c r="I88" s="536"/>
      <c r="J88" s="536"/>
      <c r="K88" s="536"/>
      <c r="L88" s="536"/>
      <c r="M88" s="536"/>
      <c r="N88" s="536"/>
      <c r="O88" s="536"/>
      <c r="P88" s="536"/>
      <c r="Q88" s="536"/>
      <c r="R88" s="536"/>
      <c r="S88" s="536"/>
      <c r="T88" s="536"/>
      <c r="U88" s="536"/>
      <c r="V88" s="536"/>
      <c r="W88" s="536"/>
      <c r="X88" s="536"/>
      <c r="Y88" s="536"/>
      <c r="Z88" s="536"/>
      <c r="AA88" s="536"/>
      <c r="AB88" s="536"/>
      <c r="AC88" s="536"/>
      <c r="AD88" s="536"/>
      <c r="AE88" s="536"/>
      <c r="AF88" s="536"/>
      <c r="AG88" s="536"/>
      <c r="AH88" s="536"/>
      <c r="AI88" s="536"/>
      <c r="AJ88" s="536"/>
      <c r="AK88" s="536"/>
      <c r="AL88" s="536"/>
      <c r="AM88" s="536"/>
      <c r="AN88" s="536"/>
      <c r="AO88" s="536"/>
      <c r="AP88" s="536"/>
      <c r="AQ88" s="536"/>
      <c r="AR88" s="536"/>
      <c r="AS88" s="536"/>
      <c r="AT88" s="536"/>
      <c r="AU88" s="536"/>
      <c r="AV88" s="536"/>
      <c r="AW88" s="536"/>
      <c r="AX88" s="536"/>
      <c r="AY88" s="536"/>
      <c r="AZ88" s="536"/>
      <c r="BA88" s="536"/>
      <c r="BB88" s="536"/>
      <c r="BC88" s="536"/>
      <c r="BD88" s="536"/>
      <c r="BE88" s="536"/>
      <c r="BF88" s="536"/>
      <c r="BG88" s="536"/>
      <c r="BH88" s="536"/>
      <c r="BI88" s="536"/>
      <c r="BJ88" s="536"/>
      <c r="BK88" s="536"/>
      <c r="BL88" s="536"/>
      <c r="BM88" s="536"/>
      <c r="BN88" s="536"/>
      <c r="BO88" s="536"/>
      <c r="BP88" s="536"/>
      <c r="BQ88" s="536"/>
      <c r="BR88" s="536"/>
      <c r="BS88" s="536"/>
      <c r="BT88" s="536"/>
      <c r="BU88" s="536"/>
      <c r="BV88" s="536"/>
      <c r="BW88" s="536"/>
      <c r="BX88" s="536"/>
      <c r="BY88" s="536"/>
      <c r="BZ88" s="536"/>
      <c r="CA88" s="536"/>
      <c r="CB88" s="536"/>
      <c r="CC88" s="536"/>
      <c r="CD88" s="536"/>
    </row>
    <row r="89" spans="1:82" x14ac:dyDescent="0.2">
      <c r="A89" s="536">
        <f t="shared" si="84"/>
        <v>1</v>
      </c>
      <c r="B89" s="536">
        <f t="shared" si="82"/>
        <v>2009</v>
      </c>
      <c r="C89" s="539">
        <v>39903</v>
      </c>
      <c r="D89" s="536" t="str">
        <f t="shared" si="83"/>
        <v>1Q09</v>
      </c>
      <c r="E89" s="540">
        <v>8.616663666666657</v>
      </c>
      <c r="F89" s="535"/>
      <c r="G89" s="536"/>
      <c r="H89" s="536"/>
      <c r="I89" s="536"/>
      <c r="J89" s="536"/>
      <c r="K89" s="536"/>
      <c r="L89" s="536"/>
      <c r="M89" s="536"/>
      <c r="N89" s="536"/>
      <c r="O89" s="536"/>
      <c r="P89" s="536"/>
      <c r="Q89" s="536"/>
      <c r="R89" s="536"/>
      <c r="S89" s="536"/>
      <c r="T89" s="536"/>
      <c r="U89" s="536"/>
      <c r="V89" s="536"/>
      <c r="W89" s="536"/>
      <c r="X89" s="536"/>
      <c r="Y89" s="536"/>
      <c r="Z89" s="536"/>
      <c r="AA89" s="536"/>
      <c r="AB89" s="536"/>
      <c r="AC89" s="536"/>
      <c r="AD89" s="536"/>
      <c r="AE89" s="536"/>
      <c r="AF89" s="536"/>
      <c r="AG89" s="536"/>
      <c r="AH89" s="536"/>
      <c r="AI89" s="536"/>
      <c r="AJ89" s="536"/>
      <c r="AK89" s="536"/>
      <c r="AL89" s="536"/>
      <c r="AM89" s="536"/>
      <c r="AN89" s="536"/>
      <c r="AO89" s="536"/>
      <c r="AP89" s="536"/>
      <c r="AQ89" s="536"/>
      <c r="AR89" s="536"/>
      <c r="AS89" s="536"/>
      <c r="AT89" s="536"/>
      <c r="AU89" s="536"/>
      <c r="AV89" s="536"/>
      <c r="AW89" s="536"/>
      <c r="AX89" s="536"/>
      <c r="AY89" s="536"/>
      <c r="AZ89" s="536"/>
      <c r="BA89" s="536"/>
      <c r="BB89" s="536"/>
      <c r="BC89" s="536"/>
      <c r="BD89" s="536"/>
      <c r="BE89" s="536"/>
      <c r="BF89" s="536"/>
      <c r="BG89" s="536"/>
      <c r="BH89" s="536"/>
      <c r="BI89" s="536"/>
      <c r="BJ89" s="536"/>
      <c r="BK89" s="536"/>
      <c r="BL89" s="536"/>
      <c r="BM89" s="536"/>
      <c r="BN89" s="536"/>
      <c r="BO89" s="536"/>
      <c r="BP89" s="536"/>
      <c r="BQ89" s="536"/>
      <c r="BR89" s="536"/>
      <c r="BS89" s="536"/>
      <c r="BT89" s="536"/>
      <c r="BU89" s="536"/>
      <c r="BV89" s="536"/>
      <c r="BW89" s="536"/>
      <c r="BX89" s="536"/>
      <c r="BY89" s="536"/>
      <c r="BZ89" s="536"/>
      <c r="CA89" s="536"/>
      <c r="CB89" s="536"/>
      <c r="CC89" s="536"/>
      <c r="CD89" s="536"/>
    </row>
    <row r="90" spans="1:82" x14ac:dyDescent="0.2">
      <c r="A90" s="536">
        <f t="shared" si="84"/>
        <v>2</v>
      </c>
      <c r="B90" s="536">
        <f t="shared" si="82"/>
        <v>2009</v>
      </c>
      <c r="C90" s="539">
        <v>39933</v>
      </c>
      <c r="D90" s="536" t="str">
        <f t="shared" si="83"/>
        <v>2Q09</v>
      </c>
      <c r="E90" s="540">
        <v>9.8633323333333234</v>
      </c>
      <c r="F90" s="535"/>
      <c r="G90" s="536"/>
      <c r="H90" s="536"/>
      <c r="I90" s="536"/>
      <c r="J90" s="536"/>
      <c r="K90" s="536"/>
      <c r="L90" s="536"/>
      <c r="M90" s="536"/>
      <c r="N90" s="536"/>
      <c r="O90" s="536"/>
      <c r="P90" s="536"/>
      <c r="Q90" s="536"/>
      <c r="R90" s="536"/>
      <c r="S90" s="536"/>
      <c r="T90" s="536"/>
      <c r="U90" s="536"/>
      <c r="V90" s="536"/>
      <c r="W90" s="536"/>
      <c r="X90" s="536"/>
      <c r="Y90" s="536"/>
      <c r="Z90" s="536"/>
      <c r="AA90" s="536"/>
      <c r="AB90" s="536"/>
      <c r="AC90" s="536"/>
      <c r="AD90" s="536"/>
      <c r="AE90" s="536"/>
      <c r="AF90" s="536"/>
      <c r="AG90" s="536"/>
      <c r="AH90" s="536"/>
      <c r="AI90" s="536"/>
      <c r="AJ90" s="536"/>
      <c r="AK90" s="536"/>
      <c r="AL90" s="536"/>
      <c r="AM90" s="536"/>
      <c r="AN90" s="536"/>
      <c r="AO90" s="536"/>
      <c r="AP90" s="536"/>
      <c r="AQ90" s="536"/>
      <c r="AR90" s="536"/>
      <c r="AS90" s="536"/>
      <c r="AT90" s="536"/>
      <c r="AU90" s="536"/>
      <c r="AV90" s="536"/>
      <c r="AW90" s="536"/>
      <c r="AX90" s="536"/>
      <c r="AY90" s="536"/>
      <c r="AZ90" s="536"/>
      <c r="BA90" s="536"/>
      <c r="BB90" s="536"/>
      <c r="BC90" s="536"/>
      <c r="BD90" s="536"/>
      <c r="BE90" s="536"/>
      <c r="BF90" s="536"/>
      <c r="BG90" s="536"/>
      <c r="BH90" s="536"/>
      <c r="BI90" s="536"/>
      <c r="BJ90" s="536"/>
      <c r="BK90" s="536"/>
      <c r="BL90" s="536"/>
      <c r="BM90" s="536"/>
      <c r="BN90" s="536"/>
      <c r="BO90" s="536"/>
      <c r="BP90" s="536"/>
      <c r="BQ90" s="536"/>
      <c r="BR90" s="536"/>
      <c r="BS90" s="536"/>
      <c r="BT90" s="536"/>
      <c r="BU90" s="536"/>
      <c r="BV90" s="536"/>
      <c r="BW90" s="536"/>
      <c r="BX90" s="536"/>
      <c r="BY90" s="536"/>
      <c r="BZ90" s="536"/>
      <c r="CA90" s="536"/>
      <c r="CB90" s="536"/>
      <c r="CC90" s="536"/>
      <c r="CD90" s="536"/>
    </row>
    <row r="91" spans="1:82" x14ac:dyDescent="0.2">
      <c r="A91" s="536">
        <f t="shared" si="84"/>
        <v>2</v>
      </c>
      <c r="B91" s="536">
        <f t="shared" si="82"/>
        <v>2009</v>
      </c>
      <c r="C91" s="539">
        <v>39964</v>
      </c>
      <c r="D91" s="536" t="str">
        <f t="shared" si="83"/>
        <v>2Q09</v>
      </c>
      <c r="E91" s="540">
        <v>10.586664999999989</v>
      </c>
      <c r="F91" s="535"/>
      <c r="G91" s="536"/>
      <c r="H91" s="536"/>
      <c r="I91" s="536"/>
      <c r="J91" s="536"/>
      <c r="K91" s="536"/>
      <c r="L91" s="536"/>
      <c r="M91" s="536"/>
      <c r="N91" s="536"/>
      <c r="O91" s="536"/>
      <c r="P91" s="536"/>
      <c r="Q91" s="536"/>
      <c r="R91" s="536"/>
      <c r="S91" s="536"/>
      <c r="T91" s="536"/>
      <c r="U91" s="536"/>
      <c r="V91" s="536"/>
      <c r="W91" s="536"/>
      <c r="X91" s="536"/>
      <c r="Y91" s="536"/>
      <c r="Z91" s="536"/>
      <c r="AA91" s="536"/>
      <c r="AB91" s="536"/>
      <c r="AC91" s="536"/>
      <c r="AD91" s="536"/>
      <c r="AE91" s="536"/>
      <c r="AF91" s="536"/>
      <c r="AG91" s="536"/>
      <c r="AH91" s="536"/>
      <c r="AI91" s="536"/>
      <c r="AJ91" s="536"/>
      <c r="AK91" s="536"/>
      <c r="AL91" s="536"/>
      <c r="AM91" s="536"/>
      <c r="AN91" s="536"/>
      <c r="AO91" s="536"/>
      <c r="AP91" s="536"/>
      <c r="AQ91" s="536"/>
      <c r="AR91" s="536"/>
      <c r="AS91" s="536"/>
      <c r="AT91" s="536"/>
      <c r="AU91" s="536"/>
      <c r="AV91" s="536"/>
      <c r="AW91" s="536"/>
      <c r="AX91" s="536"/>
      <c r="AY91" s="536"/>
      <c r="AZ91" s="536"/>
      <c r="BA91" s="536"/>
      <c r="BB91" s="536"/>
      <c r="BC91" s="536"/>
      <c r="BD91" s="536"/>
      <c r="BE91" s="536"/>
      <c r="BF91" s="536"/>
      <c r="BG91" s="536"/>
      <c r="BH91" s="536"/>
      <c r="BI91" s="536"/>
      <c r="BJ91" s="536"/>
      <c r="BK91" s="536"/>
      <c r="BL91" s="536"/>
      <c r="BM91" s="536"/>
      <c r="BN91" s="536"/>
      <c r="BO91" s="536"/>
      <c r="BP91" s="536"/>
      <c r="BQ91" s="536"/>
      <c r="BR91" s="536"/>
      <c r="BS91" s="536"/>
      <c r="BT91" s="536"/>
      <c r="BU91" s="536"/>
      <c r="BV91" s="536"/>
      <c r="BW91" s="536"/>
      <c r="BX91" s="536"/>
      <c r="BY91" s="536"/>
      <c r="BZ91" s="536"/>
      <c r="CA91" s="536"/>
      <c r="CB91" s="536"/>
      <c r="CC91" s="536"/>
      <c r="CD91" s="536"/>
    </row>
    <row r="92" spans="1:82" x14ac:dyDescent="0.2">
      <c r="A92" s="536">
        <f t="shared" si="84"/>
        <v>2</v>
      </c>
      <c r="B92" s="536">
        <f t="shared" si="82"/>
        <v>2009</v>
      </c>
      <c r="C92" s="539">
        <v>39994</v>
      </c>
      <c r="D92" s="536" t="str">
        <f t="shared" si="83"/>
        <v>2Q09</v>
      </c>
      <c r="E92" s="540">
        <v>11.543329999999987</v>
      </c>
      <c r="F92" s="535"/>
      <c r="G92" s="536"/>
      <c r="H92" s="536"/>
      <c r="I92" s="536"/>
      <c r="J92" s="536"/>
      <c r="K92" s="536"/>
      <c r="L92" s="536"/>
      <c r="M92" s="536"/>
      <c r="N92" s="536"/>
      <c r="O92" s="536"/>
      <c r="P92" s="536"/>
      <c r="Q92" s="536"/>
      <c r="R92" s="536"/>
      <c r="S92" s="536"/>
      <c r="T92" s="536"/>
      <c r="U92" s="536"/>
      <c r="V92" s="536"/>
      <c r="W92" s="536"/>
      <c r="X92" s="536"/>
      <c r="Y92" s="536"/>
      <c r="Z92" s="536"/>
      <c r="AA92" s="536"/>
      <c r="AB92" s="536"/>
      <c r="AC92" s="536"/>
      <c r="AD92" s="536"/>
      <c r="AE92" s="536"/>
      <c r="AF92" s="536"/>
      <c r="AG92" s="536"/>
      <c r="AH92" s="536"/>
      <c r="AI92" s="536"/>
      <c r="AJ92" s="536"/>
      <c r="AK92" s="536"/>
      <c r="AL92" s="536"/>
      <c r="AM92" s="536"/>
      <c r="AN92" s="536"/>
      <c r="AO92" s="536"/>
      <c r="AP92" s="536"/>
      <c r="AQ92" s="536"/>
      <c r="AR92" s="536"/>
      <c r="AS92" s="536"/>
      <c r="AT92" s="536"/>
      <c r="AU92" s="536"/>
      <c r="AV92" s="536"/>
      <c r="AW92" s="536"/>
      <c r="AX92" s="536"/>
      <c r="AY92" s="536"/>
      <c r="AZ92" s="536"/>
      <c r="BA92" s="536"/>
      <c r="BB92" s="536"/>
      <c r="BC92" s="536"/>
      <c r="BD92" s="536"/>
      <c r="BE92" s="536"/>
      <c r="BF92" s="536"/>
      <c r="BG92" s="536"/>
      <c r="BH92" s="536"/>
      <c r="BI92" s="536"/>
      <c r="BJ92" s="536"/>
      <c r="BK92" s="536"/>
      <c r="BL92" s="536"/>
      <c r="BM92" s="536"/>
      <c r="BN92" s="536"/>
      <c r="BO92" s="536"/>
      <c r="BP92" s="536"/>
      <c r="BQ92" s="536"/>
      <c r="BR92" s="536"/>
      <c r="BS92" s="536"/>
      <c r="BT92" s="536"/>
      <c r="BU92" s="536"/>
      <c r="BV92" s="536"/>
      <c r="BW92" s="536"/>
      <c r="BX92" s="536"/>
      <c r="BY92" s="536"/>
      <c r="BZ92" s="536"/>
      <c r="CA92" s="536"/>
      <c r="CB92" s="536"/>
      <c r="CC92" s="536"/>
      <c r="CD92" s="536"/>
    </row>
    <row r="93" spans="1:82" x14ac:dyDescent="0.2">
      <c r="A93" s="536">
        <f t="shared" si="84"/>
        <v>3</v>
      </c>
      <c r="B93" s="536">
        <f t="shared" si="82"/>
        <v>2009</v>
      </c>
      <c r="C93" s="539">
        <v>40025</v>
      </c>
      <c r="D93" s="536" t="str">
        <f t="shared" si="83"/>
        <v>3Q09</v>
      </c>
      <c r="E93" s="540">
        <v>13.373331999999985</v>
      </c>
      <c r="F93" s="535"/>
      <c r="G93" s="536"/>
      <c r="H93" s="536"/>
      <c r="I93" s="536"/>
      <c r="J93" s="536"/>
      <c r="K93" s="536"/>
      <c r="L93" s="536"/>
      <c r="M93" s="536"/>
      <c r="N93" s="536"/>
      <c r="O93" s="536"/>
      <c r="P93" s="536"/>
      <c r="Q93" s="536"/>
      <c r="R93" s="536"/>
      <c r="S93" s="536"/>
      <c r="T93" s="536"/>
      <c r="U93" s="536"/>
      <c r="V93" s="536"/>
      <c r="W93" s="536"/>
      <c r="X93" s="536"/>
      <c r="Y93" s="536"/>
      <c r="Z93" s="536"/>
      <c r="AA93" s="536"/>
      <c r="AB93" s="536"/>
      <c r="AC93" s="536"/>
      <c r="AD93" s="536"/>
      <c r="AE93" s="536"/>
      <c r="AF93" s="536"/>
      <c r="AG93" s="536"/>
      <c r="AH93" s="536"/>
      <c r="AI93" s="536"/>
      <c r="AJ93" s="536"/>
      <c r="AK93" s="536"/>
      <c r="AL93" s="536"/>
      <c r="AM93" s="536"/>
      <c r="AN93" s="536"/>
      <c r="AO93" s="536"/>
      <c r="AP93" s="536"/>
      <c r="AQ93" s="536"/>
      <c r="AR93" s="536"/>
      <c r="AS93" s="536"/>
      <c r="AT93" s="536"/>
      <c r="AU93" s="536"/>
      <c r="AV93" s="536"/>
      <c r="AW93" s="536"/>
      <c r="AX93" s="536"/>
      <c r="AY93" s="536"/>
      <c r="AZ93" s="536"/>
      <c r="BA93" s="536"/>
      <c r="BB93" s="536"/>
      <c r="BC93" s="536"/>
      <c r="BD93" s="536"/>
      <c r="BE93" s="536"/>
      <c r="BF93" s="536"/>
      <c r="BG93" s="536"/>
      <c r="BH93" s="536"/>
      <c r="BI93" s="536"/>
      <c r="BJ93" s="536"/>
      <c r="BK93" s="536"/>
      <c r="BL93" s="536"/>
      <c r="BM93" s="536"/>
      <c r="BN93" s="536"/>
      <c r="BO93" s="536"/>
      <c r="BP93" s="536"/>
      <c r="BQ93" s="536"/>
      <c r="BR93" s="536"/>
      <c r="BS93" s="536"/>
      <c r="BT93" s="536"/>
      <c r="BU93" s="536"/>
      <c r="BV93" s="536"/>
      <c r="BW93" s="536"/>
      <c r="BX93" s="536"/>
      <c r="BY93" s="536"/>
      <c r="BZ93" s="536"/>
      <c r="CA93" s="536"/>
      <c r="CB93" s="536"/>
      <c r="CC93" s="536"/>
      <c r="CD93" s="536"/>
    </row>
    <row r="94" spans="1:82" x14ac:dyDescent="0.2">
      <c r="A94" s="536">
        <f t="shared" si="84"/>
        <v>3</v>
      </c>
      <c r="B94" s="536">
        <f t="shared" si="82"/>
        <v>2009</v>
      </c>
      <c r="C94" s="539">
        <v>40056</v>
      </c>
      <c r="D94" s="536" t="str">
        <f t="shared" si="83"/>
        <v>3Q09</v>
      </c>
      <c r="E94" s="540">
        <v>14.166666666666652</v>
      </c>
      <c r="F94" s="535"/>
      <c r="G94" s="536"/>
      <c r="H94" s="536"/>
      <c r="I94" s="536"/>
      <c r="J94" s="536"/>
      <c r="K94" s="536"/>
      <c r="L94" s="536"/>
      <c r="M94" s="536"/>
      <c r="N94" s="536"/>
      <c r="O94" s="536"/>
      <c r="P94" s="536"/>
      <c r="Q94" s="536"/>
      <c r="R94" s="536"/>
      <c r="S94" s="536"/>
      <c r="T94" s="536"/>
      <c r="U94" s="536"/>
      <c r="V94" s="536"/>
      <c r="W94" s="536"/>
      <c r="X94" s="536"/>
      <c r="Y94" s="536"/>
      <c r="Z94" s="536"/>
      <c r="AA94" s="536"/>
      <c r="AB94" s="536"/>
      <c r="AC94" s="536"/>
      <c r="AD94" s="536"/>
      <c r="AE94" s="536"/>
      <c r="AF94" s="536"/>
      <c r="AG94" s="536"/>
      <c r="AH94" s="536"/>
      <c r="AI94" s="536"/>
      <c r="AJ94" s="536"/>
      <c r="AK94" s="536"/>
      <c r="AL94" s="536"/>
      <c r="AM94" s="536"/>
      <c r="AN94" s="536"/>
      <c r="AO94" s="536"/>
      <c r="AP94" s="536"/>
      <c r="AQ94" s="536"/>
      <c r="AR94" s="536"/>
      <c r="AS94" s="536"/>
      <c r="AT94" s="536"/>
      <c r="AU94" s="536"/>
      <c r="AV94" s="536"/>
      <c r="AW94" s="536"/>
      <c r="AX94" s="536"/>
      <c r="AY94" s="536"/>
      <c r="AZ94" s="536"/>
      <c r="BA94" s="536"/>
      <c r="BB94" s="536"/>
      <c r="BC94" s="536"/>
      <c r="BD94" s="536"/>
      <c r="BE94" s="536"/>
      <c r="BF94" s="536"/>
      <c r="BG94" s="536"/>
      <c r="BH94" s="536"/>
      <c r="BI94" s="536"/>
      <c r="BJ94" s="536"/>
      <c r="BK94" s="536"/>
      <c r="BL94" s="536"/>
      <c r="BM94" s="536"/>
      <c r="BN94" s="536"/>
      <c r="BO94" s="536"/>
      <c r="BP94" s="536"/>
      <c r="BQ94" s="536"/>
      <c r="BR94" s="536"/>
      <c r="BS94" s="536"/>
      <c r="BT94" s="536"/>
      <c r="BU94" s="536"/>
      <c r="BV94" s="536"/>
      <c r="BW94" s="536"/>
      <c r="BX94" s="536"/>
      <c r="BY94" s="536"/>
      <c r="BZ94" s="536"/>
      <c r="CA94" s="536"/>
      <c r="CB94" s="536"/>
      <c r="CC94" s="536"/>
      <c r="CD94" s="536"/>
    </row>
    <row r="95" spans="1:82" x14ac:dyDescent="0.2">
      <c r="A95" s="536">
        <f t="shared" si="84"/>
        <v>3</v>
      </c>
      <c r="B95" s="536">
        <f t="shared" si="82"/>
        <v>2009</v>
      </c>
      <c r="C95" s="539">
        <v>40086</v>
      </c>
      <c r="D95" s="536" t="str">
        <f t="shared" si="83"/>
        <v>3Q09</v>
      </c>
      <c r="E95" s="540">
        <v>13.953328666666652</v>
      </c>
      <c r="F95" s="535"/>
      <c r="G95" s="536"/>
      <c r="H95" s="536"/>
      <c r="I95" s="536"/>
      <c r="J95" s="536"/>
      <c r="K95" s="536"/>
      <c r="L95" s="536"/>
      <c r="M95" s="536"/>
      <c r="N95" s="536"/>
      <c r="O95" s="536"/>
      <c r="P95" s="536"/>
      <c r="Q95" s="536"/>
      <c r="R95" s="536"/>
      <c r="S95" s="536"/>
      <c r="T95" s="536"/>
      <c r="U95" s="536"/>
      <c r="V95" s="536"/>
      <c r="W95" s="536"/>
      <c r="X95" s="536"/>
      <c r="Y95" s="536"/>
      <c r="Z95" s="536"/>
      <c r="AA95" s="536"/>
      <c r="AB95" s="536"/>
      <c r="AC95" s="536"/>
      <c r="AD95" s="536"/>
      <c r="AE95" s="536"/>
      <c r="AF95" s="536"/>
      <c r="AG95" s="536"/>
      <c r="AH95" s="536"/>
      <c r="AI95" s="536"/>
      <c r="AJ95" s="536"/>
      <c r="AK95" s="536"/>
      <c r="AL95" s="536"/>
      <c r="AM95" s="536"/>
      <c r="AN95" s="536"/>
      <c r="AO95" s="536"/>
      <c r="AP95" s="536"/>
      <c r="AQ95" s="536"/>
      <c r="AR95" s="536"/>
      <c r="AS95" s="536"/>
      <c r="AT95" s="536"/>
      <c r="AU95" s="536"/>
      <c r="AV95" s="536"/>
      <c r="AW95" s="536"/>
      <c r="AX95" s="536"/>
      <c r="AY95" s="536"/>
      <c r="AZ95" s="536"/>
      <c r="BA95" s="536"/>
      <c r="BB95" s="536"/>
      <c r="BC95" s="536"/>
      <c r="BD95" s="536"/>
      <c r="BE95" s="536"/>
      <c r="BF95" s="536"/>
      <c r="BG95" s="536"/>
      <c r="BH95" s="536"/>
      <c r="BI95" s="536"/>
      <c r="BJ95" s="536"/>
      <c r="BK95" s="536"/>
      <c r="BL95" s="536"/>
      <c r="BM95" s="536"/>
      <c r="BN95" s="536"/>
      <c r="BO95" s="536"/>
      <c r="BP95" s="536"/>
      <c r="BQ95" s="536"/>
      <c r="BR95" s="536"/>
      <c r="BS95" s="536"/>
      <c r="BT95" s="536"/>
      <c r="BU95" s="536"/>
      <c r="BV95" s="536"/>
      <c r="BW95" s="536"/>
      <c r="BX95" s="536"/>
      <c r="BY95" s="536"/>
      <c r="BZ95" s="536"/>
      <c r="CA95" s="536"/>
      <c r="CB95" s="536"/>
      <c r="CC95" s="536"/>
      <c r="CD95" s="536"/>
    </row>
    <row r="96" spans="1:82" x14ac:dyDescent="0.2">
      <c r="A96" s="536">
        <f t="shared" si="84"/>
        <v>4</v>
      </c>
      <c r="B96" s="536">
        <f t="shared" si="82"/>
        <v>2009</v>
      </c>
      <c r="C96" s="539">
        <v>40117</v>
      </c>
      <c r="D96" s="536" t="str">
        <f t="shared" si="83"/>
        <v>4Q09</v>
      </c>
      <c r="E96" s="540">
        <v>14.059997666666654</v>
      </c>
      <c r="F96" s="535"/>
      <c r="G96" s="536"/>
      <c r="H96" s="536"/>
      <c r="I96" s="536"/>
      <c r="J96" s="536"/>
      <c r="K96" s="536"/>
      <c r="L96" s="536"/>
      <c r="M96" s="536"/>
      <c r="N96" s="536"/>
      <c r="O96" s="536"/>
      <c r="P96" s="536"/>
      <c r="Q96" s="536"/>
      <c r="R96" s="536"/>
      <c r="S96" s="536"/>
      <c r="T96" s="536"/>
      <c r="U96" s="536"/>
      <c r="V96" s="536"/>
      <c r="W96" s="536"/>
      <c r="X96" s="536"/>
      <c r="Y96" s="536"/>
      <c r="Z96" s="536"/>
      <c r="AA96" s="536"/>
      <c r="AB96" s="536"/>
      <c r="AC96" s="536"/>
      <c r="AD96" s="536"/>
      <c r="AE96" s="536"/>
      <c r="AF96" s="536"/>
      <c r="AG96" s="536"/>
      <c r="AH96" s="536"/>
      <c r="AI96" s="536"/>
      <c r="AJ96" s="536"/>
      <c r="AK96" s="536"/>
      <c r="AL96" s="536"/>
      <c r="AM96" s="536"/>
      <c r="AN96" s="536"/>
      <c r="AO96" s="536"/>
      <c r="AP96" s="536"/>
      <c r="AQ96" s="536"/>
      <c r="AR96" s="536"/>
      <c r="AS96" s="536"/>
      <c r="AT96" s="536"/>
      <c r="AU96" s="536"/>
      <c r="AV96" s="536"/>
      <c r="AW96" s="536"/>
      <c r="AX96" s="536"/>
      <c r="AY96" s="536"/>
      <c r="AZ96" s="536"/>
      <c r="BA96" s="536"/>
      <c r="BB96" s="536"/>
      <c r="BC96" s="536"/>
      <c r="BD96" s="536"/>
      <c r="BE96" s="536"/>
      <c r="BF96" s="536"/>
      <c r="BG96" s="536"/>
      <c r="BH96" s="536"/>
      <c r="BI96" s="536"/>
      <c r="BJ96" s="536"/>
      <c r="BK96" s="536"/>
      <c r="BL96" s="536"/>
      <c r="BM96" s="536"/>
      <c r="BN96" s="536"/>
      <c r="BO96" s="536"/>
      <c r="BP96" s="536"/>
      <c r="BQ96" s="536"/>
      <c r="BR96" s="536"/>
      <c r="BS96" s="536"/>
      <c r="BT96" s="536"/>
      <c r="BU96" s="536"/>
      <c r="BV96" s="536"/>
      <c r="BW96" s="536"/>
      <c r="BX96" s="536"/>
      <c r="BY96" s="536"/>
      <c r="BZ96" s="536"/>
      <c r="CA96" s="536"/>
      <c r="CB96" s="536"/>
      <c r="CC96" s="536"/>
      <c r="CD96" s="536"/>
    </row>
    <row r="97" spans="1:82" x14ac:dyDescent="0.2">
      <c r="A97" s="536">
        <f t="shared" si="84"/>
        <v>4</v>
      </c>
      <c r="B97" s="536">
        <f t="shared" si="82"/>
        <v>2009</v>
      </c>
      <c r="C97" s="539">
        <v>40147</v>
      </c>
      <c r="D97" s="536" t="str">
        <f t="shared" si="83"/>
        <v>4Q09</v>
      </c>
      <c r="E97" s="540">
        <v>15.826665333333317</v>
      </c>
      <c r="F97" s="535"/>
      <c r="G97" s="536"/>
      <c r="H97" s="536"/>
      <c r="I97" s="536"/>
      <c r="J97" s="536"/>
      <c r="K97" s="536"/>
      <c r="L97" s="536"/>
      <c r="M97" s="536"/>
      <c r="N97" s="536"/>
      <c r="O97" s="536"/>
      <c r="P97" s="536"/>
      <c r="Q97" s="536"/>
      <c r="R97" s="536"/>
      <c r="S97" s="536"/>
      <c r="T97" s="536"/>
      <c r="U97" s="536"/>
      <c r="V97" s="536"/>
      <c r="W97" s="536"/>
      <c r="X97" s="536"/>
      <c r="Y97" s="536"/>
      <c r="Z97" s="536"/>
      <c r="AA97" s="536"/>
      <c r="AB97" s="536"/>
      <c r="AC97" s="536"/>
      <c r="AD97" s="536"/>
      <c r="AE97" s="536"/>
      <c r="AF97" s="536"/>
      <c r="AG97" s="536"/>
      <c r="AH97" s="536"/>
      <c r="AI97" s="536"/>
      <c r="AJ97" s="536"/>
      <c r="AK97" s="536"/>
      <c r="AL97" s="536"/>
      <c r="AM97" s="536"/>
      <c r="AN97" s="536"/>
      <c r="AO97" s="536"/>
      <c r="AP97" s="536"/>
      <c r="AQ97" s="536"/>
      <c r="AR97" s="536"/>
      <c r="AS97" s="536"/>
      <c r="AT97" s="536"/>
      <c r="AU97" s="536"/>
      <c r="AV97" s="536"/>
      <c r="AW97" s="536"/>
      <c r="AX97" s="536"/>
      <c r="AY97" s="536"/>
      <c r="AZ97" s="536"/>
      <c r="BA97" s="536"/>
      <c r="BB97" s="536"/>
      <c r="BC97" s="536"/>
      <c r="BD97" s="536"/>
      <c r="BE97" s="536"/>
      <c r="BF97" s="536"/>
      <c r="BG97" s="536"/>
      <c r="BH97" s="536"/>
      <c r="BI97" s="536"/>
      <c r="BJ97" s="536"/>
      <c r="BK97" s="536"/>
      <c r="BL97" s="536"/>
      <c r="BM97" s="536"/>
      <c r="BN97" s="536"/>
      <c r="BO97" s="536"/>
      <c r="BP97" s="536"/>
      <c r="BQ97" s="536"/>
      <c r="BR97" s="536"/>
      <c r="BS97" s="536"/>
      <c r="BT97" s="536"/>
      <c r="BU97" s="536"/>
      <c r="BV97" s="536"/>
      <c r="BW97" s="536"/>
      <c r="BX97" s="536"/>
      <c r="BY97" s="536"/>
      <c r="BZ97" s="536"/>
      <c r="CA97" s="536"/>
      <c r="CB97" s="536"/>
      <c r="CC97" s="536"/>
      <c r="CD97" s="536"/>
    </row>
    <row r="98" spans="1:82" x14ac:dyDescent="0.2">
      <c r="A98" s="536">
        <f t="shared" si="84"/>
        <v>4</v>
      </c>
      <c r="B98" s="536">
        <f t="shared" si="82"/>
        <v>2009</v>
      </c>
      <c r="C98" s="539">
        <v>40178</v>
      </c>
      <c r="D98" s="536" t="str">
        <f t="shared" si="83"/>
        <v>4Q09</v>
      </c>
      <c r="E98" s="540">
        <v>16.163330333333317</v>
      </c>
      <c r="F98" s="535"/>
      <c r="G98" s="536"/>
      <c r="H98" s="536"/>
      <c r="I98" s="536"/>
      <c r="J98" s="536"/>
      <c r="K98" s="536"/>
      <c r="L98" s="536"/>
      <c r="M98" s="536"/>
      <c r="N98" s="536"/>
      <c r="O98" s="536"/>
      <c r="P98" s="536"/>
      <c r="Q98" s="536"/>
      <c r="R98" s="536"/>
      <c r="S98" s="536"/>
      <c r="T98" s="536"/>
      <c r="U98" s="536"/>
      <c r="V98" s="536"/>
      <c r="W98" s="536"/>
      <c r="X98" s="536"/>
      <c r="Y98" s="536"/>
      <c r="Z98" s="536"/>
      <c r="AA98" s="536"/>
      <c r="AB98" s="536"/>
      <c r="AC98" s="536"/>
      <c r="AD98" s="536"/>
      <c r="AE98" s="536"/>
      <c r="AF98" s="536"/>
      <c r="AG98" s="536"/>
      <c r="AH98" s="536"/>
      <c r="AI98" s="536"/>
      <c r="AJ98" s="536"/>
      <c r="AK98" s="536"/>
      <c r="AL98" s="536"/>
      <c r="AM98" s="536"/>
      <c r="AN98" s="536"/>
      <c r="AO98" s="536"/>
      <c r="AP98" s="536"/>
      <c r="AQ98" s="536"/>
      <c r="AR98" s="536"/>
      <c r="AS98" s="536"/>
      <c r="AT98" s="536"/>
      <c r="AU98" s="536"/>
      <c r="AV98" s="536"/>
      <c r="AW98" s="536"/>
      <c r="AX98" s="536"/>
      <c r="AY98" s="536"/>
      <c r="AZ98" s="536"/>
      <c r="BA98" s="536"/>
      <c r="BB98" s="536"/>
      <c r="BC98" s="536"/>
      <c r="BD98" s="536"/>
      <c r="BE98" s="536"/>
      <c r="BF98" s="536"/>
      <c r="BG98" s="536"/>
      <c r="BH98" s="536"/>
      <c r="BI98" s="536"/>
      <c r="BJ98" s="536"/>
      <c r="BK98" s="536"/>
      <c r="BL98" s="536"/>
      <c r="BM98" s="536"/>
      <c r="BN98" s="536"/>
      <c r="BO98" s="536"/>
      <c r="BP98" s="536"/>
      <c r="BQ98" s="536"/>
      <c r="BR98" s="536"/>
      <c r="BS98" s="536"/>
      <c r="BT98" s="536"/>
      <c r="BU98" s="536"/>
      <c r="BV98" s="536"/>
      <c r="BW98" s="536"/>
      <c r="BX98" s="536"/>
      <c r="BY98" s="536"/>
      <c r="BZ98" s="536"/>
      <c r="CA98" s="536"/>
      <c r="CB98" s="536"/>
      <c r="CC98" s="536"/>
      <c r="CD98" s="536"/>
    </row>
    <row r="99" spans="1:82" x14ac:dyDescent="0.2">
      <c r="A99" s="536">
        <f t="shared" si="84"/>
        <v>1</v>
      </c>
      <c r="B99" s="536">
        <f t="shared" si="82"/>
        <v>2010</v>
      </c>
      <c r="C99" s="551">
        <v>40209</v>
      </c>
      <c r="D99" s="536" t="str">
        <f t="shared" si="83"/>
        <v>1Q10</v>
      </c>
      <c r="E99" s="540">
        <v>14.286661999999986</v>
      </c>
      <c r="F99" s="535"/>
      <c r="G99" s="536"/>
      <c r="H99" s="536"/>
      <c r="I99" s="536"/>
      <c r="J99" s="536"/>
      <c r="K99" s="536"/>
      <c r="L99" s="536"/>
      <c r="M99" s="536"/>
      <c r="N99" s="536"/>
      <c r="O99" s="536"/>
      <c r="P99" s="536"/>
      <c r="Q99" s="536"/>
      <c r="R99" s="536"/>
      <c r="S99" s="536"/>
      <c r="T99" s="536"/>
      <c r="U99" s="536"/>
      <c r="V99" s="536"/>
      <c r="W99" s="536"/>
      <c r="X99" s="536"/>
      <c r="Y99" s="536"/>
      <c r="Z99" s="536"/>
      <c r="AA99" s="536"/>
      <c r="AB99" s="536"/>
      <c r="AC99" s="536"/>
      <c r="AD99" s="536"/>
      <c r="AE99" s="536"/>
      <c r="AF99" s="536"/>
      <c r="AG99" s="536"/>
      <c r="AH99" s="536"/>
      <c r="AI99" s="536"/>
      <c r="AJ99" s="536"/>
      <c r="AK99" s="536"/>
      <c r="AL99" s="536"/>
      <c r="AM99" s="536"/>
      <c r="AN99" s="536"/>
      <c r="AO99" s="536"/>
      <c r="AP99" s="536"/>
      <c r="AQ99" s="536"/>
      <c r="AR99" s="536"/>
      <c r="AS99" s="536"/>
      <c r="AT99" s="536"/>
      <c r="AU99" s="536"/>
      <c r="AV99" s="536"/>
      <c r="AW99" s="536"/>
      <c r="AX99" s="536"/>
      <c r="AY99" s="536"/>
      <c r="AZ99" s="536"/>
      <c r="BA99" s="536"/>
      <c r="BB99" s="536"/>
      <c r="BC99" s="536"/>
      <c r="BD99" s="536"/>
      <c r="BE99" s="536"/>
      <c r="BF99" s="536"/>
      <c r="BG99" s="536"/>
      <c r="BH99" s="536"/>
      <c r="BI99" s="536"/>
      <c r="BJ99" s="536"/>
      <c r="BK99" s="536"/>
      <c r="BL99" s="536"/>
      <c r="BM99" s="536"/>
      <c r="BN99" s="536"/>
      <c r="BO99" s="536"/>
      <c r="BP99" s="536"/>
      <c r="BQ99" s="536"/>
      <c r="BR99" s="536"/>
      <c r="BS99" s="536"/>
      <c r="BT99" s="536"/>
      <c r="BU99" s="536"/>
      <c r="BV99" s="536"/>
      <c r="BW99" s="536"/>
      <c r="BX99" s="536"/>
      <c r="BY99" s="536"/>
      <c r="BZ99" s="536"/>
      <c r="CA99" s="536"/>
      <c r="CB99" s="536"/>
      <c r="CC99" s="536"/>
      <c r="CD99" s="536"/>
    </row>
    <row r="100" spans="1:82" x14ac:dyDescent="0.2">
      <c r="A100" s="536">
        <f t="shared" si="84"/>
        <v>1</v>
      </c>
      <c r="B100" s="536">
        <f t="shared" si="82"/>
        <v>2010</v>
      </c>
      <c r="C100" s="551">
        <v>40237</v>
      </c>
      <c r="D100" s="536" t="str">
        <f t="shared" si="83"/>
        <v>1Q10</v>
      </c>
      <c r="E100" s="540">
        <v>15.819997333333317</v>
      </c>
      <c r="F100" s="535"/>
      <c r="G100" s="536"/>
      <c r="H100" s="536"/>
      <c r="I100" s="536"/>
      <c r="J100" s="536"/>
      <c r="K100" s="536"/>
      <c r="L100" s="536"/>
      <c r="M100" s="536"/>
      <c r="N100" s="536"/>
      <c r="O100" s="536"/>
      <c r="P100" s="536"/>
      <c r="Q100" s="536"/>
      <c r="R100" s="536"/>
      <c r="S100" s="536"/>
      <c r="T100" s="536"/>
      <c r="U100" s="536"/>
      <c r="V100" s="536"/>
      <c r="W100" s="536"/>
      <c r="X100" s="536"/>
      <c r="Y100" s="536"/>
      <c r="Z100" s="536"/>
      <c r="AA100" s="536"/>
      <c r="AB100" s="536"/>
      <c r="AC100" s="536"/>
      <c r="AD100" s="536"/>
      <c r="AE100" s="536"/>
      <c r="AF100" s="536"/>
      <c r="AG100" s="536"/>
      <c r="AH100" s="536"/>
      <c r="AI100" s="536"/>
      <c r="AJ100" s="536"/>
      <c r="AK100" s="536"/>
      <c r="AL100" s="536"/>
      <c r="AM100" s="536"/>
      <c r="AN100" s="536"/>
      <c r="AO100" s="536"/>
      <c r="AP100" s="536"/>
      <c r="AQ100" s="536"/>
      <c r="AR100" s="536"/>
      <c r="AS100" s="536"/>
      <c r="AT100" s="536"/>
      <c r="AU100" s="536"/>
      <c r="AV100" s="536"/>
      <c r="AW100" s="536"/>
      <c r="AX100" s="536"/>
      <c r="AY100" s="536"/>
      <c r="AZ100" s="536"/>
      <c r="BA100" s="536"/>
      <c r="BB100" s="536"/>
      <c r="BC100" s="536"/>
      <c r="BD100" s="536"/>
      <c r="BE100" s="536"/>
      <c r="BF100" s="536"/>
      <c r="BG100" s="536"/>
      <c r="BH100" s="536"/>
      <c r="BI100" s="536"/>
      <c r="BJ100" s="536"/>
      <c r="BK100" s="536"/>
      <c r="BL100" s="536"/>
      <c r="BM100" s="536"/>
      <c r="BN100" s="536"/>
      <c r="BO100" s="536"/>
      <c r="BP100" s="536"/>
      <c r="BQ100" s="536"/>
      <c r="BR100" s="536"/>
      <c r="BS100" s="536"/>
      <c r="BT100" s="536"/>
      <c r="BU100" s="536"/>
      <c r="BV100" s="536"/>
      <c r="BW100" s="536"/>
      <c r="BX100" s="536"/>
      <c r="BY100" s="536"/>
      <c r="BZ100" s="536"/>
      <c r="CA100" s="536"/>
      <c r="CB100" s="536"/>
      <c r="CC100" s="536"/>
      <c r="CD100" s="536"/>
    </row>
    <row r="101" spans="1:82" x14ac:dyDescent="0.2">
      <c r="A101" s="536">
        <f t="shared" si="84"/>
        <v>1</v>
      </c>
      <c r="B101" s="536">
        <f t="shared" si="82"/>
        <v>2010</v>
      </c>
      <c r="C101" s="551">
        <v>40268</v>
      </c>
      <c r="D101" s="536" t="str">
        <f t="shared" si="83"/>
        <v>1Q10</v>
      </c>
      <c r="E101" s="540">
        <v>16.966664666666649</v>
      </c>
      <c r="F101" s="535"/>
      <c r="G101" s="536"/>
      <c r="H101" s="536"/>
      <c r="I101" s="536"/>
      <c r="J101" s="536"/>
      <c r="K101" s="536"/>
      <c r="L101" s="536"/>
      <c r="M101" s="536"/>
      <c r="N101" s="536"/>
      <c r="O101" s="536"/>
      <c r="P101" s="536"/>
      <c r="Q101" s="536"/>
      <c r="R101" s="536"/>
      <c r="S101" s="536"/>
      <c r="T101" s="536"/>
      <c r="U101" s="536"/>
      <c r="V101" s="536"/>
      <c r="W101" s="536"/>
      <c r="X101" s="536"/>
      <c r="Y101" s="536"/>
      <c r="Z101" s="536"/>
      <c r="AA101" s="536"/>
      <c r="AB101" s="536"/>
      <c r="AC101" s="536"/>
      <c r="AD101" s="536"/>
      <c r="AE101" s="536"/>
      <c r="AF101" s="536"/>
      <c r="AG101" s="536"/>
      <c r="AH101" s="536"/>
      <c r="AI101" s="536"/>
      <c r="AJ101" s="536"/>
      <c r="AK101" s="536"/>
      <c r="AL101" s="536"/>
      <c r="AM101" s="536"/>
      <c r="AN101" s="536"/>
      <c r="AO101" s="536"/>
      <c r="AP101" s="536"/>
      <c r="AQ101" s="536"/>
      <c r="AR101" s="536"/>
      <c r="AS101" s="536"/>
      <c r="AT101" s="536"/>
      <c r="AU101" s="536"/>
      <c r="AV101" s="536"/>
      <c r="AW101" s="536"/>
      <c r="AX101" s="536"/>
      <c r="AY101" s="536"/>
      <c r="AZ101" s="536"/>
      <c r="BA101" s="536"/>
      <c r="BB101" s="536"/>
      <c r="BC101" s="536"/>
      <c r="BD101" s="536"/>
      <c r="BE101" s="536"/>
      <c r="BF101" s="536"/>
      <c r="BG101" s="536"/>
      <c r="BH101" s="536"/>
      <c r="BI101" s="536"/>
      <c r="BJ101" s="536"/>
      <c r="BK101" s="536"/>
      <c r="BL101" s="536"/>
      <c r="BM101" s="536"/>
      <c r="BN101" s="536"/>
      <c r="BO101" s="536"/>
      <c r="BP101" s="536"/>
      <c r="BQ101" s="536"/>
      <c r="BR101" s="536"/>
      <c r="BS101" s="536"/>
      <c r="BT101" s="536"/>
      <c r="BU101" s="536"/>
      <c r="BV101" s="536"/>
      <c r="BW101" s="536"/>
      <c r="BX101" s="536"/>
      <c r="BY101" s="536"/>
      <c r="BZ101" s="536"/>
      <c r="CA101" s="536"/>
      <c r="CB101" s="536"/>
      <c r="CC101" s="536"/>
      <c r="CD101" s="536"/>
    </row>
    <row r="102" spans="1:82" x14ac:dyDescent="0.2">
      <c r="A102" s="536">
        <f t="shared" si="84"/>
        <v>2</v>
      </c>
      <c r="B102" s="536">
        <f t="shared" si="82"/>
        <v>2010</v>
      </c>
      <c r="C102" s="551">
        <v>40298</v>
      </c>
      <c r="D102" s="536" t="str">
        <f t="shared" si="83"/>
        <v>2Q10</v>
      </c>
      <c r="E102" s="540">
        <v>18.683329333333312</v>
      </c>
      <c r="F102" s="535"/>
      <c r="G102" s="536"/>
      <c r="H102" s="536"/>
      <c r="I102" s="536"/>
      <c r="J102" s="536"/>
      <c r="K102" s="536"/>
      <c r="L102" s="536"/>
      <c r="M102" s="536"/>
      <c r="N102" s="536"/>
      <c r="O102" s="536"/>
      <c r="P102" s="536"/>
      <c r="Q102" s="536"/>
      <c r="R102" s="536"/>
      <c r="S102" s="536"/>
      <c r="T102" s="536"/>
      <c r="U102" s="536"/>
      <c r="V102" s="536"/>
      <c r="W102" s="536"/>
      <c r="X102" s="536"/>
      <c r="Y102" s="536"/>
      <c r="Z102" s="536"/>
      <c r="AA102" s="536"/>
      <c r="AB102" s="536"/>
      <c r="AC102" s="536"/>
      <c r="AD102" s="536"/>
      <c r="AE102" s="536"/>
      <c r="AF102" s="536"/>
      <c r="AG102" s="536"/>
      <c r="AH102" s="536"/>
      <c r="AI102" s="536"/>
      <c r="AJ102" s="536"/>
      <c r="AK102" s="536"/>
      <c r="AL102" s="536"/>
      <c r="AM102" s="536"/>
      <c r="AN102" s="536"/>
      <c r="AO102" s="536"/>
      <c r="AP102" s="536"/>
      <c r="AQ102" s="536"/>
      <c r="AR102" s="536"/>
      <c r="AS102" s="536"/>
      <c r="AT102" s="536"/>
      <c r="AU102" s="536"/>
      <c r="AV102" s="536"/>
      <c r="AW102" s="536"/>
      <c r="AX102" s="536"/>
      <c r="AY102" s="536"/>
      <c r="AZ102" s="536"/>
      <c r="BA102" s="536"/>
      <c r="BB102" s="536"/>
      <c r="BC102" s="536"/>
      <c r="BD102" s="536"/>
      <c r="BE102" s="536"/>
      <c r="BF102" s="536"/>
      <c r="BG102" s="536"/>
      <c r="BH102" s="536"/>
      <c r="BI102" s="536"/>
      <c r="BJ102" s="536"/>
      <c r="BK102" s="536"/>
      <c r="BL102" s="536"/>
      <c r="BM102" s="536"/>
      <c r="BN102" s="536"/>
      <c r="BO102" s="536"/>
      <c r="BP102" s="536"/>
      <c r="BQ102" s="536"/>
      <c r="BR102" s="536"/>
      <c r="BS102" s="536"/>
      <c r="BT102" s="536"/>
      <c r="BU102" s="536"/>
      <c r="BV102" s="536"/>
      <c r="BW102" s="536"/>
      <c r="BX102" s="536"/>
      <c r="BY102" s="536"/>
      <c r="BZ102" s="536"/>
      <c r="CA102" s="536"/>
      <c r="CB102" s="536"/>
      <c r="CC102" s="536"/>
      <c r="CD102" s="536"/>
    </row>
    <row r="103" spans="1:82" x14ac:dyDescent="0.2">
      <c r="A103" s="536">
        <f t="shared" si="84"/>
        <v>2</v>
      </c>
      <c r="B103" s="536">
        <f t="shared" si="82"/>
        <v>2010</v>
      </c>
      <c r="C103" s="551">
        <v>40329</v>
      </c>
      <c r="D103" s="536" t="str">
        <f t="shared" si="83"/>
        <v>2Q10</v>
      </c>
      <c r="E103" s="540">
        <v>17.416666666666647</v>
      </c>
      <c r="F103" s="535"/>
      <c r="G103" s="536"/>
      <c r="H103" s="536"/>
      <c r="I103" s="536"/>
      <c r="J103" s="536"/>
      <c r="K103" s="536"/>
      <c r="L103" s="536"/>
      <c r="M103" s="536"/>
      <c r="N103" s="536"/>
      <c r="O103" s="536"/>
      <c r="P103" s="536"/>
      <c r="Q103" s="536"/>
      <c r="R103" s="536"/>
      <c r="S103" s="536"/>
      <c r="T103" s="536"/>
      <c r="U103" s="536"/>
      <c r="V103" s="536"/>
      <c r="W103" s="536"/>
      <c r="X103" s="536"/>
      <c r="Y103" s="536"/>
      <c r="Z103" s="536"/>
      <c r="AA103" s="536"/>
      <c r="AB103" s="536"/>
      <c r="AC103" s="536"/>
      <c r="AD103" s="536"/>
      <c r="AE103" s="536"/>
      <c r="AF103" s="536"/>
      <c r="AG103" s="536"/>
      <c r="AH103" s="536"/>
      <c r="AI103" s="536"/>
      <c r="AJ103" s="536"/>
      <c r="AK103" s="536"/>
      <c r="AL103" s="536"/>
      <c r="AM103" s="536"/>
      <c r="AN103" s="536"/>
      <c r="AO103" s="536"/>
      <c r="AP103" s="536"/>
      <c r="AQ103" s="536"/>
      <c r="AR103" s="536"/>
      <c r="AS103" s="536"/>
      <c r="AT103" s="536"/>
      <c r="AU103" s="536"/>
      <c r="AV103" s="536"/>
      <c r="AW103" s="536"/>
      <c r="AX103" s="536"/>
      <c r="AY103" s="536"/>
      <c r="AZ103" s="536"/>
      <c r="BA103" s="536"/>
      <c r="BB103" s="536"/>
      <c r="BC103" s="536"/>
      <c r="BD103" s="536"/>
      <c r="BE103" s="536"/>
      <c r="BF103" s="536"/>
      <c r="BG103" s="536"/>
      <c r="BH103" s="536"/>
      <c r="BI103" s="536"/>
      <c r="BJ103" s="536"/>
      <c r="BK103" s="536"/>
      <c r="BL103" s="536"/>
      <c r="BM103" s="536"/>
      <c r="BN103" s="536"/>
      <c r="BO103" s="536"/>
      <c r="BP103" s="536"/>
      <c r="BQ103" s="536"/>
      <c r="BR103" s="536"/>
      <c r="BS103" s="536"/>
      <c r="BT103" s="536"/>
      <c r="BU103" s="536"/>
      <c r="BV103" s="536"/>
      <c r="BW103" s="536"/>
      <c r="BX103" s="536"/>
      <c r="BY103" s="536"/>
      <c r="BZ103" s="536"/>
      <c r="CA103" s="536"/>
      <c r="CB103" s="536"/>
      <c r="CC103" s="536"/>
      <c r="CD103" s="536"/>
    </row>
    <row r="104" spans="1:82" x14ac:dyDescent="0.2">
      <c r="A104" s="536">
        <f t="shared" si="84"/>
        <v>2</v>
      </c>
      <c r="B104" s="536">
        <f t="shared" si="82"/>
        <v>2010</v>
      </c>
      <c r="C104" s="551">
        <v>40359</v>
      </c>
      <c r="D104" s="536" t="str">
        <f t="shared" si="83"/>
        <v>2Q10</v>
      </c>
      <c r="E104" s="540">
        <v>16.543329999999983</v>
      </c>
      <c r="F104" s="535"/>
      <c r="G104" s="536"/>
      <c r="H104" s="536"/>
      <c r="I104" s="536"/>
      <c r="J104" s="536"/>
      <c r="K104" s="536"/>
      <c r="L104" s="536"/>
      <c r="M104" s="536"/>
      <c r="N104" s="536"/>
      <c r="O104" s="536"/>
      <c r="P104" s="536"/>
      <c r="Q104" s="536"/>
      <c r="R104" s="536"/>
      <c r="S104" s="536"/>
      <c r="T104" s="536"/>
      <c r="U104" s="536"/>
      <c r="V104" s="536"/>
      <c r="W104" s="536"/>
      <c r="X104" s="536"/>
      <c r="Y104" s="536"/>
      <c r="Z104" s="536"/>
      <c r="AA104" s="536"/>
      <c r="AB104" s="536"/>
      <c r="AC104" s="536"/>
      <c r="AD104" s="536"/>
      <c r="AE104" s="536"/>
      <c r="AF104" s="536"/>
      <c r="AG104" s="536"/>
      <c r="AH104" s="536"/>
      <c r="AI104" s="536"/>
      <c r="AJ104" s="536"/>
      <c r="AK104" s="536"/>
      <c r="AL104" s="536"/>
      <c r="AM104" s="536"/>
      <c r="AN104" s="536"/>
      <c r="AO104" s="536"/>
      <c r="AP104" s="536"/>
      <c r="AQ104" s="536"/>
      <c r="AR104" s="536"/>
      <c r="AS104" s="536"/>
      <c r="AT104" s="536"/>
      <c r="AU104" s="536"/>
      <c r="AV104" s="536"/>
      <c r="AW104" s="536"/>
      <c r="AX104" s="536"/>
      <c r="AY104" s="536"/>
      <c r="AZ104" s="536"/>
      <c r="BA104" s="536"/>
      <c r="BB104" s="536"/>
      <c r="BC104" s="536"/>
      <c r="BD104" s="536"/>
      <c r="BE104" s="536"/>
      <c r="BF104" s="536"/>
      <c r="BG104" s="536"/>
      <c r="BH104" s="536"/>
      <c r="BI104" s="536"/>
      <c r="BJ104" s="536"/>
      <c r="BK104" s="536"/>
      <c r="BL104" s="536"/>
      <c r="BM104" s="536"/>
      <c r="BN104" s="536"/>
      <c r="BO104" s="536"/>
      <c r="BP104" s="536"/>
      <c r="BQ104" s="536"/>
      <c r="BR104" s="536"/>
      <c r="BS104" s="536"/>
      <c r="BT104" s="536"/>
      <c r="BU104" s="536"/>
      <c r="BV104" s="536"/>
      <c r="BW104" s="536"/>
      <c r="BX104" s="536"/>
      <c r="BY104" s="536"/>
      <c r="BZ104" s="536"/>
      <c r="CA104" s="536"/>
      <c r="CB104" s="536"/>
      <c r="CC104" s="536"/>
      <c r="CD104" s="536"/>
    </row>
    <row r="105" spans="1:82" x14ac:dyDescent="0.2">
      <c r="A105" s="536">
        <f t="shared" si="84"/>
        <v>3</v>
      </c>
      <c r="B105" s="536">
        <f t="shared" si="82"/>
        <v>2010</v>
      </c>
      <c r="C105" s="551">
        <v>40390</v>
      </c>
      <c r="D105" s="536" t="str">
        <f t="shared" si="83"/>
        <v>3Q10</v>
      </c>
      <c r="E105" s="540">
        <v>17.573328666666647</v>
      </c>
      <c r="F105" s="535"/>
      <c r="G105" s="536"/>
      <c r="H105" s="536"/>
      <c r="I105" s="536"/>
      <c r="J105" s="536"/>
      <c r="K105" s="536"/>
      <c r="L105" s="536"/>
      <c r="M105" s="536"/>
      <c r="N105" s="536"/>
      <c r="O105" s="536"/>
      <c r="P105" s="536"/>
      <c r="Q105" s="536"/>
      <c r="R105" s="536"/>
      <c r="S105" s="536"/>
      <c r="T105" s="536"/>
      <c r="U105" s="536"/>
      <c r="V105" s="536"/>
      <c r="W105" s="536"/>
      <c r="X105" s="536"/>
      <c r="Y105" s="536"/>
      <c r="Z105" s="536"/>
      <c r="AA105" s="536"/>
      <c r="AB105" s="536"/>
      <c r="AC105" s="536"/>
      <c r="AD105" s="536"/>
      <c r="AE105" s="536"/>
      <c r="AF105" s="536"/>
      <c r="AG105" s="536"/>
      <c r="AH105" s="536"/>
      <c r="AI105" s="536"/>
      <c r="AJ105" s="536"/>
      <c r="AK105" s="536"/>
      <c r="AL105" s="536"/>
      <c r="AM105" s="536"/>
      <c r="AN105" s="536"/>
      <c r="AO105" s="536"/>
      <c r="AP105" s="536"/>
      <c r="AQ105" s="536"/>
      <c r="AR105" s="536"/>
      <c r="AS105" s="536"/>
      <c r="AT105" s="536"/>
      <c r="AU105" s="536"/>
      <c r="AV105" s="536"/>
      <c r="AW105" s="536"/>
      <c r="AX105" s="536"/>
      <c r="AY105" s="536"/>
      <c r="AZ105" s="536"/>
      <c r="BA105" s="536"/>
      <c r="BB105" s="536"/>
      <c r="BC105" s="536"/>
      <c r="BD105" s="536"/>
      <c r="BE105" s="536"/>
      <c r="BF105" s="536"/>
      <c r="BG105" s="536"/>
      <c r="BH105" s="536"/>
      <c r="BI105" s="536"/>
      <c r="BJ105" s="536"/>
      <c r="BK105" s="536"/>
      <c r="BL105" s="536"/>
      <c r="BM105" s="536"/>
      <c r="BN105" s="536"/>
      <c r="BO105" s="536"/>
      <c r="BP105" s="536"/>
      <c r="BQ105" s="536"/>
      <c r="BR105" s="536"/>
      <c r="BS105" s="536"/>
      <c r="BT105" s="536"/>
      <c r="BU105" s="536"/>
      <c r="BV105" s="536"/>
      <c r="BW105" s="536"/>
      <c r="BX105" s="536"/>
      <c r="BY105" s="536"/>
      <c r="BZ105" s="536"/>
      <c r="CA105" s="536"/>
      <c r="CB105" s="536"/>
      <c r="CC105" s="536"/>
      <c r="CD105" s="536"/>
    </row>
    <row r="106" spans="1:82" x14ac:dyDescent="0.2">
      <c r="A106" s="536">
        <f t="shared" si="84"/>
        <v>3</v>
      </c>
      <c r="B106" s="536">
        <f t="shared" si="82"/>
        <v>2010</v>
      </c>
      <c r="C106" s="551">
        <v>40421</v>
      </c>
      <c r="D106" s="536" t="str">
        <f t="shared" si="83"/>
        <v>3Q10</v>
      </c>
      <c r="E106" s="540">
        <v>16.63</v>
      </c>
      <c r="F106" s="535"/>
      <c r="G106" s="536"/>
      <c r="H106" s="536"/>
      <c r="I106" s="536"/>
      <c r="J106" s="536"/>
      <c r="K106" s="536"/>
      <c r="L106" s="536"/>
      <c r="M106" s="536"/>
      <c r="N106" s="536"/>
      <c r="O106" s="536"/>
      <c r="P106" s="536"/>
      <c r="Q106" s="536"/>
      <c r="R106" s="536"/>
      <c r="S106" s="536"/>
      <c r="T106" s="536"/>
      <c r="U106" s="536"/>
      <c r="V106" s="536"/>
      <c r="W106" s="536"/>
      <c r="X106" s="536"/>
      <c r="Y106" s="536"/>
      <c r="Z106" s="536"/>
      <c r="AA106" s="536"/>
      <c r="AB106" s="536"/>
      <c r="AC106" s="536"/>
      <c r="AD106" s="536"/>
      <c r="AE106" s="536"/>
      <c r="AF106" s="536"/>
      <c r="AG106" s="536"/>
      <c r="AH106" s="536"/>
      <c r="AI106" s="536"/>
      <c r="AJ106" s="536"/>
      <c r="AK106" s="536"/>
      <c r="AL106" s="536"/>
      <c r="AM106" s="536"/>
      <c r="AN106" s="536"/>
      <c r="AO106" s="536"/>
      <c r="AP106" s="536"/>
      <c r="AQ106" s="536"/>
      <c r="AR106" s="536"/>
      <c r="AS106" s="536"/>
      <c r="AT106" s="536"/>
      <c r="AU106" s="536"/>
      <c r="AV106" s="536"/>
      <c r="AW106" s="536"/>
      <c r="AX106" s="536"/>
      <c r="AY106" s="536"/>
      <c r="AZ106" s="536"/>
      <c r="BA106" s="536"/>
      <c r="BB106" s="536"/>
      <c r="BC106" s="536"/>
      <c r="BD106" s="536"/>
      <c r="BE106" s="536"/>
      <c r="BF106" s="536"/>
      <c r="BG106" s="536"/>
      <c r="BH106" s="536"/>
      <c r="BI106" s="536"/>
      <c r="BJ106" s="536"/>
      <c r="BK106" s="536"/>
      <c r="BL106" s="536"/>
      <c r="BM106" s="536"/>
      <c r="BN106" s="536"/>
      <c r="BO106" s="536"/>
      <c r="BP106" s="536"/>
      <c r="BQ106" s="536"/>
      <c r="BR106" s="536"/>
      <c r="BS106" s="536"/>
      <c r="BT106" s="536"/>
      <c r="BU106" s="536"/>
      <c r="BV106" s="536"/>
      <c r="BW106" s="536"/>
      <c r="BX106" s="536"/>
      <c r="BY106" s="536"/>
      <c r="BZ106" s="536"/>
      <c r="CA106" s="536"/>
      <c r="CB106" s="536"/>
      <c r="CC106" s="536"/>
      <c r="CD106" s="536"/>
    </row>
    <row r="107" spans="1:82" x14ac:dyDescent="0.2">
      <c r="A107" s="536">
        <f t="shared" si="84"/>
        <v>3</v>
      </c>
      <c r="B107" s="536">
        <f t="shared" si="82"/>
        <v>2010</v>
      </c>
      <c r="C107" s="551">
        <v>40451</v>
      </c>
      <c r="D107" s="536" t="str">
        <f t="shared" si="83"/>
        <v>3Q10</v>
      </c>
      <c r="E107" s="540">
        <v>18.439997666666645</v>
      </c>
      <c r="F107" s="535"/>
      <c r="G107" s="536"/>
      <c r="H107" s="536"/>
      <c r="I107" s="536"/>
      <c r="J107" s="536"/>
      <c r="K107" s="536"/>
      <c r="L107" s="536"/>
      <c r="M107" s="536"/>
      <c r="N107" s="536"/>
      <c r="O107" s="536"/>
      <c r="P107" s="536"/>
      <c r="Q107" s="536"/>
      <c r="R107" s="536"/>
      <c r="S107" s="536"/>
      <c r="T107" s="536"/>
      <c r="U107" s="536"/>
      <c r="V107" s="536"/>
      <c r="W107" s="536"/>
      <c r="X107" s="536"/>
      <c r="Y107" s="536"/>
      <c r="Z107" s="536"/>
      <c r="AA107" s="536"/>
      <c r="AB107" s="536"/>
      <c r="AC107" s="536"/>
      <c r="AD107" s="536"/>
      <c r="AE107" s="536"/>
      <c r="AF107" s="536"/>
      <c r="AG107" s="536"/>
      <c r="AH107" s="536"/>
      <c r="AI107" s="536"/>
      <c r="AJ107" s="536"/>
      <c r="AK107" s="536"/>
      <c r="AL107" s="536"/>
      <c r="AM107" s="536"/>
      <c r="AN107" s="536"/>
      <c r="AO107" s="536"/>
      <c r="AP107" s="536"/>
      <c r="AQ107" s="536"/>
      <c r="AR107" s="536"/>
      <c r="AS107" s="536"/>
      <c r="AT107" s="536"/>
      <c r="AU107" s="536"/>
      <c r="AV107" s="536"/>
      <c r="AW107" s="536"/>
      <c r="AX107" s="536"/>
      <c r="AY107" s="536"/>
      <c r="AZ107" s="536"/>
      <c r="BA107" s="536"/>
      <c r="BB107" s="536"/>
      <c r="BC107" s="536"/>
      <c r="BD107" s="536"/>
      <c r="BE107" s="536"/>
      <c r="BF107" s="536"/>
      <c r="BG107" s="536"/>
      <c r="BH107" s="536"/>
      <c r="BI107" s="536"/>
      <c r="BJ107" s="536"/>
      <c r="BK107" s="536"/>
      <c r="BL107" s="536"/>
      <c r="BM107" s="536"/>
      <c r="BN107" s="536"/>
      <c r="BO107" s="536"/>
      <c r="BP107" s="536"/>
      <c r="BQ107" s="536"/>
      <c r="BR107" s="536"/>
      <c r="BS107" s="536"/>
      <c r="BT107" s="536"/>
      <c r="BU107" s="536"/>
      <c r="BV107" s="536"/>
      <c r="BW107" s="536"/>
      <c r="BX107" s="536"/>
      <c r="BY107" s="536"/>
      <c r="BZ107" s="536"/>
      <c r="CA107" s="536"/>
      <c r="CB107" s="536"/>
      <c r="CC107" s="536"/>
      <c r="CD107" s="536"/>
    </row>
    <row r="108" spans="1:82" x14ac:dyDescent="0.2">
      <c r="A108" s="536">
        <f t="shared" si="84"/>
        <v>4</v>
      </c>
      <c r="B108" s="536">
        <f t="shared" si="82"/>
        <v>2010</v>
      </c>
      <c r="C108" s="551">
        <v>40482</v>
      </c>
      <c r="D108" s="536" t="str">
        <f t="shared" si="83"/>
        <v>4Q10</v>
      </c>
      <c r="E108" s="540">
        <v>20.483332333333312</v>
      </c>
      <c r="F108" s="535"/>
      <c r="G108" s="536"/>
      <c r="H108" s="536"/>
      <c r="I108" s="536"/>
      <c r="J108" s="536"/>
      <c r="K108" s="536"/>
      <c r="L108" s="536"/>
      <c r="M108" s="536"/>
      <c r="N108" s="536"/>
      <c r="O108" s="536"/>
      <c r="P108" s="536"/>
      <c r="Q108" s="536"/>
      <c r="R108" s="536"/>
      <c r="S108" s="536"/>
      <c r="T108" s="536"/>
      <c r="U108" s="536"/>
      <c r="V108" s="536"/>
      <c r="W108" s="536"/>
      <c r="X108" s="536"/>
      <c r="Y108" s="536"/>
      <c r="Z108" s="536"/>
      <c r="AA108" s="536"/>
      <c r="AB108" s="536"/>
      <c r="AC108" s="536"/>
      <c r="AD108" s="536"/>
      <c r="AE108" s="536"/>
      <c r="AF108" s="536"/>
      <c r="AG108" s="536"/>
      <c r="AH108" s="536"/>
      <c r="AI108" s="536"/>
      <c r="AJ108" s="536"/>
      <c r="AK108" s="536"/>
      <c r="AL108" s="536"/>
      <c r="AM108" s="536"/>
      <c r="AN108" s="536"/>
      <c r="AO108" s="536"/>
      <c r="AP108" s="536"/>
      <c r="AQ108" s="536"/>
      <c r="AR108" s="536"/>
      <c r="AS108" s="536"/>
      <c r="AT108" s="536"/>
      <c r="AU108" s="536"/>
      <c r="AV108" s="536"/>
      <c r="AW108" s="536"/>
      <c r="AX108" s="536"/>
      <c r="AY108" s="536"/>
      <c r="AZ108" s="536"/>
      <c r="BA108" s="536"/>
      <c r="BB108" s="536"/>
      <c r="BC108" s="536"/>
      <c r="BD108" s="536"/>
      <c r="BE108" s="536"/>
      <c r="BF108" s="536"/>
      <c r="BG108" s="536"/>
      <c r="BH108" s="536"/>
      <c r="BI108" s="536"/>
      <c r="BJ108" s="536"/>
      <c r="BK108" s="536"/>
      <c r="BL108" s="536"/>
      <c r="BM108" s="536"/>
      <c r="BN108" s="536"/>
      <c r="BO108" s="536"/>
      <c r="BP108" s="536"/>
      <c r="BQ108" s="536"/>
      <c r="BR108" s="536"/>
      <c r="BS108" s="536"/>
      <c r="BT108" s="536"/>
      <c r="BU108" s="536"/>
      <c r="BV108" s="536"/>
      <c r="BW108" s="536"/>
      <c r="BX108" s="536"/>
      <c r="BY108" s="536"/>
      <c r="BZ108" s="536"/>
      <c r="CA108" s="536"/>
      <c r="CB108" s="536"/>
      <c r="CC108" s="536"/>
      <c r="CD108" s="536"/>
    </row>
    <row r="109" spans="1:82" x14ac:dyDescent="0.2">
      <c r="A109" s="536">
        <f t="shared" si="84"/>
        <v>4</v>
      </c>
      <c r="B109" s="536">
        <f t="shared" si="82"/>
        <v>2010</v>
      </c>
      <c r="C109" s="551">
        <v>40512</v>
      </c>
      <c r="D109" s="536" t="str">
        <f t="shared" si="83"/>
        <v>4Q10</v>
      </c>
      <c r="E109" s="540">
        <v>20.269999333333313</v>
      </c>
      <c r="F109" s="535"/>
      <c r="G109" s="536"/>
      <c r="H109" s="536"/>
      <c r="I109" s="536"/>
      <c r="J109" s="536"/>
      <c r="K109" s="536"/>
      <c r="L109" s="536"/>
      <c r="M109" s="536"/>
      <c r="N109" s="536"/>
      <c r="O109" s="536"/>
      <c r="P109" s="536"/>
      <c r="Q109" s="536"/>
      <c r="R109" s="536"/>
      <c r="S109" s="536"/>
      <c r="T109" s="536"/>
      <c r="U109" s="536"/>
      <c r="V109" s="536"/>
      <c r="W109" s="536"/>
      <c r="X109" s="536"/>
      <c r="Y109" s="536"/>
      <c r="Z109" s="536"/>
      <c r="AA109" s="536"/>
      <c r="AB109" s="536"/>
      <c r="AC109" s="536"/>
      <c r="AD109" s="536"/>
      <c r="AE109" s="536"/>
      <c r="AF109" s="536"/>
      <c r="AG109" s="536"/>
      <c r="AH109" s="536"/>
      <c r="AI109" s="536"/>
      <c r="AJ109" s="536"/>
      <c r="AK109" s="536"/>
      <c r="AL109" s="536"/>
      <c r="AM109" s="536"/>
      <c r="AN109" s="536"/>
      <c r="AO109" s="536"/>
      <c r="AP109" s="536"/>
      <c r="AQ109" s="536"/>
      <c r="AR109" s="536"/>
      <c r="AS109" s="536"/>
      <c r="AT109" s="536"/>
      <c r="AU109" s="536"/>
      <c r="AV109" s="536"/>
      <c r="AW109" s="536"/>
      <c r="AX109" s="536"/>
      <c r="AY109" s="536"/>
      <c r="AZ109" s="536"/>
      <c r="BA109" s="536"/>
      <c r="BB109" s="536"/>
      <c r="BC109" s="536"/>
      <c r="BD109" s="536"/>
      <c r="BE109" s="536"/>
      <c r="BF109" s="536"/>
      <c r="BG109" s="536"/>
      <c r="BH109" s="536"/>
      <c r="BI109" s="536"/>
      <c r="BJ109" s="536"/>
      <c r="BK109" s="536"/>
      <c r="BL109" s="536"/>
      <c r="BM109" s="536"/>
      <c r="BN109" s="536"/>
      <c r="BO109" s="536"/>
      <c r="BP109" s="536"/>
      <c r="BQ109" s="536"/>
      <c r="BR109" s="536"/>
      <c r="BS109" s="536"/>
      <c r="BT109" s="536"/>
      <c r="BU109" s="536"/>
      <c r="BV109" s="536"/>
      <c r="BW109" s="536"/>
      <c r="BX109" s="536"/>
      <c r="BY109" s="536"/>
      <c r="BZ109" s="536"/>
      <c r="CA109" s="536"/>
      <c r="CB109" s="536"/>
      <c r="CC109" s="536"/>
      <c r="CD109" s="536"/>
    </row>
    <row r="110" spans="1:82" x14ac:dyDescent="0.2">
      <c r="A110" s="536">
        <f t="shared" si="84"/>
        <v>4</v>
      </c>
      <c r="B110" s="536">
        <f t="shared" si="82"/>
        <v>2010</v>
      </c>
      <c r="C110" s="551">
        <v>40543</v>
      </c>
      <c r="D110" s="536" t="str">
        <f t="shared" si="83"/>
        <v>4Q10</v>
      </c>
      <c r="E110" s="540">
        <v>21.536661999999978</v>
      </c>
      <c r="F110" s="535"/>
      <c r="G110" s="536"/>
      <c r="H110" s="536"/>
      <c r="I110" s="536"/>
      <c r="J110" s="536"/>
      <c r="K110" s="536"/>
      <c r="L110" s="536"/>
      <c r="M110" s="536"/>
      <c r="N110" s="536"/>
      <c r="O110" s="536"/>
      <c r="P110" s="536"/>
      <c r="Q110" s="536"/>
      <c r="R110" s="536"/>
      <c r="S110" s="536"/>
      <c r="T110" s="536"/>
      <c r="U110" s="536"/>
      <c r="V110" s="536"/>
      <c r="W110" s="536"/>
      <c r="X110" s="536"/>
      <c r="Y110" s="536"/>
      <c r="Z110" s="536"/>
      <c r="AA110" s="536"/>
      <c r="AB110" s="536"/>
      <c r="AC110" s="536"/>
      <c r="AD110" s="536"/>
      <c r="AE110" s="536"/>
      <c r="AF110" s="536"/>
      <c r="AG110" s="536"/>
      <c r="AH110" s="536"/>
      <c r="AI110" s="536"/>
      <c r="AJ110" s="536"/>
      <c r="AK110" s="536"/>
      <c r="AL110" s="536"/>
      <c r="AM110" s="536"/>
      <c r="AN110" s="536"/>
      <c r="AO110" s="536"/>
      <c r="AP110" s="536"/>
      <c r="AQ110" s="536"/>
      <c r="AR110" s="536"/>
      <c r="AS110" s="536"/>
      <c r="AT110" s="536"/>
      <c r="AU110" s="536"/>
      <c r="AV110" s="536"/>
      <c r="AW110" s="536"/>
      <c r="AX110" s="536"/>
      <c r="AY110" s="536"/>
      <c r="AZ110" s="536"/>
      <c r="BA110" s="536"/>
      <c r="BB110" s="536"/>
      <c r="BC110" s="536"/>
      <c r="BD110" s="536"/>
      <c r="BE110" s="536"/>
      <c r="BF110" s="536"/>
      <c r="BG110" s="536"/>
      <c r="BH110" s="536"/>
      <c r="BI110" s="536"/>
      <c r="BJ110" s="536"/>
      <c r="BK110" s="536"/>
      <c r="BL110" s="536"/>
      <c r="BM110" s="536"/>
      <c r="BN110" s="536"/>
      <c r="BO110" s="536"/>
      <c r="BP110" s="536"/>
      <c r="BQ110" s="536"/>
      <c r="BR110" s="536"/>
      <c r="BS110" s="536"/>
      <c r="BT110" s="536"/>
      <c r="BU110" s="536"/>
      <c r="BV110" s="536"/>
      <c r="BW110" s="536"/>
      <c r="BX110" s="536"/>
      <c r="BY110" s="536"/>
      <c r="BZ110" s="536"/>
      <c r="CA110" s="536"/>
      <c r="CB110" s="536"/>
      <c r="CC110" s="536"/>
      <c r="CD110" s="536"/>
    </row>
    <row r="111" spans="1:82" x14ac:dyDescent="0.2">
      <c r="A111" s="536">
        <f t="shared" ref="A111:A121" si="85">A99</f>
        <v>1</v>
      </c>
      <c r="B111" s="536">
        <f t="shared" si="82"/>
        <v>2011</v>
      </c>
      <c r="C111" s="551">
        <v>40574</v>
      </c>
      <c r="D111" s="536" t="str">
        <f t="shared" si="83"/>
        <v>1Q11</v>
      </c>
      <c r="E111" s="540">
        <v>23.533330333333311</v>
      </c>
      <c r="F111" s="535"/>
      <c r="G111" s="536"/>
      <c r="H111" s="536"/>
      <c r="I111" s="536"/>
      <c r="J111" s="536"/>
      <c r="K111" s="536"/>
      <c r="L111" s="536"/>
      <c r="M111" s="536"/>
      <c r="N111" s="536"/>
      <c r="O111" s="536"/>
      <c r="P111" s="536"/>
      <c r="Q111" s="536"/>
      <c r="R111" s="536"/>
      <c r="S111" s="536"/>
      <c r="T111" s="536"/>
      <c r="U111" s="536"/>
      <c r="V111" s="536"/>
      <c r="W111" s="536"/>
      <c r="X111" s="536"/>
      <c r="Y111" s="536"/>
      <c r="Z111" s="536"/>
      <c r="AA111" s="536"/>
      <c r="AB111" s="536"/>
      <c r="AC111" s="536"/>
      <c r="AD111" s="536"/>
      <c r="AE111" s="536"/>
      <c r="AF111" s="536"/>
      <c r="AG111" s="536"/>
      <c r="AH111" s="536"/>
      <c r="AI111" s="536"/>
      <c r="AJ111" s="536"/>
      <c r="AK111" s="536"/>
      <c r="AL111" s="536"/>
      <c r="AM111" s="536"/>
      <c r="AN111" s="536"/>
      <c r="AO111" s="536"/>
      <c r="AP111" s="536"/>
      <c r="AQ111" s="536"/>
      <c r="AR111" s="536"/>
      <c r="AS111" s="536"/>
      <c r="AT111" s="536"/>
      <c r="AU111" s="536"/>
      <c r="AV111" s="536"/>
      <c r="AW111" s="536"/>
      <c r="AX111" s="536"/>
      <c r="AY111" s="536"/>
      <c r="AZ111" s="536"/>
      <c r="BA111" s="536"/>
      <c r="BB111" s="536"/>
      <c r="BC111" s="536"/>
      <c r="BD111" s="536"/>
      <c r="BE111" s="536"/>
      <c r="BF111" s="536"/>
      <c r="BG111" s="536"/>
      <c r="BH111" s="536"/>
      <c r="BI111" s="536"/>
      <c r="BJ111" s="536"/>
      <c r="BK111" s="536"/>
      <c r="BL111" s="536"/>
      <c r="BM111" s="536"/>
      <c r="BN111" s="536"/>
      <c r="BO111" s="536"/>
      <c r="BP111" s="536"/>
      <c r="BQ111" s="536"/>
      <c r="BR111" s="536"/>
      <c r="BS111" s="536"/>
      <c r="BT111" s="536"/>
      <c r="BU111" s="536"/>
      <c r="BV111" s="536"/>
      <c r="BW111" s="536"/>
      <c r="BX111" s="536"/>
      <c r="BY111" s="536"/>
      <c r="BZ111" s="536"/>
      <c r="CA111" s="536"/>
      <c r="CB111" s="536"/>
      <c r="CC111" s="536"/>
      <c r="CD111" s="536"/>
    </row>
    <row r="112" spans="1:82" x14ac:dyDescent="0.2">
      <c r="A112" s="536">
        <f t="shared" si="85"/>
        <v>1</v>
      </c>
      <c r="B112" s="536">
        <f t="shared" si="82"/>
        <v>2011</v>
      </c>
      <c r="C112" s="551">
        <v>40602</v>
      </c>
      <c r="D112" s="536" t="str">
        <f t="shared" si="83"/>
        <v>1Q11</v>
      </c>
      <c r="E112" s="540">
        <v>24.886662999999974</v>
      </c>
      <c r="F112" s="535"/>
      <c r="G112" s="536"/>
      <c r="H112" s="536"/>
      <c r="I112" s="536"/>
      <c r="J112" s="536"/>
      <c r="K112" s="536"/>
      <c r="L112" s="536"/>
      <c r="M112" s="536"/>
      <c r="N112" s="536"/>
      <c r="O112" s="536"/>
      <c r="P112" s="536"/>
      <c r="Q112" s="536"/>
      <c r="R112" s="536"/>
      <c r="S112" s="536"/>
      <c r="T112" s="536"/>
      <c r="U112" s="536"/>
      <c r="V112" s="536"/>
      <c r="W112" s="536"/>
      <c r="X112" s="536"/>
      <c r="Y112" s="536"/>
      <c r="Z112" s="536"/>
      <c r="AA112" s="536"/>
      <c r="AB112" s="536"/>
      <c r="AC112" s="536"/>
      <c r="AD112" s="536"/>
      <c r="AE112" s="536"/>
      <c r="AF112" s="536"/>
      <c r="AG112" s="536"/>
      <c r="AH112" s="536"/>
      <c r="AI112" s="536"/>
      <c r="AJ112" s="536"/>
      <c r="AK112" s="536"/>
      <c r="AL112" s="536"/>
      <c r="AM112" s="536"/>
      <c r="AN112" s="536"/>
      <c r="AO112" s="536"/>
      <c r="AP112" s="536"/>
      <c r="AQ112" s="536"/>
      <c r="AR112" s="536"/>
      <c r="AS112" s="536"/>
      <c r="AT112" s="536"/>
      <c r="AU112" s="536"/>
      <c r="AV112" s="536"/>
      <c r="AW112" s="536"/>
      <c r="AX112" s="536"/>
      <c r="AY112" s="536"/>
      <c r="AZ112" s="536"/>
      <c r="BA112" s="536"/>
      <c r="BB112" s="536"/>
      <c r="BC112" s="536"/>
      <c r="BD112" s="536"/>
      <c r="BE112" s="536"/>
      <c r="BF112" s="536"/>
      <c r="BG112" s="536"/>
      <c r="BH112" s="536"/>
      <c r="BI112" s="536"/>
      <c r="BJ112" s="536"/>
      <c r="BK112" s="536"/>
      <c r="BL112" s="536"/>
      <c r="BM112" s="536"/>
      <c r="BN112" s="536"/>
      <c r="BO112" s="536"/>
      <c r="BP112" s="536"/>
      <c r="BQ112" s="536"/>
      <c r="BR112" s="536"/>
      <c r="BS112" s="536"/>
      <c r="BT112" s="536"/>
      <c r="BU112" s="536"/>
      <c r="BV112" s="536"/>
      <c r="BW112" s="536"/>
      <c r="BX112" s="536"/>
      <c r="BY112" s="536"/>
      <c r="BZ112" s="536"/>
      <c r="CA112" s="536"/>
      <c r="CB112" s="536"/>
      <c r="CC112" s="536"/>
      <c r="CD112" s="536"/>
    </row>
    <row r="113" spans="1:82" x14ac:dyDescent="0.2">
      <c r="A113" s="536">
        <f t="shared" si="85"/>
        <v>1</v>
      </c>
      <c r="B113" s="536">
        <f t="shared" si="82"/>
        <v>2011</v>
      </c>
      <c r="C113" s="551">
        <v>40633</v>
      </c>
      <c r="D113" s="536" t="str">
        <f t="shared" si="83"/>
        <v>1Q11</v>
      </c>
      <c r="E113" s="540">
        <v>26.199996999999975</v>
      </c>
      <c r="F113" s="535"/>
      <c r="G113" s="536"/>
      <c r="H113" s="536"/>
      <c r="I113" s="536"/>
      <c r="J113" s="536"/>
      <c r="K113" s="536"/>
      <c r="L113" s="536"/>
      <c r="M113" s="536"/>
      <c r="N113" s="536"/>
      <c r="O113" s="536"/>
      <c r="P113" s="536"/>
      <c r="Q113" s="536"/>
      <c r="R113" s="536"/>
      <c r="S113" s="536"/>
      <c r="T113" s="536"/>
      <c r="U113" s="536"/>
      <c r="V113" s="536"/>
      <c r="W113" s="536"/>
      <c r="X113" s="536"/>
      <c r="Y113" s="536"/>
      <c r="Z113" s="536"/>
      <c r="AA113" s="536"/>
      <c r="AB113" s="536"/>
      <c r="AC113" s="536"/>
      <c r="AD113" s="536"/>
      <c r="AE113" s="536"/>
      <c r="AF113" s="536"/>
      <c r="AG113" s="536"/>
      <c r="AH113" s="536"/>
      <c r="AI113" s="536"/>
      <c r="AJ113" s="536"/>
      <c r="AK113" s="536"/>
      <c r="AL113" s="536"/>
      <c r="AM113" s="536"/>
      <c r="AN113" s="536"/>
      <c r="AO113" s="536"/>
      <c r="AP113" s="536"/>
      <c r="AQ113" s="536"/>
      <c r="AR113" s="536"/>
      <c r="AS113" s="536"/>
      <c r="AT113" s="536"/>
      <c r="AU113" s="536"/>
      <c r="AV113" s="536"/>
      <c r="AW113" s="536"/>
      <c r="AX113" s="536"/>
      <c r="AY113" s="536"/>
      <c r="AZ113" s="536"/>
      <c r="BA113" s="536"/>
      <c r="BB113" s="536"/>
      <c r="BC113" s="536"/>
      <c r="BD113" s="536"/>
      <c r="BE113" s="536"/>
      <c r="BF113" s="536"/>
      <c r="BG113" s="536"/>
      <c r="BH113" s="536"/>
      <c r="BI113" s="536"/>
      <c r="BJ113" s="536"/>
      <c r="BK113" s="536"/>
      <c r="BL113" s="536"/>
      <c r="BM113" s="536"/>
      <c r="BN113" s="536"/>
      <c r="BO113" s="536"/>
      <c r="BP113" s="536"/>
      <c r="BQ113" s="536"/>
      <c r="BR113" s="536"/>
      <c r="BS113" s="536"/>
      <c r="BT113" s="536"/>
      <c r="BU113" s="536"/>
      <c r="BV113" s="536"/>
      <c r="BW113" s="536"/>
      <c r="BX113" s="536"/>
      <c r="BY113" s="536"/>
      <c r="BZ113" s="536"/>
      <c r="CA113" s="536"/>
      <c r="CB113" s="536"/>
      <c r="CC113" s="536"/>
      <c r="CD113" s="536"/>
    </row>
    <row r="114" spans="1:82" x14ac:dyDescent="0.2">
      <c r="A114" s="536">
        <f t="shared" si="85"/>
        <v>2</v>
      </c>
      <c r="B114" s="536">
        <f t="shared" si="82"/>
        <v>2011</v>
      </c>
      <c r="C114" s="551">
        <v>40663</v>
      </c>
      <c r="D114" s="536" t="str">
        <f t="shared" si="83"/>
        <v>2Q11</v>
      </c>
      <c r="E114" s="540">
        <v>26.229995999999971</v>
      </c>
      <c r="F114" s="535"/>
      <c r="G114" s="536"/>
      <c r="H114" s="536"/>
      <c r="I114" s="536"/>
      <c r="J114" s="536"/>
      <c r="K114" s="536"/>
      <c r="L114" s="536"/>
      <c r="M114" s="536"/>
      <c r="N114" s="536"/>
      <c r="O114" s="536"/>
      <c r="P114" s="536"/>
      <c r="Q114" s="536"/>
      <c r="R114" s="536"/>
      <c r="S114" s="536"/>
      <c r="T114" s="536"/>
      <c r="U114" s="536"/>
      <c r="V114" s="536"/>
      <c r="W114" s="536"/>
      <c r="X114" s="536"/>
      <c r="Y114" s="536"/>
      <c r="Z114" s="536"/>
      <c r="AA114" s="536"/>
      <c r="AB114" s="536"/>
      <c r="AC114" s="536"/>
      <c r="AD114" s="536"/>
      <c r="AE114" s="536"/>
      <c r="AF114" s="536"/>
      <c r="AG114" s="536"/>
      <c r="AH114" s="536"/>
      <c r="AI114" s="536"/>
      <c r="AJ114" s="536"/>
      <c r="AK114" s="536"/>
      <c r="AL114" s="536"/>
      <c r="AM114" s="536"/>
      <c r="AN114" s="536"/>
      <c r="AO114" s="536"/>
      <c r="AP114" s="536"/>
      <c r="AQ114" s="536"/>
      <c r="AR114" s="536"/>
      <c r="AS114" s="536"/>
      <c r="AT114" s="536"/>
      <c r="AU114" s="536"/>
      <c r="AV114" s="536"/>
      <c r="AW114" s="536"/>
      <c r="AX114" s="536"/>
      <c r="AY114" s="536"/>
      <c r="AZ114" s="536"/>
      <c r="BA114" s="536"/>
      <c r="BB114" s="536"/>
      <c r="BC114" s="536"/>
      <c r="BD114" s="536"/>
      <c r="BE114" s="536"/>
      <c r="BF114" s="536"/>
      <c r="BG114" s="536"/>
      <c r="BH114" s="536"/>
      <c r="BI114" s="536"/>
      <c r="BJ114" s="536"/>
      <c r="BK114" s="536"/>
      <c r="BL114" s="536"/>
      <c r="BM114" s="536"/>
      <c r="BN114" s="536"/>
      <c r="BO114" s="536"/>
      <c r="BP114" s="536"/>
      <c r="BQ114" s="536"/>
      <c r="BR114" s="536"/>
      <c r="BS114" s="536"/>
      <c r="BT114" s="536"/>
      <c r="BU114" s="536"/>
      <c r="BV114" s="536"/>
      <c r="BW114" s="536"/>
      <c r="BX114" s="536"/>
      <c r="BY114" s="536"/>
      <c r="BZ114" s="536"/>
      <c r="CA114" s="536"/>
      <c r="CB114" s="536"/>
      <c r="CC114" s="536"/>
      <c r="CD114" s="536"/>
    </row>
    <row r="115" spans="1:82" x14ac:dyDescent="0.2">
      <c r="A115" s="536">
        <f t="shared" si="85"/>
        <v>2</v>
      </c>
      <c r="B115" s="536">
        <f t="shared" si="82"/>
        <v>2011</v>
      </c>
      <c r="C115" s="551">
        <v>40694</v>
      </c>
      <c r="D115" s="536" t="str">
        <f t="shared" si="83"/>
        <v>2Q11</v>
      </c>
      <c r="E115" s="540">
        <v>26.433329333333305</v>
      </c>
      <c r="F115" s="535"/>
      <c r="G115" s="536"/>
      <c r="H115" s="536"/>
      <c r="I115" s="536"/>
      <c r="J115" s="536"/>
      <c r="K115" s="536"/>
      <c r="L115" s="536"/>
      <c r="M115" s="536"/>
      <c r="N115" s="536"/>
      <c r="O115" s="536"/>
      <c r="P115" s="536"/>
      <c r="Q115" s="536"/>
      <c r="R115" s="536"/>
      <c r="S115" s="536"/>
      <c r="T115" s="536"/>
      <c r="U115" s="536"/>
      <c r="V115" s="536"/>
      <c r="W115" s="536"/>
      <c r="X115" s="536"/>
      <c r="Y115" s="536"/>
      <c r="Z115" s="536"/>
      <c r="AA115" s="536"/>
      <c r="AB115" s="536"/>
      <c r="AC115" s="536"/>
      <c r="AD115" s="536"/>
      <c r="AE115" s="536"/>
      <c r="AF115" s="536"/>
      <c r="AG115" s="536"/>
      <c r="AH115" s="536"/>
      <c r="AI115" s="536"/>
      <c r="AJ115" s="536"/>
      <c r="AK115" s="536"/>
      <c r="AL115" s="536"/>
      <c r="AM115" s="536"/>
      <c r="AN115" s="536"/>
      <c r="AO115" s="536"/>
      <c r="AP115" s="536"/>
      <c r="AQ115" s="536"/>
      <c r="AR115" s="536"/>
      <c r="AS115" s="536"/>
      <c r="AT115" s="536"/>
      <c r="AU115" s="536"/>
      <c r="AV115" s="536"/>
      <c r="AW115" s="536"/>
      <c r="AX115" s="536"/>
      <c r="AY115" s="536"/>
      <c r="AZ115" s="536"/>
      <c r="BA115" s="536"/>
      <c r="BB115" s="536"/>
      <c r="BC115" s="536"/>
      <c r="BD115" s="536"/>
      <c r="BE115" s="536"/>
      <c r="BF115" s="536"/>
      <c r="BG115" s="536"/>
      <c r="BH115" s="536"/>
      <c r="BI115" s="536"/>
      <c r="BJ115" s="536"/>
      <c r="BK115" s="536"/>
      <c r="BL115" s="536"/>
      <c r="BM115" s="536"/>
      <c r="BN115" s="536"/>
      <c r="BO115" s="536"/>
      <c r="BP115" s="536"/>
      <c r="BQ115" s="536"/>
      <c r="BR115" s="536"/>
      <c r="BS115" s="536"/>
      <c r="BT115" s="536"/>
      <c r="BU115" s="536"/>
      <c r="BV115" s="536"/>
      <c r="BW115" s="536"/>
      <c r="BX115" s="536"/>
      <c r="BY115" s="536"/>
      <c r="BZ115" s="536"/>
      <c r="CA115" s="536"/>
      <c r="CB115" s="536"/>
      <c r="CC115" s="536"/>
      <c r="CD115" s="536"/>
    </row>
    <row r="116" spans="1:82" x14ac:dyDescent="0.2">
      <c r="A116" s="536">
        <f t="shared" si="85"/>
        <v>2</v>
      </c>
      <c r="B116" s="536">
        <f t="shared" si="82"/>
        <v>2011</v>
      </c>
      <c r="C116" s="551">
        <v>40724</v>
      </c>
      <c r="D116" s="536" t="str">
        <f t="shared" si="83"/>
        <v>2Q11</v>
      </c>
      <c r="E116" s="540">
        <v>26.219985999999999</v>
      </c>
      <c r="F116" s="535"/>
      <c r="G116" s="536"/>
      <c r="H116" s="536"/>
      <c r="I116" s="536"/>
      <c r="J116" s="536"/>
      <c r="K116" s="536"/>
      <c r="L116" s="536"/>
      <c r="M116" s="536"/>
      <c r="N116" s="536"/>
      <c r="O116" s="536"/>
      <c r="P116" s="536"/>
      <c r="Q116" s="536"/>
      <c r="R116" s="536"/>
      <c r="S116" s="536"/>
      <c r="T116" s="536"/>
      <c r="U116" s="536"/>
      <c r="V116" s="536"/>
      <c r="W116" s="536"/>
      <c r="X116" s="536"/>
      <c r="Y116" s="536"/>
      <c r="Z116" s="536"/>
      <c r="AA116" s="536"/>
      <c r="AB116" s="536"/>
      <c r="AC116" s="536"/>
      <c r="AD116" s="536"/>
      <c r="AE116" s="536"/>
      <c r="AF116" s="536"/>
      <c r="AG116" s="536"/>
      <c r="AH116" s="536"/>
      <c r="AI116" s="536"/>
      <c r="AJ116" s="536"/>
      <c r="AK116" s="536"/>
      <c r="AL116" s="536"/>
      <c r="AM116" s="536"/>
      <c r="AN116" s="536"/>
      <c r="AO116" s="536"/>
      <c r="AP116" s="536"/>
      <c r="AQ116" s="536"/>
      <c r="AR116" s="536"/>
      <c r="AS116" s="536"/>
      <c r="AT116" s="536"/>
      <c r="AU116" s="536"/>
      <c r="AV116" s="536"/>
      <c r="AW116" s="536"/>
      <c r="AX116" s="536"/>
      <c r="AY116" s="536"/>
      <c r="AZ116" s="536"/>
      <c r="BA116" s="536"/>
      <c r="BB116" s="536"/>
      <c r="BC116" s="536"/>
      <c r="BD116" s="536"/>
      <c r="BE116" s="536"/>
      <c r="BF116" s="536"/>
      <c r="BG116" s="536"/>
      <c r="BH116" s="536"/>
      <c r="BI116" s="536"/>
      <c r="BJ116" s="536"/>
      <c r="BK116" s="536"/>
      <c r="BL116" s="536"/>
      <c r="BM116" s="536"/>
      <c r="BN116" s="536"/>
      <c r="BO116" s="536"/>
      <c r="BP116" s="536"/>
      <c r="BQ116" s="536"/>
      <c r="BR116" s="536"/>
      <c r="BS116" s="536"/>
      <c r="BT116" s="536"/>
      <c r="BU116" s="536"/>
      <c r="BV116" s="536"/>
      <c r="BW116" s="536"/>
      <c r="BX116" s="536"/>
      <c r="BY116" s="536"/>
      <c r="BZ116" s="536"/>
      <c r="CA116" s="536"/>
      <c r="CB116" s="536"/>
      <c r="CC116" s="536"/>
      <c r="CD116" s="536"/>
    </row>
    <row r="117" spans="1:82" x14ac:dyDescent="0.2">
      <c r="A117" s="536">
        <f t="shared" si="85"/>
        <v>3</v>
      </c>
      <c r="B117" s="536">
        <f t="shared" si="82"/>
        <v>2011</v>
      </c>
      <c r="C117" s="551">
        <v>40755</v>
      </c>
      <c r="D117" s="536" t="str">
        <f t="shared" si="83"/>
        <v>3Q11</v>
      </c>
      <c r="E117" s="540">
        <v>24.569993</v>
      </c>
      <c r="F117" s="535"/>
      <c r="G117" s="536"/>
      <c r="H117" s="536"/>
      <c r="I117" s="536"/>
      <c r="J117" s="536"/>
      <c r="K117" s="536"/>
      <c r="L117" s="536"/>
      <c r="M117" s="536"/>
      <c r="N117" s="536"/>
      <c r="O117" s="536"/>
      <c r="P117" s="536"/>
      <c r="Q117" s="536"/>
      <c r="R117" s="536"/>
      <c r="S117" s="536"/>
      <c r="T117" s="536"/>
      <c r="U117" s="536"/>
      <c r="V117" s="536"/>
      <c r="W117" s="536"/>
      <c r="X117" s="536"/>
      <c r="Y117" s="536"/>
      <c r="Z117" s="536"/>
      <c r="AA117" s="536"/>
      <c r="AB117" s="536"/>
      <c r="AC117" s="536"/>
      <c r="AD117" s="536"/>
      <c r="AE117" s="536"/>
      <c r="AF117" s="536"/>
      <c r="AG117" s="536"/>
      <c r="AH117" s="536"/>
      <c r="AI117" s="536"/>
      <c r="AJ117" s="536"/>
      <c r="AK117" s="536"/>
      <c r="AL117" s="536"/>
      <c r="AM117" s="536"/>
      <c r="AN117" s="536"/>
      <c r="AO117" s="536"/>
      <c r="AP117" s="536"/>
      <c r="AQ117" s="536"/>
      <c r="AR117" s="536"/>
      <c r="AS117" s="536"/>
      <c r="AT117" s="536"/>
      <c r="AU117" s="536"/>
      <c r="AV117" s="536"/>
      <c r="AW117" s="536"/>
      <c r="AX117" s="536"/>
      <c r="AY117" s="536"/>
      <c r="AZ117" s="536"/>
      <c r="BA117" s="536"/>
      <c r="BB117" s="536"/>
      <c r="BC117" s="536"/>
      <c r="BD117" s="536"/>
      <c r="BE117" s="536"/>
      <c r="BF117" s="536"/>
      <c r="BG117" s="536"/>
      <c r="BH117" s="536"/>
      <c r="BI117" s="536"/>
      <c r="BJ117" s="536"/>
      <c r="BK117" s="536"/>
      <c r="BL117" s="536"/>
      <c r="BM117" s="536"/>
      <c r="BN117" s="536"/>
      <c r="BO117" s="536"/>
      <c r="BP117" s="536"/>
      <c r="BQ117" s="536"/>
      <c r="BR117" s="536"/>
      <c r="BS117" s="536"/>
      <c r="BT117" s="536"/>
      <c r="BU117" s="536"/>
      <c r="BV117" s="536"/>
      <c r="BW117" s="536"/>
      <c r="BX117" s="536"/>
      <c r="BY117" s="536"/>
      <c r="BZ117" s="536"/>
      <c r="CA117" s="536"/>
      <c r="CB117" s="536"/>
      <c r="CC117" s="536"/>
      <c r="CD117" s="536"/>
    </row>
    <row r="118" spans="1:82" x14ac:dyDescent="0.2">
      <c r="A118" s="536">
        <f t="shared" si="85"/>
        <v>3</v>
      </c>
      <c r="B118" s="536">
        <f t="shared" si="82"/>
        <v>2011</v>
      </c>
      <c r="C118" s="551">
        <v>40786</v>
      </c>
      <c r="D118" s="536" t="str">
        <f t="shared" si="83"/>
        <v>3Q11</v>
      </c>
      <c r="E118" s="540">
        <v>21.939988</v>
      </c>
      <c r="F118" s="535"/>
      <c r="G118" s="536"/>
      <c r="H118" s="536"/>
      <c r="I118" s="536"/>
      <c r="J118" s="536"/>
      <c r="K118" s="536"/>
      <c r="L118" s="536"/>
      <c r="M118" s="536"/>
      <c r="N118" s="536"/>
      <c r="O118" s="536"/>
      <c r="P118" s="536"/>
      <c r="Q118" s="536"/>
      <c r="R118" s="536"/>
      <c r="S118" s="536"/>
      <c r="T118" s="536"/>
      <c r="U118" s="536"/>
      <c r="V118" s="536"/>
      <c r="W118" s="536"/>
      <c r="X118" s="536"/>
      <c r="Y118" s="536"/>
      <c r="Z118" s="536"/>
      <c r="AA118" s="536"/>
      <c r="AB118" s="536"/>
      <c r="AC118" s="536"/>
      <c r="AD118" s="536"/>
      <c r="AE118" s="536"/>
      <c r="AF118" s="536"/>
      <c r="AG118" s="536"/>
      <c r="AH118" s="536"/>
      <c r="AI118" s="536"/>
      <c r="AJ118" s="536"/>
      <c r="AK118" s="536"/>
      <c r="AL118" s="536"/>
      <c r="AM118" s="536"/>
      <c r="AN118" s="536"/>
      <c r="AO118" s="536"/>
      <c r="AP118" s="536"/>
      <c r="AQ118" s="536"/>
      <c r="AR118" s="536"/>
      <c r="AS118" s="536"/>
      <c r="AT118" s="536"/>
      <c r="AU118" s="536"/>
      <c r="AV118" s="536"/>
      <c r="AW118" s="536"/>
      <c r="AX118" s="536"/>
      <c r="AY118" s="536"/>
      <c r="AZ118" s="536"/>
      <c r="BA118" s="536"/>
      <c r="BB118" s="536"/>
      <c r="BC118" s="536"/>
      <c r="BD118" s="536"/>
      <c r="BE118" s="536"/>
      <c r="BF118" s="536"/>
      <c r="BG118" s="536"/>
      <c r="BH118" s="536"/>
      <c r="BI118" s="536"/>
      <c r="BJ118" s="536"/>
      <c r="BK118" s="536"/>
      <c r="BL118" s="536"/>
      <c r="BM118" s="536"/>
      <c r="BN118" s="536"/>
      <c r="BO118" s="536"/>
      <c r="BP118" s="536"/>
      <c r="BQ118" s="536"/>
      <c r="BR118" s="536"/>
      <c r="BS118" s="536"/>
      <c r="BT118" s="536"/>
      <c r="BU118" s="536"/>
      <c r="BV118" s="536"/>
      <c r="BW118" s="536"/>
      <c r="BX118" s="536"/>
      <c r="BY118" s="536"/>
      <c r="BZ118" s="536"/>
      <c r="CA118" s="536"/>
      <c r="CB118" s="536"/>
      <c r="CC118" s="536"/>
      <c r="CD118" s="536"/>
    </row>
    <row r="119" spans="1:82" x14ac:dyDescent="0.2">
      <c r="A119" s="536">
        <f t="shared" si="85"/>
        <v>3</v>
      </c>
      <c r="B119" s="536">
        <f t="shared" si="82"/>
        <v>2011</v>
      </c>
      <c r="C119" s="551">
        <v>40816</v>
      </c>
      <c r="D119" s="536" t="str">
        <f t="shared" si="83"/>
        <v>3Q11</v>
      </c>
      <c r="E119" s="540">
        <v>18.669999000000001</v>
      </c>
      <c r="F119" s="535"/>
      <c r="G119" s="536"/>
      <c r="H119" s="536"/>
      <c r="I119" s="536"/>
      <c r="J119" s="536"/>
      <c r="K119" s="536"/>
      <c r="L119" s="536"/>
      <c r="M119" s="536"/>
      <c r="N119" s="536"/>
      <c r="O119" s="536"/>
      <c r="P119" s="536"/>
      <c r="Q119" s="536"/>
      <c r="R119" s="536"/>
      <c r="S119" s="536"/>
      <c r="T119" s="536"/>
      <c r="U119" s="536"/>
      <c r="V119" s="536"/>
      <c r="W119" s="536"/>
      <c r="X119" s="536"/>
      <c r="Y119" s="536"/>
      <c r="Z119" s="536"/>
      <c r="AA119" s="536"/>
      <c r="AB119" s="536"/>
      <c r="AC119" s="536"/>
      <c r="AD119" s="536"/>
      <c r="AE119" s="536"/>
      <c r="AF119" s="536"/>
      <c r="AG119" s="536"/>
      <c r="AH119" s="536"/>
      <c r="AI119" s="536"/>
      <c r="AJ119" s="536"/>
      <c r="AK119" s="536"/>
      <c r="AL119" s="536"/>
      <c r="AM119" s="536"/>
      <c r="AN119" s="536"/>
      <c r="AO119" s="536"/>
      <c r="AP119" s="536"/>
      <c r="AQ119" s="536"/>
      <c r="AR119" s="536"/>
      <c r="AS119" s="536"/>
      <c r="AT119" s="536"/>
      <c r="AU119" s="536"/>
      <c r="AV119" s="536"/>
      <c r="AW119" s="536"/>
      <c r="AX119" s="536"/>
      <c r="AY119" s="536"/>
      <c r="AZ119" s="536"/>
      <c r="BA119" s="536"/>
      <c r="BB119" s="536"/>
      <c r="BC119" s="536"/>
      <c r="BD119" s="536"/>
      <c r="BE119" s="536"/>
      <c r="BF119" s="536"/>
      <c r="BG119" s="536"/>
      <c r="BH119" s="536"/>
      <c r="BI119" s="536"/>
      <c r="BJ119" s="536"/>
      <c r="BK119" s="536"/>
      <c r="BL119" s="536"/>
      <c r="BM119" s="536"/>
      <c r="BN119" s="536"/>
      <c r="BO119" s="536"/>
      <c r="BP119" s="536"/>
      <c r="BQ119" s="536"/>
      <c r="BR119" s="536"/>
      <c r="BS119" s="536"/>
      <c r="BT119" s="536"/>
      <c r="BU119" s="536"/>
      <c r="BV119" s="536"/>
      <c r="BW119" s="536"/>
      <c r="BX119" s="536"/>
      <c r="BY119" s="536"/>
      <c r="BZ119" s="536"/>
      <c r="CA119" s="536"/>
      <c r="CB119" s="536"/>
      <c r="CC119" s="536"/>
      <c r="CD119" s="536"/>
    </row>
    <row r="120" spans="1:82" x14ac:dyDescent="0.2">
      <c r="A120" s="536">
        <f t="shared" si="85"/>
        <v>4</v>
      </c>
      <c r="B120" s="536">
        <f t="shared" si="82"/>
        <v>2011</v>
      </c>
      <c r="C120" s="552">
        <v>40823</v>
      </c>
      <c r="D120" s="536" t="str">
        <f t="shared" si="83"/>
        <v>4Q11</v>
      </c>
      <c r="E120" s="540">
        <v>20.089997</v>
      </c>
      <c r="F120" s="535"/>
      <c r="G120" s="536"/>
      <c r="H120" s="536"/>
      <c r="I120" s="536"/>
      <c r="J120" s="536"/>
      <c r="K120" s="536"/>
      <c r="L120" s="536"/>
      <c r="M120" s="536"/>
      <c r="N120" s="536"/>
      <c r="O120" s="536"/>
      <c r="P120" s="536"/>
      <c r="Q120" s="536"/>
      <c r="R120" s="536"/>
      <c r="S120" s="536"/>
      <c r="T120" s="536"/>
      <c r="U120" s="536"/>
      <c r="V120" s="536"/>
      <c r="W120" s="536"/>
      <c r="X120" s="536"/>
      <c r="Y120" s="536"/>
      <c r="Z120" s="536"/>
      <c r="AA120" s="536"/>
      <c r="AB120" s="536"/>
      <c r="AC120" s="536"/>
      <c r="AD120" s="536"/>
      <c r="AE120" s="536"/>
      <c r="AF120" s="536"/>
      <c r="AG120" s="536"/>
      <c r="AH120" s="536"/>
      <c r="AI120" s="536"/>
      <c r="AJ120" s="536"/>
      <c r="AK120" s="536"/>
      <c r="AL120" s="536"/>
      <c r="AM120" s="536"/>
      <c r="AN120" s="536"/>
      <c r="AO120" s="536"/>
      <c r="AP120" s="536"/>
      <c r="AQ120" s="536"/>
      <c r="AR120" s="536"/>
      <c r="AS120" s="536"/>
      <c r="AT120" s="536"/>
      <c r="AU120" s="536"/>
      <c r="AV120" s="536"/>
      <c r="AW120" s="536"/>
      <c r="AX120" s="536"/>
      <c r="AY120" s="536"/>
      <c r="AZ120" s="536"/>
      <c r="BA120" s="536"/>
      <c r="BB120" s="536"/>
      <c r="BC120" s="536"/>
      <c r="BD120" s="536"/>
      <c r="BE120" s="536"/>
      <c r="BF120" s="536"/>
      <c r="BG120" s="536"/>
      <c r="BH120" s="536"/>
      <c r="BI120" s="536"/>
      <c r="BJ120" s="536"/>
      <c r="BK120" s="536"/>
      <c r="BL120" s="536"/>
      <c r="BM120" s="536"/>
      <c r="BN120" s="536"/>
      <c r="BO120" s="536"/>
      <c r="BP120" s="536"/>
      <c r="BQ120" s="536"/>
      <c r="BR120" s="536"/>
      <c r="BS120" s="536"/>
      <c r="BT120" s="536"/>
      <c r="BU120" s="536"/>
      <c r="BV120" s="536"/>
      <c r="BW120" s="536"/>
      <c r="BX120" s="536"/>
      <c r="BY120" s="536"/>
      <c r="BZ120" s="536"/>
      <c r="CA120" s="536"/>
      <c r="CB120" s="536"/>
      <c r="CC120" s="536"/>
      <c r="CD120" s="536"/>
    </row>
    <row r="121" spans="1:82" x14ac:dyDescent="0.2">
      <c r="A121" s="536">
        <f t="shared" si="85"/>
        <v>4</v>
      </c>
      <c r="B121" s="536">
        <f t="shared" si="82"/>
        <v>2011</v>
      </c>
      <c r="C121" s="552">
        <v>40830</v>
      </c>
      <c r="D121" s="536" t="str">
        <f t="shared" si="83"/>
        <v>4Q11</v>
      </c>
      <c r="E121" s="540">
        <v>21.129989999999999</v>
      </c>
      <c r="F121" s="535"/>
      <c r="G121" s="536"/>
      <c r="H121" s="536"/>
      <c r="I121" s="536"/>
      <c r="J121" s="536"/>
      <c r="K121" s="536"/>
      <c r="L121" s="536"/>
      <c r="M121" s="536"/>
      <c r="N121" s="536"/>
      <c r="O121" s="536"/>
      <c r="P121" s="536"/>
      <c r="Q121" s="536"/>
      <c r="R121" s="536"/>
      <c r="S121" s="536"/>
      <c r="T121" s="536"/>
      <c r="U121" s="536"/>
      <c r="V121" s="536"/>
      <c r="W121" s="536"/>
      <c r="X121" s="536"/>
      <c r="Y121" s="536"/>
      <c r="Z121" s="536"/>
      <c r="AA121" s="536"/>
      <c r="AB121" s="536"/>
      <c r="AC121" s="536"/>
      <c r="AD121" s="536"/>
      <c r="AE121" s="536"/>
      <c r="AF121" s="536"/>
      <c r="AG121" s="536"/>
      <c r="AH121" s="536"/>
      <c r="AI121" s="536"/>
      <c r="AJ121" s="536"/>
      <c r="AK121" s="536"/>
      <c r="AL121" s="536"/>
      <c r="AM121" s="536"/>
      <c r="AN121" s="536"/>
      <c r="AO121" s="536"/>
      <c r="AP121" s="536"/>
      <c r="AQ121" s="536"/>
      <c r="AR121" s="536"/>
      <c r="AS121" s="536"/>
      <c r="AT121" s="536"/>
      <c r="AU121" s="536"/>
      <c r="AV121" s="536"/>
      <c r="AW121" s="536"/>
      <c r="AX121" s="536"/>
      <c r="AY121" s="536"/>
      <c r="AZ121" s="536"/>
      <c r="BA121" s="536"/>
      <c r="BB121" s="536"/>
      <c r="BC121" s="536"/>
      <c r="BD121" s="536"/>
      <c r="BE121" s="536"/>
      <c r="BF121" s="536"/>
      <c r="BG121" s="536"/>
      <c r="BH121" s="536"/>
      <c r="BI121" s="536"/>
      <c r="BJ121" s="536"/>
      <c r="BK121" s="536"/>
      <c r="BL121" s="536"/>
      <c r="BM121" s="536"/>
      <c r="BN121" s="536"/>
      <c r="BO121" s="536"/>
      <c r="BP121" s="536"/>
      <c r="BQ121" s="536"/>
      <c r="BR121" s="536"/>
      <c r="BS121" s="536"/>
      <c r="BT121" s="536"/>
      <c r="BU121" s="536"/>
      <c r="BV121" s="536"/>
      <c r="BW121" s="536"/>
      <c r="BX121" s="536"/>
      <c r="BY121" s="536"/>
      <c r="BZ121" s="536"/>
      <c r="CA121" s="536"/>
      <c r="CB121" s="536"/>
      <c r="CC121" s="536"/>
      <c r="CD121" s="536"/>
    </row>
    <row r="122" spans="1:82" x14ac:dyDescent="0.2">
      <c r="A122" s="536">
        <v>4</v>
      </c>
      <c r="B122" s="536">
        <v>2011</v>
      </c>
      <c r="C122" s="552">
        <v>40837</v>
      </c>
      <c r="D122" s="536" t="s">
        <v>325</v>
      </c>
      <c r="E122" s="540">
        <v>21.859985999999999</v>
      </c>
      <c r="F122" s="535"/>
      <c r="G122" s="536"/>
      <c r="H122" s="536"/>
      <c r="I122" s="536"/>
      <c r="J122" s="536"/>
      <c r="K122" s="536"/>
      <c r="L122" s="536"/>
      <c r="M122" s="536"/>
      <c r="N122" s="536"/>
      <c r="O122" s="536"/>
      <c r="P122" s="536"/>
      <c r="Q122" s="536"/>
      <c r="R122" s="536"/>
      <c r="S122" s="536"/>
      <c r="T122" s="536"/>
      <c r="U122" s="536"/>
      <c r="V122" s="536"/>
      <c r="W122" s="536"/>
      <c r="X122" s="536"/>
      <c r="Y122" s="536"/>
      <c r="Z122" s="536"/>
      <c r="AA122" s="536"/>
      <c r="AB122" s="536"/>
      <c r="AC122" s="536"/>
      <c r="AD122" s="536"/>
      <c r="AE122" s="536"/>
      <c r="AF122" s="536"/>
      <c r="AG122" s="536"/>
      <c r="AH122" s="536"/>
      <c r="AI122" s="536"/>
      <c r="AJ122" s="536"/>
      <c r="AK122" s="536"/>
      <c r="AL122" s="536"/>
      <c r="AM122" s="536"/>
      <c r="AN122" s="536"/>
      <c r="AO122" s="536"/>
      <c r="AP122" s="536"/>
      <c r="AQ122" s="536"/>
      <c r="AR122" s="536"/>
      <c r="AS122" s="536"/>
      <c r="AT122" s="536"/>
      <c r="AU122" s="536"/>
      <c r="AV122" s="536"/>
      <c r="AW122" s="536"/>
      <c r="AX122" s="536"/>
      <c r="AY122" s="536"/>
      <c r="AZ122" s="536"/>
      <c r="BA122" s="536"/>
      <c r="BB122" s="536"/>
      <c r="BC122" s="536"/>
      <c r="BD122" s="536"/>
      <c r="BE122" s="536"/>
      <c r="BF122" s="536"/>
      <c r="BG122" s="536"/>
      <c r="BH122" s="536"/>
      <c r="BI122" s="536"/>
      <c r="BJ122" s="536"/>
      <c r="BK122" s="536"/>
      <c r="BL122" s="536"/>
      <c r="BM122" s="536"/>
      <c r="BN122" s="536"/>
      <c r="BO122" s="536"/>
      <c r="BP122" s="536"/>
      <c r="BQ122" s="536"/>
      <c r="BR122" s="536"/>
      <c r="BS122" s="536"/>
      <c r="BT122" s="536"/>
      <c r="BU122" s="536"/>
      <c r="BV122" s="536"/>
      <c r="BW122" s="536"/>
      <c r="BX122" s="536"/>
      <c r="BY122" s="536"/>
      <c r="BZ122" s="536"/>
      <c r="CA122" s="536"/>
      <c r="CB122" s="536"/>
      <c r="CC122" s="536"/>
      <c r="CD122" s="536"/>
    </row>
    <row r="123" spans="1:82" x14ac:dyDescent="0.2">
      <c r="A123" s="536">
        <v>4</v>
      </c>
      <c r="B123" s="536">
        <v>2011</v>
      </c>
      <c r="C123" s="552">
        <v>40844</v>
      </c>
      <c r="D123" s="536" t="s">
        <v>325</v>
      </c>
      <c r="E123" s="540">
        <v>23.109985999999999</v>
      </c>
      <c r="F123" s="535"/>
      <c r="G123" s="536"/>
      <c r="H123" s="536"/>
      <c r="I123" s="536"/>
      <c r="J123" s="536"/>
      <c r="K123" s="536"/>
      <c r="L123" s="536"/>
      <c r="M123" s="536"/>
      <c r="N123" s="536"/>
      <c r="O123" s="536"/>
      <c r="P123" s="536"/>
      <c r="Q123" s="536"/>
      <c r="R123" s="536"/>
      <c r="S123" s="536"/>
      <c r="T123" s="536"/>
      <c r="U123" s="536"/>
      <c r="V123" s="536"/>
      <c r="W123" s="536"/>
      <c r="X123" s="536"/>
      <c r="Y123" s="536"/>
      <c r="Z123" s="536"/>
      <c r="AA123" s="536"/>
      <c r="AB123" s="536"/>
      <c r="AC123" s="536"/>
      <c r="AD123" s="536"/>
      <c r="AE123" s="536"/>
      <c r="AF123" s="536"/>
      <c r="AG123" s="536"/>
      <c r="AH123" s="536"/>
      <c r="AI123" s="536"/>
      <c r="AJ123" s="536"/>
      <c r="AK123" s="536"/>
      <c r="AL123" s="536"/>
      <c r="AM123" s="536"/>
      <c r="AN123" s="536"/>
      <c r="AO123" s="536"/>
      <c r="AP123" s="536"/>
      <c r="AQ123" s="536"/>
      <c r="AR123" s="536"/>
      <c r="AS123" s="536"/>
      <c r="AT123" s="536"/>
      <c r="AU123" s="536"/>
      <c r="AV123" s="536"/>
      <c r="AW123" s="536"/>
      <c r="AX123" s="536"/>
      <c r="AY123" s="536"/>
      <c r="AZ123" s="536"/>
      <c r="BA123" s="536"/>
      <c r="BB123" s="536"/>
      <c r="BC123" s="536"/>
      <c r="BD123" s="536"/>
      <c r="BE123" s="536"/>
      <c r="BF123" s="536"/>
      <c r="BG123" s="536"/>
      <c r="BH123" s="536"/>
      <c r="BI123" s="536"/>
      <c r="BJ123" s="536"/>
      <c r="BK123" s="536"/>
      <c r="BL123" s="536"/>
      <c r="BM123" s="536"/>
      <c r="BN123" s="536"/>
      <c r="BO123" s="536"/>
      <c r="BP123" s="536"/>
      <c r="BQ123" s="536"/>
      <c r="BR123" s="536"/>
      <c r="BS123" s="536"/>
      <c r="BT123" s="536"/>
      <c r="BU123" s="536"/>
      <c r="BV123" s="536"/>
      <c r="BW123" s="536"/>
      <c r="BX123" s="536"/>
      <c r="BY123" s="536"/>
      <c r="BZ123" s="536"/>
      <c r="CA123" s="536"/>
      <c r="CB123" s="536"/>
      <c r="CC123" s="536"/>
      <c r="CD123" s="536"/>
    </row>
    <row r="124" spans="1:82" x14ac:dyDescent="0.2">
      <c r="A124" s="536">
        <v>4</v>
      </c>
      <c r="B124" s="536">
        <v>2011</v>
      </c>
      <c r="C124" s="552">
        <v>40851</v>
      </c>
      <c r="D124" s="536" t="s">
        <v>325</v>
      </c>
      <c r="E124" s="540">
        <v>21.759995</v>
      </c>
      <c r="F124" s="535"/>
      <c r="G124" s="536"/>
      <c r="H124" s="536"/>
      <c r="I124" s="536"/>
      <c r="J124" s="536"/>
      <c r="K124" s="536"/>
      <c r="L124" s="536"/>
      <c r="M124" s="536"/>
      <c r="N124" s="536"/>
      <c r="O124" s="536"/>
      <c r="P124" s="536"/>
      <c r="Q124" s="536"/>
      <c r="R124" s="536"/>
      <c r="S124" s="536"/>
      <c r="T124" s="536"/>
      <c r="U124" s="536"/>
      <c r="V124" s="536"/>
      <c r="W124" s="536"/>
      <c r="X124" s="536"/>
      <c r="Y124" s="536"/>
      <c r="Z124" s="536"/>
      <c r="AA124" s="536"/>
      <c r="AB124" s="536"/>
      <c r="AC124" s="536"/>
      <c r="AD124" s="536"/>
      <c r="AE124" s="536"/>
      <c r="AF124" s="536"/>
      <c r="AG124" s="536"/>
      <c r="AH124" s="536"/>
      <c r="AI124" s="536"/>
      <c r="AJ124" s="536"/>
      <c r="AK124" s="536"/>
      <c r="AL124" s="536"/>
      <c r="AM124" s="536"/>
      <c r="AN124" s="536"/>
      <c r="AO124" s="536"/>
      <c r="AP124" s="536"/>
      <c r="AQ124" s="536"/>
      <c r="AR124" s="536"/>
      <c r="AS124" s="536"/>
      <c r="AT124" s="536"/>
      <c r="AU124" s="536"/>
      <c r="AV124" s="536"/>
      <c r="AW124" s="536"/>
      <c r="AX124" s="536"/>
      <c r="AY124" s="536"/>
      <c r="AZ124" s="536"/>
      <c r="BA124" s="536"/>
      <c r="BB124" s="536"/>
      <c r="BC124" s="536"/>
      <c r="BD124" s="536"/>
      <c r="BE124" s="536"/>
      <c r="BF124" s="536"/>
      <c r="BG124" s="536"/>
      <c r="BH124" s="536"/>
      <c r="BI124" s="536"/>
      <c r="BJ124" s="536"/>
      <c r="BK124" s="536"/>
      <c r="BL124" s="536"/>
      <c r="BM124" s="536"/>
      <c r="BN124" s="536"/>
      <c r="BO124" s="536"/>
      <c r="BP124" s="536"/>
      <c r="BQ124" s="536"/>
      <c r="BR124" s="536"/>
      <c r="BS124" s="536"/>
      <c r="BT124" s="536"/>
      <c r="BU124" s="536"/>
      <c r="BV124" s="536"/>
      <c r="BW124" s="536"/>
      <c r="BX124" s="536"/>
      <c r="BY124" s="536"/>
      <c r="BZ124" s="536"/>
      <c r="CA124" s="536"/>
      <c r="CB124" s="536"/>
      <c r="CC124" s="536"/>
      <c r="CD124" s="536"/>
    </row>
    <row r="125" spans="1:82" x14ac:dyDescent="0.2">
      <c r="A125" s="536">
        <v>4</v>
      </c>
      <c r="B125" s="536">
        <v>2011</v>
      </c>
      <c r="C125" s="552">
        <v>40858</v>
      </c>
      <c r="D125" s="536" t="s">
        <v>325</v>
      </c>
      <c r="E125" s="540">
        <v>22.489991</v>
      </c>
      <c r="F125" s="535"/>
      <c r="G125" s="536"/>
      <c r="H125" s="536"/>
      <c r="I125" s="536"/>
      <c r="J125" s="536"/>
      <c r="K125" s="536"/>
      <c r="L125" s="536"/>
      <c r="M125" s="536"/>
      <c r="N125" s="536"/>
      <c r="O125" s="536"/>
      <c r="P125" s="536"/>
      <c r="Q125" s="536"/>
      <c r="R125" s="536"/>
      <c r="S125" s="536"/>
      <c r="T125" s="536"/>
      <c r="U125" s="536"/>
      <c r="V125" s="536"/>
      <c r="W125" s="536"/>
      <c r="X125" s="536"/>
      <c r="Y125" s="536"/>
      <c r="Z125" s="536"/>
      <c r="AA125" s="536"/>
      <c r="AB125" s="536"/>
      <c r="AC125" s="536"/>
      <c r="AD125" s="536"/>
      <c r="AE125" s="536"/>
      <c r="AF125" s="536"/>
      <c r="AG125" s="536"/>
      <c r="AH125" s="536"/>
      <c r="AI125" s="536"/>
      <c r="AJ125" s="536"/>
      <c r="AK125" s="536"/>
      <c r="AL125" s="536"/>
      <c r="AM125" s="536"/>
      <c r="AN125" s="536"/>
      <c r="AO125" s="536"/>
      <c r="AP125" s="536"/>
      <c r="AQ125" s="536"/>
      <c r="AR125" s="536"/>
      <c r="AS125" s="536"/>
      <c r="AT125" s="536"/>
      <c r="AU125" s="536"/>
      <c r="AV125" s="536"/>
      <c r="AW125" s="536"/>
      <c r="AX125" s="536"/>
      <c r="AY125" s="536"/>
      <c r="AZ125" s="536"/>
      <c r="BA125" s="536"/>
      <c r="BB125" s="536"/>
      <c r="BC125" s="536"/>
      <c r="BD125" s="536"/>
      <c r="BE125" s="536"/>
      <c r="BF125" s="536"/>
      <c r="BG125" s="536"/>
      <c r="BH125" s="536"/>
      <c r="BI125" s="536"/>
      <c r="BJ125" s="536"/>
      <c r="BK125" s="536"/>
      <c r="BL125" s="536"/>
      <c r="BM125" s="536"/>
      <c r="BN125" s="536"/>
      <c r="BO125" s="536"/>
      <c r="BP125" s="536"/>
      <c r="BQ125" s="536"/>
      <c r="BR125" s="536"/>
      <c r="BS125" s="536"/>
      <c r="BT125" s="536"/>
      <c r="BU125" s="536"/>
      <c r="BV125" s="536"/>
      <c r="BW125" s="536"/>
      <c r="BX125" s="536"/>
      <c r="BY125" s="536"/>
      <c r="BZ125" s="536"/>
      <c r="CA125" s="536"/>
      <c r="CB125" s="536"/>
      <c r="CC125" s="536"/>
      <c r="CD125" s="536"/>
    </row>
    <row r="126" spans="1:82" x14ac:dyDescent="0.2">
      <c r="A126" s="536">
        <v>4</v>
      </c>
      <c r="B126" s="536">
        <v>2011</v>
      </c>
      <c r="C126" s="552">
        <v>40865</v>
      </c>
      <c r="D126" s="536" t="s">
        <v>325</v>
      </c>
      <c r="E126" s="540">
        <v>21.64</v>
      </c>
      <c r="F126" s="535"/>
      <c r="G126" s="536"/>
      <c r="H126" s="536"/>
      <c r="I126" s="536"/>
      <c r="J126" s="536"/>
      <c r="K126" s="536"/>
      <c r="L126" s="536"/>
      <c r="M126" s="536"/>
      <c r="N126" s="536"/>
      <c r="O126" s="536"/>
      <c r="P126" s="536"/>
      <c r="Q126" s="536"/>
      <c r="R126" s="536"/>
      <c r="S126" s="536"/>
      <c r="T126" s="536"/>
      <c r="U126" s="536"/>
      <c r="V126" s="536"/>
      <c r="W126" s="536"/>
      <c r="X126" s="536"/>
      <c r="Y126" s="536"/>
      <c r="Z126" s="536"/>
      <c r="AA126" s="536"/>
      <c r="AB126" s="536"/>
      <c r="AC126" s="536"/>
      <c r="AD126" s="536"/>
      <c r="AE126" s="536"/>
      <c r="AF126" s="536"/>
      <c r="AG126" s="536"/>
      <c r="AH126" s="536"/>
      <c r="AI126" s="536"/>
      <c r="AJ126" s="536"/>
      <c r="AK126" s="536"/>
      <c r="AL126" s="536"/>
      <c r="AM126" s="536"/>
      <c r="AN126" s="536"/>
      <c r="AO126" s="536"/>
      <c r="AP126" s="536"/>
      <c r="AQ126" s="536"/>
      <c r="AR126" s="536"/>
      <c r="AS126" s="536"/>
      <c r="AT126" s="536"/>
      <c r="AU126" s="536"/>
      <c r="AV126" s="536"/>
      <c r="AW126" s="536"/>
      <c r="AX126" s="536"/>
      <c r="AY126" s="536"/>
      <c r="AZ126" s="536"/>
      <c r="BA126" s="536"/>
      <c r="BB126" s="536"/>
      <c r="BC126" s="536"/>
      <c r="BD126" s="536"/>
      <c r="BE126" s="536"/>
      <c r="BF126" s="536"/>
      <c r="BG126" s="536"/>
      <c r="BH126" s="536"/>
      <c r="BI126" s="536"/>
      <c r="BJ126" s="536"/>
      <c r="BK126" s="536"/>
      <c r="BL126" s="536"/>
      <c r="BM126" s="536"/>
      <c r="BN126" s="536"/>
      <c r="BO126" s="536"/>
      <c r="BP126" s="536"/>
      <c r="BQ126" s="536"/>
      <c r="BR126" s="536"/>
      <c r="BS126" s="536"/>
      <c r="BT126" s="536"/>
      <c r="BU126" s="536"/>
      <c r="BV126" s="536"/>
      <c r="BW126" s="536"/>
      <c r="BX126" s="536"/>
      <c r="BY126" s="536"/>
      <c r="BZ126" s="536"/>
      <c r="CA126" s="536"/>
      <c r="CB126" s="536"/>
      <c r="CC126" s="536"/>
      <c r="CD126" s="536"/>
    </row>
    <row r="127" spans="1:82" x14ac:dyDescent="0.2">
      <c r="A127" s="536">
        <v>4</v>
      </c>
      <c r="B127" s="536">
        <v>2011</v>
      </c>
      <c r="C127" s="552">
        <v>40872</v>
      </c>
      <c r="D127" s="536" t="s">
        <v>325</v>
      </c>
      <c r="E127" s="540">
        <v>20</v>
      </c>
      <c r="F127" s="535"/>
      <c r="G127" s="536"/>
      <c r="H127" s="536"/>
      <c r="I127" s="536"/>
      <c r="J127" s="536"/>
      <c r="K127" s="536"/>
      <c r="L127" s="536"/>
      <c r="M127" s="536"/>
      <c r="N127" s="536"/>
      <c r="O127" s="536"/>
      <c r="P127" s="536"/>
      <c r="Q127" s="536"/>
      <c r="R127" s="536"/>
      <c r="S127" s="536"/>
      <c r="T127" s="536"/>
      <c r="U127" s="536"/>
      <c r="V127" s="536"/>
      <c r="W127" s="536"/>
      <c r="X127" s="536"/>
      <c r="Y127" s="536"/>
      <c r="Z127" s="536"/>
      <c r="AA127" s="536"/>
      <c r="AB127" s="536"/>
      <c r="AC127" s="536"/>
      <c r="AD127" s="536"/>
      <c r="AE127" s="536"/>
      <c r="AF127" s="536"/>
      <c r="AG127" s="536"/>
      <c r="AH127" s="536"/>
      <c r="AI127" s="536"/>
      <c r="AJ127" s="536"/>
      <c r="AK127" s="536"/>
      <c r="AL127" s="536"/>
      <c r="AM127" s="536"/>
      <c r="AN127" s="536"/>
      <c r="AO127" s="536"/>
      <c r="AP127" s="536"/>
      <c r="AQ127" s="536"/>
      <c r="AR127" s="536"/>
      <c r="AS127" s="536"/>
      <c r="AT127" s="536"/>
      <c r="AU127" s="536"/>
      <c r="AV127" s="536"/>
      <c r="AW127" s="536"/>
      <c r="AX127" s="536"/>
      <c r="AY127" s="536"/>
      <c r="AZ127" s="536"/>
      <c r="BA127" s="536"/>
      <c r="BB127" s="536"/>
      <c r="BC127" s="536"/>
      <c r="BD127" s="536"/>
      <c r="BE127" s="536"/>
      <c r="BF127" s="536"/>
      <c r="BG127" s="536"/>
      <c r="BH127" s="536"/>
      <c r="BI127" s="536"/>
      <c r="BJ127" s="536"/>
      <c r="BK127" s="536"/>
      <c r="BL127" s="536"/>
      <c r="BM127" s="536"/>
      <c r="BN127" s="536"/>
      <c r="BO127" s="536"/>
      <c r="BP127" s="536"/>
      <c r="BQ127" s="536"/>
      <c r="BR127" s="536"/>
      <c r="BS127" s="536"/>
      <c r="BT127" s="536"/>
      <c r="BU127" s="536"/>
      <c r="BV127" s="536"/>
      <c r="BW127" s="536"/>
      <c r="BX127" s="536"/>
      <c r="BY127" s="536"/>
      <c r="BZ127" s="536"/>
      <c r="CA127" s="536"/>
      <c r="CB127" s="536"/>
      <c r="CC127" s="536"/>
      <c r="CD127" s="536"/>
    </row>
    <row r="128" spans="1:82" x14ac:dyDescent="0.2">
      <c r="A128" s="536">
        <v>4</v>
      </c>
      <c r="B128" s="536">
        <v>2011</v>
      </c>
      <c r="C128" s="552">
        <v>40879</v>
      </c>
      <c r="D128" s="536" t="s">
        <v>325</v>
      </c>
      <c r="E128" s="540">
        <v>21.649994</v>
      </c>
      <c r="F128" s="535"/>
      <c r="G128" s="536"/>
      <c r="H128" s="536"/>
      <c r="I128" s="536"/>
      <c r="J128" s="536"/>
      <c r="K128" s="536"/>
      <c r="L128" s="536"/>
      <c r="M128" s="536"/>
      <c r="N128" s="536"/>
      <c r="O128" s="536"/>
      <c r="P128" s="536"/>
      <c r="Q128" s="536"/>
      <c r="R128" s="536"/>
      <c r="S128" s="536"/>
      <c r="T128" s="536"/>
      <c r="U128" s="536"/>
      <c r="V128" s="536"/>
      <c r="W128" s="536"/>
      <c r="X128" s="536"/>
      <c r="Y128" s="536"/>
      <c r="Z128" s="536"/>
      <c r="AA128" s="536"/>
      <c r="AB128" s="536"/>
      <c r="AC128" s="536"/>
      <c r="AD128" s="536"/>
      <c r="AE128" s="536"/>
      <c r="AF128" s="536"/>
      <c r="AG128" s="536"/>
      <c r="AH128" s="536"/>
      <c r="AI128" s="536"/>
      <c r="AJ128" s="536"/>
      <c r="AK128" s="536"/>
      <c r="AL128" s="536"/>
      <c r="AM128" s="536"/>
      <c r="AN128" s="536"/>
      <c r="AO128" s="536"/>
      <c r="AP128" s="536"/>
      <c r="AQ128" s="536"/>
      <c r="AR128" s="536"/>
      <c r="AS128" s="536"/>
      <c r="AT128" s="536"/>
      <c r="AU128" s="536"/>
      <c r="AV128" s="536"/>
      <c r="AW128" s="536"/>
      <c r="AX128" s="536"/>
      <c r="AY128" s="536"/>
      <c r="AZ128" s="536"/>
      <c r="BA128" s="536"/>
      <c r="BB128" s="536"/>
      <c r="BC128" s="536"/>
      <c r="BD128" s="536"/>
      <c r="BE128" s="536"/>
      <c r="BF128" s="536"/>
      <c r="BG128" s="536"/>
      <c r="BH128" s="536"/>
      <c r="BI128" s="536"/>
      <c r="BJ128" s="536"/>
      <c r="BK128" s="536"/>
      <c r="BL128" s="536"/>
      <c r="BM128" s="536"/>
      <c r="BN128" s="536"/>
      <c r="BO128" s="536"/>
      <c r="BP128" s="536"/>
      <c r="BQ128" s="536"/>
      <c r="BR128" s="536"/>
      <c r="BS128" s="536"/>
      <c r="BT128" s="536"/>
      <c r="BU128" s="536"/>
      <c r="BV128" s="536"/>
      <c r="BW128" s="536"/>
      <c r="BX128" s="536"/>
      <c r="BY128" s="536"/>
      <c r="BZ128" s="536"/>
      <c r="CA128" s="536"/>
      <c r="CB128" s="536"/>
      <c r="CC128" s="536"/>
      <c r="CD128" s="536"/>
    </row>
    <row r="129" spans="1:82" x14ac:dyDescent="0.2">
      <c r="A129" s="536">
        <v>4</v>
      </c>
      <c r="B129" s="536">
        <v>2011</v>
      </c>
      <c r="C129" s="552">
        <v>40886</v>
      </c>
      <c r="D129" s="536" t="s">
        <v>325</v>
      </c>
      <c r="E129" s="540">
        <v>21.319993</v>
      </c>
      <c r="F129" s="535"/>
      <c r="G129" s="536"/>
      <c r="H129" s="536"/>
      <c r="I129" s="536"/>
      <c r="J129" s="536"/>
      <c r="K129" s="536"/>
      <c r="L129" s="536"/>
      <c r="M129" s="536"/>
      <c r="N129" s="536"/>
      <c r="O129" s="536"/>
      <c r="P129" s="536"/>
      <c r="Q129" s="536"/>
      <c r="R129" s="536"/>
      <c r="S129" s="536"/>
      <c r="T129" s="536"/>
      <c r="U129" s="536"/>
      <c r="V129" s="536"/>
      <c r="W129" s="536"/>
      <c r="X129" s="536"/>
      <c r="Y129" s="536"/>
      <c r="Z129" s="536"/>
      <c r="AA129" s="536"/>
      <c r="AB129" s="536"/>
      <c r="AC129" s="536"/>
      <c r="AD129" s="536"/>
      <c r="AE129" s="536"/>
      <c r="AF129" s="536"/>
      <c r="AG129" s="536"/>
      <c r="AH129" s="536"/>
      <c r="AI129" s="536"/>
      <c r="AJ129" s="536"/>
      <c r="AK129" s="536"/>
      <c r="AL129" s="536"/>
      <c r="AM129" s="536"/>
      <c r="AN129" s="536"/>
      <c r="AO129" s="536"/>
      <c r="AP129" s="536"/>
      <c r="AQ129" s="536"/>
      <c r="AR129" s="536"/>
      <c r="AS129" s="536"/>
      <c r="AT129" s="536"/>
      <c r="AU129" s="536"/>
      <c r="AV129" s="536"/>
      <c r="AW129" s="536"/>
      <c r="AX129" s="536"/>
      <c r="AY129" s="536"/>
      <c r="AZ129" s="536"/>
      <c r="BA129" s="536"/>
      <c r="BB129" s="536"/>
      <c r="BC129" s="536"/>
      <c r="BD129" s="536"/>
      <c r="BE129" s="536"/>
      <c r="BF129" s="536"/>
      <c r="BG129" s="536"/>
      <c r="BH129" s="536"/>
      <c r="BI129" s="536"/>
      <c r="BJ129" s="536"/>
      <c r="BK129" s="536"/>
      <c r="BL129" s="536"/>
      <c r="BM129" s="536"/>
      <c r="BN129" s="536"/>
      <c r="BO129" s="536"/>
      <c r="BP129" s="536"/>
      <c r="BQ129" s="536"/>
      <c r="BR129" s="536"/>
      <c r="BS129" s="536"/>
      <c r="BT129" s="536"/>
      <c r="BU129" s="536"/>
      <c r="BV129" s="536"/>
      <c r="BW129" s="536"/>
      <c r="BX129" s="536"/>
      <c r="BY129" s="536"/>
      <c r="BZ129" s="536"/>
      <c r="CA129" s="536"/>
      <c r="CB129" s="536"/>
      <c r="CC129" s="536"/>
      <c r="CD129" s="536"/>
    </row>
    <row r="130" spans="1:82" x14ac:dyDescent="0.2">
      <c r="A130" s="536">
        <v>4</v>
      </c>
      <c r="B130" s="536">
        <v>2011</v>
      </c>
      <c r="C130" s="552">
        <v>40893</v>
      </c>
      <c r="D130" s="536" t="s">
        <v>325</v>
      </c>
      <c r="E130" s="540">
        <v>20.409988999999999</v>
      </c>
      <c r="F130" s="535"/>
      <c r="G130" s="536"/>
      <c r="H130" s="536"/>
      <c r="I130" s="536"/>
      <c r="J130" s="536"/>
      <c r="K130" s="536"/>
      <c r="L130" s="536"/>
      <c r="M130" s="536"/>
      <c r="N130" s="536"/>
      <c r="O130" s="536"/>
      <c r="P130" s="536"/>
      <c r="Q130" s="536"/>
      <c r="R130" s="536"/>
      <c r="S130" s="536"/>
      <c r="T130" s="536"/>
      <c r="U130" s="536"/>
      <c r="V130" s="536"/>
      <c r="W130" s="536"/>
      <c r="X130" s="536"/>
      <c r="Y130" s="536"/>
      <c r="Z130" s="536"/>
      <c r="AA130" s="536"/>
      <c r="AB130" s="536"/>
      <c r="AC130" s="536"/>
      <c r="AD130" s="536"/>
      <c r="AE130" s="536"/>
      <c r="AF130" s="536"/>
      <c r="AG130" s="536"/>
      <c r="AH130" s="536"/>
      <c r="AI130" s="536"/>
      <c r="AJ130" s="536"/>
      <c r="AK130" s="536"/>
      <c r="AL130" s="536"/>
      <c r="AM130" s="536"/>
      <c r="AN130" s="536"/>
      <c r="AO130" s="536"/>
      <c r="AP130" s="536"/>
      <c r="AQ130" s="536"/>
      <c r="AR130" s="536"/>
      <c r="AS130" s="536"/>
      <c r="AT130" s="536"/>
      <c r="AU130" s="536"/>
      <c r="AV130" s="536"/>
      <c r="AW130" s="536"/>
      <c r="AX130" s="536"/>
      <c r="AY130" s="536"/>
      <c r="AZ130" s="536"/>
      <c r="BA130" s="536"/>
      <c r="BB130" s="536"/>
      <c r="BC130" s="536"/>
      <c r="BD130" s="536"/>
      <c r="BE130" s="536"/>
      <c r="BF130" s="536"/>
      <c r="BG130" s="536"/>
      <c r="BH130" s="536"/>
      <c r="BI130" s="536"/>
      <c r="BJ130" s="536"/>
      <c r="BK130" s="536"/>
      <c r="BL130" s="536"/>
      <c r="BM130" s="536"/>
      <c r="BN130" s="536"/>
      <c r="BO130" s="536"/>
      <c r="BP130" s="536"/>
      <c r="BQ130" s="536"/>
      <c r="BR130" s="536"/>
      <c r="BS130" s="536"/>
      <c r="BT130" s="536"/>
      <c r="BU130" s="536"/>
      <c r="BV130" s="536"/>
      <c r="BW130" s="536"/>
      <c r="BX130" s="536"/>
      <c r="BY130" s="536"/>
      <c r="BZ130" s="536"/>
      <c r="CA130" s="536"/>
      <c r="CB130" s="536"/>
      <c r="CC130" s="536"/>
      <c r="CD130" s="536"/>
    </row>
    <row r="131" spans="1:82" x14ac:dyDescent="0.2">
      <c r="A131" s="536">
        <v>4</v>
      </c>
      <c r="B131" s="536">
        <v>2011</v>
      </c>
      <c r="C131" s="552">
        <v>40900</v>
      </c>
      <c r="D131" s="536" t="s">
        <v>325</v>
      </c>
      <c r="E131" s="540">
        <v>21.339997</v>
      </c>
      <c r="F131" s="535"/>
      <c r="G131" s="536"/>
      <c r="H131" s="536"/>
      <c r="I131" s="536"/>
      <c r="J131" s="536"/>
      <c r="K131" s="536"/>
      <c r="L131" s="536"/>
      <c r="M131" s="536"/>
      <c r="N131" s="536"/>
      <c r="O131" s="536"/>
      <c r="P131" s="536"/>
      <c r="Q131" s="536"/>
      <c r="R131" s="536"/>
      <c r="S131" s="536"/>
      <c r="T131" s="536"/>
      <c r="U131" s="536"/>
      <c r="V131" s="536"/>
      <c r="W131" s="536"/>
      <c r="X131" s="536"/>
      <c r="Y131" s="536"/>
      <c r="Z131" s="536"/>
      <c r="AA131" s="536"/>
      <c r="AB131" s="536"/>
      <c r="AC131" s="536"/>
      <c r="AD131" s="536"/>
      <c r="AE131" s="536"/>
      <c r="AF131" s="536"/>
      <c r="AG131" s="536"/>
      <c r="AH131" s="536"/>
      <c r="AI131" s="536"/>
      <c r="AJ131" s="536"/>
      <c r="AK131" s="536"/>
      <c r="AL131" s="536"/>
      <c r="AM131" s="536"/>
      <c r="AN131" s="536"/>
      <c r="AO131" s="536"/>
      <c r="AP131" s="536"/>
      <c r="AQ131" s="536"/>
      <c r="AR131" s="536"/>
      <c r="AS131" s="536"/>
      <c r="AT131" s="536"/>
      <c r="AU131" s="536"/>
      <c r="AV131" s="536"/>
      <c r="AW131" s="536"/>
      <c r="AX131" s="536"/>
      <c r="AY131" s="536"/>
      <c r="AZ131" s="536"/>
      <c r="BA131" s="536"/>
      <c r="BB131" s="536"/>
      <c r="BC131" s="536"/>
      <c r="BD131" s="536"/>
      <c r="BE131" s="536"/>
      <c r="BF131" s="536"/>
      <c r="BG131" s="536"/>
      <c r="BH131" s="536"/>
      <c r="BI131" s="536"/>
      <c r="BJ131" s="536"/>
      <c r="BK131" s="536"/>
      <c r="BL131" s="536"/>
      <c r="BM131" s="536"/>
      <c r="BN131" s="536"/>
      <c r="BO131" s="536"/>
      <c r="BP131" s="536"/>
      <c r="BQ131" s="536"/>
      <c r="BR131" s="536"/>
      <c r="BS131" s="536"/>
      <c r="BT131" s="536"/>
      <c r="BU131" s="536"/>
      <c r="BV131" s="536"/>
      <c r="BW131" s="536"/>
      <c r="BX131" s="536"/>
      <c r="BY131" s="536"/>
      <c r="BZ131" s="536"/>
      <c r="CA131" s="536"/>
      <c r="CB131" s="536"/>
      <c r="CC131" s="536"/>
      <c r="CD131" s="536"/>
    </row>
    <row r="132" spans="1:82" x14ac:dyDescent="0.2">
      <c r="A132" s="536">
        <v>4</v>
      </c>
      <c r="B132" s="536">
        <v>2011</v>
      </c>
      <c r="C132" s="552">
        <v>40907</v>
      </c>
      <c r="D132" s="536" t="s">
        <v>325</v>
      </c>
      <c r="E132" s="540">
        <v>21.059998</v>
      </c>
      <c r="F132" s="535"/>
      <c r="G132" s="536"/>
      <c r="H132" s="536"/>
      <c r="I132" s="536"/>
      <c r="J132" s="536"/>
      <c r="K132" s="536"/>
      <c r="L132" s="536"/>
      <c r="M132" s="536"/>
      <c r="N132" s="536"/>
      <c r="O132" s="536"/>
      <c r="P132" s="536"/>
      <c r="Q132" s="536"/>
      <c r="R132" s="536"/>
      <c r="S132" s="536"/>
      <c r="T132" s="536"/>
      <c r="U132" s="536"/>
      <c r="V132" s="536"/>
      <c r="W132" s="536"/>
      <c r="X132" s="536"/>
      <c r="Y132" s="536"/>
      <c r="Z132" s="536"/>
      <c r="AA132" s="536"/>
      <c r="AB132" s="536"/>
      <c r="AC132" s="536"/>
      <c r="AD132" s="536"/>
      <c r="AE132" s="536"/>
      <c r="AF132" s="536"/>
      <c r="AG132" s="536"/>
      <c r="AH132" s="536"/>
      <c r="AI132" s="536"/>
      <c r="AJ132" s="536"/>
      <c r="AK132" s="536"/>
      <c r="AL132" s="536"/>
      <c r="AM132" s="536"/>
      <c r="AN132" s="536"/>
      <c r="AO132" s="536"/>
      <c r="AP132" s="536"/>
      <c r="AQ132" s="536"/>
      <c r="AR132" s="536"/>
      <c r="AS132" s="536"/>
      <c r="AT132" s="536"/>
      <c r="AU132" s="536"/>
      <c r="AV132" s="536"/>
      <c r="AW132" s="536"/>
      <c r="AX132" s="536"/>
      <c r="AY132" s="536"/>
      <c r="AZ132" s="536"/>
      <c r="BA132" s="536"/>
      <c r="BB132" s="536"/>
      <c r="BC132" s="536"/>
      <c r="BD132" s="536"/>
      <c r="BE132" s="536"/>
      <c r="BF132" s="536"/>
      <c r="BG132" s="536"/>
      <c r="BH132" s="536"/>
      <c r="BI132" s="536"/>
      <c r="BJ132" s="536"/>
      <c r="BK132" s="536"/>
      <c r="BL132" s="536"/>
      <c r="BM132" s="536"/>
      <c r="BN132" s="536"/>
      <c r="BO132" s="536"/>
      <c r="BP132" s="536"/>
      <c r="BQ132" s="536"/>
      <c r="BR132" s="536"/>
      <c r="BS132" s="536"/>
      <c r="BT132" s="536"/>
      <c r="BU132" s="536"/>
      <c r="BV132" s="536"/>
      <c r="BW132" s="536"/>
      <c r="BX132" s="536"/>
      <c r="BY132" s="536"/>
      <c r="BZ132" s="536"/>
      <c r="CA132" s="536"/>
      <c r="CB132" s="536"/>
      <c r="CC132" s="536"/>
      <c r="CD132" s="536"/>
    </row>
    <row r="133" spans="1:82" x14ac:dyDescent="0.2">
      <c r="A133" s="536">
        <v>1</v>
      </c>
      <c r="B133" s="536">
        <v>2012</v>
      </c>
      <c r="C133" s="552">
        <v>40914</v>
      </c>
      <c r="D133" s="631" t="s">
        <v>285</v>
      </c>
      <c r="E133" s="540">
        <v>22.689988</v>
      </c>
      <c r="F133" s="535"/>
      <c r="G133" s="536"/>
      <c r="H133" s="536"/>
      <c r="I133" s="536"/>
      <c r="J133" s="536"/>
      <c r="K133" s="536"/>
      <c r="L133" s="536"/>
      <c r="M133" s="536"/>
      <c r="N133" s="536"/>
      <c r="O133" s="536"/>
      <c r="P133" s="536"/>
      <c r="Q133" s="536"/>
      <c r="R133" s="536"/>
      <c r="S133" s="536"/>
      <c r="T133" s="536"/>
      <c r="U133" s="536"/>
      <c r="V133" s="536"/>
      <c r="W133" s="536"/>
      <c r="X133" s="536"/>
      <c r="Y133" s="536"/>
      <c r="Z133" s="536"/>
      <c r="AA133" s="536"/>
      <c r="AB133" s="536"/>
      <c r="AC133" s="536"/>
      <c r="AD133" s="536"/>
      <c r="AE133" s="536"/>
      <c r="AF133" s="536"/>
      <c r="AG133" s="536"/>
      <c r="AH133" s="536"/>
      <c r="AI133" s="536"/>
      <c r="AJ133" s="536"/>
      <c r="AK133" s="536"/>
      <c r="AL133" s="536"/>
      <c r="AM133" s="536"/>
      <c r="AN133" s="536"/>
      <c r="AO133" s="536"/>
      <c r="AP133" s="536"/>
      <c r="AQ133" s="536"/>
      <c r="AR133" s="536"/>
      <c r="AS133" s="536"/>
      <c r="AT133" s="536"/>
      <c r="AU133" s="536"/>
      <c r="AV133" s="536"/>
      <c r="AW133" s="536"/>
      <c r="AX133" s="536"/>
      <c r="AY133" s="536"/>
      <c r="AZ133" s="536"/>
      <c r="BA133" s="536"/>
      <c r="BB133" s="536"/>
      <c r="BC133" s="536"/>
      <c r="BD133" s="536"/>
      <c r="BE133" s="536"/>
      <c r="BF133" s="536"/>
      <c r="BG133" s="536"/>
      <c r="BH133" s="536"/>
      <c r="BI133" s="536"/>
      <c r="BJ133" s="536"/>
      <c r="BK133" s="536"/>
      <c r="BL133" s="536"/>
      <c r="BM133" s="536"/>
      <c r="BN133" s="536"/>
      <c r="BO133" s="536"/>
      <c r="BP133" s="536"/>
      <c r="BQ133" s="536"/>
      <c r="BR133" s="536"/>
      <c r="BS133" s="536"/>
      <c r="BT133" s="536"/>
      <c r="BU133" s="536"/>
      <c r="BV133" s="536"/>
      <c r="BW133" s="536"/>
      <c r="BX133" s="536"/>
      <c r="BY133" s="536"/>
      <c r="BZ133" s="536"/>
      <c r="CA133" s="536"/>
      <c r="CB133" s="536"/>
      <c r="CC133" s="536"/>
      <c r="CD133" s="536"/>
    </row>
    <row r="134" spans="1:82" x14ac:dyDescent="0.2">
      <c r="A134" s="536">
        <v>1</v>
      </c>
      <c r="B134" s="536">
        <v>2012</v>
      </c>
      <c r="C134" s="552">
        <v>40921</v>
      </c>
      <c r="D134" s="631" t="s">
        <v>285</v>
      </c>
      <c r="E134" s="540">
        <v>22.939988</v>
      </c>
      <c r="F134" s="535"/>
      <c r="G134" s="536"/>
      <c r="H134" s="536"/>
      <c r="I134" s="536"/>
      <c r="J134" s="536"/>
      <c r="K134" s="536"/>
      <c r="L134" s="536"/>
      <c r="M134" s="536"/>
      <c r="N134" s="536"/>
      <c r="O134" s="536"/>
      <c r="P134" s="536"/>
      <c r="Q134" s="536"/>
      <c r="R134" s="536"/>
      <c r="S134" s="536"/>
      <c r="T134" s="536"/>
      <c r="U134" s="536"/>
      <c r="V134" s="536"/>
      <c r="W134" s="536"/>
      <c r="X134" s="536"/>
      <c r="Y134" s="536"/>
      <c r="Z134" s="536"/>
      <c r="AA134" s="536"/>
      <c r="AB134" s="536"/>
      <c r="AC134" s="536"/>
      <c r="AD134" s="536"/>
      <c r="AE134" s="536"/>
      <c r="AF134" s="536"/>
      <c r="AG134" s="536"/>
      <c r="AH134" s="536"/>
      <c r="AI134" s="536"/>
      <c r="AJ134" s="536"/>
      <c r="AK134" s="536"/>
      <c r="AL134" s="536"/>
      <c r="AM134" s="536"/>
      <c r="AN134" s="536"/>
      <c r="AO134" s="536"/>
      <c r="AP134" s="536"/>
      <c r="AQ134" s="536"/>
      <c r="AR134" s="536"/>
      <c r="AS134" s="536"/>
      <c r="AT134" s="536"/>
      <c r="AU134" s="536"/>
      <c r="AV134" s="536"/>
      <c r="AW134" s="536"/>
      <c r="AX134" s="536"/>
      <c r="AY134" s="536"/>
      <c r="AZ134" s="536"/>
      <c r="BA134" s="536"/>
      <c r="BB134" s="536"/>
      <c r="BC134" s="536"/>
      <c r="BD134" s="536"/>
      <c r="BE134" s="536"/>
      <c r="BF134" s="536"/>
      <c r="BG134" s="536"/>
      <c r="BH134" s="536"/>
      <c r="BI134" s="536"/>
      <c r="BJ134" s="536"/>
      <c r="BK134" s="536"/>
      <c r="BL134" s="536"/>
      <c r="BM134" s="536"/>
      <c r="BN134" s="536"/>
      <c r="BO134" s="536"/>
      <c r="BP134" s="536"/>
      <c r="BQ134" s="536"/>
      <c r="BR134" s="536"/>
      <c r="BS134" s="536"/>
      <c r="BT134" s="536"/>
      <c r="BU134" s="536"/>
      <c r="BV134" s="536"/>
      <c r="BW134" s="536"/>
      <c r="BX134" s="536"/>
      <c r="BY134" s="536"/>
      <c r="BZ134" s="536"/>
      <c r="CA134" s="536"/>
      <c r="CB134" s="536"/>
      <c r="CC134" s="536"/>
      <c r="CD134" s="536"/>
    </row>
    <row r="135" spans="1:82" x14ac:dyDescent="0.2">
      <c r="A135" s="536">
        <v>1</v>
      </c>
      <c r="B135" s="536">
        <v>2012</v>
      </c>
      <c r="C135" s="552">
        <v>40928</v>
      </c>
      <c r="D135" s="631" t="s">
        <v>285</v>
      </c>
      <c r="E135" s="540">
        <v>22.819993</v>
      </c>
      <c r="F135" s="535"/>
      <c r="G135" s="536"/>
      <c r="H135" s="536"/>
      <c r="I135" s="536"/>
      <c r="J135" s="536"/>
      <c r="K135" s="536"/>
      <c r="L135" s="536"/>
      <c r="M135" s="536"/>
      <c r="N135" s="536"/>
      <c r="O135" s="536"/>
      <c r="P135" s="536"/>
      <c r="Q135" s="536"/>
      <c r="R135" s="536"/>
      <c r="S135" s="536"/>
      <c r="T135" s="536"/>
      <c r="U135" s="536"/>
      <c r="V135" s="536"/>
      <c r="W135" s="536"/>
      <c r="X135" s="536"/>
      <c r="Y135" s="536"/>
      <c r="Z135" s="536"/>
      <c r="AA135" s="536"/>
      <c r="AB135" s="536"/>
      <c r="AC135" s="536"/>
      <c r="AD135" s="536"/>
      <c r="AE135" s="536"/>
      <c r="AF135" s="536"/>
      <c r="AG135" s="536"/>
      <c r="AH135" s="536"/>
      <c r="AI135" s="536"/>
      <c r="AJ135" s="536"/>
      <c r="AK135" s="536"/>
      <c r="AL135" s="536"/>
      <c r="AM135" s="536"/>
      <c r="AN135" s="536"/>
      <c r="AO135" s="536"/>
      <c r="AP135" s="536"/>
      <c r="AQ135" s="536"/>
      <c r="AR135" s="536"/>
      <c r="AS135" s="536"/>
      <c r="AT135" s="536"/>
      <c r="AU135" s="536"/>
      <c r="AV135" s="536"/>
      <c r="AW135" s="536"/>
      <c r="AX135" s="536"/>
      <c r="AY135" s="536"/>
      <c r="AZ135" s="536"/>
      <c r="BA135" s="536"/>
      <c r="BB135" s="536"/>
      <c r="BC135" s="536"/>
      <c r="BD135" s="536"/>
      <c r="BE135" s="536"/>
      <c r="BF135" s="536"/>
      <c r="BG135" s="536"/>
      <c r="BH135" s="536"/>
      <c r="BI135" s="536"/>
      <c r="BJ135" s="536"/>
      <c r="BK135" s="536"/>
      <c r="BL135" s="536"/>
      <c r="BM135" s="536"/>
      <c r="BN135" s="536"/>
      <c r="BO135" s="536"/>
      <c r="BP135" s="536"/>
      <c r="BQ135" s="536"/>
      <c r="BR135" s="536"/>
      <c r="BS135" s="536"/>
      <c r="BT135" s="536"/>
      <c r="BU135" s="536"/>
      <c r="BV135" s="536"/>
      <c r="BW135" s="536"/>
      <c r="BX135" s="536"/>
      <c r="BY135" s="536"/>
      <c r="BZ135" s="536"/>
      <c r="CA135" s="536"/>
      <c r="CB135" s="536"/>
      <c r="CC135" s="536"/>
      <c r="CD135" s="536"/>
    </row>
    <row r="136" spans="1:82" x14ac:dyDescent="0.2">
      <c r="A136" s="536">
        <v>1</v>
      </c>
      <c r="B136" s="536">
        <v>2012</v>
      </c>
      <c r="C136" s="552">
        <v>40935</v>
      </c>
      <c r="D136" s="631" t="s">
        <v>285</v>
      </c>
      <c r="E136" s="540">
        <v>22.759995</v>
      </c>
      <c r="F136" s="535"/>
      <c r="G136" s="536"/>
      <c r="H136" s="536"/>
      <c r="I136" s="536"/>
      <c r="J136" s="536"/>
      <c r="K136" s="536"/>
      <c r="L136" s="536"/>
      <c r="M136" s="536"/>
      <c r="N136" s="536"/>
      <c r="O136" s="536"/>
      <c r="P136" s="536"/>
      <c r="Q136" s="536"/>
      <c r="R136" s="536"/>
      <c r="S136" s="536"/>
      <c r="T136" s="536"/>
      <c r="U136" s="536"/>
      <c r="V136" s="536"/>
      <c r="W136" s="536"/>
      <c r="X136" s="536"/>
      <c r="Y136" s="536"/>
      <c r="Z136" s="536"/>
      <c r="AA136" s="536"/>
      <c r="AB136" s="536"/>
      <c r="AC136" s="536"/>
      <c r="AD136" s="536"/>
      <c r="AE136" s="536"/>
      <c r="AF136" s="536"/>
      <c r="AG136" s="536"/>
      <c r="AH136" s="536"/>
      <c r="AI136" s="536"/>
      <c r="AJ136" s="536"/>
      <c r="AK136" s="536"/>
      <c r="AL136" s="536"/>
      <c r="AM136" s="536"/>
      <c r="AN136" s="536"/>
      <c r="AO136" s="536"/>
      <c r="AP136" s="536"/>
      <c r="AQ136" s="536"/>
      <c r="AR136" s="536"/>
      <c r="AS136" s="536"/>
      <c r="AT136" s="536"/>
      <c r="AU136" s="536"/>
      <c r="AV136" s="536"/>
      <c r="AW136" s="536"/>
      <c r="AX136" s="536"/>
      <c r="AY136" s="536"/>
      <c r="AZ136" s="536"/>
      <c r="BA136" s="536"/>
      <c r="BB136" s="536"/>
      <c r="BC136" s="536"/>
      <c r="BD136" s="536"/>
      <c r="BE136" s="536"/>
      <c r="BF136" s="536"/>
      <c r="BG136" s="536"/>
      <c r="BH136" s="536"/>
      <c r="BI136" s="536"/>
      <c r="BJ136" s="536"/>
      <c r="BK136" s="536"/>
      <c r="BL136" s="536"/>
      <c r="BM136" s="536"/>
      <c r="BN136" s="536"/>
      <c r="BO136" s="536"/>
      <c r="BP136" s="536"/>
      <c r="BQ136" s="536"/>
      <c r="BR136" s="536"/>
      <c r="BS136" s="536"/>
      <c r="BT136" s="536"/>
      <c r="BU136" s="536"/>
      <c r="BV136" s="536"/>
      <c r="BW136" s="536"/>
      <c r="BX136" s="536"/>
      <c r="BY136" s="536"/>
      <c r="BZ136" s="536"/>
      <c r="CA136" s="536"/>
      <c r="CB136" s="536"/>
      <c r="CC136" s="536"/>
      <c r="CD136" s="536"/>
    </row>
    <row r="137" spans="1:82" x14ac:dyDescent="0.2">
      <c r="A137" s="536">
        <v>1</v>
      </c>
      <c r="B137" s="536">
        <v>2012</v>
      </c>
      <c r="C137" s="552">
        <v>40942</v>
      </c>
      <c r="D137" s="631" t="s">
        <v>285</v>
      </c>
      <c r="E137" s="540">
        <v>23.169999000000001</v>
      </c>
      <c r="F137" s="535"/>
      <c r="G137" s="536"/>
      <c r="H137" s="536"/>
      <c r="I137" s="536"/>
      <c r="J137" s="536"/>
      <c r="K137" s="536"/>
      <c r="L137" s="536"/>
      <c r="M137" s="536"/>
      <c r="N137" s="536"/>
      <c r="O137" s="536"/>
      <c r="P137" s="536"/>
      <c r="Q137" s="536"/>
      <c r="R137" s="536"/>
      <c r="S137" s="536"/>
      <c r="T137" s="536"/>
      <c r="U137" s="536"/>
      <c r="V137" s="536"/>
      <c r="W137" s="536"/>
      <c r="X137" s="536"/>
      <c r="Y137" s="536"/>
      <c r="Z137" s="536"/>
      <c r="AA137" s="536"/>
      <c r="AB137" s="536"/>
      <c r="AC137" s="536"/>
      <c r="AD137" s="536"/>
      <c r="AE137" s="536"/>
      <c r="AF137" s="536"/>
      <c r="AG137" s="536"/>
      <c r="AH137" s="536"/>
      <c r="AI137" s="536"/>
      <c r="AJ137" s="536"/>
      <c r="AK137" s="536"/>
      <c r="AL137" s="536"/>
      <c r="AM137" s="536"/>
      <c r="AN137" s="536"/>
      <c r="AO137" s="536"/>
      <c r="AP137" s="536"/>
      <c r="AQ137" s="536"/>
      <c r="AR137" s="536"/>
      <c r="AS137" s="536"/>
      <c r="AT137" s="536"/>
      <c r="AU137" s="536"/>
      <c r="AV137" s="536"/>
      <c r="AW137" s="536"/>
      <c r="AX137" s="536"/>
      <c r="AY137" s="536"/>
      <c r="AZ137" s="536"/>
      <c r="BA137" s="536"/>
      <c r="BB137" s="536"/>
      <c r="BC137" s="536"/>
      <c r="BD137" s="536"/>
      <c r="BE137" s="536"/>
      <c r="BF137" s="536"/>
      <c r="BG137" s="536"/>
      <c r="BH137" s="536"/>
      <c r="BI137" s="536"/>
      <c r="BJ137" s="536"/>
      <c r="BK137" s="536"/>
      <c r="BL137" s="536"/>
      <c r="BM137" s="536"/>
      <c r="BN137" s="536"/>
      <c r="BO137" s="536"/>
      <c r="BP137" s="536"/>
      <c r="BQ137" s="536"/>
      <c r="BR137" s="536"/>
      <c r="BS137" s="536"/>
      <c r="BT137" s="536"/>
      <c r="BU137" s="536"/>
      <c r="BV137" s="536"/>
      <c r="BW137" s="536"/>
      <c r="BX137" s="536"/>
      <c r="BY137" s="536"/>
      <c r="BZ137" s="536"/>
      <c r="CA137" s="536"/>
      <c r="CB137" s="536"/>
      <c r="CC137" s="536"/>
      <c r="CD137" s="536"/>
    </row>
    <row r="138" spans="1:82" x14ac:dyDescent="0.2">
      <c r="A138" s="536">
        <v>1</v>
      </c>
      <c r="B138" s="536">
        <v>2012</v>
      </c>
      <c r="C138" s="552">
        <v>40949</v>
      </c>
      <c r="D138" s="631" t="s">
        <v>285</v>
      </c>
      <c r="E138" s="540">
        <v>22.049987999999999</v>
      </c>
      <c r="F138" s="535"/>
      <c r="G138" s="536"/>
      <c r="H138" s="536"/>
      <c r="I138" s="536"/>
      <c r="J138" s="536"/>
      <c r="K138" s="536"/>
      <c r="L138" s="536"/>
      <c r="M138" s="536"/>
      <c r="N138" s="536"/>
      <c r="O138" s="536"/>
      <c r="P138" s="536"/>
      <c r="Q138" s="536"/>
      <c r="R138" s="536"/>
      <c r="S138" s="536"/>
      <c r="T138" s="536"/>
      <c r="U138" s="536"/>
      <c r="V138" s="536"/>
      <c r="W138" s="536"/>
      <c r="X138" s="536"/>
      <c r="Y138" s="536"/>
      <c r="Z138" s="536"/>
      <c r="AA138" s="536"/>
      <c r="AB138" s="536"/>
      <c r="AC138" s="536"/>
      <c r="AD138" s="536"/>
      <c r="AE138" s="536"/>
      <c r="AF138" s="536"/>
      <c r="AG138" s="536"/>
      <c r="AH138" s="536"/>
      <c r="AI138" s="536"/>
      <c r="AJ138" s="536"/>
      <c r="AK138" s="536"/>
      <c r="AL138" s="536"/>
      <c r="AM138" s="536"/>
      <c r="AN138" s="536"/>
      <c r="AO138" s="536"/>
      <c r="AP138" s="536"/>
      <c r="AQ138" s="536"/>
      <c r="AR138" s="536"/>
      <c r="AS138" s="536"/>
      <c r="AT138" s="536"/>
      <c r="AU138" s="536"/>
      <c r="AV138" s="536"/>
      <c r="AW138" s="536"/>
      <c r="AX138" s="536"/>
      <c r="AY138" s="536"/>
      <c r="AZ138" s="536"/>
      <c r="BA138" s="536"/>
      <c r="BB138" s="536"/>
      <c r="BC138" s="536"/>
      <c r="BD138" s="536"/>
      <c r="BE138" s="536"/>
      <c r="BF138" s="536"/>
      <c r="BG138" s="536"/>
      <c r="BH138" s="536"/>
      <c r="BI138" s="536"/>
      <c r="BJ138" s="536"/>
      <c r="BK138" s="536"/>
      <c r="BL138" s="536"/>
      <c r="BM138" s="536"/>
      <c r="BN138" s="536"/>
      <c r="BO138" s="536"/>
      <c r="BP138" s="536"/>
      <c r="BQ138" s="536"/>
      <c r="BR138" s="536"/>
      <c r="BS138" s="536"/>
      <c r="BT138" s="536"/>
      <c r="BU138" s="536"/>
      <c r="BV138" s="536"/>
      <c r="BW138" s="536"/>
      <c r="BX138" s="536"/>
      <c r="BY138" s="536"/>
      <c r="BZ138" s="536"/>
      <c r="CA138" s="536"/>
      <c r="CB138" s="536"/>
      <c r="CC138" s="536"/>
      <c r="CD138" s="536"/>
    </row>
    <row r="139" spans="1:82" x14ac:dyDescent="0.2">
      <c r="A139" s="536">
        <v>1</v>
      </c>
      <c r="B139" s="536">
        <v>2012</v>
      </c>
      <c r="C139" s="552">
        <v>40956</v>
      </c>
      <c r="D139" s="631" t="s">
        <v>285</v>
      </c>
      <c r="E139" s="540">
        <v>21.589997</v>
      </c>
      <c r="F139" s="535"/>
      <c r="G139" s="536"/>
      <c r="H139" s="536"/>
      <c r="I139" s="536"/>
      <c r="J139" s="536"/>
      <c r="K139" s="536"/>
      <c r="L139" s="536"/>
      <c r="M139" s="536"/>
      <c r="N139" s="536"/>
      <c r="O139" s="536"/>
      <c r="P139" s="536"/>
      <c r="Q139" s="536"/>
      <c r="R139" s="536"/>
      <c r="S139" s="536"/>
      <c r="T139" s="536"/>
      <c r="U139" s="536"/>
      <c r="V139" s="536"/>
      <c r="W139" s="536"/>
      <c r="X139" s="536"/>
      <c r="Y139" s="536"/>
      <c r="Z139" s="536"/>
      <c r="AA139" s="536"/>
      <c r="AB139" s="536"/>
      <c r="AC139" s="536"/>
      <c r="AD139" s="536"/>
      <c r="AE139" s="536"/>
      <c r="AF139" s="536"/>
      <c r="AG139" s="536"/>
      <c r="AH139" s="536"/>
      <c r="AI139" s="536"/>
      <c r="AJ139" s="536"/>
      <c r="AK139" s="536"/>
      <c r="AL139" s="536"/>
      <c r="AM139" s="536"/>
      <c r="AN139" s="536"/>
      <c r="AO139" s="536"/>
      <c r="AP139" s="536"/>
      <c r="AQ139" s="536"/>
      <c r="AR139" s="536"/>
      <c r="AS139" s="536"/>
      <c r="AT139" s="536"/>
      <c r="AU139" s="536"/>
      <c r="AV139" s="536"/>
      <c r="AW139" s="536"/>
      <c r="AX139" s="536"/>
      <c r="AY139" s="536"/>
      <c r="AZ139" s="536"/>
      <c r="BA139" s="536"/>
      <c r="BB139" s="536"/>
      <c r="BC139" s="536"/>
      <c r="BD139" s="536"/>
      <c r="BE139" s="536"/>
      <c r="BF139" s="536"/>
      <c r="BG139" s="536"/>
      <c r="BH139" s="536"/>
      <c r="BI139" s="536"/>
      <c r="BJ139" s="536"/>
      <c r="BK139" s="536"/>
      <c r="BL139" s="536"/>
      <c r="BM139" s="536"/>
      <c r="BN139" s="536"/>
      <c r="BO139" s="536"/>
      <c r="BP139" s="536"/>
      <c r="BQ139" s="536"/>
      <c r="BR139" s="536"/>
      <c r="BS139" s="536"/>
      <c r="BT139" s="536"/>
      <c r="BU139" s="536"/>
      <c r="BV139" s="536"/>
      <c r="BW139" s="536"/>
      <c r="BX139" s="536"/>
      <c r="BY139" s="536"/>
      <c r="BZ139" s="536"/>
      <c r="CA139" s="536"/>
      <c r="CB139" s="536"/>
      <c r="CC139" s="536"/>
      <c r="CD139" s="536"/>
    </row>
    <row r="140" spans="1:82" x14ac:dyDescent="0.2">
      <c r="A140" s="536">
        <v>1</v>
      </c>
      <c r="B140" s="536">
        <v>2012</v>
      </c>
      <c r="C140" s="552">
        <v>40963</v>
      </c>
      <c r="D140" s="631" t="s">
        <v>285</v>
      </c>
      <c r="E140" s="540">
        <v>21.659988999999999</v>
      </c>
      <c r="F140" s="535"/>
      <c r="G140" s="536"/>
      <c r="H140" s="536"/>
      <c r="I140" s="536"/>
      <c r="J140" s="536"/>
      <c r="K140" s="536"/>
      <c r="L140" s="536"/>
      <c r="M140" s="536"/>
      <c r="N140" s="536"/>
      <c r="O140" s="536"/>
      <c r="P140" s="536"/>
      <c r="Q140" s="536"/>
      <c r="R140" s="536"/>
      <c r="S140" s="536"/>
      <c r="T140" s="536"/>
      <c r="U140" s="536"/>
      <c r="V140" s="536"/>
      <c r="W140" s="536"/>
      <c r="X140" s="536"/>
      <c r="Y140" s="536"/>
      <c r="Z140" s="536"/>
      <c r="AA140" s="536"/>
      <c r="AB140" s="536"/>
      <c r="AC140" s="536"/>
      <c r="AD140" s="536"/>
      <c r="AE140" s="536"/>
      <c r="AF140" s="536"/>
      <c r="AG140" s="536"/>
      <c r="AH140" s="536"/>
      <c r="AI140" s="536"/>
      <c r="AJ140" s="536"/>
      <c r="AK140" s="536"/>
      <c r="AL140" s="536"/>
      <c r="AM140" s="536"/>
      <c r="AN140" s="536"/>
      <c r="AO140" s="536"/>
      <c r="AP140" s="536"/>
      <c r="AQ140" s="536"/>
      <c r="AR140" s="536"/>
      <c r="AS140" s="536"/>
      <c r="AT140" s="536"/>
      <c r="AU140" s="536"/>
      <c r="AV140" s="536"/>
      <c r="AW140" s="536"/>
      <c r="AX140" s="536"/>
      <c r="AY140" s="536"/>
      <c r="AZ140" s="536"/>
      <c r="BA140" s="536"/>
      <c r="BB140" s="536"/>
      <c r="BC140" s="536"/>
      <c r="BD140" s="536"/>
      <c r="BE140" s="536"/>
      <c r="BF140" s="536"/>
      <c r="BG140" s="536"/>
      <c r="BH140" s="536"/>
      <c r="BI140" s="536"/>
      <c r="BJ140" s="536"/>
      <c r="BK140" s="536"/>
      <c r="BL140" s="536"/>
      <c r="BM140" s="536"/>
      <c r="BN140" s="536"/>
      <c r="BO140" s="536"/>
      <c r="BP140" s="536"/>
      <c r="BQ140" s="536"/>
      <c r="BR140" s="536"/>
      <c r="BS140" s="536"/>
      <c r="BT140" s="536"/>
      <c r="BU140" s="536"/>
      <c r="BV140" s="536"/>
      <c r="BW140" s="536"/>
      <c r="BX140" s="536"/>
      <c r="BY140" s="536"/>
      <c r="BZ140" s="536"/>
      <c r="CA140" s="536"/>
      <c r="CB140" s="536"/>
      <c r="CC140" s="536"/>
      <c r="CD140" s="536"/>
    </row>
    <row r="141" spans="1:82" x14ac:dyDescent="0.2">
      <c r="A141" s="536">
        <v>1</v>
      </c>
      <c r="B141" s="536">
        <v>2012</v>
      </c>
      <c r="C141" s="552">
        <v>40970</v>
      </c>
      <c r="D141" s="631" t="s">
        <v>285</v>
      </c>
      <c r="E141" s="540">
        <v>20.759995</v>
      </c>
      <c r="F141" s="535"/>
      <c r="G141" s="536"/>
      <c r="H141" s="536"/>
      <c r="I141" s="536"/>
      <c r="J141" s="536"/>
      <c r="K141" s="536"/>
      <c r="L141" s="536"/>
      <c r="M141" s="536"/>
      <c r="N141" s="536"/>
      <c r="O141" s="536"/>
      <c r="P141" s="536"/>
      <c r="Q141" s="536"/>
      <c r="R141" s="536"/>
      <c r="S141" s="536"/>
      <c r="T141" s="536"/>
      <c r="U141" s="536"/>
      <c r="V141" s="536"/>
      <c r="W141" s="536"/>
      <c r="X141" s="536"/>
      <c r="Y141" s="536"/>
      <c r="Z141" s="536"/>
      <c r="AA141" s="536"/>
      <c r="AB141" s="536"/>
      <c r="AC141" s="536"/>
      <c r="AD141" s="536"/>
      <c r="AE141" s="536"/>
      <c r="AF141" s="536"/>
      <c r="AG141" s="536"/>
      <c r="AH141" s="536"/>
      <c r="AI141" s="536"/>
      <c r="AJ141" s="536"/>
      <c r="AK141" s="536"/>
      <c r="AL141" s="536"/>
      <c r="AM141" s="536"/>
      <c r="AN141" s="536"/>
      <c r="AO141" s="536"/>
      <c r="AP141" s="536"/>
      <c r="AQ141" s="536"/>
      <c r="AR141" s="536"/>
      <c r="AS141" s="536"/>
      <c r="AT141" s="536"/>
      <c r="AU141" s="536"/>
      <c r="AV141" s="536"/>
      <c r="AW141" s="536"/>
      <c r="AX141" s="536"/>
      <c r="AY141" s="536"/>
      <c r="AZ141" s="536"/>
      <c r="BA141" s="536"/>
      <c r="BB141" s="536"/>
      <c r="BC141" s="536"/>
      <c r="BD141" s="536"/>
      <c r="BE141" s="536"/>
      <c r="BF141" s="536"/>
      <c r="BG141" s="536"/>
      <c r="BH141" s="536"/>
      <c r="BI141" s="536"/>
      <c r="BJ141" s="536"/>
      <c r="BK141" s="536"/>
      <c r="BL141" s="536"/>
      <c r="BM141" s="536"/>
      <c r="BN141" s="536"/>
      <c r="BO141" s="536"/>
      <c r="BP141" s="536"/>
      <c r="BQ141" s="536"/>
      <c r="BR141" s="536"/>
      <c r="BS141" s="536"/>
      <c r="BT141" s="536"/>
      <c r="BU141" s="536"/>
      <c r="BV141" s="536"/>
      <c r="BW141" s="536"/>
      <c r="BX141" s="536"/>
      <c r="BY141" s="536"/>
      <c r="BZ141" s="536"/>
      <c r="CA141" s="536"/>
      <c r="CB141" s="536"/>
      <c r="CC141" s="536"/>
      <c r="CD141" s="536"/>
    </row>
    <row r="142" spans="1:82" x14ac:dyDescent="0.2">
      <c r="A142" s="536">
        <v>1</v>
      </c>
      <c r="B142" s="536">
        <v>2012</v>
      </c>
      <c r="C142" s="552">
        <v>40977</v>
      </c>
      <c r="D142" s="631" t="s">
        <v>285</v>
      </c>
      <c r="E142" s="540">
        <v>20.899994</v>
      </c>
      <c r="F142" s="535"/>
      <c r="G142" s="536"/>
      <c r="H142" s="536"/>
      <c r="I142" s="536"/>
      <c r="J142" s="536"/>
      <c r="K142" s="536"/>
      <c r="L142" s="536"/>
      <c r="M142" s="536"/>
      <c r="N142" s="536"/>
      <c r="O142" s="536"/>
      <c r="P142" s="536"/>
      <c r="Q142" s="536"/>
      <c r="R142" s="536"/>
      <c r="S142" s="536"/>
      <c r="T142" s="536"/>
      <c r="U142" s="536"/>
      <c r="V142" s="536"/>
      <c r="W142" s="536"/>
      <c r="X142" s="536"/>
      <c r="Y142" s="536"/>
      <c r="Z142" s="536"/>
      <c r="AA142" s="536"/>
      <c r="AB142" s="536"/>
      <c r="AC142" s="536"/>
      <c r="AD142" s="536"/>
      <c r="AE142" s="536"/>
      <c r="AF142" s="536"/>
      <c r="AG142" s="536"/>
      <c r="AH142" s="536"/>
      <c r="AI142" s="536"/>
      <c r="AJ142" s="536"/>
      <c r="AK142" s="536"/>
      <c r="AL142" s="536"/>
      <c r="AM142" s="536"/>
      <c r="AN142" s="536"/>
      <c r="AO142" s="536"/>
      <c r="AP142" s="536"/>
      <c r="AQ142" s="536"/>
      <c r="AR142" s="536"/>
      <c r="AS142" s="536"/>
      <c r="AT142" s="536"/>
      <c r="AU142" s="536"/>
      <c r="AV142" s="536"/>
      <c r="AW142" s="536"/>
      <c r="AX142" s="536"/>
      <c r="AY142" s="536"/>
      <c r="AZ142" s="536"/>
      <c r="BA142" s="536"/>
      <c r="BB142" s="536"/>
      <c r="BC142" s="536"/>
      <c r="BD142" s="536"/>
      <c r="BE142" s="536"/>
      <c r="BF142" s="536"/>
      <c r="BG142" s="536"/>
      <c r="BH142" s="536"/>
      <c r="BI142" s="536"/>
      <c r="BJ142" s="536"/>
      <c r="BK142" s="536"/>
      <c r="BL142" s="536"/>
      <c r="BM142" s="536"/>
      <c r="BN142" s="536"/>
      <c r="BO142" s="536"/>
      <c r="BP142" s="536"/>
      <c r="BQ142" s="536"/>
      <c r="BR142" s="536"/>
      <c r="BS142" s="536"/>
      <c r="BT142" s="536"/>
      <c r="BU142" s="536"/>
      <c r="BV142" s="536"/>
      <c r="BW142" s="536"/>
      <c r="BX142" s="536"/>
      <c r="BY142" s="536"/>
      <c r="BZ142" s="536"/>
      <c r="CA142" s="536"/>
      <c r="CB142" s="536"/>
      <c r="CC142" s="536"/>
      <c r="CD142" s="536"/>
    </row>
    <row r="143" spans="1:82" x14ac:dyDescent="0.2">
      <c r="A143" s="536">
        <v>1</v>
      </c>
      <c r="B143" s="536">
        <v>2012</v>
      </c>
      <c r="C143" s="552">
        <v>40984</v>
      </c>
      <c r="D143" s="631" t="s">
        <v>285</v>
      </c>
      <c r="E143" s="540">
        <v>22.25</v>
      </c>
      <c r="F143" s="535"/>
      <c r="G143" s="536"/>
      <c r="H143" s="536"/>
      <c r="I143" s="536"/>
      <c r="J143" s="536"/>
      <c r="K143" s="536"/>
      <c r="L143" s="536"/>
      <c r="M143" s="536"/>
      <c r="N143" s="536"/>
      <c r="O143" s="536"/>
      <c r="P143" s="536"/>
      <c r="Q143" s="536"/>
      <c r="R143" s="536"/>
      <c r="S143" s="536"/>
      <c r="T143" s="536"/>
      <c r="U143" s="536"/>
      <c r="V143" s="536"/>
      <c r="W143" s="536"/>
      <c r="X143" s="536"/>
      <c r="Y143" s="536"/>
      <c r="Z143" s="536"/>
      <c r="AA143" s="536"/>
      <c r="AB143" s="536"/>
      <c r="AC143" s="536"/>
      <c r="AD143" s="536"/>
      <c r="AE143" s="536"/>
      <c r="AF143" s="536"/>
      <c r="AG143" s="536"/>
      <c r="AH143" s="536"/>
      <c r="AI143" s="536"/>
      <c r="AJ143" s="536"/>
      <c r="AK143" s="536"/>
      <c r="AL143" s="536"/>
      <c r="AM143" s="536"/>
      <c r="AN143" s="536"/>
      <c r="AO143" s="536"/>
      <c r="AP143" s="536"/>
      <c r="AQ143" s="536"/>
      <c r="AR143" s="536"/>
      <c r="AS143" s="536"/>
      <c r="AT143" s="536"/>
      <c r="AU143" s="536"/>
      <c r="AV143" s="536"/>
      <c r="AW143" s="536"/>
      <c r="AX143" s="536"/>
      <c r="AY143" s="536"/>
      <c r="AZ143" s="536"/>
      <c r="BA143" s="536"/>
      <c r="BB143" s="536"/>
      <c r="BC143" s="536"/>
      <c r="BD143" s="536"/>
      <c r="BE143" s="536"/>
      <c r="BF143" s="536"/>
      <c r="BG143" s="536"/>
      <c r="BH143" s="536"/>
      <c r="BI143" s="536"/>
      <c r="BJ143" s="536"/>
      <c r="BK143" s="536"/>
      <c r="BL143" s="536"/>
      <c r="BM143" s="536"/>
      <c r="BN143" s="536"/>
      <c r="BO143" s="536"/>
      <c r="BP143" s="536"/>
      <c r="BQ143" s="536"/>
      <c r="BR143" s="536"/>
      <c r="BS143" s="536"/>
      <c r="BT143" s="536"/>
      <c r="BU143" s="536"/>
      <c r="BV143" s="536"/>
      <c r="BW143" s="536"/>
      <c r="BX143" s="536"/>
      <c r="BY143" s="536"/>
      <c r="BZ143" s="536"/>
      <c r="CA143" s="536"/>
      <c r="CB143" s="536"/>
      <c r="CC143" s="536"/>
      <c r="CD143" s="536"/>
    </row>
    <row r="144" spans="1:82" x14ac:dyDescent="0.2">
      <c r="A144" s="536">
        <v>1</v>
      </c>
      <c r="B144" s="536">
        <v>2012</v>
      </c>
      <c r="C144" s="552">
        <v>40991</v>
      </c>
      <c r="D144" s="631" t="s">
        <v>285</v>
      </c>
      <c r="E144" s="540">
        <v>21.169999000000001</v>
      </c>
      <c r="F144" s="535"/>
      <c r="G144" s="536"/>
      <c r="H144" s="536"/>
      <c r="I144" s="536"/>
      <c r="J144" s="536"/>
      <c r="K144" s="536"/>
      <c r="L144" s="536"/>
      <c r="M144" s="536"/>
      <c r="N144" s="536"/>
      <c r="O144" s="536"/>
      <c r="P144" s="536"/>
      <c r="Q144" s="536"/>
      <c r="R144" s="536"/>
      <c r="S144" s="536"/>
      <c r="T144" s="536"/>
      <c r="U144" s="536"/>
      <c r="V144" s="536"/>
      <c r="W144" s="536"/>
      <c r="X144" s="536"/>
      <c r="Y144" s="536"/>
      <c r="Z144" s="536"/>
      <c r="AA144" s="536"/>
      <c r="AB144" s="536"/>
      <c r="AC144" s="536"/>
      <c r="AD144" s="536"/>
      <c r="AE144" s="536"/>
      <c r="AF144" s="536"/>
      <c r="AG144" s="536"/>
      <c r="AH144" s="536"/>
      <c r="AI144" s="536"/>
      <c r="AJ144" s="536"/>
      <c r="AK144" s="536"/>
      <c r="AL144" s="536"/>
      <c r="AM144" s="536"/>
      <c r="AN144" s="536"/>
      <c r="AO144" s="536"/>
      <c r="AP144" s="536"/>
      <c r="AQ144" s="536"/>
      <c r="AR144" s="536"/>
      <c r="AS144" s="536"/>
      <c r="AT144" s="536"/>
      <c r="AU144" s="536"/>
      <c r="AV144" s="536"/>
      <c r="AW144" s="536"/>
      <c r="AX144" s="536"/>
      <c r="AY144" s="536"/>
      <c r="AZ144" s="536"/>
      <c r="BA144" s="536"/>
      <c r="BB144" s="536"/>
      <c r="BC144" s="536"/>
      <c r="BD144" s="536"/>
      <c r="BE144" s="536"/>
      <c r="BF144" s="536"/>
      <c r="BG144" s="536"/>
      <c r="BH144" s="536"/>
      <c r="BI144" s="536"/>
      <c r="BJ144" s="536"/>
      <c r="BK144" s="536"/>
      <c r="BL144" s="536"/>
      <c r="BM144" s="536"/>
      <c r="BN144" s="536"/>
      <c r="BO144" s="536"/>
      <c r="BP144" s="536"/>
      <c r="BQ144" s="536"/>
      <c r="BR144" s="536"/>
      <c r="BS144" s="536"/>
      <c r="BT144" s="536"/>
      <c r="BU144" s="536"/>
      <c r="BV144" s="536"/>
      <c r="BW144" s="536"/>
      <c r="BX144" s="536"/>
      <c r="BY144" s="536"/>
      <c r="BZ144" s="536"/>
      <c r="CA144" s="536"/>
      <c r="CB144" s="536"/>
      <c r="CC144" s="536"/>
      <c r="CD144" s="536"/>
    </row>
    <row r="145" spans="1:82" x14ac:dyDescent="0.2">
      <c r="A145" s="536">
        <v>1</v>
      </c>
      <c r="B145" s="536">
        <v>2012</v>
      </c>
      <c r="C145" s="552">
        <v>40998</v>
      </c>
      <c r="D145" s="631" t="s">
        <v>285</v>
      </c>
      <c r="E145" s="540">
        <v>21.51999</v>
      </c>
      <c r="F145" s="535"/>
      <c r="G145" s="536"/>
      <c r="H145" s="536"/>
      <c r="I145" s="536"/>
      <c r="J145" s="536"/>
      <c r="K145" s="536"/>
      <c r="L145" s="536"/>
      <c r="M145" s="536"/>
      <c r="N145" s="536"/>
      <c r="O145" s="536"/>
      <c r="P145" s="536"/>
      <c r="Q145" s="536"/>
      <c r="R145" s="536"/>
      <c r="S145" s="536"/>
      <c r="T145" s="536"/>
      <c r="U145" s="536"/>
      <c r="V145" s="536"/>
      <c r="W145" s="536"/>
      <c r="X145" s="536"/>
      <c r="Y145" s="536"/>
      <c r="Z145" s="536"/>
      <c r="AA145" s="536"/>
      <c r="AB145" s="536"/>
      <c r="AC145" s="536"/>
      <c r="AD145" s="536"/>
      <c r="AE145" s="536"/>
      <c r="AF145" s="536"/>
      <c r="AG145" s="536"/>
      <c r="AH145" s="536"/>
      <c r="AI145" s="536"/>
      <c r="AJ145" s="536"/>
      <c r="AK145" s="536"/>
      <c r="AL145" s="536"/>
      <c r="AM145" s="536"/>
      <c r="AN145" s="536"/>
      <c r="AO145" s="536"/>
      <c r="AP145" s="536"/>
      <c r="AQ145" s="536"/>
      <c r="AR145" s="536"/>
      <c r="AS145" s="536"/>
      <c r="AT145" s="536"/>
      <c r="AU145" s="536"/>
      <c r="AV145" s="536"/>
      <c r="AW145" s="536"/>
      <c r="AX145" s="536"/>
      <c r="AY145" s="536"/>
      <c r="AZ145" s="536"/>
      <c r="BA145" s="536"/>
      <c r="BB145" s="536"/>
      <c r="BC145" s="536"/>
      <c r="BD145" s="536"/>
      <c r="BE145" s="536"/>
      <c r="BF145" s="536"/>
      <c r="BG145" s="536"/>
      <c r="BH145" s="536"/>
      <c r="BI145" s="536"/>
      <c r="BJ145" s="536"/>
      <c r="BK145" s="536"/>
      <c r="BL145" s="536"/>
      <c r="BM145" s="536"/>
      <c r="BN145" s="536"/>
      <c r="BO145" s="536"/>
      <c r="BP145" s="536"/>
      <c r="BQ145" s="536"/>
      <c r="BR145" s="536"/>
      <c r="BS145" s="536"/>
      <c r="BT145" s="536"/>
      <c r="BU145" s="536"/>
      <c r="BV145" s="536"/>
      <c r="BW145" s="536"/>
      <c r="BX145" s="536"/>
      <c r="BY145" s="536"/>
      <c r="BZ145" s="536"/>
      <c r="CA145" s="536"/>
      <c r="CB145" s="536"/>
      <c r="CC145" s="536"/>
      <c r="CD145" s="536"/>
    </row>
    <row r="146" spans="1:82" x14ac:dyDescent="0.2">
      <c r="A146" s="536">
        <v>2</v>
      </c>
      <c r="B146" s="536">
        <v>2012</v>
      </c>
      <c r="C146" s="552">
        <v>41005</v>
      </c>
      <c r="D146" s="631" t="s">
        <v>451</v>
      </c>
      <c r="E146" s="540">
        <v>22.319993</v>
      </c>
      <c r="F146" s="535"/>
      <c r="G146" s="536"/>
      <c r="H146" s="536"/>
      <c r="I146" s="536"/>
      <c r="J146" s="536"/>
      <c r="K146" s="536"/>
      <c r="L146" s="536"/>
      <c r="M146" s="536"/>
      <c r="N146" s="536"/>
      <c r="O146" s="536"/>
      <c r="P146" s="536"/>
      <c r="Q146" s="536"/>
      <c r="R146" s="536"/>
      <c r="S146" s="536"/>
      <c r="T146" s="536"/>
      <c r="U146" s="536"/>
      <c r="V146" s="536"/>
      <c r="W146" s="536"/>
      <c r="X146" s="536"/>
      <c r="Y146" s="536"/>
      <c r="Z146" s="536"/>
      <c r="AA146" s="536"/>
      <c r="AB146" s="536"/>
      <c r="AC146" s="536"/>
      <c r="AD146" s="536"/>
      <c r="AE146" s="536"/>
      <c r="AF146" s="536"/>
      <c r="AG146" s="536"/>
      <c r="AH146" s="536"/>
      <c r="AI146" s="536"/>
      <c r="AJ146" s="536"/>
      <c r="AK146" s="536"/>
      <c r="AL146" s="536"/>
      <c r="AM146" s="536"/>
      <c r="AN146" s="536"/>
      <c r="AO146" s="536"/>
      <c r="AP146" s="536"/>
      <c r="AQ146" s="536"/>
      <c r="AR146" s="536"/>
      <c r="AS146" s="536"/>
      <c r="AT146" s="536"/>
      <c r="AU146" s="536"/>
      <c r="AV146" s="536"/>
      <c r="AW146" s="536"/>
      <c r="AX146" s="536"/>
      <c r="AY146" s="536"/>
      <c r="AZ146" s="536"/>
      <c r="BA146" s="536"/>
      <c r="BB146" s="536"/>
      <c r="BC146" s="536"/>
      <c r="BD146" s="536"/>
      <c r="BE146" s="536"/>
      <c r="BF146" s="536"/>
      <c r="BG146" s="536"/>
      <c r="BH146" s="536"/>
      <c r="BI146" s="536"/>
      <c r="BJ146" s="536"/>
      <c r="BK146" s="536"/>
      <c r="BL146" s="536"/>
      <c r="BM146" s="536"/>
      <c r="BN146" s="536"/>
      <c r="BO146" s="536"/>
      <c r="BP146" s="536"/>
      <c r="BQ146" s="536"/>
      <c r="BR146" s="536"/>
      <c r="BS146" s="536"/>
      <c r="BT146" s="536"/>
      <c r="BU146" s="536"/>
      <c r="BV146" s="536"/>
      <c r="BW146" s="536"/>
      <c r="BX146" s="536"/>
      <c r="BY146" s="536"/>
      <c r="BZ146" s="536"/>
      <c r="CA146" s="536"/>
      <c r="CB146" s="536"/>
      <c r="CC146" s="536"/>
      <c r="CD146" s="536"/>
    </row>
    <row r="147" spans="1:82" x14ac:dyDescent="0.2">
      <c r="A147" s="536">
        <v>2</v>
      </c>
      <c r="B147" s="536">
        <v>2012</v>
      </c>
      <c r="C147" s="552">
        <v>41012</v>
      </c>
      <c r="D147" s="631" t="s">
        <v>451</v>
      </c>
      <c r="E147" s="540">
        <v>21.919999000000001</v>
      </c>
      <c r="F147" s="535"/>
      <c r="G147" s="536"/>
      <c r="H147" s="536"/>
      <c r="I147" s="536"/>
      <c r="J147" s="536"/>
      <c r="K147" s="536"/>
      <c r="L147" s="536"/>
      <c r="M147" s="536"/>
      <c r="N147" s="536"/>
      <c r="O147" s="536"/>
      <c r="P147" s="536"/>
      <c r="Q147" s="536"/>
      <c r="R147" s="536"/>
      <c r="S147" s="536"/>
      <c r="T147" s="536"/>
      <c r="U147" s="536"/>
      <c r="V147" s="536"/>
      <c r="W147" s="536"/>
      <c r="X147" s="536"/>
      <c r="Y147" s="536"/>
      <c r="Z147" s="536"/>
      <c r="AA147" s="536"/>
      <c r="AB147" s="536"/>
      <c r="AC147" s="536"/>
      <c r="AD147" s="536"/>
      <c r="AE147" s="536"/>
      <c r="AF147" s="536"/>
      <c r="AG147" s="536"/>
      <c r="AH147" s="536"/>
      <c r="AI147" s="536"/>
      <c r="AJ147" s="536"/>
      <c r="AK147" s="536"/>
      <c r="AL147" s="536"/>
      <c r="AM147" s="536"/>
      <c r="AN147" s="536"/>
      <c r="AO147" s="536"/>
      <c r="AP147" s="536"/>
      <c r="AQ147" s="536"/>
      <c r="AR147" s="536"/>
      <c r="AS147" s="536"/>
      <c r="AT147" s="536"/>
      <c r="AU147" s="536"/>
      <c r="AV147" s="536"/>
      <c r="AW147" s="536"/>
      <c r="AX147" s="536"/>
      <c r="AY147" s="536"/>
      <c r="AZ147" s="536"/>
      <c r="BA147" s="536"/>
      <c r="BB147" s="536"/>
      <c r="BC147" s="536"/>
      <c r="BD147" s="536"/>
      <c r="BE147" s="536"/>
      <c r="BF147" s="536"/>
      <c r="BG147" s="536"/>
      <c r="BH147" s="536"/>
      <c r="BI147" s="536"/>
      <c r="BJ147" s="536"/>
      <c r="BK147" s="536"/>
      <c r="BL147" s="536"/>
      <c r="BM147" s="536"/>
      <c r="BN147" s="536"/>
      <c r="BO147" s="536"/>
      <c r="BP147" s="536"/>
      <c r="BQ147" s="536"/>
      <c r="BR147" s="536"/>
      <c r="BS147" s="536"/>
      <c r="BT147" s="536"/>
      <c r="BU147" s="536"/>
      <c r="BV147" s="536"/>
      <c r="BW147" s="536"/>
      <c r="BX147" s="536"/>
      <c r="BY147" s="536"/>
      <c r="BZ147" s="536"/>
      <c r="CA147" s="536"/>
      <c r="CB147" s="536"/>
      <c r="CC147" s="536"/>
      <c r="CD147" s="536"/>
    </row>
    <row r="148" spans="1:82" x14ac:dyDescent="0.2">
      <c r="A148" s="536">
        <v>2</v>
      </c>
      <c r="B148" s="536">
        <v>2012</v>
      </c>
      <c r="C148" s="552">
        <v>41019</v>
      </c>
      <c r="D148" s="631" t="s">
        <v>451</v>
      </c>
      <c r="E148" s="540">
        <v>21.609985999999999</v>
      </c>
      <c r="F148" s="535"/>
      <c r="G148" s="536"/>
      <c r="H148" s="536"/>
      <c r="I148" s="536"/>
      <c r="J148" s="536"/>
      <c r="K148" s="536"/>
      <c r="L148" s="536"/>
      <c r="M148" s="536"/>
      <c r="N148" s="536"/>
      <c r="O148" s="536"/>
      <c r="P148" s="536"/>
      <c r="Q148" s="536"/>
      <c r="R148" s="536"/>
      <c r="S148" s="536"/>
      <c r="T148" s="536"/>
      <c r="U148" s="536"/>
      <c r="V148" s="536"/>
      <c r="W148" s="536"/>
      <c r="X148" s="536"/>
      <c r="Y148" s="536"/>
      <c r="Z148" s="536"/>
      <c r="AA148" s="536"/>
      <c r="AB148" s="536"/>
      <c r="AC148" s="536"/>
      <c r="AD148" s="536"/>
      <c r="AE148" s="536"/>
      <c r="AF148" s="536"/>
      <c r="AG148" s="536"/>
      <c r="AH148" s="536"/>
      <c r="AI148" s="536"/>
      <c r="AJ148" s="536"/>
      <c r="AK148" s="536"/>
      <c r="AL148" s="536"/>
      <c r="AM148" s="536"/>
      <c r="AN148" s="536"/>
      <c r="AO148" s="536"/>
      <c r="AP148" s="536"/>
      <c r="AQ148" s="536"/>
      <c r="AR148" s="536"/>
      <c r="AS148" s="536"/>
      <c r="AT148" s="536"/>
      <c r="AU148" s="536"/>
      <c r="AV148" s="536"/>
      <c r="AW148" s="536"/>
      <c r="AX148" s="536"/>
      <c r="AY148" s="536"/>
      <c r="AZ148" s="536"/>
      <c r="BA148" s="536"/>
      <c r="BB148" s="536"/>
      <c r="BC148" s="536"/>
      <c r="BD148" s="536"/>
      <c r="BE148" s="536"/>
      <c r="BF148" s="536"/>
      <c r="BG148" s="536"/>
      <c r="BH148" s="536"/>
      <c r="BI148" s="536"/>
      <c r="BJ148" s="536"/>
      <c r="BK148" s="536"/>
      <c r="BL148" s="536"/>
      <c r="BM148" s="536"/>
      <c r="BN148" s="536"/>
      <c r="BO148" s="536"/>
      <c r="BP148" s="536"/>
      <c r="BQ148" s="536"/>
      <c r="BR148" s="536"/>
      <c r="BS148" s="536"/>
      <c r="BT148" s="536"/>
      <c r="BU148" s="536"/>
      <c r="BV148" s="536"/>
      <c r="BW148" s="536"/>
      <c r="BX148" s="536"/>
      <c r="BY148" s="536"/>
      <c r="BZ148" s="536"/>
      <c r="CA148" s="536"/>
      <c r="CB148" s="536"/>
      <c r="CC148" s="536"/>
      <c r="CD148" s="536"/>
    </row>
    <row r="149" spans="1:82" x14ac:dyDescent="0.2">
      <c r="A149" s="536">
        <v>2</v>
      </c>
      <c r="B149" s="536">
        <v>2012</v>
      </c>
      <c r="C149" s="552">
        <v>41026</v>
      </c>
      <c r="D149" s="631" t="s">
        <v>451</v>
      </c>
      <c r="E149" s="540">
        <v>22.39</v>
      </c>
      <c r="F149" s="535"/>
      <c r="G149" s="536"/>
      <c r="H149" s="536"/>
      <c r="I149" s="536"/>
      <c r="J149" s="536"/>
      <c r="K149" s="536"/>
      <c r="L149" s="536"/>
      <c r="M149" s="536"/>
      <c r="N149" s="536"/>
      <c r="O149" s="536"/>
      <c r="P149" s="536"/>
      <c r="Q149" s="536"/>
      <c r="R149" s="536"/>
      <c r="S149" s="536"/>
      <c r="T149" s="536"/>
      <c r="U149" s="536"/>
      <c r="V149" s="536"/>
      <c r="W149" s="536"/>
      <c r="X149" s="536"/>
      <c r="Y149" s="536"/>
      <c r="Z149" s="536"/>
      <c r="AA149" s="536"/>
      <c r="AB149" s="536"/>
      <c r="AC149" s="536"/>
      <c r="AD149" s="536"/>
      <c r="AE149" s="536"/>
      <c r="AF149" s="536"/>
      <c r="AG149" s="536"/>
      <c r="AH149" s="536"/>
      <c r="AI149" s="536"/>
      <c r="AJ149" s="536"/>
      <c r="AK149" s="536"/>
      <c r="AL149" s="536"/>
      <c r="AM149" s="536"/>
      <c r="AN149" s="536"/>
      <c r="AO149" s="536"/>
      <c r="AP149" s="536"/>
      <c r="AQ149" s="536"/>
      <c r="AR149" s="536"/>
      <c r="AS149" s="536"/>
      <c r="AT149" s="536"/>
      <c r="AU149" s="536"/>
      <c r="AV149" s="536"/>
      <c r="AW149" s="536"/>
      <c r="AX149" s="536"/>
      <c r="AY149" s="536"/>
      <c r="AZ149" s="536"/>
      <c r="BA149" s="536"/>
      <c r="BB149" s="536"/>
      <c r="BC149" s="536"/>
      <c r="BD149" s="536"/>
      <c r="BE149" s="536"/>
      <c r="BF149" s="536"/>
      <c r="BG149" s="536"/>
      <c r="BH149" s="536"/>
      <c r="BI149" s="536"/>
      <c r="BJ149" s="536"/>
      <c r="BK149" s="536"/>
      <c r="BL149" s="536"/>
      <c r="BM149" s="536"/>
      <c r="BN149" s="536"/>
      <c r="BO149" s="536"/>
      <c r="BP149" s="536"/>
      <c r="BQ149" s="536"/>
      <c r="BR149" s="536"/>
      <c r="BS149" s="536"/>
      <c r="BT149" s="536"/>
      <c r="BU149" s="536"/>
      <c r="BV149" s="536"/>
      <c r="BW149" s="536"/>
      <c r="BX149" s="536"/>
      <c r="BY149" s="536"/>
      <c r="BZ149" s="536"/>
      <c r="CA149" s="536"/>
      <c r="CB149" s="536"/>
      <c r="CC149" s="536"/>
      <c r="CD149" s="536"/>
    </row>
    <row r="150" spans="1:82" x14ac:dyDescent="0.2">
      <c r="A150" s="536">
        <v>2</v>
      </c>
      <c r="B150" s="536">
        <v>2012</v>
      </c>
      <c r="C150" s="552">
        <v>41033</v>
      </c>
      <c r="D150" s="631" t="s">
        <v>451</v>
      </c>
      <c r="E150" s="540">
        <v>22.149994</v>
      </c>
      <c r="F150" s="535"/>
      <c r="G150" s="536"/>
      <c r="H150" s="536"/>
      <c r="I150" s="536"/>
      <c r="J150" s="536"/>
      <c r="K150" s="536"/>
      <c r="L150" s="536"/>
      <c r="M150" s="536"/>
      <c r="N150" s="536"/>
      <c r="O150" s="536"/>
      <c r="P150" s="536"/>
      <c r="Q150" s="536"/>
      <c r="R150" s="536"/>
      <c r="S150" s="536"/>
      <c r="T150" s="536"/>
      <c r="U150" s="536"/>
      <c r="V150" s="536"/>
      <c r="W150" s="536"/>
      <c r="X150" s="536"/>
      <c r="Y150" s="536"/>
      <c r="Z150" s="536"/>
      <c r="AA150" s="536"/>
      <c r="AB150" s="536"/>
      <c r="AC150" s="536"/>
      <c r="AD150" s="536"/>
      <c r="AE150" s="536"/>
      <c r="AF150" s="536"/>
      <c r="AG150" s="536"/>
      <c r="AH150" s="536"/>
      <c r="AI150" s="536"/>
      <c r="AJ150" s="536"/>
      <c r="AK150" s="536"/>
      <c r="AL150" s="536"/>
      <c r="AM150" s="536"/>
      <c r="AN150" s="536"/>
      <c r="AO150" s="536"/>
      <c r="AP150" s="536"/>
      <c r="AQ150" s="536"/>
      <c r="AR150" s="536"/>
      <c r="AS150" s="536"/>
      <c r="AT150" s="536"/>
      <c r="AU150" s="536"/>
      <c r="AV150" s="536"/>
      <c r="AW150" s="536"/>
      <c r="AX150" s="536"/>
      <c r="AY150" s="536"/>
      <c r="AZ150" s="536"/>
      <c r="BA150" s="536"/>
      <c r="BB150" s="536"/>
      <c r="BC150" s="536"/>
      <c r="BD150" s="536"/>
      <c r="BE150" s="536"/>
      <c r="BF150" s="536"/>
      <c r="BG150" s="536"/>
      <c r="BH150" s="536"/>
      <c r="BI150" s="536"/>
      <c r="BJ150" s="536"/>
      <c r="BK150" s="536"/>
      <c r="BL150" s="536"/>
      <c r="BM150" s="536"/>
      <c r="BN150" s="536"/>
      <c r="BO150" s="536"/>
      <c r="BP150" s="536"/>
      <c r="BQ150" s="536"/>
      <c r="BR150" s="536"/>
      <c r="BS150" s="536"/>
      <c r="BT150" s="536"/>
      <c r="BU150" s="536"/>
      <c r="BV150" s="536"/>
      <c r="BW150" s="536"/>
      <c r="BX150" s="536"/>
      <c r="BY150" s="536"/>
      <c r="BZ150" s="536"/>
      <c r="CA150" s="536"/>
      <c r="CB150" s="536"/>
      <c r="CC150" s="536"/>
      <c r="CD150" s="536"/>
    </row>
    <row r="151" spans="1:82" x14ac:dyDescent="0.2">
      <c r="A151" s="536">
        <v>2</v>
      </c>
      <c r="B151" s="536">
        <v>2012</v>
      </c>
      <c r="C151" s="552">
        <v>41040</v>
      </c>
      <c r="D151" s="631" t="s">
        <v>451</v>
      </c>
      <c r="E151" s="540">
        <v>21.659988999999999</v>
      </c>
      <c r="F151" s="535"/>
      <c r="G151" s="536"/>
      <c r="H151" s="536"/>
      <c r="I151" s="536"/>
      <c r="J151" s="536"/>
      <c r="K151" s="536"/>
      <c r="L151" s="536"/>
      <c r="M151" s="536"/>
      <c r="N151" s="536"/>
      <c r="O151" s="536"/>
      <c r="P151" s="536"/>
      <c r="Q151" s="536"/>
      <c r="R151" s="536"/>
      <c r="S151" s="536"/>
      <c r="T151" s="536"/>
      <c r="U151" s="536"/>
      <c r="V151" s="536"/>
      <c r="W151" s="536"/>
      <c r="X151" s="536"/>
      <c r="Y151" s="536"/>
      <c r="Z151" s="536"/>
      <c r="AA151" s="536"/>
      <c r="AB151" s="536"/>
      <c r="AC151" s="536"/>
      <c r="AD151" s="536"/>
      <c r="AE151" s="536"/>
      <c r="AF151" s="536"/>
      <c r="AG151" s="536"/>
      <c r="AH151" s="536"/>
      <c r="AI151" s="536"/>
      <c r="AJ151" s="536"/>
      <c r="AK151" s="536"/>
      <c r="AL151" s="536"/>
      <c r="AM151" s="536"/>
      <c r="AN151" s="536"/>
      <c r="AO151" s="536"/>
      <c r="AP151" s="536"/>
      <c r="AQ151" s="536"/>
      <c r="AR151" s="536"/>
      <c r="AS151" s="536"/>
      <c r="AT151" s="536"/>
      <c r="AU151" s="536"/>
      <c r="AV151" s="536"/>
      <c r="AW151" s="536"/>
      <c r="AX151" s="536"/>
      <c r="AY151" s="536"/>
      <c r="AZ151" s="536"/>
      <c r="BA151" s="536"/>
      <c r="BB151" s="536"/>
      <c r="BC151" s="536"/>
      <c r="BD151" s="536"/>
      <c r="BE151" s="536"/>
      <c r="BF151" s="536"/>
      <c r="BG151" s="536"/>
      <c r="BH151" s="536"/>
      <c r="BI151" s="536"/>
      <c r="BJ151" s="536"/>
      <c r="BK151" s="536"/>
      <c r="BL151" s="536"/>
      <c r="BM151" s="536"/>
      <c r="BN151" s="536"/>
      <c r="BO151" s="536"/>
      <c r="BP151" s="536"/>
      <c r="BQ151" s="536"/>
      <c r="BR151" s="536"/>
      <c r="BS151" s="536"/>
      <c r="BT151" s="536"/>
      <c r="BU151" s="536"/>
      <c r="BV151" s="536"/>
      <c r="BW151" s="536"/>
      <c r="BX151" s="536"/>
      <c r="BY151" s="536"/>
      <c r="BZ151" s="536"/>
      <c r="CA151" s="536"/>
      <c r="CB151" s="536"/>
      <c r="CC151" s="536"/>
      <c r="CD151" s="536"/>
    </row>
    <row r="152" spans="1:82" x14ac:dyDescent="0.2">
      <c r="A152" s="536">
        <v>2</v>
      </c>
      <c r="B152" s="536">
        <v>2012</v>
      </c>
      <c r="C152" s="552">
        <v>41047</v>
      </c>
      <c r="D152" s="631" t="s">
        <v>451</v>
      </c>
      <c r="E152" s="540">
        <v>20.779999</v>
      </c>
      <c r="F152" s="535"/>
      <c r="G152" s="536"/>
      <c r="H152" s="536"/>
      <c r="I152" s="536"/>
      <c r="J152" s="536"/>
      <c r="K152" s="536"/>
      <c r="L152" s="536"/>
      <c r="M152" s="536"/>
      <c r="N152" s="536"/>
      <c r="O152" s="536"/>
      <c r="P152" s="536"/>
      <c r="Q152" s="536"/>
      <c r="R152" s="536"/>
      <c r="S152" s="536"/>
      <c r="T152" s="536"/>
      <c r="U152" s="536"/>
      <c r="V152" s="536"/>
      <c r="W152" s="536"/>
      <c r="X152" s="536"/>
      <c r="Y152" s="536"/>
      <c r="Z152" s="536"/>
      <c r="AA152" s="536"/>
      <c r="AB152" s="536"/>
      <c r="AC152" s="536"/>
      <c r="AD152" s="536"/>
      <c r="AE152" s="536"/>
      <c r="AF152" s="536"/>
      <c r="AG152" s="536"/>
      <c r="AH152" s="536"/>
      <c r="AI152" s="536"/>
      <c r="AJ152" s="536"/>
      <c r="AK152" s="536"/>
      <c r="AL152" s="536"/>
      <c r="AM152" s="536"/>
      <c r="AN152" s="536"/>
      <c r="AO152" s="536"/>
      <c r="AP152" s="536"/>
      <c r="AQ152" s="536"/>
      <c r="AR152" s="536"/>
      <c r="AS152" s="536"/>
      <c r="AT152" s="536"/>
      <c r="AU152" s="536"/>
      <c r="AV152" s="536"/>
      <c r="AW152" s="536"/>
      <c r="AX152" s="536"/>
      <c r="AY152" s="536"/>
      <c r="AZ152" s="536"/>
      <c r="BA152" s="536"/>
      <c r="BB152" s="536"/>
      <c r="BC152" s="536"/>
      <c r="BD152" s="536"/>
      <c r="BE152" s="536"/>
      <c r="BF152" s="536"/>
      <c r="BG152" s="536"/>
      <c r="BH152" s="536"/>
      <c r="BI152" s="536"/>
      <c r="BJ152" s="536"/>
      <c r="BK152" s="536"/>
      <c r="BL152" s="536"/>
      <c r="BM152" s="536"/>
      <c r="BN152" s="536"/>
      <c r="BO152" s="536"/>
      <c r="BP152" s="536"/>
      <c r="BQ152" s="536"/>
      <c r="BR152" s="536"/>
      <c r="BS152" s="536"/>
      <c r="BT152" s="536"/>
      <c r="BU152" s="536"/>
      <c r="BV152" s="536"/>
      <c r="BW152" s="536"/>
      <c r="BX152" s="536"/>
      <c r="BY152" s="536"/>
      <c r="BZ152" s="536"/>
      <c r="CA152" s="536"/>
      <c r="CB152" s="536"/>
      <c r="CC152" s="536"/>
      <c r="CD152" s="536"/>
    </row>
    <row r="153" spans="1:82" x14ac:dyDescent="0.2">
      <c r="A153" s="536">
        <v>2</v>
      </c>
      <c r="B153" s="536">
        <v>2012</v>
      </c>
      <c r="C153" s="552">
        <v>41054</v>
      </c>
      <c r="D153" s="631" t="s">
        <v>451</v>
      </c>
      <c r="E153" s="540">
        <v>21.369996</v>
      </c>
      <c r="F153" s="535"/>
      <c r="G153" s="536"/>
      <c r="H153" s="536"/>
      <c r="I153" s="536"/>
      <c r="J153" s="536"/>
      <c r="K153" s="536"/>
      <c r="L153" s="536"/>
      <c r="M153" s="536"/>
      <c r="N153" s="536"/>
      <c r="O153" s="536"/>
      <c r="P153" s="536"/>
      <c r="Q153" s="536"/>
      <c r="R153" s="536"/>
      <c r="S153" s="536"/>
      <c r="T153" s="536"/>
      <c r="U153" s="536"/>
      <c r="V153" s="536"/>
      <c r="W153" s="536"/>
      <c r="X153" s="536"/>
      <c r="Y153" s="536"/>
      <c r="Z153" s="536"/>
      <c r="AA153" s="536"/>
      <c r="AB153" s="536"/>
      <c r="AC153" s="536"/>
      <c r="AD153" s="536"/>
      <c r="AE153" s="536"/>
      <c r="AF153" s="536"/>
      <c r="AG153" s="536"/>
      <c r="AH153" s="536"/>
      <c r="AI153" s="536"/>
      <c r="AJ153" s="536"/>
      <c r="AK153" s="536"/>
      <c r="AL153" s="536"/>
      <c r="AM153" s="536"/>
      <c r="AN153" s="536"/>
      <c r="AO153" s="536"/>
      <c r="AP153" s="536"/>
      <c r="AQ153" s="536"/>
      <c r="AR153" s="536"/>
      <c r="AS153" s="536"/>
      <c r="AT153" s="536"/>
      <c r="AU153" s="536"/>
      <c r="AV153" s="536"/>
      <c r="AW153" s="536"/>
      <c r="AX153" s="536"/>
      <c r="AY153" s="536"/>
      <c r="AZ153" s="536"/>
      <c r="BA153" s="536"/>
      <c r="BB153" s="536"/>
      <c r="BC153" s="536"/>
      <c r="BD153" s="536"/>
      <c r="BE153" s="536"/>
      <c r="BF153" s="536"/>
      <c r="BG153" s="536"/>
      <c r="BH153" s="536"/>
      <c r="BI153" s="536"/>
      <c r="BJ153" s="536"/>
      <c r="BK153" s="536"/>
      <c r="BL153" s="536"/>
      <c r="BM153" s="536"/>
      <c r="BN153" s="536"/>
      <c r="BO153" s="536"/>
      <c r="BP153" s="536"/>
      <c r="BQ153" s="536"/>
      <c r="BR153" s="536"/>
      <c r="BS153" s="536"/>
      <c r="BT153" s="536"/>
      <c r="BU153" s="536"/>
      <c r="BV153" s="536"/>
      <c r="BW153" s="536"/>
      <c r="BX153" s="536"/>
      <c r="BY153" s="536"/>
      <c r="BZ153" s="536"/>
      <c r="CA153" s="536"/>
      <c r="CB153" s="536"/>
      <c r="CC153" s="536"/>
      <c r="CD153" s="536"/>
    </row>
    <row r="154" spans="1:82" x14ac:dyDescent="0.2">
      <c r="A154" s="536">
        <v>2</v>
      </c>
      <c r="B154" s="536">
        <v>2012</v>
      </c>
      <c r="C154" s="552">
        <v>41061</v>
      </c>
      <c r="D154" s="631" t="s">
        <v>451</v>
      </c>
      <c r="E154" s="540">
        <v>20.319993</v>
      </c>
      <c r="F154" s="535"/>
      <c r="G154" s="536"/>
      <c r="H154" s="536"/>
      <c r="I154" s="536"/>
      <c r="J154" s="536"/>
      <c r="K154" s="536"/>
      <c r="L154" s="536"/>
      <c r="M154" s="536"/>
      <c r="N154" s="536"/>
      <c r="O154" s="536"/>
      <c r="P154" s="536"/>
      <c r="Q154" s="536"/>
      <c r="R154" s="536"/>
      <c r="S154" s="536"/>
      <c r="T154" s="536"/>
      <c r="U154" s="536"/>
      <c r="V154" s="536"/>
      <c r="W154" s="536"/>
      <c r="X154" s="536"/>
      <c r="Y154" s="536"/>
      <c r="Z154" s="536"/>
      <c r="AA154" s="536"/>
      <c r="AB154" s="536"/>
      <c r="AC154" s="536"/>
      <c r="AD154" s="536"/>
      <c r="AE154" s="536"/>
      <c r="AF154" s="536"/>
      <c r="AG154" s="536"/>
      <c r="AH154" s="536"/>
      <c r="AI154" s="536"/>
      <c r="AJ154" s="536"/>
      <c r="AK154" s="536"/>
      <c r="AL154" s="536"/>
      <c r="AM154" s="536"/>
      <c r="AN154" s="536"/>
      <c r="AO154" s="536"/>
      <c r="AP154" s="536"/>
      <c r="AQ154" s="536"/>
      <c r="AR154" s="536"/>
      <c r="AS154" s="536"/>
      <c r="AT154" s="536"/>
      <c r="AU154" s="536"/>
      <c r="AV154" s="536"/>
      <c r="AW154" s="536"/>
      <c r="AX154" s="536"/>
      <c r="AY154" s="536"/>
      <c r="AZ154" s="536"/>
      <c r="BA154" s="536"/>
      <c r="BB154" s="536"/>
      <c r="BC154" s="536"/>
      <c r="BD154" s="536"/>
      <c r="BE154" s="536"/>
      <c r="BF154" s="536"/>
      <c r="BG154" s="536"/>
      <c r="BH154" s="536"/>
      <c r="BI154" s="536"/>
      <c r="BJ154" s="536"/>
      <c r="BK154" s="536"/>
      <c r="BL154" s="536"/>
      <c r="BM154" s="536"/>
      <c r="BN154" s="536"/>
      <c r="BO154" s="536"/>
      <c r="BP154" s="536"/>
      <c r="BQ154" s="536"/>
      <c r="BR154" s="536"/>
      <c r="BS154" s="536"/>
      <c r="BT154" s="536"/>
      <c r="BU154" s="536"/>
      <c r="BV154" s="536"/>
      <c r="BW154" s="536"/>
      <c r="BX154" s="536"/>
      <c r="BY154" s="536"/>
      <c r="BZ154" s="536"/>
      <c r="CA154" s="536"/>
      <c r="CB154" s="536"/>
      <c r="CC154" s="536"/>
      <c r="CD154" s="536"/>
    </row>
    <row r="155" spans="1:82" x14ac:dyDescent="0.2">
      <c r="A155" s="536">
        <v>2</v>
      </c>
      <c r="B155" s="536">
        <v>2012</v>
      </c>
      <c r="C155" s="552">
        <v>41068</v>
      </c>
      <c r="D155" s="631" t="s">
        <v>451</v>
      </c>
      <c r="E155" s="540">
        <v>21.079986999999999</v>
      </c>
      <c r="F155" s="535"/>
      <c r="G155" s="536"/>
      <c r="H155" s="536"/>
      <c r="I155" s="536"/>
      <c r="J155" s="536"/>
      <c r="K155" s="536"/>
      <c r="L155" s="536"/>
      <c r="M155" s="536"/>
      <c r="N155" s="536"/>
      <c r="O155" s="536"/>
      <c r="P155" s="536"/>
      <c r="Q155" s="536"/>
      <c r="R155" s="536"/>
      <c r="S155" s="536"/>
      <c r="T155" s="536"/>
      <c r="U155" s="536"/>
      <c r="V155" s="536"/>
      <c r="W155" s="536"/>
      <c r="X155" s="536"/>
      <c r="Y155" s="536"/>
      <c r="Z155" s="536"/>
      <c r="AA155" s="536"/>
      <c r="AB155" s="536"/>
      <c r="AC155" s="536"/>
      <c r="AD155" s="536"/>
      <c r="AE155" s="536"/>
      <c r="AF155" s="536"/>
      <c r="AG155" s="536"/>
      <c r="AH155" s="536"/>
      <c r="AI155" s="536"/>
      <c r="AJ155" s="536"/>
      <c r="AK155" s="536"/>
      <c r="AL155" s="536"/>
      <c r="AM155" s="536"/>
      <c r="AN155" s="536"/>
      <c r="AO155" s="536"/>
      <c r="AP155" s="536"/>
      <c r="AQ155" s="536"/>
      <c r="AR155" s="536"/>
      <c r="AS155" s="536"/>
      <c r="AT155" s="536"/>
      <c r="AU155" s="536"/>
      <c r="AV155" s="536"/>
      <c r="AW155" s="536"/>
      <c r="AX155" s="536"/>
      <c r="AY155" s="536"/>
      <c r="AZ155" s="536"/>
      <c r="BA155" s="536"/>
      <c r="BB155" s="536"/>
      <c r="BC155" s="536"/>
      <c r="BD155" s="536"/>
      <c r="BE155" s="536"/>
      <c r="BF155" s="536"/>
      <c r="BG155" s="536"/>
      <c r="BH155" s="536"/>
      <c r="BI155" s="536"/>
      <c r="BJ155" s="536"/>
      <c r="BK155" s="536"/>
      <c r="BL155" s="536"/>
      <c r="BM155" s="536"/>
      <c r="BN155" s="536"/>
      <c r="BO155" s="536"/>
      <c r="BP155" s="536"/>
      <c r="BQ155" s="536"/>
      <c r="BR155" s="536"/>
      <c r="BS155" s="536"/>
      <c r="BT155" s="536"/>
      <c r="BU155" s="536"/>
      <c r="BV155" s="536"/>
      <c r="BW155" s="536"/>
      <c r="BX155" s="536"/>
      <c r="BY155" s="536"/>
      <c r="BZ155" s="536"/>
      <c r="CA155" s="536"/>
      <c r="CB155" s="536"/>
      <c r="CC155" s="536"/>
      <c r="CD155" s="536"/>
    </row>
    <row r="156" spans="1:82" x14ac:dyDescent="0.2">
      <c r="A156" s="536">
        <v>2</v>
      </c>
      <c r="B156" s="536">
        <v>2012</v>
      </c>
      <c r="C156" s="552">
        <v>41075</v>
      </c>
      <c r="D156" s="631" t="s">
        <v>451</v>
      </c>
      <c r="E156" s="540">
        <v>21.739991</v>
      </c>
      <c r="F156" s="535"/>
      <c r="G156" s="536"/>
      <c r="H156" s="536"/>
      <c r="I156" s="536"/>
      <c r="J156" s="536"/>
      <c r="K156" s="536"/>
      <c r="L156" s="536"/>
      <c r="M156" s="536"/>
      <c r="N156" s="536"/>
      <c r="O156" s="536"/>
      <c r="P156" s="536"/>
      <c r="Q156" s="536"/>
      <c r="R156" s="536"/>
      <c r="S156" s="536"/>
      <c r="T156" s="536"/>
      <c r="U156" s="536"/>
      <c r="V156" s="536"/>
      <c r="W156" s="536"/>
      <c r="X156" s="536"/>
      <c r="Y156" s="536"/>
      <c r="Z156" s="536"/>
      <c r="AA156" s="536"/>
      <c r="AB156" s="536"/>
      <c r="AC156" s="536"/>
      <c r="AD156" s="536"/>
      <c r="AE156" s="536"/>
      <c r="AF156" s="536"/>
      <c r="AG156" s="536"/>
      <c r="AH156" s="536"/>
      <c r="AI156" s="536"/>
      <c r="AJ156" s="536"/>
      <c r="AK156" s="536"/>
      <c r="AL156" s="536"/>
      <c r="AM156" s="536"/>
      <c r="AN156" s="536"/>
      <c r="AO156" s="536"/>
      <c r="AP156" s="536"/>
      <c r="AQ156" s="536"/>
      <c r="AR156" s="536"/>
      <c r="AS156" s="536"/>
      <c r="AT156" s="536"/>
      <c r="AU156" s="536"/>
      <c r="AV156" s="536"/>
      <c r="AW156" s="536"/>
      <c r="AX156" s="536"/>
      <c r="AY156" s="536"/>
      <c r="AZ156" s="536"/>
      <c r="BA156" s="536"/>
      <c r="BB156" s="536"/>
      <c r="BC156" s="536"/>
      <c r="BD156" s="536"/>
      <c r="BE156" s="536"/>
      <c r="BF156" s="536"/>
      <c r="BG156" s="536"/>
      <c r="BH156" s="536"/>
      <c r="BI156" s="536"/>
      <c r="BJ156" s="536"/>
      <c r="BK156" s="536"/>
      <c r="BL156" s="536"/>
      <c r="BM156" s="536"/>
      <c r="BN156" s="536"/>
      <c r="BO156" s="536"/>
      <c r="BP156" s="536"/>
      <c r="BQ156" s="536"/>
      <c r="BR156" s="536"/>
      <c r="BS156" s="536"/>
      <c r="BT156" s="536"/>
      <c r="BU156" s="536"/>
      <c r="BV156" s="536"/>
      <c r="BW156" s="536"/>
      <c r="BX156" s="536"/>
      <c r="BY156" s="536"/>
      <c r="BZ156" s="536"/>
      <c r="CA156" s="536"/>
      <c r="CB156" s="536"/>
      <c r="CC156" s="536"/>
      <c r="CD156" s="536"/>
    </row>
    <row r="157" spans="1:82" x14ac:dyDescent="0.2">
      <c r="A157" s="536">
        <v>2</v>
      </c>
      <c r="B157" s="536">
        <v>2012</v>
      </c>
      <c r="C157" s="552">
        <v>41082</v>
      </c>
      <c r="D157" s="631" t="s">
        <v>451</v>
      </c>
      <c r="E157" s="540">
        <v>21.629989999999999</v>
      </c>
      <c r="F157" s="535"/>
      <c r="G157" s="536"/>
      <c r="H157" s="536"/>
      <c r="I157" s="536"/>
      <c r="J157" s="536"/>
      <c r="K157" s="536"/>
      <c r="L157" s="536"/>
      <c r="M157" s="536"/>
      <c r="N157" s="536"/>
      <c r="O157" s="536"/>
      <c r="P157" s="536"/>
      <c r="Q157" s="536"/>
      <c r="R157" s="536"/>
      <c r="S157" s="536"/>
      <c r="T157" s="536"/>
      <c r="U157" s="536"/>
      <c r="V157" s="536"/>
      <c r="W157" s="536"/>
      <c r="X157" s="536"/>
      <c r="Y157" s="536"/>
      <c r="Z157" s="536"/>
      <c r="AA157" s="536"/>
      <c r="AB157" s="536"/>
      <c r="AC157" s="536"/>
      <c r="AD157" s="536"/>
      <c r="AE157" s="536"/>
      <c r="AF157" s="536"/>
      <c r="AG157" s="536"/>
      <c r="AH157" s="536"/>
      <c r="AI157" s="536"/>
      <c r="AJ157" s="536"/>
      <c r="AK157" s="536"/>
      <c r="AL157" s="536"/>
      <c r="AM157" s="536"/>
      <c r="AN157" s="536"/>
      <c r="AO157" s="536"/>
      <c r="AP157" s="536"/>
      <c r="AQ157" s="536"/>
      <c r="AR157" s="536"/>
      <c r="AS157" s="536"/>
      <c r="AT157" s="536"/>
      <c r="AU157" s="536"/>
      <c r="AV157" s="536"/>
      <c r="AW157" s="536"/>
      <c r="AX157" s="536"/>
      <c r="AY157" s="536"/>
      <c r="AZ157" s="536"/>
      <c r="BA157" s="536"/>
      <c r="BB157" s="536"/>
      <c r="BC157" s="536"/>
      <c r="BD157" s="536"/>
      <c r="BE157" s="536"/>
      <c r="BF157" s="536"/>
      <c r="BG157" s="536"/>
      <c r="BH157" s="536"/>
      <c r="BI157" s="536"/>
      <c r="BJ157" s="536"/>
      <c r="BK157" s="536"/>
      <c r="BL157" s="536"/>
      <c r="BM157" s="536"/>
      <c r="BN157" s="536"/>
      <c r="BO157" s="536"/>
      <c r="BP157" s="536"/>
      <c r="BQ157" s="536"/>
      <c r="BR157" s="536"/>
      <c r="BS157" s="536"/>
      <c r="BT157" s="536"/>
      <c r="BU157" s="536"/>
      <c r="BV157" s="536"/>
      <c r="BW157" s="536"/>
      <c r="BX157" s="536"/>
      <c r="BY157" s="536"/>
      <c r="BZ157" s="536"/>
      <c r="CA157" s="536"/>
      <c r="CB157" s="536"/>
      <c r="CC157" s="536"/>
      <c r="CD157" s="536"/>
    </row>
    <row r="158" spans="1:82" x14ac:dyDescent="0.2">
      <c r="A158" s="536">
        <v>2</v>
      </c>
      <c r="B158" s="536">
        <v>2012</v>
      </c>
      <c r="C158" s="552">
        <v>41089</v>
      </c>
      <c r="D158" s="631" t="s">
        <v>451</v>
      </c>
      <c r="E158" s="540">
        <v>22.359985999999999</v>
      </c>
      <c r="F158" s="535"/>
      <c r="G158" s="536"/>
      <c r="H158" s="536"/>
      <c r="I158" s="536"/>
      <c r="J158" s="536"/>
      <c r="K158" s="536"/>
      <c r="L158" s="536"/>
      <c r="M158" s="536"/>
      <c r="N158" s="536"/>
      <c r="O158" s="536"/>
      <c r="P158" s="536"/>
      <c r="Q158" s="536"/>
      <c r="R158" s="536"/>
      <c r="S158" s="536"/>
      <c r="T158" s="536"/>
      <c r="U158" s="536"/>
      <c r="V158" s="536"/>
      <c r="W158" s="536"/>
      <c r="X158" s="536"/>
      <c r="Y158" s="536"/>
      <c r="Z158" s="536"/>
      <c r="AA158" s="536"/>
      <c r="AB158" s="536"/>
      <c r="AC158" s="536"/>
      <c r="AD158" s="536"/>
      <c r="AE158" s="536"/>
      <c r="AF158" s="536"/>
      <c r="AG158" s="536"/>
      <c r="AH158" s="536"/>
      <c r="AI158" s="536"/>
      <c r="AJ158" s="536"/>
      <c r="AK158" s="536"/>
      <c r="AL158" s="536"/>
      <c r="AM158" s="536"/>
      <c r="AN158" s="536"/>
      <c r="AO158" s="536"/>
      <c r="AP158" s="536"/>
      <c r="AQ158" s="536"/>
      <c r="AR158" s="536"/>
      <c r="AS158" s="536"/>
      <c r="AT158" s="536"/>
      <c r="AU158" s="536"/>
      <c r="AV158" s="536"/>
      <c r="AW158" s="536"/>
      <c r="AX158" s="536"/>
      <c r="AY158" s="536"/>
      <c r="AZ158" s="536"/>
      <c r="BA158" s="536"/>
      <c r="BB158" s="536"/>
      <c r="BC158" s="536"/>
      <c r="BD158" s="536"/>
      <c r="BE158" s="536"/>
      <c r="BF158" s="536"/>
      <c r="BG158" s="536"/>
      <c r="BH158" s="536"/>
      <c r="BI158" s="536"/>
      <c r="BJ158" s="536"/>
      <c r="BK158" s="536"/>
      <c r="BL158" s="536"/>
      <c r="BM158" s="536"/>
      <c r="BN158" s="536"/>
      <c r="BO158" s="536"/>
      <c r="BP158" s="536"/>
      <c r="BQ158" s="536"/>
      <c r="BR158" s="536"/>
      <c r="BS158" s="536"/>
      <c r="BT158" s="536"/>
      <c r="BU158" s="536"/>
      <c r="BV158" s="536"/>
      <c r="BW158" s="536"/>
      <c r="BX158" s="536"/>
      <c r="BY158" s="536"/>
      <c r="BZ158" s="536"/>
      <c r="CA158" s="536"/>
      <c r="CB158" s="536"/>
      <c r="CC158" s="536"/>
      <c r="CD158" s="536"/>
    </row>
    <row r="159" spans="1:82" x14ac:dyDescent="0.2">
      <c r="A159" s="536">
        <v>3</v>
      </c>
      <c r="B159" s="536">
        <v>2012</v>
      </c>
      <c r="C159" s="552">
        <v>41096</v>
      </c>
      <c r="D159" s="631" t="s">
        <v>537</v>
      </c>
      <c r="E159" s="540">
        <v>22.409988999999999</v>
      </c>
      <c r="F159" s="535"/>
      <c r="G159" s="536"/>
      <c r="H159" s="536"/>
      <c r="I159" s="536"/>
      <c r="J159" s="536"/>
      <c r="K159" s="536"/>
      <c r="L159" s="536"/>
      <c r="M159" s="536"/>
      <c r="N159" s="536"/>
      <c r="O159" s="536"/>
      <c r="P159" s="536"/>
      <c r="Q159" s="536"/>
      <c r="R159" s="536"/>
      <c r="S159" s="536"/>
      <c r="T159" s="536"/>
      <c r="U159" s="536"/>
      <c r="V159" s="536"/>
      <c r="W159" s="536"/>
      <c r="X159" s="536"/>
      <c r="Y159" s="536"/>
      <c r="Z159" s="536"/>
      <c r="AA159" s="536"/>
      <c r="AB159" s="536"/>
      <c r="AC159" s="536"/>
      <c r="AD159" s="536"/>
      <c r="AE159" s="536"/>
      <c r="AF159" s="536"/>
      <c r="AG159" s="536"/>
      <c r="AH159" s="536"/>
      <c r="AI159" s="536"/>
      <c r="AJ159" s="536"/>
      <c r="AK159" s="536"/>
      <c r="AL159" s="536"/>
      <c r="AM159" s="536"/>
      <c r="AN159" s="536"/>
      <c r="AO159" s="536"/>
      <c r="AP159" s="536"/>
      <c r="AQ159" s="536"/>
      <c r="AR159" s="536"/>
      <c r="AS159" s="536"/>
      <c r="AT159" s="536"/>
      <c r="AU159" s="536"/>
      <c r="AV159" s="536"/>
      <c r="AW159" s="536"/>
      <c r="AX159" s="536"/>
      <c r="AY159" s="536"/>
      <c r="AZ159" s="536"/>
      <c r="BA159" s="536"/>
      <c r="BB159" s="536"/>
      <c r="BC159" s="536"/>
      <c r="BD159" s="536"/>
      <c r="BE159" s="536"/>
      <c r="BF159" s="536"/>
      <c r="BG159" s="536"/>
      <c r="BH159" s="536"/>
      <c r="BI159" s="536"/>
      <c r="BJ159" s="536"/>
      <c r="BK159" s="536"/>
      <c r="BL159" s="536"/>
      <c r="BM159" s="536"/>
      <c r="BN159" s="536"/>
      <c r="BO159" s="536"/>
      <c r="BP159" s="536"/>
      <c r="BQ159" s="536"/>
      <c r="BR159" s="536"/>
      <c r="BS159" s="536"/>
      <c r="BT159" s="536"/>
      <c r="BU159" s="536"/>
      <c r="BV159" s="536"/>
      <c r="BW159" s="536"/>
      <c r="BX159" s="536"/>
      <c r="BY159" s="536"/>
      <c r="BZ159" s="536"/>
      <c r="CA159" s="536"/>
      <c r="CB159" s="536"/>
      <c r="CC159" s="536"/>
      <c r="CD159" s="536"/>
    </row>
    <row r="160" spans="1:82" x14ac:dyDescent="0.2">
      <c r="A160" s="536">
        <v>3</v>
      </c>
      <c r="B160" s="536">
        <v>2012</v>
      </c>
      <c r="C160" s="552">
        <v>41103</v>
      </c>
      <c r="D160" s="631" t="s">
        <v>537</v>
      </c>
      <c r="E160" s="540">
        <v>22.659988999999999</v>
      </c>
      <c r="F160" s="535"/>
      <c r="G160" s="536"/>
      <c r="H160" s="536"/>
      <c r="I160" s="536"/>
      <c r="J160" s="536"/>
      <c r="K160" s="536"/>
      <c r="L160" s="536"/>
      <c r="M160" s="536"/>
      <c r="N160" s="536"/>
      <c r="O160" s="536"/>
      <c r="P160" s="536"/>
      <c r="Q160" s="536"/>
      <c r="R160" s="536"/>
      <c r="S160" s="536"/>
      <c r="T160" s="536"/>
      <c r="U160" s="536"/>
      <c r="V160" s="536"/>
      <c r="W160" s="536"/>
      <c r="X160" s="536"/>
      <c r="Y160" s="536"/>
      <c r="Z160" s="536"/>
      <c r="AA160" s="536"/>
      <c r="AB160" s="536"/>
      <c r="AC160" s="536"/>
      <c r="AD160" s="536"/>
      <c r="AE160" s="536"/>
      <c r="AF160" s="536"/>
      <c r="AG160" s="536"/>
      <c r="AH160" s="536"/>
      <c r="AI160" s="536"/>
      <c r="AJ160" s="536"/>
      <c r="AK160" s="536"/>
      <c r="AL160" s="536"/>
      <c r="AM160" s="536"/>
      <c r="AN160" s="536"/>
      <c r="AO160" s="536"/>
      <c r="AP160" s="536"/>
      <c r="AQ160" s="536"/>
      <c r="AR160" s="536"/>
      <c r="AS160" s="536"/>
      <c r="AT160" s="536"/>
      <c r="AU160" s="536"/>
      <c r="AV160" s="536"/>
      <c r="AW160" s="536"/>
      <c r="AX160" s="536"/>
      <c r="AY160" s="536"/>
      <c r="AZ160" s="536"/>
      <c r="BA160" s="536"/>
      <c r="BB160" s="536"/>
      <c r="BC160" s="536"/>
      <c r="BD160" s="536"/>
      <c r="BE160" s="536"/>
      <c r="BF160" s="536"/>
      <c r="BG160" s="536"/>
      <c r="BH160" s="536"/>
      <c r="BI160" s="536"/>
      <c r="BJ160" s="536"/>
      <c r="BK160" s="536"/>
      <c r="BL160" s="536"/>
      <c r="BM160" s="536"/>
      <c r="BN160" s="536"/>
      <c r="BO160" s="536"/>
      <c r="BP160" s="536"/>
      <c r="BQ160" s="536"/>
      <c r="BR160" s="536"/>
      <c r="BS160" s="536"/>
      <c r="BT160" s="536"/>
      <c r="BU160" s="536"/>
      <c r="BV160" s="536"/>
      <c r="BW160" s="536"/>
      <c r="BX160" s="536"/>
      <c r="BY160" s="536"/>
      <c r="BZ160" s="536"/>
      <c r="CA160" s="536"/>
      <c r="CB160" s="536"/>
      <c r="CC160" s="536"/>
      <c r="CD160" s="536"/>
    </row>
    <row r="161" spans="1:82" x14ac:dyDescent="0.2">
      <c r="A161" s="536">
        <v>3</v>
      </c>
      <c r="B161" s="536">
        <v>2012</v>
      </c>
      <c r="C161" s="552">
        <v>41110</v>
      </c>
      <c r="D161" s="631" t="s">
        <v>537</v>
      </c>
      <c r="E161" s="540">
        <v>22.369996</v>
      </c>
      <c r="F161" s="535"/>
      <c r="G161" s="536"/>
      <c r="H161" s="536"/>
      <c r="I161" s="536"/>
      <c r="J161" s="536"/>
      <c r="K161" s="536"/>
      <c r="L161" s="536"/>
      <c r="M161" s="536"/>
      <c r="N161" s="536"/>
      <c r="O161" s="536"/>
      <c r="P161" s="536"/>
      <c r="Q161" s="536"/>
      <c r="R161" s="536"/>
      <c r="S161" s="536"/>
      <c r="T161" s="536"/>
      <c r="U161" s="536"/>
      <c r="V161" s="536"/>
      <c r="W161" s="536"/>
      <c r="X161" s="536"/>
      <c r="Y161" s="536"/>
      <c r="Z161" s="536"/>
      <c r="AA161" s="536"/>
      <c r="AB161" s="536"/>
      <c r="AC161" s="536"/>
      <c r="AD161" s="536"/>
      <c r="AE161" s="536"/>
      <c r="AF161" s="536"/>
      <c r="AG161" s="536"/>
      <c r="AH161" s="536"/>
      <c r="AI161" s="536"/>
      <c r="AJ161" s="536"/>
      <c r="AK161" s="536"/>
      <c r="AL161" s="536"/>
      <c r="AM161" s="536"/>
      <c r="AN161" s="536"/>
      <c r="AO161" s="536"/>
      <c r="AP161" s="536"/>
      <c r="AQ161" s="536"/>
      <c r="AR161" s="536"/>
      <c r="AS161" s="536"/>
      <c r="AT161" s="536"/>
      <c r="AU161" s="536"/>
      <c r="AV161" s="536"/>
      <c r="AW161" s="536"/>
      <c r="AX161" s="536"/>
      <c r="AY161" s="536"/>
      <c r="AZ161" s="536"/>
      <c r="BA161" s="536"/>
      <c r="BB161" s="536"/>
      <c r="BC161" s="536"/>
      <c r="BD161" s="536"/>
      <c r="BE161" s="536"/>
      <c r="BF161" s="536"/>
      <c r="BG161" s="536"/>
      <c r="BH161" s="536"/>
      <c r="BI161" s="536"/>
      <c r="BJ161" s="536"/>
      <c r="BK161" s="536"/>
      <c r="BL161" s="536"/>
      <c r="BM161" s="536"/>
      <c r="BN161" s="536"/>
      <c r="BO161" s="536"/>
      <c r="BP161" s="536"/>
      <c r="BQ161" s="536"/>
      <c r="BR161" s="536"/>
      <c r="BS161" s="536"/>
      <c r="BT161" s="536"/>
      <c r="BU161" s="536"/>
      <c r="BV161" s="536"/>
      <c r="BW161" s="536"/>
      <c r="BX161" s="536"/>
      <c r="BY161" s="536"/>
      <c r="BZ161" s="536"/>
      <c r="CA161" s="536"/>
      <c r="CB161" s="536"/>
      <c r="CC161" s="536"/>
      <c r="CD161" s="536"/>
    </row>
    <row r="162" spans="1:82" x14ac:dyDescent="0.2">
      <c r="A162" s="536">
        <v>3</v>
      </c>
      <c r="B162" s="536">
        <v>2012</v>
      </c>
      <c r="C162" s="552">
        <v>41117</v>
      </c>
      <c r="D162" s="631" t="s">
        <v>537</v>
      </c>
      <c r="E162" s="540">
        <v>22.849990999999999</v>
      </c>
      <c r="F162" s="535"/>
      <c r="G162" s="536"/>
      <c r="H162" s="536"/>
      <c r="I162" s="536"/>
      <c r="J162" s="536"/>
      <c r="K162" s="536"/>
      <c r="L162" s="536"/>
      <c r="M162" s="536"/>
      <c r="N162" s="536"/>
      <c r="O162" s="536"/>
      <c r="P162" s="536"/>
      <c r="Q162" s="536"/>
      <c r="R162" s="536"/>
      <c r="S162" s="536"/>
      <c r="T162" s="536"/>
      <c r="U162" s="536"/>
      <c r="V162" s="536"/>
      <c r="W162" s="536"/>
      <c r="X162" s="536"/>
      <c r="Y162" s="536"/>
      <c r="Z162" s="536"/>
      <c r="AA162" s="536"/>
      <c r="AB162" s="536"/>
      <c r="AC162" s="536"/>
      <c r="AD162" s="536"/>
      <c r="AE162" s="536"/>
      <c r="AF162" s="536"/>
      <c r="AG162" s="536"/>
      <c r="AH162" s="536"/>
      <c r="AI162" s="536"/>
      <c r="AJ162" s="536"/>
      <c r="AK162" s="536"/>
      <c r="AL162" s="536"/>
      <c r="AM162" s="536"/>
      <c r="AN162" s="536"/>
      <c r="AO162" s="536"/>
      <c r="AP162" s="536"/>
      <c r="AQ162" s="536"/>
      <c r="AR162" s="536"/>
      <c r="AS162" s="536"/>
      <c r="AT162" s="536"/>
      <c r="AU162" s="536"/>
      <c r="AV162" s="536"/>
      <c r="AW162" s="536"/>
      <c r="AX162" s="536"/>
      <c r="AY162" s="536"/>
      <c r="AZ162" s="536"/>
      <c r="BA162" s="536"/>
      <c r="BB162" s="536"/>
      <c r="BC162" s="536"/>
      <c r="BD162" s="536"/>
      <c r="BE162" s="536"/>
      <c r="BF162" s="536"/>
      <c r="BG162" s="536"/>
      <c r="BH162" s="536"/>
      <c r="BI162" s="536"/>
      <c r="BJ162" s="536"/>
      <c r="BK162" s="536"/>
      <c r="BL162" s="536"/>
      <c r="BM162" s="536"/>
      <c r="BN162" s="536"/>
      <c r="BO162" s="536"/>
      <c r="BP162" s="536"/>
      <c r="BQ162" s="536"/>
      <c r="BR162" s="536"/>
      <c r="BS162" s="536"/>
      <c r="BT162" s="536"/>
      <c r="BU162" s="536"/>
      <c r="BV162" s="536"/>
      <c r="BW162" s="536"/>
      <c r="BX162" s="536"/>
      <c r="BY162" s="536"/>
      <c r="BZ162" s="536"/>
      <c r="CA162" s="536"/>
      <c r="CB162" s="536"/>
      <c r="CC162" s="536"/>
      <c r="CD162" s="536"/>
    </row>
    <row r="163" spans="1:82" x14ac:dyDescent="0.2">
      <c r="A163" s="536">
        <v>3</v>
      </c>
      <c r="B163" s="536">
        <v>2012</v>
      </c>
      <c r="C163" s="552">
        <v>41124</v>
      </c>
      <c r="D163" s="631" t="s">
        <v>537</v>
      </c>
      <c r="E163" s="540">
        <v>23.109985999999999</v>
      </c>
      <c r="F163" s="535"/>
      <c r="G163" s="536"/>
      <c r="H163" s="536"/>
      <c r="I163" s="536"/>
      <c r="J163" s="536"/>
      <c r="K163" s="536"/>
      <c r="L163" s="536"/>
      <c r="M163" s="536"/>
      <c r="N163" s="536"/>
      <c r="O163" s="536"/>
      <c r="P163" s="536"/>
      <c r="Q163" s="536"/>
      <c r="R163" s="536"/>
      <c r="S163" s="536"/>
      <c r="T163" s="536"/>
      <c r="U163" s="536"/>
      <c r="V163" s="536"/>
      <c r="W163" s="536"/>
      <c r="X163" s="536"/>
      <c r="Y163" s="536"/>
      <c r="Z163" s="536"/>
      <c r="AA163" s="536"/>
      <c r="AB163" s="536"/>
      <c r="AC163" s="536"/>
      <c r="AD163" s="536"/>
      <c r="AE163" s="536"/>
      <c r="AF163" s="536"/>
      <c r="AG163" s="536"/>
      <c r="AH163" s="536"/>
      <c r="AI163" s="536"/>
      <c r="AJ163" s="536"/>
      <c r="AK163" s="536"/>
      <c r="AL163" s="536"/>
      <c r="AM163" s="536"/>
      <c r="AN163" s="536"/>
      <c r="AO163" s="536"/>
      <c r="AP163" s="536"/>
      <c r="AQ163" s="536"/>
      <c r="AR163" s="536"/>
      <c r="AS163" s="536"/>
      <c r="AT163" s="536"/>
      <c r="AU163" s="536"/>
      <c r="AV163" s="536"/>
      <c r="AW163" s="536"/>
      <c r="AX163" s="536"/>
      <c r="AY163" s="536"/>
      <c r="AZ163" s="536"/>
      <c r="BA163" s="536"/>
      <c r="BB163" s="536"/>
      <c r="BC163" s="536"/>
      <c r="BD163" s="536"/>
      <c r="BE163" s="536"/>
      <c r="BF163" s="536"/>
      <c r="BG163" s="536"/>
      <c r="BH163" s="536"/>
      <c r="BI163" s="536"/>
      <c r="BJ163" s="536"/>
      <c r="BK163" s="536"/>
      <c r="BL163" s="536"/>
      <c r="BM163" s="536"/>
      <c r="BN163" s="536"/>
      <c r="BO163" s="536"/>
      <c r="BP163" s="536"/>
      <c r="BQ163" s="536"/>
      <c r="BR163" s="536"/>
      <c r="BS163" s="536"/>
      <c r="BT163" s="536"/>
      <c r="BU163" s="536"/>
      <c r="BV163" s="536"/>
      <c r="BW163" s="536"/>
      <c r="BX163" s="536"/>
      <c r="BY163" s="536"/>
      <c r="BZ163" s="536"/>
      <c r="CA163" s="536"/>
      <c r="CB163" s="536"/>
      <c r="CC163" s="536"/>
      <c r="CD163" s="536"/>
    </row>
    <row r="164" spans="1:82" x14ac:dyDescent="0.2">
      <c r="A164" s="536">
        <v>3</v>
      </c>
      <c r="B164" s="536">
        <v>2012</v>
      </c>
      <c r="C164" s="552">
        <v>41131</v>
      </c>
      <c r="D164" s="631" t="s">
        <v>537</v>
      </c>
      <c r="E164" s="540">
        <v>22.979996</v>
      </c>
      <c r="F164" s="535"/>
      <c r="G164" s="536"/>
      <c r="H164" s="536"/>
      <c r="I164" s="536"/>
      <c r="J164" s="536"/>
      <c r="K164" s="536"/>
      <c r="L164" s="536"/>
      <c r="M164" s="536"/>
      <c r="N164" s="536"/>
      <c r="O164" s="536"/>
      <c r="P164" s="536"/>
      <c r="Q164" s="536"/>
      <c r="R164" s="536"/>
      <c r="S164" s="536"/>
      <c r="T164" s="536"/>
      <c r="U164" s="536"/>
      <c r="V164" s="536"/>
      <c r="W164" s="536"/>
      <c r="X164" s="536"/>
      <c r="Y164" s="536"/>
      <c r="Z164" s="536"/>
      <c r="AA164" s="536"/>
      <c r="AB164" s="536"/>
      <c r="AC164" s="536"/>
      <c r="AD164" s="536"/>
      <c r="AE164" s="536"/>
      <c r="AF164" s="536"/>
      <c r="AG164" s="536"/>
      <c r="AH164" s="536"/>
      <c r="AI164" s="536"/>
      <c r="AJ164" s="536"/>
      <c r="AK164" s="536"/>
      <c r="AL164" s="536"/>
      <c r="AM164" s="536"/>
      <c r="AN164" s="536"/>
      <c r="AO164" s="536"/>
      <c r="AP164" s="536"/>
      <c r="AQ164" s="536"/>
      <c r="AR164" s="536"/>
      <c r="AS164" s="536"/>
      <c r="AT164" s="536"/>
      <c r="AU164" s="536"/>
      <c r="AV164" s="536"/>
      <c r="AW164" s="536"/>
      <c r="AX164" s="536"/>
      <c r="AY164" s="536"/>
      <c r="AZ164" s="536"/>
      <c r="BA164" s="536"/>
      <c r="BB164" s="536"/>
      <c r="BC164" s="536"/>
      <c r="BD164" s="536"/>
      <c r="BE164" s="536"/>
      <c r="BF164" s="536"/>
      <c r="BG164" s="536"/>
      <c r="BH164" s="536"/>
      <c r="BI164" s="536"/>
      <c r="BJ164" s="536"/>
      <c r="BK164" s="536"/>
      <c r="BL164" s="536"/>
      <c r="BM164" s="536"/>
      <c r="BN164" s="536"/>
      <c r="BO164" s="536"/>
      <c r="BP164" s="536"/>
      <c r="BQ164" s="536"/>
      <c r="BR164" s="536"/>
      <c r="BS164" s="536"/>
      <c r="BT164" s="536"/>
      <c r="BU164" s="536"/>
      <c r="BV164" s="536"/>
      <c r="BW164" s="536"/>
      <c r="BX164" s="536"/>
      <c r="BY164" s="536"/>
      <c r="BZ164" s="536"/>
      <c r="CA164" s="536"/>
      <c r="CB164" s="536"/>
      <c r="CC164" s="536"/>
      <c r="CD164" s="536"/>
    </row>
    <row r="165" spans="1:82" x14ac:dyDescent="0.2">
      <c r="A165" s="536">
        <v>3</v>
      </c>
      <c r="B165" s="536">
        <v>2012</v>
      </c>
      <c r="C165" s="552">
        <v>41138</v>
      </c>
      <c r="D165" s="631" t="s">
        <v>537</v>
      </c>
      <c r="E165" s="540">
        <v>23.39</v>
      </c>
      <c r="F165" s="535"/>
      <c r="G165" s="536"/>
      <c r="H165" s="536"/>
      <c r="I165" s="536"/>
      <c r="J165" s="536"/>
      <c r="K165" s="536"/>
      <c r="L165" s="536"/>
      <c r="M165" s="536"/>
      <c r="N165" s="536"/>
      <c r="O165" s="536"/>
      <c r="P165" s="536"/>
      <c r="Q165" s="536"/>
      <c r="R165" s="536"/>
      <c r="S165" s="536"/>
      <c r="T165" s="536"/>
      <c r="U165" s="536"/>
      <c r="V165" s="536"/>
      <c r="W165" s="536"/>
      <c r="X165" s="536"/>
      <c r="Y165" s="536"/>
      <c r="Z165" s="536"/>
      <c r="AA165" s="536"/>
      <c r="AB165" s="536"/>
      <c r="AC165" s="536"/>
      <c r="AD165" s="536"/>
      <c r="AE165" s="536"/>
      <c r="AF165" s="536"/>
      <c r="AG165" s="536"/>
      <c r="AH165" s="536"/>
      <c r="AI165" s="536"/>
      <c r="AJ165" s="536"/>
      <c r="AK165" s="536"/>
      <c r="AL165" s="536"/>
      <c r="AM165" s="536"/>
      <c r="AN165" s="536"/>
      <c r="AO165" s="536"/>
      <c r="AP165" s="536"/>
      <c r="AQ165" s="536"/>
      <c r="AR165" s="536"/>
      <c r="AS165" s="536"/>
      <c r="AT165" s="536"/>
      <c r="AU165" s="536"/>
      <c r="AV165" s="536"/>
      <c r="AW165" s="536"/>
      <c r="AX165" s="536"/>
      <c r="AY165" s="536"/>
      <c r="AZ165" s="536"/>
      <c r="BA165" s="536"/>
      <c r="BB165" s="536"/>
      <c r="BC165" s="536"/>
      <c r="BD165" s="536"/>
      <c r="BE165" s="536"/>
      <c r="BF165" s="536"/>
      <c r="BG165" s="536"/>
      <c r="BH165" s="536"/>
      <c r="BI165" s="536"/>
      <c r="BJ165" s="536"/>
      <c r="BK165" s="536"/>
      <c r="BL165" s="536"/>
      <c r="BM165" s="536"/>
      <c r="BN165" s="536"/>
      <c r="BO165" s="536"/>
      <c r="BP165" s="536"/>
      <c r="BQ165" s="536"/>
      <c r="BR165" s="536"/>
      <c r="BS165" s="536"/>
      <c r="BT165" s="536"/>
      <c r="BU165" s="536"/>
      <c r="BV165" s="536"/>
      <c r="BW165" s="536"/>
      <c r="BX165" s="536"/>
      <c r="BY165" s="536"/>
      <c r="BZ165" s="536"/>
      <c r="CA165" s="536"/>
      <c r="CB165" s="536"/>
      <c r="CC165" s="536"/>
      <c r="CD165" s="536"/>
    </row>
    <row r="166" spans="1:82" x14ac:dyDescent="0.2">
      <c r="A166" s="536">
        <v>3</v>
      </c>
      <c r="B166" s="536">
        <v>2012</v>
      </c>
      <c r="C166" s="552">
        <v>41145</v>
      </c>
      <c r="D166" s="631" t="s">
        <v>537</v>
      </c>
      <c r="E166" s="540">
        <v>22.989991</v>
      </c>
      <c r="F166" s="535"/>
      <c r="G166" s="536"/>
      <c r="H166" s="536"/>
      <c r="I166" s="536"/>
      <c r="J166" s="536"/>
      <c r="K166" s="536"/>
      <c r="L166" s="536"/>
      <c r="M166" s="536"/>
      <c r="N166" s="536"/>
      <c r="O166" s="536"/>
      <c r="P166" s="536"/>
      <c r="Q166" s="536"/>
      <c r="R166" s="536"/>
      <c r="S166" s="536"/>
      <c r="T166" s="536"/>
      <c r="U166" s="536"/>
      <c r="V166" s="536"/>
      <c r="W166" s="536"/>
      <c r="X166" s="536"/>
      <c r="Y166" s="536"/>
      <c r="Z166" s="536"/>
      <c r="AA166" s="536"/>
      <c r="AB166" s="536"/>
      <c r="AC166" s="536"/>
      <c r="AD166" s="536"/>
      <c r="AE166" s="536"/>
      <c r="AF166" s="536"/>
      <c r="AG166" s="536"/>
      <c r="AH166" s="536"/>
      <c r="AI166" s="536"/>
      <c r="AJ166" s="536"/>
      <c r="AK166" s="536"/>
      <c r="AL166" s="536"/>
      <c r="AM166" s="536"/>
      <c r="AN166" s="536"/>
      <c r="AO166" s="536"/>
      <c r="AP166" s="536"/>
      <c r="AQ166" s="536"/>
      <c r="AR166" s="536"/>
      <c r="AS166" s="536"/>
      <c r="AT166" s="536"/>
      <c r="AU166" s="536"/>
      <c r="AV166" s="536"/>
      <c r="AW166" s="536"/>
      <c r="AX166" s="536"/>
      <c r="AY166" s="536"/>
      <c r="AZ166" s="536"/>
      <c r="BA166" s="536"/>
      <c r="BB166" s="536"/>
      <c r="BC166" s="536"/>
      <c r="BD166" s="536"/>
      <c r="BE166" s="536"/>
      <c r="BF166" s="536"/>
      <c r="BG166" s="536"/>
      <c r="BH166" s="536"/>
      <c r="BI166" s="536"/>
      <c r="BJ166" s="536"/>
      <c r="BK166" s="536"/>
      <c r="BL166" s="536"/>
      <c r="BM166" s="536"/>
      <c r="BN166" s="536"/>
      <c r="BO166" s="536"/>
      <c r="BP166" s="536"/>
      <c r="BQ166" s="536"/>
      <c r="BR166" s="536"/>
      <c r="BS166" s="536"/>
      <c r="BT166" s="536"/>
      <c r="BU166" s="536"/>
      <c r="BV166" s="536"/>
      <c r="BW166" s="536"/>
      <c r="BX166" s="536"/>
      <c r="BY166" s="536"/>
      <c r="BZ166" s="536"/>
      <c r="CA166" s="536"/>
      <c r="CB166" s="536"/>
      <c r="CC166" s="536"/>
      <c r="CD166" s="536"/>
    </row>
    <row r="167" spans="1:82" x14ac:dyDescent="0.2">
      <c r="A167" s="536">
        <v>3</v>
      </c>
      <c r="B167" s="536">
        <v>2012</v>
      </c>
      <c r="C167" s="552">
        <v>41152</v>
      </c>
      <c r="D167" s="631" t="s">
        <v>537</v>
      </c>
      <c r="E167" s="540">
        <v>22.459992</v>
      </c>
      <c r="F167" s="535"/>
      <c r="G167" s="536"/>
      <c r="H167" s="536"/>
      <c r="I167" s="536"/>
      <c r="J167" s="536"/>
      <c r="K167" s="536"/>
      <c r="L167" s="536"/>
      <c r="M167" s="536"/>
      <c r="N167" s="536"/>
      <c r="O167" s="536"/>
      <c r="P167" s="536"/>
      <c r="Q167" s="536"/>
      <c r="R167" s="536"/>
      <c r="S167" s="536"/>
      <c r="T167" s="536"/>
      <c r="U167" s="536"/>
      <c r="V167" s="536"/>
      <c r="W167" s="536"/>
      <c r="X167" s="536"/>
      <c r="Y167" s="536"/>
      <c r="Z167" s="536"/>
      <c r="AA167" s="536"/>
      <c r="AB167" s="536"/>
      <c r="AC167" s="536"/>
      <c r="AD167" s="536"/>
      <c r="AE167" s="536"/>
      <c r="AF167" s="536"/>
      <c r="AG167" s="536"/>
      <c r="AH167" s="536"/>
      <c r="AI167" s="536"/>
      <c r="AJ167" s="536"/>
      <c r="AK167" s="536"/>
      <c r="AL167" s="536"/>
      <c r="AM167" s="536"/>
      <c r="AN167" s="536"/>
      <c r="AO167" s="536"/>
      <c r="AP167" s="536"/>
      <c r="AQ167" s="536"/>
      <c r="AR167" s="536"/>
      <c r="AS167" s="536"/>
      <c r="AT167" s="536"/>
      <c r="AU167" s="536"/>
      <c r="AV167" s="536"/>
      <c r="AW167" s="536"/>
      <c r="AX167" s="536"/>
      <c r="AY167" s="536"/>
      <c r="AZ167" s="536"/>
      <c r="BA167" s="536"/>
      <c r="BB167" s="536"/>
      <c r="BC167" s="536"/>
      <c r="BD167" s="536"/>
      <c r="BE167" s="536"/>
      <c r="BF167" s="536"/>
      <c r="BG167" s="536"/>
      <c r="BH167" s="536"/>
      <c r="BI167" s="536"/>
      <c r="BJ167" s="536"/>
      <c r="BK167" s="536"/>
      <c r="BL167" s="536"/>
      <c r="BM167" s="536"/>
      <c r="BN167" s="536"/>
      <c r="BO167" s="536"/>
      <c r="BP167" s="536"/>
      <c r="BQ167" s="536"/>
      <c r="BR167" s="536"/>
      <c r="BS167" s="536"/>
      <c r="BT167" s="536"/>
      <c r="BU167" s="536"/>
      <c r="BV167" s="536"/>
      <c r="BW167" s="536"/>
      <c r="BX167" s="536"/>
      <c r="BY167" s="536"/>
      <c r="BZ167" s="536"/>
      <c r="CA167" s="536"/>
      <c r="CB167" s="536"/>
      <c r="CC167" s="536"/>
      <c r="CD167" s="536"/>
    </row>
    <row r="168" spans="1:82" x14ac:dyDescent="0.2">
      <c r="A168" s="536">
        <v>3</v>
      </c>
      <c r="B168" s="536">
        <v>2012</v>
      </c>
      <c r="C168" s="552">
        <v>41159</v>
      </c>
      <c r="D168" s="631" t="s">
        <v>537</v>
      </c>
      <c r="E168" s="540">
        <v>22.309998</v>
      </c>
      <c r="F168" s="535"/>
      <c r="G168" s="536"/>
      <c r="H168" s="536"/>
      <c r="I168" s="536"/>
      <c r="J168" s="536"/>
      <c r="K168" s="536"/>
      <c r="L168" s="536"/>
      <c r="M168" s="536"/>
      <c r="N168" s="536"/>
      <c r="O168" s="536"/>
      <c r="P168" s="536"/>
      <c r="Q168" s="536"/>
      <c r="R168" s="536"/>
      <c r="S168" s="536"/>
      <c r="T168" s="536"/>
      <c r="U168" s="536"/>
      <c r="V168" s="536"/>
      <c r="W168" s="536"/>
      <c r="X168" s="536"/>
      <c r="Y168" s="536"/>
      <c r="Z168" s="536"/>
      <c r="AA168" s="536"/>
      <c r="AB168" s="536"/>
      <c r="AC168" s="536"/>
      <c r="AD168" s="536"/>
      <c r="AE168" s="536"/>
      <c r="AF168" s="536"/>
      <c r="AG168" s="536"/>
      <c r="AH168" s="536"/>
      <c r="AI168" s="536"/>
      <c r="AJ168" s="536"/>
      <c r="AK168" s="536"/>
      <c r="AL168" s="536"/>
      <c r="AM168" s="536"/>
      <c r="AN168" s="536"/>
      <c r="AO168" s="536"/>
      <c r="AP168" s="536"/>
      <c r="AQ168" s="536"/>
      <c r="AR168" s="536"/>
      <c r="AS168" s="536"/>
      <c r="AT168" s="536"/>
      <c r="AU168" s="536"/>
      <c r="AV168" s="536"/>
      <c r="AW168" s="536"/>
      <c r="AX168" s="536"/>
      <c r="AY168" s="536"/>
      <c r="AZ168" s="536"/>
      <c r="BA168" s="536"/>
      <c r="BB168" s="536"/>
      <c r="BC168" s="536"/>
      <c r="BD168" s="536"/>
      <c r="BE168" s="536"/>
      <c r="BF168" s="536"/>
      <c r="BG168" s="536"/>
      <c r="BH168" s="536"/>
      <c r="BI168" s="536"/>
      <c r="BJ168" s="536"/>
      <c r="BK168" s="536"/>
      <c r="BL168" s="536"/>
      <c r="BM168" s="536"/>
      <c r="BN168" s="536"/>
      <c r="BO168" s="536"/>
      <c r="BP168" s="536"/>
      <c r="BQ168" s="536"/>
      <c r="BR168" s="536"/>
      <c r="BS168" s="536"/>
      <c r="BT168" s="536"/>
      <c r="BU168" s="536"/>
      <c r="BV168" s="536"/>
      <c r="BW168" s="536"/>
      <c r="BX168" s="536"/>
      <c r="BY168" s="536"/>
      <c r="BZ168" s="536"/>
      <c r="CA168" s="536"/>
      <c r="CB168" s="536"/>
      <c r="CC168" s="536"/>
      <c r="CD168" s="536"/>
    </row>
    <row r="169" spans="1:82" x14ac:dyDescent="0.2">
      <c r="A169" s="536">
        <v>3</v>
      </c>
      <c r="B169" s="536">
        <v>2012</v>
      </c>
      <c r="C169" s="552">
        <v>41166</v>
      </c>
      <c r="D169" s="631" t="s">
        <v>537</v>
      </c>
      <c r="E169" s="540">
        <v>23.159988999999999</v>
      </c>
      <c r="F169" s="535"/>
      <c r="G169" s="536"/>
      <c r="H169" s="536"/>
      <c r="I169" s="536"/>
      <c r="J169" s="536"/>
      <c r="K169" s="536"/>
      <c r="L169" s="536"/>
      <c r="M169" s="536"/>
      <c r="N169" s="536"/>
      <c r="O169" s="536"/>
      <c r="P169" s="536"/>
      <c r="Q169" s="536"/>
      <c r="R169" s="536"/>
      <c r="S169" s="536"/>
      <c r="T169" s="536"/>
      <c r="U169" s="536"/>
      <c r="V169" s="536"/>
      <c r="W169" s="536"/>
      <c r="X169" s="536"/>
      <c r="Y169" s="536"/>
      <c r="Z169" s="536"/>
      <c r="AA169" s="536"/>
      <c r="AB169" s="536"/>
      <c r="AC169" s="536"/>
      <c r="AD169" s="536"/>
      <c r="AE169" s="536"/>
      <c r="AF169" s="536"/>
      <c r="AG169" s="536"/>
      <c r="AH169" s="536"/>
      <c r="AI169" s="536"/>
      <c r="AJ169" s="536"/>
      <c r="AK169" s="536"/>
      <c r="AL169" s="536"/>
      <c r="AM169" s="536"/>
      <c r="AN169" s="536"/>
      <c r="AO169" s="536"/>
      <c r="AP169" s="536"/>
      <c r="AQ169" s="536"/>
      <c r="AR169" s="536"/>
      <c r="AS169" s="536"/>
      <c r="AT169" s="536"/>
      <c r="AU169" s="536"/>
      <c r="AV169" s="536"/>
      <c r="AW169" s="536"/>
      <c r="AX169" s="536"/>
      <c r="AY169" s="536"/>
      <c r="AZ169" s="536"/>
      <c r="BA169" s="536"/>
      <c r="BB169" s="536"/>
      <c r="BC169" s="536"/>
      <c r="BD169" s="536"/>
      <c r="BE169" s="536"/>
      <c r="BF169" s="536"/>
      <c r="BG169" s="536"/>
      <c r="BH169" s="536"/>
      <c r="BI169" s="536"/>
      <c r="BJ169" s="536"/>
      <c r="BK169" s="536"/>
      <c r="BL169" s="536"/>
      <c r="BM169" s="536"/>
      <c r="BN169" s="536"/>
      <c r="BO169" s="536"/>
      <c r="BP169" s="536"/>
      <c r="BQ169" s="536"/>
      <c r="BR169" s="536"/>
      <c r="BS169" s="536"/>
      <c r="BT169" s="536"/>
      <c r="BU169" s="536"/>
      <c r="BV169" s="536"/>
      <c r="BW169" s="536"/>
      <c r="BX169" s="536"/>
      <c r="BY169" s="536"/>
      <c r="BZ169" s="536"/>
      <c r="CA169" s="536"/>
      <c r="CB169" s="536"/>
      <c r="CC169" s="536"/>
      <c r="CD169" s="536"/>
    </row>
    <row r="170" spans="1:82" x14ac:dyDescent="0.2">
      <c r="A170" s="536">
        <v>3</v>
      </c>
      <c r="B170" s="536">
        <v>2012</v>
      </c>
      <c r="C170" s="552">
        <v>41173</v>
      </c>
      <c r="D170" s="631" t="s">
        <v>537</v>
      </c>
      <c r="E170" s="540">
        <v>21.129989999999999</v>
      </c>
      <c r="F170" s="535"/>
      <c r="G170" s="536"/>
      <c r="H170" s="536"/>
      <c r="I170" s="536"/>
      <c r="J170" s="536"/>
      <c r="K170" s="536"/>
      <c r="L170" s="536"/>
      <c r="M170" s="536"/>
      <c r="N170" s="536"/>
      <c r="O170" s="536"/>
      <c r="P170" s="536"/>
      <c r="Q170" s="536"/>
      <c r="R170" s="536"/>
      <c r="S170" s="536"/>
      <c r="T170" s="536"/>
      <c r="U170" s="536"/>
      <c r="V170" s="536"/>
      <c r="W170" s="536"/>
      <c r="X170" s="536"/>
      <c r="Y170" s="536"/>
      <c r="Z170" s="536"/>
      <c r="AA170" s="536"/>
      <c r="AB170" s="536"/>
      <c r="AC170" s="536"/>
      <c r="AD170" s="536"/>
      <c r="AE170" s="536"/>
      <c r="AF170" s="536"/>
      <c r="AG170" s="536"/>
      <c r="AH170" s="536"/>
      <c r="AI170" s="536"/>
      <c r="AJ170" s="536"/>
      <c r="AK170" s="536"/>
      <c r="AL170" s="536"/>
      <c r="AM170" s="536"/>
      <c r="AN170" s="536"/>
      <c r="AO170" s="536"/>
      <c r="AP170" s="536"/>
      <c r="AQ170" s="536"/>
      <c r="AR170" s="536"/>
      <c r="AS170" s="536"/>
      <c r="AT170" s="536"/>
      <c r="AU170" s="536"/>
      <c r="AV170" s="536"/>
      <c r="AW170" s="536"/>
      <c r="AX170" s="536"/>
      <c r="AY170" s="536"/>
      <c r="AZ170" s="536"/>
      <c r="BA170" s="536"/>
      <c r="BB170" s="536"/>
      <c r="BC170" s="536"/>
      <c r="BD170" s="536"/>
      <c r="BE170" s="536"/>
      <c r="BF170" s="536"/>
      <c r="BG170" s="536"/>
      <c r="BH170" s="536"/>
      <c r="BI170" s="536"/>
      <c r="BJ170" s="536"/>
      <c r="BK170" s="536"/>
      <c r="BL170" s="536"/>
      <c r="BM170" s="536"/>
      <c r="BN170" s="536"/>
      <c r="BO170" s="536"/>
      <c r="BP170" s="536"/>
      <c r="BQ170" s="536"/>
      <c r="BR170" s="536"/>
      <c r="BS170" s="536"/>
      <c r="BT170" s="536"/>
      <c r="BU170" s="536"/>
      <c r="BV170" s="536"/>
      <c r="BW170" s="536"/>
      <c r="BX170" s="536"/>
      <c r="BY170" s="536"/>
      <c r="BZ170" s="536"/>
      <c r="CA170" s="536"/>
      <c r="CB170" s="536"/>
      <c r="CC170" s="536"/>
      <c r="CD170" s="536"/>
    </row>
    <row r="171" spans="1:82" x14ac:dyDescent="0.2">
      <c r="A171" s="536">
        <v>3</v>
      </c>
      <c r="B171" s="536">
        <v>2012</v>
      </c>
      <c r="C171" s="552">
        <v>41180</v>
      </c>
      <c r="D171" s="631" t="s">
        <v>537</v>
      </c>
      <c r="E171" s="540">
        <v>20.75</v>
      </c>
      <c r="F171" s="535"/>
      <c r="G171" s="536"/>
      <c r="H171" s="536"/>
      <c r="I171" s="536"/>
      <c r="J171" s="536"/>
      <c r="K171" s="536"/>
      <c r="L171" s="536"/>
      <c r="M171" s="536"/>
      <c r="N171" s="536"/>
      <c r="O171" s="536"/>
      <c r="P171" s="536"/>
      <c r="Q171" s="536"/>
      <c r="R171" s="536"/>
      <c r="S171" s="536"/>
      <c r="T171" s="536"/>
      <c r="U171" s="536"/>
      <c r="V171" s="536"/>
      <c r="W171" s="536"/>
      <c r="X171" s="536"/>
      <c r="Y171" s="536"/>
      <c r="Z171" s="536"/>
      <c r="AA171" s="536"/>
      <c r="AB171" s="536"/>
      <c r="AC171" s="536"/>
      <c r="AD171" s="536"/>
      <c r="AE171" s="536"/>
      <c r="AF171" s="536"/>
      <c r="AG171" s="536"/>
      <c r="AH171" s="536"/>
      <c r="AI171" s="536"/>
      <c r="AJ171" s="536"/>
      <c r="AK171" s="536"/>
      <c r="AL171" s="536"/>
      <c r="AM171" s="536"/>
      <c r="AN171" s="536"/>
      <c r="AO171" s="536"/>
      <c r="AP171" s="536"/>
      <c r="AQ171" s="536"/>
      <c r="AR171" s="536"/>
      <c r="AS171" s="536"/>
      <c r="AT171" s="536"/>
      <c r="AU171" s="536"/>
      <c r="AV171" s="536"/>
      <c r="AW171" s="536"/>
      <c r="AX171" s="536"/>
      <c r="AY171" s="536"/>
      <c r="AZ171" s="536"/>
      <c r="BA171" s="536"/>
      <c r="BB171" s="536"/>
      <c r="BC171" s="536"/>
      <c r="BD171" s="536"/>
      <c r="BE171" s="536"/>
      <c r="BF171" s="536"/>
      <c r="BG171" s="536"/>
      <c r="BH171" s="536"/>
      <c r="BI171" s="536"/>
      <c r="BJ171" s="536"/>
      <c r="BK171" s="536"/>
      <c r="BL171" s="536"/>
      <c r="BM171" s="536"/>
      <c r="BN171" s="536"/>
      <c r="BO171" s="536"/>
      <c r="BP171" s="536"/>
      <c r="BQ171" s="536"/>
      <c r="BR171" s="536"/>
      <c r="BS171" s="536"/>
      <c r="BT171" s="536"/>
      <c r="BU171" s="536"/>
      <c r="BV171" s="536"/>
      <c r="BW171" s="536"/>
      <c r="BX171" s="536"/>
      <c r="BY171" s="536"/>
      <c r="BZ171" s="536"/>
      <c r="CA171" s="536"/>
      <c r="CB171" s="536"/>
      <c r="CC171" s="536"/>
      <c r="CD171" s="536"/>
    </row>
    <row r="172" spans="1:82" x14ac:dyDescent="0.2">
      <c r="A172" s="536">
        <v>4</v>
      </c>
      <c r="B172" s="536">
        <v>2012</v>
      </c>
      <c r="C172" s="552">
        <v>41187</v>
      </c>
      <c r="D172" s="631" t="s">
        <v>69</v>
      </c>
      <c r="E172" s="540">
        <v>21.419999000000001</v>
      </c>
      <c r="F172" s="535"/>
      <c r="G172" s="536"/>
      <c r="H172" s="536"/>
      <c r="I172" s="536"/>
      <c r="J172" s="536"/>
      <c r="K172" s="536"/>
      <c r="L172" s="536"/>
      <c r="M172" s="536"/>
      <c r="N172" s="536"/>
      <c r="O172" s="536"/>
      <c r="P172" s="536"/>
      <c r="Q172" s="536"/>
      <c r="R172" s="536"/>
      <c r="S172" s="536"/>
      <c r="T172" s="536"/>
      <c r="U172" s="536"/>
      <c r="V172" s="536"/>
      <c r="W172" s="536"/>
      <c r="X172" s="536"/>
      <c r="Y172" s="536"/>
      <c r="Z172" s="536"/>
      <c r="AA172" s="536"/>
      <c r="AB172" s="536"/>
      <c r="AC172" s="536"/>
      <c r="AD172" s="536"/>
      <c r="AE172" s="536"/>
      <c r="AF172" s="536"/>
      <c r="AG172" s="536"/>
      <c r="AH172" s="536"/>
      <c r="AI172" s="536"/>
      <c r="AJ172" s="536"/>
      <c r="AK172" s="536"/>
      <c r="AL172" s="536"/>
      <c r="AM172" s="536"/>
      <c r="AN172" s="536"/>
      <c r="AO172" s="536"/>
      <c r="AP172" s="536"/>
      <c r="AQ172" s="536"/>
      <c r="AR172" s="536"/>
      <c r="AS172" s="536"/>
      <c r="AT172" s="536"/>
      <c r="AU172" s="536"/>
      <c r="AV172" s="536"/>
      <c r="AW172" s="536"/>
      <c r="AX172" s="536"/>
      <c r="AY172" s="536"/>
      <c r="AZ172" s="536"/>
      <c r="BA172" s="536"/>
      <c r="BB172" s="536"/>
      <c r="BC172" s="536"/>
      <c r="BD172" s="536"/>
      <c r="BE172" s="536"/>
      <c r="BF172" s="536"/>
      <c r="BG172" s="536"/>
      <c r="BH172" s="536"/>
      <c r="BI172" s="536"/>
      <c r="BJ172" s="536"/>
      <c r="BK172" s="536"/>
      <c r="BL172" s="536"/>
      <c r="BM172" s="536"/>
      <c r="BN172" s="536"/>
      <c r="BO172" s="536"/>
      <c r="BP172" s="536"/>
      <c r="BQ172" s="536"/>
      <c r="BR172" s="536"/>
      <c r="BS172" s="536"/>
      <c r="BT172" s="536"/>
      <c r="BU172" s="536"/>
      <c r="BV172" s="536"/>
      <c r="BW172" s="536"/>
      <c r="BX172" s="536"/>
      <c r="BY172" s="536"/>
      <c r="BZ172" s="536"/>
      <c r="CA172" s="536"/>
      <c r="CB172" s="536"/>
      <c r="CC172" s="536"/>
      <c r="CD172" s="536"/>
    </row>
    <row r="173" spans="1:82" x14ac:dyDescent="0.2">
      <c r="A173" s="536">
        <v>4</v>
      </c>
      <c r="B173" s="536">
        <v>2012</v>
      </c>
      <c r="C173" s="552">
        <v>41194</v>
      </c>
      <c r="D173" s="631" t="s">
        <v>69</v>
      </c>
      <c r="E173" s="540">
        <v>21.309998</v>
      </c>
      <c r="F173" s="535"/>
      <c r="G173" s="536"/>
      <c r="H173" s="536"/>
      <c r="I173" s="536"/>
      <c r="J173" s="536"/>
      <c r="K173" s="536"/>
      <c r="L173" s="536"/>
      <c r="M173" s="536"/>
      <c r="N173" s="536"/>
      <c r="O173" s="536"/>
      <c r="P173" s="536"/>
      <c r="Q173" s="536"/>
      <c r="R173" s="536"/>
      <c r="S173" s="536"/>
      <c r="T173" s="536"/>
      <c r="U173" s="536"/>
      <c r="V173" s="536"/>
      <c r="W173" s="536"/>
      <c r="X173" s="536"/>
      <c r="Y173" s="536"/>
      <c r="Z173" s="536"/>
      <c r="AA173" s="536"/>
      <c r="AB173" s="536"/>
      <c r="AC173" s="536"/>
      <c r="AD173" s="536"/>
      <c r="AE173" s="536"/>
      <c r="AF173" s="536"/>
      <c r="AG173" s="536"/>
      <c r="AH173" s="536"/>
      <c r="AI173" s="536"/>
      <c r="AJ173" s="536"/>
      <c r="AK173" s="536"/>
      <c r="AL173" s="536"/>
      <c r="AM173" s="536"/>
      <c r="AN173" s="536"/>
      <c r="AO173" s="536"/>
      <c r="AP173" s="536"/>
      <c r="AQ173" s="536"/>
      <c r="AR173" s="536"/>
      <c r="AS173" s="536"/>
      <c r="AT173" s="536"/>
      <c r="AU173" s="536"/>
      <c r="AV173" s="536"/>
      <c r="AW173" s="536"/>
      <c r="AX173" s="536"/>
      <c r="AY173" s="536"/>
      <c r="AZ173" s="536"/>
      <c r="BA173" s="536"/>
      <c r="BB173" s="536"/>
      <c r="BC173" s="536"/>
      <c r="BD173" s="536"/>
      <c r="BE173" s="536"/>
      <c r="BF173" s="536"/>
      <c r="BG173" s="536"/>
      <c r="BH173" s="536"/>
      <c r="BI173" s="536"/>
      <c r="BJ173" s="536"/>
      <c r="BK173" s="536"/>
      <c r="BL173" s="536"/>
      <c r="BM173" s="536"/>
      <c r="BN173" s="536"/>
      <c r="BO173" s="536"/>
      <c r="BP173" s="536"/>
      <c r="BQ173" s="536"/>
      <c r="BR173" s="536"/>
      <c r="BS173" s="536"/>
      <c r="BT173" s="536"/>
      <c r="BU173" s="536"/>
      <c r="BV173" s="536"/>
      <c r="BW173" s="536"/>
      <c r="BX173" s="536"/>
      <c r="BY173" s="536"/>
      <c r="BZ173" s="536"/>
      <c r="CA173" s="536"/>
      <c r="CB173" s="536"/>
      <c r="CC173" s="536"/>
      <c r="CD173" s="536"/>
    </row>
    <row r="174" spans="1:82" x14ac:dyDescent="0.2">
      <c r="A174" s="536">
        <v>4</v>
      </c>
      <c r="B174" s="536">
        <v>2012</v>
      </c>
      <c r="C174" s="552">
        <v>41201</v>
      </c>
      <c r="D174" s="631" t="s">
        <v>69</v>
      </c>
      <c r="E174" s="540">
        <v>21.099990999999999</v>
      </c>
      <c r="F174" s="535"/>
      <c r="G174" s="536"/>
      <c r="H174" s="536"/>
      <c r="I174" s="536"/>
      <c r="J174" s="536"/>
      <c r="K174" s="536"/>
      <c r="L174" s="536"/>
      <c r="M174" s="536"/>
      <c r="N174" s="536"/>
      <c r="O174" s="536"/>
      <c r="P174" s="536"/>
      <c r="Q174" s="536"/>
      <c r="R174" s="536"/>
      <c r="S174" s="536"/>
      <c r="T174" s="536"/>
      <c r="U174" s="536"/>
      <c r="V174" s="536"/>
      <c r="W174" s="536"/>
      <c r="X174" s="536"/>
      <c r="Y174" s="536"/>
      <c r="Z174" s="536"/>
      <c r="AA174" s="536"/>
      <c r="AB174" s="536"/>
      <c r="AC174" s="536"/>
      <c r="AD174" s="536"/>
      <c r="AE174" s="536"/>
      <c r="AF174" s="536"/>
      <c r="AG174" s="536"/>
      <c r="AH174" s="536"/>
      <c r="AI174" s="536"/>
      <c r="AJ174" s="536"/>
      <c r="AK174" s="536"/>
      <c r="AL174" s="536"/>
      <c r="AM174" s="536"/>
      <c r="AN174" s="536"/>
      <c r="AO174" s="536"/>
      <c r="AP174" s="536"/>
      <c r="AQ174" s="536"/>
      <c r="AR174" s="536"/>
      <c r="AS174" s="536"/>
      <c r="AT174" s="536"/>
      <c r="AU174" s="536"/>
      <c r="AV174" s="536"/>
      <c r="AW174" s="536"/>
      <c r="AX174" s="536"/>
      <c r="AY174" s="536"/>
      <c r="AZ174" s="536"/>
      <c r="BA174" s="536"/>
      <c r="BB174" s="536"/>
      <c r="BC174" s="536"/>
      <c r="BD174" s="536"/>
      <c r="BE174" s="536"/>
      <c r="BF174" s="536"/>
      <c r="BG174" s="536"/>
      <c r="BH174" s="536"/>
      <c r="BI174" s="536"/>
      <c r="BJ174" s="536"/>
      <c r="BK174" s="536"/>
      <c r="BL174" s="536"/>
      <c r="BM174" s="536"/>
      <c r="BN174" s="536"/>
      <c r="BO174" s="536"/>
      <c r="BP174" s="536"/>
      <c r="BQ174" s="536"/>
      <c r="BR174" s="536"/>
      <c r="BS174" s="536"/>
      <c r="BT174" s="536"/>
      <c r="BU174" s="536"/>
      <c r="BV174" s="536"/>
      <c r="BW174" s="536"/>
      <c r="BX174" s="536"/>
      <c r="BY174" s="536"/>
      <c r="BZ174" s="536"/>
      <c r="CA174" s="536"/>
      <c r="CB174" s="536"/>
      <c r="CC174" s="536"/>
      <c r="CD174" s="536"/>
    </row>
    <row r="175" spans="1:82" x14ac:dyDescent="0.2">
      <c r="A175" s="536">
        <v>4</v>
      </c>
      <c r="B175" s="536">
        <v>2012</v>
      </c>
      <c r="C175" s="552">
        <v>41208</v>
      </c>
      <c r="D175" s="631" t="s">
        <v>69</v>
      </c>
      <c r="E175" s="540">
        <v>20.549987999999999</v>
      </c>
      <c r="F175" s="535"/>
      <c r="G175" s="536"/>
      <c r="H175" s="536"/>
      <c r="I175" s="536"/>
      <c r="J175" s="536"/>
      <c r="K175" s="536"/>
      <c r="L175" s="536"/>
      <c r="M175" s="536"/>
      <c r="N175" s="536"/>
      <c r="O175" s="536"/>
      <c r="P175" s="536"/>
      <c r="Q175" s="536"/>
      <c r="R175" s="536"/>
      <c r="S175" s="536"/>
      <c r="T175" s="536"/>
      <c r="U175" s="536"/>
      <c r="V175" s="536"/>
      <c r="W175" s="536"/>
      <c r="X175" s="536"/>
      <c r="Y175" s="536"/>
      <c r="Z175" s="536"/>
      <c r="AA175" s="536"/>
      <c r="AB175" s="536"/>
      <c r="AC175" s="536"/>
      <c r="AD175" s="536"/>
      <c r="AE175" s="536"/>
      <c r="AF175" s="536"/>
      <c r="AG175" s="536"/>
      <c r="AH175" s="536"/>
      <c r="AI175" s="536"/>
      <c r="AJ175" s="536"/>
      <c r="AK175" s="536"/>
      <c r="AL175" s="536"/>
      <c r="AM175" s="536"/>
      <c r="AN175" s="536"/>
      <c r="AO175" s="536"/>
      <c r="AP175" s="536"/>
      <c r="AQ175" s="536"/>
      <c r="AR175" s="536"/>
      <c r="AS175" s="536"/>
      <c r="AT175" s="536"/>
      <c r="AU175" s="536"/>
      <c r="AV175" s="536"/>
      <c r="AW175" s="536"/>
      <c r="AX175" s="536"/>
      <c r="AY175" s="536"/>
      <c r="AZ175" s="536"/>
      <c r="BA175" s="536"/>
      <c r="BB175" s="536"/>
      <c r="BC175" s="536"/>
      <c r="BD175" s="536"/>
      <c r="BE175" s="536"/>
      <c r="BF175" s="536"/>
      <c r="BG175" s="536"/>
      <c r="BH175" s="536"/>
      <c r="BI175" s="536"/>
      <c r="BJ175" s="536"/>
      <c r="BK175" s="536"/>
      <c r="BL175" s="536"/>
      <c r="BM175" s="536"/>
      <c r="BN175" s="536"/>
      <c r="BO175" s="536"/>
      <c r="BP175" s="536"/>
      <c r="BQ175" s="536"/>
      <c r="BR175" s="536"/>
      <c r="BS175" s="536"/>
      <c r="BT175" s="536"/>
      <c r="BU175" s="536"/>
      <c r="BV175" s="536"/>
      <c r="BW175" s="536"/>
      <c r="BX175" s="536"/>
      <c r="BY175" s="536"/>
      <c r="BZ175" s="536"/>
      <c r="CA175" s="536"/>
      <c r="CB175" s="536"/>
      <c r="CC175" s="536"/>
      <c r="CD175" s="536"/>
    </row>
    <row r="176" spans="1:82" x14ac:dyDescent="0.2">
      <c r="A176" s="536">
        <f>A163+1</f>
        <v>4</v>
      </c>
      <c r="B176" s="536">
        <f>YEAR(C176)</f>
        <v>2012</v>
      </c>
      <c r="C176" s="552">
        <f>C175+7</f>
        <v>41215</v>
      </c>
      <c r="D176" s="631" t="str">
        <f>A176&amp;"Q"&amp;RIGHT(B176,2)</f>
        <v>4Q12</v>
      </c>
      <c r="E176" s="540">
        <v>20.659988999999999</v>
      </c>
      <c r="F176" s="535"/>
      <c r="G176" s="536"/>
      <c r="H176" s="536"/>
      <c r="I176" s="536"/>
      <c r="J176" s="536"/>
      <c r="K176" s="536"/>
      <c r="L176" s="536"/>
      <c r="M176" s="536"/>
      <c r="N176" s="536"/>
      <c r="O176" s="536"/>
      <c r="P176" s="536"/>
      <c r="Q176" s="536"/>
      <c r="R176" s="536"/>
      <c r="S176" s="536"/>
      <c r="T176" s="536"/>
      <c r="U176" s="536"/>
      <c r="V176" s="536"/>
      <c r="W176" s="536"/>
      <c r="X176" s="536"/>
      <c r="Y176" s="536"/>
      <c r="Z176" s="536"/>
      <c r="AA176" s="536"/>
      <c r="AB176" s="536"/>
      <c r="AC176" s="536"/>
      <c r="AD176" s="536"/>
      <c r="AE176" s="536"/>
      <c r="AF176" s="536"/>
      <c r="AG176" s="536"/>
      <c r="AH176" s="536"/>
      <c r="AI176" s="536"/>
      <c r="AJ176" s="536"/>
      <c r="AK176" s="536"/>
      <c r="AL176" s="536"/>
      <c r="AM176" s="536"/>
      <c r="AN176" s="536"/>
      <c r="AO176" s="536"/>
      <c r="AP176" s="536"/>
      <c r="AQ176" s="536"/>
      <c r="AR176" s="536"/>
      <c r="AS176" s="536"/>
      <c r="AT176" s="536"/>
      <c r="AU176" s="536"/>
      <c r="AV176" s="536"/>
      <c r="AW176" s="536"/>
      <c r="AX176" s="536"/>
      <c r="AY176" s="536"/>
      <c r="AZ176" s="536"/>
      <c r="BA176" s="536"/>
      <c r="BB176" s="536"/>
      <c r="BC176" s="536"/>
      <c r="BD176" s="536"/>
      <c r="BE176" s="536"/>
      <c r="BF176" s="536"/>
      <c r="BG176" s="536"/>
      <c r="BH176" s="536"/>
      <c r="BI176" s="536"/>
      <c r="BJ176" s="536"/>
      <c r="BK176" s="536"/>
      <c r="BL176" s="536"/>
      <c r="BM176" s="536"/>
      <c r="BN176" s="536"/>
      <c r="BO176" s="536"/>
      <c r="BP176" s="536"/>
      <c r="BQ176" s="536"/>
      <c r="BR176" s="536"/>
      <c r="BS176" s="536"/>
      <c r="BT176" s="536"/>
      <c r="BU176" s="536"/>
      <c r="BV176" s="536"/>
      <c r="BW176" s="536"/>
      <c r="BX176" s="536"/>
      <c r="BY176" s="536"/>
      <c r="BZ176" s="536"/>
      <c r="CA176" s="536"/>
      <c r="CB176" s="536"/>
      <c r="CC176" s="536"/>
      <c r="CD176" s="536"/>
    </row>
    <row r="177" spans="1:82" x14ac:dyDescent="0.2">
      <c r="A177" s="536">
        <f t="shared" ref="A177:A184" si="86">A164+1</f>
        <v>4</v>
      </c>
      <c r="B177" s="536">
        <f t="shared" ref="B177:B194" si="87">YEAR(C177)</f>
        <v>2012</v>
      </c>
      <c r="C177" s="552">
        <f t="shared" ref="C177:C191" si="88">C176+7</f>
        <v>41222</v>
      </c>
      <c r="D177" s="631" t="str">
        <f t="shared" ref="D177:D194" si="89">A177&amp;"Q"&amp;RIGHT(B177,2)</f>
        <v>4Q12</v>
      </c>
      <c r="E177" s="540">
        <v>19.879989999999999</v>
      </c>
      <c r="F177" s="535"/>
      <c r="G177" s="536"/>
      <c r="H177" s="536"/>
      <c r="I177" s="536"/>
      <c r="J177" s="536"/>
      <c r="K177" s="536"/>
      <c r="L177" s="536"/>
      <c r="M177" s="536"/>
      <c r="N177" s="536"/>
      <c r="O177" s="536"/>
      <c r="P177" s="536"/>
      <c r="Q177" s="536"/>
      <c r="R177" s="536"/>
      <c r="S177" s="536"/>
      <c r="T177" s="536"/>
      <c r="U177" s="536"/>
      <c r="V177" s="536"/>
      <c r="W177" s="536"/>
      <c r="X177" s="536"/>
      <c r="Y177" s="536"/>
      <c r="Z177" s="536"/>
      <c r="AA177" s="536"/>
      <c r="AB177" s="536"/>
      <c r="AC177" s="536"/>
      <c r="AD177" s="536"/>
      <c r="AE177" s="536"/>
      <c r="AF177" s="536"/>
      <c r="AG177" s="536"/>
      <c r="AH177" s="536"/>
      <c r="AI177" s="536"/>
      <c r="AJ177" s="536"/>
      <c r="AK177" s="536"/>
      <c r="AL177" s="536"/>
      <c r="AM177" s="536"/>
      <c r="AN177" s="536"/>
      <c r="AO177" s="536"/>
      <c r="AP177" s="536"/>
      <c r="AQ177" s="536"/>
      <c r="AR177" s="536"/>
      <c r="AS177" s="536"/>
      <c r="AT177" s="536"/>
      <c r="AU177" s="536"/>
      <c r="AV177" s="536"/>
      <c r="AW177" s="536"/>
      <c r="AX177" s="536"/>
      <c r="AY177" s="536"/>
      <c r="AZ177" s="536"/>
      <c r="BA177" s="536"/>
      <c r="BB177" s="536"/>
      <c r="BC177" s="536"/>
      <c r="BD177" s="536"/>
      <c r="BE177" s="536"/>
      <c r="BF177" s="536"/>
      <c r="BG177" s="536"/>
      <c r="BH177" s="536"/>
      <c r="BI177" s="536"/>
      <c r="BJ177" s="536"/>
      <c r="BK177" s="536"/>
      <c r="BL177" s="536"/>
      <c r="BM177" s="536"/>
      <c r="BN177" s="536"/>
      <c r="BO177" s="536"/>
      <c r="BP177" s="536"/>
      <c r="BQ177" s="536"/>
      <c r="BR177" s="536"/>
      <c r="BS177" s="536"/>
      <c r="BT177" s="536"/>
      <c r="BU177" s="536"/>
      <c r="BV177" s="536"/>
      <c r="BW177" s="536"/>
      <c r="BX177" s="536"/>
      <c r="BY177" s="536"/>
      <c r="BZ177" s="536"/>
      <c r="CA177" s="536"/>
      <c r="CB177" s="536"/>
      <c r="CC177" s="536"/>
      <c r="CD177" s="536"/>
    </row>
    <row r="178" spans="1:82" x14ac:dyDescent="0.2">
      <c r="A178" s="536">
        <f t="shared" si="86"/>
        <v>4</v>
      </c>
      <c r="B178" s="536">
        <f t="shared" si="87"/>
        <v>2012</v>
      </c>
      <c r="C178" s="552">
        <f t="shared" si="88"/>
        <v>41229</v>
      </c>
      <c r="D178" s="631" t="str">
        <f t="shared" si="89"/>
        <v>4Q12</v>
      </c>
      <c r="E178" s="540">
        <v>19.009995</v>
      </c>
      <c r="F178" s="535"/>
      <c r="G178" s="536"/>
      <c r="H178" s="536"/>
      <c r="I178" s="536"/>
      <c r="J178" s="536"/>
      <c r="K178" s="536"/>
      <c r="L178" s="536"/>
      <c r="M178" s="536"/>
      <c r="N178" s="536"/>
      <c r="O178" s="536"/>
      <c r="P178" s="536"/>
      <c r="Q178" s="536"/>
      <c r="R178" s="536"/>
      <c r="S178" s="536"/>
      <c r="T178" s="536"/>
      <c r="U178" s="536"/>
      <c r="V178" s="536"/>
      <c r="W178" s="536"/>
      <c r="X178" s="536"/>
      <c r="Y178" s="536"/>
      <c r="Z178" s="536"/>
      <c r="AA178" s="536"/>
      <c r="AB178" s="536"/>
      <c r="AC178" s="536"/>
      <c r="AD178" s="536"/>
      <c r="AE178" s="536"/>
      <c r="AF178" s="536"/>
      <c r="AG178" s="536"/>
      <c r="AH178" s="536"/>
      <c r="AI178" s="536"/>
      <c r="AJ178" s="536"/>
      <c r="AK178" s="536"/>
      <c r="AL178" s="536"/>
      <c r="AM178" s="536"/>
      <c r="AN178" s="536"/>
      <c r="AO178" s="536"/>
      <c r="AP178" s="536"/>
      <c r="AQ178" s="536"/>
      <c r="AR178" s="536"/>
      <c r="AS178" s="536"/>
      <c r="AT178" s="536"/>
      <c r="AU178" s="536"/>
      <c r="AV178" s="536"/>
      <c r="AW178" s="536"/>
      <c r="AX178" s="536"/>
      <c r="AY178" s="536"/>
      <c r="AZ178" s="536"/>
      <c r="BA178" s="536"/>
      <c r="BB178" s="536"/>
      <c r="BC178" s="536"/>
      <c r="BD178" s="536"/>
      <c r="BE178" s="536"/>
      <c r="BF178" s="536"/>
      <c r="BG178" s="536"/>
      <c r="BH178" s="536"/>
      <c r="BI178" s="536"/>
      <c r="BJ178" s="536"/>
      <c r="BK178" s="536"/>
      <c r="BL178" s="536"/>
      <c r="BM178" s="536"/>
      <c r="BN178" s="536"/>
      <c r="BO178" s="536"/>
      <c r="BP178" s="536"/>
      <c r="BQ178" s="536"/>
      <c r="BR178" s="536"/>
      <c r="BS178" s="536"/>
      <c r="BT178" s="536"/>
      <c r="BU178" s="536"/>
      <c r="BV178" s="536"/>
      <c r="BW178" s="536"/>
      <c r="BX178" s="536"/>
      <c r="BY178" s="536"/>
      <c r="BZ178" s="536"/>
      <c r="CA178" s="536"/>
      <c r="CB178" s="536"/>
      <c r="CC178" s="536"/>
      <c r="CD178" s="536"/>
    </row>
    <row r="179" spans="1:82" x14ac:dyDescent="0.2">
      <c r="A179" s="536">
        <f t="shared" si="86"/>
        <v>4</v>
      </c>
      <c r="B179" s="536">
        <f t="shared" si="87"/>
        <v>2012</v>
      </c>
      <c r="C179" s="552">
        <f t="shared" si="88"/>
        <v>41236</v>
      </c>
      <c r="D179" s="631" t="str">
        <f t="shared" si="89"/>
        <v>4Q12</v>
      </c>
      <c r="E179" s="540">
        <v>19.709992</v>
      </c>
      <c r="F179" s="535"/>
      <c r="G179" s="536"/>
      <c r="H179" s="536"/>
      <c r="I179" s="536"/>
      <c r="J179" s="536"/>
      <c r="K179" s="536"/>
      <c r="L179" s="536"/>
      <c r="M179" s="536"/>
      <c r="N179" s="536"/>
      <c r="O179" s="536"/>
      <c r="P179" s="536"/>
      <c r="Q179" s="536"/>
      <c r="R179" s="536"/>
      <c r="S179" s="536"/>
      <c r="T179" s="536"/>
      <c r="U179" s="536"/>
      <c r="V179" s="536"/>
      <c r="W179" s="536"/>
      <c r="X179" s="536"/>
      <c r="Y179" s="536"/>
      <c r="Z179" s="536"/>
      <c r="AA179" s="536"/>
      <c r="AB179" s="536"/>
      <c r="AC179" s="536"/>
      <c r="AD179" s="536"/>
      <c r="AE179" s="536"/>
      <c r="AF179" s="536"/>
      <c r="AG179" s="536"/>
      <c r="AH179" s="536"/>
      <c r="AI179" s="536"/>
      <c r="AJ179" s="536"/>
      <c r="AK179" s="536"/>
      <c r="AL179" s="536"/>
      <c r="AM179" s="536"/>
      <c r="AN179" s="536"/>
      <c r="AO179" s="536"/>
      <c r="AP179" s="536"/>
      <c r="AQ179" s="536"/>
      <c r="AR179" s="536"/>
      <c r="AS179" s="536"/>
      <c r="AT179" s="536"/>
      <c r="AU179" s="536"/>
      <c r="AV179" s="536"/>
      <c r="AW179" s="536"/>
      <c r="AX179" s="536"/>
      <c r="AY179" s="536"/>
      <c r="AZ179" s="536"/>
      <c r="BA179" s="536"/>
      <c r="BB179" s="536"/>
      <c r="BC179" s="536"/>
      <c r="BD179" s="536"/>
      <c r="BE179" s="536"/>
      <c r="BF179" s="536"/>
      <c r="BG179" s="536"/>
      <c r="BH179" s="536"/>
      <c r="BI179" s="536"/>
      <c r="BJ179" s="536"/>
      <c r="BK179" s="536"/>
      <c r="BL179" s="536"/>
      <c r="BM179" s="536"/>
      <c r="BN179" s="536"/>
      <c r="BO179" s="536"/>
      <c r="BP179" s="536"/>
      <c r="BQ179" s="536"/>
      <c r="BR179" s="536"/>
      <c r="BS179" s="536"/>
      <c r="BT179" s="536"/>
      <c r="BU179" s="536"/>
      <c r="BV179" s="536"/>
      <c r="BW179" s="536"/>
      <c r="BX179" s="536"/>
      <c r="BY179" s="536"/>
      <c r="BZ179" s="536"/>
      <c r="CA179" s="536"/>
      <c r="CB179" s="536"/>
      <c r="CC179" s="536"/>
      <c r="CD179" s="536"/>
    </row>
    <row r="180" spans="1:82" x14ac:dyDescent="0.2">
      <c r="A180" s="536">
        <f t="shared" si="86"/>
        <v>4</v>
      </c>
      <c r="B180" s="536">
        <f t="shared" si="87"/>
        <v>2012</v>
      </c>
      <c r="C180" s="552">
        <f t="shared" si="88"/>
        <v>41243</v>
      </c>
      <c r="D180" s="631" t="str">
        <f t="shared" si="89"/>
        <v>4Q12</v>
      </c>
      <c r="E180" s="540">
        <v>19.759995</v>
      </c>
      <c r="F180" s="535"/>
      <c r="G180" s="536"/>
      <c r="H180" s="536"/>
      <c r="I180" s="536"/>
      <c r="J180" s="536"/>
      <c r="K180" s="536"/>
      <c r="L180" s="536"/>
      <c r="M180" s="536"/>
      <c r="N180" s="536"/>
      <c r="O180" s="536"/>
      <c r="P180" s="536"/>
      <c r="Q180" s="536"/>
      <c r="R180" s="536"/>
      <c r="S180" s="536"/>
      <c r="T180" s="536"/>
      <c r="U180" s="536"/>
      <c r="V180" s="536"/>
      <c r="W180" s="536"/>
      <c r="X180" s="536"/>
      <c r="Y180" s="536"/>
      <c r="Z180" s="536"/>
      <c r="AA180" s="536"/>
      <c r="AB180" s="536"/>
      <c r="AC180" s="536"/>
      <c r="AD180" s="536"/>
      <c r="AE180" s="536"/>
      <c r="AF180" s="536"/>
      <c r="AG180" s="536"/>
      <c r="AH180" s="536"/>
      <c r="AI180" s="536"/>
      <c r="AJ180" s="536"/>
      <c r="AK180" s="536"/>
      <c r="AL180" s="536"/>
      <c r="AM180" s="536"/>
      <c r="AN180" s="536"/>
      <c r="AO180" s="536"/>
      <c r="AP180" s="536"/>
      <c r="AQ180" s="536"/>
      <c r="AR180" s="536"/>
      <c r="AS180" s="536"/>
      <c r="AT180" s="536"/>
      <c r="AU180" s="536"/>
      <c r="AV180" s="536"/>
      <c r="AW180" s="536"/>
      <c r="AX180" s="536"/>
      <c r="AY180" s="536"/>
      <c r="AZ180" s="536"/>
      <c r="BA180" s="536"/>
      <c r="BB180" s="536"/>
      <c r="BC180" s="536"/>
      <c r="BD180" s="536"/>
      <c r="BE180" s="536"/>
      <c r="BF180" s="536"/>
      <c r="BG180" s="536"/>
      <c r="BH180" s="536"/>
      <c r="BI180" s="536"/>
      <c r="BJ180" s="536"/>
      <c r="BK180" s="536"/>
      <c r="BL180" s="536"/>
      <c r="BM180" s="536"/>
      <c r="BN180" s="536"/>
      <c r="BO180" s="536"/>
      <c r="BP180" s="536"/>
      <c r="BQ180" s="536"/>
      <c r="BR180" s="536"/>
      <c r="BS180" s="536"/>
      <c r="BT180" s="536"/>
      <c r="BU180" s="536"/>
      <c r="BV180" s="536"/>
      <c r="BW180" s="536"/>
      <c r="BX180" s="536"/>
      <c r="BY180" s="536"/>
      <c r="BZ180" s="536"/>
      <c r="CA180" s="536"/>
      <c r="CB180" s="536"/>
      <c r="CC180" s="536"/>
      <c r="CD180" s="536"/>
    </row>
    <row r="181" spans="1:82" x14ac:dyDescent="0.2">
      <c r="A181" s="536">
        <f t="shared" si="86"/>
        <v>4</v>
      </c>
      <c r="B181" s="536">
        <f t="shared" si="87"/>
        <v>2012</v>
      </c>
      <c r="C181" s="552">
        <f t="shared" si="88"/>
        <v>41250</v>
      </c>
      <c r="D181" s="631" t="str">
        <f t="shared" si="89"/>
        <v>4Q12</v>
      </c>
      <c r="E181" s="540">
        <v>19.909988999999999</v>
      </c>
      <c r="F181" s="535"/>
      <c r="G181" s="536"/>
      <c r="H181" s="536"/>
      <c r="I181" s="536"/>
      <c r="J181" s="536"/>
      <c r="K181" s="536"/>
      <c r="L181" s="536"/>
      <c r="M181" s="536"/>
      <c r="N181" s="536"/>
      <c r="O181" s="536"/>
      <c r="P181" s="536"/>
      <c r="Q181" s="536"/>
      <c r="R181" s="536"/>
      <c r="S181" s="536"/>
      <c r="T181" s="536"/>
      <c r="U181" s="536"/>
      <c r="V181" s="536"/>
      <c r="W181" s="536"/>
      <c r="X181" s="536"/>
      <c r="Y181" s="536"/>
      <c r="Z181" s="536"/>
      <c r="AA181" s="536"/>
      <c r="AB181" s="536"/>
      <c r="AC181" s="536"/>
      <c r="AD181" s="536"/>
      <c r="AE181" s="536"/>
      <c r="AF181" s="536"/>
      <c r="AG181" s="536"/>
      <c r="AH181" s="536"/>
      <c r="AI181" s="536"/>
      <c r="AJ181" s="536"/>
      <c r="AK181" s="536"/>
      <c r="AL181" s="536"/>
      <c r="AM181" s="536"/>
      <c r="AN181" s="536"/>
      <c r="AO181" s="536"/>
      <c r="AP181" s="536"/>
      <c r="AQ181" s="536"/>
      <c r="AR181" s="536"/>
      <c r="AS181" s="536"/>
      <c r="AT181" s="536"/>
      <c r="AU181" s="536"/>
      <c r="AV181" s="536"/>
      <c r="AW181" s="536"/>
      <c r="AX181" s="536"/>
      <c r="AY181" s="536"/>
      <c r="AZ181" s="536"/>
      <c r="BA181" s="536"/>
      <c r="BB181" s="536"/>
      <c r="BC181" s="536"/>
      <c r="BD181" s="536"/>
      <c r="BE181" s="536"/>
      <c r="BF181" s="536"/>
      <c r="BG181" s="536"/>
      <c r="BH181" s="536"/>
      <c r="BI181" s="536"/>
      <c r="BJ181" s="536"/>
      <c r="BK181" s="536"/>
      <c r="BL181" s="536"/>
      <c r="BM181" s="536"/>
      <c r="BN181" s="536"/>
      <c r="BO181" s="536"/>
      <c r="BP181" s="536"/>
      <c r="BQ181" s="536"/>
      <c r="BR181" s="536"/>
      <c r="BS181" s="536"/>
      <c r="BT181" s="536"/>
      <c r="BU181" s="536"/>
      <c r="BV181" s="536"/>
      <c r="BW181" s="536"/>
      <c r="BX181" s="536"/>
      <c r="BY181" s="536"/>
      <c r="BZ181" s="536"/>
      <c r="CA181" s="536"/>
      <c r="CB181" s="536"/>
      <c r="CC181" s="536"/>
      <c r="CD181" s="536"/>
    </row>
    <row r="182" spans="1:82" x14ac:dyDescent="0.2">
      <c r="A182" s="536">
        <f t="shared" si="86"/>
        <v>4</v>
      </c>
      <c r="B182" s="536">
        <f t="shared" si="87"/>
        <v>2012</v>
      </c>
      <c r="C182" s="552">
        <f t="shared" si="88"/>
        <v>41257</v>
      </c>
      <c r="D182" s="631" t="str">
        <f t="shared" si="89"/>
        <v>4Q12</v>
      </c>
      <c r="E182" s="540">
        <v>19.76999</v>
      </c>
      <c r="F182" s="535"/>
      <c r="G182" s="536"/>
      <c r="H182" s="536"/>
      <c r="I182" s="536"/>
      <c r="J182" s="536"/>
      <c r="K182" s="536"/>
      <c r="L182" s="536"/>
      <c r="M182" s="536"/>
      <c r="N182" s="536"/>
      <c r="O182" s="536"/>
      <c r="P182" s="536"/>
      <c r="Q182" s="536"/>
      <c r="R182" s="536"/>
      <c r="S182" s="536"/>
      <c r="T182" s="536"/>
      <c r="U182" s="536"/>
      <c r="V182" s="536"/>
      <c r="W182" s="536"/>
      <c r="X182" s="536"/>
      <c r="Y182" s="536"/>
      <c r="Z182" s="536"/>
      <c r="AA182" s="536"/>
      <c r="AB182" s="536"/>
      <c r="AC182" s="536"/>
      <c r="AD182" s="536"/>
      <c r="AE182" s="536"/>
      <c r="AF182" s="536"/>
      <c r="AG182" s="536"/>
      <c r="AH182" s="536"/>
      <c r="AI182" s="536"/>
      <c r="AJ182" s="536"/>
      <c r="AK182" s="536"/>
      <c r="AL182" s="536"/>
      <c r="AM182" s="536"/>
      <c r="AN182" s="536"/>
      <c r="AO182" s="536"/>
      <c r="AP182" s="536"/>
      <c r="AQ182" s="536"/>
      <c r="AR182" s="536"/>
      <c r="AS182" s="536"/>
      <c r="AT182" s="536"/>
      <c r="AU182" s="536"/>
      <c r="AV182" s="536"/>
      <c r="AW182" s="536"/>
      <c r="AX182" s="536"/>
      <c r="AY182" s="536"/>
      <c r="AZ182" s="536"/>
      <c r="BA182" s="536"/>
      <c r="BB182" s="536"/>
      <c r="BC182" s="536"/>
      <c r="BD182" s="536"/>
      <c r="BE182" s="536"/>
      <c r="BF182" s="536"/>
      <c r="BG182" s="536"/>
      <c r="BH182" s="536"/>
      <c r="BI182" s="536"/>
      <c r="BJ182" s="536"/>
      <c r="BK182" s="536"/>
      <c r="BL182" s="536"/>
      <c r="BM182" s="536"/>
      <c r="BN182" s="536"/>
      <c r="BO182" s="536"/>
      <c r="BP182" s="536"/>
      <c r="BQ182" s="536"/>
      <c r="BR182" s="536"/>
      <c r="BS182" s="536"/>
      <c r="BT182" s="536"/>
      <c r="BU182" s="536"/>
      <c r="BV182" s="536"/>
      <c r="BW182" s="536"/>
      <c r="BX182" s="536"/>
      <c r="BY182" s="536"/>
      <c r="BZ182" s="536"/>
      <c r="CA182" s="536"/>
      <c r="CB182" s="536"/>
      <c r="CC182" s="536"/>
      <c r="CD182" s="536"/>
    </row>
    <row r="183" spans="1:82" x14ac:dyDescent="0.2">
      <c r="A183" s="536">
        <f t="shared" si="86"/>
        <v>4</v>
      </c>
      <c r="B183" s="536">
        <f t="shared" si="87"/>
        <v>2012</v>
      </c>
      <c r="C183" s="552">
        <f t="shared" si="88"/>
        <v>41264</v>
      </c>
      <c r="D183" s="631" t="str">
        <f t="shared" si="89"/>
        <v>4Q12</v>
      </c>
      <c r="E183" s="540">
        <v>19.949997</v>
      </c>
      <c r="F183" s="535"/>
      <c r="G183" s="536"/>
      <c r="H183" s="536"/>
      <c r="I183" s="536"/>
      <c r="J183" s="536"/>
      <c r="K183" s="536"/>
      <c r="L183" s="536"/>
      <c r="M183" s="536"/>
      <c r="N183" s="536"/>
      <c r="O183" s="536"/>
      <c r="P183" s="536"/>
      <c r="Q183" s="536"/>
      <c r="R183" s="536"/>
      <c r="S183" s="536"/>
      <c r="T183" s="536"/>
      <c r="U183" s="536"/>
      <c r="V183" s="536"/>
      <c r="W183" s="536"/>
      <c r="X183" s="536"/>
      <c r="Y183" s="536"/>
      <c r="Z183" s="536"/>
      <c r="AA183" s="536"/>
      <c r="AB183" s="536"/>
      <c r="AC183" s="536"/>
      <c r="AD183" s="536"/>
      <c r="AE183" s="536"/>
      <c r="AF183" s="536"/>
      <c r="AG183" s="536"/>
      <c r="AH183" s="536"/>
      <c r="AI183" s="536"/>
      <c r="AJ183" s="536"/>
      <c r="AK183" s="536"/>
      <c r="AL183" s="536"/>
      <c r="AM183" s="536"/>
      <c r="AN183" s="536"/>
      <c r="AO183" s="536"/>
      <c r="AP183" s="536"/>
      <c r="AQ183" s="536"/>
      <c r="AR183" s="536"/>
      <c r="AS183" s="536"/>
      <c r="AT183" s="536"/>
      <c r="AU183" s="536"/>
      <c r="AV183" s="536"/>
      <c r="AW183" s="536"/>
      <c r="AX183" s="536"/>
      <c r="AY183" s="536"/>
      <c r="AZ183" s="536"/>
      <c r="BA183" s="536"/>
      <c r="BB183" s="536"/>
      <c r="BC183" s="536"/>
      <c r="BD183" s="536"/>
      <c r="BE183" s="536"/>
      <c r="BF183" s="536"/>
      <c r="BG183" s="536"/>
      <c r="BH183" s="536"/>
      <c r="BI183" s="536"/>
      <c r="BJ183" s="536"/>
      <c r="BK183" s="536"/>
      <c r="BL183" s="536"/>
      <c r="BM183" s="536"/>
      <c r="BN183" s="536"/>
      <c r="BO183" s="536"/>
      <c r="BP183" s="536"/>
      <c r="BQ183" s="536"/>
      <c r="BR183" s="536"/>
      <c r="BS183" s="536"/>
      <c r="BT183" s="536"/>
      <c r="BU183" s="536"/>
      <c r="BV183" s="536"/>
      <c r="BW183" s="536"/>
      <c r="BX183" s="536"/>
      <c r="BY183" s="536"/>
      <c r="BZ183" s="536"/>
      <c r="CA183" s="536"/>
      <c r="CB183" s="536"/>
      <c r="CC183" s="536"/>
      <c r="CD183" s="536"/>
    </row>
    <row r="184" spans="1:82" x14ac:dyDescent="0.2">
      <c r="A184" s="536">
        <f t="shared" si="86"/>
        <v>4</v>
      </c>
      <c r="B184" s="536">
        <f t="shared" si="87"/>
        <v>2012</v>
      </c>
      <c r="C184" s="552">
        <f t="shared" si="88"/>
        <v>41271</v>
      </c>
      <c r="D184" s="631" t="str">
        <f t="shared" si="89"/>
        <v>4Q12</v>
      </c>
      <c r="E184" s="540">
        <v>19.429993</v>
      </c>
      <c r="F184" s="535"/>
      <c r="G184" s="536"/>
      <c r="H184" s="536"/>
      <c r="I184" s="536"/>
      <c r="J184" s="536"/>
      <c r="K184" s="536"/>
      <c r="L184" s="536"/>
      <c r="M184" s="536"/>
      <c r="N184" s="536"/>
      <c r="O184" s="536"/>
      <c r="P184" s="536"/>
      <c r="Q184" s="536"/>
      <c r="R184" s="536"/>
      <c r="S184" s="536"/>
      <c r="T184" s="536"/>
      <c r="U184" s="536"/>
      <c r="V184" s="536"/>
      <c r="W184" s="536"/>
      <c r="X184" s="536"/>
      <c r="Y184" s="536"/>
      <c r="Z184" s="536"/>
      <c r="AA184" s="536"/>
      <c r="AB184" s="536"/>
      <c r="AC184" s="536"/>
      <c r="AD184" s="536"/>
      <c r="AE184" s="536"/>
      <c r="AF184" s="536"/>
      <c r="AG184" s="536"/>
      <c r="AH184" s="536"/>
      <c r="AI184" s="536"/>
      <c r="AJ184" s="536"/>
      <c r="AK184" s="536"/>
      <c r="AL184" s="536"/>
      <c r="AM184" s="536"/>
      <c r="AN184" s="536"/>
      <c r="AO184" s="536"/>
      <c r="AP184" s="536"/>
      <c r="AQ184" s="536"/>
      <c r="AR184" s="536"/>
      <c r="AS184" s="536"/>
      <c r="AT184" s="536"/>
      <c r="AU184" s="536"/>
      <c r="AV184" s="536"/>
      <c r="AW184" s="536"/>
      <c r="AX184" s="536"/>
      <c r="AY184" s="536"/>
      <c r="AZ184" s="536"/>
      <c r="BA184" s="536"/>
      <c r="BB184" s="536"/>
      <c r="BC184" s="536"/>
      <c r="BD184" s="536"/>
      <c r="BE184" s="536"/>
      <c r="BF184" s="536"/>
      <c r="BG184" s="536"/>
      <c r="BH184" s="536"/>
      <c r="BI184" s="536"/>
      <c r="BJ184" s="536"/>
      <c r="BK184" s="536"/>
      <c r="BL184" s="536"/>
      <c r="BM184" s="536"/>
      <c r="BN184" s="536"/>
      <c r="BO184" s="536"/>
      <c r="BP184" s="536"/>
      <c r="BQ184" s="536"/>
      <c r="BR184" s="536"/>
      <c r="BS184" s="536"/>
      <c r="BT184" s="536"/>
      <c r="BU184" s="536"/>
      <c r="BV184" s="536"/>
      <c r="BW184" s="536"/>
      <c r="BX184" s="536"/>
      <c r="BY184" s="536"/>
      <c r="BZ184" s="536"/>
      <c r="CA184" s="536"/>
      <c r="CB184" s="536"/>
      <c r="CC184" s="536"/>
      <c r="CD184" s="536"/>
    </row>
    <row r="185" spans="1:82" x14ac:dyDescent="0.2">
      <c r="A185" s="536">
        <f t="shared" ref="A185:A217" si="90">A133</f>
        <v>1</v>
      </c>
      <c r="B185" s="536">
        <f t="shared" si="87"/>
        <v>2013</v>
      </c>
      <c r="C185" s="552">
        <f t="shared" si="88"/>
        <v>41278</v>
      </c>
      <c r="D185" s="631" t="str">
        <f t="shared" si="89"/>
        <v>1Q13</v>
      </c>
      <c r="E185" s="540">
        <v>20.939988</v>
      </c>
      <c r="F185" s="535"/>
      <c r="G185" s="536"/>
      <c r="H185" s="536"/>
      <c r="I185" s="536"/>
      <c r="J185" s="536"/>
      <c r="K185" s="536"/>
      <c r="L185" s="536"/>
      <c r="M185" s="536"/>
      <c r="N185" s="536"/>
      <c r="O185" s="536"/>
      <c r="P185" s="536"/>
      <c r="Q185" s="536"/>
      <c r="R185" s="536"/>
      <c r="S185" s="536"/>
      <c r="T185" s="536"/>
      <c r="U185" s="536"/>
      <c r="V185" s="536"/>
      <c r="W185" s="536"/>
      <c r="X185" s="536"/>
      <c r="Y185" s="536"/>
      <c r="Z185" s="536"/>
      <c r="AA185" s="536"/>
      <c r="AB185" s="536"/>
      <c r="AC185" s="536"/>
      <c r="AD185" s="536"/>
      <c r="AE185" s="536"/>
      <c r="AF185" s="536"/>
      <c r="AG185" s="536"/>
      <c r="AH185" s="536"/>
      <c r="AI185" s="536"/>
      <c r="AJ185" s="536"/>
      <c r="AK185" s="536"/>
      <c r="AL185" s="536"/>
      <c r="AM185" s="536"/>
      <c r="AN185" s="536"/>
      <c r="AO185" s="536"/>
      <c r="AP185" s="536"/>
      <c r="AQ185" s="536"/>
      <c r="AR185" s="536"/>
      <c r="AS185" s="536"/>
      <c r="AT185" s="536"/>
      <c r="AU185" s="536"/>
      <c r="AV185" s="536"/>
      <c r="AW185" s="536"/>
      <c r="AX185" s="536"/>
      <c r="AY185" s="536"/>
      <c r="AZ185" s="536"/>
      <c r="BA185" s="536"/>
      <c r="BB185" s="536"/>
      <c r="BC185" s="536"/>
      <c r="BD185" s="536"/>
      <c r="BE185" s="536"/>
      <c r="BF185" s="536"/>
      <c r="BG185" s="536"/>
      <c r="BH185" s="536"/>
      <c r="BI185" s="536"/>
      <c r="BJ185" s="536"/>
      <c r="BK185" s="536"/>
      <c r="BL185" s="536"/>
      <c r="BM185" s="536"/>
      <c r="BN185" s="536"/>
      <c r="BO185" s="536"/>
      <c r="BP185" s="536"/>
      <c r="BQ185" s="536"/>
      <c r="BR185" s="536"/>
      <c r="BS185" s="536"/>
      <c r="BT185" s="536"/>
      <c r="BU185" s="536"/>
      <c r="BV185" s="536"/>
      <c r="BW185" s="536"/>
      <c r="BX185" s="536"/>
      <c r="BY185" s="536"/>
      <c r="BZ185" s="536"/>
      <c r="CA185" s="536"/>
      <c r="CB185" s="536"/>
      <c r="CC185" s="536"/>
      <c r="CD185" s="536"/>
    </row>
    <row r="186" spans="1:82" x14ac:dyDescent="0.2">
      <c r="A186" s="536">
        <f t="shared" si="90"/>
        <v>1</v>
      </c>
      <c r="B186" s="536">
        <f t="shared" si="87"/>
        <v>2013</v>
      </c>
      <c r="C186" s="552">
        <f t="shared" si="88"/>
        <v>41285</v>
      </c>
      <c r="D186" s="631" t="str">
        <f t="shared" si="89"/>
        <v>1Q13</v>
      </c>
      <c r="E186" s="540">
        <v>20.539994</v>
      </c>
      <c r="F186" s="535"/>
      <c r="G186" s="536"/>
      <c r="H186" s="536"/>
      <c r="I186" s="536"/>
      <c r="J186" s="536"/>
      <c r="K186" s="536"/>
      <c r="L186" s="536"/>
      <c r="M186" s="536"/>
      <c r="N186" s="536"/>
      <c r="O186" s="536"/>
      <c r="P186" s="536"/>
      <c r="Q186" s="536"/>
      <c r="R186" s="536"/>
      <c r="S186" s="536"/>
      <c r="T186" s="536"/>
      <c r="U186" s="536"/>
      <c r="V186" s="536"/>
      <c r="W186" s="536"/>
      <c r="X186" s="536"/>
      <c r="Y186" s="536"/>
      <c r="Z186" s="536"/>
      <c r="AA186" s="536"/>
      <c r="AB186" s="536"/>
      <c r="AC186" s="536"/>
      <c r="AD186" s="536"/>
      <c r="AE186" s="536"/>
      <c r="AF186" s="536"/>
      <c r="AG186" s="536"/>
      <c r="AH186" s="536"/>
      <c r="AI186" s="536"/>
      <c r="AJ186" s="536"/>
      <c r="AK186" s="536"/>
      <c r="AL186" s="536"/>
      <c r="AM186" s="536"/>
      <c r="AN186" s="536"/>
      <c r="AO186" s="536"/>
      <c r="AP186" s="536"/>
      <c r="AQ186" s="536"/>
      <c r="AR186" s="536"/>
      <c r="AS186" s="536"/>
      <c r="AT186" s="536"/>
      <c r="AU186" s="536"/>
      <c r="AV186" s="536"/>
      <c r="AW186" s="536"/>
      <c r="AX186" s="536"/>
      <c r="AY186" s="536"/>
      <c r="AZ186" s="536"/>
      <c r="BA186" s="536"/>
      <c r="BB186" s="536"/>
      <c r="BC186" s="536"/>
      <c r="BD186" s="536"/>
      <c r="BE186" s="536"/>
      <c r="BF186" s="536"/>
      <c r="BG186" s="536"/>
      <c r="BH186" s="536"/>
      <c r="BI186" s="536"/>
      <c r="BJ186" s="536"/>
      <c r="BK186" s="536"/>
      <c r="BL186" s="536"/>
      <c r="BM186" s="536"/>
      <c r="BN186" s="536"/>
      <c r="BO186" s="536"/>
      <c r="BP186" s="536"/>
      <c r="BQ186" s="536"/>
      <c r="BR186" s="536"/>
      <c r="BS186" s="536"/>
      <c r="BT186" s="536"/>
      <c r="BU186" s="536"/>
      <c r="BV186" s="536"/>
      <c r="BW186" s="536"/>
      <c r="BX186" s="536"/>
      <c r="BY186" s="536"/>
      <c r="BZ186" s="536"/>
      <c r="CA186" s="536"/>
      <c r="CB186" s="536"/>
      <c r="CC186" s="536"/>
      <c r="CD186" s="536"/>
    </row>
    <row r="187" spans="1:82" x14ac:dyDescent="0.2">
      <c r="A187" s="536">
        <f t="shared" si="90"/>
        <v>1</v>
      </c>
      <c r="B187" s="536">
        <f t="shared" si="87"/>
        <v>2013</v>
      </c>
      <c r="C187" s="552">
        <f t="shared" si="88"/>
        <v>41292</v>
      </c>
      <c r="D187" s="631" t="str">
        <f t="shared" si="89"/>
        <v>1Q13</v>
      </c>
      <c r="E187" s="540">
        <v>20.909988999999999</v>
      </c>
      <c r="F187" s="535"/>
      <c r="G187" s="536"/>
      <c r="H187" s="536"/>
      <c r="I187" s="536"/>
      <c r="J187" s="536"/>
      <c r="K187" s="536"/>
      <c r="L187" s="536"/>
      <c r="M187" s="536"/>
      <c r="N187" s="536"/>
      <c r="O187" s="536"/>
      <c r="P187" s="536"/>
      <c r="Q187" s="536"/>
      <c r="R187" s="536"/>
      <c r="S187" s="536"/>
      <c r="T187" s="536"/>
      <c r="U187" s="536"/>
      <c r="V187" s="536"/>
      <c r="W187" s="536"/>
      <c r="X187" s="536"/>
      <c r="Y187" s="536"/>
      <c r="Z187" s="536"/>
      <c r="AA187" s="536"/>
      <c r="AB187" s="536"/>
      <c r="AC187" s="536"/>
      <c r="AD187" s="536"/>
      <c r="AE187" s="536"/>
      <c r="AF187" s="536"/>
      <c r="AG187" s="536"/>
      <c r="AH187" s="536"/>
      <c r="AI187" s="536"/>
      <c r="AJ187" s="536"/>
      <c r="AK187" s="536"/>
      <c r="AL187" s="536"/>
      <c r="AM187" s="536"/>
      <c r="AN187" s="536"/>
      <c r="AO187" s="536"/>
      <c r="AP187" s="536"/>
      <c r="AQ187" s="536"/>
      <c r="AR187" s="536"/>
      <c r="AS187" s="536"/>
      <c r="AT187" s="536"/>
      <c r="AU187" s="536"/>
      <c r="AV187" s="536"/>
      <c r="AW187" s="536"/>
      <c r="AX187" s="536"/>
      <c r="AY187" s="536"/>
      <c r="AZ187" s="536"/>
      <c r="BA187" s="536"/>
      <c r="BB187" s="536"/>
      <c r="BC187" s="536"/>
      <c r="BD187" s="536"/>
      <c r="BE187" s="536"/>
      <c r="BF187" s="536"/>
      <c r="BG187" s="536"/>
      <c r="BH187" s="536"/>
      <c r="BI187" s="536"/>
      <c r="BJ187" s="536"/>
      <c r="BK187" s="536"/>
      <c r="BL187" s="536"/>
      <c r="BM187" s="536"/>
      <c r="BN187" s="536"/>
      <c r="BO187" s="536"/>
      <c r="BP187" s="536"/>
      <c r="BQ187" s="536"/>
      <c r="BR187" s="536"/>
      <c r="BS187" s="536"/>
      <c r="BT187" s="536"/>
      <c r="BU187" s="536"/>
      <c r="BV187" s="536"/>
      <c r="BW187" s="536"/>
      <c r="BX187" s="536"/>
      <c r="BY187" s="536"/>
      <c r="BZ187" s="536"/>
      <c r="CA187" s="536"/>
      <c r="CB187" s="536"/>
      <c r="CC187" s="536"/>
      <c r="CD187" s="536"/>
    </row>
    <row r="188" spans="1:82" x14ac:dyDescent="0.2">
      <c r="A188" s="536">
        <f t="shared" si="90"/>
        <v>1</v>
      </c>
      <c r="B188" s="536">
        <f t="shared" si="87"/>
        <v>2013</v>
      </c>
      <c r="C188" s="552">
        <f t="shared" si="88"/>
        <v>41299</v>
      </c>
      <c r="D188" s="631" t="str">
        <f t="shared" si="89"/>
        <v>1Q13</v>
      </c>
      <c r="E188" s="540">
        <v>22.239991</v>
      </c>
      <c r="F188" s="535"/>
      <c r="G188" s="536"/>
      <c r="H188" s="536"/>
      <c r="I188" s="536"/>
      <c r="J188" s="536"/>
      <c r="K188" s="536"/>
      <c r="L188" s="536"/>
      <c r="M188" s="536"/>
      <c r="N188" s="536"/>
      <c r="O188" s="536"/>
      <c r="P188" s="536"/>
      <c r="Q188" s="536"/>
      <c r="R188" s="536"/>
      <c r="S188" s="536"/>
      <c r="T188" s="536"/>
      <c r="U188" s="536"/>
      <c r="V188" s="536"/>
      <c r="W188" s="536"/>
      <c r="X188" s="536"/>
      <c r="Y188" s="536"/>
      <c r="Z188" s="536"/>
      <c r="AA188" s="536"/>
      <c r="AB188" s="536"/>
      <c r="AC188" s="536"/>
      <c r="AD188" s="536"/>
      <c r="AE188" s="536"/>
      <c r="AF188" s="536"/>
      <c r="AG188" s="536"/>
      <c r="AH188" s="536"/>
      <c r="AI188" s="536"/>
      <c r="AJ188" s="536"/>
      <c r="AK188" s="536"/>
      <c r="AL188" s="536"/>
      <c r="AM188" s="536"/>
      <c r="AN188" s="536"/>
      <c r="AO188" s="536"/>
      <c r="AP188" s="536"/>
      <c r="AQ188" s="536"/>
      <c r="AR188" s="536"/>
      <c r="AS188" s="536"/>
      <c r="AT188" s="536"/>
      <c r="AU188" s="536"/>
      <c r="AV188" s="536"/>
      <c r="AW188" s="536"/>
      <c r="AX188" s="536"/>
      <c r="AY188" s="536"/>
      <c r="AZ188" s="536"/>
      <c r="BA188" s="536"/>
      <c r="BB188" s="536"/>
      <c r="BC188" s="536"/>
      <c r="BD188" s="536"/>
      <c r="BE188" s="536"/>
      <c r="BF188" s="536"/>
      <c r="BG188" s="536"/>
      <c r="BH188" s="536"/>
      <c r="BI188" s="536"/>
      <c r="BJ188" s="536"/>
      <c r="BK188" s="536"/>
      <c r="BL188" s="536"/>
      <c r="BM188" s="536"/>
      <c r="BN188" s="536"/>
      <c r="BO188" s="536"/>
      <c r="BP188" s="536"/>
      <c r="BQ188" s="536"/>
      <c r="BR188" s="536"/>
      <c r="BS188" s="536"/>
      <c r="BT188" s="536"/>
      <c r="BU188" s="536"/>
      <c r="BV188" s="536"/>
      <c r="BW188" s="536"/>
      <c r="BX188" s="536"/>
      <c r="BY188" s="536"/>
      <c r="BZ188" s="536"/>
      <c r="CA188" s="536"/>
      <c r="CB188" s="536"/>
      <c r="CC188" s="536"/>
      <c r="CD188" s="536"/>
    </row>
    <row r="189" spans="1:82" x14ac:dyDescent="0.2">
      <c r="A189" s="536">
        <f t="shared" si="90"/>
        <v>1</v>
      </c>
      <c r="B189" s="536">
        <f t="shared" si="87"/>
        <v>2013</v>
      </c>
      <c r="C189" s="552">
        <f t="shared" si="88"/>
        <v>41306</v>
      </c>
      <c r="D189" s="631" t="str">
        <f t="shared" si="89"/>
        <v>1Q13</v>
      </c>
      <c r="E189" s="540">
        <v>21.919999000000001</v>
      </c>
      <c r="F189" s="535"/>
      <c r="G189" s="536"/>
      <c r="H189" s="536"/>
      <c r="I189" s="536"/>
      <c r="J189" s="536"/>
      <c r="K189" s="536"/>
      <c r="L189" s="536"/>
      <c r="M189" s="536"/>
      <c r="N189" s="536"/>
      <c r="O189" s="536"/>
      <c r="P189" s="536"/>
      <c r="Q189" s="536"/>
      <c r="R189" s="536"/>
      <c r="S189" s="536"/>
      <c r="T189" s="536"/>
      <c r="U189" s="536"/>
      <c r="V189" s="536"/>
      <c r="W189" s="536"/>
      <c r="X189" s="536"/>
      <c r="Y189" s="536"/>
      <c r="Z189" s="536"/>
      <c r="AA189" s="536"/>
      <c r="AB189" s="536"/>
      <c r="AC189" s="536"/>
      <c r="AD189" s="536"/>
      <c r="AE189" s="536"/>
      <c r="AF189" s="536"/>
      <c r="AG189" s="536"/>
      <c r="AH189" s="536"/>
      <c r="AI189" s="536"/>
      <c r="AJ189" s="536"/>
      <c r="AK189" s="536"/>
      <c r="AL189" s="536"/>
      <c r="AM189" s="536"/>
      <c r="AN189" s="536"/>
      <c r="AO189" s="536"/>
      <c r="AP189" s="536"/>
      <c r="AQ189" s="536"/>
      <c r="AR189" s="536"/>
      <c r="AS189" s="536"/>
      <c r="AT189" s="536"/>
      <c r="AU189" s="536"/>
      <c r="AV189" s="536"/>
      <c r="AW189" s="536"/>
      <c r="AX189" s="536"/>
      <c r="AY189" s="536"/>
      <c r="AZ189" s="536"/>
      <c r="BA189" s="536"/>
      <c r="BB189" s="536"/>
      <c r="BC189" s="536"/>
      <c r="BD189" s="536"/>
      <c r="BE189" s="536"/>
      <c r="BF189" s="536"/>
      <c r="BG189" s="536"/>
      <c r="BH189" s="536"/>
      <c r="BI189" s="536"/>
      <c r="BJ189" s="536"/>
      <c r="BK189" s="536"/>
      <c r="BL189" s="536"/>
      <c r="BM189" s="536"/>
      <c r="BN189" s="536"/>
      <c r="BO189" s="536"/>
      <c r="BP189" s="536"/>
      <c r="BQ189" s="536"/>
      <c r="BR189" s="536"/>
      <c r="BS189" s="536"/>
      <c r="BT189" s="536"/>
      <c r="BU189" s="536"/>
      <c r="BV189" s="536"/>
      <c r="BW189" s="536"/>
      <c r="BX189" s="536"/>
      <c r="BY189" s="536"/>
      <c r="BZ189" s="536"/>
      <c r="CA189" s="536"/>
      <c r="CB189" s="536"/>
      <c r="CC189" s="536"/>
      <c r="CD189" s="536"/>
    </row>
    <row r="190" spans="1:82" x14ac:dyDescent="0.2">
      <c r="A190" s="536">
        <f t="shared" si="90"/>
        <v>1</v>
      </c>
      <c r="B190" s="536">
        <f t="shared" si="87"/>
        <v>2013</v>
      </c>
      <c r="C190" s="552">
        <f t="shared" si="88"/>
        <v>41313</v>
      </c>
      <c r="D190" s="631" t="str">
        <f t="shared" si="89"/>
        <v>1Q13</v>
      </c>
      <c r="E190" s="540">
        <v>21.969985999999999</v>
      </c>
      <c r="F190" s="535"/>
      <c r="G190" s="536"/>
      <c r="H190" s="536"/>
      <c r="I190" s="536"/>
      <c r="J190" s="536"/>
      <c r="K190" s="536"/>
      <c r="L190" s="536"/>
      <c r="M190" s="536"/>
      <c r="N190" s="536"/>
      <c r="O190" s="536"/>
      <c r="P190" s="536"/>
      <c r="Q190" s="536"/>
      <c r="R190" s="536"/>
      <c r="S190" s="536"/>
      <c r="T190" s="536"/>
      <c r="U190" s="536"/>
      <c r="V190" s="536"/>
      <c r="W190" s="536"/>
      <c r="X190" s="536"/>
      <c r="Y190" s="536"/>
      <c r="Z190" s="536"/>
      <c r="AA190" s="536"/>
      <c r="AB190" s="536"/>
      <c r="AC190" s="536"/>
      <c r="AD190" s="536"/>
      <c r="AE190" s="536"/>
      <c r="AF190" s="536"/>
      <c r="AG190" s="536"/>
      <c r="AH190" s="536"/>
      <c r="AI190" s="536"/>
      <c r="AJ190" s="536"/>
      <c r="AK190" s="536"/>
      <c r="AL190" s="536"/>
      <c r="AM190" s="536"/>
      <c r="AN190" s="536"/>
      <c r="AO190" s="536"/>
      <c r="AP190" s="536"/>
      <c r="AQ190" s="536"/>
      <c r="AR190" s="536"/>
      <c r="AS190" s="536"/>
      <c r="AT190" s="536"/>
      <c r="AU190" s="536"/>
      <c r="AV190" s="536"/>
      <c r="AW190" s="536"/>
      <c r="AX190" s="536"/>
      <c r="AY190" s="536"/>
      <c r="AZ190" s="536"/>
      <c r="BA190" s="536"/>
      <c r="BB190" s="536"/>
      <c r="BC190" s="536"/>
      <c r="BD190" s="536"/>
      <c r="BE190" s="536"/>
      <c r="BF190" s="536"/>
      <c r="BG190" s="536"/>
      <c r="BH190" s="536"/>
      <c r="BI190" s="536"/>
      <c r="BJ190" s="536"/>
      <c r="BK190" s="536"/>
      <c r="BL190" s="536"/>
      <c r="BM190" s="536"/>
      <c r="BN190" s="536"/>
      <c r="BO190" s="536"/>
      <c r="BP190" s="536"/>
      <c r="BQ190" s="536"/>
      <c r="BR190" s="536"/>
      <c r="BS190" s="536"/>
      <c r="BT190" s="536"/>
      <c r="BU190" s="536"/>
      <c r="BV190" s="536"/>
      <c r="BW190" s="536"/>
      <c r="BX190" s="536"/>
      <c r="BY190" s="536"/>
      <c r="BZ190" s="536"/>
      <c r="CA190" s="536"/>
      <c r="CB190" s="536"/>
      <c r="CC190" s="536"/>
      <c r="CD190" s="536"/>
    </row>
    <row r="191" spans="1:82" x14ac:dyDescent="0.2">
      <c r="A191" s="536">
        <f t="shared" si="90"/>
        <v>1</v>
      </c>
      <c r="B191" s="536">
        <f t="shared" si="87"/>
        <v>2013</v>
      </c>
      <c r="C191" s="552">
        <f t="shared" si="88"/>
        <v>41320</v>
      </c>
      <c r="D191" s="631" t="str">
        <f t="shared" si="89"/>
        <v>1Q13</v>
      </c>
      <c r="E191" s="540">
        <v>22.789994</v>
      </c>
      <c r="F191" s="535"/>
      <c r="G191" s="536"/>
      <c r="H191" s="536"/>
      <c r="I191" s="536"/>
      <c r="J191" s="536"/>
      <c r="K191" s="536"/>
      <c r="L191" s="536"/>
      <c r="M191" s="536"/>
      <c r="N191" s="536"/>
      <c r="O191" s="536"/>
      <c r="P191" s="536"/>
      <c r="Q191" s="536"/>
      <c r="R191" s="536"/>
      <c r="S191" s="536"/>
      <c r="T191" s="536"/>
      <c r="U191" s="536"/>
      <c r="V191" s="536"/>
      <c r="W191" s="536"/>
      <c r="X191" s="536"/>
      <c r="Y191" s="536"/>
      <c r="Z191" s="536"/>
      <c r="AA191" s="536"/>
      <c r="AB191" s="536"/>
      <c r="AC191" s="536"/>
      <c r="AD191" s="536"/>
      <c r="AE191" s="536"/>
      <c r="AF191" s="536"/>
      <c r="AG191" s="536"/>
      <c r="AH191" s="536"/>
      <c r="AI191" s="536"/>
      <c r="AJ191" s="536"/>
      <c r="AK191" s="536"/>
      <c r="AL191" s="536"/>
      <c r="AM191" s="536"/>
      <c r="AN191" s="536"/>
      <c r="AO191" s="536"/>
      <c r="AP191" s="536"/>
      <c r="AQ191" s="536"/>
      <c r="AR191" s="536"/>
      <c r="AS191" s="536"/>
      <c r="AT191" s="536"/>
      <c r="AU191" s="536"/>
      <c r="AV191" s="536"/>
      <c r="AW191" s="536"/>
      <c r="AX191" s="536"/>
      <c r="AY191" s="536"/>
      <c r="AZ191" s="536"/>
      <c r="BA191" s="536"/>
      <c r="BB191" s="536"/>
      <c r="BC191" s="536"/>
      <c r="BD191" s="536"/>
      <c r="BE191" s="536"/>
      <c r="BF191" s="536"/>
      <c r="BG191" s="536"/>
      <c r="BH191" s="536"/>
      <c r="BI191" s="536"/>
      <c r="BJ191" s="536"/>
      <c r="BK191" s="536"/>
      <c r="BL191" s="536"/>
      <c r="BM191" s="536"/>
      <c r="BN191" s="536"/>
      <c r="BO191" s="536"/>
      <c r="BP191" s="536"/>
      <c r="BQ191" s="536"/>
      <c r="BR191" s="536"/>
      <c r="BS191" s="536"/>
      <c r="BT191" s="536"/>
      <c r="BU191" s="536"/>
      <c r="BV191" s="536"/>
      <c r="BW191" s="536"/>
      <c r="BX191" s="536"/>
      <c r="BY191" s="536"/>
      <c r="BZ191" s="536"/>
      <c r="CA191" s="536"/>
      <c r="CB191" s="536"/>
      <c r="CC191" s="536"/>
      <c r="CD191" s="536"/>
    </row>
    <row r="192" spans="1:82" x14ac:dyDescent="0.2">
      <c r="A192" s="536">
        <f t="shared" si="90"/>
        <v>1</v>
      </c>
      <c r="B192" s="536">
        <f t="shared" si="87"/>
        <v>2013</v>
      </c>
      <c r="C192" s="552">
        <f t="shared" ref="C192:C244" si="91">C191+7</f>
        <v>41327</v>
      </c>
      <c r="D192" s="631" t="str">
        <f t="shared" si="89"/>
        <v>1Q13</v>
      </c>
      <c r="E192" s="540">
        <v>22.859985999999999</v>
      </c>
      <c r="F192" s="535"/>
      <c r="G192" s="536"/>
      <c r="H192" s="536"/>
      <c r="I192" s="536"/>
      <c r="J192" s="536"/>
      <c r="K192" s="536"/>
      <c r="L192" s="536"/>
      <c r="M192" s="536"/>
      <c r="N192" s="536"/>
      <c r="O192" s="536"/>
      <c r="P192" s="536"/>
      <c r="Q192" s="536"/>
      <c r="R192" s="536"/>
      <c r="S192" s="536"/>
      <c r="T192" s="536"/>
      <c r="U192" s="536"/>
      <c r="V192" s="536"/>
      <c r="W192" s="536"/>
      <c r="X192" s="536"/>
      <c r="Y192" s="536"/>
      <c r="Z192" s="536"/>
      <c r="AA192" s="536"/>
      <c r="AB192" s="536"/>
      <c r="AC192" s="536"/>
      <c r="AD192" s="536"/>
      <c r="AE192" s="536"/>
      <c r="AF192" s="536"/>
      <c r="AG192" s="536"/>
      <c r="AH192" s="536"/>
      <c r="AI192" s="536"/>
      <c r="AJ192" s="536"/>
      <c r="AK192" s="536"/>
      <c r="AL192" s="536"/>
      <c r="AM192" s="536"/>
      <c r="AN192" s="536"/>
      <c r="AO192" s="536"/>
      <c r="AP192" s="536"/>
      <c r="AQ192" s="536"/>
      <c r="AR192" s="536"/>
      <c r="AS192" s="536"/>
      <c r="AT192" s="536"/>
      <c r="AU192" s="536"/>
      <c r="AV192" s="536"/>
      <c r="AW192" s="536"/>
      <c r="AX192" s="536"/>
      <c r="AY192" s="536"/>
      <c r="AZ192" s="536"/>
      <c r="BA192" s="536"/>
      <c r="BB192" s="536"/>
      <c r="BC192" s="536"/>
      <c r="BD192" s="536"/>
      <c r="BE192" s="536"/>
      <c r="BF192" s="536"/>
      <c r="BG192" s="536"/>
      <c r="BH192" s="536"/>
      <c r="BI192" s="536"/>
      <c r="BJ192" s="536"/>
      <c r="BK192" s="536"/>
      <c r="BL192" s="536"/>
      <c r="BM192" s="536"/>
      <c r="BN192" s="536"/>
      <c r="BO192" s="536"/>
      <c r="BP192" s="536"/>
      <c r="BQ192" s="536"/>
      <c r="BR192" s="536"/>
      <c r="BS192" s="536"/>
      <c r="BT192" s="536"/>
      <c r="BU192" s="536"/>
      <c r="BV192" s="536"/>
      <c r="BW192" s="536"/>
      <c r="BX192" s="536"/>
      <c r="BY192" s="536"/>
      <c r="BZ192" s="536"/>
      <c r="CA192" s="536"/>
      <c r="CB192" s="536"/>
      <c r="CC192" s="536"/>
      <c r="CD192" s="536"/>
    </row>
    <row r="193" spans="1:82" x14ac:dyDescent="0.2">
      <c r="A193" s="536">
        <f t="shared" si="90"/>
        <v>1</v>
      </c>
      <c r="B193" s="536">
        <f t="shared" si="87"/>
        <v>2013</v>
      </c>
      <c r="C193" s="552">
        <f t="shared" si="91"/>
        <v>41334</v>
      </c>
      <c r="D193" s="631" t="str">
        <f t="shared" si="89"/>
        <v>1Q13</v>
      </c>
      <c r="E193" s="540">
        <v>22.969985999999999</v>
      </c>
      <c r="F193" s="535"/>
      <c r="G193" s="536"/>
      <c r="H193" s="536"/>
      <c r="I193" s="536"/>
      <c r="J193" s="536"/>
      <c r="K193" s="536"/>
      <c r="L193" s="536"/>
      <c r="M193" s="536"/>
      <c r="N193" s="536"/>
      <c r="O193" s="536"/>
      <c r="P193" s="536"/>
      <c r="Q193" s="536"/>
      <c r="R193" s="536"/>
      <c r="S193" s="536"/>
      <c r="T193" s="536"/>
      <c r="U193" s="536"/>
      <c r="V193" s="536"/>
      <c r="W193" s="536"/>
      <c r="X193" s="536"/>
      <c r="Y193" s="536"/>
      <c r="Z193" s="536"/>
      <c r="AA193" s="536"/>
      <c r="AB193" s="536"/>
      <c r="AC193" s="536"/>
      <c r="AD193" s="536"/>
      <c r="AE193" s="536"/>
      <c r="AF193" s="536"/>
      <c r="AG193" s="536"/>
      <c r="AH193" s="536"/>
      <c r="AI193" s="536"/>
      <c r="AJ193" s="536"/>
      <c r="AK193" s="536"/>
      <c r="AL193" s="536"/>
      <c r="AM193" s="536"/>
      <c r="AN193" s="536"/>
      <c r="AO193" s="536"/>
      <c r="AP193" s="536"/>
      <c r="AQ193" s="536"/>
      <c r="AR193" s="536"/>
      <c r="AS193" s="536"/>
      <c r="AT193" s="536"/>
      <c r="AU193" s="536"/>
      <c r="AV193" s="536"/>
      <c r="AW193" s="536"/>
      <c r="AX193" s="536"/>
      <c r="AY193" s="536"/>
      <c r="AZ193" s="536"/>
      <c r="BA193" s="536"/>
      <c r="BB193" s="536"/>
      <c r="BC193" s="536"/>
      <c r="BD193" s="536"/>
      <c r="BE193" s="536"/>
      <c r="BF193" s="536"/>
      <c r="BG193" s="536"/>
      <c r="BH193" s="536"/>
      <c r="BI193" s="536"/>
      <c r="BJ193" s="536"/>
      <c r="BK193" s="536"/>
      <c r="BL193" s="536"/>
      <c r="BM193" s="536"/>
      <c r="BN193" s="536"/>
      <c r="BO193" s="536"/>
      <c r="BP193" s="536"/>
      <c r="BQ193" s="536"/>
      <c r="BR193" s="536"/>
      <c r="BS193" s="536"/>
      <c r="BT193" s="536"/>
      <c r="BU193" s="536"/>
      <c r="BV193" s="536"/>
      <c r="BW193" s="536"/>
      <c r="BX193" s="536"/>
      <c r="BY193" s="536"/>
      <c r="BZ193" s="536"/>
      <c r="CA193" s="536"/>
      <c r="CB193" s="536"/>
      <c r="CC193" s="536"/>
      <c r="CD193" s="536"/>
    </row>
    <row r="194" spans="1:82" x14ac:dyDescent="0.2">
      <c r="A194" s="536">
        <f t="shared" si="90"/>
        <v>1</v>
      </c>
      <c r="B194" s="536">
        <f t="shared" si="87"/>
        <v>2013</v>
      </c>
      <c r="C194" s="552">
        <f t="shared" si="91"/>
        <v>41341</v>
      </c>
      <c r="D194" s="631" t="str">
        <f t="shared" si="89"/>
        <v>1Q13</v>
      </c>
      <c r="E194" s="540">
        <v>22.989991</v>
      </c>
      <c r="F194" s="535"/>
      <c r="G194" s="536"/>
      <c r="H194" s="536"/>
      <c r="I194" s="536"/>
      <c r="J194" s="536"/>
      <c r="K194" s="536"/>
      <c r="L194" s="536"/>
      <c r="M194" s="536"/>
      <c r="N194" s="536"/>
      <c r="O194" s="536"/>
      <c r="P194" s="536"/>
      <c r="Q194" s="536"/>
      <c r="R194" s="536"/>
      <c r="S194" s="536"/>
      <c r="T194" s="536"/>
      <c r="U194" s="536"/>
      <c r="V194" s="536"/>
      <c r="W194" s="536"/>
      <c r="X194" s="536"/>
      <c r="Y194" s="536"/>
      <c r="Z194" s="536"/>
      <c r="AA194" s="536"/>
      <c r="AB194" s="536"/>
      <c r="AC194" s="536"/>
      <c r="AD194" s="536"/>
      <c r="AE194" s="536"/>
      <c r="AF194" s="536"/>
      <c r="AG194" s="536"/>
      <c r="AH194" s="536"/>
      <c r="AI194" s="536"/>
      <c r="AJ194" s="536"/>
      <c r="AK194" s="536"/>
      <c r="AL194" s="536"/>
      <c r="AM194" s="536"/>
      <c r="AN194" s="536"/>
      <c r="AO194" s="536"/>
      <c r="AP194" s="536"/>
      <c r="AQ194" s="536"/>
      <c r="AR194" s="536"/>
      <c r="AS194" s="536"/>
      <c r="AT194" s="536"/>
      <c r="AU194" s="536"/>
      <c r="AV194" s="536"/>
      <c r="AW194" s="536"/>
      <c r="AX194" s="536"/>
      <c r="AY194" s="536"/>
      <c r="AZ194" s="536"/>
      <c r="BA194" s="536"/>
      <c r="BB194" s="536"/>
      <c r="BC194" s="536"/>
      <c r="BD194" s="536"/>
      <c r="BE194" s="536"/>
      <c r="BF194" s="536"/>
      <c r="BG194" s="536"/>
      <c r="BH194" s="536"/>
      <c r="BI194" s="536"/>
      <c r="BJ194" s="536"/>
      <c r="BK194" s="536"/>
      <c r="BL194" s="536"/>
      <c r="BM194" s="536"/>
      <c r="BN194" s="536"/>
      <c r="BO194" s="536"/>
      <c r="BP194" s="536"/>
      <c r="BQ194" s="536"/>
      <c r="BR194" s="536"/>
      <c r="BS194" s="536"/>
      <c r="BT194" s="536"/>
      <c r="BU194" s="536"/>
      <c r="BV194" s="536"/>
      <c r="BW194" s="536"/>
      <c r="BX194" s="536"/>
      <c r="BY194" s="536"/>
      <c r="BZ194" s="536"/>
      <c r="CA194" s="536"/>
      <c r="CB194" s="536"/>
      <c r="CC194" s="536"/>
      <c r="CD194" s="536"/>
    </row>
    <row r="195" spans="1:82" x14ac:dyDescent="0.2">
      <c r="A195" s="536">
        <f t="shared" si="90"/>
        <v>1</v>
      </c>
      <c r="B195" s="536">
        <f t="shared" ref="B195:B244" si="92">YEAR(C195)</f>
        <v>2013</v>
      </c>
      <c r="C195" s="552">
        <f t="shared" si="91"/>
        <v>41348</v>
      </c>
      <c r="D195" s="631" t="str">
        <f t="shared" ref="D195:D244" si="93">A195&amp;"Q"&amp;RIGHT(B195,2)</f>
        <v>1Q13</v>
      </c>
      <c r="E195" s="540">
        <v>24.01999</v>
      </c>
      <c r="F195" s="535"/>
      <c r="G195" s="536"/>
      <c r="H195" s="536"/>
      <c r="I195" s="536"/>
      <c r="J195" s="536"/>
      <c r="K195" s="536"/>
      <c r="L195" s="536"/>
      <c r="M195" s="536"/>
      <c r="N195" s="536"/>
      <c r="O195" s="536"/>
      <c r="P195" s="536"/>
      <c r="Q195" s="536"/>
      <c r="R195" s="536"/>
      <c r="S195" s="536"/>
      <c r="T195" s="536"/>
      <c r="U195" s="536"/>
      <c r="V195" s="536"/>
      <c r="W195" s="536"/>
      <c r="X195" s="536"/>
      <c r="Y195" s="536"/>
      <c r="Z195" s="536"/>
      <c r="AA195" s="536"/>
      <c r="AB195" s="536"/>
      <c r="AC195" s="536"/>
      <c r="AD195" s="536"/>
      <c r="AE195" s="536"/>
      <c r="AF195" s="536"/>
      <c r="AG195" s="536"/>
      <c r="AH195" s="536"/>
      <c r="AI195" s="536"/>
      <c r="AJ195" s="536"/>
      <c r="AK195" s="536"/>
      <c r="AL195" s="536"/>
      <c r="AM195" s="536"/>
      <c r="AN195" s="536"/>
      <c r="AO195" s="536"/>
      <c r="AP195" s="536"/>
      <c r="AQ195" s="536"/>
      <c r="AR195" s="536"/>
      <c r="AS195" s="536"/>
      <c r="AT195" s="536"/>
      <c r="AU195" s="536"/>
      <c r="AV195" s="536"/>
      <c r="AW195" s="536"/>
      <c r="AX195" s="536"/>
      <c r="AY195" s="536"/>
      <c r="AZ195" s="536"/>
      <c r="BA195" s="536"/>
      <c r="BB195" s="536"/>
      <c r="BC195" s="536"/>
      <c r="BD195" s="536"/>
      <c r="BE195" s="536"/>
      <c r="BF195" s="536"/>
      <c r="BG195" s="536"/>
      <c r="BH195" s="536"/>
      <c r="BI195" s="536"/>
      <c r="BJ195" s="536"/>
      <c r="BK195" s="536"/>
      <c r="BL195" s="536"/>
      <c r="BM195" s="536"/>
      <c r="BN195" s="536"/>
      <c r="BO195" s="536"/>
      <c r="BP195" s="536"/>
      <c r="BQ195" s="536"/>
      <c r="BR195" s="536"/>
      <c r="BS195" s="536"/>
      <c r="BT195" s="536"/>
      <c r="BU195" s="536"/>
      <c r="BV195" s="536"/>
      <c r="BW195" s="536"/>
      <c r="BX195" s="536"/>
      <c r="BY195" s="536"/>
      <c r="BZ195" s="536"/>
      <c r="CA195" s="536"/>
      <c r="CB195" s="536"/>
      <c r="CC195" s="536"/>
      <c r="CD195" s="536"/>
    </row>
    <row r="196" spans="1:82" x14ac:dyDescent="0.2">
      <c r="A196" s="536">
        <f t="shared" si="90"/>
        <v>1</v>
      </c>
      <c r="B196" s="536">
        <f t="shared" si="92"/>
        <v>2013</v>
      </c>
      <c r="C196" s="552">
        <f t="shared" si="91"/>
        <v>41355</v>
      </c>
      <c r="D196" s="631" t="str">
        <f t="shared" si="93"/>
        <v>1Q13</v>
      </c>
      <c r="E196" s="540">
        <v>24.029999</v>
      </c>
      <c r="F196" s="535"/>
      <c r="G196" s="536"/>
      <c r="H196" s="536"/>
      <c r="I196" s="536"/>
      <c r="J196" s="536"/>
      <c r="K196" s="536"/>
      <c r="L196" s="536"/>
      <c r="M196" s="536"/>
      <c r="N196" s="536"/>
      <c r="O196" s="536"/>
      <c r="P196" s="536"/>
      <c r="Q196" s="536"/>
      <c r="R196" s="536"/>
      <c r="S196" s="536"/>
      <c r="T196" s="536"/>
      <c r="U196" s="536"/>
      <c r="V196" s="536"/>
      <c r="W196" s="536"/>
      <c r="X196" s="536"/>
      <c r="Y196" s="536"/>
      <c r="Z196" s="536"/>
      <c r="AA196" s="536"/>
      <c r="AB196" s="536"/>
      <c r="AC196" s="536"/>
      <c r="AD196" s="536"/>
      <c r="AE196" s="536"/>
      <c r="AF196" s="536"/>
      <c r="AG196" s="536"/>
      <c r="AH196" s="536"/>
      <c r="AI196" s="536"/>
      <c r="AJ196" s="536"/>
      <c r="AK196" s="536"/>
      <c r="AL196" s="536"/>
      <c r="AM196" s="536"/>
      <c r="AN196" s="536"/>
      <c r="AO196" s="536"/>
      <c r="AP196" s="536"/>
      <c r="AQ196" s="536"/>
      <c r="AR196" s="536"/>
      <c r="AS196" s="536"/>
      <c r="AT196" s="536"/>
      <c r="AU196" s="536"/>
      <c r="AV196" s="536"/>
      <c r="AW196" s="536"/>
      <c r="AX196" s="536"/>
      <c r="AY196" s="536"/>
      <c r="AZ196" s="536"/>
      <c r="BA196" s="536"/>
      <c r="BB196" s="536"/>
      <c r="BC196" s="536"/>
      <c r="BD196" s="536"/>
      <c r="BE196" s="536"/>
      <c r="BF196" s="536"/>
      <c r="BG196" s="536"/>
      <c r="BH196" s="536"/>
      <c r="BI196" s="536"/>
      <c r="BJ196" s="536"/>
      <c r="BK196" s="536"/>
      <c r="BL196" s="536"/>
      <c r="BM196" s="536"/>
      <c r="BN196" s="536"/>
      <c r="BO196" s="536"/>
      <c r="BP196" s="536"/>
      <c r="BQ196" s="536"/>
      <c r="BR196" s="536"/>
      <c r="BS196" s="536"/>
      <c r="BT196" s="536"/>
      <c r="BU196" s="536"/>
      <c r="BV196" s="536"/>
      <c r="BW196" s="536"/>
      <c r="BX196" s="536"/>
      <c r="BY196" s="536"/>
      <c r="BZ196" s="536"/>
      <c r="CA196" s="536"/>
      <c r="CB196" s="536"/>
      <c r="CC196" s="536"/>
      <c r="CD196" s="536"/>
    </row>
    <row r="197" spans="1:82" x14ac:dyDescent="0.2">
      <c r="A197" s="536">
        <f t="shared" si="90"/>
        <v>1</v>
      </c>
      <c r="B197" s="536">
        <f t="shared" si="92"/>
        <v>2013</v>
      </c>
      <c r="C197" s="552">
        <f t="shared" si="91"/>
        <v>41362</v>
      </c>
      <c r="D197" s="631" t="str">
        <f t="shared" si="93"/>
        <v>1Q13</v>
      </c>
      <c r="E197" s="540">
        <v>24.629989999999999</v>
      </c>
      <c r="F197" s="535"/>
      <c r="G197" s="536"/>
      <c r="H197" s="536"/>
      <c r="I197" s="536"/>
      <c r="J197" s="536"/>
      <c r="K197" s="536"/>
      <c r="L197" s="536"/>
      <c r="M197" s="536"/>
      <c r="N197" s="536"/>
      <c r="O197" s="536"/>
      <c r="P197" s="536"/>
      <c r="Q197" s="536"/>
      <c r="R197" s="536"/>
      <c r="S197" s="536"/>
      <c r="T197" s="536"/>
      <c r="U197" s="536"/>
      <c r="V197" s="536"/>
      <c r="W197" s="536"/>
      <c r="X197" s="536"/>
      <c r="Y197" s="536"/>
      <c r="Z197" s="536"/>
      <c r="AA197" s="536"/>
      <c r="AB197" s="536"/>
      <c r="AC197" s="536"/>
      <c r="AD197" s="536"/>
      <c r="AE197" s="536"/>
      <c r="AF197" s="536"/>
      <c r="AG197" s="536"/>
      <c r="AH197" s="536"/>
      <c r="AI197" s="536"/>
      <c r="AJ197" s="536"/>
      <c r="AK197" s="536"/>
      <c r="AL197" s="536"/>
      <c r="AM197" s="536"/>
      <c r="AN197" s="536"/>
      <c r="AO197" s="536"/>
      <c r="AP197" s="536"/>
      <c r="AQ197" s="536"/>
      <c r="AR197" s="536"/>
      <c r="AS197" s="536"/>
      <c r="AT197" s="536"/>
      <c r="AU197" s="536"/>
      <c r="AV197" s="536"/>
      <c r="AW197" s="536"/>
      <c r="AX197" s="536"/>
      <c r="AY197" s="536"/>
      <c r="AZ197" s="536"/>
      <c r="BA197" s="536"/>
      <c r="BB197" s="536"/>
      <c r="BC197" s="536"/>
      <c r="BD197" s="536"/>
      <c r="BE197" s="536"/>
      <c r="BF197" s="536"/>
      <c r="BG197" s="536"/>
      <c r="BH197" s="536"/>
      <c r="BI197" s="536"/>
      <c r="BJ197" s="536"/>
      <c r="BK197" s="536"/>
      <c r="BL197" s="536"/>
      <c r="BM197" s="536"/>
      <c r="BN197" s="536"/>
      <c r="BO197" s="536"/>
      <c r="BP197" s="536"/>
      <c r="BQ197" s="536"/>
      <c r="BR197" s="536"/>
      <c r="BS197" s="536"/>
      <c r="BT197" s="536"/>
      <c r="BU197" s="536"/>
      <c r="BV197" s="536"/>
      <c r="BW197" s="536"/>
      <c r="BX197" s="536"/>
      <c r="BY197" s="536"/>
      <c r="BZ197" s="536"/>
      <c r="CA197" s="536"/>
      <c r="CB197" s="536"/>
      <c r="CC197" s="536"/>
      <c r="CD197" s="536"/>
    </row>
    <row r="198" spans="1:82" x14ac:dyDescent="0.2">
      <c r="A198" s="536">
        <f t="shared" si="90"/>
        <v>2</v>
      </c>
      <c r="B198" s="536">
        <f t="shared" si="92"/>
        <v>2013</v>
      </c>
      <c r="C198" s="552">
        <f t="shared" si="91"/>
        <v>41369</v>
      </c>
      <c r="D198" s="631" t="str">
        <f t="shared" si="93"/>
        <v>2Q13</v>
      </c>
      <c r="E198" s="540">
        <v>23.839997</v>
      </c>
      <c r="F198" s="535"/>
      <c r="G198" s="536"/>
      <c r="H198" s="536"/>
      <c r="I198" s="536"/>
      <c r="J198" s="536"/>
      <c r="K198" s="536"/>
      <c r="L198" s="536"/>
      <c r="M198" s="536"/>
      <c r="N198" s="536"/>
      <c r="O198" s="536"/>
      <c r="P198" s="536"/>
      <c r="Q198" s="536"/>
      <c r="R198" s="536"/>
      <c r="S198" s="536"/>
      <c r="T198" s="536"/>
      <c r="U198" s="536"/>
      <c r="V198" s="536"/>
      <c r="W198" s="536"/>
      <c r="X198" s="536"/>
      <c r="Y198" s="536"/>
      <c r="Z198" s="536"/>
      <c r="AA198" s="536"/>
      <c r="AB198" s="536"/>
      <c r="AC198" s="536"/>
      <c r="AD198" s="536"/>
      <c r="AE198" s="536"/>
      <c r="AF198" s="536"/>
      <c r="AG198" s="536"/>
      <c r="AH198" s="536"/>
      <c r="AI198" s="536"/>
      <c r="AJ198" s="536"/>
      <c r="AK198" s="536"/>
      <c r="AL198" s="536"/>
      <c r="AM198" s="536"/>
      <c r="AN198" s="536"/>
      <c r="AO198" s="536"/>
      <c r="AP198" s="536"/>
      <c r="AQ198" s="536"/>
      <c r="AR198" s="536"/>
      <c r="AS198" s="536"/>
      <c r="AT198" s="536"/>
      <c r="AU198" s="536"/>
      <c r="AV198" s="536"/>
      <c r="AW198" s="536"/>
      <c r="AX198" s="536"/>
      <c r="AY198" s="536"/>
      <c r="AZ198" s="536"/>
      <c r="BA198" s="536"/>
      <c r="BB198" s="536"/>
      <c r="BC198" s="536"/>
      <c r="BD198" s="536"/>
      <c r="BE198" s="536"/>
      <c r="BF198" s="536"/>
      <c r="BG198" s="536"/>
      <c r="BH198" s="536"/>
      <c r="BI198" s="536"/>
      <c r="BJ198" s="536"/>
      <c r="BK198" s="536"/>
      <c r="BL198" s="536"/>
      <c r="BM198" s="536"/>
      <c r="BN198" s="536"/>
      <c r="BO198" s="536"/>
      <c r="BP198" s="536"/>
      <c r="BQ198" s="536"/>
      <c r="BR198" s="536"/>
      <c r="BS198" s="536"/>
      <c r="BT198" s="536"/>
      <c r="BU198" s="536"/>
      <c r="BV198" s="536"/>
      <c r="BW198" s="536"/>
      <c r="BX198" s="536"/>
      <c r="BY198" s="536"/>
      <c r="BZ198" s="536"/>
      <c r="CA198" s="536"/>
      <c r="CB198" s="536"/>
      <c r="CC198" s="536"/>
      <c r="CD198" s="536"/>
    </row>
    <row r="199" spans="1:82" x14ac:dyDescent="0.2">
      <c r="A199" s="536">
        <f t="shared" si="90"/>
        <v>2</v>
      </c>
      <c r="B199" s="536">
        <f t="shared" si="92"/>
        <v>2013</v>
      </c>
      <c r="C199" s="552">
        <f t="shared" si="91"/>
        <v>41376</v>
      </c>
      <c r="D199" s="631" t="str">
        <f t="shared" si="93"/>
        <v>2Q13</v>
      </c>
      <c r="E199" s="540">
        <v>24.509995</v>
      </c>
      <c r="F199" s="535"/>
      <c r="G199" s="536"/>
      <c r="H199" s="536"/>
      <c r="I199" s="536"/>
      <c r="J199" s="536"/>
      <c r="K199" s="536"/>
      <c r="L199" s="536"/>
      <c r="M199" s="536"/>
      <c r="N199" s="536"/>
      <c r="O199" s="536"/>
      <c r="P199" s="536"/>
      <c r="Q199" s="536"/>
      <c r="R199" s="536"/>
      <c r="S199" s="536"/>
      <c r="T199" s="536"/>
      <c r="U199" s="536"/>
      <c r="V199" s="536"/>
      <c r="W199" s="536"/>
      <c r="X199" s="536"/>
      <c r="Y199" s="536"/>
      <c r="Z199" s="536"/>
      <c r="AA199" s="536"/>
      <c r="AB199" s="536"/>
      <c r="AC199" s="536"/>
      <c r="AD199" s="536"/>
      <c r="AE199" s="536"/>
      <c r="AF199" s="536"/>
      <c r="AG199" s="536"/>
      <c r="AH199" s="536"/>
      <c r="AI199" s="536"/>
      <c r="AJ199" s="536"/>
      <c r="AK199" s="536"/>
      <c r="AL199" s="536"/>
      <c r="AM199" s="536"/>
      <c r="AN199" s="536"/>
      <c r="AO199" s="536"/>
      <c r="AP199" s="536"/>
      <c r="AQ199" s="536"/>
      <c r="AR199" s="536"/>
      <c r="AS199" s="536"/>
      <c r="AT199" s="536"/>
      <c r="AU199" s="536"/>
      <c r="AV199" s="536"/>
      <c r="AW199" s="536"/>
      <c r="AX199" s="536"/>
      <c r="AY199" s="536"/>
      <c r="AZ199" s="536"/>
      <c r="BA199" s="536"/>
      <c r="BB199" s="536"/>
      <c r="BC199" s="536"/>
      <c r="BD199" s="536"/>
      <c r="BE199" s="536"/>
      <c r="BF199" s="536"/>
      <c r="BG199" s="536"/>
      <c r="BH199" s="536"/>
      <c r="BI199" s="536"/>
      <c r="BJ199" s="536"/>
      <c r="BK199" s="536"/>
      <c r="BL199" s="536"/>
      <c r="BM199" s="536"/>
      <c r="BN199" s="536"/>
      <c r="BO199" s="536"/>
      <c r="BP199" s="536"/>
      <c r="BQ199" s="536"/>
      <c r="BR199" s="536"/>
      <c r="BS199" s="536"/>
      <c r="BT199" s="536"/>
      <c r="BU199" s="536"/>
      <c r="BV199" s="536"/>
      <c r="BW199" s="536"/>
      <c r="BX199" s="536"/>
      <c r="BY199" s="536"/>
      <c r="BZ199" s="536"/>
      <c r="CA199" s="536"/>
      <c r="CB199" s="536"/>
      <c r="CC199" s="536"/>
      <c r="CD199" s="536"/>
    </row>
    <row r="200" spans="1:82" x14ac:dyDescent="0.2">
      <c r="A200" s="536">
        <f t="shared" si="90"/>
        <v>2</v>
      </c>
      <c r="B200" s="536">
        <f t="shared" si="92"/>
        <v>2013</v>
      </c>
      <c r="C200" s="552">
        <f t="shared" si="91"/>
        <v>41383</v>
      </c>
      <c r="D200" s="631" t="str">
        <f t="shared" si="93"/>
        <v>2Q13</v>
      </c>
      <c r="E200" s="540">
        <v>23.699997</v>
      </c>
      <c r="F200" s="535"/>
      <c r="G200" s="536"/>
      <c r="H200" s="536"/>
      <c r="I200" s="536"/>
      <c r="J200" s="536"/>
      <c r="K200" s="536"/>
      <c r="L200" s="536"/>
      <c r="M200" s="536"/>
      <c r="N200" s="536"/>
      <c r="O200" s="536"/>
      <c r="P200" s="536"/>
      <c r="Q200" s="536"/>
      <c r="R200" s="536"/>
      <c r="S200" s="536"/>
      <c r="T200" s="536"/>
      <c r="U200" s="536"/>
      <c r="V200" s="536"/>
      <c r="W200" s="536"/>
      <c r="X200" s="536"/>
      <c r="Y200" s="536"/>
      <c r="Z200" s="536"/>
      <c r="AA200" s="536"/>
      <c r="AB200" s="536"/>
      <c r="AC200" s="536"/>
      <c r="AD200" s="536"/>
      <c r="AE200" s="536"/>
      <c r="AF200" s="536"/>
      <c r="AG200" s="536"/>
      <c r="AH200" s="536"/>
      <c r="AI200" s="536"/>
      <c r="AJ200" s="536"/>
      <c r="AK200" s="536"/>
      <c r="AL200" s="536"/>
      <c r="AM200" s="536"/>
      <c r="AN200" s="536"/>
      <c r="AO200" s="536"/>
      <c r="AP200" s="536"/>
      <c r="AQ200" s="536"/>
      <c r="AR200" s="536"/>
      <c r="AS200" s="536"/>
      <c r="AT200" s="536"/>
      <c r="AU200" s="536"/>
      <c r="AV200" s="536"/>
      <c r="AW200" s="536"/>
      <c r="AX200" s="536"/>
      <c r="AY200" s="536"/>
      <c r="AZ200" s="536"/>
      <c r="BA200" s="536"/>
      <c r="BB200" s="536"/>
      <c r="BC200" s="536"/>
      <c r="BD200" s="536"/>
      <c r="BE200" s="536"/>
      <c r="BF200" s="536"/>
      <c r="BG200" s="536"/>
      <c r="BH200" s="536"/>
      <c r="BI200" s="536"/>
      <c r="BJ200" s="536"/>
      <c r="BK200" s="536"/>
      <c r="BL200" s="536"/>
      <c r="BM200" s="536"/>
      <c r="BN200" s="536"/>
      <c r="BO200" s="536"/>
      <c r="BP200" s="536"/>
      <c r="BQ200" s="536"/>
      <c r="BR200" s="536"/>
      <c r="BS200" s="536"/>
      <c r="BT200" s="536"/>
      <c r="BU200" s="536"/>
      <c r="BV200" s="536"/>
      <c r="BW200" s="536"/>
      <c r="BX200" s="536"/>
      <c r="BY200" s="536"/>
      <c r="BZ200" s="536"/>
      <c r="CA200" s="536"/>
      <c r="CB200" s="536"/>
      <c r="CC200" s="536"/>
      <c r="CD200" s="536"/>
    </row>
    <row r="201" spans="1:82" x14ac:dyDescent="0.2">
      <c r="A201" s="536">
        <f t="shared" si="90"/>
        <v>2</v>
      </c>
      <c r="B201" s="536">
        <f t="shared" si="92"/>
        <v>2013</v>
      </c>
      <c r="C201" s="552">
        <f t="shared" si="91"/>
        <v>41390</v>
      </c>
      <c r="D201" s="631" t="str">
        <f t="shared" si="93"/>
        <v>2Q13</v>
      </c>
      <c r="E201" s="540">
        <v>24.369996</v>
      </c>
      <c r="F201" s="535"/>
      <c r="G201" s="536"/>
      <c r="H201" s="536"/>
      <c r="I201" s="536"/>
      <c r="J201" s="536"/>
      <c r="K201" s="536"/>
      <c r="L201" s="536"/>
      <c r="M201" s="536"/>
      <c r="N201" s="536"/>
      <c r="O201" s="536"/>
      <c r="P201" s="536"/>
      <c r="Q201" s="536"/>
      <c r="R201" s="536"/>
      <c r="S201" s="536"/>
      <c r="T201" s="536"/>
      <c r="U201" s="536"/>
      <c r="V201" s="536"/>
      <c r="W201" s="536"/>
      <c r="X201" s="536"/>
      <c r="Y201" s="536"/>
      <c r="Z201" s="536"/>
      <c r="AA201" s="536"/>
      <c r="AB201" s="536"/>
      <c r="AC201" s="536"/>
      <c r="AD201" s="536"/>
      <c r="AE201" s="536"/>
      <c r="AF201" s="536"/>
      <c r="AG201" s="536"/>
      <c r="AH201" s="536"/>
      <c r="AI201" s="536"/>
      <c r="AJ201" s="536"/>
      <c r="AK201" s="536"/>
      <c r="AL201" s="536"/>
      <c r="AM201" s="536"/>
      <c r="AN201" s="536"/>
      <c r="AO201" s="536"/>
      <c r="AP201" s="536"/>
      <c r="AQ201" s="536"/>
      <c r="AR201" s="536"/>
      <c r="AS201" s="536"/>
      <c r="AT201" s="536"/>
      <c r="AU201" s="536"/>
      <c r="AV201" s="536"/>
      <c r="AW201" s="536"/>
      <c r="AX201" s="536"/>
      <c r="AY201" s="536"/>
      <c r="AZ201" s="536"/>
      <c r="BA201" s="536"/>
      <c r="BB201" s="536"/>
      <c r="BC201" s="536"/>
      <c r="BD201" s="536"/>
      <c r="BE201" s="536"/>
      <c r="BF201" s="536"/>
      <c r="BG201" s="536"/>
      <c r="BH201" s="536"/>
      <c r="BI201" s="536"/>
      <c r="BJ201" s="536"/>
      <c r="BK201" s="536"/>
      <c r="BL201" s="536"/>
      <c r="BM201" s="536"/>
      <c r="BN201" s="536"/>
      <c r="BO201" s="536"/>
      <c r="BP201" s="536"/>
      <c r="BQ201" s="536"/>
      <c r="BR201" s="536"/>
      <c r="BS201" s="536"/>
      <c r="BT201" s="536"/>
      <c r="BU201" s="536"/>
      <c r="BV201" s="536"/>
      <c r="BW201" s="536"/>
      <c r="BX201" s="536"/>
      <c r="BY201" s="536"/>
      <c r="BZ201" s="536"/>
      <c r="CA201" s="536"/>
      <c r="CB201" s="536"/>
      <c r="CC201" s="536"/>
      <c r="CD201" s="536"/>
    </row>
    <row r="202" spans="1:82" x14ac:dyDescent="0.2">
      <c r="A202" s="536">
        <f t="shared" si="90"/>
        <v>2</v>
      </c>
      <c r="B202" s="536">
        <f t="shared" si="92"/>
        <v>2013</v>
      </c>
      <c r="C202" s="552">
        <f t="shared" si="91"/>
        <v>41397</v>
      </c>
      <c r="D202" s="631" t="str">
        <f t="shared" si="93"/>
        <v>2Q13</v>
      </c>
      <c r="E202" s="540">
        <v>24.809998</v>
      </c>
      <c r="F202" s="535"/>
      <c r="G202" s="536"/>
      <c r="H202" s="536"/>
      <c r="I202" s="536"/>
      <c r="J202" s="536"/>
      <c r="K202" s="536"/>
      <c r="L202" s="536"/>
      <c r="M202" s="536"/>
      <c r="N202" s="536"/>
      <c r="O202" s="536"/>
      <c r="P202" s="536"/>
      <c r="Q202" s="536"/>
      <c r="R202" s="536"/>
      <c r="S202" s="536"/>
      <c r="T202" s="536"/>
      <c r="U202" s="536"/>
      <c r="V202" s="536"/>
      <c r="W202" s="536"/>
      <c r="X202" s="536"/>
      <c r="Y202" s="536"/>
      <c r="Z202" s="536"/>
      <c r="AA202" s="536"/>
      <c r="AB202" s="536"/>
      <c r="AC202" s="536"/>
      <c r="AD202" s="536"/>
      <c r="AE202" s="536"/>
      <c r="AF202" s="536"/>
      <c r="AG202" s="536"/>
      <c r="AH202" s="536"/>
      <c r="AI202" s="536"/>
      <c r="AJ202" s="536"/>
      <c r="AK202" s="536"/>
      <c r="AL202" s="536"/>
      <c r="AM202" s="536"/>
      <c r="AN202" s="536"/>
      <c r="AO202" s="536"/>
      <c r="AP202" s="536"/>
      <c r="AQ202" s="536"/>
      <c r="AR202" s="536"/>
      <c r="AS202" s="536"/>
      <c r="AT202" s="536"/>
      <c r="AU202" s="536"/>
      <c r="AV202" s="536"/>
      <c r="AW202" s="536"/>
      <c r="AX202" s="536"/>
      <c r="AY202" s="536"/>
      <c r="AZ202" s="536"/>
      <c r="BA202" s="536"/>
      <c r="BB202" s="536"/>
      <c r="BC202" s="536"/>
      <c r="BD202" s="536"/>
      <c r="BE202" s="536"/>
      <c r="BF202" s="536"/>
      <c r="BG202" s="536"/>
      <c r="BH202" s="536"/>
      <c r="BI202" s="536"/>
      <c r="BJ202" s="536"/>
      <c r="BK202" s="536"/>
      <c r="BL202" s="536"/>
      <c r="BM202" s="536"/>
      <c r="BN202" s="536"/>
      <c r="BO202" s="536"/>
      <c r="BP202" s="536"/>
      <c r="BQ202" s="536"/>
      <c r="BR202" s="536"/>
      <c r="BS202" s="536"/>
      <c r="BT202" s="536"/>
      <c r="BU202" s="536"/>
      <c r="BV202" s="536"/>
      <c r="BW202" s="536"/>
      <c r="BX202" s="536"/>
      <c r="BY202" s="536"/>
      <c r="BZ202" s="536"/>
      <c r="CA202" s="536"/>
      <c r="CB202" s="536"/>
      <c r="CC202" s="536"/>
      <c r="CD202" s="536"/>
    </row>
    <row r="203" spans="1:82" x14ac:dyDescent="0.2">
      <c r="A203" s="536">
        <f t="shared" si="90"/>
        <v>2</v>
      </c>
      <c r="B203" s="536">
        <f t="shared" si="92"/>
        <v>2013</v>
      </c>
      <c r="C203" s="552">
        <f t="shared" si="91"/>
        <v>41404</v>
      </c>
      <c r="D203" s="631" t="str">
        <f t="shared" si="93"/>
        <v>2Q13</v>
      </c>
      <c r="E203" s="540">
        <v>25.429993</v>
      </c>
      <c r="F203" s="535"/>
      <c r="G203" s="536"/>
      <c r="H203" s="536"/>
      <c r="I203" s="536"/>
      <c r="J203" s="536"/>
      <c r="K203" s="536"/>
      <c r="L203" s="536"/>
      <c r="M203" s="536"/>
      <c r="N203" s="536"/>
      <c r="O203" s="536"/>
      <c r="P203" s="536"/>
      <c r="Q203" s="536"/>
      <c r="R203" s="536"/>
      <c r="S203" s="536"/>
      <c r="T203" s="536"/>
      <c r="U203" s="536"/>
      <c r="V203" s="536"/>
      <c r="W203" s="536"/>
      <c r="X203" s="536"/>
      <c r="Y203" s="536"/>
      <c r="Z203" s="536"/>
      <c r="AA203" s="536"/>
      <c r="AB203" s="536"/>
      <c r="AC203" s="536"/>
      <c r="AD203" s="536"/>
      <c r="AE203" s="536"/>
      <c r="AF203" s="536"/>
      <c r="AG203" s="536"/>
      <c r="AH203" s="536"/>
      <c r="AI203" s="536"/>
      <c r="AJ203" s="536"/>
      <c r="AK203" s="536"/>
      <c r="AL203" s="536"/>
      <c r="AM203" s="536"/>
      <c r="AN203" s="536"/>
      <c r="AO203" s="536"/>
      <c r="AP203" s="536"/>
      <c r="AQ203" s="536"/>
      <c r="AR203" s="536"/>
      <c r="AS203" s="536"/>
      <c r="AT203" s="536"/>
      <c r="AU203" s="536"/>
      <c r="AV203" s="536"/>
      <c r="AW203" s="536"/>
      <c r="AX203" s="536"/>
      <c r="AY203" s="536"/>
      <c r="AZ203" s="536"/>
      <c r="BA203" s="536"/>
      <c r="BB203" s="536"/>
      <c r="BC203" s="536"/>
      <c r="BD203" s="536"/>
      <c r="BE203" s="536"/>
      <c r="BF203" s="536"/>
      <c r="BG203" s="536"/>
      <c r="BH203" s="536"/>
      <c r="BI203" s="536"/>
      <c r="BJ203" s="536"/>
      <c r="BK203" s="536"/>
      <c r="BL203" s="536"/>
      <c r="BM203" s="536"/>
      <c r="BN203" s="536"/>
      <c r="BO203" s="536"/>
      <c r="BP203" s="536"/>
      <c r="BQ203" s="536"/>
      <c r="BR203" s="536"/>
      <c r="BS203" s="536"/>
      <c r="BT203" s="536"/>
      <c r="BU203" s="536"/>
      <c r="BV203" s="536"/>
      <c r="BW203" s="536"/>
      <c r="BX203" s="536"/>
      <c r="BY203" s="536"/>
      <c r="BZ203" s="536"/>
      <c r="CA203" s="536"/>
      <c r="CB203" s="536"/>
      <c r="CC203" s="536"/>
      <c r="CD203" s="536"/>
    </row>
    <row r="204" spans="1:82" x14ac:dyDescent="0.2">
      <c r="A204" s="536">
        <f t="shared" si="90"/>
        <v>2</v>
      </c>
      <c r="B204" s="536">
        <f t="shared" si="92"/>
        <v>2013</v>
      </c>
      <c r="C204" s="552">
        <f t="shared" si="91"/>
        <v>41411</v>
      </c>
      <c r="D204" s="631" t="str">
        <f t="shared" si="93"/>
        <v>2Q13</v>
      </c>
      <c r="E204" s="540">
        <v>25.919999000000001</v>
      </c>
      <c r="F204" s="535"/>
      <c r="G204" s="536"/>
      <c r="H204" s="536"/>
      <c r="I204" s="536"/>
      <c r="J204" s="536"/>
      <c r="K204" s="536"/>
      <c r="L204" s="536"/>
      <c r="M204" s="536"/>
      <c r="N204" s="536"/>
      <c r="O204" s="536"/>
      <c r="P204" s="536"/>
      <c r="Q204" s="536"/>
      <c r="R204" s="536"/>
      <c r="S204" s="536"/>
      <c r="T204" s="536"/>
      <c r="U204" s="536"/>
      <c r="V204" s="536"/>
      <c r="W204" s="536"/>
      <c r="X204" s="536"/>
      <c r="Y204" s="536"/>
      <c r="Z204" s="536"/>
      <c r="AA204" s="536"/>
      <c r="AB204" s="536"/>
      <c r="AC204" s="536"/>
      <c r="AD204" s="536"/>
      <c r="AE204" s="536"/>
      <c r="AF204" s="536"/>
      <c r="AG204" s="536"/>
      <c r="AH204" s="536"/>
      <c r="AI204" s="536"/>
      <c r="AJ204" s="536"/>
      <c r="AK204" s="536"/>
      <c r="AL204" s="536"/>
      <c r="AM204" s="536"/>
      <c r="AN204" s="536"/>
      <c r="AO204" s="536"/>
      <c r="AP204" s="536"/>
      <c r="AQ204" s="536"/>
      <c r="AR204" s="536"/>
      <c r="AS204" s="536"/>
      <c r="AT204" s="536"/>
      <c r="AU204" s="536"/>
      <c r="AV204" s="536"/>
      <c r="AW204" s="536"/>
      <c r="AX204" s="536"/>
      <c r="AY204" s="536"/>
      <c r="AZ204" s="536"/>
      <c r="BA204" s="536"/>
      <c r="BB204" s="536"/>
      <c r="BC204" s="536"/>
      <c r="BD204" s="536"/>
      <c r="BE204" s="536"/>
      <c r="BF204" s="536"/>
      <c r="BG204" s="536"/>
      <c r="BH204" s="536"/>
      <c r="BI204" s="536"/>
      <c r="BJ204" s="536"/>
      <c r="BK204" s="536"/>
      <c r="BL204" s="536"/>
      <c r="BM204" s="536"/>
      <c r="BN204" s="536"/>
      <c r="BO204" s="536"/>
      <c r="BP204" s="536"/>
      <c r="BQ204" s="536"/>
      <c r="BR204" s="536"/>
      <c r="BS204" s="536"/>
      <c r="BT204" s="536"/>
      <c r="BU204" s="536"/>
      <c r="BV204" s="536"/>
      <c r="BW204" s="536"/>
      <c r="BX204" s="536"/>
      <c r="BY204" s="536"/>
      <c r="BZ204" s="536"/>
      <c r="CA204" s="536"/>
      <c r="CB204" s="536"/>
      <c r="CC204" s="536"/>
      <c r="CD204" s="536"/>
    </row>
    <row r="205" spans="1:82" x14ac:dyDescent="0.2">
      <c r="A205" s="536">
        <f t="shared" si="90"/>
        <v>2</v>
      </c>
      <c r="B205" s="536">
        <f t="shared" si="92"/>
        <v>2013</v>
      </c>
      <c r="C205" s="552">
        <f t="shared" si="91"/>
        <v>41418</v>
      </c>
      <c r="D205" s="631" t="str">
        <f t="shared" si="93"/>
        <v>2Q13</v>
      </c>
      <c r="E205" s="540">
        <v>25.5</v>
      </c>
      <c r="F205" s="535"/>
      <c r="G205" s="536"/>
      <c r="H205" s="536"/>
      <c r="I205" s="536"/>
      <c r="J205" s="536"/>
      <c r="K205" s="536"/>
      <c r="L205" s="536"/>
      <c r="M205" s="536"/>
      <c r="N205" s="536"/>
      <c r="O205" s="536"/>
      <c r="P205" s="536"/>
      <c r="Q205" s="536"/>
      <c r="R205" s="536"/>
      <c r="S205" s="536"/>
      <c r="T205" s="536"/>
      <c r="U205" s="536"/>
      <c r="V205" s="536"/>
      <c r="W205" s="536"/>
      <c r="X205" s="536"/>
      <c r="Y205" s="536"/>
      <c r="Z205" s="536"/>
      <c r="AA205" s="536"/>
      <c r="AB205" s="536"/>
      <c r="AC205" s="536"/>
      <c r="AD205" s="536"/>
      <c r="AE205" s="536"/>
      <c r="AF205" s="536"/>
      <c r="AG205" s="536"/>
      <c r="AH205" s="536"/>
      <c r="AI205" s="536"/>
      <c r="AJ205" s="536"/>
      <c r="AK205" s="536"/>
      <c r="AL205" s="536"/>
      <c r="AM205" s="536"/>
      <c r="AN205" s="536"/>
      <c r="AO205" s="536"/>
      <c r="AP205" s="536"/>
      <c r="AQ205" s="536"/>
      <c r="AR205" s="536"/>
      <c r="AS205" s="536"/>
      <c r="AT205" s="536"/>
      <c r="AU205" s="536"/>
      <c r="AV205" s="536"/>
      <c r="AW205" s="536"/>
      <c r="AX205" s="536"/>
      <c r="AY205" s="536"/>
      <c r="AZ205" s="536"/>
      <c r="BA205" s="536"/>
      <c r="BB205" s="536"/>
      <c r="BC205" s="536"/>
      <c r="BD205" s="536"/>
      <c r="BE205" s="536"/>
      <c r="BF205" s="536"/>
      <c r="BG205" s="536"/>
      <c r="BH205" s="536"/>
      <c r="BI205" s="536"/>
      <c r="BJ205" s="536"/>
      <c r="BK205" s="536"/>
      <c r="BL205" s="536"/>
      <c r="BM205" s="536"/>
      <c r="BN205" s="536"/>
      <c r="BO205" s="536"/>
      <c r="BP205" s="536"/>
      <c r="BQ205" s="536"/>
      <c r="BR205" s="536"/>
      <c r="BS205" s="536"/>
      <c r="BT205" s="536"/>
      <c r="BU205" s="536"/>
      <c r="BV205" s="536"/>
      <c r="BW205" s="536"/>
      <c r="BX205" s="536"/>
      <c r="BY205" s="536"/>
      <c r="BZ205" s="536"/>
      <c r="CA205" s="536"/>
      <c r="CB205" s="536"/>
      <c r="CC205" s="536"/>
      <c r="CD205" s="536"/>
    </row>
    <row r="206" spans="1:82" x14ac:dyDescent="0.2">
      <c r="A206" s="536">
        <f t="shared" si="90"/>
        <v>2</v>
      </c>
      <c r="B206" s="536">
        <f t="shared" si="92"/>
        <v>2013</v>
      </c>
      <c r="C206" s="552">
        <f t="shared" si="91"/>
        <v>41425</v>
      </c>
      <c r="D206" s="631" t="str">
        <f t="shared" si="93"/>
        <v>2Q13</v>
      </c>
      <c r="E206" s="540">
        <v>25.209992</v>
      </c>
      <c r="F206" s="535"/>
      <c r="G206" s="536"/>
      <c r="H206" s="536"/>
      <c r="I206" s="536"/>
      <c r="J206" s="536"/>
      <c r="K206" s="536"/>
      <c r="L206" s="536"/>
      <c r="M206" s="536"/>
      <c r="N206" s="536"/>
      <c r="O206" s="536"/>
      <c r="P206" s="536"/>
      <c r="Q206" s="536"/>
      <c r="R206" s="536"/>
      <c r="S206" s="536"/>
      <c r="T206" s="536"/>
      <c r="U206" s="536"/>
      <c r="V206" s="536"/>
      <c r="W206" s="536"/>
      <c r="X206" s="536"/>
      <c r="Y206" s="536"/>
      <c r="Z206" s="536"/>
      <c r="AA206" s="536"/>
      <c r="AB206" s="536"/>
      <c r="AC206" s="536"/>
      <c r="AD206" s="536"/>
      <c r="AE206" s="536"/>
      <c r="AF206" s="536"/>
      <c r="AG206" s="536"/>
      <c r="AH206" s="536"/>
      <c r="AI206" s="536"/>
      <c r="AJ206" s="536"/>
      <c r="AK206" s="536"/>
      <c r="AL206" s="536"/>
      <c r="AM206" s="536"/>
      <c r="AN206" s="536"/>
      <c r="AO206" s="536"/>
      <c r="AP206" s="536"/>
      <c r="AQ206" s="536"/>
      <c r="AR206" s="536"/>
      <c r="AS206" s="536"/>
      <c r="AT206" s="536"/>
      <c r="AU206" s="536"/>
      <c r="AV206" s="536"/>
      <c r="AW206" s="536"/>
      <c r="AX206" s="536"/>
      <c r="AY206" s="536"/>
      <c r="AZ206" s="536"/>
      <c r="BA206" s="536"/>
      <c r="BB206" s="536"/>
      <c r="BC206" s="536"/>
      <c r="BD206" s="536"/>
      <c r="BE206" s="536"/>
      <c r="BF206" s="536"/>
      <c r="BG206" s="536"/>
      <c r="BH206" s="536"/>
      <c r="BI206" s="536"/>
      <c r="BJ206" s="536"/>
      <c r="BK206" s="536"/>
      <c r="BL206" s="536"/>
      <c r="BM206" s="536"/>
      <c r="BN206" s="536"/>
      <c r="BO206" s="536"/>
      <c r="BP206" s="536"/>
      <c r="BQ206" s="536"/>
      <c r="BR206" s="536"/>
      <c r="BS206" s="536"/>
      <c r="BT206" s="536"/>
      <c r="BU206" s="536"/>
      <c r="BV206" s="536"/>
      <c r="BW206" s="536"/>
      <c r="BX206" s="536"/>
      <c r="BY206" s="536"/>
      <c r="BZ206" s="536"/>
      <c r="CA206" s="536"/>
      <c r="CB206" s="536"/>
      <c r="CC206" s="536"/>
      <c r="CD206" s="536"/>
    </row>
    <row r="207" spans="1:82" x14ac:dyDescent="0.2">
      <c r="A207" s="536">
        <f t="shared" si="90"/>
        <v>2</v>
      </c>
      <c r="B207" s="536">
        <f t="shared" si="92"/>
        <v>2013</v>
      </c>
      <c r="C207" s="552">
        <f t="shared" si="91"/>
        <v>41432</v>
      </c>
      <c r="D207" s="631" t="str">
        <f t="shared" si="93"/>
        <v>2Q13</v>
      </c>
      <c r="E207" s="540">
        <v>25.01999</v>
      </c>
      <c r="F207" s="535"/>
      <c r="G207" s="536"/>
      <c r="H207" s="536"/>
      <c r="I207" s="536"/>
      <c r="J207" s="536"/>
      <c r="K207" s="536"/>
      <c r="L207" s="536"/>
      <c r="M207" s="536"/>
      <c r="N207" s="536"/>
      <c r="O207" s="536"/>
      <c r="P207" s="536"/>
      <c r="Q207" s="536"/>
      <c r="R207" s="536"/>
      <c r="S207" s="536"/>
      <c r="T207" s="536"/>
      <c r="U207" s="536"/>
      <c r="V207" s="536"/>
      <c r="W207" s="536"/>
      <c r="X207" s="536"/>
      <c r="Y207" s="536"/>
      <c r="Z207" s="536"/>
      <c r="AA207" s="536"/>
      <c r="AB207" s="536"/>
      <c r="AC207" s="536"/>
      <c r="AD207" s="536"/>
      <c r="AE207" s="536"/>
      <c r="AF207" s="536"/>
      <c r="AG207" s="536"/>
      <c r="AH207" s="536"/>
      <c r="AI207" s="536"/>
      <c r="AJ207" s="536"/>
      <c r="AK207" s="536"/>
      <c r="AL207" s="536"/>
      <c r="AM207" s="536"/>
      <c r="AN207" s="536"/>
      <c r="AO207" s="536"/>
      <c r="AP207" s="536"/>
      <c r="AQ207" s="536"/>
      <c r="AR207" s="536"/>
      <c r="AS207" s="536"/>
      <c r="AT207" s="536"/>
      <c r="AU207" s="536"/>
      <c r="AV207" s="536"/>
      <c r="AW207" s="536"/>
      <c r="AX207" s="536"/>
      <c r="AY207" s="536"/>
      <c r="AZ207" s="536"/>
      <c r="BA207" s="536"/>
      <c r="BB207" s="536"/>
      <c r="BC207" s="536"/>
      <c r="BD207" s="536"/>
      <c r="BE207" s="536"/>
      <c r="BF207" s="536"/>
      <c r="BG207" s="536"/>
      <c r="BH207" s="536"/>
      <c r="BI207" s="536"/>
      <c r="BJ207" s="536"/>
      <c r="BK207" s="536"/>
      <c r="BL207" s="536"/>
      <c r="BM207" s="536"/>
      <c r="BN207" s="536"/>
      <c r="BO207" s="536"/>
      <c r="BP207" s="536"/>
      <c r="BQ207" s="536"/>
      <c r="BR207" s="536"/>
      <c r="BS207" s="536"/>
      <c r="BT207" s="536"/>
      <c r="BU207" s="536"/>
      <c r="BV207" s="536"/>
      <c r="BW207" s="536"/>
      <c r="BX207" s="536"/>
      <c r="BY207" s="536"/>
      <c r="BZ207" s="536"/>
      <c r="CA207" s="536"/>
      <c r="CB207" s="536"/>
      <c r="CC207" s="536"/>
      <c r="CD207" s="536"/>
    </row>
    <row r="208" spans="1:82" x14ac:dyDescent="0.2">
      <c r="A208" s="536">
        <f t="shared" si="90"/>
        <v>2</v>
      </c>
      <c r="B208" s="536">
        <f t="shared" si="92"/>
        <v>2013</v>
      </c>
      <c r="C208" s="552">
        <f t="shared" si="91"/>
        <v>41439</v>
      </c>
      <c r="D208" s="631" t="str">
        <f t="shared" si="93"/>
        <v>2Q13</v>
      </c>
      <c r="E208" s="540">
        <v>24.939988</v>
      </c>
      <c r="F208" s="535"/>
      <c r="G208" s="536"/>
      <c r="H208" s="536"/>
      <c r="I208" s="536"/>
      <c r="J208" s="536"/>
      <c r="K208" s="536"/>
      <c r="L208" s="536"/>
      <c r="M208" s="536"/>
      <c r="N208" s="536"/>
      <c r="O208" s="536"/>
      <c r="P208" s="536"/>
      <c r="Q208" s="536"/>
      <c r="R208" s="536"/>
      <c r="S208" s="536"/>
      <c r="T208" s="536"/>
      <c r="U208" s="536"/>
      <c r="V208" s="536"/>
      <c r="W208" s="536"/>
      <c r="X208" s="536"/>
      <c r="Y208" s="536"/>
      <c r="Z208" s="536"/>
      <c r="AA208" s="536"/>
      <c r="AB208" s="536"/>
      <c r="AC208" s="536"/>
      <c r="AD208" s="536"/>
      <c r="AE208" s="536"/>
      <c r="AF208" s="536"/>
      <c r="AG208" s="536"/>
      <c r="AH208" s="536"/>
      <c r="AI208" s="536"/>
      <c r="AJ208" s="536"/>
      <c r="AK208" s="536"/>
      <c r="AL208" s="536"/>
      <c r="AM208" s="536"/>
      <c r="AN208" s="536"/>
      <c r="AO208" s="536"/>
      <c r="AP208" s="536"/>
      <c r="AQ208" s="536"/>
      <c r="AR208" s="536"/>
      <c r="AS208" s="536"/>
      <c r="AT208" s="536"/>
      <c r="AU208" s="536"/>
      <c r="AV208" s="536"/>
      <c r="AW208" s="536"/>
      <c r="AX208" s="536"/>
      <c r="AY208" s="536"/>
      <c r="AZ208" s="536"/>
      <c r="BA208" s="536"/>
      <c r="BB208" s="536"/>
      <c r="BC208" s="536"/>
      <c r="BD208" s="536"/>
      <c r="BE208" s="536"/>
      <c r="BF208" s="536"/>
      <c r="BG208" s="536"/>
      <c r="BH208" s="536"/>
      <c r="BI208" s="536"/>
      <c r="BJ208" s="536"/>
      <c r="BK208" s="536"/>
      <c r="BL208" s="536"/>
      <c r="BM208" s="536"/>
      <c r="BN208" s="536"/>
      <c r="BO208" s="536"/>
      <c r="BP208" s="536"/>
      <c r="BQ208" s="536"/>
      <c r="BR208" s="536"/>
      <c r="BS208" s="536"/>
      <c r="BT208" s="536"/>
      <c r="BU208" s="536"/>
      <c r="BV208" s="536"/>
      <c r="BW208" s="536"/>
      <c r="BX208" s="536"/>
      <c r="BY208" s="536"/>
      <c r="BZ208" s="536"/>
      <c r="CA208" s="536"/>
      <c r="CB208" s="536"/>
      <c r="CC208" s="536"/>
      <c r="CD208" s="536"/>
    </row>
    <row r="209" spans="1:82" x14ac:dyDescent="0.2">
      <c r="A209" s="536">
        <f t="shared" si="90"/>
        <v>2</v>
      </c>
      <c r="B209" s="536">
        <f t="shared" si="92"/>
        <v>2013</v>
      </c>
      <c r="C209" s="552">
        <f t="shared" si="91"/>
        <v>41446</v>
      </c>
      <c r="D209" s="631" t="str">
        <f t="shared" si="93"/>
        <v>2Q13</v>
      </c>
      <c r="E209" s="540">
        <v>23.469985999999999</v>
      </c>
      <c r="F209" s="535"/>
      <c r="G209" s="536"/>
      <c r="H209" s="536"/>
      <c r="I209" s="536"/>
      <c r="J209" s="536"/>
      <c r="K209" s="536"/>
      <c r="L209" s="536"/>
      <c r="M209" s="536"/>
      <c r="N209" s="536"/>
      <c r="O209" s="536"/>
      <c r="P209" s="536"/>
      <c r="Q209" s="536"/>
      <c r="R209" s="536"/>
      <c r="S209" s="536"/>
      <c r="T209" s="536"/>
      <c r="U209" s="536"/>
      <c r="V209" s="536"/>
      <c r="W209" s="536"/>
      <c r="X209" s="536"/>
      <c r="Y209" s="536"/>
      <c r="Z209" s="536"/>
      <c r="AA209" s="536"/>
      <c r="AB209" s="536"/>
      <c r="AC209" s="536"/>
      <c r="AD209" s="536"/>
      <c r="AE209" s="536"/>
      <c r="AF209" s="536"/>
      <c r="AG209" s="536"/>
      <c r="AH209" s="536"/>
      <c r="AI209" s="536"/>
      <c r="AJ209" s="536"/>
      <c r="AK209" s="536"/>
      <c r="AL209" s="536"/>
      <c r="AM209" s="536"/>
      <c r="AN209" s="536"/>
      <c r="AO209" s="536"/>
      <c r="AP209" s="536"/>
      <c r="AQ209" s="536"/>
      <c r="AR209" s="536"/>
      <c r="AS209" s="536"/>
      <c r="AT209" s="536"/>
      <c r="AU209" s="536"/>
      <c r="AV209" s="536"/>
      <c r="AW209" s="536"/>
      <c r="AX209" s="536"/>
      <c r="AY209" s="536"/>
      <c r="AZ209" s="536"/>
      <c r="BA209" s="536"/>
      <c r="BB209" s="536"/>
      <c r="BC209" s="536"/>
      <c r="BD209" s="536"/>
      <c r="BE209" s="536"/>
      <c r="BF209" s="536"/>
      <c r="BG209" s="536"/>
      <c r="BH209" s="536"/>
      <c r="BI209" s="536"/>
      <c r="BJ209" s="536"/>
      <c r="BK209" s="536"/>
      <c r="BL209" s="536"/>
      <c r="BM209" s="536"/>
      <c r="BN209" s="536"/>
      <c r="BO209" s="536"/>
      <c r="BP209" s="536"/>
      <c r="BQ209" s="536"/>
      <c r="BR209" s="536"/>
      <c r="BS209" s="536"/>
      <c r="BT209" s="536"/>
      <c r="BU209" s="536"/>
      <c r="BV209" s="536"/>
      <c r="BW209" s="536"/>
      <c r="BX209" s="536"/>
      <c r="BY209" s="536"/>
      <c r="BZ209" s="536"/>
      <c r="CA209" s="536"/>
      <c r="CB209" s="536"/>
      <c r="CC209" s="536"/>
      <c r="CD209" s="536"/>
    </row>
    <row r="210" spans="1:82" x14ac:dyDescent="0.2">
      <c r="A210" s="536">
        <f t="shared" si="90"/>
        <v>2</v>
      </c>
      <c r="B210" s="536">
        <f t="shared" si="92"/>
        <v>2013</v>
      </c>
      <c r="C210" s="552">
        <f t="shared" si="91"/>
        <v>41453</v>
      </c>
      <c r="D210" s="631" t="str">
        <f t="shared" si="93"/>
        <v>2Q13</v>
      </c>
      <c r="E210" s="540">
        <v>23.14</v>
      </c>
      <c r="F210" s="535"/>
      <c r="G210" s="536"/>
      <c r="H210" s="536"/>
      <c r="I210" s="536"/>
      <c r="J210" s="536"/>
      <c r="K210" s="536"/>
      <c r="L210" s="536"/>
      <c r="M210" s="536"/>
      <c r="N210" s="536"/>
      <c r="O210" s="536"/>
      <c r="P210" s="536"/>
      <c r="Q210" s="536"/>
      <c r="R210" s="536"/>
      <c r="S210" s="536"/>
      <c r="T210" s="536"/>
      <c r="U210" s="536"/>
      <c r="V210" s="536"/>
      <c r="W210" s="536"/>
      <c r="X210" s="536"/>
      <c r="Y210" s="536"/>
      <c r="Z210" s="536"/>
      <c r="AA210" s="536"/>
      <c r="AB210" s="536"/>
      <c r="AC210" s="536"/>
      <c r="AD210" s="536"/>
      <c r="AE210" s="536"/>
      <c r="AF210" s="536"/>
      <c r="AG210" s="536"/>
      <c r="AH210" s="536"/>
      <c r="AI210" s="536"/>
      <c r="AJ210" s="536"/>
      <c r="AK210" s="536"/>
      <c r="AL210" s="536"/>
      <c r="AM210" s="536"/>
      <c r="AN210" s="536"/>
      <c r="AO210" s="536"/>
      <c r="AP210" s="536"/>
      <c r="AQ210" s="536"/>
      <c r="AR210" s="536"/>
      <c r="AS210" s="536"/>
      <c r="AT210" s="536"/>
      <c r="AU210" s="536"/>
      <c r="AV210" s="536"/>
      <c r="AW210" s="536"/>
      <c r="AX210" s="536"/>
      <c r="AY210" s="536"/>
      <c r="AZ210" s="536"/>
      <c r="BA210" s="536"/>
      <c r="BB210" s="536"/>
      <c r="BC210" s="536"/>
      <c r="BD210" s="536"/>
      <c r="BE210" s="536"/>
      <c r="BF210" s="536"/>
      <c r="BG210" s="536"/>
      <c r="BH210" s="536"/>
      <c r="BI210" s="536"/>
      <c r="BJ210" s="536"/>
      <c r="BK210" s="536"/>
      <c r="BL210" s="536"/>
      <c r="BM210" s="536"/>
      <c r="BN210" s="536"/>
      <c r="BO210" s="536"/>
      <c r="BP210" s="536"/>
      <c r="BQ210" s="536"/>
      <c r="BR210" s="536"/>
      <c r="BS210" s="536"/>
      <c r="BT210" s="536"/>
      <c r="BU210" s="536"/>
      <c r="BV210" s="536"/>
      <c r="BW210" s="536"/>
      <c r="BX210" s="536"/>
      <c r="BY210" s="536"/>
      <c r="BZ210" s="536"/>
      <c r="CA210" s="536"/>
      <c r="CB210" s="536"/>
      <c r="CC210" s="536"/>
      <c r="CD210" s="536"/>
    </row>
    <row r="211" spans="1:82" x14ac:dyDescent="0.2">
      <c r="A211" s="536">
        <f t="shared" si="90"/>
        <v>3</v>
      </c>
      <c r="B211" s="536">
        <f t="shared" si="92"/>
        <v>2013</v>
      </c>
      <c r="C211" s="552">
        <f t="shared" si="91"/>
        <v>41460</v>
      </c>
      <c r="D211" s="631" t="str">
        <f t="shared" si="93"/>
        <v>3Q13</v>
      </c>
      <c r="E211" s="540">
        <v>23.259995</v>
      </c>
      <c r="F211" s="535"/>
      <c r="G211" s="536"/>
      <c r="H211" s="536"/>
      <c r="I211" s="536"/>
      <c r="J211" s="536"/>
      <c r="K211" s="536"/>
      <c r="L211" s="536"/>
      <c r="M211" s="536"/>
      <c r="N211" s="536"/>
      <c r="O211" s="536"/>
      <c r="P211" s="536"/>
      <c r="Q211" s="536"/>
      <c r="R211" s="536"/>
      <c r="S211" s="536"/>
      <c r="T211" s="536"/>
      <c r="U211" s="536"/>
      <c r="V211" s="536"/>
      <c r="W211" s="536"/>
      <c r="X211" s="536"/>
      <c r="Y211" s="536"/>
      <c r="Z211" s="536"/>
      <c r="AA211" s="536"/>
      <c r="AB211" s="536"/>
      <c r="AC211" s="536"/>
      <c r="AD211" s="536"/>
      <c r="AE211" s="536"/>
      <c r="AF211" s="536"/>
      <c r="AG211" s="536"/>
      <c r="AH211" s="536"/>
      <c r="AI211" s="536"/>
      <c r="AJ211" s="536"/>
      <c r="AK211" s="536"/>
      <c r="AL211" s="536"/>
      <c r="AM211" s="536"/>
      <c r="AN211" s="536"/>
      <c r="AO211" s="536"/>
      <c r="AP211" s="536"/>
      <c r="AQ211" s="536"/>
      <c r="AR211" s="536"/>
      <c r="AS211" s="536"/>
      <c r="AT211" s="536"/>
      <c r="AU211" s="536"/>
      <c r="AV211" s="536"/>
      <c r="AW211" s="536"/>
      <c r="AX211" s="536"/>
      <c r="AY211" s="536"/>
      <c r="AZ211" s="536"/>
      <c r="BA211" s="536"/>
      <c r="BB211" s="536"/>
      <c r="BC211" s="536"/>
      <c r="BD211" s="536"/>
      <c r="BE211" s="536"/>
      <c r="BF211" s="536"/>
      <c r="BG211" s="536"/>
      <c r="BH211" s="536"/>
      <c r="BI211" s="536"/>
      <c r="BJ211" s="536"/>
      <c r="BK211" s="536"/>
      <c r="BL211" s="536"/>
      <c r="BM211" s="536"/>
      <c r="BN211" s="536"/>
      <c r="BO211" s="536"/>
      <c r="BP211" s="536"/>
      <c r="BQ211" s="536"/>
      <c r="BR211" s="536"/>
      <c r="BS211" s="536"/>
      <c r="BT211" s="536"/>
      <c r="BU211" s="536"/>
      <c r="BV211" s="536"/>
      <c r="BW211" s="536"/>
      <c r="BX211" s="536"/>
      <c r="BY211" s="536"/>
      <c r="BZ211" s="536"/>
      <c r="CA211" s="536"/>
      <c r="CB211" s="536"/>
      <c r="CC211" s="536"/>
      <c r="CD211" s="536"/>
    </row>
    <row r="212" spans="1:82" x14ac:dyDescent="0.2">
      <c r="A212" s="536">
        <f t="shared" si="90"/>
        <v>3</v>
      </c>
      <c r="B212" s="536">
        <f t="shared" si="92"/>
        <v>2013</v>
      </c>
      <c r="C212" s="552">
        <f t="shared" si="91"/>
        <v>41467</v>
      </c>
      <c r="D212" s="631" t="str">
        <f t="shared" si="93"/>
        <v>3Q13</v>
      </c>
      <c r="E212" s="540">
        <v>24.359985999999999</v>
      </c>
      <c r="F212" s="535"/>
      <c r="G212" s="536"/>
      <c r="H212" s="536"/>
      <c r="I212" s="536"/>
      <c r="J212" s="536"/>
      <c r="K212" s="536"/>
      <c r="L212" s="536"/>
      <c r="M212" s="536"/>
      <c r="N212" s="536"/>
      <c r="O212" s="536"/>
      <c r="P212" s="536"/>
      <c r="Q212" s="536"/>
      <c r="R212" s="536"/>
      <c r="S212" s="536"/>
      <c r="T212" s="536"/>
      <c r="U212" s="536"/>
      <c r="V212" s="536"/>
      <c r="W212" s="536"/>
      <c r="X212" s="536"/>
      <c r="Y212" s="536"/>
      <c r="Z212" s="536"/>
      <c r="AA212" s="536"/>
      <c r="AB212" s="536"/>
      <c r="AC212" s="536"/>
      <c r="AD212" s="536"/>
      <c r="AE212" s="536"/>
      <c r="AF212" s="536"/>
      <c r="AG212" s="536"/>
      <c r="AH212" s="536"/>
      <c r="AI212" s="536"/>
      <c r="AJ212" s="536"/>
      <c r="AK212" s="536"/>
      <c r="AL212" s="536"/>
      <c r="AM212" s="536"/>
      <c r="AN212" s="536"/>
      <c r="AO212" s="536"/>
      <c r="AP212" s="536"/>
      <c r="AQ212" s="536"/>
      <c r="AR212" s="536"/>
      <c r="AS212" s="536"/>
      <c r="AT212" s="536"/>
      <c r="AU212" s="536"/>
      <c r="AV212" s="536"/>
      <c r="AW212" s="536"/>
      <c r="AX212" s="536"/>
      <c r="AY212" s="536"/>
      <c r="AZ212" s="536"/>
      <c r="BA212" s="536"/>
      <c r="BB212" s="536"/>
      <c r="BC212" s="536"/>
      <c r="BD212" s="536"/>
      <c r="BE212" s="536"/>
      <c r="BF212" s="536"/>
      <c r="BG212" s="536"/>
      <c r="BH212" s="536"/>
      <c r="BI212" s="536"/>
      <c r="BJ212" s="536"/>
      <c r="BK212" s="536"/>
      <c r="BL212" s="536"/>
      <c r="BM212" s="536"/>
      <c r="BN212" s="536"/>
      <c r="BO212" s="536"/>
      <c r="BP212" s="536"/>
      <c r="BQ212" s="536"/>
      <c r="BR212" s="536"/>
      <c r="BS212" s="536"/>
      <c r="BT212" s="536"/>
      <c r="BU212" s="536"/>
      <c r="BV212" s="536"/>
      <c r="BW212" s="536"/>
      <c r="BX212" s="536"/>
      <c r="BY212" s="536"/>
      <c r="BZ212" s="536"/>
      <c r="CA212" s="536"/>
      <c r="CB212" s="536"/>
      <c r="CC212" s="536"/>
      <c r="CD212" s="536"/>
    </row>
    <row r="213" spans="1:82" x14ac:dyDescent="0.2">
      <c r="A213" s="536">
        <f t="shared" si="90"/>
        <v>3</v>
      </c>
      <c r="B213" s="536">
        <f>YEAR(C213)</f>
        <v>2013</v>
      </c>
      <c r="C213" s="552">
        <f>C212+7</f>
        <v>41474</v>
      </c>
      <c r="D213" s="631" t="str">
        <f>A213&amp;"Q"&amp;RIGHT(B213,2)</f>
        <v>3Q13</v>
      </c>
      <c r="E213" s="540">
        <v>25.39</v>
      </c>
      <c r="F213" s="535"/>
      <c r="G213" s="536"/>
      <c r="H213" s="536"/>
      <c r="I213" s="536"/>
      <c r="J213" s="536"/>
      <c r="K213" s="536"/>
      <c r="L213" s="536"/>
      <c r="M213" s="536"/>
      <c r="N213" s="536"/>
      <c r="O213" s="536"/>
      <c r="P213" s="536"/>
      <c r="Q213" s="536"/>
      <c r="R213" s="536"/>
      <c r="S213" s="536"/>
      <c r="T213" s="536"/>
      <c r="U213" s="536"/>
      <c r="V213" s="536"/>
      <c r="W213" s="536"/>
      <c r="X213" s="536"/>
      <c r="Y213" s="536"/>
      <c r="Z213" s="536"/>
      <c r="AA213" s="536"/>
      <c r="AB213" s="536"/>
      <c r="AC213" s="536"/>
      <c r="AD213" s="536"/>
      <c r="AE213" s="536"/>
      <c r="AF213" s="536"/>
      <c r="AG213" s="536"/>
      <c r="AH213" s="536"/>
      <c r="AI213" s="536"/>
      <c r="AJ213" s="536"/>
      <c r="AK213" s="536"/>
      <c r="AL213" s="536"/>
      <c r="AM213" s="536"/>
      <c r="AN213" s="536"/>
      <c r="AO213" s="536"/>
      <c r="AP213" s="536"/>
      <c r="AQ213" s="536"/>
      <c r="AR213" s="536"/>
      <c r="AS213" s="536"/>
      <c r="AT213" s="536"/>
      <c r="AU213" s="536"/>
      <c r="AV213" s="536"/>
      <c r="AW213" s="536"/>
      <c r="AX213" s="536"/>
      <c r="AY213" s="536"/>
      <c r="AZ213" s="536"/>
      <c r="BA213" s="536"/>
      <c r="BB213" s="536"/>
      <c r="BC213" s="536"/>
      <c r="BD213" s="536"/>
      <c r="BE213" s="536"/>
      <c r="BF213" s="536"/>
      <c r="BG213" s="536"/>
      <c r="BH213" s="536"/>
      <c r="BI213" s="536"/>
      <c r="BJ213" s="536"/>
      <c r="BK213" s="536"/>
      <c r="BL213" s="536"/>
      <c r="BM213" s="536"/>
      <c r="BN213" s="536"/>
      <c r="BO213" s="536"/>
      <c r="BP213" s="536"/>
      <c r="BQ213" s="536"/>
      <c r="BR213" s="536"/>
      <c r="BS213" s="536"/>
      <c r="BT213" s="536"/>
      <c r="BU213" s="536"/>
      <c r="BV213" s="536"/>
      <c r="BW213" s="536"/>
      <c r="BX213" s="536"/>
      <c r="BY213" s="536"/>
      <c r="BZ213" s="536"/>
      <c r="CA213" s="536"/>
      <c r="CB213" s="536"/>
      <c r="CC213" s="536"/>
      <c r="CD213" s="536"/>
    </row>
    <row r="214" spans="1:82" x14ac:dyDescent="0.2">
      <c r="A214" s="536">
        <f t="shared" si="90"/>
        <v>3</v>
      </c>
      <c r="B214" s="536">
        <f>YEAR(C214)</f>
        <v>2013</v>
      </c>
      <c r="C214" s="552">
        <f>C213+7</f>
        <v>41481</v>
      </c>
      <c r="D214" s="631" t="str">
        <f>A214&amp;"Q"&amp;RIGHT(B214,2)</f>
        <v>3Q13</v>
      </c>
      <c r="E214" s="540">
        <v>24.679993</v>
      </c>
      <c r="F214" s="535"/>
      <c r="G214" s="536"/>
      <c r="H214" s="536"/>
      <c r="I214" s="536"/>
      <c r="J214" s="536"/>
      <c r="K214" s="536"/>
      <c r="L214" s="536"/>
      <c r="M214" s="536"/>
      <c r="N214" s="536"/>
      <c r="O214" s="536"/>
      <c r="P214" s="536"/>
      <c r="Q214" s="536"/>
      <c r="R214" s="536"/>
      <c r="S214" s="536"/>
      <c r="T214" s="536"/>
      <c r="U214" s="536"/>
      <c r="V214" s="536"/>
      <c r="W214" s="536"/>
      <c r="X214" s="536"/>
      <c r="Y214" s="536"/>
      <c r="Z214" s="536"/>
      <c r="AA214" s="536"/>
      <c r="AB214" s="536"/>
      <c r="AC214" s="536"/>
      <c r="AD214" s="536"/>
      <c r="AE214" s="536"/>
      <c r="AF214" s="536"/>
      <c r="AG214" s="536"/>
      <c r="AH214" s="536"/>
      <c r="AI214" s="536"/>
      <c r="AJ214" s="536"/>
      <c r="AK214" s="536"/>
      <c r="AL214" s="536"/>
      <c r="AM214" s="536"/>
      <c r="AN214" s="536"/>
      <c r="AO214" s="536"/>
      <c r="AP214" s="536"/>
      <c r="AQ214" s="536"/>
      <c r="AR214" s="536"/>
      <c r="AS214" s="536"/>
      <c r="AT214" s="536"/>
      <c r="AU214" s="536"/>
      <c r="AV214" s="536"/>
      <c r="AW214" s="536"/>
      <c r="AX214" s="536"/>
      <c r="AY214" s="536"/>
      <c r="AZ214" s="536"/>
      <c r="BA214" s="536"/>
      <c r="BB214" s="536"/>
      <c r="BC214" s="536"/>
      <c r="BD214" s="536"/>
      <c r="BE214" s="536"/>
      <c r="BF214" s="536"/>
      <c r="BG214" s="536"/>
      <c r="BH214" s="536"/>
      <c r="BI214" s="536"/>
      <c r="BJ214" s="536"/>
      <c r="BK214" s="536"/>
      <c r="BL214" s="536"/>
      <c r="BM214" s="536"/>
      <c r="BN214" s="536"/>
      <c r="BO214" s="536"/>
      <c r="BP214" s="536"/>
      <c r="BQ214" s="536"/>
      <c r="BR214" s="536"/>
      <c r="BS214" s="536"/>
      <c r="BT214" s="536"/>
      <c r="BU214" s="536"/>
      <c r="BV214" s="536"/>
      <c r="BW214" s="536"/>
      <c r="BX214" s="536"/>
      <c r="BY214" s="536"/>
      <c r="BZ214" s="536"/>
      <c r="CA214" s="536"/>
      <c r="CB214" s="536"/>
      <c r="CC214" s="536"/>
      <c r="CD214" s="536"/>
    </row>
    <row r="215" spans="1:82" x14ac:dyDescent="0.2">
      <c r="A215" s="536">
        <f t="shared" si="90"/>
        <v>3</v>
      </c>
      <c r="B215" s="536">
        <f>YEAR(C215)</f>
        <v>2013</v>
      </c>
      <c r="C215" s="552">
        <f>C214+7</f>
        <v>41488</v>
      </c>
      <c r="D215" s="631" t="str">
        <f>A215&amp;"Q"&amp;RIGHT(B215,2)</f>
        <v>3Q13</v>
      </c>
      <c r="E215" s="540">
        <v>26.049987999999999</v>
      </c>
      <c r="F215" s="535"/>
      <c r="G215" s="536"/>
      <c r="H215" s="536"/>
      <c r="I215" s="536"/>
      <c r="J215" s="536"/>
      <c r="K215" s="536"/>
      <c r="L215" s="536"/>
      <c r="M215" s="536"/>
      <c r="N215" s="536"/>
      <c r="O215" s="536"/>
      <c r="P215" s="536"/>
      <c r="Q215" s="536"/>
      <c r="R215" s="536"/>
      <c r="S215" s="536"/>
      <c r="T215" s="536"/>
      <c r="U215" s="536"/>
      <c r="V215" s="536"/>
      <c r="W215" s="536"/>
      <c r="X215" s="536"/>
      <c r="Y215" s="536"/>
      <c r="Z215" s="536"/>
      <c r="AA215" s="536"/>
      <c r="AB215" s="536"/>
      <c r="AC215" s="536"/>
      <c r="AD215" s="536"/>
      <c r="AE215" s="536"/>
      <c r="AF215" s="536"/>
      <c r="AG215" s="536"/>
      <c r="AH215" s="536"/>
      <c r="AI215" s="536"/>
      <c r="AJ215" s="536"/>
      <c r="AK215" s="536"/>
      <c r="AL215" s="536"/>
      <c r="AM215" s="536"/>
      <c r="AN215" s="536"/>
      <c r="AO215" s="536"/>
      <c r="AP215" s="536"/>
      <c r="AQ215" s="536"/>
      <c r="AR215" s="536"/>
      <c r="AS215" s="536"/>
      <c r="AT215" s="536"/>
      <c r="AU215" s="536"/>
      <c r="AV215" s="536"/>
      <c r="AW215" s="536"/>
      <c r="AX215" s="536"/>
      <c r="AY215" s="536"/>
      <c r="AZ215" s="536"/>
      <c r="BA215" s="536"/>
      <c r="BB215" s="536"/>
      <c r="BC215" s="536"/>
      <c r="BD215" s="536"/>
      <c r="BE215" s="536"/>
      <c r="BF215" s="536"/>
      <c r="BG215" s="536"/>
      <c r="BH215" s="536"/>
      <c r="BI215" s="536"/>
      <c r="BJ215" s="536"/>
      <c r="BK215" s="536"/>
      <c r="BL215" s="536"/>
      <c r="BM215" s="536"/>
      <c r="BN215" s="536"/>
      <c r="BO215" s="536"/>
      <c r="BP215" s="536"/>
      <c r="BQ215" s="536"/>
      <c r="BR215" s="536"/>
      <c r="BS215" s="536"/>
      <c r="BT215" s="536"/>
      <c r="BU215" s="536"/>
      <c r="BV215" s="536"/>
      <c r="BW215" s="536"/>
      <c r="BX215" s="536"/>
      <c r="BY215" s="536"/>
      <c r="BZ215" s="536"/>
      <c r="CA215" s="536"/>
      <c r="CB215" s="536"/>
      <c r="CC215" s="536"/>
      <c r="CD215" s="536"/>
    </row>
    <row r="216" spans="1:82" x14ac:dyDescent="0.2">
      <c r="A216" s="536">
        <f t="shared" si="90"/>
        <v>3</v>
      </c>
      <c r="B216" s="536">
        <f>YEAR(C216)</f>
        <v>2013</v>
      </c>
      <c r="C216" s="552">
        <f>C215+7</f>
        <v>41495</v>
      </c>
      <c r="D216" s="631" t="str">
        <f>A216&amp;"Q"&amp;RIGHT(B216,2)</f>
        <v>3Q13</v>
      </c>
      <c r="E216" s="540">
        <v>25.699997</v>
      </c>
      <c r="F216" s="535"/>
      <c r="G216" s="536"/>
      <c r="H216" s="536"/>
      <c r="I216" s="536"/>
      <c r="J216" s="536"/>
      <c r="K216" s="536"/>
      <c r="L216" s="536"/>
      <c r="M216" s="536"/>
      <c r="N216" s="536"/>
      <c r="O216" s="536"/>
      <c r="P216" s="536"/>
      <c r="Q216" s="536"/>
      <c r="R216" s="536"/>
      <c r="S216" s="536"/>
      <c r="T216" s="536"/>
      <c r="U216" s="536"/>
      <c r="V216" s="536"/>
      <c r="W216" s="536"/>
      <c r="X216" s="536"/>
      <c r="Y216" s="536"/>
      <c r="Z216" s="536"/>
      <c r="AA216" s="536"/>
      <c r="AB216" s="536"/>
      <c r="AC216" s="536"/>
      <c r="AD216" s="536"/>
      <c r="AE216" s="536"/>
      <c r="AF216" s="536"/>
      <c r="AG216" s="536"/>
      <c r="AH216" s="536"/>
      <c r="AI216" s="536"/>
      <c r="AJ216" s="536"/>
      <c r="AK216" s="536"/>
      <c r="AL216" s="536"/>
      <c r="AM216" s="536"/>
      <c r="AN216" s="536"/>
      <c r="AO216" s="536"/>
      <c r="AP216" s="536"/>
      <c r="AQ216" s="536"/>
      <c r="AR216" s="536"/>
      <c r="AS216" s="536"/>
      <c r="AT216" s="536"/>
      <c r="AU216" s="536"/>
      <c r="AV216" s="536"/>
      <c r="AW216" s="536"/>
      <c r="AX216" s="536"/>
      <c r="AY216" s="536"/>
      <c r="AZ216" s="536"/>
      <c r="BA216" s="536"/>
      <c r="BB216" s="536"/>
      <c r="BC216" s="536"/>
      <c r="BD216" s="536"/>
      <c r="BE216" s="536"/>
      <c r="BF216" s="536"/>
      <c r="BG216" s="536"/>
      <c r="BH216" s="536"/>
      <c r="BI216" s="536"/>
      <c r="BJ216" s="536"/>
      <c r="BK216" s="536"/>
      <c r="BL216" s="536"/>
      <c r="BM216" s="536"/>
      <c r="BN216" s="536"/>
      <c r="BO216" s="536"/>
      <c r="BP216" s="536"/>
      <c r="BQ216" s="536"/>
      <c r="BR216" s="536"/>
      <c r="BS216" s="536"/>
      <c r="BT216" s="536"/>
      <c r="BU216" s="536"/>
      <c r="BV216" s="536"/>
      <c r="BW216" s="536"/>
      <c r="BX216" s="536"/>
      <c r="BY216" s="536"/>
      <c r="BZ216" s="536"/>
      <c r="CA216" s="536"/>
      <c r="CB216" s="536"/>
      <c r="CC216" s="536"/>
      <c r="CD216" s="536"/>
    </row>
    <row r="217" spans="1:82" x14ac:dyDescent="0.2">
      <c r="A217" s="536">
        <f t="shared" si="90"/>
        <v>3</v>
      </c>
      <c r="B217" s="536">
        <f>YEAR(C217)</f>
        <v>2013</v>
      </c>
      <c r="C217" s="552">
        <f>C216+7</f>
        <v>41502</v>
      </c>
      <c r="D217" s="631" t="str">
        <f>A217&amp;"Q"&amp;RIGHT(B217,2)</f>
        <v>3Q13</v>
      </c>
      <c r="E217" s="540">
        <v>25.159988999999999</v>
      </c>
      <c r="F217" s="535"/>
      <c r="G217" s="536"/>
      <c r="H217" s="536"/>
      <c r="I217" s="536"/>
      <c r="J217" s="536"/>
      <c r="K217" s="536"/>
      <c r="L217" s="536"/>
      <c r="M217" s="536"/>
      <c r="N217" s="536"/>
      <c r="O217" s="536"/>
      <c r="P217" s="536"/>
      <c r="Q217" s="536"/>
      <c r="R217" s="536"/>
      <c r="S217" s="536"/>
      <c r="T217" s="536"/>
      <c r="U217" s="536"/>
      <c r="V217" s="536"/>
      <c r="W217" s="536"/>
      <c r="X217" s="536"/>
      <c r="Y217" s="536"/>
      <c r="Z217" s="536"/>
      <c r="AA217" s="536"/>
      <c r="AB217" s="536"/>
      <c r="AC217" s="536"/>
      <c r="AD217" s="536"/>
      <c r="AE217" s="536"/>
      <c r="AF217" s="536"/>
      <c r="AG217" s="536"/>
      <c r="AH217" s="536"/>
      <c r="AI217" s="536"/>
      <c r="AJ217" s="536"/>
      <c r="AK217" s="536"/>
      <c r="AL217" s="536"/>
      <c r="AM217" s="536"/>
      <c r="AN217" s="536"/>
      <c r="AO217" s="536"/>
      <c r="AP217" s="536"/>
      <c r="AQ217" s="536"/>
      <c r="AR217" s="536"/>
      <c r="AS217" s="536"/>
      <c r="AT217" s="536"/>
      <c r="AU217" s="536"/>
      <c r="AV217" s="536"/>
      <c r="AW217" s="536"/>
      <c r="AX217" s="536"/>
      <c r="AY217" s="536"/>
      <c r="AZ217" s="536"/>
      <c r="BA217" s="536"/>
      <c r="BB217" s="536"/>
      <c r="BC217" s="536"/>
      <c r="BD217" s="536"/>
      <c r="BE217" s="536"/>
      <c r="BF217" s="536"/>
      <c r="BG217" s="536"/>
      <c r="BH217" s="536"/>
      <c r="BI217" s="536"/>
      <c r="BJ217" s="536"/>
      <c r="BK217" s="536"/>
      <c r="BL217" s="536"/>
      <c r="BM217" s="536"/>
      <c r="BN217" s="536"/>
      <c r="BO217" s="536"/>
      <c r="BP217" s="536"/>
      <c r="BQ217" s="536"/>
      <c r="BR217" s="536"/>
      <c r="BS217" s="536"/>
      <c r="BT217" s="536"/>
      <c r="BU217" s="536"/>
      <c r="BV217" s="536"/>
      <c r="BW217" s="536"/>
      <c r="BX217" s="536"/>
      <c r="BY217" s="536"/>
      <c r="BZ217" s="536"/>
      <c r="CA217" s="536"/>
      <c r="CB217" s="536"/>
      <c r="CC217" s="536"/>
      <c r="CD217" s="536"/>
    </row>
    <row r="218" spans="1:82" x14ac:dyDescent="0.2">
      <c r="A218" s="536">
        <f t="shared" ref="A218:A281" si="94">A166</f>
        <v>3</v>
      </c>
      <c r="B218" s="536">
        <f t="shared" si="92"/>
        <v>2013</v>
      </c>
      <c r="C218" s="552">
        <f t="shared" si="91"/>
        <v>41509</v>
      </c>
      <c r="D218" s="631" t="str">
        <f t="shared" si="93"/>
        <v>3Q13</v>
      </c>
      <c r="E218" s="540">
        <v>25.359985999999999</v>
      </c>
      <c r="F218" s="535"/>
      <c r="G218" s="536"/>
      <c r="H218" s="536"/>
      <c r="I218" s="536"/>
      <c r="J218" s="536"/>
      <c r="K218" s="536"/>
      <c r="L218" s="536"/>
      <c r="M218" s="536"/>
      <c r="N218" s="536"/>
      <c r="O218" s="536"/>
      <c r="P218" s="536"/>
      <c r="Q218" s="536"/>
      <c r="R218" s="536"/>
      <c r="S218" s="536"/>
      <c r="T218" s="536"/>
      <c r="U218" s="536"/>
      <c r="V218" s="536"/>
      <c r="W218" s="536"/>
      <c r="X218" s="536"/>
      <c r="Y218" s="536"/>
      <c r="Z218" s="536"/>
      <c r="AA218" s="536"/>
      <c r="AB218" s="536"/>
      <c r="AC218" s="536"/>
      <c r="AD218" s="536"/>
      <c r="AE218" s="536"/>
      <c r="AF218" s="536"/>
      <c r="AG218" s="536"/>
      <c r="AH218" s="536"/>
      <c r="AI218" s="536"/>
      <c r="AJ218" s="536"/>
      <c r="AK218" s="536"/>
      <c r="AL218" s="536"/>
      <c r="AM218" s="536"/>
      <c r="AN218" s="536"/>
      <c r="AO218" s="536"/>
      <c r="AP218" s="536"/>
      <c r="AQ218" s="536"/>
      <c r="AR218" s="536"/>
      <c r="AS218" s="536"/>
      <c r="AT218" s="536"/>
      <c r="AU218" s="536"/>
      <c r="AV218" s="536"/>
      <c r="AW218" s="536"/>
      <c r="AX218" s="536"/>
      <c r="AY218" s="536"/>
      <c r="AZ218" s="536"/>
      <c r="BA218" s="536"/>
      <c r="BB218" s="536"/>
      <c r="BC218" s="536"/>
      <c r="BD218" s="536"/>
      <c r="BE218" s="536"/>
      <c r="BF218" s="536"/>
      <c r="BG218" s="536"/>
      <c r="BH218" s="536"/>
      <c r="BI218" s="536"/>
      <c r="BJ218" s="536"/>
      <c r="BK218" s="536"/>
      <c r="BL218" s="536"/>
      <c r="BM218" s="536"/>
      <c r="BN218" s="536"/>
      <c r="BO218" s="536"/>
      <c r="BP218" s="536"/>
      <c r="BQ218" s="536"/>
      <c r="BR218" s="536"/>
      <c r="BS218" s="536"/>
      <c r="BT218" s="536"/>
      <c r="BU218" s="536"/>
      <c r="BV218" s="536"/>
      <c r="BW218" s="536"/>
      <c r="BX218" s="536"/>
      <c r="BY218" s="536"/>
      <c r="BZ218" s="536"/>
      <c r="CA218" s="536"/>
      <c r="CB218" s="536"/>
      <c r="CC218" s="536"/>
      <c r="CD218" s="536"/>
    </row>
    <row r="219" spans="1:82" x14ac:dyDescent="0.2">
      <c r="A219" s="536">
        <f t="shared" si="94"/>
        <v>3</v>
      </c>
      <c r="B219" s="536">
        <f t="shared" si="92"/>
        <v>2013</v>
      </c>
      <c r="C219" s="552">
        <f t="shared" si="91"/>
        <v>41516</v>
      </c>
      <c r="D219" s="631" t="str">
        <f t="shared" si="93"/>
        <v>3Q13</v>
      </c>
      <c r="E219" s="540">
        <v>24.609985999999999</v>
      </c>
      <c r="F219" s="535"/>
      <c r="G219" s="536"/>
      <c r="H219" s="536"/>
      <c r="I219" s="536"/>
      <c r="J219" s="536"/>
      <c r="K219" s="536"/>
      <c r="L219" s="536"/>
      <c r="M219" s="536"/>
      <c r="N219" s="536"/>
      <c r="O219" s="536"/>
      <c r="P219" s="536"/>
      <c r="Q219" s="536"/>
      <c r="R219" s="536"/>
      <c r="S219" s="536"/>
      <c r="T219" s="536"/>
      <c r="U219" s="536"/>
      <c r="V219" s="536"/>
      <c r="W219" s="536"/>
      <c r="X219" s="536"/>
      <c r="Y219" s="536"/>
      <c r="Z219" s="536"/>
      <c r="AA219" s="536"/>
      <c r="AB219" s="536"/>
      <c r="AC219" s="536"/>
      <c r="AD219" s="536"/>
      <c r="AE219" s="536"/>
      <c r="AF219" s="536"/>
      <c r="AG219" s="536"/>
      <c r="AH219" s="536"/>
      <c r="AI219" s="536"/>
      <c r="AJ219" s="536"/>
      <c r="AK219" s="536"/>
      <c r="AL219" s="536"/>
      <c r="AM219" s="536"/>
      <c r="AN219" s="536"/>
      <c r="AO219" s="536"/>
      <c r="AP219" s="536"/>
      <c r="AQ219" s="536"/>
      <c r="AR219" s="536"/>
      <c r="AS219" s="536"/>
      <c r="AT219" s="536"/>
      <c r="AU219" s="536"/>
      <c r="AV219" s="536"/>
      <c r="AW219" s="536"/>
      <c r="AX219" s="536"/>
      <c r="AY219" s="536"/>
      <c r="AZ219" s="536"/>
      <c r="BA219" s="536"/>
      <c r="BB219" s="536"/>
      <c r="BC219" s="536"/>
      <c r="BD219" s="536"/>
      <c r="BE219" s="536"/>
      <c r="BF219" s="536"/>
      <c r="BG219" s="536"/>
      <c r="BH219" s="536"/>
      <c r="BI219" s="536"/>
      <c r="BJ219" s="536"/>
      <c r="BK219" s="536"/>
      <c r="BL219" s="536"/>
      <c r="BM219" s="536"/>
      <c r="BN219" s="536"/>
      <c r="BO219" s="536"/>
      <c r="BP219" s="536"/>
      <c r="BQ219" s="536"/>
      <c r="BR219" s="536"/>
      <c r="BS219" s="536"/>
      <c r="BT219" s="536"/>
      <c r="BU219" s="536"/>
      <c r="BV219" s="536"/>
      <c r="BW219" s="536"/>
      <c r="BX219" s="536"/>
      <c r="BY219" s="536"/>
      <c r="BZ219" s="536"/>
      <c r="CA219" s="536"/>
      <c r="CB219" s="536"/>
      <c r="CC219" s="536"/>
      <c r="CD219" s="536"/>
    </row>
    <row r="220" spans="1:82" x14ac:dyDescent="0.2">
      <c r="A220" s="536">
        <f t="shared" si="94"/>
        <v>3</v>
      </c>
      <c r="B220" s="536">
        <f t="shared" si="92"/>
        <v>2013</v>
      </c>
      <c r="C220" s="552">
        <f t="shared" si="91"/>
        <v>41523</v>
      </c>
      <c r="D220" s="631" t="str">
        <f t="shared" si="93"/>
        <v>3Q13</v>
      </c>
      <c r="E220" s="540">
        <v>25.449997</v>
      </c>
      <c r="F220" s="535"/>
      <c r="G220" s="536"/>
      <c r="H220" s="536"/>
      <c r="I220" s="536"/>
      <c r="J220" s="536"/>
      <c r="K220" s="536"/>
      <c r="L220" s="536"/>
      <c r="M220" s="536"/>
      <c r="N220" s="536"/>
      <c r="O220" s="536"/>
      <c r="P220" s="536"/>
      <c r="Q220" s="536"/>
      <c r="R220" s="536"/>
      <c r="S220" s="536"/>
      <c r="T220" s="536"/>
      <c r="U220" s="536"/>
      <c r="V220" s="536"/>
      <c r="W220" s="536"/>
      <c r="X220" s="536"/>
      <c r="Y220" s="536"/>
      <c r="Z220" s="536"/>
      <c r="AA220" s="536"/>
      <c r="AB220" s="536"/>
      <c r="AC220" s="536"/>
      <c r="AD220" s="536"/>
      <c r="AE220" s="536"/>
      <c r="AF220" s="536"/>
      <c r="AG220" s="536"/>
      <c r="AH220" s="536"/>
      <c r="AI220" s="536"/>
      <c r="AJ220" s="536"/>
      <c r="AK220" s="536"/>
      <c r="AL220" s="536"/>
      <c r="AM220" s="536"/>
      <c r="AN220" s="536"/>
      <c r="AO220" s="536"/>
      <c r="AP220" s="536"/>
      <c r="AQ220" s="536"/>
      <c r="AR220" s="536"/>
      <c r="AS220" s="536"/>
      <c r="AT220" s="536"/>
      <c r="AU220" s="536"/>
      <c r="AV220" s="536"/>
      <c r="AW220" s="536"/>
      <c r="AX220" s="536"/>
      <c r="AY220" s="536"/>
      <c r="AZ220" s="536"/>
      <c r="BA220" s="536"/>
      <c r="BB220" s="536"/>
      <c r="BC220" s="536"/>
      <c r="BD220" s="536"/>
      <c r="BE220" s="536"/>
      <c r="BF220" s="536"/>
      <c r="BG220" s="536"/>
      <c r="BH220" s="536"/>
      <c r="BI220" s="536"/>
      <c r="BJ220" s="536"/>
      <c r="BK220" s="536"/>
      <c r="BL220" s="536"/>
      <c r="BM220" s="536"/>
      <c r="BN220" s="536"/>
      <c r="BO220" s="536"/>
      <c r="BP220" s="536"/>
      <c r="BQ220" s="536"/>
      <c r="BR220" s="536"/>
      <c r="BS220" s="536"/>
      <c r="BT220" s="536"/>
      <c r="BU220" s="536"/>
      <c r="BV220" s="536"/>
      <c r="BW220" s="536"/>
      <c r="BX220" s="536"/>
      <c r="BY220" s="536"/>
      <c r="BZ220" s="536"/>
      <c r="CA220" s="536"/>
      <c r="CB220" s="536"/>
      <c r="CC220" s="536"/>
      <c r="CD220" s="536"/>
    </row>
    <row r="221" spans="1:82" x14ac:dyDescent="0.2">
      <c r="A221" s="536">
        <f t="shared" si="94"/>
        <v>3</v>
      </c>
      <c r="B221" s="536">
        <f t="shared" si="92"/>
        <v>2013</v>
      </c>
      <c r="C221" s="552">
        <f t="shared" si="91"/>
        <v>41530</v>
      </c>
      <c r="D221" s="631" t="str">
        <f t="shared" si="93"/>
        <v>3Q13</v>
      </c>
      <c r="E221" s="540">
        <v>26.059998</v>
      </c>
      <c r="F221" s="535"/>
      <c r="G221" s="536"/>
      <c r="H221" s="536"/>
      <c r="I221" s="536"/>
      <c r="J221" s="536"/>
      <c r="K221" s="536"/>
      <c r="L221" s="536"/>
      <c r="M221" s="536"/>
      <c r="N221" s="536"/>
      <c r="O221" s="536"/>
      <c r="P221" s="536"/>
      <c r="Q221" s="536"/>
      <c r="R221" s="536"/>
      <c r="S221" s="536"/>
      <c r="T221" s="536"/>
      <c r="U221" s="536"/>
      <c r="V221" s="536"/>
      <c r="W221" s="536"/>
      <c r="X221" s="536"/>
      <c r="Y221" s="536"/>
      <c r="Z221" s="536"/>
      <c r="AA221" s="536"/>
      <c r="AB221" s="536"/>
      <c r="AC221" s="536"/>
      <c r="AD221" s="536"/>
      <c r="AE221" s="536"/>
      <c r="AF221" s="536"/>
      <c r="AG221" s="536"/>
      <c r="AH221" s="536"/>
      <c r="AI221" s="536"/>
      <c r="AJ221" s="536"/>
      <c r="AK221" s="536"/>
      <c r="AL221" s="536"/>
      <c r="AM221" s="536"/>
      <c r="AN221" s="536"/>
      <c r="AO221" s="536"/>
      <c r="AP221" s="536"/>
      <c r="AQ221" s="536"/>
      <c r="AR221" s="536"/>
      <c r="AS221" s="536"/>
      <c r="AT221" s="536"/>
      <c r="AU221" s="536"/>
      <c r="AV221" s="536"/>
      <c r="AW221" s="536"/>
      <c r="AX221" s="536"/>
      <c r="AY221" s="536"/>
      <c r="AZ221" s="536"/>
      <c r="BA221" s="536"/>
      <c r="BB221" s="536"/>
      <c r="BC221" s="536"/>
      <c r="BD221" s="536"/>
      <c r="BE221" s="536"/>
      <c r="BF221" s="536"/>
      <c r="BG221" s="536"/>
      <c r="BH221" s="536"/>
      <c r="BI221" s="536"/>
      <c r="BJ221" s="536"/>
      <c r="BK221" s="536"/>
      <c r="BL221" s="536"/>
      <c r="BM221" s="536"/>
      <c r="BN221" s="536"/>
      <c r="BO221" s="536"/>
      <c r="BP221" s="536"/>
      <c r="BQ221" s="536"/>
      <c r="BR221" s="536"/>
      <c r="BS221" s="536"/>
      <c r="BT221" s="536"/>
      <c r="BU221" s="536"/>
      <c r="BV221" s="536"/>
      <c r="BW221" s="536"/>
      <c r="BX221" s="536"/>
      <c r="BY221" s="536"/>
      <c r="BZ221" s="536"/>
      <c r="CA221" s="536"/>
      <c r="CB221" s="536"/>
      <c r="CC221" s="536"/>
      <c r="CD221" s="536"/>
    </row>
    <row r="222" spans="1:82" x14ac:dyDescent="0.2">
      <c r="A222" s="536">
        <f t="shared" si="94"/>
        <v>3</v>
      </c>
      <c r="B222" s="536">
        <f t="shared" si="92"/>
        <v>2013</v>
      </c>
      <c r="C222" s="552">
        <f t="shared" si="91"/>
        <v>41537</v>
      </c>
      <c r="D222" s="631" t="str">
        <f t="shared" si="93"/>
        <v>3Q13</v>
      </c>
      <c r="E222" s="540">
        <v>26.419999000000001</v>
      </c>
      <c r="F222" s="535"/>
      <c r="G222" s="536"/>
      <c r="H222" s="536"/>
      <c r="I222" s="536"/>
      <c r="J222" s="536"/>
      <c r="K222" s="536"/>
      <c r="L222" s="536"/>
      <c r="M222" s="536"/>
      <c r="N222" s="536"/>
      <c r="O222" s="536"/>
      <c r="P222" s="536"/>
      <c r="Q222" s="536"/>
      <c r="R222" s="536"/>
      <c r="S222" s="536"/>
      <c r="T222" s="536"/>
      <c r="U222" s="536"/>
      <c r="V222" s="536"/>
      <c r="W222" s="536"/>
      <c r="X222" s="536"/>
      <c r="Y222" s="536"/>
      <c r="Z222" s="536"/>
      <c r="AA222" s="536"/>
      <c r="AB222" s="536"/>
      <c r="AC222" s="536"/>
      <c r="AD222" s="536"/>
      <c r="AE222" s="536"/>
      <c r="AF222" s="536"/>
      <c r="AG222" s="536"/>
      <c r="AH222" s="536"/>
      <c r="AI222" s="536"/>
      <c r="AJ222" s="536"/>
      <c r="AK222" s="536"/>
      <c r="AL222" s="536"/>
      <c r="AM222" s="536"/>
      <c r="AN222" s="536"/>
      <c r="AO222" s="536"/>
      <c r="AP222" s="536"/>
      <c r="AQ222" s="536"/>
      <c r="AR222" s="536"/>
      <c r="AS222" s="536"/>
      <c r="AT222" s="536"/>
      <c r="AU222" s="536"/>
      <c r="AV222" s="536"/>
      <c r="AW222" s="536"/>
      <c r="AX222" s="536"/>
      <c r="AY222" s="536"/>
      <c r="AZ222" s="536"/>
      <c r="BA222" s="536"/>
      <c r="BB222" s="536"/>
      <c r="BC222" s="536"/>
      <c r="BD222" s="536"/>
      <c r="BE222" s="536"/>
      <c r="BF222" s="536"/>
      <c r="BG222" s="536"/>
      <c r="BH222" s="536"/>
      <c r="BI222" s="536"/>
      <c r="BJ222" s="536"/>
      <c r="BK222" s="536"/>
      <c r="BL222" s="536"/>
      <c r="BM222" s="536"/>
      <c r="BN222" s="536"/>
      <c r="BO222" s="536"/>
      <c r="BP222" s="536"/>
      <c r="BQ222" s="536"/>
      <c r="BR222" s="536"/>
      <c r="BS222" s="536"/>
      <c r="BT222" s="536"/>
      <c r="BU222" s="536"/>
      <c r="BV222" s="536"/>
      <c r="BW222" s="536"/>
      <c r="BX222" s="536"/>
      <c r="BY222" s="536"/>
      <c r="BZ222" s="536"/>
      <c r="CA222" s="536"/>
      <c r="CB222" s="536"/>
      <c r="CC222" s="536"/>
      <c r="CD222" s="536"/>
    </row>
    <row r="223" spans="1:82" x14ac:dyDescent="0.2">
      <c r="A223" s="536">
        <f t="shared" si="94"/>
        <v>3</v>
      </c>
      <c r="B223" s="536">
        <f t="shared" si="92"/>
        <v>2013</v>
      </c>
      <c r="C223" s="552">
        <f t="shared" si="91"/>
        <v>41544</v>
      </c>
      <c r="D223" s="631" t="str">
        <f t="shared" si="93"/>
        <v>3Q13</v>
      </c>
      <c r="E223" s="540">
        <v>25.849990999999999</v>
      </c>
      <c r="F223" s="535"/>
      <c r="G223" s="536"/>
      <c r="H223" s="536"/>
      <c r="I223" s="536"/>
      <c r="J223" s="536"/>
      <c r="K223" s="536"/>
      <c r="L223" s="536"/>
      <c r="M223" s="536"/>
      <c r="N223" s="536"/>
      <c r="O223" s="536"/>
      <c r="P223" s="536"/>
      <c r="Q223" s="536"/>
      <c r="R223" s="536"/>
      <c r="S223" s="536"/>
      <c r="T223" s="536"/>
      <c r="U223" s="536"/>
      <c r="V223" s="536"/>
      <c r="W223" s="536"/>
      <c r="X223" s="536"/>
      <c r="Y223" s="536"/>
      <c r="Z223" s="536"/>
      <c r="AA223" s="536"/>
      <c r="AB223" s="536"/>
      <c r="AC223" s="536"/>
      <c r="AD223" s="536"/>
      <c r="AE223" s="536"/>
      <c r="AF223" s="536"/>
      <c r="AG223" s="536"/>
      <c r="AH223" s="536"/>
      <c r="AI223" s="536"/>
      <c r="AJ223" s="536"/>
      <c r="AK223" s="536"/>
      <c r="AL223" s="536"/>
      <c r="AM223" s="536"/>
      <c r="AN223" s="536"/>
      <c r="AO223" s="536"/>
      <c r="AP223" s="536"/>
      <c r="AQ223" s="536"/>
      <c r="AR223" s="536"/>
      <c r="AS223" s="536"/>
      <c r="AT223" s="536"/>
      <c r="AU223" s="536"/>
      <c r="AV223" s="536"/>
      <c r="AW223" s="536"/>
      <c r="AX223" s="536"/>
      <c r="AY223" s="536"/>
      <c r="AZ223" s="536"/>
      <c r="BA223" s="536"/>
      <c r="BB223" s="536"/>
      <c r="BC223" s="536"/>
      <c r="BD223" s="536"/>
      <c r="BE223" s="536"/>
      <c r="BF223" s="536"/>
      <c r="BG223" s="536"/>
      <c r="BH223" s="536"/>
      <c r="BI223" s="536"/>
      <c r="BJ223" s="536"/>
      <c r="BK223" s="536"/>
      <c r="BL223" s="536"/>
      <c r="BM223" s="536"/>
      <c r="BN223" s="536"/>
      <c r="BO223" s="536"/>
      <c r="BP223" s="536"/>
      <c r="BQ223" s="536"/>
      <c r="BR223" s="536"/>
      <c r="BS223" s="536"/>
      <c r="BT223" s="536"/>
      <c r="BU223" s="536"/>
      <c r="BV223" s="536"/>
      <c r="BW223" s="536"/>
      <c r="BX223" s="536"/>
      <c r="BY223" s="536"/>
      <c r="BZ223" s="536"/>
      <c r="CA223" s="536"/>
      <c r="CB223" s="536"/>
      <c r="CC223" s="536"/>
      <c r="CD223" s="536"/>
    </row>
    <row r="224" spans="1:82" x14ac:dyDescent="0.2">
      <c r="A224" s="536">
        <f t="shared" si="94"/>
        <v>4</v>
      </c>
      <c r="B224" s="536">
        <f t="shared" si="92"/>
        <v>2013</v>
      </c>
      <c r="C224" s="552">
        <f t="shared" si="91"/>
        <v>41551</v>
      </c>
      <c r="D224" s="631" t="str">
        <f t="shared" si="93"/>
        <v>4Q13</v>
      </c>
      <c r="E224" s="540">
        <v>25.57</v>
      </c>
      <c r="F224" s="535"/>
      <c r="G224" s="536"/>
      <c r="H224" s="536"/>
      <c r="I224" s="536"/>
      <c r="J224" s="536"/>
      <c r="K224" s="536"/>
      <c r="L224" s="536"/>
      <c r="M224" s="536"/>
      <c r="N224" s="536"/>
      <c r="O224" s="536"/>
      <c r="P224" s="536"/>
      <c r="Q224" s="536"/>
      <c r="R224" s="536"/>
      <c r="S224" s="536"/>
      <c r="T224" s="536"/>
      <c r="U224" s="536"/>
      <c r="V224" s="536"/>
      <c r="W224" s="536"/>
      <c r="X224" s="536"/>
      <c r="Y224" s="536"/>
      <c r="Z224" s="536"/>
      <c r="AA224" s="536"/>
      <c r="AB224" s="536"/>
      <c r="AC224" s="536"/>
      <c r="AD224" s="536"/>
      <c r="AE224" s="536"/>
      <c r="AF224" s="536"/>
      <c r="AG224" s="536"/>
      <c r="AH224" s="536"/>
      <c r="AI224" s="536"/>
      <c r="AJ224" s="536"/>
      <c r="AK224" s="536"/>
      <c r="AL224" s="536"/>
      <c r="AM224" s="536"/>
      <c r="AN224" s="536"/>
      <c r="AO224" s="536"/>
      <c r="AP224" s="536"/>
      <c r="AQ224" s="536"/>
      <c r="AR224" s="536"/>
      <c r="AS224" s="536"/>
      <c r="AT224" s="536"/>
      <c r="AU224" s="536"/>
      <c r="AV224" s="536"/>
      <c r="AW224" s="536"/>
      <c r="AX224" s="536"/>
      <c r="AY224" s="536"/>
      <c r="AZ224" s="536"/>
      <c r="BA224" s="536"/>
      <c r="BB224" s="536"/>
      <c r="BC224" s="536"/>
      <c r="BD224" s="536"/>
      <c r="BE224" s="536"/>
      <c r="BF224" s="536"/>
      <c r="BG224" s="536"/>
      <c r="BH224" s="536"/>
      <c r="BI224" s="536"/>
      <c r="BJ224" s="536"/>
      <c r="BK224" s="536"/>
      <c r="BL224" s="536"/>
      <c r="BM224" s="536"/>
      <c r="BN224" s="536"/>
      <c r="BO224" s="536"/>
      <c r="BP224" s="536"/>
      <c r="BQ224" s="536"/>
      <c r="BR224" s="536"/>
      <c r="BS224" s="536"/>
      <c r="BT224" s="536"/>
      <c r="BU224" s="536"/>
      <c r="BV224" s="536"/>
      <c r="BW224" s="536"/>
      <c r="BX224" s="536"/>
      <c r="BY224" s="536"/>
      <c r="BZ224" s="536"/>
      <c r="CA224" s="536"/>
      <c r="CB224" s="536"/>
      <c r="CC224" s="536"/>
      <c r="CD224" s="536"/>
    </row>
    <row r="225" spans="1:82" x14ac:dyDescent="0.2">
      <c r="A225" s="536">
        <f t="shared" si="94"/>
        <v>4</v>
      </c>
      <c r="B225" s="536">
        <f t="shared" si="92"/>
        <v>2013</v>
      </c>
      <c r="C225" s="552">
        <f t="shared" si="91"/>
        <v>41558</v>
      </c>
      <c r="D225" s="631" t="str">
        <f t="shared" si="93"/>
        <v>4Q13</v>
      </c>
      <c r="E225" s="540">
        <v>25.829986999999999</v>
      </c>
      <c r="F225" s="535"/>
      <c r="G225" s="536"/>
      <c r="H225" s="536"/>
      <c r="I225" s="536"/>
      <c r="J225" s="536"/>
      <c r="K225" s="536"/>
      <c r="L225" s="536"/>
      <c r="M225" s="536"/>
      <c r="N225" s="536"/>
      <c r="O225" s="536"/>
      <c r="P225" s="536"/>
      <c r="Q225" s="536"/>
      <c r="R225" s="536"/>
      <c r="S225" s="536"/>
      <c r="T225" s="536"/>
      <c r="U225" s="536"/>
      <c r="V225" s="536"/>
      <c r="W225" s="536"/>
      <c r="X225" s="536"/>
      <c r="Y225" s="536"/>
      <c r="Z225" s="536"/>
      <c r="AA225" s="536"/>
      <c r="AB225" s="536"/>
      <c r="AC225" s="536"/>
      <c r="AD225" s="536"/>
      <c r="AE225" s="536"/>
      <c r="AF225" s="536"/>
      <c r="AG225" s="536"/>
      <c r="AH225" s="536"/>
      <c r="AI225" s="536"/>
      <c r="AJ225" s="536"/>
      <c r="AK225" s="536"/>
      <c r="AL225" s="536"/>
      <c r="AM225" s="536"/>
      <c r="AN225" s="536"/>
      <c r="AO225" s="536"/>
      <c r="AP225" s="536"/>
      <c r="AQ225" s="536"/>
      <c r="AR225" s="536"/>
      <c r="AS225" s="536"/>
      <c r="AT225" s="536"/>
      <c r="AU225" s="536"/>
      <c r="AV225" s="536"/>
      <c r="AW225" s="536"/>
      <c r="AX225" s="536"/>
      <c r="AY225" s="536"/>
      <c r="AZ225" s="536"/>
      <c r="BA225" s="536"/>
      <c r="BB225" s="536"/>
      <c r="BC225" s="536"/>
      <c r="BD225" s="536"/>
      <c r="BE225" s="536"/>
      <c r="BF225" s="536"/>
      <c r="BG225" s="536"/>
      <c r="BH225" s="536"/>
      <c r="BI225" s="536"/>
      <c r="BJ225" s="536"/>
      <c r="BK225" s="536"/>
      <c r="BL225" s="536"/>
      <c r="BM225" s="536"/>
      <c r="BN225" s="536"/>
      <c r="BO225" s="536"/>
      <c r="BP225" s="536"/>
      <c r="BQ225" s="536"/>
      <c r="BR225" s="536"/>
      <c r="BS225" s="536"/>
      <c r="BT225" s="536"/>
      <c r="BU225" s="536"/>
      <c r="BV225" s="536"/>
      <c r="BW225" s="536"/>
      <c r="BX225" s="536"/>
      <c r="BY225" s="536"/>
      <c r="BZ225" s="536"/>
      <c r="CA225" s="536"/>
      <c r="CB225" s="536"/>
      <c r="CC225" s="536"/>
      <c r="CD225" s="536"/>
    </row>
    <row r="226" spans="1:82" x14ac:dyDescent="0.2">
      <c r="A226" s="536">
        <f t="shared" si="94"/>
        <v>4</v>
      </c>
      <c r="B226" s="536">
        <f t="shared" si="92"/>
        <v>2013</v>
      </c>
      <c r="C226" s="552">
        <f t="shared" si="91"/>
        <v>41565</v>
      </c>
      <c r="D226" s="631" t="str">
        <f t="shared" si="93"/>
        <v>4Q13</v>
      </c>
      <c r="E226" s="540">
        <v>25.699997</v>
      </c>
      <c r="F226" s="535"/>
      <c r="G226" s="536"/>
      <c r="H226" s="536"/>
      <c r="I226" s="536"/>
      <c r="J226" s="536"/>
      <c r="K226" s="536"/>
      <c r="L226" s="536"/>
      <c r="M226" s="536"/>
      <c r="N226" s="536"/>
      <c r="O226" s="536"/>
      <c r="P226" s="536"/>
      <c r="Q226" s="536"/>
      <c r="R226" s="536"/>
      <c r="S226" s="536"/>
      <c r="T226" s="536"/>
      <c r="U226" s="536"/>
      <c r="V226" s="536"/>
      <c r="W226" s="536"/>
      <c r="X226" s="536"/>
      <c r="Y226" s="536"/>
      <c r="Z226" s="536"/>
      <c r="AA226" s="536"/>
      <c r="AB226" s="536"/>
      <c r="AC226" s="536"/>
      <c r="AD226" s="536"/>
      <c r="AE226" s="536"/>
      <c r="AF226" s="536"/>
      <c r="AG226" s="536"/>
      <c r="AH226" s="536"/>
      <c r="AI226" s="536"/>
      <c r="AJ226" s="536"/>
      <c r="AK226" s="536"/>
      <c r="AL226" s="536"/>
      <c r="AM226" s="536"/>
      <c r="AN226" s="536"/>
      <c r="AO226" s="536"/>
      <c r="AP226" s="536"/>
      <c r="AQ226" s="536"/>
      <c r="AR226" s="536"/>
      <c r="AS226" s="536"/>
      <c r="AT226" s="536"/>
      <c r="AU226" s="536"/>
      <c r="AV226" s="536"/>
      <c r="AW226" s="536"/>
      <c r="AX226" s="536"/>
      <c r="AY226" s="536"/>
      <c r="AZ226" s="536"/>
      <c r="BA226" s="536"/>
      <c r="BB226" s="536"/>
      <c r="BC226" s="536"/>
      <c r="BD226" s="536"/>
      <c r="BE226" s="536"/>
      <c r="BF226" s="536"/>
      <c r="BG226" s="536"/>
      <c r="BH226" s="536"/>
      <c r="BI226" s="536"/>
      <c r="BJ226" s="536"/>
      <c r="BK226" s="536"/>
      <c r="BL226" s="536"/>
      <c r="BM226" s="536"/>
      <c r="BN226" s="536"/>
      <c r="BO226" s="536"/>
      <c r="BP226" s="536"/>
      <c r="BQ226" s="536"/>
      <c r="BR226" s="536"/>
      <c r="BS226" s="536"/>
      <c r="BT226" s="536"/>
      <c r="BU226" s="536"/>
      <c r="BV226" s="536"/>
      <c r="BW226" s="536"/>
      <c r="BX226" s="536"/>
      <c r="BY226" s="536"/>
      <c r="BZ226" s="536"/>
      <c r="CA226" s="536"/>
      <c r="CB226" s="536"/>
      <c r="CC226" s="536"/>
      <c r="CD226" s="536"/>
    </row>
    <row r="227" spans="1:82" x14ac:dyDescent="0.2">
      <c r="A227" s="536">
        <f t="shared" si="94"/>
        <v>4</v>
      </c>
      <c r="B227" s="536">
        <f t="shared" si="92"/>
        <v>2013</v>
      </c>
      <c r="C227" s="552">
        <f t="shared" si="91"/>
        <v>41572</v>
      </c>
      <c r="D227" s="631" t="str">
        <f t="shared" si="93"/>
        <v>4Q13</v>
      </c>
      <c r="E227" s="540">
        <v>26.609985999999999</v>
      </c>
      <c r="F227" s="535"/>
      <c r="G227" s="536"/>
      <c r="H227" s="536"/>
      <c r="I227" s="536"/>
      <c r="J227" s="536"/>
      <c r="K227" s="536"/>
      <c r="L227" s="536"/>
      <c r="M227" s="536"/>
      <c r="N227" s="536"/>
      <c r="O227" s="536"/>
      <c r="P227" s="536"/>
      <c r="Q227" s="536"/>
      <c r="R227" s="536"/>
      <c r="S227" s="536"/>
      <c r="T227" s="536"/>
      <c r="U227" s="536"/>
      <c r="V227" s="536"/>
      <c r="W227" s="536"/>
      <c r="X227" s="536"/>
      <c r="Y227" s="536"/>
      <c r="Z227" s="536"/>
      <c r="AA227" s="536"/>
      <c r="AB227" s="536"/>
      <c r="AC227" s="536"/>
      <c r="AD227" s="536"/>
      <c r="AE227" s="536"/>
      <c r="AF227" s="536"/>
      <c r="AG227" s="536"/>
      <c r="AH227" s="536"/>
      <c r="AI227" s="536"/>
      <c r="AJ227" s="536"/>
      <c r="AK227" s="536"/>
      <c r="AL227" s="536"/>
      <c r="AM227" s="536"/>
      <c r="AN227" s="536"/>
      <c r="AO227" s="536"/>
      <c r="AP227" s="536"/>
      <c r="AQ227" s="536"/>
      <c r="AR227" s="536"/>
      <c r="AS227" s="536"/>
      <c r="AT227" s="536"/>
      <c r="AU227" s="536"/>
      <c r="AV227" s="536"/>
      <c r="AW227" s="536"/>
      <c r="AX227" s="536"/>
      <c r="AY227" s="536"/>
      <c r="AZ227" s="536"/>
      <c r="BA227" s="536"/>
      <c r="BB227" s="536"/>
      <c r="BC227" s="536"/>
      <c r="BD227" s="536"/>
      <c r="BE227" s="536"/>
      <c r="BF227" s="536"/>
      <c r="BG227" s="536"/>
      <c r="BH227" s="536"/>
      <c r="BI227" s="536"/>
      <c r="BJ227" s="536"/>
      <c r="BK227" s="536"/>
      <c r="BL227" s="536"/>
      <c r="BM227" s="536"/>
      <c r="BN227" s="536"/>
      <c r="BO227" s="536"/>
      <c r="BP227" s="536"/>
      <c r="BQ227" s="536"/>
      <c r="BR227" s="536"/>
      <c r="BS227" s="536"/>
      <c r="BT227" s="536"/>
      <c r="BU227" s="536"/>
      <c r="BV227" s="536"/>
      <c r="BW227" s="536"/>
      <c r="BX227" s="536"/>
      <c r="BY227" s="536"/>
      <c r="BZ227" s="536"/>
      <c r="CA227" s="536"/>
      <c r="CB227" s="536"/>
      <c r="CC227" s="536"/>
      <c r="CD227" s="536"/>
    </row>
    <row r="228" spans="1:82" x14ac:dyDescent="0.2">
      <c r="A228" s="536">
        <f t="shared" si="94"/>
        <v>4</v>
      </c>
      <c r="B228" s="536">
        <f t="shared" si="92"/>
        <v>2013</v>
      </c>
      <c r="C228" s="552">
        <f t="shared" si="91"/>
        <v>41579</v>
      </c>
      <c r="D228" s="631" t="str">
        <f t="shared" si="93"/>
        <v>4Q13</v>
      </c>
      <c r="E228" s="540">
        <v>26.279999</v>
      </c>
      <c r="F228" s="535"/>
      <c r="G228" s="536"/>
      <c r="H228" s="536"/>
      <c r="I228" s="536"/>
      <c r="J228" s="536"/>
      <c r="K228" s="536"/>
      <c r="L228" s="536"/>
      <c r="M228" s="536"/>
      <c r="N228" s="536"/>
      <c r="O228" s="536"/>
      <c r="P228" s="536"/>
      <c r="Q228" s="536"/>
      <c r="R228" s="536"/>
      <c r="S228" s="536"/>
      <c r="T228" s="536"/>
      <c r="U228" s="536"/>
      <c r="V228" s="536"/>
      <c r="W228" s="536"/>
      <c r="X228" s="536"/>
      <c r="Y228" s="536"/>
      <c r="Z228" s="536"/>
      <c r="AA228" s="536"/>
      <c r="AB228" s="536"/>
      <c r="AC228" s="536"/>
      <c r="AD228" s="536"/>
      <c r="AE228" s="536"/>
      <c r="AF228" s="536"/>
      <c r="AG228" s="536"/>
      <c r="AH228" s="536"/>
      <c r="AI228" s="536"/>
      <c r="AJ228" s="536"/>
      <c r="AK228" s="536"/>
      <c r="AL228" s="536"/>
      <c r="AM228" s="536"/>
      <c r="AN228" s="536"/>
      <c r="AO228" s="536"/>
      <c r="AP228" s="536"/>
      <c r="AQ228" s="536"/>
      <c r="AR228" s="536"/>
      <c r="AS228" s="536"/>
      <c r="AT228" s="536"/>
      <c r="AU228" s="536"/>
      <c r="AV228" s="536"/>
      <c r="AW228" s="536"/>
      <c r="AX228" s="536"/>
      <c r="AY228" s="536"/>
      <c r="AZ228" s="536"/>
      <c r="BA228" s="536"/>
      <c r="BB228" s="536"/>
      <c r="BC228" s="536"/>
      <c r="BD228" s="536"/>
      <c r="BE228" s="536"/>
      <c r="BF228" s="536"/>
      <c r="BG228" s="536"/>
      <c r="BH228" s="536"/>
      <c r="BI228" s="536"/>
      <c r="BJ228" s="536"/>
      <c r="BK228" s="536"/>
      <c r="BL228" s="536"/>
      <c r="BM228" s="536"/>
      <c r="BN228" s="536"/>
      <c r="BO228" s="536"/>
      <c r="BP228" s="536"/>
      <c r="BQ228" s="536"/>
      <c r="BR228" s="536"/>
      <c r="BS228" s="536"/>
      <c r="BT228" s="536"/>
      <c r="BU228" s="536"/>
      <c r="BV228" s="536"/>
      <c r="BW228" s="536"/>
      <c r="BX228" s="536"/>
      <c r="BY228" s="536"/>
      <c r="BZ228" s="536"/>
      <c r="CA228" s="536"/>
      <c r="CB228" s="536"/>
      <c r="CC228" s="536"/>
      <c r="CD228" s="536"/>
    </row>
    <row r="229" spans="1:82" x14ac:dyDescent="0.2">
      <c r="A229" s="536">
        <f t="shared" si="94"/>
        <v>4</v>
      </c>
      <c r="B229" s="536">
        <f t="shared" si="92"/>
        <v>2013</v>
      </c>
      <c r="C229" s="552">
        <f t="shared" si="91"/>
        <v>41586</v>
      </c>
      <c r="D229" s="631" t="str">
        <f t="shared" si="93"/>
        <v>4Q13</v>
      </c>
      <c r="E229" s="540">
        <v>26.609985999999999</v>
      </c>
      <c r="F229" s="535"/>
      <c r="G229" s="536"/>
      <c r="H229" s="536"/>
      <c r="I229" s="536"/>
      <c r="J229" s="536"/>
      <c r="K229" s="536"/>
      <c r="L229" s="536"/>
      <c r="M229" s="536"/>
      <c r="N229" s="536"/>
      <c r="O229" s="536"/>
      <c r="P229" s="536"/>
      <c r="Q229" s="536"/>
      <c r="R229" s="536"/>
      <c r="S229" s="536"/>
      <c r="T229" s="536"/>
      <c r="U229" s="536"/>
      <c r="V229" s="536"/>
      <c r="W229" s="536"/>
      <c r="X229" s="536"/>
      <c r="Y229" s="536"/>
      <c r="Z229" s="536"/>
      <c r="AA229" s="536"/>
      <c r="AB229" s="536"/>
      <c r="AC229" s="536"/>
      <c r="AD229" s="536"/>
      <c r="AE229" s="536"/>
      <c r="AF229" s="536"/>
      <c r="AG229" s="536"/>
      <c r="AH229" s="536"/>
      <c r="AI229" s="536"/>
      <c r="AJ229" s="536"/>
      <c r="AK229" s="536"/>
      <c r="AL229" s="536"/>
      <c r="AM229" s="536"/>
      <c r="AN229" s="536"/>
      <c r="AO229" s="536"/>
      <c r="AP229" s="536"/>
      <c r="AQ229" s="536"/>
      <c r="AR229" s="536"/>
      <c r="AS229" s="536"/>
      <c r="AT229" s="536"/>
      <c r="AU229" s="536"/>
      <c r="AV229" s="536"/>
      <c r="AW229" s="536"/>
      <c r="AX229" s="536"/>
      <c r="AY229" s="536"/>
      <c r="AZ229" s="536"/>
      <c r="BA229" s="536"/>
      <c r="BB229" s="536"/>
      <c r="BC229" s="536"/>
      <c r="BD229" s="536"/>
      <c r="BE229" s="536"/>
      <c r="BF229" s="536"/>
      <c r="BG229" s="536"/>
      <c r="BH229" s="536"/>
      <c r="BI229" s="536"/>
      <c r="BJ229" s="536"/>
      <c r="BK229" s="536"/>
      <c r="BL229" s="536"/>
      <c r="BM229" s="536"/>
      <c r="BN229" s="536"/>
      <c r="BO229" s="536"/>
      <c r="BP229" s="536"/>
      <c r="BQ229" s="536"/>
      <c r="BR229" s="536"/>
      <c r="BS229" s="536"/>
      <c r="BT229" s="536"/>
      <c r="BU229" s="536"/>
      <c r="BV229" s="536"/>
      <c r="BW229" s="536"/>
      <c r="BX229" s="536"/>
      <c r="BY229" s="536"/>
      <c r="BZ229" s="536"/>
      <c r="CA229" s="536"/>
      <c r="CB229" s="536"/>
      <c r="CC229" s="536"/>
      <c r="CD229" s="536"/>
    </row>
    <row r="230" spans="1:82" x14ac:dyDescent="0.2">
      <c r="A230" s="536">
        <f t="shared" si="94"/>
        <v>4</v>
      </c>
      <c r="B230" s="536">
        <f t="shared" si="92"/>
        <v>2013</v>
      </c>
      <c r="C230" s="552">
        <f t="shared" si="91"/>
        <v>41593</v>
      </c>
      <c r="D230" s="631" t="str">
        <f t="shared" si="93"/>
        <v>4Q13</v>
      </c>
      <c r="E230" s="540">
        <v>27</v>
      </c>
      <c r="F230" s="535"/>
      <c r="G230" s="536"/>
      <c r="H230" s="536"/>
      <c r="I230" s="536"/>
      <c r="J230" s="536"/>
      <c r="K230" s="536"/>
      <c r="L230" s="536"/>
      <c r="M230" s="536"/>
      <c r="N230" s="536"/>
      <c r="O230" s="536"/>
      <c r="P230" s="536"/>
      <c r="Q230" s="536"/>
      <c r="R230" s="536"/>
      <c r="S230" s="536"/>
      <c r="T230" s="536"/>
      <c r="U230" s="536"/>
      <c r="V230" s="536"/>
      <c r="W230" s="536"/>
      <c r="X230" s="536"/>
      <c r="Y230" s="536"/>
      <c r="Z230" s="536"/>
      <c r="AA230" s="536"/>
      <c r="AB230" s="536"/>
      <c r="AC230" s="536"/>
      <c r="AD230" s="536"/>
      <c r="AE230" s="536"/>
      <c r="AF230" s="536"/>
      <c r="AG230" s="536"/>
      <c r="AH230" s="536"/>
      <c r="AI230" s="536"/>
      <c r="AJ230" s="536"/>
      <c r="AK230" s="536"/>
      <c r="AL230" s="536"/>
      <c r="AM230" s="536"/>
      <c r="AN230" s="536"/>
      <c r="AO230" s="536"/>
      <c r="AP230" s="536"/>
      <c r="AQ230" s="536"/>
      <c r="AR230" s="536"/>
      <c r="AS230" s="536"/>
      <c r="AT230" s="536"/>
      <c r="AU230" s="536"/>
      <c r="AV230" s="536"/>
      <c r="AW230" s="536"/>
      <c r="AX230" s="536"/>
      <c r="AY230" s="536"/>
      <c r="AZ230" s="536"/>
      <c r="BA230" s="536"/>
      <c r="BB230" s="536"/>
      <c r="BC230" s="536"/>
      <c r="BD230" s="536"/>
      <c r="BE230" s="536"/>
      <c r="BF230" s="536"/>
      <c r="BG230" s="536"/>
      <c r="BH230" s="536"/>
      <c r="BI230" s="536"/>
      <c r="BJ230" s="536"/>
      <c r="BK230" s="536"/>
      <c r="BL230" s="536"/>
      <c r="BM230" s="536"/>
      <c r="BN230" s="536"/>
      <c r="BO230" s="536"/>
      <c r="BP230" s="536"/>
      <c r="BQ230" s="536"/>
      <c r="BR230" s="536"/>
      <c r="BS230" s="536"/>
      <c r="BT230" s="536"/>
      <c r="BU230" s="536"/>
      <c r="BV230" s="536"/>
      <c r="BW230" s="536"/>
      <c r="BX230" s="536"/>
      <c r="BY230" s="536"/>
      <c r="BZ230" s="536"/>
      <c r="CA230" s="536"/>
      <c r="CB230" s="536"/>
      <c r="CC230" s="536"/>
      <c r="CD230" s="536"/>
    </row>
    <row r="231" spans="1:82" x14ac:dyDescent="0.2">
      <c r="A231" s="536">
        <f t="shared" si="94"/>
        <v>4</v>
      </c>
      <c r="B231" s="536">
        <f t="shared" si="92"/>
        <v>2013</v>
      </c>
      <c r="C231" s="552">
        <f t="shared" si="91"/>
        <v>41600</v>
      </c>
      <c r="D231" s="631" t="str">
        <f t="shared" si="93"/>
        <v>4Q13</v>
      </c>
      <c r="E231" s="540">
        <v>27.349990999999999</v>
      </c>
      <c r="F231" s="535"/>
      <c r="G231" s="536"/>
      <c r="H231" s="536"/>
      <c r="I231" s="536"/>
      <c r="J231" s="536"/>
      <c r="K231" s="536"/>
      <c r="L231" s="536"/>
      <c r="M231" s="536"/>
      <c r="N231" s="536"/>
      <c r="O231" s="536"/>
      <c r="P231" s="536"/>
      <c r="Q231" s="536"/>
      <c r="R231" s="536"/>
      <c r="S231" s="536"/>
      <c r="T231" s="536"/>
      <c r="U231" s="536"/>
      <c r="V231" s="536"/>
      <c r="W231" s="536"/>
      <c r="X231" s="536"/>
      <c r="Y231" s="536"/>
      <c r="Z231" s="536"/>
      <c r="AA231" s="536"/>
      <c r="AB231" s="536"/>
      <c r="AC231" s="536"/>
      <c r="AD231" s="536"/>
      <c r="AE231" s="536"/>
      <c r="AF231" s="536"/>
      <c r="AG231" s="536"/>
      <c r="AH231" s="536"/>
      <c r="AI231" s="536"/>
      <c r="AJ231" s="536"/>
      <c r="AK231" s="536"/>
      <c r="AL231" s="536"/>
      <c r="AM231" s="536"/>
      <c r="AN231" s="536"/>
      <c r="AO231" s="536"/>
      <c r="AP231" s="536"/>
      <c r="AQ231" s="536"/>
      <c r="AR231" s="536"/>
      <c r="AS231" s="536"/>
      <c r="AT231" s="536"/>
      <c r="AU231" s="536"/>
      <c r="AV231" s="536"/>
      <c r="AW231" s="536"/>
      <c r="AX231" s="536"/>
      <c r="AY231" s="536"/>
      <c r="AZ231" s="536"/>
      <c r="BA231" s="536"/>
      <c r="BB231" s="536"/>
      <c r="BC231" s="536"/>
      <c r="BD231" s="536"/>
      <c r="BE231" s="536"/>
      <c r="BF231" s="536"/>
      <c r="BG231" s="536"/>
      <c r="BH231" s="536"/>
      <c r="BI231" s="536"/>
      <c r="BJ231" s="536"/>
      <c r="BK231" s="536"/>
      <c r="BL231" s="536"/>
      <c r="BM231" s="536"/>
      <c r="BN231" s="536"/>
      <c r="BO231" s="536"/>
      <c r="BP231" s="536"/>
      <c r="BQ231" s="536"/>
      <c r="BR231" s="536"/>
      <c r="BS231" s="536"/>
      <c r="BT231" s="536"/>
      <c r="BU231" s="536"/>
      <c r="BV231" s="536"/>
      <c r="BW231" s="536"/>
      <c r="BX231" s="536"/>
      <c r="BY231" s="536"/>
      <c r="BZ231" s="536"/>
      <c r="CA231" s="536"/>
      <c r="CB231" s="536"/>
      <c r="CC231" s="536"/>
      <c r="CD231" s="536"/>
    </row>
    <row r="232" spans="1:82" x14ac:dyDescent="0.2">
      <c r="A232" s="536">
        <f t="shared" si="94"/>
        <v>4</v>
      </c>
      <c r="B232" s="536">
        <f t="shared" si="92"/>
        <v>2013</v>
      </c>
      <c r="C232" s="552">
        <f t="shared" si="91"/>
        <v>41607</v>
      </c>
      <c r="D232" s="631" t="str">
        <f t="shared" si="93"/>
        <v>4Q13</v>
      </c>
      <c r="E232" s="540">
        <v>27.26999</v>
      </c>
      <c r="F232" s="535"/>
      <c r="G232" s="536"/>
      <c r="H232" s="536"/>
      <c r="I232" s="536"/>
      <c r="J232" s="536"/>
      <c r="K232" s="536"/>
      <c r="L232" s="536"/>
      <c r="M232" s="536"/>
      <c r="N232" s="536"/>
      <c r="O232" s="536"/>
      <c r="P232" s="536"/>
      <c r="Q232" s="536"/>
      <c r="R232" s="536"/>
      <c r="S232" s="536"/>
      <c r="T232" s="536"/>
      <c r="U232" s="536"/>
      <c r="V232" s="536"/>
      <c r="W232" s="536"/>
      <c r="X232" s="536"/>
      <c r="Y232" s="536"/>
      <c r="Z232" s="536"/>
      <c r="AA232" s="536"/>
      <c r="AB232" s="536"/>
      <c r="AC232" s="536"/>
      <c r="AD232" s="536"/>
      <c r="AE232" s="536"/>
      <c r="AF232" s="536"/>
      <c r="AG232" s="536"/>
      <c r="AH232" s="536"/>
      <c r="AI232" s="536"/>
      <c r="AJ232" s="536"/>
      <c r="AK232" s="536"/>
      <c r="AL232" s="536"/>
      <c r="AM232" s="536"/>
      <c r="AN232" s="536"/>
      <c r="AO232" s="536"/>
      <c r="AP232" s="536"/>
      <c r="AQ232" s="536"/>
      <c r="AR232" s="536"/>
      <c r="AS232" s="536"/>
      <c r="AT232" s="536"/>
      <c r="AU232" s="536"/>
      <c r="AV232" s="536"/>
      <c r="AW232" s="536"/>
      <c r="AX232" s="536"/>
      <c r="AY232" s="536"/>
      <c r="AZ232" s="536"/>
      <c r="BA232" s="536"/>
      <c r="BB232" s="536"/>
      <c r="BC232" s="536"/>
      <c r="BD232" s="536"/>
      <c r="BE232" s="536"/>
      <c r="BF232" s="536"/>
      <c r="BG232" s="536"/>
      <c r="BH232" s="536"/>
      <c r="BI232" s="536"/>
      <c r="BJ232" s="536"/>
      <c r="BK232" s="536"/>
      <c r="BL232" s="536"/>
      <c r="BM232" s="536"/>
      <c r="BN232" s="536"/>
      <c r="BO232" s="536"/>
      <c r="BP232" s="536"/>
      <c r="BQ232" s="536"/>
      <c r="BR232" s="536"/>
      <c r="BS232" s="536"/>
      <c r="BT232" s="536"/>
      <c r="BU232" s="536"/>
      <c r="BV232" s="536"/>
      <c r="BW232" s="536"/>
      <c r="BX232" s="536"/>
      <c r="BY232" s="536"/>
      <c r="BZ232" s="536"/>
      <c r="CA232" s="536"/>
      <c r="CB232" s="536"/>
      <c r="CC232" s="536"/>
      <c r="CD232" s="536"/>
    </row>
    <row r="233" spans="1:82" x14ac:dyDescent="0.2">
      <c r="A233" s="536">
        <f t="shared" si="94"/>
        <v>4</v>
      </c>
      <c r="B233" s="536">
        <f t="shared" si="92"/>
        <v>2013</v>
      </c>
      <c r="C233" s="552">
        <f t="shared" si="91"/>
        <v>41614</v>
      </c>
      <c r="D233" s="631" t="str">
        <f t="shared" si="93"/>
        <v>4Q13</v>
      </c>
      <c r="E233" s="540">
        <v>27.75</v>
      </c>
      <c r="F233" s="535"/>
      <c r="G233" s="536"/>
      <c r="H233" s="536"/>
      <c r="I233" s="536"/>
      <c r="J233" s="536"/>
      <c r="K233" s="536"/>
      <c r="L233" s="536"/>
      <c r="M233" s="536"/>
      <c r="N233" s="536"/>
      <c r="O233" s="536"/>
      <c r="P233" s="536"/>
      <c r="Q233" s="536"/>
      <c r="R233" s="536"/>
      <c r="S233" s="536"/>
      <c r="T233" s="536"/>
      <c r="U233" s="536"/>
      <c r="V233" s="536"/>
      <c r="W233" s="536"/>
      <c r="X233" s="536"/>
      <c r="Y233" s="536"/>
      <c r="Z233" s="536"/>
      <c r="AA233" s="536"/>
      <c r="AB233" s="536"/>
      <c r="AC233" s="536"/>
      <c r="AD233" s="536"/>
      <c r="AE233" s="536"/>
      <c r="AF233" s="536"/>
      <c r="AG233" s="536"/>
      <c r="AH233" s="536"/>
      <c r="AI233" s="536"/>
      <c r="AJ233" s="536"/>
      <c r="AK233" s="536"/>
      <c r="AL233" s="536"/>
      <c r="AM233" s="536"/>
      <c r="AN233" s="536"/>
      <c r="AO233" s="536"/>
      <c r="AP233" s="536"/>
      <c r="AQ233" s="536"/>
      <c r="AR233" s="536"/>
      <c r="AS233" s="536"/>
      <c r="AT233" s="536"/>
      <c r="AU233" s="536"/>
      <c r="AV233" s="536"/>
      <c r="AW233" s="536"/>
      <c r="AX233" s="536"/>
      <c r="AY233" s="536"/>
      <c r="AZ233" s="536"/>
      <c r="BA233" s="536"/>
      <c r="BB233" s="536"/>
      <c r="BC233" s="536"/>
      <c r="BD233" s="536"/>
      <c r="BE233" s="536"/>
      <c r="BF233" s="536"/>
      <c r="BG233" s="536"/>
      <c r="BH233" s="536"/>
      <c r="BI233" s="536"/>
      <c r="BJ233" s="536"/>
      <c r="BK233" s="536"/>
      <c r="BL233" s="536"/>
      <c r="BM233" s="536"/>
      <c r="BN233" s="536"/>
      <c r="BO233" s="536"/>
      <c r="BP233" s="536"/>
      <c r="BQ233" s="536"/>
      <c r="BR233" s="536"/>
      <c r="BS233" s="536"/>
      <c r="BT233" s="536"/>
      <c r="BU233" s="536"/>
      <c r="BV233" s="536"/>
      <c r="BW233" s="536"/>
      <c r="BX233" s="536"/>
      <c r="BY233" s="536"/>
      <c r="BZ233" s="536"/>
      <c r="CA233" s="536"/>
      <c r="CB233" s="536"/>
      <c r="CC233" s="536"/>
      <c r="CD233" s="536"/>
    </row>
    <row r="234" spans="1:82" x14ac:dyDescent="0.2">
      <c r="A234" s="536">
        <f t="shared" si="94"/>
        <v>4</v>
      </c>
      <c r="B234" s="536">
        <f t="shared" si="92"/>
        <v>2013</v>
      </c>
      <c r="C234" s="552">
        <f t="shared" si="91"/>
        <v>41621</v>
      </c>
      <c r="D234" s="631" t="str">
        <f t="shared" si="93"/>
        <v>4Q13</v>
      </c>
      <c r="E234" s="540">
        <v>27.569993</v>
      </c>
      <c r="F234" s="535"/>
      <c r="G234" s="536"/>
      <c r="H234" s="536"/>
      <c r="I234" s="536"/>
      <c r="J234" s="536"/>
      <c r="K234" s="536"/>
      <c r="L234" s="536"/>
      <c r="M234" s="536"/>
      <c r="N234" s="536"/>
      <c r="O234" s="536"/>
      <c r="P234" s="536"/>
      <c r="Q234" s="536"/>
      <c r="R234" s="536"/>
      <c r="S234" s="536"/>
      <c r="T234" s="536"/>
      <c r="U234" s="536"/>
      <c r="V234" s="536"/>
      <c r="W234" s="536"/>
      <c r="X234" s="536"/>
      <c r="Y234" s="536"/>
      <c r="Z234" s="536"/>
      <c r="AA234" s="536"/>
      <c r="AB234" s="536"/>
      <c r="AC234" s="536"/>
      <c r="AD234" s="536"/>
      <c r="AE234" s="536"/>
      <c r="AF234" s="536"/>
      <c r="AG234" s="536"/>
      <c r="AH234" s="536"/>
      <c r="AI234" s="536"/>
      <c r="AJ234" s="536"/>
      <c r="AK234" s="536"/>
      <c r="AL234" s="536"/>
      <c r="AM234" s="536"/>
      <c r="AN234" s="536"/>
      <c r="AO234" s="536"/>
      <c r="AP234" s="536"/>
      <c r="AQ234" s="536"/>
      <c r="AR234" s="536"/>
      <c r="AS234" s="536"/>
      <c r="AT234" s="536"/>
      <c r="AU234" s="536"/>
      <c r="AV234" s="536"/>
      <c r="AW234" s="536"/>
      <c r="AX234" s="536"/>
      <c r="AY234" s="536"/>
      <c r="AZ234" s="536"/>
      <c r="BA234" s="536"/>
      <c r="BB234" s="536"/>
      <c r="BC234" s="536"/>
      <c r="BD234" s="536"/>
      <c r="BE234" s="536"/>
      <c r="BF234" s="536"/>
      <c r="BG234" s="536"/>
      <c r="BH234" s="536"/>
      <c r="BI234" s="536"/>
      <c r="BJ234" s="536"/>
      <c r="BK234" s="536"/>
      <c r="BL234" s="536"/>
      <c r="BM234" s="536"/>
      <c r="BN234" s="536"/>
      <c r="BO234" s="536"/>
      <c r="BP234" s="536"/>
      <c r="BQ234" s="536"/>
      <c r="BR234" s="536"/>
      <c r="BS234" s="536"/>
      <c r="BT234" s="536"/>
      <c r="BU234" s="536"/>
      <c r="BV234" s="536"/>
      <c r="BW234" s="536"/>
      <c r="BX234" s="536"/>
      <c r="BY234" s="536"/>
      <c r="BZ234" s="536"/>
      <c r="CA234" s="536"/>
      <c r="CB234" s="536"/>
      <c r="CC234" s="536"/>
      <c r="CD234" s="536"/>
    </row>
    <row r="235" spans="1:82" x14ac:dyDescent="0.2">
      <c r="A235" s="536">
        <f t="shared" si="94"/>
        <v>4</v>
      </c>
      <c r="B235" s="536">
        <f t="shared" si="92"/>
        <v>2013</v>
      </c>
      <c r="C235" s="552">
        <f t="shared" si="91"/>
        <v>41628</v>
      </c>
      <c r="D235" s="631" t="str">
        <f t="shared" si="93"/>
        <v>4Q13</v>
      </c>
      <c r="E235" s="540">
        <v>28.079986999999999</v>
      </c>
      <c r="F235" s="535"/>
      <c r="G235" s="536"/>
      <c r="H235" s="536"/>
      <c r="I235" s="536"/>
      <c r="J235" s="536"/>
      <c r="K235" s="536"/>
      <c r="L235" s="536"/>
      <c r="M235" s="536"/>
      <c r="N235" s="536"/>
      <c r="O235" s="536"/>
      <c r="P235" s="536"/>
      <c r="Q235" s="536"/>
      <c r="R235" s="536"/>
      <c r="S235" s="536"/>
      <c r="T235" s="536"/>
      <c r="U235" s="536"/>
      <c r="V235" s="536"/>
      <c r="W235" s="536"/>
      <c r="X235" s="536"/>
      <c r="Y235" s="536"/>
      <c r="Z235" s="536"/>
      <c r="AA235" s="536"/>
      <c r="AB235" s="536"/>
      <c r="AC235" s="536"/>
      <c r="AD235" s="536"/>
      <c r="AE235" s="536"/>
      <c r="AF235" s="536"/>
      <c r="AG235" s="536"/>
      <c r="AH235" s="536"/>
      <c r="AI235" s="536"/>
      <c r="AJ235" s="536"/>
      <c r="AK235" s="536"/>
      <c r="AL235" s="536"/>
      <c r="AM235" s="536"/>
      <c r="AN235" s="536"/>
      <c r="AO235" s="536"/>
      <c r="AP235" s="536"/>
      <c r="AQ235" s="536"/>
      <c r="AR235" s="536"/>
      <c r="AS235" s="536"/>
      <c r="AT235" s="536"/>
      <c r="AU235" s="536"/>
      <c r="AV235" s="536"/>
      <c r="AW235" s="536"/>
      <c r="AX235" s="536"/>
      <c r="AY235" s="536"/>
      <c r="AZ235" s="536"/>
      <c r="BA235" s="536"/>
      <c r="BB235" s="536"/>
      <c r="BC235" s="536"/>
      <c r="BD235" s="536"/>
      <c r="BE235" s="536"/>
      <c r="BF235" s="536"/>
      <c r="BG235" s="536"/>
      <c r="BH235" s="536"/>
      <c r="BI235" s="536"/>
      <c r="BJ235" s="536"/>
      <c r="BK235" s="536"/>
      <c r="BL235" s="536"/>
      <c r="BM235" s="536"/>
      <c r="BN235" s="536"/>
      <c r="BO235" s="536"/>
      <c r="BP235" s="536"/>
      <c r="BQ235" s="536"/>
      <c r="BR235" s="536"/>
      <c r="BS235" s="536"/>
      <c r="BT235" s="536"/>
      <c r="BU235" s="536"/>
      <c r="BV235" s="536"/>
      <c r="BW235" s="536"/>
      <c r="BX235" s="536"/>
      <c r="BY235" s="536"/>
      <c r="BZ235" s="536"/>
      <c r="CA235" s="536"/>
      <c r="CB235" s="536"/>
      <c r="CC235" s="536"/>
      <c r="CD235" s="536"/>
    </row>
    <row r="236" spans="1:82" x14ac:dyDescent="0.2">
      <c r="A236" s="536">
        <f t="shared" si="94"/>
        <v>4</v>
      </c>
      <c r="B236" s="536">
        <f t="shared" si="92"/>
        <v>2013</v>
      </c>
      <c r="C236" s="552">
        <f t="shared" si="91"/>
        <v>41635</v>
      </c>
      <c r="D236" s="631" t="str">
        <f t="shared" si="93"/>
        <v>4Q13</v>
      </c>
      <c r="E236" s="540">
        <v>28.289994</v>
      </c>
      <c r="F236" s="535"/>
      <c r="G236" s="536"/>
      <c r="H236" s="536"/>
      <c r="I236" s="536"/>
      <c r="J236" s="536"/>
      <c r="K236" s="536"/>
      <c r="L236" s="536"/>
      <c r="M236" s="536"/>
      <c r="N236" s="536"/>
      <c r="O236" s="536"/>
      <c r="P236" s="536"/>
      <c r="Q236" s="536"/>
      <c r="R236" s="536"/>
      <c r="S236" s="536"/>
      <c r="T236" s="536"/>
      <c r="U236" s="536"/>
      <c r="V236" s="536"/>
      <c r="W236" s="536"/>
      <c r="X236" s="536"/>
      <c r="Y236" s="536"/>
      <c r="Z236" s="536"/>
      <c r="AA236" s="536"/>
      <c r="AB236" s="536"/>
      <c r="AC236" s="536"/>
      <c r="AD236" s="536"/>
      <c r="AE236" s="536"/>
      <c r="AF236" s="536"/>
      <c r="AG236" s="536"/>
      <c r="AH236" s="536"/>
      <c r="AI236" s="536"/>
      <c r="AJ236" s="536"/>
      <c r="AK236" s="536"/>
      <c r="AL236" s="536"/>
      <c r="AM236" s="536"/>
      <c r="AN236" s="536"/>
      <c r="AO236" s="536"/>
      <c r="AP236" s="536"/>
      <c r="AQ236" s="536"/>
      <c r="AR236" s="536"/>
      <c r="AS236" s="536"/>
      <c r="AT236" s="536"/>
      <c r="AU236" s="536"/>
      <c r="AV236" s="536"/>
      <c r="AW236" s="536"/>
      <c r="AX236" s="536"/>
      <c r="AY236" s="536"/>
      <c r="AZ236" s="536"/>
      <c r="BA236" s="536"/>
      <c r="BB236" s="536"/>
      <c r="BC236" s="536"/>
      <c r="BD236" s="536"/>
      <c r="BE236" s="536"/>
      <c r="BF236" s="536"/>
      <c r="BG236" s="536"/>
      <c r="BH236" s="536"/>
      <c r="BI236" s="536"/>
      <c r="BJ236" s="536"/>
      <c r="BK236" s="536"/>
      <c r="BL236" s="536"/>
      <c r="BM236" s="536"/>
      <c r="BN236" s="536"/>
      <c r="BO236" s="536"/>
      <c r="BP236" s="536"/>
      <c r="BQ236" s="536"/>
      <c r="BR236" s="536"/>
      <c r="BS236" s="536"/>
      <c r="BT236" s="536"/>
      <c r="BU236" s="536"/>
      <c r="BV236" s="536"/>
      <c r="BW236" s="536"/>
      <c r="BX236" s="536"/>
      <c r="BY236" s="536"/>
      <c r="BZ236" s="536"/>
      <c r="CA236" s="536"/>
      <c r="CB236" s="536"/>
      <c r="CC236" s="536"/>
      <c r="CD236" s="536"/>
    </row>
    <row r="237" spans="1:82" x14ac:dyDescent="0.2">
      <c r="A237" s="536">
        <f t="shared" si="94"/>
        <v>1</v>
      </c>
      <c r="B237" s="536">
        <f t="shared" si="92"/>
        <v>2014</v>
      </c>
      <c r="C237" s="552">
        <f t="shared" si="91"/>
        <v>41642</v>
      </c>
      <c r="D237" s="631" t="str">
        <f t="shared" si="93"/>
        <v>1Q14</v>
      </c>
      <c r="E237" s="540">
        <v>28.429993</v>
      </c>
      <c r="F237" s="535"/>
      <c r="G237" s="536"/>
      <c r="H237" s="536"/>
      <c r="I237" s="536"/>
      <c r="J237" s="536"/>
      <c r="K237" s="536"/>
      <c r="L237" s="536"/>
      <c r="M237" s="536"/>
      <c r="N237" s="536"/>
      <c r="O237" s="536"/>
      <c r="P237" s="536"/>
      <c r="Q237" s="536"/>
      <c r="R237" s="536"/>
      <c r="S237" s="536"/>
      <c r="T237" s="536"/>
      <c r="U237" s="536"/>
      <c r="V237" s="536"/>
      <c r="W237" s="536"/>
      <c r="X237" s="536"/>
      <c r="Y237" s="536"/>
      <c r="Z237" s="536"/>
      <c r="AA237" s="536"/>
      <c r="AB237" s="536"/>
      <c r="AC237" s="536"/>
      <c r="AD237" s="536"/>
      <c r="AE237" s="536"/>
      <c r="AF237" s="536"/>
      <c r="AG237" s="536"/>
      <c r="AH237" s="536"/>
      <c r="AI237" s="536"/>
      <c r="AJ237" s="536"/>
      <c r="AK237" s="536"/>
      <c r="AL237" s="536"/>
      <c r="AM237" s="536"/>
      <c r="AN237" s="536"/>
      <c r="AO237" s="536"/>
      <c r="AP237" s="536"/>
      <c r="AQ237" s="536"/>
      <c r="AR237" s="536"/>
      <c r="AS237" s="536"/>
      <c r="AT237" s="536"/>
      <c r="AU237" s="536"/>
      <c r="AV237" s="536"/>
      <c r="AW237" s="536"/>
      <c r="AX237" s="536"/>
      <c r="AY237" s="536"/>
      <c r="AZ237" s="536"/>
      <c r="BA237" s="536"/>
      <c r="BB237" s="536"/>
      <c r="BC237" s="536"/>
      <c r="BD237" s="536"/>
      <c r="BE237" s="536"/>
      <c r="BF237" s="536"/>
      <c r="BG237" s="536"/>
      <c r="BH237" s="536"/>
      <c r="BI237" s="536"/>
      <c r="BJ237" s="536"/>
      <c r="BK237" s="536"/>
      <c r="BL237" s="536"/>
      <c r="BM237" s="536"/>
      <c r="BN237" s="536"/>
      <c r="BO237" s="536"/>
      <c r="BP237" s="536"/>
      <c r="BQ237" s="536"/>
      <c r="BR237" s="536"/>
      <c r="BS237" s="536"/>
      <c r="BT237" s="536"/>
      <c r="BU237" s="536"/>
      <c r="BV237" s="536"/>
      <c r="BW237" s="536"/>
      <c r="BX237" s="536"/>
      <c r="BY237" s="536"/>
      <c r="BZ237" s="536"/>
      <c r="CA237" s="536"/>
      <c r="CB237" s="536"/>
      <c r="CC237" s="536"/>
      <c r="CD237" s="536"/>
    </row>
    <row r="238" spans="1:82" x14ac:dyDescent="0.2">
      <c r="A238" s="536">
        <f t="shared" si="94"/>
        <v>1</v>
      </c>
      <c r="B238" s="536">
        <f>YEAR(C238)</f>
        <v>2014</v>
      </c>
      <c r="C238" s="552">
        <f>C237+7</f>
        <v>41649</v>
      </c>
      <c r="D238" s="631" t="str">
        <f>A238&amp;"Q"&amp;RIGHT(B238,2)</f>
        <v>1Q14</v>
      </c>
      <c r="E238" s="540">
        <v>28.879989999999999</v>
      </c>
      <c r="F238" s="535"/>
      <c r="G238" s="536"/>
      <c r="H238" s="536"/>
      <c r="I238" s="536"/>
      <c r="J238" s="536"/>
      <c r="K238" s="536"/>
      <c r="L238" s="536"/>
      <c r="M238" s="536"/>
      <c r="N238" s="536"/>
      <c r="O238" s="536"/>
      <c r="P238" s="536"/>
      <c r="Q238" s="536"/>
      <c r="R238" s="536"/>
      <c r="S238" s="536"/>
      <c r="T238" s="536"/>
      <c r="U238" s="536"/>
      <c r="V238" s="536"/>
      <c r="W238" s="536"/>
      <c r="X238" s="536"/>
      <c r="Y238" s="536"/>
      <c r="Z238" s="536"/>
      <c r="AA238" s="536"/>
      <c r="AB238" s="536"/>
      <c r="AC238" s="536"/>
      <c r="AD238" s="536"/>
      <c r="AE238" s="536"/>
      <c r="AF238" s="536"/>
      <c r="AG238" s="536"/>
      <c r="AH238" s="536"/>
      <c r="AI238" s="536"/>
      <c r="AJ238" s="536"/>
      <c r="AK238" s="536"/>
      <c r="AL238" s="536"/>
      <c r="AM238" s="536"/>
      <c r="AN238" s="536"/>
      <c r="AO238" s="536"/>
      <c r="AP238" s="536"/>
      <c r="AQ238" s="536"/>
      <c r="AR238" s="536"/>
      <c r="AS238" s="536"/>
      <c r="AT238" s="536"/>
      <c r="AU238" s="536"/>
      <c r="AV238" s="536"/>
      <c r="AW238" s="536"/>
      <c r="AX238" s="536"/>
      <c r="AY238" s="536"/>
      <c r="AZ238" s="536"/>
      <c r="BA238" s="536"/>
      <c r="BB238" s="536"/>
      <c r="BC238" s="536"/>
      <c r="BD238" s="536"/>
      <c r="BE238" s="536"/>
      <c r="BF238" s="536"/>
      <c r="BG238" s="536"/>
      <c r="BH238" s="536"/>
      <c r="BI238" s="536"/>
      <c r="BJ238" s="536"/>
      <c r="BK238" s="536"/>
      <c r="BL238" s="536"/>
      <c r="BM238" s="536"/>
      <c r="BN238" s="536"/>
      <c r="BO238" s="536"/>
      <c r="BP238" s="536"/>
      <c r="BQ238" s="536"/>
      <c r="BR238" s="536"/>
      <c r="BS238" s="536"/>
      <c r="BT238" s="536"/>
      <c r="BU238" s="536"/>
      <c r="BV238" s="536"/>
      <c r="BW238" s="536"/>
      <c r="BX238" s="536"/>
      <c r="BY238" s="536"/>
      <c r="BZ238" s="536"/>
      <c r="CA238" s="536"/>
      <c r="CB238" s="536"/>
      <c r="CC238" s="536"/>
      <c r="CD238" s="536"/>
    </row>
    <row r="239" spans="1:82" x14ac:dyDescent="0.2">
      <c r="A239" s="536">
        <f t="shared" si="94"/>
        <v>1</v>
      </c>
      <c r="B239" s="536">
        <f>YEAR(C239)</f>
        <v>2014</v>
      </c>
      <c r="C239" s="552">
        <f>C238+7</f>
        <v>41656</v>
      </c>
      <c r="D239" s="631" t="str">
        <f>A239&amp;"Q"&amp;RIGHT(B239,2)</f>
        <v>1Q14</v>
      </c>
      <c r="E239" s="540">
        <v>27.229996</v>
      </c>
      <c r="F239" s="535"/>
      <c r="G239" s="536"/>
      <c r="H239" s="536"/>
      <c r="I239" s="536"/>
      <c r="J239" s="536"/>
      <c r="K239" s="536"/>
      <c r="L239" s="536"/>
      <c r="M239" s="536"/>
      <c r="N239" s="536"/>
      <c r="O239" s="536"/>
      <c r="P239" s="536"/>
      <c r="Q239" s="536"/>
      <c r="R239" s="536"/>
      <c r="S239" s="536"/>
      <c r="T239" s="536"/>
      <c r="U239" s="536"/>
      <c r="V239" s="536"/>
      <c r="W239" s="536"/>
      <c r="X239" s="536"/>
      <c r="Y239" s="536"/>
      <c r="Z239" s="536"/>
      <c r="AA239" s="536"/>
      <c r="AB239" s="536"/>
      <c r="AC239" s="536"/>
      <c r="AD239" s="536"/>
      <c r="AE239" s="536"/>
      <c r="AF239" s="536"/>
      <c r="AG239" s="536"/>
      <c r="AH239" s="536"/>
      <c r="AI239" s="536"/>
      <c r="AJ239" s="536"/>
      <c r="AK239" s="536"/>
      <c r="AL239" s="536"/>
      <c r="AM239" s="536"/>
      <c r="AN239" s="536"/>
      <c r="AO239" s="536"/>
      <c r="AP239" s="536"/>
      <c r="AQ239" s="536"/>
      <c r="AR239" s="536"/>
      <c r="AS239" s="536"/>
      <c r="AT239" s="536"/>
      <c r="AU239" s="536"/>
      <c r="AV239" s="536"/>
      <c r="AW239" s="536"/>
      <c r="AX239" s="536"/>
      <c r="AY239" s="536"/>
      <c r="AZ239" s="536"/>
      <c r="BA239" s="536"/>
      <c r="BB239" s="536"/>
      <c r="BC239" s="536"/>
      <c r="BD239" s="536"/>
      <c r="BE239" s="536"/>
      <c r="BF239" s="536"/>
      <c r="BG239" s="536"/>
      <c r="BH239" s="536"/>
      <c r="BI239" s="536"/>
      <c r="BJ239" s="536"/>
      <c r="BK239" s="536"/>
      <c r="BL239" s="536"/>
      <c r="BM239" s="536"/>
      <c r="BN239" s="536"/>
      <c r="BO239" s="536"/>
      <c r="BP239" s="536"/>
      <c r="BQ239" s="536"/>
      <c r="BR239" s="536"/>
      <c r="BS239" s="536"/>
      <c r="BT239" s="536"/>
      <c r="BU239" s="536"/>
      <c r="BV239" s="536"/>
      <c r="BW239" s="536"/>
      <c r="BX239" s="536"/>
      <c r="BY239" s="536"/>
      <c r="BZ239" s="536"/>
      <c r="CA239" s="536"/>
      <c r="CB239" s="536"/>
      <c r="CC239" s="536"/>
      <c r="CD239" s="536"/>
    </row>
    <row r="240" spans="1:82" x14ac:dyDescent="0.2">
      <c r="A240" s="536">
        <f t="shared" si="94"/>
        <v>1</v>
      </c>
      <c r="B240" s="536">
        <f t="shared" si="92"/>
        <v>2014</v>
      </c>
      <c r="C240" s="552">
        <f t="shared" si="91"/>
        <v>41663</v>
      </c>
      <c r="D240" s="631" t="str">
        <f t="shared" si="93"/>
        <v>1Q14</v>
      </c>
      <c r="E240" s="540">
        <v>26.199997</v>
      </c>
      <c r="F240" s="535"/>
      <c r="G240" s="536"/>
      <c r="H240" s="536"/>
      <c r="I240" s="536"/>
      <c r="J240" s="536"/>
      <c r="K240" s="536"/>
      <c r="L240" s="536"/>
      <c r="M240" s="536"/>
      <c r="N240" s="536"/>
      <c r="O240" s="536"/>
      <c r="P240" s="536"/>
      <c r="Q240" s="536"/>
      <c r="R240" s="536"/>
      <c r="S240" s="536"/>
      <c r="T240" s="536"/>
      <c r="U240" s="536"/>
      <c r="V240" s="536"/>
      <c r="W240" s="536"/>
      <c r="X240" s="536"/>
      <c r="Y240" s="536"/>
      <c r="Z240" s="536"/>
      <c r="AA240" s="536"/>
      <c r="AB240" s="536"/>
      <c r="AC240" s="536"/>
      <c r="AD240" s="536"/>
      <c r="AE240" s="536"/>
      <c r="AF240" s="536"/>
      <c r="AG240" s="536"/>
      <c r="AH240" s="536"/>
      <c r="AI240" s="536"/>
      <c r="AJ240" s="536"/>
      <c r="AK240" s="536"/>
      <c r="AL240" s="536"/>
      <c r="AM240" s="536"/>
      <c r="AN240" s="536"/>
      <c r="AO240" s="536"/>
      <c r="AP240" s="536"/>
      <c r="AQ240" s="536"/>
      <c r="AR240" s="536"/>
      <c r="AS240" s="536"/>
      <c r="AT240" s="536"/>
      <c r="AU240" s="536"/>
      <c r="AV240" s="536"/>
      <c r="AW240" s="536"/>
      <c r="AX240" s="536"/>
      <c r="AY240" s="536"/>
      <c r="AZ240" s="536"/>
      <c r="BA240" s="536"/>
      <c r="BB240" s="536"/>
      <c r="BC240" s="536"/>
      <c r="BD240" s="536"/>
      <c r="BE240" s="536"/>
      <c r="BF240" s="536"/>
      <c r="BG240" s="536"/>
      <c r="BH240" s="536"/>
      <c r="BI240" s="536"/>
      <c r="BJ240" s="536"/>
      <c r="BK240" s="536"/>
      <c r="BL240" s="536"/>
      <c r="BM240" s="536"/>
      <c r="BN240" s="536"/>
      <c r="BO240" s="536"/>
      <c r="BP240" s="536"/>
      <c r="BQ240" s="536"/>
      <c r="BR240" s="536"/>
      <c r="BS240" s="536"/>
      <c r="BT240" s="536"/>
      <c r="BU240" s="536"/>
      <c r="BV240" s="536"/>
      <c r="BW240" s="536"/>
      <c r="BX240" s="536"/>
      <c r="BY240" s="536"/>
      <c r="BZ240" s="536"/>
      <c r="CA240" s="536"/>
      <c r="CB240" s="536"/>
      <c r="CC240" s="536"/>
      <c r="CD240" s="536"/>
    </row>
    <row r="241" spans="1:82" x14ac:dyDescent="0.2">
      <c r="A241" s="536">
        <f t="shared" si="94"/>
        <v>1</v>
      </c>
      <c r="B241" s="536">
        <f t="shared" si="92"/>
        <v>2014</v>
      </c>
      <c r="C241" s="552">
        <f t="shared" si="91"/>
        <v>41670</v>
      </c>
      <c r="D241" s="631" t="str">
        <f t="shared" si="93"/>
        <v>1Q14</v>
      </c>
      <c r="E241" s="540">
        <v>26.909988999999999</v>
      </c>
      <c r="F241" s="535"/>
      <c r="G241" s="536"/>
      <c r="H241" s="536"/>
      <c r="I241" s="536"/>
      <c r="J241" s="536"/>
      <c r="K241" s="536"/>
      <c r="L241" s="536"/>
      <c r="M241" s="536"/>
      <c r="N241" s="536"/>
      <c r="O241" s="536"/>
      <c r="P241" s="536"/>
      <c r="Q241" s="536"/>
      <c r="R241" s="536"/>
      <c r="S241" s="536"/>
      <c r="T241" s="536"/>
      <c r="U241" s="536"/>
      <c r="V241" s="536"/>
      <c r="W241" s="536"/>
      <c r="X241" s="536"/>
      <c r="Y241" s="536"/>
      <c r="Z241" s="536"/>
      <c r="AA241" s="536"/>
      <c r="AB241" s="536"/>
      <c r="AC241" s="536"/>
      <c r="AD241" s="536"/>
      <c r="AE241" s="536"/>
      <c r="AF241" s="536"/>
      <c r="AG241" s="536"/>
      <c r="AH241" s="536"/>
      <c r="AI241" s="536"/>
      <c r="AJ241" s="536"/>
      <c r="AK241" s="536"/>
      <c r="AL241" s="536"/>
      <c r="AM241" s="536"/>
      <c r="AN241" s="536"/>
      <c r="AO241" s="536"/>
      <c r="AP241" s="536"/>
      <c r="AQ241" s="536"/>
      <c r="AR241" s="536"/>
      <c r="AS241" s="536"/>
      <c r="AT241" s="536"/>
      <c r="AU241" s="536"/>
      <c r="AV241" s="536"/>
      <c r="AW241" s="536"/>
      <c r="AX241" s="536"/>
      <c r="AY241" s="536"/>
      <c r="AZ241" s="536"/>
      <c r="BA241" s="536"/>
      <c r="BB241" s="536"/>
      <c r="BC241" s="536"/>
      <c r="BD241" s="536"/>
      <c r="BE241" s="536"/>
      <c r="BF241" s="536"/>
      <c r="BG241" s="536"/>
      <c r="BH241" s="536"/>
      <c r="BI241" s="536"/>
      <c r="BJ241" s="536"/>
      <c r="BK241" s="536"/>
      <c r="BL241" s="536"/>
      <c r="BM241" s="536"/>
      <c r="BN241" s="536"/>
      <c r="BO241" s="536"/>
      <c r="BP241" s="536"/>
      <c r="BQ241" s="536"/>
      <c r="BR241" s="536"/>
      <c r="BS241" s="536"/>
      <c r="BT241" s="536"/>
      <c r="BU241" s="536"/>
      <c r="BV241" s="536"/>
      <c r="BW241" s="536"/>
      <c r="BX241" s="536"/>
      <c r="BY241" s="536"/>
      <c r="BZ241" s="536"/>
      <c r="CA241" s="536"/>
      <c r="CB241" s="536"/>
      <c r="CC241" s="536"/>
      <c r="CD241" s="536"/>
    </row>
    <row r="242" spans="1:82" x14ac:dyDescent="0.2">
      <c r="A242" s="536">
        <f t="shared" si="94"/>
        <v>1</v>
      </c>
      <c r="B242" s="536">
        <f t="shared" si="92"/>
        <v>2014</v>
      </c>
      <c r="C242" s="552">
        <f t="shared" si="91"/>
        <v>41677</v>
      </c>
      <c r="D242" s="631" t="str">
        <f t="shared" si="93"/>
        <v>1Q14</v>
      </c>
      <c r="E242" s="540">
        <v>27.25</v>
      </c>
      <c r="F242" s="535"/>
      <c r="G242" s="536"/>
      <c r="H242" s="536"/>
      <c r="I242" s="536"/>
      <c r="J242" s="536"/>
      <c r="K242" s="536"/>
      <c r="L242" s="536"/>
      <c r="M242" s="536"/>
      <c r="N242" s="536"/>
      <c r="O242" s="536"/>
      <c r="P242" s="536"/>
      <c r="Q242" s="536"/>
      <c r="R242" s="536"/>
      <c r="S242" s="536"/>
      <c r="T242" s="536"/>
      <c r="U242" s="536"/>
      <c r="V242" s="536"/>
      <c r="W242" s="536"/>
      <c r="X242" s="536"/>
      <c r="Y242" s="536"/>
      <c r="Z242" s="536"/>
      <c r="AA242" s="536"/>
      <c r="AB242" s="536"/>
      <c r="AC242" s="536"/>
      <c r="AD242" s="536"/>
      <c r="AE242" s="536"/>
      <c r="AF242" s="536"/>
      <c r="AG242" s="536"/>
      <c r="AH242" s="536"/>
      <c r="AI242" s="536"/>
      <c r="AJ242" s="536"/>
      <c r="AK242" s="536"/>
      <c r="AL242" s="536"/>
      <c r="AM242" s="536"/>
      <c r="AN242" s="536"/>
      <c r="AO242" s="536"/>
      <c r="AP242" s="536"/>
      <c r="AQ242" s="536"/>
      <c r="AR242" s="536"/>
      <c r="AS242" s="536"/>
      <c r="AT242" s="536"/>
      <c r="AU242" s="536"/>
      <c r="AV242" s="536"/>
      <c r="AW242" s="536"/>
      <c r="AX242" s="536"/>
      <c r="AY242" s="536"/>
      <c r="AZ242" s="536"/>
      <c r="BA242" s="536"/>
      <c r="BB242" s="536"/>
      <c r="BC242" s="536"/>
      <c r="BD242" s="536"/>
      <c r="BE242" s="536"/>
      <c r="BF242" s="536"/>
      <c r="BG242" s="536"/>
      <c r="BH242" s="536"/>
      <c r="BI242" s="536"/>
      <c r="BJ242" s="536"/>
      <c r="BK242" s="536"/>
      <c r="BL242" s="536"/>
      <c r="BM242" s="536"/>
      <c r="BN242" s="536"/>
      <c r="BO242" s="536"/>
      <c r="BP242" s="536"/>
      <c r="BQ242" s="536"/>
      <c r="BR242" s="536"/>
      <c r="BS242" s="536"/>
      <c r="BT242" s="536"/>
      <c r="BU242" s="536"/>
      <c r="BV242" s="536"/>
      <c r="BW242" s="536"/>
      <c r="BX242" s="536"/>
      <c r="BY242" s="536"/>
      <c r="BZ242" s="536"/>
      <c r="CA242" s="536"/>
      <c r="CB242" s="536"/>
      <c r="CC242" s="536"/>
      <c r="CD242" s="536"/>
    </row>
    <row r="243" spans="1:82" x14ac:dyDescent="0.2">
      <c r="A243" s="536">
        <f t="shared" si="94"/>
        <v>1</v>
      </c>
      <c r="B243" s="536">
        <f t="shared" si="92"/>
        <v>2014</v>
      </c>
      <c r="C243" s="552">
        <f t="shared" si="91"/>
        <v>41684</v>
      </c>
      <c r="D243" s="631" t="str">
        <f t="shared" si="93"/>
        <v>1Q14</v>
      </c>
      <c r="E243" s="540">
        <v>27.529999</v>
      </c>
      <c r="F243" s="535"/>
      <c r="G243" s="536"/>
      <c r="H243" s="536"/>
      <c r="I243" s="536"/>
      <c r="J243" s="536"/>
      <c r="K243" s="536"/>
      <c r="L243" s="536"/>
      <c r="M243" s="536"/>
      <c r="N243" s="536"/>
      <c r="O243" s="536"/>
      <c r="P243" s="536"/>
      <c r="Q243" s="536"/>
      <c r="R243" s="536"/>
      <c r="S243" s="536"/>
      <c r="T243" s="536"/>
      <c r="U243" s="536"/>
      <c r="V243" s="536"/>
      <c r="W243" s="536"/>
      <c r="X243" s="536"/>
      <c r="Y243" s="536"/>
      <c r="Z243" s="536"/>
      <c r="AA243" s="536"/>
      <c r="AB243" s="536"/>
      <c r="AC243" s="536"/>
      <c r="AD243" s="536"/>
      <c r="AE243" s="536"/>
      <c r="AF243" s="536"/>
      <c r="AG243" s="536"/>
      <c r="AH243" s="536"/>
      <c r="AI243" s="536"/>
      <c r="AJ243" s="536"/>
      <c r="AK243" s="536"/>
      <c r="AL243" s="536"/>
      <c r="AM243" s="536"/>
      <c r="AN243" s="536"/>
      <c r="AO243" s="536"/>
      <c r="AP243" s="536"/>
      <c r="AQ243" s="536"/>
      <c r="AR243" s="536"/>
      <c r="AS243" s="536"/>
      <c r="AT243" s="536"/>
      <c r="AU243" s="536"/>
      <c r="AV243" s="536"/>
      <c r="AW243" s="536"/>
      <c r="AX243" s="536"/>
      <c r="AY243" s="536"/>
      <c r="AZ243" s="536"/>
      <c r="BA243" s="536"/>
      <c r="BB243" s="536"/>
      <c r="BC243" s="536"/>
      <c r="BD243" s="536"/>
      <c r="BE243" s="536"/>
      <c r="BF243" s="536"/>
      <c r="BG243" s="536"/>
      <c r="BH243" s="536"/>
      <c r="BI243" s="536"/>
      <c r="BJ243" s="536"/>
      <c r="BK243" s="536"/>
      <c r="BL243" s="536"/>
      <c r="BM243" s="536"/>
      <c r="BN243" s="536"/>
      <c r="BO243" s="536"/>
      <c r="BP243" s="536"/>
      <c r="BQ243" s="536"/>
      <c r="BR243" s="536"/>
      <c r="BS243" s="536"/>
      <c r="BT243" s="536"/>
      <c r="BU243" s="536"/>
      <c r="BV243" s="536"/>
      <c r="BW243" s="536"/>
      <c r="BX243" s="536"/>
      <c r="BY243" s="536"/>
      <c r="BZ243" s="536"/>
      <c r="CA243" s="536"/>
      <c r="CB243" s="536"/>
      <c r="CC243" s="536"/>
      <c r="CD243" s="536"/>
    </row>
    <row r="244" spans="1:82" x14ac:dyDescent="0.2">
      <c r="A244" s="536">
        <f t="shared" si="94"/>
        <v>1</v>
      </c>
      <c r="B244" s="536">
        <f t="shared" si="92"/>
        <v>2014</v>
      </c>
      <c r="C244" s="552">
        <f t="shared" si="91"/>
        <v>41691</v>
      </c>
      <c r="D244" s="631" t="str">
        <f t="shared" si="93"/>
        <v>1Q14</v>
      </c>
      <c r="E244" s="540">
        <v>27.319993</v>
      </c>
      <c r="F244" s="535"/>
      <c r="G244" s="536"/>
      <c r="H244" s="536"/>
      <c r="I244" s="536"/>
      <c r="J244" s="536"/>
      <c r="K244" s="536"/>
      <c r="L244" s="536"/>
      <c r="M244" s="536"/>
      <c r="N244" s="536"/>
      <c r="O244" s="536"/>
      <c r="P244" s="536"/>
      <c r="Q244" s="536"/>
      <c r="R244" s="536"/>
      <c r="S244" s="536"/>
      <c r="T244" s="536"/>
      <c r="U244" s="536"/>
      <c r="V244" s="536"/>
      <c r="W244" s="536"/>
      <c r="X244" s="536"/>
      <c r="Y244" s="536"/>
      <c r="Z244" s="536"/>
      <c r="AA244" s="536"/>
      <c r="AB244" s="536"/>
      <c r="AC244" s="536"/>
      <c r="AD244" s="536"/>
      <c r="AE244" s="536"/>
      <c r="AF244" s="536"/>
      <c r="AG244" s="536"/>
      <c r="AH244" s="536"/>
      <c r="AI244" s="536"/>
      <c r="AJ244" s="536"/>
      <c r="AK244" s="536"/>
      <c r="AL244" s="536"/>
      <c r="AM244" s="536"/>
      <c r="AN244" s="536"/>
      <c r="AO244" s="536"/>
      <c r="AP244" s="536"/>
      <c r="AQ244" s="536"/>
      <c r="AR244" s="536"/>
      <c r="AS244" s="536"/>
      <c r="AT244" s="536"/>
      <c r="AU244" s="536"/>
      <c r="AV244" s="536"/>
      <c r="AW244" s="536"/>
      <c r="AX244" s="536"/>
      <c r="AY244" s="536"/>
      <c r="AZ244" s="536"/>
      <c r="BA244" s="536"/>
      <c r="BB244" s="536"/>
      <c r="BC244" s="536"/>
      <c r="BD244" s="536"/>
      <c r="BE244" s="536"/>
      <c r="BF244" s="536"/>
      <c r="BG244" s="536"/>
      <c r="BH244" s="536"/>
      <c r="BI244" s="536"/>
      <c r="BJ244" s="536"/>
      <c r="BK244" s="536"/>
      <c r="BL244" s="536"/>
      <c r="BM244" s="536"/>
      <c r="BN244" s="536"/>
      <c r="BO244" s="536"/>
      <c r="BP244" s="536"/>
      <c r="BQ244" s="536"/>
      <c r="BR244" s="536"/>
      <c r="BS244" s="536"/>
      <c r="BT244" s="536"/>
      <c r="BU244" s="536"/>
      <c r="BV244" s="536"/>
      <c r="BW244" s="536"/>
      <c r="BX244" s="536"/>
      <c r="BY244" s="536"/>
      <c r="BZ244" s="536"/>
      <c r="CA244" s="536"/>
      <c r="CB244" s="536"/>
      <c r="CC244" s="536"/>
      <c r="CD244" s="536"/>
    </row>
    <row r="245" spans="1:82" x14ac:dyDescent="0.2">
      <c r="A245" s="536">
        <f t="shared" si="94"/>
        <v>1</v>
      </c>
      <c r="B245" s="536">
        <f t="shared" ref="B245:B308" si="95">YEAR(C245)</f>
        <v>2014</v>
      </c>
      <c r="C245" s="552">
        <f t="shared" ref="C245:C308" si="96">C244+7</f>
        <v>41698</v>
      </c>
      <c r="D245" s="631" t="str">
        <f t="shared" ref="D245:D308" si="97">A245&amp;"Q"&amp;RIGHT(B245,2)</f>
        <v>1Q14</v>
      </c>
      <c r="E245" s="540">
        <v>27.709992</v>
      </c>
      <c r="F245" s="535"/>
      <c r="G245" s="536"/>
      <c r="H245" s="536"/>
      <c r="I245" s="536"/>
      <c r="J245" s="536"/>
      <c r="K245" s="536"/>
      <c r="L245" s="536"/>
      <c r="M245" s="536"/>
      <c r="N245" s="536"/>
      <c r="O245" s="536"/>
      <c r="P245" s="536"/>
      <c r="Q245" s="536"/>
      <c r="R245" s="536"/>
      <c r="S245" s="536"/>
      <c r="T245" s="536"/>
      <c r="U245" s="536"/>
      <c r="V245" s="536"/>
      <c r="W245" s="536"/>
      <c r="X245" s="536"/>
      <c r="Y245" s="536"/>
      <c r="Z245" s="536"/>
      <c r="AA245" s="536"/>
      <c r="AB245" s="536"/>
      <c r="AC245" s="536"/>
      <c r="AD245" s="536"/>
      <c r="AE245" s="536"/>
      <c r="AF245" s="536"/>
      <c r="AG245" s="536"/>
      <c r="AH245" s="536"/>
      <c r="AI245" s="536"/>
      <c r="AJ245" s="536"/>
      <c r="AK245" s="536"/>
      <c r="AL245" s="536"/>
      <c r="AM245" s="536"/>
      <c r="AN245" s="536"/>
      <c r="AO245" s="536"/>
      <c r="AP245" s="536"/>
      <c r="AQ245" s="536"/>
      <c r="AR245" s="536"/>
      <c r="AS245" s="536"/>
      <c r="AT245" s="536"/>
      <c r="AU245" s="536"/>
      <c r="AV245" s="536"/>
      <c r="AW245" s="536"/>
      <c r="AX245" s="536"/>
      <c r="AY245" s="536"/>
      <c r="AZ245" s="536"/>
      <c r="BA245" s="536"/>
      <c r="BB245" s="536"/>
      <c r="BC245" s="536"/>
      <c r="BD245" s="536"/>
      <c r="BE245" s="536"/>
      <c r="BF245" s="536"/>
      <c r="BG245" s="536"/>
      <c r="BH245" s="536"/>
      <c r="BI245" s="536"/>
      <c r="BJ245" s="536"/>
      <c r="BK245" s="536"/>
      <c r="BL245" s="536"/>
      <c r="BM245" s="536"/>
      <c r="BN245" s="536"/>
      <c r="BO245" s="536"/>
      <c r="BP245" s="536"/>
      <c r="BQ245" s="536"/>
      <c r="BR245" s="536"/>
      <c r="BS245" s="536"/>
      <c r="BT245" s="536"/>
      <c r="BU245" s="536"/>
      <c r="BV245" s="536"/>
      <c r="BW245" s="536"/>
      <c r="BX245" s="536"/>
      <c r="BY245" s="536"/>
      <c r="BZ245" s="536"/>
      <c r="CA245" s="536"/>
      <c r="CB245" s="536"/>
      <c r="CC245" s="536"/>
      <c r="CD245" s="536"/>
    </row>
    <row r="246" spans="1:82" x14ac:dyDescent="0.2">
      <c r="A246" s="536">
        <f t="shared" si="94"/>
        <v>1</v>
      </c>
      <c r="B246" s="536">
        <f t="shared" si="95"/>
        <v>2014</v>
      </c>
      <c r="C246" s="552">
        <f t="shared" si="96"/>
        <v>41705</v>
      </c>
      <c r="D246" s="631" t="str">
        <f t="shared" si="97"/>
        <v>1Q14</v>
      </c>
      <c r="E246" s="540">
        <v>28.869996</v>
      </c>
      <c r="F246" s="535"/>
      <c r="G246" s="536"/>
      <c r="H246" s="536"/>
      <c r="I246" s="536"/>
      <c r="J246" s="536"/>
      <c r="K246" s="536"/>
      <c r="L246" s="536"/>
      <c r="M246" s="536"/>
      <c r="N246" s="536"/>
      <c r="O246" s="536"/>
      <c r="P246" s="536"/>
      <c r="Q246" s="536"/>
      <c r="R246" s="536"/>
      <c r="S246" s="536"/>
      <c r="T246" s="536"/>
      <c r="U246" s="536"/>
      <c r="V246" s="536"/>
      <c r="W246" s="536"/>
      <c r="X246" s="536"/>
      <c r="Y246" s="536"/>
      <c r="Z246" s="536"/>
      <c r="AA246" s="536"/>
      <c r="AB246" s="536"/>
      <c r="AC246" s="536"/>
      <c r="AD246" s="536"/>
      <c r="AE246" s="536"/>
      <c r="AF246" s="536"/>
      <c r="AG246" s="536"/>
      <c r="AH246" s="536"/>
      <c r="AI246" s="536"/>
      <c r="AJ246" s="536"/>
      <c r="AK246" s="536"/>
      <c r="AL246" s="536"/>
      <c r="AM246" s="536"/>
      <c r="AN246" s="536"/>
      <c r="AO246" s="536"/>
      <c r="AP246" s="536"/>
      <c r="AQ246" s="536"/>
      <c r="AR246" s="536"/>
      <c r="AS246" s="536"/>
      <c r="AT246" s="536"/>
      <c r="AU246" s="536"/>
      <c r="AV246" s="536"/>
      <c r="AW246" s="536"/>
      <c r="AX246" s="536"/>
      <c r="AY246" s="536"/>
      <c r="AZ246" s="536"/>
      <c r="BA246" s="536"/>
      <c r="BB246" s="536"/>
      <c r="BC246" s="536"/>
      <c r="BD246" s="536"/>
      <c r="BE246" s="536"/>
      <c r="BF246" s="536"/>
      <c r="BG246" s="536"/>
      <c r="BH246" s="536"/>
      <c r="BI246" s="536"/>
      <c r="BJ246" s="536"/>
      <c r="BK246" s="536"/>
      <c r="BL246" s="536"/>
      <c r="BM246" s="536"/>
      <c r="BN246" s="536"/>
      <c r="BO246" s="536"/>
      <c r="BP246" s="536"/>
      <c r="BQ246" s="536"/>
      <c r="BR246" s="536"/>
      <c r="BS246" s="536"/>
      <c r="BT246" s="536"/>
      <c r="BU246" s="536"/>
      <c r="BV246" s="536"/>
      <c r="BW246" s="536"/>
      <c r="BX246" s="536"/>
      <c r="BY246" s="536"/>
      <c r="BZ246" s="536"/>
      <c r="CA246" s="536"/>
      <c r="CB246" s="536"/>
      <c r="CC246" s="536"/>
      <c r="CD246" s="536"/>
    </row>
    <row r="247" spans="1:82" x14ac:dyDescent="0.2">
      <c r="A247" s="536">
        <f t="shared" si="94"/>
        <v>1</v>
      </c>
      <c r="B247" s="536">
        <f t="shared" si="95"/>
        <v>2014</v>
      </c>
      <c r="C247" s="552">
        <f t="shared" si="96"/>
        <v>41712</v>
      </c>
      <c r="D247" s="631" t="str">
        <f t="shared" si="97"/>
        <v>1Q14</v>
      </c>
      <c r="E247" s="540">
        <v>28.379989999999999</v>
      </c>
      <c r="F247" s="535"/>
      <c r="G247" s="536"/>
      <c r="H247" s="536"/>
      <c r="I247" s="536"/>
      <c r="J247" s="536"/>
      <c r="K247" s="536"/>
      <c r="L247" s="536"/>
      <c r="M247" s="536"/>
      <c r="N247" s="536"/>
      <c r="O247" s="536"/>
      <c r="P247" s="536"/>
      <c r="Q247" s="536"/>
      <c r="R247" s="536"/>
      <c r="S247" s="536"/>
      <c r="T247" s="536"/>
      <c r="U247" s="536"/>
      <c r="V247" s="536"/>
      <c r="W247" s="536"/>
      <c r="X247" s="536"/>
      <c r="Y247" s="536"/>
      <c r="Z247" s="536"/>
      <c r="AA247" s="536"/>
      <c r="AB247" s="536"/>
      <c r="AC247" s="536"/>
      <c r="AD247" s="536"/>
      <c r="AE247" s="536"/>
      <c r="AF247" s="536"/>
      <c r="AG247" s="536"/>
      <c r="AH247" s="536"/>
      <c r="AI247" s="536"/>
      <c r="AJ247" s="536"/>
      <c r="AK247" s="536"/>
      <c r="AL247" s="536"/>
      <c r="AM247" s="536"/>
      <c r="AN247" s="536"/>
      <c r="AO247" s="536"/>
      <c r="AP247" s="536"/>
      <c r="AQ247" s="536"/>
      <c r="AR247" s="536"/>
      <c r="AS247" s="536"/>
      <c r="AT247" s="536"/>
      <c r="AU247" s="536"/>
      <c r="AV247" s="536"/>
      <c r="AW247" s="536"/>
      <c r="AX247" s="536"/>
      <c r="AY247" s="536"/>
      <c r="AZ247" s="536"/>
      <c r="BA247" s="536"/>
      <c r="BB247" s="536"/>
      <c r="BC247" s="536"/>
      <c r="BD247" s="536"/>
      <c r="BE247" s="536"/>
      <c r="BF247" s="536"/>
      <c r="BG247" s="536"/>
      <c r="BH247" s="536"/>
      <c r="BI247" s="536"/>
      <c r="BJ247" s="536"/>
      <c r="BK247" s="536"/>
      <c r="BL247" s="536"/>
      <c r="BM247" s="536"/>
      <c r="BN247" s="536"/>
      <c r="BO247" s="536"/>
      <c r="BP247" s="536"/>
      <c r="BQ247" s="536"/>
      <c r="BR247" s="536"/>
      <c r="BS247" s="536"/>
      <c r="BT247" s="536"/>
      <c r="BU247" s="536"/>
      <c r="BV247" s="536"/>
      <c r="BW247" s="536"/>
      <c r="BX247" s="536"/>
      <c r="BY247" s="536"/>
      <c r="BZ247" s="536"/>
      <c r="CA247" s="536"/>
      <c r="CB247" s="536"/>
      <c r="CC247" s="536"/>
      <c r="CD247" s="536"/>
    </row>
    <row r="248" spans="1:82" x14ac:dyDescent="0.2">
      <c r="A248" s="536">
        <f t="shared" si="94"/>
        <v>1</v>
      </c>
      <c r="B248" s="536">
        <f t="shared" si="95"/>
        <v>2014</v>
      </c>
      <c r="C248" s="552">
        <f t="shared" si="96"/>
        <v>41719</v>
      </c>
      <c r="D248" s="631" t="str">
        <f t="shared" si="97"/>
        <v>1Q14</v>
      </c>
      <c r="E248" s="540">
        <v>28.759995</v>
      </c>
      <c r="F248" s="535"/>
      <c r="G248" s="536"/>
      <c r="H248" s="536"/>
      <c r="I248" s="536"/>
      <c r="J248" s="536"/>
      <c r="K248" s="536"/>
      <c r="L248" s="536"/>
      <c r="M248" s="536"/>
      <c r="N248" s="536"/>
      <c r="O248" s="536"/>
      <c r="P248" s="536"/>
      <c r="Q248" s="536"/>
      <c r="R248" s="536"/>
      <c r="S248" s="536"/>
      <c r="T248" s="536"/>
      <c r="U248" s="536"/>
      <c r="V248" s="536"/>
      <c r="W248" s="536"/>
      <c r="X248" s="536"/>
      <c r="Y248" s="536"/>
      <c r="Z248" s="536"/>
      <c r="AA248" s="536"/>
      <c r="AB248" s="536"/>
      <c r="AC248" s="536"/>
      <c r="AD248" s="536"/>
      <c r="AE248" s="536"/>
      <c r="AF248" s="536"/>
      <c r="AG248" s="536"/>
      <c r="AH248" s="536"/>
      <c r="AI248" s="536"/>
      <c r="AJ248" s="536"/>
      <c r="AK248" s="536"/>
      <c r="AL248" s="536"/>
      <c r="AM248" s="536"/>
      <c r="AN248" s="536"/>
      <c r="AO248" s="536"/>
      <c r="AP248" s="536"/>
      <c r="AQ248" s="536"/>
      <c r="AR248" s="536"/>
      <c r="AS248" s="536"/>
      <c r="AT248" s="536"/>
      <c r="AU248" s="536"/>
      <c r="AV248" s="536"/>
      <c r="AW248" s="536"/>
      <c r="AX248" s="536"/>
      <c r="AY248" s="536"/>
      <c r="AZ248" s="536"/>
      <c r="BA248" s="536"/>
      <c r="BB248" s="536"/>
      <c r="BC248" s="536"/>
      <c r="BD248" s="536"/>
      <c r="BE248" s="536"/>
      <c r="BF248" s="536"/>
      <c r="BG248" s="536"/>
      <c r="BH248" s="536"/>
      <c r="BI248" s="536"/>
      <c r="BJ248" s="536"/>
      <c r="BK248" s="536"/>
      <c r="BL248" s="536"/>
      <c r="BM248" s="536"/>
      <c r="BN248" s="536"/>
      <c r="BO248" s="536"/>
      <c r="BP248" s="536"/>
      <c r="BQ248" s="536"/>
      <c r="BR248" s="536"/>
      <c r="BS248" s="536"/>
      <c r="BT248" s="536"/>
      <c r="BU248" s="536"/>
      <c r="BV248" s="536"/>
      <c r="BW248" s="536"/>
      <c r="BX248" s="536"/>
      <c r="BY248" s="536"/>
      <c r="BZ248" s="536"/>
      <c r="CA248" s="536"/>
      <c r="CB248" s="536"/>
      <c r="CC248" s="536"/>
      <c r="CD248" s="536"/>
    </row>
    <row r="249" spans="1:82" x14ac:dyDescent="0.2">
      <c r="A249" s="536">
        <f t="shared" si="94"/>
        <v>1</v>
      </c>
      <c r="B249" s="536">
        <f t="shared" si="95"/>
        <v>2014</v>
      </c>
      <c r="C249" s="552">
        <f t="shared" si="96"/>
        <v>41726</v>
      </c>
      <c r="D249" s="631" t="str">
        <f t="shared" si="97"/>
        <v>1Q14</v>
      </c>
      <c r="E249" s="540">
        <v>28.579986999999999</v>
      </c>
      <c r="F249" s="535"/>
      <c r="G249" s="536"/>
      <c r="H249" s="536"/>
      <c r="I249" s="536"/>
      <c r="J249" s="536"/>
      <c r="K249" s="536"/>
      <c r="L249" s="536"/>
      <c r="M249" s="536"/>
      <c r="N249" s="536"/>
      <c r="O249" s="536"/>
      <c r="P249" s="536"/>
      <c r="Q249" s="536"/>
      <c r="R249" s="536"/>
      <c r="S249" s="536"/>
      <c r="T249" s="536"/>
      <c r="U249" s="536"/>
      <c r="V249" s="536"/>
      <c r="W249" s="536"/>
      <c r="X249" s="536"/>
      <c r="Y249" s="536"/>
      <c r="Z249" s="536"/>
      <c r="AA249" s="536"/>
      <c r="AB249" s="536"/>
      <c r="AC249" s="536"/>
      <c r="AD249" s="536"/>
      <c r="AE249" s="536"/>
      <c r="AF249" s="536"/>
      <c r="AG249" s="536"/>
      <c r="AH249" s="536"/>
      <c r="AI249" s="536"/>
      <c r="AJ249" s="536"/>
      <c r="AK249" s="536"/>
      <c r="AL249" s="536"/>
      <c r="AM249" s="536"/>
      <c r="AN249" s="536"/>
      <c r="AO249" s="536"/>
      <c r="AP249" s="536"/>
      <c r="AQ249" s="536"/>
      <c r="AR249" s="536"/>
      <c r="AS249" s="536"/>
      <c r="AT249" s="536"/>
      <c r="AU249" s="536"/>
      <c r="AV249" s="536"/>
      <c r="AW249" s="536"/>
      <c r="AX249" s="536"/>
      <c r="AY249" s="536"/>
      <c r="AZ249" s="536"/>
      <c r="BA249" s="536"/>
      <c r="BB249" s="536"/>
      <c r="BC249" s="536"/>
      <c r="BD249" s="536"/>
      <c r="BE249" s="536"/>
      <c r="BF249" s="536"/>
      <c r="BG249" s="536"/>
      <c r="BH249" s="536"/>
      <c r="BI249" s="536"/>
      <c r="BJ249" s="536"/>
      <c r="BK249" s="536"/>
      <c r="BL249" s="536"/>
      <c r="BM249" s="536"/>
      <c r="BN249" s="536"/>
      <c r="BO249" s="536"/>
      <c r="BP249" s="536"/>
      <c r="BQ249" s="536"/>
      <c r="BR249" s="536"/>
      <c r="BS249" s="536"/>
      <c r="BT249" s="536"/>
      <c r="BU249" s="536"/>
      <c r="BV249" s="536"/>
      <c r="BW249" s="536"/>
      <c r="BX249" s="536"/>
      <c r="BY249" s="536"/>
      <c r="BZ249" s="536"/>
      <c r="CA249" s="536"/>
      <c r="CB249" s="536"/>
      <c r="CC249" s="536"/>
      <c r="CD249" s="536"/>
    </row>
    <row r="250" spans="1:82" x14ac:dyDescent="0.2">
      <c r="A250" s="536">
        <f t="shared" si="94"/>
        <v>2</v>
      </c>
      <c r="B250" s="536">
        <f t="shared" si="95"/>
        <v>2014</v>
      </c>
      <c r="C250" s="552">
        <f t="shared" si="96"/>
        <v>41733</v>
      </c>
      <c r="D250" s="631" t="str">
        <f t="shared" si="97"/>
        <v>2Q14</v>
      </c>
      <c r="E250" s="540">
        <v>28.759995</v>
      </c>
      <c r="F250" s="535"/>
      <c r="G250" s="536"/>
      <c r="H250" s="536"/>
      <c r="I250" s="536"/>
      <c r="J250" s="536"/>
      <c r="K250" s="536"/>
      <c r="L250" s="536"/>
      <c r="M250" s="536"/>
      <c r="N250" s="536"/>
      <c r="O250" s="536"/>
      <c r="P250" s="536"/>
      <c r="Q250" s="536"/>
      <c r="R250" s="536"/>
      <c r="S250" s="536"/>
      <c r="T250" s="536"/>
      <c r="U250" s="536"/>
      <c r="V250" s="536"/>
      <c r="W250" s="536"/>
      <c r="X250" s="536"/>
      <c r="Y250" s="536"/>
      <c r="Z250" s="536"/>
      <c r="AA250" s="536"/>
      <c r="AB250" s="536"/>
      <c r="AC250" s="536"/>
      <c r="AD250" s="536"/>
      <c r="AE250" s="536"/>
      <c r="AF250" s="536"/>
      <c r="AG250" s="536"/>
      <c r="AH250" s="536"/>
      <c r="AI250" s="536"/>
      <c r="AJ250" s="536"/>
      <c r="AK250" s="536"/>
      <c r="AL250" s="536"/>
      <c r="AM250" s="536"/>
      <c r="AN250" s="536"/>
      <c r="AO250" s="536"/>
      <c r="AP250" s="536"/>
      <c r="AQ250" s="536"/>
      <c r="AR250" s="536"/>
      <c r="AS250" s="536"/>
      <c r="AT250" s="536"/>
      <c r="AU250" s="536"/>
      <c r="AV250" s="536"/>
      <c r="AW250" s="536"/>
      <c r="AX250" s="536"/>
      <c r="AY250" s="536"/>
      <c r="AZ250" s="536"/>
      <c r="BA250" s="536"/>
      <c r="BB250" s="536"/>
      <c r="BC250" s="536"/>
      <c r="BD250" s="536"/>
      <c r="BE250" s="536"/>
      <c r="BF250" s="536"/>
      <c r="BG250" s="536"/>
      <c r="BH250" s="536"/>
      <c r="BI250" s="536"/>
      <c r="BJ250" s="536"/>
      <c r="BK250" s="536"/>
      <c r="BL250" s="536"/>
      <c r="BM250" s="536"/>
      <c r="BN250" s="536"/>
      <c r="BO250" s="536"/>
      <c r="BP250" s="536"/>
      <c r="BQ250" s="536"/>
      <c r="BR250" s="536"/>
      <c r="BS250" s="536"/>
      <c r="BT250" s="536"/>
      <c r="BU250" s="536"/>
      <c r="BV250" s="536"/>
      <c r="BW250" s="536"/>
      <c r="BX250" s="536"/>
      <c r="BY250" s="536"/>
      <c r="BZ250" s="536"/>
      <c r="CA250" s="536"/>
      <c r="CB250" s="536"/>
      <c r="CC250" s="536"/>
      <c r="CD250" s="536"/>
    </row>
    <row r="251" spans="1:82" x14ac:dyDescent="0.2">
      <c r="A251" s="536">
        <f t="shared" si="94"/>
        <v>2</v>
      </c>
      <c r="B251" s="536">
        <f t="shared" si="95"/>
        <v>2014</v>
      </c>
      <c r="C251" s="552">
        <f t="shared" si="96"/>
        <v>41740</v>
      </c>
      <c r="D251" s="631" t="str">
        <f t="shared" si="97"/>
        <v>2Q14</v>
      </c>
      <c r="E251" s="540">
        <v>28.009995</v>
      </c>
      <c r="F251" s="535"/>
      <c r="G251" s="536"/>
      <c r="H251" s="536"/>
      <c r="I251" s="536"/>
      <c r="J251" s="536"/>
      <c r="K251" s="536"/>
      <c r="L251" s="536"/>
      <c r="M251" s="536"/>
      <c r="N251" s="536"/>
      <c r="O251" s="536"/>
      <c r="P251" s="536"/>
      <c r="Q251" s="536"/>
      <c r="R251" s="536"/>
      <c r="S251" s="536"/>
      <c r="T251" s="536"/>
      <c r="U251" s="536"/>
      <c r="V251" s="536"/>
      <c r="W251" s="536"/>
      <c r="X251" s="536"/>
      <c r="Y251" s="536"/>
      <c r="Z251" s="536"/>
      <c r="AA251" s="536"/>
      <c r="AB251" s="536"/>
      <c r="AC251" s="536"/>
      <c r="AD251" s="536"/>
      <c r="AE251" s="536"/>
      <c r="AF251" s="536"/>
      <c r="AG251" s="536"/>
      <c r="AH251" s="536"/>
      <c r="AI251" s="536"/>
      <c r="AJ251" s="536"/>
      <c r="AK251" s="536"/>
      <c r="AL251" s="536"/>
      <c r="AM251" s="536"/>
      <c r="AN251" s="536"/>
      <c r="AO251" s="536"/>
      <c r="AP251" s="536"/>
      <c r="AQ251" s="536"/>
      <c r="AR251" s="536"/>
      <c r="AS251" s="536"/>
      <c r="AT251" s="536"/>
      <c r="AU251" s="536"/>
      <c r="AV251" s="536"/>
      <c r="AW251" s="536"/>
      <c r="AX251" s="536"/>
      <c r="AY251" s="536"/>
      <c r="AZ251" s="536"/>
      <c r="BA251" s="536"/>
      <c r="BB251" s="536"/>
      <c r="BC251" s="536"/>
      <c r="BD251" s="536"/>
      <c r="BE251" s="536"/>
      <c r="BF251" s="536"/>
      <c r="BG251" s="536"/>
      <c r="BH251" s="536"/>
      <c r="BI251" s="536"/>
      <c r="BJ251" s="536"/>
      <c r="BK251" s="536"/>
      <c r="BL251" s="536"/>
      <c r="BM251" s="536"/>
      <c r="BN251" s="536"/>
      <c r="BO251" s="536"/>
      <c r="BP251" s="536"/>
      <c r="BQ251" s="536"/>
      <c r="BR251" s="536"/>
      <c r="BS251" s="536"/>
      <c r="BT251" s="536"/>
      <c r="BU251" s="536"/>
      <c r="BV251" s="536"/>
      <c r="BW251" s="536"/>
      <c r="BX251" s="536"/>
      <c r="BY251" s="536"/>
      <c r="BZ251" s="536"/>
      <c r="CA251" s="536"/>
      <c r="CB251" s="536"/>
      <c r="CC251" s="536"/>
      <c r="CD251" s="536"/>
    </row>
    <row r="252" spans="1:82" x14ac:dyDescent="0.2">
      <c r="A252" s="536">
        <f t="shared" si="94"/>
        <v>2</v>
      </c>
      <c r="B252" s="536">
        <f>YEAR(C252)</f>
        <v>2014</v>
      </c>
      <c r="C252" s="552">
        <f>C251+7</f>
        <v>41747</v>
      </c>
      <c r="D252" s="631" t="str">
        <f>A252&amp;"Q"&amp;RIGHT(B252,2)</f>
        <v>2Q14</v>
      </c>
      <c r="E252" s="540">
        <v>28.149994</v>
      </c>
      <c r="F252" s="535"/>
      <c r="G252" s="536"/>
      <c r="H252" s="536"/>
      <c r="I252" s="536"/>
      <c r="J252" s="536"/>
      <c r="K252" s="536"/>
      <c r="L252" s="536"/>
      <c r="M252" s="536"/>
      <c r="N252" s="536"/>
      <c r="O252" s="536"/>
      <c r="P252" s="536"/>
      <c r="Q252" s="536"/>
      <c r="R252" s="536"/>
      <c r="S252" s="536"/>
      <c r="T252" s="536"/>
      <c r="U252" s="536"/>
      <c r="V252" s="536"/>
      <c r="W252" s="536"/>
      <c r="X252" s="536"/>
      <c r="Y252" s="536"/>
      <c r="Z252" s="536"/>
      <c r="AA252" s="536"/>
      <c r="AB252" s="536"/>
      <c r="AC252" s="536"/>
      <c r="AD252" s="536"/>
      <c r="AE252" s="536"/>
      <c r="AF252" s="536"/>
      <c r="AG252" s="536"/>
      <c r="AH252" s="536"/>
      <c r="AI252" s="536"/>
      <c r="AJ252" s="536"/>
      <c r="AK252" s="536"/>
      <c r="AL252" s="536"/>
      <c r="AM252" s="536"/>
      <c r="AN252" s="536"/>
      <c r="AO252" s="536"/>
      <c r="AP252" s="536"/>
      <c r="AQ252" s="536"/>
      <c r="AR252" s="536"/>
      <c r="AS252" s="536"/>
      <c r="AT252" s="536"/>
      <c r="AU252" s="536"/>
      <c r="AV252" s="536"/>
      <c r="AW252" s="536"/>
      <c r="AX252" s="536"/>
      <c r="AY252" s="536"/>
      <c r="AZ252" s="536"/>
      <c r="BA252" s="536"/>
      <c r="BB252" s="536"/>
      <c r="BC252" s="536"/>
      <c r="BD252" s="536"/>
      <c r="BE252" s="536"/>
      <c r="BF252" s="536"/>
      <c r="BG252" s="536"/>
      <c r="BH252" s="536"/>
      <c r="BI252" s="536"/>
      <c r="BJ252" s="536"/>
      <c r="BK252" s="536"/>
      <c r="BL252" s="536"/>
      <c r="BM252" s="536"/>
      <c r="BN252" s="536"/>
      <c r="BO252" s="536"/>
      <c r="BP252" s="536"/>
      <c r="BQ252" s="536"/>
      <c r="BR252" s="536"/>
      <c r="BS252" s="536"/>
      <c r="BT252" s="536"/>
      <c r="BU252" s="536"/>
      <c r="BV252" s="536"/>
      <c r="BW252" s="536"/>
      <c r="BX252" s="536"/>
      <c r="BY252" s="536"/>
      <c r="BZ252" s="536"/>
      <c r="CA252" s="536"/>
      <c r="CB252" s="536"/>
      <c r="CC252" s="536"/>
      <c r="CD252" s="536"/>
    </row>
    <row r="253" spans="1:82" x14ac:dyDescent="0.2">
      <c r="A253" s="536">
        <f t="shared" si="94"/>
        <v>2</v>
      </c>
      <c r="B253" s="536">
        <f t="shared" si="95"/>
        <v>2014</v>
      </c>
      <c r="C253" s="552">
        <f t="shared" si="96"/>
        <v>41754</v>
      </c>
      <c r="D253" s="631" t="str">
        <f t="shared" si="97"/>
        <v>2Q14</v>
      </c>
      <c r="E253" s="540">
        <v>28.029999</v>
      </c>
      <c r="F253" s="535"/>
      <c r="G253" s="536"/>
      <c r="H253" s="536"/>
      <c r="I253" s="536"/>
      <c r="J253" s="536"/>
      <c r="K253" s="536"/>
      <c r="L253" s="536"/>
      <c r="M253" s="536"/>
      <c r="N253" s="536"/>
      <c r="O253" s="536"/>
      <c r="P253" s="536"/>
      <c r="Q253" s="536"/>
      <c r="R253" s="536"/>
      <c r="S253" s="536"/>
      <c r="T253" s="536"/>
      <c r="U253" s="536"/>
      <c r="V253" s="536"/>
      <c r="W253" s="536"/>
      <c r="X253" s="536"/>
      <c r="Y253" s="536"/>
      <c r="Z253" s="536"/>
      <c r="AA253" s="536"/>
      <c r="AB253" s="536"/>
      <c r="AC253" s="536"/>
      <c r="AD253" s="536"/>
      <c r="AE253" s="536"/>
      <c r="AF253" s="536"/>
      <c r="AG253" s="536"/>
      <c r="AH253" s="536"/>
      <c r="AI253" s="536"/>
      <c r="AJ253" s="536"/>
      <c r="AK253" s="536"/>
      <c r="AL253" s="536"/>
      <c r="AM253" s="536"/>
      <c r="AN253" s="536"/>
      <c r="AO253" s="536"/>
      <c r="AP253" s="536"/>
      <c r="AQ253" s="536"/>
      <c r="AR253" s="536"/>
      <c r="AS253" s="536"/>
      <c r="AT253" s="536"/>
      <c r="AU253" s="536"/>
      <c r="AV253" s="536"/>
      <c r="AW253" s="536"/>
      <c r="AX253" s="536"/>
      <c r="AY253" s="536"/>
      <c r="AZ253" s="536"/>
      <c r="BA253" s="536"/>
      <c r="BB253" s="536"/>
      <c r="BC253" s="536"/>
      <c r="BD253" s="536"/>
      <c r="BE253" s="536"/>
      <c r="BF253" s="536"/>
      <c r="BG253" s="536"/>
      <c r="BH253" s="536"/>
      <c r="BI253" s="536"/>
      <c r="BJ253" s="536"/>
      <c r="BK253" s="536"/>
      <c r="BL253" s="536"/>
      <c r="BM253" s="536"/>
      <c r="BN253" s="536"/>
      <c r="BO253" s="536"/>
      <c r="BP253" s="536"/>
      <c r="BQ253" s="536"/>
      <c r="BR253" s="536"/>
      <c r="BS253" s="536"/>
      <c r="BT253" s="536"/>
      <c r="BU253" s="536"/>
      <c r="BV253" s="536"/>
      <c r="BW253" s="536"/>
      <c r="BX253" s="536"/>
      <c r="BY253" s="536"/>
      <c r="BZ253" s="536"/>
      <c r="CA253" s="536"/>
      <c r="CB253" s="536"/>
      <c r="CC253" s="536"/>
      <c r="CD253" s="536"/>
    </row>
    <row r="254" spans="1:82" x14ac:dyDescent="0.2">
      <c r="A254" s="536">
        <f t="shared" si="94"/>
        <v>2</v>
      </c>
      <c r="B254" s="536">
        <f t="shared" si="95"/>
        <v>2014</v>
      </c>
      <c r="C254" s="552">
        <f t="shared" si="96"/>
        <v>41761</v>
      </c>
      <c r="D254" s="631" t="str">
        <f t="shared" si="97"/>
        <v>2Q14</v>
      </c>
      <c r="E254" s="540">
        <v>27.829986999999999</v>
      </c>
      <c r="F254" s="535"/>
      <c r="G254" s="536"/>
      <c r="H254" s="536"/>
      <c r="I254" s="536"/>
      <c r="J254" s="536"/>
      <c r="K254" s="536"/>
      <c r="L254" s="536"/>
      <c r="M254" s="536"/>
      <c r="N254" s="536"/>
      <c r="O254" s="536"/>
      <c r="P254" s="536"/>
      <c r="Q254" s="536"/>
      <c r="R254" s="536"/>
      <c r="S254" s="536"/>
      <c r="T254" s="536"/>
      <c r="U254" s="536"/>
      <c r="V254" s="536"/>
      <c r="W254" s="536"/>
      <c r="X254" s="536"/>
      <c r="Y254" s="536"/>
      <c r="Z254" s="536"/>
      <c r="AA254" s="536"/>
      <c r="AB254" s="536"/>
      <c r="AC254" s="536"/>
      <c r="AD254" s="536"/>
      <c r="AE254" s="536"/>
      <c r="AF254" s="536"/>
      <c r="AG254" s="536"/>
      <c r="AH254" s="536"/>
      <c r="AI254" s="536"/>
      <c r="AJ254" s="536"/>
      <c r="AK254" s="536"/>
      <c r="AL254" s="536"/>
      <c r="AM254" s="536"/>
      <c r="AN254" s="536"/>
      <c r="AO254" s="536"/>
      <c r="AP254" s="536"/>
      <c r="AQ254" s="536"/>
      <c r="AR254" s="536"/>
      <c r="AS254" s="536"/>
      <c r="AT254" s="536"/>
      <c r="AU254" s="536"/>
      <c r="AV254" s="536"/>
      <c r="AW254" s="536"/>
      <c r="AX254" s="536"/>
      <c r="AY254" s="536"/>
      <c r="AZ254" s="536"/>
      <c r="BA254" s="536"/>
      <c r="BB254" s="536"/>
      <c r="BC254" s="536"/>
      <c r="BD254" s="536"/>
      <c r="BE254" s="536"/>
      <c r="BF254" s="536"/>
      <c r="BG254" s="536"/>
      <c r="BH254" s="536"/>
      <c r="BI254" s="536"/>
      <c r="BJ254" s="536"/>
      <c r="BK254" s="536"/>
      <c r="BL254" s="536"/>
      <c r="BM254" s="536"/>
      <c r="BN254" s="536"/>
      <c r="BO254" s="536"/>
      <c r="BP254" s="536"/>
      <c r="BQ254" s="536"/>
      <c r="BR254" s="536"/>
      <c r="BS254" s="536"/>
      <c r="BT254" s="536"/>
      <c r="BU254" s="536"/>
      <c r="BV254" s="536"/>
      <c r="BW254" s="536"/>
      <c r="BX254" s="536"/>
      <c r="BY254" s="536"/>
      <c r="BZ254" s="536"/>
      <c r="CA254" s="536"/>
      <c r="CB254" s="536"/>
      <c r="CC254" s="536"/>
      <c r="CD254" s="536"/>
    </row>
    <row r="255" spans="1:82" x14ac:dyDescent="0.2">
      <c r="A255" s="536">
        <f t="shared" si="94"/>
        <v>2</v>
      </c>
      <c r="B255" s="536">
        <f t="shared" si="95"/>
        <v>2014</v>
      </c>
      <c r="C255" s="552">
        <f t="shared" si="96"/>
        <v>41768</v>
      </c>
      <c r="D255" s="631" t="str">
        <f t="shared" si="97"/>
        <v>2Q14</v>
      </c>
      <c r="E255" s="540">
        <v>28.689988</v>
      </c>
      <c r="F255" s="535"/>
      <c r="G255" s="536"/>
      <c r="H255" s="536"/>
      <c r="I255" s="536"/>
      <c r="J255" s="536"/>
      <c r="K255" s="536"/>
      <c r="L255" s="536"/>
      <c r="M255" s="536"/>
      <c r="N255" s="536"/>
      <c r="O255" s="536"/>
      <c r="P255" s="536"/>
      <c r="Q255" s="536"/>
      <c r="R255" s="536"/>
      <c r="S255" s="536"/>
      <c r="T255" s="536"/>
      <c r="U255" s="536"/>
      <c r="V255" s="536"/>
      <c r="W255" s="536"/>
      <c r="X255" s="536"/>
      <c r="Y255" s="536"/>
      <c r="Z255" s="536"/>
      <c r="AA255" s="536"/>
      <c r="AB255" s="536"/>
      <c r="AC255" s="536"/>
      <c r="AD255" s="536"/>
      <c r="AE255" s="536"/>
      <c r="AF255" s="536"/>
      <c r="AG255" s="536"/>
      <c r="AH255" s="536"/>
      <c r="AI255" s="536"/>
      <c r="AJ255" s="536"/>
      <c r="AK255" s="536"/>
      <c r="AL255" s="536"/>
      <c r="AM255" s="536"/>
      <c r="AN255" s="536"/>
      <c r="AO255" s="536"/>
      <c r="AP255" s="536"/>
      <c r="AQ255" s="536"/>
      <c r="AR255" s="536"/>
      <c r="AS255" s="536"/>
      <c r="AT255" s="536"/>
      <c r="AU255" s="536"/>
      <c r="AV255" s="536"/>
      <c r="AW255" s="536"/>
      <c r="AX255" s="536"/>
      <c r="AY255" s="536"/>
      <c r="AZ255" s="536"/>
      <c r="BA255" s="536"/>
      <c r="BB255" s="536"/>
      <c r="BC255" s="536"/>
      <c r="BD255" s="536"/>
      <c r="BE255" s="536"/>
      <c r="BF255" s="536"/>
      <c r="BG255" s="536"/>
      <c r="BH255" s="536"/>
      <c r="BI255" s="536"/>
      <c r="BJ255" s="536"/>
      <c r="BK255" s="536"/>
      <c r="BL255" s="536"/>
      <c r="BM255" s="536"/>
      <c r="BN255" s="536"/>
      <c r="BO255" s="536"/>
      <c r="BP255" s="536"/>
      <c r="BQ255" s="536"/>
      <c r="BR255" s="536"/>
      <c r="BS255" s="536"/>
      <c r="BT255" s="536"/>
      <c r="BU255" s="536"/>
      <c r="BV255" s="536"/>
      <c r="BW255" s="536"/>
      <c r="BX255" s="536"/>
      <c r="BY255" s="536"/>
      <c r="BZ255" s="536"/>
      <c r="CA255" s="536"/>
      <c r="CB255" s="536"/>
      <c r="CC255" s="536"/>
      <c r="CD255" s="536"/>
    </row>
    <row r="256" spans="1:82" x14ac:dyDescent="0.2">
      <c r="A256" s="536">
        <f t="shared" si="94"/>
        <v>2</v>
      </c>
      <c r="B256" s="536">
        <f t="shared" si="95"/>
        <v>2014</v>
      </c>
      <c r="C256" s="552">
        <f t="shared" si="96"/>
        <v>41775</v>
      </c>
      <c r="D256" s="631" t="str">
        <f t="shared" si="97"/>
        <v>2Q14</v>
      </c>
      <c r="E256" s="540">
        <v>29.26999</v>
      </c>
      <c r="F256" s="535"/>
      <c r="G256" s="536"/>
      <c r="H256" s="536"/>
      <c r="I256" s="536"/>
      <c r="J256" s="536"/>
      <c r="K256" s="536"/>
      <c r="L256" s="536"/>
      <c r="M256" s="536"/>
      <c r="N256" s="536"/>
      <c r="O256" s="536"/>
      <c r="P256" s="536"/>
      <c r="Q256" s="536"/>
      <c r="R256" s="536"/>
      <c r="S256" s="536"/>
      <c r="T256" s="536"/>
      <c r="U256" s="536"/>
      <c r="V256" s="536"/>
      <c r="W256" s="536"/>
      <c r="X256" s="536"/>
      <c r="Y256" s="536"/>
      <c r="Z256" s="536"/>
      <c r="AA256" s="536"/>
      <c r="AB256" s="536"/>
      <c r="AC256" s="536"/>
      <c r="AD256" s="536"/>
      <c r="AE256" s="536"/>
      <c r="AF256" s="536"/>
      <c r="AG256" s="536"/>
      <c r="AH256" s="536"/>
      <c r="AI256" s="536"/>
      <c r="AJ256" s="536"/>
      <c r="AK256" s="536"/>
      <c r="AL256" s="536"/>
      <c r="AM256" s="536"/>
      <c r="AN256" s="536"/>
      <c r="AO256" s="536"/>
      <c r="AP256" s="536"/>
      <c r="AQ256" s="536"/>
      <c r="AR256" s="536"/>
      <c r="AS256" s="536"/>
      <c r="AT256" s="536"/>
      <c r="AU256" s="536"/>
      <c r="AV256" s="536"/>
      <c r="AW256" s="536"/>
      <c r="AX256" s="536"/>
      <c r="AY256" s="536"/>
      <c r="AZ256" s="536"/>
      <c r="BA256" s="536"/>
      <c r="BB256" s="536"/>
      <c r="BC256" s="536"/>
      <c r="BD256" s="536"/>
      <c r="BE256" s="536"/>
      <c r="BF256" s="536"/>
      <c r="BG256" s="536"/>
      <c r="BH256" s="536"/>
      <c r="BI256" s="536"/>
      <c r="BJ256" s="536"/>
      <c r="BK256" s="536"/>
      <c r="BL256" s="536"/>
      <c r="BM256" s="536"/>
      <c r="BN256" s="536"/>
      <c r="BO256" s="536"/>
      <c r="BP256" s="536"/>
      <c r="BQ256" s="536"/>
      <c r="BR256" s="536"/>
      <c r="BS256" s="536"/>
      <c r="BT256" s="536"/>
      <c r="BU256" s="536"/>
      <c r="BV256" s="536"/>
      <c r="BW256" s="536"/>
      <c r="BX256" s="536"/>
      <c r="BY256" s="536"/>
      <c r="BZ256" s="536"/>
      <c r="CA256" s="536"/>
      <c r="CB256" s="536"/>
      <c r="CC256" s="536"/>
      <c r="CD256" s="536"/>
    </row>
    <row r="257" spans="1:82" x14ac:dyDescent="0.2">
      <c r="A257" s="536">
        <f t="shared" si="94"/>
        <v>2</v>
      </c>
      <c r="B257" s="536">
        <f t="shared" si="95"/>
        <v>2014</v>
      </c>
      <c r="C257" s="552">
        <f t="shared" si="96"/>
        <v>41782</v>
      </c>
      <c r="D257" s="631" t="str">
        <f t="shared" si="97"/>
        <v>2Q14</v>
      </c>
      <c r="E257" s="540">
        <v>29.429993</v>
      </c>
      <c r="F257" s="535"/>
      <c r="G257" s="536"/>
      <c r="H257" s="536"/>
      <c r="I257" s="536"/>
      <c r="J257" s="536"/>
      <c r="K257" s="536"/>
      <c r="L257" s="536"/>
      <c r="M257" s="536"/>
      <c r="N257" s="536"/>
      <c r="O257" s="536"/>
      <c r="P257" s="536"/>
      <c r="Q257" s="536"/>
      <c r="R257" s="536"/>
      <c r="S257" s="536"/>
      <c r="T257" s="536"/>
      <c r="U257" s="536"/>
      <c r="V257" s="536"/>
      <c r="W257" s="536"/>
      <c r="X257" s="536"/>
      <c r="Y257" s="536"/>
      <c r="Z257" s="536"/>
      <c r="AA257" s="536"/>
      <c r="AB257" s="536"/>
      <c r="AC257" s="536"/>
      <c r="AD257" s="536"/>
      <c r="AE257" s="536"/>
      <c r="AF257" s="536"/>
      <c r="AG257" s="536"/>
      <c r="AH257" s="536"/>
      <c r="AI257" s="536"/>
      <c r="AJ257" s="536"/>
      <c r="AK257" s="536"/>
      <c r="AL257" s="536"/>
      <c r="AM257" s="536"/>
      <c r="AN257" s="536"/>
      <c r="AO257" s="536"/>
      <c r="AP257" s="536"/>
      <c r="AQ257" s="536"/>
      <c r="AR257" s="536"/>
      <c r="AS257" s="536"/>
      <c r="AT257" s="536"/>
      <c r="AU257" s="536"/>
      <c r="AV257" s="536"/>
      <c r="AW257" s="536"/>
      <c r="AX257" s="536"/>
      <c r="AY257" s="536"/>
      <c r="AZ257" s="536"/>
      <c r="BA257" s="536"/>
      <c r="BB257" s="536"/>
      <c r="BC257" s="536"/>
      <c r="BD257" s="536"/>
      <c r="BE257" s="536"/>
      <c r="BF257" s="536"/>
      <c r="BG257" s="536"/>
      <c r="BH257" s="536"/>
      <c r="BI257" s="536"/>
      <c r="BJ257" s="536"/>
      <c r="BK257" s="536"/>
      <c r="BL257" s="536"/>
      <c r="BM257" s="536"/>
      <c r="BN257" s="536"/>
      <c r="BO257" s="536"/>
      <c r="BP257" s="536"/>
      <c r="BQ257" s="536"/>
      <c r="BR257" s="536"/>
      <c r="BS257" s="536"/>
      <c r="BT257" s="536"/>
      <c r="BU257" s="536"/>
      <c r="BV257" s="536"/>
      <c r="BW257" s="536"/>
      <c r="BX257" s="536"/>
      <c r="BY257" s="536"/>
      <c r="BZ257" s="536"/>
      <c r="CA257" s="536"/>
      <c r="CB257" s="536"/>
      <c r="CC257" s="536"/>
      <c r="CD257" s="536"/>
    </row>
    <row r="258" spans="1:82" x14ac:dyDescent="0.2">
      <c r="A258" s="536">
        <f t="shared" si="94"/>
        <v>2</v>
      </c>
      <c r="B258" s="536">
        <f t="shared" si="95"/>
        <v>2014</v>
      </c>
      <c r="C258" s="552">
        <f t="shared" si="96"/>
        <v>41789</v>
      </c>
      <c r="D258" s="631" t="str">
        <f t="shared" si="97"/>
        <v>2Q14</v>
      </c>
      <c r="E258" s="540">
        <v>29.399994</v>
      </c>
      <c r="F258" s="535"/>
      <c r="G258" s="536"/>
      <c r="H258" s="536"/>
      <c r="I258" s="536"/>
      <c r="J258" s="536"/>
      <c r="K258" s="536"/>
      <c r="L258" s="536"/>
      <c r="M258" s="536"/>
      <c r="N258" s="536"/>
      <c r="O258" s="536"/>
      <c r="P258" s="536"/>
      <c r="Q258" s="536"/>
      <c r="R258" s="536"/>
      <c r="S258" s="536"/>
      <c r="T258" s="536"/>
      <c r="U258" s="536"/>
      <c r="V258" s="536"/>
      <c r="W258" s="536"/>
      <c r="X258" s="536"/>
      <c r="Y258" s="536"/>
      <c r="Z258" s="536"/>
      <c r="AA258" s="536"/>
      <c r="AB258" s="536"/>
      <c r="AC258" s="536"/>
      <c r="AD258" s="536"/>
      <c r="AE258" s="536"/>
      <c r="AF258" s="536"/>
      <c r="AG258" s="536"/>
      <c r="AH258" s="536"/>
      <c r="AI258" s="536"/>
      <c r="AJ258" s="536"/>
      <c r="AK258" s="536"/>
      <c r="AL258" s="536"/>
      <c r="AM258" s="536"/>
      <c r="AN258" s="536"/>
      <c r="AO258" s="536"/>
      <c r="AP258" s="536"/>
      <c r="AQ258" s="536"/>
      <c r="AR258" s="536"/>
      <c r="AS258" s="536"/>
      <c r="AT258" s="536"/>
      <c r="AU258" s="536"/>
      <c r="AV258" s="536"/>
      <c r="AW258" s="536"/>
      <c r="AX258" s="536"/>
      <c r="AY258" s="536"/>
      <c r="AZ258" s="536"/>
      <c r="BA258" s="536"/>
      <c r="BB258" s="536"/>
      <c r="BC258" s="536"/>
      <c r="BD258" s="536"/>
      <c r="BE258" s="536"/>
      <c r="BF258" s="536"/>
      <c r="BG258" s="536"/>
      <c r="BH258" s="536"/>
      <c r="BI258" s="536"/>
      <c r="BJ258" s="536"/>
      <c r="BK258" s="536"/>
      <c r="BL258" s="536"/>
      <c r="BM258" s="536"/>
      <c r="BN258" s="536"/>
      <c r="BO258" s="536"/>
      <c r="BP258" s="536"/>
      <c r="BQ258" s="536"/>
      <c r="BR258" s="536"/>
      <c r="BS258" s="536"/>
      <c r="BT258" s="536"/>
      <c r="BU258" s="536"/>
      <c r="BV258" s="536"/>
      <c r="BW258" s="536"/>
      <c r="BX258" s="536"/>
      <c r="BY258" s="536"/>
      <c r="BZ258" s="536"/>
      <c r="CA258" s="536"/>
      <c r="CB258" s="536"/>
      <c r="CC258" s="536"/>
      <c r="CD258" s="536"/>
    </row>
    <row r="259" spans="1:82" x14ac:dyDescent="0.2">
      <c r="A259" s="536">
        <f t="shared" si="94"/>
        <v>2</v>
      </c>
      <c r="B259" s="536">
        <f t="shared" si="95"/>
        <v>2014</v>
      </c>
      <c r="C259" s="552">
        <f t="shared" si="96"/>
        <v>41796</v>
      </c>
      <c r="D259" s="631" t="str">
        <f t="shared" si="97"/>
        <v>2Q14</v>
      </c>
      <c r="E259" s="540">
        <v>30.39</v>
      </c>
      <c r="F259" s="535"/>
      <c r="G259" s="536"/>
      <c r="H259" s="536"/>
      <c r="I259" s="536"/>
      <c r="J259" s="536"/>
      <c r="K259" s="536"/>
      <c r="L259" s="536"/>
      <c r="M259" s="536"/>
      <c r="N259" s="536"/>
      <c r="O259" s="536"/>
      <c r="P259" s="536"/>
      <c r="Q259" s="536"/>
      <c r="R259" s="536"/>
      <c r="S259" s="536"/>
      <c r="T259" s="536"/>
      <c r="U259" s="536"/>
      <c r="V259" s="536"/>
      <c r="W259" s="536"/>
      <c r="X259" s="536"/>
      <c r="Y259" s="536"/>
      <c r="Z259" s="536"/>
      <c r="AA259" s="536"/>
      <c r="AB259" s="536"/>
      <c r="AC259" s="536"/>
      <c r="AD259" s="536"/>
      <c r="AE259" s="536"/>
      <c r="AF259" s="536"/>
      <c r="AG259" s="536"/>
      <c r="AH259" s="536"/>
      <c r="AI259" s="536"/>
      <c r="AJ259" s="536"/>
      <c r="AK259" s="536"/>
      <c r="AL259" s="536"/>
      <c r="AM259" s="536"/>
      <c r="AN259" s="536"/>
      <c r="AO259" s="536"/>
      <c r="AP259" s="536"/>
      <c r="AQ259" s="536"/>
      <c r="AR259" s="536"/>
      <c r="AS259" s="536"/>
      <c r="AT259" s="536"/>
      <c r="AU259" s="536"/>
      <c r="AV259" s="536"/>
      <c r="AW259" s="536"/>
      <c r="AX259" s="536"/>
      <c r="AY259" s="536"/>
      <c r="AZ259" s="536"/>
      <c r="BA259" s="536"/>
      <c r="BB259" s="536"/>
      <c r="BC259" s="536"/>
      <c r="BD259" s="536"/>
      <c r="BE259" s="536"/>
      <c r="BF259" s="536"/>
      <c r="BG259" s="536"/>
      <c r="BH259" s="536"/>
      <c r="BI259" s="536"/>
      <c r="BJ259" s="536"/>
      <c r="BK259" s="536"/>
      <c r="BL259" s="536"/>
      <c r="BM259" s="536"/>
      <c r="BN259" s="536"/>
      <c r="BO259" s="536"/>
      <c r="BP259" s="536"/>
      <c r="BQ259" s="536"/>
      <c r="BR259" s="536"/>
      <c r="BS259" s="536"/>
      <c r="BT259" s="536"/>
      <c r="BU259" s="536"/>
      <c r="BV259" s="536"/>
      <c r="BW259" s="536"/>
      <c r="BX259" s="536"/>
      <c r="BY259" s="536"/>
      <c r="BZ259" s="536"/>
      <c r="CA259" s="536"/>
      <c r="CB259" s="536"/>
      <c r="CC259" s="536"/>
      <c r="CD259" s="536"/>
    </row>
    <row r="260" spans="1:82" x14ac:dyDescent="0.2">
      <c r="A260" s="536">
        <f t="shared" si="94"/>
        <v>2</v>
      </c>
      <c r="B260" s="536">
        <f t="shared" si="95"/>
        <v>2014</v>
      </c>
      <c r="C260" s="552">
        <f t="shared" si="96"/>
        <v>41803</v>
      </c>
      <c r="D260" s="631" t="str">
        <f t="shared" si="97"/>
        <v>2Q14</v>
      </c>
      <c r="E260" s="540">
        <v>30.349990999999999</v>
      </c>
      <c r="F260" s="535"/>
      <c r="G260" s="536"/>
      <c r="H260" s="536"/>
      <c r="I260" s="536"/>
      <c r="J260" s="536"/>
      <c r="K260" s="536"/>
      <c r="L260" s="536"/>
      <c r="M260" s="536"/>
      <c r="N260" s="536"/>
      <c r="O260" s="536"/>
      <c r="P260" s="536"/>
      <c r="Q260" s="536"/>
      <c r="R260" s="536"/>
      <c r="S260" s="536"/>
      <c r="T260" s="536"/>
      <c r="U260" s="536"/>
      <c r="V260" s="536"/>
      <c r="W260" s="536"/>
      <c r="X260" s="536"/>
      <c r="Y260" s="536"/>
      <c r="Z260" s="536"/>
      <c r="AA260" s="536"/>
      <c r="AB260" s="536"/>
      <c r="AC260" s="536"/>
      <c r="AD260" s="536"/>
      <c r="AE260" s="536"/>
      <c r="AF260" s="536"/>
      <c r="AG260" s="536"/>
      <c r="AH260" s="536"/>
      <c r="AI260" s="536"/>
      <c r="AJ260" s="536"/>
      <c r="AK260" s="536"/>
      <c r="AL260" s="536"/>
      <c r="AM260" s="536"/>
      <c r="AN260" s="536"/>
      <c r="AO260" s="536"/>
      <c r="AP260" s="536"/>
      <c r="AQ260" s="536"/>
      <c r="AR260" s="536"/>
      <c r="AS260" s="536"/>
      <c r="AT260" s="536"/>
      <c r="AU260" s="536"/>
      <c r="AV260" s="536"/>
      <c r="AW260" s="536"/>
      <c r="AX260" s="536"/>
      <c r="AY260" s="536"/>
      <c r="AZ260" s="536"/>
      <c r="BA260" s="536"/>
      <c r="BB260" s="536"/>
      <c r="BC260" s="536"/>
      <c r="BD260" s="536"/>
      <c r="BE260" s="536"/>
      <c r="BF260" s="536"/>
      <c r="BG260" s="536"/>
      <c r="BH260" s="536"/>
      <c r="BI260" s="536"/>
      <c r="BJ260" s="536"/>
      <c r="BK260" s="536"/>
      <c r="BL260" s="536"/>
      <c r="BM260" s="536"/>
      <c r="BN260" s="536"/>
      <c r="BO260" s="536"/>
      <c r="BP260" s="536"/>
      <c r="BQ260" s="536"/>
      <c r="BR260" s="536"/>
      <c r="BS260" s="536"/>
      <c r="BT260" s="536"/>
      <c r="BU260" s="536"/>
      <c r="BV260" s="536"/>
      <c r="BW260" s="536"/>
      <c r="BX260" s="536"/>
      <c r="BY260" s="536"/>
      <c r="BZ260" s="536"/>
      <c r="CA260" s="536"/>
      <c r="CB260" s="536"/>
      <c r="CC260" s="536"/>
      <c r="CD260" s="536"/>
    </row>
    <row r="261" spans="1:82" x14ac:dyDescent="0.2">
      <c r="A261" s="536">
        <f t="shared" si="94"/>
        <v>2</v>
      </c>
      <c r="B261" s="536">
        <f t="shared" si="95"/>
        <v>2014</v>
      </c>
      <c r="C261" s="552">
        <f t="shared" si="96"/>
        <v>41810</v>
      </c>
      <c r="D261" s="631" t="str">
        <f t="shared" si="97"/>
        <v>2Q14</v>
      </c>
      <c r="E261" s="540">
        <v>31</v>
      </c>
      <c r="F261" s="535"/>
      <c r="G261" s="536"/>
      <c r="H261" s="536"/>
      <c r="I261" s="536"/>
      <c r="J261" s="536"/>
      <c r="K261" s="536"/>
      <c r="L261" s="536"/>
      <c r="M261" s="536"/>
      <c r="N261" s="536"/>
      <c r="O261" s="536"/>
      <c r="P261" s="536"/>
      <c r="Q261" s="536"/>
      <c r="R261" s="536"/>
      <c r="S261" s="536"/>
      <c r="T261" s="536"/>
      <c r="U261" s="536"/>
      <c r="V261" s="536"/>
      <c r="W261" s="536"/>
      <c r="X261" s="536"/>
      <c r="Y261" s="536"/>
      <c r="Z261" s="536"/>
      <c r="AA261" s="536"/>
      <c r="AB261" s="536"/>
      <c r="AC261" s="536"/>
      <c r="AD261" s="536"/>
      <c r="AE261" s="536"/>
      <c r="AF261" s="536"/>
      <c r="AG261" s="536"/>
      <c r="AH261" s="536"/>
      <c r="AI261" s="536"/>
      <c r="AJ261" s="536"/>
      <c r="AK261" s="536"/>
      <c r="AL261" s="536"/>
      <c r="AM261" s="536"/>
      <c r="AN261" s="536"/>
      <c r="AO261" s="536"/>
      <c r="AP261" s="536"/>
      <c r="AQ261" s="536"/>
      <c r="AR261" s="536"/>
      <c r="AS261" s="536"/>
      <c r="AT261" s="536"/>
      <c r="AU261" s="536"/>
      <c r="AV261" s="536"/>
      <c r="AW261" s="536"/>
      <c r="AX261" s="536"/>
      <c r="AY261" s="536"/>
      <c r="AZ261" s="536"/>
      <c r="BA261" s="536"/>
      <c r="BB261" s="536"/>
      <c r="BC261" s="536"/>
      <c r="BD261" s="536"/>
      <c r="BE261" s="536"/>
      <c r="BF261" s="536"/>
      <c r="BG261" s="536"/>
      <c r="BH261" s="536"/>
      <c r="BI261" s="536"/>
      <c r="BJ261" s="536"/>
      <c r="BK261" s="536"/>
      <c r="BL261" s="536"/>
      <c r="BM261" s="536"/>
      <c r="BN261" s="536"/>
      <c r="BO261" s="536"/>
      <c r="BP261" s="536"/>
      <c r="BQ261" s="536"/>
      <c r="BR261" s="536"/>
      <c r="BS261" s="536"/>
      <c r="BT261" s="536"/>
      <c r="BU261" s="536"/>
      <c r="BV261" s="536"/>
      <c r="BW261" s="536"/>
      <c r="BX261" s="536"/>
      <c r="BY261" s="536"/>
      <c r="BZ261" s="536"/>
      <c r="CA261" s="536"/>
      <c r="CB261" s="536"/>
      <c r="CC261" s="536"/>
      <c r="CD261" s="536"/>
    </row>
    <row r="262" spans="1:82" x14ac:dyDescent="0.2">
      <c r="A262" s="536">
        <f t="shared" si="94"/>
        <v>2</v>
      </c>
      <c r="B262" s="536">
        <f t="shared" si="95"/>
        <v>2014</v>
      </c>
      <c r="C262" s="552">
        <f t="shared" si="96"/>
        <v>41817</v>
      </c>
      <c r="D262" s="631" t="str">
        <f t="shared" si="97"/>
        <v>2Q14</v>
      </c>
      <c r="E262" s="540">
        <v>30.76999</v>
      </c>
      <c r="F262" s="535"/>
      <c r="G262" s="536"/>
      <c r="H262" s="536"/>
      <c r="I262" s="536"/>
      <c r="J262" s="536"/>
      <c r="K262" s="536"/>
      <c r="L262" s="536"/>
      <c r="M262" s="536"/>
      <c r="N262" s="536"/>
      <c r="O262" s="536"/>
      <c r="P262" s="536"/>
      <c r="Q262" s="536"/>
      <c r="R262" s="536"/>
      <c r="S262" s="536"/>
      <c r="T262" s="536"/>
      <c r="U262" s="536"/>
      <c r="V262" s="536"/>
      <c r="W262" s="536"/>
      <c r="X262" s="536"/>
      <c r="Y262" s="536"/>
      <c r="Z262" s="536"/>
      <c r="AA262" s="536"/>
      <c r="AB262" s="536"/>
      <c r="AC262" s="536"/>
      <c r="AD262" s="536"/>
      <c r="AE262" s="536"/>
      <c r="AF262" s="536"/>
      <c r="AG262" s="536"/>
      <c r="AH262" s="536"/>
      <c r="AI262" s="536"/>
      <c r="AJ262" s="536"/>
      <c r="AK262" s="536"/>
      <c r="AL262" s="536"/>
      <c r="AM262" s="536"/>
      <c r="AN262" s="536"/>
      <c r="AO262" s="536"/>
      <c r="AP262" s="536"/>
      <c r="AQ262" s="536"/>
      <c r="AR262" s="536"/>
      <c r="AS262" s="536"/>
      <c r="AT262" s="536"/>
      <c r="AU262" s="536"/>
      <c r="AV262" s="536"/>
      <c r="AW262" s="536"/>
      <c r="AX262" s="536"/>
      <c r="AY262" s="536"/>
      <c r="AZ262" s="536"/>
      <c r="BA262" s="536"/>
      <c r="BB262" s="536"/>
      <c r="BC262" s="536"/>
      <c r="BD262" s="536"/>
      <c r="BE262" s="536"/>
      <c r="BF262" s="536"/>
      <c r="BG262" s="536"/>
      <c r="BH262" s="536"/>
      <c r="BI262" s="536"/>
      <c r="BJ262" s="536"/>
      <c r="BK262" s="536"/>
      <c r="BL262" s="536"/>
      <c r="BM262" s="536"/>
      <c r="BN262" s="536"/>
      <c r="BO262" s="536"/>
      <c r="BP262" s="536"/>
      <c r="BQ262" s="536"/>
      <c r="BR262" s="536"/>
      <c r="BS262" s="536"/>
      <c r="BT262" s="536"/>
      <c r="BU262" s="536"/>
      <c r="BV262" s="536"/>
      <c r="BW262" s="536"/>
      <c r="BX262" s="536"/>
      <c r="BY262" s="536"/>
      <c r="BZ262" s="536"/>
      <c r="CA262" s="536"/>
      <c r="CB262" s="536"/>
      <c r="CC262" s="536"/>
      <c r="CD262" s="536"/>
    </row>
    <row r="263" spans="1:82" x14ac:dyDescent="0.2">
      <c r="A263" s="536">
        <f t="shared" si="94"/>
        <v>3</v>
      </c>
      <c r="B263" s="536">
        <f>YEAR(C263)</f>
        <v>2014</v>
      </c>
      <c r="C263" s="552">
        <f t="shared" si="96"/>
        <v>41824</v>
      </c>
      <c r="D263" s="631" t="str">
        <f>A263&amp;"Q"&amp;RIGHT(B263,2)</f>
        <v>3Q14</v>
      </c>
      <c r="E263" s="540">
        <v>31.199997</v>
      </c>
      <c r="F263" s="535"/>
      <c r="G263" s="536"/>
      <c r="H263" s="536"/>
      <c r="I263" s="536"/>
      <c r="J263" s="536"/>
      <c r="K263" s="536"/>
      <c r="L263" s="536"/>
      <c r="M263" s="536"/>
      <c r="N263" s="536"/>
      <c r="O263" s="536"/>
      <c r="P263" s="536"/>
      <c r="Q263" s="536"/>
      <c r="R263" s="536"/>
      <c r="S263" s="536"/>
      <c r="T263" s="536"/>
      <c r="U263" s="536"/>
      <c r="V263" s="536"/>
      <c r="W263" s="536"/>
      <c r="X263" s="536"/>
      <c r="Y263" s="536"/>
      <c r="Z263" s="536"/>
      <c r="AA263" s="536"/>
      <c r="AB263" s="536"/>
      <c r="AC263" s="536"/>
      <c r="AD263" s="536"/>
      <c r="AE263" s="536"/>
      <c r="AF263" s="536"/>
      <c r="AG263" s="536"/>
      <c r="AH263" s="536"/>
      <c r="AI263" s="536"/>
      <c r="AJ263" s="536"/>
      <c r="AK263" s="536"/>
      <c r="AL263" s="536"/>
      <c r="AM263" s="536"/>
      <c r="AN263" s="536"/>
      <c r="AO263" s="536"/>
      <c r="AP263" s="536"/>
      <c r="AQ263" s="536"/>
      <c r="AR263" s="536"/>
      <c r="AS263" s="536"/>
      <c r="AT263" s="536"/>
      <c r="AU263" s="536"/>
      <c r="AV263" s="536"/>
      <c r="AW263" s="536"/>
      <c r="AX263" s="536"/>
      <c r="AY263" s="536"/>
      <c r="AZ263" s="536"/>
      <c r="BA263" s="536"/>
      <c r="BB263" s="536"/>
      <c r="BC263" s="536"/>
      <c r="BD263" s="536"/>
      <c r="BE263" s="536"/>
      <c r="BF263" s="536"/>
      <c r="BG263" s="536"/>
      <c r="BH263" s="536"/>
      <c r="BI263" s="536"/>
      <c r="BJ263" s="536"/>
      <c r="BK263" s="536"/>
      <c r="BL263" s="536"/>
      <c r="BM263" s="536"/>
      <c r="BN263" s="536"/>
      <c r="BO263" s="536"/>
      <c r="BP263" s="536"/>
      <c r="BQ263" s="536"/>
      <c r="BR263" s="536"/>
      <c r="BS263" s="536"/>
      <c r="BT263" s="536"/>
      <c r="BU263" s="536"/>
      <c r="BV263" s="536"/>
      <c r="BW263" s="536"/>
      <c r="BX263" s="536"/>
      <c r="BY263" s="536"/>
      <c r="BZ263" s="536"/>
      <c r="CA263" s="536"/>
      <c r="CB263" s="536"/>
      <c r="CC263" s="536"/>
      <c r="CD263" s="536"/>
    </row>
    <row r="264" spans="1:82" x14ac:dyDescent="0.2">
      <c r="A264" s="536">
        <f t="shared" si="94"/>
        <v>3</v>
      </c>
      <c r="B264" s="536">
        <f>YEAR(C264)</f>
        <v>2014</v>
      </c>
      <c r="C264" s="552">
        <f t="shared" si="96"/>
        <v>41831</v>
      </c>
      <c r="D264" s="631" t="str">
        <f>A264&amp;"Q"&amp;RIGHT(B264,2)</f>
        <v>3Q14</v>
      </c>
      <c r="E264" s="540">
        <v>31</v>
      </c>
      <c r="F264" s="535"/>
      <c r="G264" s="536"/>
      <c r="H264" s="536"/>
      <c r="I264" s="536"/>
      <c r="J264" s="536"/>
      <c r="K264" s="536"/>
      <c r="L264" s="536"/>
      <c r="M264" s="536"/>
      <c r="N264" s="536"/>
      <c r="O264" s="536"/>
      <c r="P264" s="536"/>
      <c r="Q264" s="536"/>
      <c r="R264" s="536"/>
      <c r="S264" s="536"/>
      <c r="T264" s="536"/>
      <c r="U264" s="536"/>
      <c r="V264" s="536"/>
      <c r="W264" s="536"/>
      <c r="X264" s="536"/>
      <c r="Y264" s="536"/>
      <c r="Z264" s="536"/>
      <c r="AA264" s="536"/>
      <c r="AB264" s="536"/>
      <c r="AC264" s="536"/>
      <c r="AD264" s="536"/>
      <c r="AE264" s="536"/>
      <c r="AF264" s="536"/>
      <c r="AG264" s="536"/>
      <c r="AH264" s="536"/>
      <c r="AI264" s="536"/>
      <c r="AJ264" s="536"/>
      <c r="AK264" s="536"/>
      <c r="AL264" s="536"/>
      <c r="AM264" s="536"/>
      <c r="AN264" s="536"/>
      <c r="AO264" s="536"/>
      <c r="AP264" s="536"/>
      <c r="AQ264" s="536"/>
      <c r="AR264" s="536"/>
      <c r="AS264" s="536"/>
      <c r="AT264" s="536"/>
      <c r="AU264" s="536"/>
      <c r="AV264" s="536"/>
      <c r="AW264" s="536"/>
      <c r="AX264" s="536"/>
      <c r="AY264" s="536"/>
      <c r="AZ264" s="536"/>
      <c r="BA264" s="536"/>
      <c r="BB264" s="536"/>
      <c r="BC264" s="536"/>
      <c r="BD264" s="536"/>
      <c r="BE264" s="536"/>
      <c r="BF264" s="536"/>
      <c r="BG264" s="536"/>
      <c r="BH264" s="536"/>
      <c r="BI264" s="536"/>
      <c r="BJ264" s="536"/>
      <c r="BK264" s="536"/>
      <c r="BL264" s="536"/>
      <c r="BM264" s="536"/>
      <c r="BN264" s="536"/>
      <c r="BO264" s="536"/>
      <c r="BP264" s="536"/>
      <c r="BQ264" s="536"/>
      <c r="BR264" s="536"/>
      <c r="BS264" s="536"/>
      <c r="BT264" s="536"/>
      <c r="BU264" s="536"/>
      <c r="BV264" s="536"/>
      <c r="BW264" s="536"/>
      <c r="BX264" s="536"/>
      <c r="BY264" s="536"/>
      <c r="BZ264" s="536"/>
      <c r="CA264" s="536"/>
      <c r="CB264" s="536"/>
      <c r="CC264" s="536"/>
      <c r="CD264" s="536"/>
    </row>
    <row r="265" spans="1:82" x14ac:dyDescent="0.2">
      <c r="A265" s="536">
        <f t="shared" si="94"/>
        <v>3</v>
      </c>
      <c r="B265" s="536">
        <f>YEAR(C265)</f>
        <v>2014</v>
      </c>
      <c r="C265" s="552">
        <f t="shared" si="96"/>
        <v>41838</v>
      </c>
      <c r="D265" s="631" t="str">
        <f>A265&amp;"Q"&amp;RIGHT(B265,2)</f>
        <v>3Q14</v>
      </c>
      <c r="E265" s="540">
        <v>31.089997</v>
      </c>
      <c r="F265" s="535"/>
      <c r="G265" s="536"/>
      <c r="H265" s="536"/>
      <c r="I265" s="536"/>
      <c r="J265" s="536"/>
      <c r="K265" s="536"/>
      <c r="L265" s="536"/>
      <c r="M265" s="536"/>
      <c r="N265" s="536"/>
      <c r="O265" s="536"/>
      <c r="P265" s="536"/>
      <c r="Q265" s="536"/>
      <c r="R265" s="536"/>
      <c r="S265" s="536"/>
      <c r="T265" s="536"/>
      <c r="U265" s="536"/>
      <c r="V265" s="536"/>
      <c r="W265" s="536"/>
      <c r="X265" s="536"/>
      <c r="Y265" s="536"/>
      <c r="Z265" s="536"/>
      <c r="AA265" s="536"/>
      <c r="AB265" s="536"/>
      <c r="AC265" s="536"/>
      <c r="AD265" s="536"/>
      <c r="AE265" s="536"/>
      <c r="AF265" s="536"/>
      <c r="AG265" s="536"/>
      <c r="AH265" s="536"/>
      <c r="AI265" s="536"/>
      <c r="AJ265" s="536"/>
      <c r="AK265" s="536"/>
      <c r="AL265" s="536"/>
      <c r="AM265" s="536"/>
      <c r="AN265" s="536"/>
      <c r="AO265" s="536"/>
      <c r="AP265" s="536"/>
      <c r="AQ265" s="536"/>
      <c r="AR265" s="536"/>
      <c r="AS265" s="536"/>
      <c r="AT265" s="536"/>
      <c r="AU265" s="536"/>
      <c r="AV265" s="536"/>
      <c r="AW265" s="536"/>
      <c r="AX265" s="536"/>
      <c r="AY265" s="536"/>
      <c r="AZ265" s="536"/>
      <c r="BA265" s="536"/>
      <c r="BB265" s="536"/>
      <c r="BC265" s="536"/>
      <c r="BD265" s="536"/>
      <c r="BE265" s="536"/>
      <c r="BF265" s="536"/>
      <c r="BG265" s="536"/>
      <c r="BH265" s="536"/>
      <c r="BI265" s="536"/>
      <c r="BJ265" s="536"/>
      <c r="BK265" s="536"/>
      <c r="BL265" s="536"/>
      <c r="BM265" s="536"/>
      <c r="BN265" s="536"/>
      <c r="BO265" s="536"/>
      <c r="BP265" s="536"/>
      <c r="BQ265" s="536"/>
      <c r="BR265" s="536"/>
      <c r="BS265" s="536"/>
      <c r="BT265" s="536"/>
      <c r="BU265" s="536"/>
      <c r="BV265" s="536"/>
      <c r="BW265" s="536"/>
      <c r="BX265" s="536"/>
      <c r="BY265" s="536"/>
      <c r="BZ265" s="536"/>
      <c r="CA265" s="536"/>
      <c r="CB265" s="536"/>
      <c r="CC265" s="536"/>
      <c r="CD265" s="536"/>
    </row>
    <row r="266" spans="1:82" x14ac:dyDescent="0.2">
      <c r="A266" s="536">
        <f t="shared" si="94"/>
        <v>3</v>
      </c>
      <c r="B266" s="536">
        <f t="shared" si="95"/>
        <v>2014</v>
      </c>
      <c r="C266" s="552">
        <f t="shared" si="96"/>
        <v>41845</v>
      </c>
      <c r="D266" s="631" t="str">
        <f t="shared" si="97"/>
        <v>3Q14</v>
      </c>
      <c r="E266" s="540">
        <v>31</v>
      </c>
      <c r="F266" s="535"/>
      <c r="G266" s="536"/>
      <c r="H266" s="536"/>
      <c r="I266" s="536"/>
      <c r="J266" s="536"/>
      <c r="K266" s="536"/>
      <c r="L266" s="536"/>
      <c r="M266" s="536"/>
      <c r="N266" s="536"/>
      <c r="O266" s="536"/>
      <c r="P266" s="536"/>
      <c r="Q266" s="536"/>
      <c r="R266" s="536"/>
      <c r="S266" s="536"/>
      <c r="T266" s="536"/>
      <c r="U266" s="536"/>
      <c r="V266" s="536"/>
      <c r="W266" s="536"/>
      <c r="X266" s="536"/>
      <c r="Y266" s="536"/>
      <c r="Z266" s="536"/>
      <c r="AA266" s="536"/>
      <c r="AB266" s="536"/>
      <c r="AC266" s="536"/>
      <c r="AD266" s="536"/>
      <c r="AE266" s="536"/>
      <c r="AF266" s="536"/>
      <c r="AG266" s="536"/>
      <c r="AH266" s="536"/>
      <c r="AI266" s="536"/>
      <c r="AJ266" s="536"/>
      <c r="AK266" s="536"/>
      <c r="AL266" s="536"/>
      <c r="AM266" s="536"/>
      <c r="AN266" s="536"/>
      <c r="AO266" s="536"/>
      <c r="AP266" s="536"/>
      <c r="AQ266" s="536"/>
      <c r="AR266" s="536"/>
      <c r="AS266" s="536"/>
      <c r="AT266" s="536"/>
      <c r="AU266" s="536"/>
      <c r="AV266" s="536"/>
      <c r="AW266" s="536"/>
      <c r="AX266" s="536"/>
      <c r="AY266" s="536"/>
      <c r="AZ266" s="536"/>
      <c r="BA266" s="536"/>
      <c r="BB266" s="536"/>
      <c r="BC266" s="536"/>
      <c r="BD266" s="536"/>
      <c r="BE266" s="536"/>
      <c r="BF266" s="536"/>
      <c r="BG266" s="536"/>
      <c r="BH266" s="536"/>
      <c r="BI266" s="536"/>
      <c r="BJ266" s="536"/>
      <c r="BK266" s="536"/>
      <c r="BL266" s="536"/>
      <c r="BM266" s="536"/>
      <c r="BN266" s="536"/>
      <c r="BO266" s="536"/>
      <c r="BP266" s="536"/>
      <c r="BQ266" s="536"/>
      <c r="BR266" s="536"/>
      <c r="BS266" s="536"/>
      <c r="BT266" s="536"/>
      <c r="BU266" s="536"/>
      <c r="BV266" s="536"/>
      <c r="BW266" s="536"/>
      <c r="BX266" s="536"/>
      <c r="BY266" s="536"/>
      <c r="BZ266" s="536"/>
      <c r="CA266" s="536"/>
      <c r="CB266" s="536"/>
      <c r="CC266" s="536"/>
      <c r="CD266" s="536"/>
    </row>
    <row r="267" spans="1:82" x14ac:dyDescent="0.2">
      <c r="A267" s="536">
        <f t="shared" si="94"/>
        <v>3</v>
      </c>
      <c r="B267" s="536">
        <f t="shared" si="95"/>
        <v>2014</v>
      </c>
      <c r="C267" s="552">
        <f t="shared" si="96"/>
        <v>41852</v>
      </c>
      <c r="D267" s="631" t="str">
        <f t="shared" si="97"/>
        <v>3Q14</v>
      </c>
      <c r="E267" s="540">
        <v>29.589997</v>
      </c>
      <c r="F267" s="535"/>
      <c r="G267" s="536"/>
      <c r="H267" s="536"/>
      <c r="I267" s="536"/>
      <c r="J267" s="536"/>
      <c r="K267" s="536"/>
      <c r="L267" s="536"/>
      <c r="M267" s="536"/>
      <c r="N267" s="536"/>
      <c r="O267" s="536"/>
      <c r="P267" s="536"/>
      <c r="Q267" s="536"/>
      <c r="R267" s="536"/>
      <c r="S267" s="536"/>
      <c r="T267" s="536"/>
      <c r="U267" s="536"/>
      <c r="V267" s="536"/>
      <c r="W267" s="536"/>
      <c r="X267" s="536"/>
      <c r="Y267" s="536"/>
      <c r="Z267" s="536"/>
      <c r="AA267" s="536"/>
      <c r="AB267" s="536"/>
      <c r="AC267" s="536"/>
      <c r="AD267" s="536"/>
      <c r="AE267" s="536"/>
      <c r="AF267" s="536"/>
      <c r="AG267" s="536"/>
      <c r="AH267" s="536"/>
      <c r="AI267" s="536"/>
      <c r="AJ267" s="536"/>
      <c r="AK267" s="536"/>
      <c r="AL267" s="536"/>
      <c r="AM267" s="536"/>
      <c r="AN267" s="536"/>
      <c r="AO267" s="536"/>
      <c r="AP267" s="536"/>
      <c r="AQ267" s="536"/>
      <c r="AR267" s="536"/>
      <c r="AS267" s="536"/>
      <c r="AT267" s="536"/>
      <c r="AU267" s="536"/>
      <c r="AV267" s="536"/>
      <c r="AW267" s="536"/>
      <c r="AX267" s="536"/>
      <c r="AY267" s="536"/>
      <c r="AZ267" s="536"/>
      <c r="BA267" s="536"/>
      <c r="BB267" s="536"/>
      <c r="BC267" s="536"/>
      <c r="BD267" s="536"/>
      <c r="BE267" s="536"/>
      <c r="BF267" s="536"/>
      <c r="BG267" s="536"/>
      <c r="BH267" s="536"/>
      <c r="BI267" s="536"/>
      <c r="BJ267" s="536"/>
      <c r="BK267" s="536"/>
      <c r="BL267" s="536"/>
      <c r="BM267" s="536"/>
      <c r="BN267" s="536"/>
      <c r="BO267" s="536"/>
      <c r="BP267" s="536"/>
      <c r="BQ267" s="536"/>
      <c r="BR267" s="536"/>
      <c r="BS267" s="536"/>
      <c r="BT267" s="536"/>
      <c r="BU267" s="536"/>
      <c r="BV267" s="536"/>
      <c r="BW267" s="536"/>
      <c r="BX267" s="536"/>
      <c r="BY267" s="536"/>
      <c r="BZ267" s="536"/>
      <c r="CA267" s="536"/>
      <c r="CB267" s="536"/>
      <c r="CC267" s="536"/>
      <c r="CD267" s="536"/>
    </row>
    <row r="268" spans="1:82" x14ac:dyDescent="0.2">
      <c r="A268" s="536">
        <f t="shared" si="94"/>
        <v>3</v>
      </c>
      <c r="B268" s="536">
        <f t="shared" si="95"/>
        <v>2014</v>
      </c>
      <c r="C268" s="552">
        <f t="shared" si="96"/>
        <v>41859</v>
      </c>
      <c r="D268" s="631" t="str">
        <f t="shared" si="97"/>
        <v>3Q14</v>
      </c>
      <c r="E268" s="540">
        <v>29.539994</v>
      </c>
      <c r="F268" s="535"/>
      <c r="G268" s="536"/>
      <c r="H268" s="536"/>
      <c r="I268" s="536"/>
      <c r="J268" s="536"/>
      <c r="K268" s="536"/>
      <c r="L268" s="536"/>
      <c r="M268" s="536"/>
      <c r="N268" s="536"/>
      <c r="O268" s="536"/>
      <c r="P268" s="536"/>
      <c r="Q268" s="536"/>
      <c r="R268" s="536"/>
      <c r="S268" s="536"/>
      <c r="T268" s="536"/>
      <c r="U268" s="536"/>
      <c r="V268" s="536"/>
      <c r="W268" s="536"/>
      <c r="X268" s="536"/>
      <c r="Y268" s="536"/>
      <c r="Z268" s="536"/>
      <c r="AA268" s="536"/>
      <c r="AB268" s="536"/>
      <c r="AC268" s="536"/>
      <c r="AD268" s="536"/>
      <c r="AE268" s="536"/>
      <c r="AF268" s="536"/>
      <c r="AG268" s="536"/>
      <c r="AH268" s="536"/>
      <c r="AI268" s="536"/>
      <c r="AJ268" s="536"/>
      <c r="AK268" s="536"/>
      <c r="AL268" s="536"/>
      <c r="AM268" s="536"/>
      <c r="AN268" s="536"/>
      <c r="AO268" s="536"/>
      <c r="AP268" s="536"/>
      <c r="AQ268" s="536"/>
      <c r="AR268" s="536"/>
      <c r="AS268" s="536"/>
      <c r="AT268" s="536"/>
      <c r="AU268" s="536"/>
      <c r="AV268" s="536"/>
      <c r="AW268" s="536"/>
      <c r="AX268" s="536"/>
      <c r="AY268" s="536"/>
      <c r="AZ268" s="536"/>
      <c r="BA268" s="536"/>
      <c r="BB268" s="536"/>
      <c r="BC268" s="536"/>
      <c r="BD268" s="536"/>
      <c r="BE268" s="536"/>
      <c r="BF268" s="536"/>
      <c r="BG268" s="536"/>
      <c r="BH268" s="536"/>
      <c r="BI268" s="536"/>
      <c r="BJ268" s="536"/>
      <c r="BK268" s="536"/>
      <c r="BL268" s="536"/>
      <c r="BM268" s="536"/>
      <c r="BN268" s="536"/>
      <c r="BO268" s="536"/>
      <c r="BP268" s="536"/>
      <c r="BQ268" s="536"/>
      <c r="BR268" s="536"/>
      <c r="BS268" s="536"/>
      <c r="BT268" s="536"/>
      <c r="BU268" s="536"/>
      <c r="BV268" s="536"/>
      <c r="BW268" s="536"/>
      <c r="BX268" s="536"/>
      <c r="BY268" s="536"/>
      <c r="BZ268" s="536"/>
      <c r="CA268" s="536"/>
      <c r="CB268" s="536"/>
      <c r="CC268" s="536"/>
      <c r="CD268" s="536"/>
    </row>
    <row r="269" spans="1:82" x14ac:dyDescent="0.2">
      <c r="A269" s="536">
        <f t="shared" si="94"/>
        <v>3</v>
      </c>
      <c r="B269" s="536">
        <f t="shared" si="95"/>
        <v>2014</v>
      </c>
      <c r="C269" s="552">
        <f t="shared" si="96"/>
        <v>41866</v>
      </c>
      <c r="D269" s="631" t="str">
        <f t="shared" si="97"/>
        <v>3Q14</v>
      </c>
      <c r="E269" s="540">
        <v>29.629989999999999</v>
      </c>
      <c r="F269" s="535"/>
      <c r="G269" s="536"/>
      <c r="H269" s="536"/>
      <c r="I269" s="536"/>
      <c r="J269" s="536"/>
      <c r="K269" s="536"/>
      <c r="L269" s="536"/>
      <c r="M269" s="536"/>
      <c r="N269" s="536"/>
      <c r="O269" s="536"/>
      <c r="P269" s="536"/>
      <c r="Q269" s="536"/>
      <c r="R269" s="536"/>
      <c r="S269" s="536"/>
      <c r="T269" s="536"/>
      <c r="U269" s="536"/>
      <c r="V269" s="536"/>
      <c r="W269" s="536"/>
      <c r="X269" s="536"/>
      <c r="Y269" s="536"/>
      <c r="Z269" s="536"/>
      <c r="AA269" s="536"/>
      <c r="AB269" s="536"/>
      <c r="AC269" s="536"/>
      <c r="AD269" s="536"/>
      <c r="AE269" s="536"/>
      <c r="AF269" s="536"/>
      <c r="AG269" s="536"/>
      <c r="AH269" s="536"/>
      <c r="AI269" s="536"/>
      <c r="AJ269" s="536"/>
      <c r="AK269" s="536"/>
      <c r="AL269" s="536"/>
      <c r="AM269" s="536"/>
      <c r="AN269" s="536"/>
      <c r="AO269" s="536"/>
      <c r="AP269" s="536"/>
      <c r="AQ269" s="536"/>
      <c r="AR269" s="536"/>
      <c r="AS269" s="536"/>
      <c r="AT269" s="536"/>
      <c r="AU269" s="536"/>
      <c r="AV269" s="536"/>
      <c r="AW269" s="536"/>
      <c r="AX269" s="536"/>
      <c r="AY269" s="536"/>
      <c r="AZ269" s="536"/>
      <c r="BA269" s="536"/>
      <c r="BB269" s="536"/>
      <c r="BC269" s="536"/>
      <c r="BD269" s="536"/>
      <c r="BE269" s="536"/>
      <c r="BF269" s="536"/>
      <c r="BG269" s="536"/>
      <c r="BH269" s="536"/>
      <c r="BI269" s="536"/>
      <c r="BJ269" s="536"/>
      <c r="BK269" s="536"/>
      <c r="BL269" s="536"/>
      <c r="BM269" s="536"/>
      <c r="BN269" s="536"/>
      <c r="BO269" s="536"/>
      <c r="BP269" s="536"/>
      <c r="BQ269" s="536"/>
      <c r="BR269" s="536"/>
      <c r="BS269" s="536"/>
      <c r="BT269" s="536"/>
      <c r="BU269" s="536"/>
      <c r="BV269" s="536"/>
      <c r="BW269" s="536"/>
      <c r="BX269" s="536"/>
      <c r="BY269" s="536"/>
      <c r="BZ269" s="536"/>
      <c r="CA269" s="536"/>
      <c r="CB269" s="536"/>
      <c r="CC269" s="536"/>
      <c r="CD269" s="536"/>
    </row>
    <row r="270" spans="1:82" x14ac:dyDescent="0.2">
      <c r="A270" s="536">
        <f t="shared" si="94"/>
        <v>3</v>
      </c>
      <c r="B270" s="536">
        <f t="shared" si="95"/>
        <v>2014</v>
      </c>
      <c r="C270" s="552">
        <f t="shared" si="96"/>
        <v>41873</v>
      </c>
      <c r="D270" s="631" t="str">
        <f t="shared" si="97"/>
        <v>3Q14</v>
      </c>
      <c r="E270" s="540">
        <v>30.709992</v>
      </c>
      <c r="F270" s="535"/>
      <c r="G270" s="536"/>
      <c r="H270" s="536"/>
      <c r="I270" s="536"/>
      <c r="J270" s="536"/>
      <c r="K270" s="536"/>
      <c r="L270" s="536"/>
      <c r="M270" s="536"/>
      <c r="N270" s="536"/>
      <c r="O270" s="536"/>
      <c r="P270" s="536"/>
      <c r="Q270" s="536"/>
      <c r="R270" s="536"/>
      <c r="S270" s="536"/>
      <c r="T270" s="536"/>
      <c r="U270" s="536"/>
      <c r="V270" s="536"/>
      <c r="W270" s="536"/>
      <c r="X270" s="536"/>
      <c r="Y270" s="536"/>
      <c r="Z270" s="536"/>
      <c r="AA270" s="536"/>
      <c r="AB270" s="536"/>
      <c r="AC270" s="536"/>
      <c r="AD270" s="536"/>
      <c r="AE270" s="536"/>
      <c r="AF270" s="536"/>
      <c r="AG270" s="536"/>
      <c r="AH270" s="536"/>
      <c r="AI270" s="536"/>
      <c r="AJ270" s="536"/>
      <c r="AK270" s="536"/>
      <c r="AL270" s="536"/>
      <c r="AM270" s="536"/>
      <c r="AN270" s="536"/>
      <c r="AO270" s="536"/>
      <c r="AP270" s="536"/>
      <c r="AQ270" s="536"/>
      <c r="AR270" s="536"/>
      <c r="AS270" s="536"/>
      <c r="AT270" s="536"/>
      <c r="AU270" s="536"/>
      <c r="AV270" s="536"/>
      <c r="AW270" s="536"/>
      <c r="AX270" s="536"/>
      <c r="AY270" s="536"/>
      <c r="AZ270" s="536"/>
      <c r="BA270" s="536"/>
      <c r="BB270" s="536"/>
      <c r="BC270" s="536"/>
      <c r="BD270" s="536"/>
      <c r="BE270" s="536"/>
      <c r="BF270" s="536"/>
      <c r="BG270" s="536"/>
      <c r="BH270" s="536"/>
      <c r="BI270" s="536"/>
      <c r="BJ270" s="536"/>
      <c r="BK270" s="536"/>
      <c r="BL270" s="536"/>
      <c r="BM270" s="536"/>
      <c r="BN270" s="536"/>
      <c r="BO270" s="536"/>
      <c r="BP270" s="536"/>
      <c r="BQ270" s="536"/>
      <c r="BR270" s="536"/>
      <c r="BS270" s="536"/>
      <c r="BT270" s="536"/>
      <c r="BU270" s="536"/>
      <c r="BV270" s="536"/>
      <c r="BW270" s="536"/>
      <c r="BX270" s="536"/>
      <c r="BY270" s="536"/>
      <c r="BZ270" s="536"/>
      <c r="CA270" s="536"/>
      <c r="CB270" s="536"/>
      <c r="CC270" s="536"/>
      <c r="CD270" s="536"/>
    </row>
    <row r="271" spans="1:82" x14ac:dyDescent="0.2">
      <c r="A271" s="536">
        <f t="shared" si="94"/>
        <v>3</v>
      </c>
      <c r="B271" s="536">
        <f t="shared" si="95"/>
        <v>2014</v>
      </c>
      <c r="C271" s="552">
        <f t="shared" si="96"/>
        <v>41880</v>
      </c>
      <c r="D271" s="631" t="str">
        <f t="shared" si="97"/>
        <v>3Q14</v>
      </c>
      <c r="E271" s="540">
        <v>30.909988999999999</v>
      </c>
      <c r="F271" s="535"/>
      <c r="G271" s="536"/>
      <c r="H271" s="536"/>
      <c r="I271" s="536"/>
      <c r="J271" s="536"/>
      <c r="K271" s="536"/>
      <c r="L271" s="536"/>
      <c r="M271" s="536"/>
      <c r="N271" s="536"/>
      <c r="O271" s="536"/>
      <c r="P271" s="536"/>
      <c r="Q271" s="536"/>
      <c r="R271" s="536"/>
      <c r="S271" s="536"/>
      <c r="T271" s="536"/>
      <c r="U271" s="536"/>
      <c r="V271" s="536"/>
      <c r="W271" s="536"/>
      <c r="X271" s="536"/>
      <c r="Y271" s="536"/>
      <c r="Z271" s="536"/>
      <c r="AA271" s="536"/>
      <c r="AB271" s="536"/>
      <c r="AC271" s="536"/>
      <c r="AD271" s="536"/>
      <c r="AE271" s="536"/>
      <c r="AF271" s="536"/>
      <c r="AG271" s="536"/>
      <c r="AH271" s="536"/>
      <c r="AI271" s="536"/>
      <c r="AJ271" s="536"/>
      <c r="AK271" s="536"/>
      <c r="AL271" s="536"/>
      <c r="AM271" s="536"/>
      <c r="AN271" s="536"/>
      <c r="AO271" s="536"/>
      <c r="AP271" s="536"/>
      <c r="AQ271" s="536"/>
      <c r="AR271" s="536"/>
      <c r="AS271" s="536"/>
      <c r="AT271" s="536"/>
      <c r="AU271" s="536"/>
      <c r="AV271" s="536"/>
      <c r="AW271" s="536"/>
      <c r="AX271" s="536"/>
      <c r="AY271" s="536"/>
      <c r="AZ271" s="536"/>
      <c r="BA271" s="536"/>
      <c r="BB271" s="536"/>
      <c r="BC271" s="536"/>
      <c r="BD271" s="536"/>
      <c r="BE271" s="536"/>
      <c r="BF271" s="536"/>
      <c r="BG271" s="536"/>
      <c r="BH271" s="536"/>
      <c r="BI271" s="536"/>
      <c r="BJ271" s="536"/>
      <c r="BK271" s="536"/>
      <c r="BL271" s="536"/>
      <c r="BM271" s="536"/>
      <c r="BN271" s="536"/>
      <c r="BO271" s="536"/>
      <c r="BP271" s="536"/>
      <c r="BQ271" s="536"/>
      <c r="BR271" s="536"/>
      <c r="BS271" s="536"/>
      <c r="BT271" s="536"/>
      <c r="BU271" s="536"/>
      <c r="BV271" s="536"/>
      <c r="BW271" s="536"/>
      <c r="BX271" s="536"/>
      <c r="BY271" s="536"/>
      <c r="BZ271" s="536"/>
      <c r="CA271" s="536"/>
      <c r="CB271" s="536"/>
      <c r="CC271" s="536"/>
      <c r="CD271" s="536"/>
    </row>
    <row r="272" spans="1:82" x14ac:dyDescent="0.2">
      <c r="A272" s="536">
        <f t="shared" si="94"/>
        <v>3</v>
      </c>
      <c r="B272" s="536">
        <f t="shared" si="95"/>
        <v>2014</v>
      </c>
      <c r="C272" s="552">
        <f t="shared" si="96"/>
        <v>41887</v>
      </c>
      <c r="D272" s="631" t="str">
        <f t="shared" si="97"/>
        <v>3Q14</v>
      </c>
      <c r="E272" s="540">
        <v>31.489991</v>
      </c>
      <c r="F272" s="535"/>
      <c r="G272" s="536"/>
      <c r="H272" s="536"/>
      <c r="I272" s="536"/>
      <c r="J272" s="536"/>
      <c r="K272" s="536"/>
      <c r="L272" s="536"/>
      <c r="M272" s="536"/>
      <c r="N272" s="536"/>
      <c r="O272" s="536"/>
      <c r="P272" s="536"/>
      <c r="Q272" s="536"/>
      <c r="R272" s="536"/>
      <c r="S272" s="536"/>
      <c r="T272" s="536"/>
      <c r="U272" s="536"/>
      <c r="V272" s="536"/>
      <c r="W272" s="536"/>
      <c r="X272" s="536"/>
      <c r="Y272" s="536"/>
      <c r="Z272" s="536"/>
      <c r="AA272" s="536"/>
      <c r="AB272" s="536"/>
      <c r="AC272" s="536"/>
      <c r="AD272" s="536"/>
      <c r="AE272" s="536"/>
      <c r="AF272" s="536"/>
      <c r="AG272" s="536"/>
      <c r="AH272" s="536"/>
      <c r="AI272" s="536"/>
      <c r="AJ272" s="536"/>
      <c r="AK272" s="536"/>
      <c r="AL272" s="536"/>
      <c r="AM272" s="536"/>
      <c r="AN272" s="536"/>
      <c r="AO272" s="536"/>
      <c r="AP272" s="536"/>
      <c r="AQ272" s="536"/>
      <c r="AR272" s="536"/>
      <c r="AS272" s="536"/>
      <c r="AT272" s="536"/>
      <c r="AU272" s="536"/>
      <c r="AV272" s="536"/>
      <c r="AW272" s="536"/>
      <c r="AX272" s="536"/>
      <c r="AY272" s="536"/>
      <c r="AZ272" s="536"/>
      <c r="BA272" s="536"/>
      <c r="BB272" s="536"/>
      <c r="BC272" s="536"/>
      <c r="BD272" s="536"/>
      <c r="BE272" s="536"/>
      <c r="BF272" s="536"/>
      <c r="BG272" s="536"/>
      <c r="BH272" s="536"/>
      <c r="BI272" s="536"/>
      <c r="BJ272" s="536"/>
      <c r="BK272" s="536"/>
      <c r="BL272" s="536"/>
      <c r="BM272" s="536"/>
      <c r="BN272" s="536"/>
      <c r="BO272" s="536"/>
      <c r="BP272" s="536"/>
      <c r="BQ272" s="536"/>
      <c r="BR272" s="536"/>
      <c r="BS272" s="536"/>
      <c r="BT272" s="536"/>
      <c r="BU272" s="536"/>
      <c r="BV272" s="536"/>
      <c r="BW272" s="536"/>
      <c r="BX272" s="536"/>
      <c r="BY272" s="536"/>
      <c r="BZ272" s="536"/>
      <c r="CA272" s="536"/>
      <c r="CB272" s="536"/>
      <c r="CC272" s="536"/>
      <c r="CD272" s="536"/>
    </row>
    <row r="273" spans="1:82" x14ac:dyDescent="0.2">
      <c r="A273" s="536">
        <f t="shared" si="94"/>
        <v>3</v>
      </c>
      <c r="B273" s="536">
        <f t="shared" si="95"/>
        <v>2014</v>
      </c>
      <c r="C273" s="552">
        <f t="shared" si="96"/>
        <v>41894</v>
      </c>
      <c r="D273" s="631" t="str">
        <f t="shared" si="97"/>
        <v>3Q14</v>
      </c>
      <c r="E273" s="540">
        <v>31.289994</v>
      </c>
      <c r="F273" s="535"/>
      <c r="G273" s="536"/>
      <c r="H273" s="536"/>
      <c r="I273" s="536"/>
      <c r="J273" s="536"/>
      <c r="K273" s="536"/>
      <c r="L273" s="536"/>
      <c r="M273" s="536"/>
      <c r="N273" s="536"/>
      <c r="O273" s="536"/>
      <c r="P273" s="536"/>
      <c r="Q273" s="536"/>
      <c r="R273" s="536"/>
      <c r="S273" s="536"/>
      <c r="T273" s="536"/>
      <c r="U273" s="536"/>
      <c r="V273" s="536"/>
      <c r="W273" s="536"/>
      <c r="X273" s="536"/>
      <c r="Y273" s="536"/>
      <c r="Z273" s="536"/>
      <c r="AA273" s="536"/>
      <c r="AB273" s="536"/>
      <c r="AC273" s="536"/>
      <c r="AD273" s="536"/>
      <c r="AE273" s="536"/>
      <c r="AF273" s="536"/>
      <c r="AG273" s="536"/>
      <c r="AH273" s="536"/>
      <c r="AI273" s="536"/>
      <c r="AJ273" s="536"/>
      <c r="AK273" s="536"/>
      <c r="AL273" s="536"/>
      <c r="AM273" s="536"/>
      <c r="AN273" s="536"/>
      <c r="AO273" s="536"/>
      <c r="AP273" s="536"/>
      <c r="AQ273" s="536"/>
      <c r="AR273" s="536"/>
      <c r="AS273" s="536"/>
      <c r="AT273" s="536"/>
      <c r="AU273" s="536"/>
      <c r="AV273" s="536"/>
      <c r="AW273" s="536"/>
      <c r="AX273" s="536"/>
      <c r="AY273" s="536"/>
      <c r="AZ273" s="536"/>
      <c r="BA273" s="536"/>
      <c r="BB273" s="536"/>
      <c r="BC273" s="536"/>
      <c r="BD273" s="536"/>
      <c r="BE273" s="536"/>
      <c r="BF273" s="536"/>
      <c r="BG273" s="536"/>
      <c r="BH273" s="536"/>
      <c r="BI273" s="536"/>
      <c r="BJ273" s="536"/>
      <c r="BK273" s="536"/>
      <c r="BL273" s="536"/>
      <c r="BM273" s="536"/>
      <c r="BN273" s="536"/>
      <c r="BO273" s="536"/>
      <c r="BP273" s="536"/>
      <c r="BQ273" s="536"/>
      <c r="BR273" s="536"/>
      <c r="BS273" s="536"/>
      <c r="BT273" s="536"/>
      <c r="BU273" s="536"/>
      <c r="BV273" s="536"/>
      <c r="BW273" s="536"/>
      <c r="BX273" s="536"/>
      <c r="BY273" s="536"/>
      <c r="BZ273" s="536"/>
      <c r="CA273" s="536"/>
      <c r="CB273" s="536"/>
      <c r="CC273" s="536"/>
      <c r="CD273" s="536"/>
    </row>
    <row r="274" spans="1:82" x14ac:dyDescent="0.2">
      <c r="A274" s="536">
        <f t="shared" si="94"/>
        <v>3</v>
      </c>
      <c r="B274" s="536">
        <f t="shared" si="95"/>
        <v>2014</v>
      </c>
      <c r="C274" s="552">
        <f t="shared" si="96"/>
        <v>41901</v>
      </c>
      <c r="D274" s="631" t="str">
        <f t="shared" si="97"/>
        <v>3Q14</v>
      </c>
      <c r="E274" s="540">
        <v>32.459992</v>
      </c>
      <c r="F274" s="535"/>
      <c r="G274" s="536"/>
      <c r="H274" s="536"/>
      <c r="I274" s="536"/>
      <c r="J274" s="536"/>
      <c r="K274" s="536"/>
      <c r="L274" s="536"/>
      <c r="M274" s="536"/>
      <c r="N274" s="536"/>
      <c r="O274" s="536"/>
      <c r="P274" s="536"/>
      <c r="Q274" s="536"/>
      <c r="R274" s="536"/>
      <c r="S274" s="536"/>
      <c r="T274" s="536"/>
      <c r="U274" s="536"/>
      <c r="V274" s="536"/>
      <c r="W274" s="536"/>
      <c r="X274" s="536"/>
      <c r="Y274" s="536"/>
      <c r="Z274" s="536"/>
      <c r="AA274" s="536"/>
      <c r="AB274" s="536"/>
      <c r="AC274" s="536"/>
      <c r="AD274" s="536"/>
      <c r="AE274" s="536"/>
      <c r="AF274" s="536"/>
      <c r="AG274" s="536"/>
      <c r="AH274" s="536"/>
      <c r="AI274" s="536"/>
      <c r="AJ274" s="536"/>
      <c r="AK274" s="536"/>
      <c r="AL274" s="536"/>
      <c r="AM274" s="536"/>
      <c r="AN274" s="536"/>
      <c r="AO274" s="536"/>
      <c r="AP274" s="536"/>
      <c r="AQ274" s="536"/>
      <c r="AR274" s="536"/>
      <c r="AS274" s="536"/>
      <c r="AT274" s="536"/>
      <c r="AU274" s="536"/>
      <c r="AV274" s="536"/>
      <c r="AW274" s="536"/>
      <c r="AX274" s="536"/>
      <c r="AY274" s="536"/>
      <c r="AZ274" s="536"/>
      <c r="BA274" s="536"/>
      <c r="BB274" s="536"/>
      <c r="BC274" s="536"/>
      <c r="BD274" s="536"/>
      <c r="BE274" s="536"/>
      <c r="BF274" s="536"/>
      <c r="BG274" s="536"/>
      <c r="BH274" s="536"/>
      <c r="BI274" s="536"/>
      <c r="BJ274" s="536"/>
      <c r="BK274" s="536"/>
      <c r="BL274" s="536"/>
      <c r="BM274" s="536"/>
      <c r="BN274" s="536"/>
      <c r="BO274" s="536"/>
      <c r="BP274" s="536"/>
      <c r="BQ274" s="536"/>
      <c r="BR274" s="536"/>
      <c r="BS274" s="536"/>
      <c r="BT274" s="536"/>
      <c r="BU274" s="536"/>
      <c r="BV274" s="536"/>
      <c r="BW274" s="536"/>
      <c r="BX274" s="536"/>
      <c r="BY274" s="536"/>
      <c r="BZ274" s="536"/>
      <c r="CA274" s="536"/>
      <c r="CB274" s="536"/>
      <c r="CC274" s="536"/>
      <c r="CD274" s="536"/>
    </row>
    <row r="275" spans="1:82" x14ac:dyDescent="0.2">
      <c r="A275" s="536">
        <f t="shared" si="94"/>
        <v>3</v>
      </c>
      <c r="B275" s="536">
        <f t="shared" si="95"/>
        <v>2014</v>
      </c>
      <c r="C275" s="552">
        <f t="shared" si="96"/>
        <v>41908</v>
      </c>
      <c r="D275" s="631" t="str">
        <f t="shared" si="97"/>
        <v>3Q14</v>
      </c>
      <c r="E275" s="540">
        <v>32.319992999999997</v>
      </c>
      <c r="F275" s="535"/>
      <c r="G275" s="536"/>
      <c r="H275" s="536"/>
      <c r="I275" s="536"/>
      <c r="J275" s="536"/>
      <c r="K275" s="536"/>
      <c r="L275" s="536"/>
      <c r="M275" s="536"/>
      <c r="N275" s="536"/>
      <c r="O275" s="536"/>
      <c r="P275" s="536"/>
      <c r="Q275" s="536"/>
      <c r="R275" s="536"/>
      <c r="S275" s="536"/>
      <c r="T275" s="536"/>
      <c r="U275" s="536"/>
      <c r="V275" s="536"/>
      <c r="W275" s="536"/>
      <c r="X275" s="536"/>
      <c r="Y275" s="536"/>
      <c r="Z275" s="536"/>
      <c r="AA275" s="536"/>
      <c r="AB275" s="536"/>
      <c r="AC275" s="536"/>
      <c r="AD275" s="536"/>
      <c r="AE275" s="536"/>
      <c r="AF275" s="536"/>
      <c r="AG275" s="536"/>
      <c r="AH275" s="536"/>
      <c r="AI275" s="536"/>
      <c r="AJ275" s="536"/>
      <c r="AK275" s="536"/>
      <c r="AL275" s="536"/>
      <c r="AM275" s="536"/>
      <c r="AN275" s="536"/>
      <c r="AO275" s="536"/>
      <c r="AP275" s="536"/>
      <c r="AQ275" s="536"/>
      <c r="AR275" s="536"/>
      <c r="AS275" s="536"/>
      <c r="AT275" s="536"/>
      <c r="AU275" s="536"/>
      <c r="AV275" s="536"/>
      <c r="AW275" s="536"/>
      <c r="AX275" s="536"/>
      <c r="AY275" s="536"/>
      <c r="AZ275" s="536"/>
      <c r="BA275" s="536"/>
      <c r="BB275" s="536"/>
      <c r="BC275" s="536"/>
      <c r="BD275" s="536"/>
      <c r="BE275" s="536"/>
      <c r="BF275" s="536"/>
      <c r="BG275" s="536"/>
      <c r="BH275" s="536"/>
      <c r="BI275" s="536"/>
      <c r="BJ275" s="536"/>
      <c r="BK275" s="536"/>
      <c r="BL275" s="536"/>
      <c r="BM275" s="536"/>
      <c r="BN275" s="536"/>
      <c r="BO275" s="536"/>
      <c r="BP275" s="536"/>
      <c r="BQ275" s="536"/>
      <c r="BR275" s="536"/>
      <c r="BS275" s="536"/>
      <c r="BT275" s="536"/>
      <c r="BU275" s="536"/>
      <c r="BV275" s="536"/>
      <c r="BW275" s="536"/>
      <c r="BX275" s="536"/>
      <c r="BY275" s="536"/>
      <c r="BZ275" s="536"/>
      <c r="CA275" s="536"/>
      <c r="CB275" s="536"/>
      <c r="CC275" s="536"/>
      <c r="CD275" s="536"/>
    </row>
    <row r="276" spans="1:82" x14ac:dyDescent="0.2">
      <c r="A276" s="536">
        <f t="shared" si="94"/>
        <v>4</v>
      </c>
      <c r="B276" s="536">
        <f t="shared" ref="B276:B281" si="98">YEAR(C276)</f>
        <v>2014</v>
      </c>
      <c r="C276" s="552">
        <f t="shared" si="96"/>
        <v>41915</v>
      </c>
      <c r="D276" s="631" t="str">
        <f t="shared" ref="D276:D281" si="99">A276&amp;"Q"&amp;RIGHT(B276,2)</f>
        <v>4Q14</v>
      </c>
      <c r="E276" s="540">
        <v>31.929993</v>
      </c>
      <c r="F276" s="535"/>
      <c r="G276" s="536"/>
      <c r="H276" s="536"/>
      <c r="I276" s="536"/>
      <c r="J276" s="536"/>
      <c r="K276" s="536"/>
      <c r="L276" s="536"/>
      <c r="M276" s="536"/>
      <c r="N276" s="536"/>
      <c r="O276" s="536"/>
      <c r="P276" s="536"/>
      <c r="Q276" s="536"/>
      <c r="R276" s="536"/>
      <c r="S276" s="536"/>
      <c r="T276" s="536"/>
      <c r="U276" s="536"/>
      <c r="V276" s="536"/>
      <c r="W276" s="536"/>
      <c r="X276" s="536"/>
      <c r="Y276" s="536"/>
      <c r="Z276" s="536"/>
      <c r="AA276" s="536"/>
      <c r="AB276" s="536"/>
      <c r="AC276" s="536"/>
      <c r="AD276" s="536"/>
      <c r="AE276" s="536"/>
      <c r="AF276" s="536"/>
      <c r="AG276" s="536"/>
      <c r="AH276" s="536"/>
      <c r="AI276" s="536"/>
      <c r="AJ276" s="536"/>
      <c r="AK276" s="536"/>
      <c r="AL276" s="536"/>
      <c r="AM276" s="536"/>
      <c r="AN276" s="536"/>
      <c r="AO276" s="536"/>
      <c r="AP276" s="536"/>
      <c r="AQ276" s="536"/>
      <c r="AR276" s="536"/>
      <c r="AS276" s="536"/>
      <c r="AT276" s="536"/>
      <c r="AU276" s="536"/>
      <c r="AV276" s="536"/>
      <c r="AW276" s="536"/>
      <c r="AX276" s="536"/>
      <c r="AY276" s="536"/>
      <c r="AZ276" s="536"/>
      <c r="BA276" s="536"/>
      <c r="BB276" s="536"/>
      <c r="BC276" s="536"/>
      <c r="BD276" s="536"/>
      <c r="BE276" s="536"/>
      <c r="BF276" s="536"/>
      <c r="BG276" s="536"/>
      <c r="BH276" s="536"/>
      <c r="BI276" s="536"/>
      <c r="BJ276" s="536"/>
      <c r="BK276" s="536"/>
      <c r="BL276" s="536"/>
      <c r="BM276" s="536"/>
      <c r="BN276" s="536"/>
      <c r="BO276" s="536"/>
      <c r="BP276" s="536"/>
      <c r="BQ276" s="536"/>
      <c r="BR276" s="536"/>
      <c r="BS276" s="536"/>
      <c r="BT276" s="536"/>
      <c r="BU276" s="536"/>
      <c r="BV276" s="536"/>
      <c r="BW276" s="536"/>
      <c r="BX276" s="536"/>
      <c r="BY276" s="536"/>
      <c r="BZ276" s="536"/>
      <c r="CA276" s="536"/>
      <c r="CB276" s="536"/>
      <c r="CC276" s="536"/>
      <c r="CD276" s="536"/>
    </row>
    <row r="277" spans="1:82" x14ac:dyDescent="0.2">
      <c r="A277" s="536">
        <f t="shared" si="94"/>
        <v>4</v>
      </c>
      <c r="B277" s="536">
        <f t="shared" si="98"/>
        <v>2014</v>
      </c>
      <c r="C277" s="552">
        <f t="shared" si="96"/>
        <v>41922</v>
      </c>
      <c r="D277" s="631" t="str">
        <f t="shared" si="99"/>
        <v>4Q14</v>
      </c>
      <c r="E277" s="540">
        <v>29.939988</v>
      </c>
      <c r="F277" s="535"/>
      <c r="G277" s="536"/>
      <c r="H277" s="536"/>
      <c r="I277" s="536"/>
      <c r="J277" s="536"/>
      <c r="K277" s="536"/>
      <c r="L277" s="536"/>
      <c r="M277" s="536"/>
      <c r="N277" s="536"/>
      <c r="O277" s="536"/>
      <c r="P277" s="536"/>
      <c r="Q277" s="536"/>
      <c r="R277" s="536"/>
      <c r="S277" s="536"/>
      <c r="T277" s="536"/>
      <c r="U277" s="536"/>
      <c r="V277" s="536"/>
      <c r="W277" s="536"/>
      <c r="X277" s="536"/>
      <c r="Y277" s="536"/>
      <c r="Z277" s="536"/>
      <c r="AA277" s="536"/>
      <c r="AB277" s="536"/>
      <c r="AC277" s="536"/>
      <c r="AD277" s="536"/>
      <c r="AE277" s="536"/>
      <c r="AF277" s="536"/>
      <c r="AG277" s="536"/>
      <c r="AH277" s="536"/>
      <c r="AI277" s="536"/>
      <c r="AJ277" s="536"/>
      <c r="AK277" s="536"/>
      <c r="AL277" s="536"/>
      <c r="AM277" s="536"/>
      <c r="AN277" s="536"/>
      <c r="AO277" s="536"/>
      <c r="AP277" s="536"/>
      <c r="AQ277" s="536"/>
      <c r="AR277" s="536"/>
      <c r="AS277" s="536"/>
      <c r="AT277" s="536"/>
      <c r="AU277" s="536"/>
      <c r="AV277" s="536"/>
      <c r="AW277" s="536"/>
      <c r="AX277" s="536"/>
      <c r="AY277" s="536"/>
      <c r="AZ277" s="536"/>
      <c r="BA277" s="536"/>
      <c r="BB277" s="536"/>
      <c r="BC277" s="536"/>
      <c r="BD277" s="536"/>
      <c r="BE277" s="536"/>
      <c r="BF277" s="536"/>
      <c r="BG277" s="536"/>
      <c r="BH277" s="536"/>
      <c r="BI277" s="536"/>
      <c r="BJ277" s="536"/>
      <c r="BK277" s="536"/>
      <c r="BL277" s="536"/>
      <c r="BM277" s="536"/>
      <c r="BN277" s="536"/>
      <c r="BO277" s="536"/>
      <c r="BP277" s="536"/>
      <c r="BQ277" s="536"/>
      <c r="BR277" s="536"/>
      <c r="BS277" s="536"/>
      <c r="BT277" s="536"/>
      <c r="BU277" s="536"/>
      <c r="BV277" s="536"/>
      <c r="BW277" s="536"/>
      <c r="BX277" s="536"/>
      <c r="BY277" s="536"/>
      <c r="BZ277" s="536"/>
      <c r="CA277" s="536"/>
      <c r="CB277" s="536"/>
      <c r="CC277" s="536"/>
      <c r="CD277" s="536"/>
    </row>
    <row r="278" spans="1:82" x14ac:dyDescent="0.2">
      <c r="A278" s="536">
        <f t="shared" si="94"/>
        <v>4</v>
      </c>
      <c r="B278" s="536">
        <f t="shared" si="98"/>
        <v>2014</v>
      </c>
      <c r="C278" s="552">
        <f t="shared" si="96"/>
        <v>41929</v>
      </c>
      <c r="D278" s="631" t="str">
        <f t="shared" si="99"/>
        <v>4Q14</v>
      </c>
      <c r="E278" s="540">
        <v>33.859985999999999</v>
      </c>
      <c r="F278" s="535"/>
      <c r="G278" s="536"/>
      <c r="H278" s="536"/>
      <c r="I278" s="536"/>
      <c r="J278" s="536"/>
      <c r="K278" s="536"/>
      <c r="L278" s="536"/>
      <c r="M278" s="536"/>
      <c r="N278" s="536"/>
      <c r="O278" s="536"/>
      <c r="P278" s="536"/>
      <c r="Q278" s="536"/>
      <c r="R278" s="536"/>
      <c r="S278" s="536"/>
      <c r="T278" s="536"/>
      <c r="U278" s="536"/>
      <c r="V278" s="536"/>
      <c r="W278" s="536"/>
      <c r="X278" s="536"/>
      <c r="Y278" s="536"/>
      <c r="Z278" s="536"/>
      <c r="AA278" s="536"/>
      <c r="AB278" s="536"/>
      <c r="AC278" s="536"/>
      <c r="AD278" s="536"/>
      <c r="AE278" s="536"/>
      <c r="AF278" s="536"/>
      <c r="AG278" s="536"/>
      <c r="AH278" s="536"/>
      <c r="AI278" s="536"/>
      <c r="AJ278" s="536"/>
      <c r="AK278" s="536"/>
      <c r="AL278" s="536"/>
      <c r="AM278" s="536"/>
      <c r="AN278" s="536"/>
      <c r="AO278" s="536"/>
      <c r="AP278" s="536"/>
      <c r="AQ278" s="536"/>
      <c r="AR278" s="536"/>
      <c r="AS278" s="536"/>
      <c r="AT278" s="536"/>
      <c r="AU278" s="536"/>
      <c r="AV278" s="536"/>
      <c r="AW278" s="536"/>
      <c r="AX278" s="536"/>
      <c r="AY278" s="536"/>
      <c r="AZ278" s="536"/>
      <c r="BA278" s="536"/>
      <c r="BB278" s="536"/>
      <c r="BC278" s="536"/>
      <c r="BD278" s="536"/>
      <c r="BE278" s="536"/>
      <c r="BF278" s="536"/>
      <c r="BG278" s="536"/>
      <c r="BH278" s="536"/>
      <c r="BI278" s="536"/>
      <c r="BJ278" s="536"/>
      <c r="BK278" s="536"/>
      <c r="BL278" s="536"/>
      <c r="BM278" s="536"/>
      <c r="BN278" s="536"/>
      <c r="BO278" s="536"/>
      <c r="BP278" s="536"/>
      <c r="BQ278" s="536"/>
      <c r="BR278" s="536"/>
      <c r="BS278" s="536"/>
      <c r="BT278" s="536"/>
      <c r="BU278" s="536"/>
      <c r="BV278" s="536"/>
      <c r="BW278" s="536"/>
      <c r="BX278" s="536"/>
      <c r="BY278" s="536"/>
      <c r="BZ278" s="536"/>
      <c r="CA278" s="536"/>
      <c r="CB278" s="536"/>
      <c r="CC278" s="536"/>
      <c r="CD278" s="536"/>
    </row>
    <row r="279" spans="1:82" x14ac:dyDescent="0.2">
      <c r="A279" s="536">
        <f t="shared" si="94"/>
        <v>4</v>
      </c>
      <c r="B279" s="536">
        <f t="shared" si="98"/>
        <v>2014</v>
      </c>
      <c r="C279" s="552">
        <f t="shared" si="96"/>
        <v>41936</v>
      </c>
      <c r="D279" s="631" t="str">
        <f t="shared" si="99"/>
        <v>4Q14</v>
      </c>
      <c r="E279" s="540">
        <v>35.299987999999999</v>
      </c>
      <c r="F279" s="535"/>
      <c r="G279" s="536"/>
      <c r="H279" s="536"/>
      <c r="I279" s="536"/>
      <c r="J279" s="536"/>
      <c r="K279" s="536"/>
      <c r="L279" s="536"/>
      <c r="M279" s="536"/>
      <c r="N279" s="536"/>
      <c r="O279" s="536"/>
      <c r="P279" s="536"/>
      <c r="Q279" s="536"/>
      <c r="R279" s="536"/>
      <c r="S279" s="536"/>
      <c r="T279" s="536"/>
      <c r="U279" s="536"/>
      <c r="V279" s="536"/>
      <c r="W279" s="536"/>
      <c r="X279" s="536"/>
      <c r="Y279" s="536"/>
      <c r="Z279" s="536"/>
      <c r="AA279" s="536"/>
      <c r="AB279" s="536"/>
      <c r="AC279" s="536"/>
      <c r="AD279" s="536"/>
      <c r="AE279" s="536"/>
      <c r="AF279" s="536"/>
      <c r="AG279" s="536"/>
      <c r="AH279" s="536"/>
      <c r="AI279" s="536"/>
      <c r="AJ279" s="536"/>
      <c r="AK279" s="536"/>
      <c r="AL279" s="536"/>
      <c r="AM279" s="536"/>
      <c r="AN279" s="536"/>
      <c r="AO279" s="536"/>
      <c r="AP279" s="536"/>
      <c r="AQ279" s="536"/>
      <c r="AR279" s="536"/>
      <c r="AS279" s="536"/>
      <c r="AT279" s="536"/>
      <c r="AU279" s="536"/>
      <c r="AV279" s="536"/>
      <c r="AW279" s="536"/>
      <c r="AX279" s="536"/>
      <c r="AY279" s="536"/>
      <c r="AZ279" s="536"/>
      <c r="BA279" s="536"/>
      <c r="BB279" s="536"/>
      <c r="BC279" s="536"/>
      <c r="BD279" s="536"/>
      <c r="BE279" s="536"/>
      <c r="BF279" s="536"/>
      <c r="BG279" s="536"/>
      <c r="BH279" s="536"/>
      <c r="BI279" s="536"/>
      <c r="BJ279" s="536"/>
      <c r="BK279" s="536"/>
      <c r="BL279" s="536"/>
      <c r="BM279" s="536"/>
      <c r="BN279" s="536"/>
      <c r="BO279" s="536"/>
      <c r="BP279" s="536"/>
      <c r="BQ279" s="536"/>
      <c r="BR279" s="536"/>
      <c r="BS279" s="536"/>
      <c r="BT279" s="536"/>
      <c r="BU279" s="536"/>
      <c r="BV279" s="536"/>
      <c r="BW279" s="536"/>
      <c r="BX279" s="536"/>
      <c r="BY279" s="536"/>
      <c r="BZ279" s="536"/>
      <c r="CA279" s="536"/>
      <c r="CB279" s="536"/>
      <c r="CC279" s="536"/>
      <c r="CD279" s="536"/>
    </row>
    <row r="280" spans="1:82" x14ac:dyDescent="0.2">
      <c r="A280" s="536">
        <f t="shared" si="94"/>
        <v>4</v>
      </c>
      <c r="B280" s="536">
        <f t="shared" si="98"/>
        <v>2014</v>
      </c>
      <c r="C280" s="552">
        <f t="shared" si="96"/>
        <v>41943</v>
      </c>
      <c r="D280" s="631" t="str">
        <f t="shared" si="99"/>
        <v>4Q14</v>
      </c>
      <c r="E280" s="540">
        <v>35.629989999999999</v>
      </c>
      <c r="F280" s="535"/>
      <c r="G280" s="536"/>
      <c r="H280" s="536"/>
      <c r="I280" s="536"/>
      <c r="J280" s="536"/>
      <c r="K280" s="536"/>
      <c r="L280" s="536"/>
      <c r="M280" s="536"/>
      <c r="N280" s="536"/>
      <c r="O280" s="536"/>
      <c r="P280" s="536"/>
      <c r="Q280" s="536"/>
      <c r="R280" s="536"/>
      <c r="S280" s="536"/>
      <c r="T280" s="536"/>
      <c r="U280" s="536"/>
      <c r="V280" s="536"/>
      <c r="W280" s="536"/>
      <c r="X280" s="536"/>
      <c r="Y280" s="536"/>
      <c r="Z280" s="536"/>
      <c r="AA280" s="536"/>
      <c r="AB280" s="536"/>
      <c r="AC280" s="536"/>
      <c r="AD280" s="536"/>
      <c r="AE280" s="536"/>
      <c r="AF280" s="536"/>
      <c r="AG280" s="536"/>
      <c r="AH280" s="536"/>
      <c r="AI280" s="536"/>
      <c r="AJ280" s="536"/>
      <c r="AK280" s="536"/>
      <c r="AL280" s="536"/>
      <c r="AM280" s="536"/>
      <c r="AN280" s="536"/>
      <c r="AO280" s="536"/>
      <c r="AP280" s="536"/>
      <c r="AQ280" s="536"/>
      <c r="AR280" s="536"/>
      <c r="AS280" s="536"/>
      <c r="AT280" s="536"/>
      <c r="AU280" s="536"/>
      <c r="AV280" s="536"/>
      <c r="AW280" s="536"/>
      <c r="AX280" s="536"/>
      <c r="AY280" s="536"/>
      <c r="AZ280" s="536"/>
      <c r="BA280" s="536"/>
      <c r="BB280" s="536"/>
      <c r="BC280" s="536"/>
      <c r="BD280" s="536"/>
      <c r="BE280" s="536"/>
      <c r="BF280" s="536"/>
      <c r="BG280" s="536"/>
      <c r="BH280" s="536"/>
      <c r="BI280" s="536"/>
      <c r="BJ280" s="536"/>
      <c r="BK280" s="536"/>
      <c r="BL280" s="536"/>
      <c r="BM280" s="536"/>
      <c r="BN280" s="536"/>
      <c r="BO280" s="536"/>
      <c r="BP280" s="536"/>
      <c r="BQ280" s="536"/>
      <c r="BR280" s="536"/>
      <c r="BS280" s="536"/>
      <c r="BT280" s="536"/>
      <c r="BU280" s="536"/>
      <c r="BV280" s="536"/>
      <c r="BW280" s="536"/>
      <c r="BX280" s="536"/>
      <c r="BY280" s="536"/>
      <c r="BZ280" s="536"/>
      <c r="CA280" s="536"/>
      <c r="CB280" s="536"/>
      <c r="CC280" s="536"/>
      <c r="CD280" s="536"/>
    </row>
    <row r="281" spans="1:82" x14ac:dyDescent="0.2">
      <c r="A281" s="536">
        <f t="shared" si="94"/>
        <v>4</v>
      </c>
      <c r="B281" s="536">
        <f t="shared" si="98"/>
        <v>2014</v>
      </c>
      <c r="C281" s="552">
        <f t="shared" si="96"/>
        <v>41950</v>
      </c>
      <c r="D281" s="631" t="str">
        <f t="shared" si="99"/>
        <v>4Q14</v>
      </c>
      <c r="E281" s="540">
        <v>35.449997000000003</v>
      </c>
      <c r="F281" s="535"/>
      <c r="G281" s="536"/>
      <c r="H281" s="536"/>
      <c r="I281" s="536"/>
      <c r="J281" s="536"/>
      <c r="K281" s="536"/>
      <c r="L281" s="536"/>
      <c r="M281" s="536"/>
      <c r="N281" s="536"/>
      <c r="O281" s="536"/>
      <c r="P281" s="536"/>
      <c r="Q281" s="536"/>
      <c r="R281" s="536"/>
      <c r="S281" s="536"/>
      <c r="T281" s="536"/>
      <c r="U281" s="536"/>
      <c r="V281" s="536"/>
      <c r="W281" s="536"/>
      <c r="X281" s="536"/>
      <c r="Y281" s="536"/>
      <c r="Z281" s="536"/>
      <c r="AA281" s="536"/>
      <c r="AB281" s="536"/>
      <c r="AC281" s="536"/>
      <c r="AD281" s="536"/>
      <c r="AE281" s="536"/>
      <c r="AF281" s="536"/>
      <c r="AG281" s="536"/>
      <c r="AH281" s="536"/>
      <c r="AI281" s="536"/>
      <c r="AJ281" s="536"/>
      <c r="AK281" s="536"/>
      <c r="AL281" s="536"/>
      <c r="AM281" s="536"/>
      <c r="AN281" s="536"/>
      <c r="AO281" s="536"/>
      <c r="AP281" s="536"/>
      <c r="AQ281" s="536"/>
      <c r="AR281" s="536"/>
      <c r="AS281" s="536"/>
      <c r="AT281" s="536"/>
      <c r="AU281" s="536"/>
      <c r="AV281" s="536"/>
      <c r="AW281" s="536"/>
      <c r="AX281" s="536"/>
      <c r="AY281" s="536"/>
      <c r="AZ281" s="536"/>
      <c r="BA281" s="536"/>
      <c r="BB281" s="536"/>
      <c r="BC281" s="536"/>
      <c r="BD281" s="536"/>
      <c r="BE281" s="536"/>
      <c r="BF281" s="536"/>
      <c r="BG281" s="536"/>
      <c r="BH281" s="536"/>
      <c r="BI281" s="536"/>
      <c r="BJ281" s="536"/>
      <c r="BK281" s="536"/>
      <c r="BL281" s="536"/>
      <c r="BM281" s="536"/>
      <c r="BN281" s="536"/>
      <c r="BO281" s="536"/>
      <c r="BP281" s="536"/>
      <c r="BQ281" s="536"/>
      <c r="BR281" s="536"/>
      <c r="BS281" s="536"/>
      <c r="BT281" s="536"/>
      <c r="BU281" s="536"/>
      <c r="BV281" s="536"/>
      <c r="BW281" s="536"/>
      <c r="BX281" s="536"/>
      <c r="BY281" s="536"/>
      <c r="BZ281" s="536"/>
      <c r="CA281" s="536"/>
      <c r="CB281" s="536"/>
      <c r="CC281" s="536"/>
      <c r="CD281" s="536"/>
    </row>
    <row r="282" spans="1:82" x14ac:dyDescent="0.2">
      <c r="A282" s="536">
        <f t="shared" ref="A282:A344" si="100">A230</f>
        <v>4</v>
      </c>
      <c r="B282" s="536">
        <f t="shared" si="95"/>
        <v>2014</v>
      </c>
      <c r="C282" s="552">
        <f t="shared" si="96"/>
        <v>41957</v>
      </c>
      <c r="D282" s="631" t="str">
        <f t="shared" si="97"/>
        <v>4Q14</v>
      </c>
      <c r="E282" s="540">
        <v>36.789994</v>
      </c>
      <c r="F282" s="535"/>
      <c r="G282" s="536"/>
      <c r="H282" s="536"/>
      <c r="I282" s="536"/>
      <c r="J282" s="536"/>
      <c r="K282" s="536"/>
      <c r="L282" s="536"/>
      <c r="M282" s="536"/>
      <c r="N282" s="536"/>
      <c r="O282" s="536"/>
      <c r="P282" s="536"/>
      <c r="Q282" s="536"/>
      <c r="R282" s="536"/>
      <c r="S282" s="536"/>
      <c r="T282" s="536"/>
      <c r="U282" s="536"/>
      <c r="V282" s="536"/>
      <c r="W282" s="536"/>
      <c r="X282" s="536"/>
      <c r="Y282" s="536"/>
      <c r="Z282" s="536"/>
      <c r="AA282" s="536"/>
      <c r="AB282" s="536"/>
      <c r="AC282" s="536"/>
      <c r="AD282" s="536"/>
      <c r="AE282" s="536"/>
      <c r="AF282" s="536"/>
      <c r="AG282" s="536"/>
      <c r="AH282" s="536"/>
      <c r="AI282" s="536"/>
      <c r="AJ282" s="536"/>
      <c r="AK282" s="536"/>
      <c r="AL282" s="536"/>
      <c r="AM282" s="536"/>
      <c r="AN282" s="536"/>
      <c r="AO282" s="536"/>
      <c r="AP282" s="536"/>
      <c r="AQ282" s="536"/>
      <c r="AR282" s="536"/>
      <c r="AS282" s="536"/>
      <c r="AT282" s="536"/>
      <c r="AU282" s="536"/>
      <c r="AV282" s="536"/>
      <c r="AW282" s="536"/>
      <c r="AX282" s="536"/>
      <c r="AY282" s="536"/>
      <c r="AZ282" s="536"/>
      <c r="BA282" s="536"/>
      <c r="BB282" s="536"/>
      <c r="BC282" s="536"/>
      <c r="BD282" s="536"/>
      <c r="BE282" s="536"/>
      <c r="BF282" s="536"/>
      <c r="BG282" s="536"/>
      <c r="BH282" s="536"/>
      <c r="BI282" s="536"/>
      <c r="BJ282" s="536"/>
      <c r="BK282" s="536"/>
      <c r="BL282" s="536"/>
      <c r="BM282" s="536"/>
      <c r="BN282" s="536"/>
      <c r="BO282" s="536"/>
      <c r="BP282" s="536"/>
      <c r="BQ282" s="536"/>
      <c r="BR282" s="536"/>
      <c r="BS282" s="536"/>
      <c r="BT282" s="536"/>
      <c r="BU282" s="536"/>
      <c r="BV282" s="536"/>
      <c r="BW282" s="536"/>
      <c r="BX282" s="536"/>
      <c r="BY282" s="536"/>
      <c r="BZ282" s="536"/>
      <c r="CA282" s="536"/>
      <c r="CB282" s="536"/>
      <c r="CC282" s="536"/>
      <c r="CD282" s="536"/>
    </row>
    <row r="283" spans="1:82" x14ac:dyDescent="0.2">
      <c r="A283" s="536">
        <f t="shared" si="100"/>
        <v>4</v>
      </c>
      <c r="B283" s="536">
        <f t="shared" si="95"/>
        <v>2014</v>
      </c>
      <c r="C283" s="552">
        <f t="shared" si="96"/>
        <v>41964</v>
      </c>
      <c r="D283" s="631" t="str">
        <f t="shared" si="97"/>
        <v>4Q14</v>
      </c>
      <c r="E283" s="540">
        <v>37.559998</v>
      </c>
      <c r="F283" s="535"/>
      <c r="G283" s="536"/>
      <c r="H283" s="536"/>
      <c r="I283" s="536"/>
      <c r="J283" s="536"/>
      <c r="K283" s="536"/>
      <c r="L283" s="536"/>
      <c r="M283" s="536"/>
      <c r="N283" s="536"/>
      <c r="O283" s="536"/>
      <c r="P283" s="536"/>
      <c r="Q283" s="536"/>
      <c r="R283" s="536"/>
      <c r="S283" s="536"/>
      <c r="T283" s="536"/>
      <c r="U283" s="536"/>
      <c r="V283" s="536"/>
      <c r="W283" s="536"/>
      <c r="X283" s="536"/>
      <c r="Y283" s="536"/>
      <c r="Z283" s="536"/>
      <c r="AA283" s="536"/>
      <c r="AB283" s="536"/>
      <c r="AC283" s="536"/>
      <c r="AD283" s="536"/>
      <c r="AE283" s="536"/>
      <c r="AF283" s="536"/>
      <c r="AG283" s="536"/>
      <c r="AH283" s="536"/>
      <c r="AI283" s="536"/>
      <c r="AJ283" s="536"/>
      <c r="AK283" s="536"/>
      <c r="AL283" s="536"/>
      <c r="AM283" s="536"/>
      <c r="AN283" s="536"/>
      <c r="AO283" s="536"/>
      <c r="AP283" s="536"/>
      <c r="AQ283" s="536"/>
      <c r="AR283" s="536"/>
      <c r="AS283" s="536"/>
      <c r="AT283" s="536"/>
      <c r="AU283" s="536"/>
      <c r="AV283" s="536"/>
      <c r="AW283" s="536"/>
      <c r="AX283" s="536"/>
      <c r="AY283" s="536"/>
      <c r="AZ283" s="536"/>
      <c r="BA283" s="536"/>
      <c r="BB283" s="536"/>
      <c r="BC283" s="536"/>
      <c r="BD283" s="536"/>
      <c r="BE283" s="536"/>
      <c r="BF283" s="536"/>
      <c r="BG283" s="536"/>
      <c r="BH283" s="536"/>
      <c r="BI283" s="536"/>
      <c r="BJ283" s="536"/>
      <c r="BK283" s="536"/>
      <c r="BL283" s="536"/>
      <c r="BM283" s="536"/>
      <c r="BN283" s="536"/>
      <c r="BO283" s="536"/>
      <c r="BP283" s="536"/>
      <c r="BQ283" s="536"/>
      <c r="BR283" s="536"/>
      <c r="BS283" s="536"/>
      <c r="BT283" s="536"/>
      <c r="BU283" s="536"/>
      <c r="BV283" s="536"/>
      <c r="BW283" s="536"/>
      <c r="BX283" s="536"/>
      <c r="BY283" s="536"/>
      <c r="BZ283" s="536"/>
      <c r="CA283" s="536"/>
      <c r="CB283" s="536"/>
      <c r="CC283" s="536"/>
      <c r="CD283" s="536"/>
    </row>
    <row r="284" spans="1:82" x14ac:dyDescent="0.2">
      <c r="A284" s="536">
        <f t="shared" si="100"/>
        <v>4</v>
      </c>
      <c r="B284" s="536">
        <f t="shared" si="95"/>
        <v>2014</v>
      </c>
      <c r="C284" s="552">
        <f t="shared" si="96"/>
        <v>41971</v>
      </c>
      <c r="D284" s="631" t="str">
        <f t="shared" si="97"/>
        <v>4Q14</v>
      </c>
      <c r="E284" s="540">
        <v>36.490006000000001</v>
      </c>
      <c r="F284" s="535"/>
      <c r="G284" s="536"/>
      <c r="H284" s="536"/>
      <c r="I284" s="536"/>
      <c r="J284" s="536"/>
      <c r="K284" s="536"/>
      <c r="L284" s="536"/>
      <c r="M284" s="536"/>
      <c r="N284" s="536"/>
      <c r="O284" s="536"/>
      <c r="P284" s="536"/>
      <c r="Q284" s="536"/>
      <c r="R284" s="536"/>
      <c r="S284" s="536"/>
      <c r="T284" s="536"/>
      <c r="U284" s="536"/>
      <c r="V284" s="536"/>
      <c r="W284" s="536"/>
      <c r="X284" s="536"/>
      <c r="Y284" s="536"/>
      <c r="Z284" s="536"/>
      <c r="AA284" s="536"/>
      <c r="AB284" s="536"/>
      <c r="AC284" s="536"/>
      <c r="AD284" s="536"/>
      <c r="AE284" s="536"/>
      <c r="AF284" s="536"/>
      <c r="AG284" s="536"/>
      <c r="AH284" s="536"/>
      <c r="AI284" s="536"/>
      <c r="AJ284" s="536"/>
      <c r="AK284" s="536"/>
      <c r="AL284" s="536"/>
      <c r="AM284" s="536"/>
      <c r="AN284" s="536"/>
      <c r="AO284" s="536"/>
      <c r="AP284" s="536"/>
      <c r="AQ284" s="536"/>
      <c r="AR284" s="536"/>
      <c r="AS284" s="536"/>
      <c r="AT284" s="536"/>
      <c r="AU284" s="536"/>
      <c r="AV284" s="536"/>
      <c r="AW284" s="536"/>
      <c r="AX284" s="536"/>
      <c r="AY284" s="536"/>
      <c r="AZ284" s="536"/>
      <c r="BA284" s="536"/>
      <c r="BB284" s="536"/>
      <c r="BC284" s="536"/>
      <c r="BD284" s="536"/>
      <c r="BE284" s="536"/>
      <c r="BF284" s="536"/>
      <c r="BG284" s="536"/>
      <c r="BH284" s="536"/>
      <c r="BI284" s="536"/>
      <c r="BJ284" s="536"/>
      <c r="BK284" s="536"/>
      <c r="BL284" s="536"/>
      <c r="BM284" s="536"/>
      <c r="BN284" s="536"/>
      <c r="BO284" s="536"/>
      <c r="BP284" s="536"/>
      <c r="BQ284" s="536"/>
      <c r="BR284" s="536"/>
      <c r="BS284" s="536"/>
      <c r="BT284" s="536"/>
      <c r="BU284" s="536"/>
      <c r="BV284" s="536"/>
      <c r="BW284" s="536"/>
      <c r="BX284" s="536"/>
      <c r="BY284" s="536"/>
      <c r="BZ284" s="536"/>
      <c r="CA284" s="536"/>
      <c r="CB284" s="536"/>
      <c r="CC284" s="536"/>
      <c r="CD284" s="536"/>
    </row>
    <row r="285" spans="1:82" x14ac:dyDescent="0.2">
      <c r="A285" s="536">
        <f t="shared" si="100"/>
        <v>4</v>
      </c>
      <c r="B285" s="536">
        <f t="shared" si="95"/>
        <v>2014</v>
      </c>
      <c r="C285" s="552">
        <f t="shared" si="96"/>
        <v>41978</v>
      </c>
      <c r="D285" s="631" t="str">
        <f t="shared" si="97"/>
        <v>4Q14</v>
      </c>
      <c r="E285" s="540">
        <v>36.949997000000003</v>
      </c>
      <c r="F285" s="535"/>
      <c r="G285" s="536"/>
      <c r="H285" s="536"/>
      <c r="I285" s="536"/>
      <c r="J285" s="536"/>
      <c r="K285" s="536"/>
      <c r="L285" s="536"/>
      <c r="M285" s="536"/>
      <c r="N285" s="536"/>
      <c r="O285" s="536"/>
      <c r="P285" s="536"/>
      <c r="Q285" s="536"/>
      <c r="R285" s="536"/>
      <c r="S285" s="536"/>
      <c r="T285" s="536"/>
      <c r="U285" s="536"/>
      <c r="V285" s="536"/>
      <c r="W285" s="536"/>
      <c r="X285" s="536"/>
      <c r="Y285" s="536"/>
      <c r="Z285" s="536"/>
      <c r="AA285" s="536"/>
      <c r="AB285" s="536"/>
      <c r="AC285" s="536"/>
      <c r="AD285" s="536"/>
      <c r="AE285" s="536"/>
      <c r="AF285" s="536"/>
      <c r="AG285" s="536"/>
      <c r="AH285" s="536"/>
      <c r="AI285" s="536"/>
      <c r="AJ285" s="536"/>
      <c r="AK285" s="536"/>
      <c r="AL285" s="536"/>
      <c r="AM285" s="536"/>
      <c r="AN285" s="536"/>
      <c r="AO285" s="536"/>
      <c r="AP285" s="536"/>
      <c r="AQ285" s="536"/>
      <c r="AR285" s="536"/>
      <c r="AS285" s="536"/>
      <c r="AT285" s="536"/>
      <c r="AU285" s="536"/>
      <c r="AV285" s="536"/>
      <c r="AW285" s="536"/>
      <c r="AX285" s="536"/>
      <c r="AY285" s="536"/>
      <c r="AZ285" s="536"/>
      <c r="BA285" s="536"/>
      <c r="BB285" s="536"/>
      <c r="BC285" s="536"/>
      <c r="BD285" s="536"/>
      <c r="BE285" s="536"/>
      <c r="BF285" s="536"/>
      <c r="BG285" s="536"/>
      <c r="BH285" s="536"/>
      <c r="BI285" s="536"/>
      <c r="BJ285" s="536"/>
      <c r="BK285" s="536"/>
      <c r="BL285" s="536"/>
      <c r="BM285" s="536"/>
      <c r="BN285" s="536"/>
      <c r="BO285" s="536"/>
      <c r="BP285" s="536"/>
      <c r="BQ285" s="536"/>
      <c r="BR285" s="536"/>
      <c r="BS285" s="536"/>
      <c r="BT285" s="536"/>
      <c r="BU285" s="536"/>
      <c r="BV285" s="536"/>
      <c r="BW285" s="536"/>
      <c r="BX285" s="536"/>
      <c r="BY285" s="536"/>
      <c r="BZ285" s="536"/>
      <c r="CA285" s="536"/>
      <c r="CB285" s="536"/>
      <c r="CC285" s="536"/>
      <c r="CD285" s="536"/>
    </row>
    <row r="286" spans="1:82" x14ac:dyDescent="0.2">
      <c r="A286" s="536">
        <f t="shared" si="100"/>
        <v>4</v>
      </c>
      <c r="B286" s="536">
        <f t="shared" si="95"/>
        <v>2014</v>
      </c>
      <c r="C286" s="552">
        <f t="shared" si="96"/>
        <v>41985</v>
      </c>
      <c r="D286" s="631" t="str">
        <f t="shared" si="97"/>
        <v>4Q14</v>
      </c>
      <c r="E286" s="540">
        <v>34.839996999999997</v>
      </c>
      <c r="F286" s="535"/>
      <c r="G286" s="536"/>
      <c r="H286" s="536"/>
      <c r="I286" s="536"/>
      <c r="J286" s="536"/>
      <c r="K286" s="536"/>
      <c r="L286" s="536"/>
      <c r="M286" s="536"/>
      <c r="N286" s="536"/>
      <c r="O286" s="536"/>
      <c r="P286" s="536"/>
      <c r="Q286" s="536"/>
      <c r="R286" s="536"/>
      <c r="S286" s="536"/>
      <c r="T286" s="536"/>
      <c r="U286" s="536"/>
      <c r="V286" s="536"/>
      <c r="W286" s="536"/>
      <c r="X286" s="536"/>
      <c r="Y286" s="536"/>
      <c r="Z286" s="536"/>
      <c r="AA286" s="536"/>
      <c r="AB286" s="536"/>
      <c r="AC286" s="536"/>
      <c r="AD286" s="536"/>
      <c r="AE286" s="536"/>
      <c r="AF286" s="536"/>
      <c r="AG286" s="536"/>
      <c r="AH286" s="536"/>
      <c r="AI286" s="536"/>
      <c r="AJ286" s="536"/>
      <c r="AK286" s="536"/>
      <c r="AL286" s="536"/>
      <c r="AM286" s="536"/>
      <c r="AN286" s="536"/>
      <c r="AO286" s="536"/>
      <c r="AP286" s="536"/>
      <c r="AQ286" s="536"/>
      <c r="AR286" s="536"/>
      <c r="AS286" s="536"/>
      <c r="AT286" s="536"/>
      <c r="AU286" s="536"/>
      <c r="AV286" s="536"/>
      <c r="AW286" s="536"/>
      <c r="AX286" s="536"/>
      <c r="AY286" s="536"/>
      <c r="AZ286" s="536"/>
      <c r="BA286" s="536"/>
      <c r="BB286" s="536"/>
      <c r="BC286" s="536"/>
      <c r="BD286" s="536"/>
      <c r="BE286" s="536"/>
      <c r="BF286" s="536"/>
      <c r="BG286" s="536"/>
      <c r="BH286" s="536"/>
      <c r="BI286" s="536"/>
      <c r="BJ286" s="536"/>
      <c r="BK286" s="536"/>
      <c r="BL286" s="536"/>
      <c r="BM286" s="536"/>
      <c r="BN286" s="536"/>
      <c r="BO286" s="536"/>
      <c r="BP286" s="536"/>
      <c r="BQ286" s="536"/>
      <c r="BR286" s="536"/>
      <c r="BS286" s="536"/>
      <c r="BT286" s="536"/>
      <c r="BU286" s="536"/>
      <c r="BV286" s="536"/>
      <c r="BW286" s="536"/>
      <c r="BX286" s="536"/>
      <c r="BY286" s="536"/>
      <c r="BZ286" s="536"/>
      <c r="CA286" s="536"/>
      <c r="CB286" s="536"/>
      <c r="CC286" s="536"/>
      <c r="CD286" s="536"/>
    </row>
    <row r="287" spans="1:82" x14ac:dyDescent="0.2">
      <c r="A287" s="536">
        <f t="shared" si="100"/>
        <v>4</v>
      </c>
      <c r="B287" s="536">
        <f t="shared" si="95"/>
        <v>2014</v>
      </c>
      <c r="C287" s="552">
        <f t="shared" si="96"/>
        <v>41992</v>
      </c>
      <c r="D287" s="631" t="str">
        <f t="shared" si="97"/>
        <v>4Q14</v>
      </c>
      <c r="E287" s="540">
        <v>35.759995000000004</v>
      </c>
      <c r="F287" s="535"/>
      <c r="G287" s="536"/>
      <c r="H287" s="536"/>
      <c r="I287" s="536"/>
      <c r="J287" s="536"/>
      <c r="K287" s="536"/>
      <c r="L287" s="536"/>
      <c r="M287" s="536"/>
      <c r="N287" s="536"/>
      <c r="O287" s="536"/>
      <c r="P287" s="536"/>
      <c r="Q287" s="536"/>
      <c r="R287" s="536"/>
      <c r="S287" s="536"/>
      <c r="T287" s="536"/>
      <c r="U287" s="536"/>
      <c r="V287" s="536"/>
      <c r="W287" s="536"/>
      <c r="X287" s="536"/>
      <c r="Y287" s="536"/>
      <c r="Z287" s="536"/>
      <c r="AA287" s="536"/>
      <c r="AB287" s="536"/>
      <c r="AC287" s="536"/>
      <c r="AD287" s="536"/>
      <c r="AE287" s="536"/>
      <c r="AF287" s="536"/>
      <c r="AG287" s="536"/>
      <c r="AH287" s="536"/>
      <c r="AI287" s="536"/>
      <c r="AJ287" s="536"/>
      <c r="AK287" s="536"/>
      <c r="AL287" s="536"/>
      <c r="AM287" s="536"/>
      <c r="AN287" s="536"/>
      <c r="AO287" s="536"/>
      <c r="AP287" s="536"/>
      <c r="AQ287" s="536"/>
      <c r="AR287" s="536"/>
      <c r="AS287" s="536"/>
      <c r="AT287" s="536"/>
      <c r="AU287" s="536"/>
      <c r="AV287" s="536"/>
      <c r="AW287" s="536"/>
      <c r="AX287" s="536"/>
      <c r="AY287" s="536"/>
      <c r="AZ287" s="536"/>
      <c r="BA287" s="536"/>
      <c r="BB287" s="536"/>
      <c r="BC287" s="536"/>
      <c r="BD287" s="536"/>
      <c r="BE287" s="536"/>
      <c r="BF287" s="536"/>
      <c r="BG287" s="536"/>
      <c r="BH287" s="536"/>
      <c r="BI287" s="536"/>
      <c r="BJ287" s="536"/>
      <c r="BK287" s="536"/>
      <c r="BL287" s="536"/>
      <c r="BM287" s="536"/>
      <c r="BN287" s="536"/>
      <c r="BO287" s="536"/>
      <c r="BP287" s="536"/>
      <c r="BQ287" s="536"/>
      <c r="BR287" s="536"/>
      <c r="BS287" s="536"/>
      <c r="BT287" s="536"/>
      <c r="BU287" s="536"/>
      <c r="BV287" s="536"/>
      <c r="BW287" s="536"/>
      <c r="BX287" s="536"/>
      <c r="BY287" s="536"/>
      <c r="BZ287" s="536"/>
      <c r="CA287" s="536"/>
      <c r="CB287" s="536"/>
      <c r="CC287" s="536"/>
      <c r="CD287" s="536"/>
    </row>
    <row r="288" spans="1:82" x14ac:dyDescent="0.2">
      <c r="A288" s="536">
        <f t="shared" si="100"/>
        <v>4</v>
      </c>
      <c r="B288" s="536">
        <f t="shared" si="95"/>
        <v>2014</v>
      </c>
      <c r="C288" s="552">
        <f t="shared" si="96"/>
        <v>41999</v>
      </c>
      <c r="D288" s="631" t="str">
        <f t="shared" si="97"/>
        <v>4Q14</v>
      </c>
      <c r="E288" s="540">
        <v>36.679993000000003</v>
      </c>
      <c r="F288" s="535"/>
      <c r="G288" s="536"/>
      <c r="H288" s="536"/>
      <c r="I288" s="536"/>
      <c r="J288" s="536"/>
      <c r="K288" s="536"/>
      <c r="L288" s="536"/>
      <c r="M288" s="536"/>
      <c r="N288" s="536"/>
      <c r="O288" s="536"/>
      <c r="P288" s="536"/>
      <c r="Q288" s="536"/>
      <c r="R288" s="536"/>
      <c r="S288" s="536"/>
      <c r="T288" s="536"/>
      <c r="U288" s="536"/>
      <c r="V288" s="536"/>
      <c r="W288" s="536"/>
      <c r="X288" s="536"/>
      <c r="Y288" s="536"/>
      <c r="Z288" s="536"/>
      <c r="AA288" s="536"/>
      <c r="AB288" s="536"/>
      <c r="AC288" s="536"/>
      <c r="AD288" s="536"/>
      <c r="AE288" s="536"/>
      <c r="AF288" s="536"/>
      <c r="AG288" s="536"/>
      <c r="AH288" s="536"/>
      <c r="AI288" s="536"/>
      <c r="AJ288" s="536"/>
      <c r="AK288" s="536"/>
      <c r="AL288" s="536"/>
      <c r="AM288" s="536"/>
      <c r="AN288" s="536"/>
      <c r="AO288" s="536"/>
      <c r="AP288" s="536"/>
      <c r="AQ288" s="536"/>
      <c r="AR288" s="536"/>
      <c r="AS288" s="536"/>
      <c r="AT288" s="536"/>
      <c r="AU288" s="536"/>
      <c r="AV288" s="536"/>
      <c r="AW288" s="536"/>
      <c r="AX288" s="536"/>
      <c r="AY288" s="536"/>
      <c r="AZ288" s="536"/>
      <c r="BA288" s="536"/>
      <c r="BB288" s="536"/>
      <c r="BC288" s="536"/>
      <c r="BD288" s="536"/>
      <c r="BE288" s="536"/>
      <c r="BF288" s="536"/>
      <c r="BG288" s="536"/>
      <c r="BH288" s="536"/>
      <c r="BI288" s="536"/>
      <c r="BJ288" s="536"/>
      <c r="BK288" s="536"/>
      <c r="BL288" s="536"/>
      <c r="BM288" s="536"/>
      <c r="BN288" s="536"/>
      <c r="BO288" s="536"/>
      <c r="BP288" s="536"/>
      <c r="BQ288" s="536"/>
      <c r="BR288" s="536"/>
      <c r="BS288" s="536"/>
      <c r="BT288" s="536"/>
      <c r="BU288" s="536"/>
      <c r="BV288" s="536"/>
      <c r="BW288" s="536"/>
      <c r="BX288" s="536"/>
      <c r="BY288" s="536"/>
      <c r="BZ288" s="536"/>
      <c r="CA288" s="536"/>
      <c r="CB288" s="536"/>
      <c r="CC288" s="536"/>
      <c r="CD288" s="536"/>
    </row>
    <row r="289" spans="1:82" x14ac:dyDescent="0.2">
      <c r="A289" s="536">
        <f t="shared" si="100"/>
        <v>1</v>
      </c>
      <c r="B289" s="536">
        <f t="shared" si="95"/>
        <v>2015</v>
      </c>
      <c r="C289" s="552">
        <f t="shared" si="96"/>
        <v>42006</v>
      </c>
      <c r="D289" s="631" t="str">
        <f t="shared" si="97"/>
        <v>1Q15</v>
      </c>
      <c r="E289" s="540">
        <v>35.850006999999998</v>
      </c>
      <c r="F289" s="535"/>
      <c r="G289" s="536"/>
      <c r="H289" s="536"/>
      <c r="I289" s="536"/>
      <c r="J289" s="536"/>
      <c r="K289" s="536"/>
      <c r="L289" s="536"/>
      <c r="M289" s="536"/>
      <c r="N289" s="536"/>
      <c r="O289" s="536"/>
      <c r="P289" s="536"/>
      <c r="Q289" s="536"/>
      <c r="R289" s="536"/>
      <c r="S289" s="536"/>
      <c r="T289" s="536"/>
      <c r="U289" s="536"/>
      <c r="V289" s="536"/>
      <c r="W289" s="536"/>
      <c r="X289" s="536"/>
      <c r="Y289" s="536"/>
      <c r="Z289" s="536"/>
      <c r="AA289" s="536"/>
      <c r="AB289" s="536"/>
      <c r="AC289" s="536"/>
      <c r="AD289" s="536"/>
      <c r="AE289" s="536"/>
      <c r="AF289" s="536"/>
      <c r="AG289" s="536"/>
      <c r="AH289" s="536"/>
      <c r="AI289" s="536"/>
      <c r="AJ289" s="536"/>
      <c r="AK289" s="536"/>
      <c r="AL289" s="536"/>
      <c r="AM289" s="536"/>
      <c r="AN289" s="536"/>
      <c r="AO289" s="536"/>
      <c r="AP289" s="536"/>
      <c r="AQ289" s="536"/>
      <c r="AR289" s="536"/>
      <c r="AS289" s="536"/>
      <c r="AT289" s="536"/>
      <c r="AU289" s="536"/>
      <c r="AV289" s="536"/>
      <c r="AW289" s="536"/>
      <c r="AX289" s="536"/>
      <c r="AY289" s="536"/>
      <c r="AZ289" s="536"/>
      <c r="BA289" s="536"/>
      <c r="BB289" s="536"/>
      <c r="BC289" s="536"/>
      <c r="BD289" s="536"/>
      <c r="BE289" s="536"/>
      <c r="BF289" s="536"/>
      <c r="BG289" s="536"/>
      <c r="BH289" s="536"/>
      <c r="BI289" s="536"/>
      <c r="BJ289" s="536"/>
      <c r="BK289" s="536"/>
      <c r="BL289" s="536"/>
      <c r="BM289" s="536"/>
      <c r="BN289" s="536"/>
      <c r="BO289" s="536"/>
      <c r="BP289" s="536"/>
      <c r="BQ289" s="536"/>
      <c r="BR289" s="536"/>
      <c r="BS289" s="536"/>
      <c r="BT289" s="536"/>
      <c r="BU289" s="536"/>
      <c r="BV289" s="536"/>
      <c r="BW289" s="536"/>
      <c r="BX289" s="536"/>
      <c r="BY289" s="536"/>
      <c r="BZ289" s="536"/>
      <c r="CA289" s="536"/>
      <c r="CB289" s="536"/>
      <c r="CC289" s="536"/>
      <c r="CD289" s="536"/>
    </row>
    <row r="290" spans="1:82" x14ac:dyDescent="0.2">
      <c r="A290" s="536">
        <f t="shared" si="100"/>
        <v>1</v>
      </c>
      <c r="B290" s="536">
        <f t="shared" si="95"/>
        <v>2015</v>
      </c>
      <c r="C290" s="552">
        <f t="shared" si="96"/>
        <v>42013</v>
      </c>
      <c r="D290" s="631" t="str">
        <f t="shared" si="97"/>
        <v>1Q15</v>
      </c>
      <c r="E290" s="540">
        <v>34.399994</v>
      </c>
      <c r="F290" s="535"/>
      <c r="G290" s="536"/>
      <c r="H290" s="536"/>
      <c r="I290" s="536"/>
      <c r="J290" s="536"/>
      <c r="K290" s="536"/>
      <c r="L290" s="536"/>
      <c r="M290" s="536"/>
      <c r="N290" s="536"/>
      <c r="O290" s="536"/>
      <c r="P290" s="536"/>
      <c r="Q290" s="536"/>
      <c r="R290" s="536"/>
      <c r="S290" s="536"/>
      <c r="T290" s="536"/>
      <c r="U290" s="536"/>
      <c r="V290" s="536"/>
      <c r="W290" s="536"/>
      <c r="X290" s="536"/>
      <c r="Y290" s="536"/>
      <c r="Z290" s="536"/>
      <c r="AA290" s="536"/>
      <c r="AB290" s="536"/>
      <c r="AC290" s="536"/>
      <c r="AD290" s="536"/>
      <c r="AE290" s="536"/>
      <c r="AF290" s="536"/>
      <c r="AG290" s="536"/>
      <c r="AH290" s="536"/>
      <c r="AI290" s="536"/>
      <c r="AJ290" s="536"/>
      <c r="AK290" s="536"/>
      <c r="AL290" s="536"/>
      <c r="AM290" s="536"/>
      <c r="AN290" s="536"/>
      <c r="AO290" s="536"/>
      <c r="AP290" s="536"/>
      <c r="AQ290" s="536"/>
      <c r="AR290" s="536"/>
      <c r="AS290" s="536"/>
      <c r="AT290" s="536"/>
      <c r="AU290" s="536"/>
      <c r="AV290" s="536"/>
      <c r="AW290" s="536"/>
      <c r="AX290" s="536"/>
      <c r="AY290" s="536"/>
      <c r="AZ290" s="536"/>
      <c r="BA290" s="536"/>
      <c r="BB290" s="536"/>
      <c r="BC290" s="536"/>
      <c r="BD290" s="536"/>
      <c r="BE290" s="536"/>
      <c r="BF290" s="536"/>
      <c r="BG290" s="536"/>
      <c r="BH290" s="536"/>
      <c r="BI290" s="536"/>
      <c r="BJ290" s="536"/>
      <c r="BK290" s="536"/>
      <c r="BL290" s="536"/>
      <c r="BM290" s="536"/>
      <c r="BN290" s="536"/>
      <c r="BO290" s="536"/>
      <c r="BP290" s="536"/>
      <c r="BQ290" s="536"/>
      <c r="BR290" s="536"/>
      <c r="BS290" s="536"/>
      <c r="BT290" s="536"/>
      <c r="BU290" s="536"/>
      <c r="BV290" s="536"/>
      <c r="BW290" s="536"/>
      <c r="BX290" s="536"/>
      <c r="BY290" s="536"/>
      <c r="BZ290" s="536"/>
      <c r="CA290" s="536"/>
      <c r="CB290" s="536"/>
      <c r="CC290" s="536"/>
      <c r="CD290" s="536"/>
    </row>
    <row r="291" spans="1:82" x14ac:dyDescent="0.2">
      <c r="A291" s="536">
        <f t="shared" si="100"/>
        <v>1</v>
      </c>
      <c r="B291" s="536">
        <f t="shared" si="95"/>
        <v>2015</v>
      </c>
      <c r="C291" s="552">
        <f t="shared" si="96"/>
        <v>42020</v>
      </c>
      <c r="D291" s="631" t="str">
        <f t="shared" si="97"/>
        <v>1Q15</v>
      </c>
      <c r="E291" s="540">
        <v>34.860000999999997</v>
      </c>
      <c r="F291" s="535"/>
      <c r="G291" s="536"/>
      <c r="H291" s="536"/>
      <c r="I291" s="536"/>
      <c r="J291" s="536"/>
      <c r="K291" s="536"/>
      <c r="L291" s="536"/>
      <c r="M291" s="536"/>
      <c r="N291" s="536"/>
      <c r="O291" s="536"/>
      <c r="P291" s="536"/>
      <c r="Q291" s="536"/>
      <c r="R291" s="536"/>
      <c r="S291" s="536"/>
      <c r="T291" s="536"/>
      <c r="U291" s="536"/>
      <c r="V291" s="536"/>
      <c r="W291" s="536"/>
      <c r="X291" s="536"/>
      <c r="Y291" s="536"/>
      <c r="Z291" s="536"/>
      <c r="AA291" s="536"/>
      <c r="AB291" s="536"/>
      <c r="AC291" s="536"/>
      <c r="AD291" s="536"/>
      <c r="AE291" s="536"/>
      <c r="AF291" s="536"/>
      <c r="AG291" s="536"/>
      <c r="AH291" s="536"/>
      <c r="AI291" s="536"/>
      <c r="AJ291" s="536"/>
      <c r="AK291" s="536"/>
      <c r="AL291" s="536"/>
      <c r="AM291" s="536"/>
      <c r="AN291" s="536"/>
      <c r="AO291" s="536"/>
      <c r="AP291" s="536"/>
      <c r="AQ291" s="536"/>
      <c r="AR291" s="536"/>
      <c r="AS291" s="536"/>
      <c r="AT291" s="536"/>
      <c r="AU291" s="536"/>
      <c r="AV291" s="536"/>
      <c r="AW291" s="536"/>
      <c r="AX291" s="536"/>
      <c r="AY291" s="536"/>
      <c r="AZ291" s="536"/>
      <c r="BA291" s="536"/>
      <c r="BB291" s="536"/>
      <c r="BC291" s="536"/>
      <c r="BD291" s="536"/>
      <c r="BE291" s="536"/>
      <c r="BF291" s="536"/>
      <c r="BG291" s="536"/>
      <c r="BH291" s="536"/>
      <c r="BI291" s="536"/>
      <c r="BJ291" s="536"/>
      <c r="BK291" s="536"/>
      <c r="BL291" s="536"/>
      <c r="BM291" s="536"/>
      <c r="BN291" s="536"/>
      <c r="BO291" s="536"/>
      <c r="BP291" s="536"/>
      <c r="BQ291" s="536"/>
      <c r="BR291" s="536"/>
      <c r="BS291" s="536"/>
      <c r="BT291" s="536"/>
      <c r="BU291" s="536"/>
      <c r="BV291" s="536"/>
      <c r="BW291" s="536"/>
      <c r="BX291" s="536"/>
      <c r="BY291" s="536"/>
      <c r="BZ291" s="536"/>
      <c r="CA291" s="536"/>
      <c r="CB291" s="536"/>
      <c r="CC291" s="536"/>
      <c r="CD291" s="536"/>
    </row>
    <row r="292" spans="1:82" x14ac:dyDescent="0.2">
      <c r="A292" s="536">
        <f t="shared" si="100"/>
        <v>1</v>
      </c>
      <c r="B292" s="536">
        <f t="shared" si="95"/>
        <v>2015</v>
      </c>
      <c r="C292" s="552">
        <f t="shared" si="96"/>
        <v>42027</v>
      </c>
      <c r="D292" s="631" t="str">
        <f t="shared" si="97"/>
        <v>1Q15</v>
      </c>
      <c r="E292" s="540">
        <v>34.470002000000001</v>
      </c>
      <c r="F292" s="535"/>
      <c r="G292" s="536"/>
      <c r="H292" s="536"/>
      <c r="I292" s="536"/>
      <c r="J292" s="536"/>
      <c r="K292" s="536"/>
      <c r="L292" s="536"/>
      <c r="M292" s="536"/>
      <c r="N292" s="536"/>
      <c r="O292" s="536"/>
      <c r="P292" s="536"/>
      <c r="Q292" s="536"/>
      <c r="R292" s="536"/>
      <c r="S292" s="536"/>
      <c r="T292" s="536"/>
      <c r="U292" s="536"/>
      <c r="V292" s="536"/>
      <c r="W292" s="536"/>
      <c r="X292" s="536"/>
      <c r="Y292" s="536"/>
      <c r="Z292" s="536"/>
      <c r="AA292" s="536"/>
      <c r="AB292" s="536"/>
      <c r="AC292" s="536"/>
      <c r="AD292" s="536"/>
      <c r="AE292" s="536"/>
      <c r="AF292" s="536"/>
      <c r="AG292" s="536"/>
      <c r="AH292" s="536"/>
      <c r="AI292" s="536"/>
      <c r="AJ292" s="536"/>
      <c r="AK292" s="536"/>
      <c r="AL292" s="536"/>
      <c r="AM292" s="536"/>
      <c r="AN292" s="536"/>
      <c r="AO292" s="536"/>
      <c r="AP292" s="536"/>
      <c r="AQ292" s="536"/>
      <c r="AR292" s="536"/>
      <c r="AS292" s="536"/>
      <c r="AT292" s="536"/>
      <c r="AU292" s="536"/>
      <c r="AV292" s="536"/>
      <c r="AW292" s="536"/>
      <c r="AX292" s="536"/>
      <c r="AY292" s="536"/>
      <c r="AZ292" s="536"/>
      <c r="BA292" s="536"/>
      <c r="BB292" s="536"/>
      <c r="BC292" s="536"/>
      <c r="BD292" s="536"/>
      <c r="BE292" s="536"/>
      <c r="BF292" s="536"/>
      <c r="BG292" s="536"/>
      <c r="BH292" s="536"/>
      <c r="BI292" s="536"/>
      <c r="BJ292" s="536"/>
      <c r="BK292" s="536"/>
      <c r="BL292" s="536"/>
      <c r="BM292" s="536"/>
      <c r="BN292" s="536"/>
      <c r="BO292" s="536"/>
      <c r="BP292" s="536"/>
      <c r="BQ292" s="536"/>
      <c r="BR292" s="536"/>
      <c r="BS292" s="536"/>
      <c r="BT292" s="536"/>
      <c r="BU292" s="536"/>
      <c r="BV292" s="536"/>
      <c r="BW292" s="536"/>
      <c r="BX292" s="536"/>
      <c r="BY292" s="536"/>
      <c r="BZ292" s="536"/>
      <c r="CA292" s="536"/>
      <c r="CB292" s="536"/>
      <c r="CC292" s="536"/>
      <c r="CD292" s="536"/>
    </row>
    <row r="293" spans="1:82" x14ac:dyDescent="0.2">
      <c r="A293" s="536">
        <f t="shared" si="100"/>
        <v>1</v>
      </c>
      <c r="B293" s="536">
        <f t="shared" si="95"/>
        <v>2015</v>
      </c>
      <c r="C293" s="552">
        <f t="shared" si="96"/>
        <v>42034</v>
      </c>
      <c r="D293" s="631" t="str">
        <f t="shared" si="97"/>
        <v>1Q15</v>
      </c>
      <c r="E293" s="540">
        <v>33.300004000000001</v>
      </c>
      <c r="F293" s="535"/>
      <c r="G293" s="536"/>
      <c r="H293" s="536"/>
      <c r="I293" s="536"/>
      <c r="J293" s="536"/>
      <c r="K293" s="536"/>
      <c r="L293" s="536"/>
      <c r="M293" s="536"/>
      <c r="N293" s="536"/>
      <c r="O293" s="536"/>
      <c r="P293" s="536"/>
      <c r="Q293" s="536"/>
      <c r="R293" s="536"/>
      <c r="S293" s="536"/>
      <c r="T293" s="536"/>
      <c r="U293" s="536"/>
      <c r="V293" s="536"/>
      <c r="W293" s="536"/>
      <c r="X293" s="536"/>
      <c r="Y293" s="536"/>
      <c r="Z293" s="536"/>
      <c r="AA293" s="536"/>
      <c r="AB293" s="536"/>
      <c r="AC293" s="536"/>
      <c r="AD293" s="536"/>
      <c r="AE293" s="536"/>
      <c r="AF293" s="536"/>
      <c r="AG293" s="536"/>
      <c r="AH293" s="536"/>
      <c r="AI293" s="536"/>
      <c r="AJ293" s="536"/>
      <c r="AK293" s="536"/>
      <c r="AL293" s="536"/>
      <c r="AM293" s="536"/>
      <c r="AN293" s="536"/>
      <c r="AO293" s="536"/>
      <c r="AP293" s="536"/>
      <c r="AQ293" s="536"/>
      <c r="AR293" s="536"/>
      <c r="AS293" s="536"/>
      <c r="AT293" s="536"/>
      <c r="AU293" s="536"/>
      <c r="AV293" s="536"/>
      <c r="AW293" s="536"/>
      <c r="AX293" s="536"/>
      <c r="AY293" s="536"/>
      <c r="AZ293" s="536"/>
      <c r="BA293" s="536"/>
      <c r="BB293" s="536"/>
      <c r="BC293" s="536"/>
      <c r="BD293" s="536"/>
      <c r="BE293" s="536"/>
      <c r="BF293" s="536"/>
      <c r="BG293" s="536"/>
      <c r="BH293" s="536"/>
      <c r="BI293" s="536"/>
      <c r="BJ293" s="536"/>
      <c r="BK293" s="536"/>
      <c r="BL293" s="536"/>
      <c r="BM293" s="536"/>
      <c r="BN293" s="536"/>
      <c r="BO293" s="536"/>
      <c r="BP293" s="536"/>
      <c r="BQ293" s="536"/>
      <c r="BR293" s="536"/>
      <c r="BS293" s="536"/>
      <c r="BT293" s="536"/>
      <c r="BU293" s="536"/>
      <c r="BV293" s="536"/>
      <c r="BW293" s="536"/>
      <c r="BX293" s="536"/>
      <c r="BY293" s="536"/>
      <c r="BZ293" s="536"/>
      <c r="CA293" s="536"/>
      <c r="CB293" s="536"/>
      <c r="CC293" s="536"/>
      <c r="CD293" s="536"/>
    </row>
    <row r="294" spans="1:82" x14ac:dyDescent="0.2">
      <c r="A294" s="536">
        <f t="shared" si="100"/>
        <v>1</v>
      </c>
      <c r="B294" s="536">
        <f t="shared" si="95"/>
        <v>2015</v>
      </c>
      <c r="C294" s="552">
        <f t="shared" si="96"/>
        <v>42041</v>
      </c>
      <c r="D294" s="631" t="str">
        <f t="shared" si="97"/>
        <v>1Q15</v>
      </c>
      <c r="E294" s="540">
        <v>35.440002999999997</v>
      </c>
      <c r="F294" s="535"/>
      <c r="G294" s="536"/>
      <c r="H294" s="536"/>
      <c r="I294" s="536"/>
      <c r="J294" s="536"/>
      <c r="K294" s="536"/>
      <c r="L294" s="536"/>
      <c r="M294" s="536"/>
      <c r="N294" s="536"/>
      <c r="O294" s="536"/>
      <c r="P294" s="536"/>
      <c r="Q294" s="536"/>
      <c r="R294" s="536"/>
      <c r="S294" s="536"/>
      <c r="T294" s="536"/>
      <c r="U294" s="536"/>
      <c r="V294" s="536"/>
      <c r="W294" s="536"/>
      <c r="X294" s="536"/>
      <c r="Y294" s="536"/>
      <c r="Z294" s="536"/>
      <c r="AA294" s="536"/>
      <c r="AB294" s="536"/>
      <c r="AC294" s="536"/>
      <c r="AD294" s="536"/>
      <c r="AE294" s="536"/>
      <c r="AF294" s="536"/>
      <c r="AG294" s="536"/>
      <c r="AH294" s="536"/>
      <c r="AI294" s="536"/>
      <c r="AJ294" s="536"/>
      <c r="AK294" s="536"/>
      <c r="AL294" s="536"/>
      <c r="AM294" s="536"/>
      <c r="AN294" s="536"/>
      <c r="AO294" s="536"/>
      <c r="AP294" s="536"/>
      <c r="AQ294" s="536"/>
      <c r="AR294" s="536"/>
      <c r="AS294" s="536"/>
      <c r="AT294" s="536"/>
      <c r="AU294" s="536"/>
      <c r="AV294" s="536"/>
      <c r="AW294" s="536"/>
      <c r="AX294" s="536"/>
      <c r="AY294" s="536"/>
      <c r="AZ294" s="536"/>
      <c r="BA294" s="536"/>
      <c r="BB294" s="536"/>
      <c r="BC294" s="536"/>
      <c r="BD294" s="536"/>
      <c r="BE294" s="536"/>
      <c r="BF294" s="536"/>
      <c r="BG294" s="536"/>
      <c r="BH294" s="536"/>
      <c r="BI294" s="536"/>
      <c r="BJ294" s="536"/>
      <c r="BK294" s="536"/>
      <c r="BL294" s="536"/>
      <c r="BM294" s="536"/>
      <c r="BN294" s="536"/>
      <c r="BO294" s="536"/>
      <c r="BP294" s="536"/>
      <c r="BQ294" s="536"/>
      <c r="BR294" s="536"/>
      <c r="BS294" s="536"/>
      <c r="BT294" s="536"/>
      <c r="BU294" s="536"/>
      <c r="BV294" s="536"/>
      <c r="BW294" s="536"/>
      <c r="BX294" s="536"/>
      <c r="BY294" s="536"/>
      <c r="BZ294" s="536"/>
      <c r="CA294" s="536"/>
      <c r="CB294" s="536"/>
      <c r="CC294" s="536"/>
      <c r="CD294" s="536"/>
    </row>
    <row r="295" spans="1:82" x14ac:dyDescent="0.2">
      <c r="A295" s="536">
        <f t="shared" si="100"/>
        <v>1</v>
      </c>
      <c r="B295" s="536">
        <f t="shared" si="95"/>
        <v>2015</v>
      </c>
      <c r="C295" s="552">
        <f t="shared" si="96"/>
        <v>42048</v>
      </c>
      <c r="D295" s="631" t="str">
        <f t="shared" si="97"/>
        <v>1Q15</v>
      </c>
      <c r="E295" s="540">
        <v>36.080002</v>
      </c>
      <c r="F295" s="535"/>
      <c r="G295" s="536"/>
      <c r="H295" s="536"/>
      <c r="I295" s="536"/>
      <c r="J295" s="536"/>
      <c r="K295" s="536"/>
      <c r="L295" s="536"/>
      <c r="M295" s="536"/>
      <c r="N295" s="536"/>
      <c r="O295" s="536"/>
      <c r="P295" s="536"/>
      <c r="Q295" s="536"/>
      <c r="R295" s="536"/>
      <c r="S295" s="536"/>
      <c r="T295" s="536"/>
      <c r="U295" s="536"/>
      <c r="V295" s="536"/>
      <c r="W295" s="536"/>
      <c r="X295" s="536"/>
      <c r="Y295" s="536"/>
      <c r="Z295" s="536"/>
      <c r="AA295" s="536"/>
      <c r="AB295" s="536"/>
      <c r="AC295" s="536"/>
      <c r="AD295" s="536"/>
      <c r="AE295" s="536"/>
      <c r="AF295" s="536"/>
      <c r="AG295" s="536"/>
      <c r="AH295" s="536"/>
      <c r="AI295" s="536"/>
      <c r="AJ295" s="536"/>
      <c r="AK295" s="536"/>
      <c r="AL295" s="536"/>
      <c r="AM295" s="536"/>
      <c r="AN295" s="536"/>
      <c r="AO295" s="536"/>
      <c r="AP295" s="536"/>
      <c r="AQ295" s="536"/>
      <c r="AR295" s="536"/>
      <c r="AS295" s="536"/>
      <c r="AT295" s="536"/>
      <c r="AU295" s="536"/>
      <c r="AV295" s="536"/>
      <c r="AW295" s="536"/>
      <c r="AX295" s="536"/>
      <c r="AY295" s="536"/>
      <c r="AZ295" s="536"/>
      <c r="BA295" s="536"/>
      <c r="BB295" s="536"/>
      <c r="BC295" s="536"/>
      <c r="BD295" s="536"/>
      <c r="BE295" s="536"/>
      <c r="BF295" s="536"/>
      <c r="BG295" s="536"/>
      <c r="BH295" s="536"/>
      <c r="BI295" s="536"/>
      <c r="BJ295" s="536"/>
      <c r="BK295" s="536"/>
      <c r="BL295" s="536"/>
      <c r="BM295" s="536"/>
      <c r="BN295" s="536"/>
      <c r="BO295" s="536"/>
      <c r="BP295" s="536"/>
      <c r="BQ295" s="536"/>
      <c r="BR295" s="536"/>
      <c r="BS295" s="536"/>
      <c r="BT295" s="536"/>
      <c r="BU295" s="536"/>
      <c r="BV295" s="536"/>
      <c r="BW295" s="536"/>
      <c r="BX295" s="536"/>
      <c r="BY295" s="536"/>
      <c r="BZ295" s="536"/>
      <c r="CA295" s="536"/>
      <c r="CB295" s="536"/>
      <c r="CC295" s="536"/>
      <c r="CD295" s="536"/>
    </row>
    <row r="296" spans="1:82" x14ac:dyDescent="0.2">
      <c r="A296" s="536">
        <f t="shared" si="100"/>
        <v>1</v>
      </c>
      <c r="B296" s="536">
        <f t="shared" si="95"/>
        <v>2015</v>
      </c>
      <c r="C296" s="552">
        <f t="shared" si="96"/>
        <v>42055</v>
      </c>
      <c r="D296" s="631" t="str">
        <f t="shared" si="97"/>
        <v>1Q15</v>
      </c>
      <c r="E296" s="540">
        <v>35.550004000000001</v>
      </c>
      <c r="F296" s="535"/>
      <c r="G296" s="536"/>
      <c r="H296" s="536"/>
      <c r="I296" s="536"/>
      <c r="J296" s="536"/>
      <c r="K296" s="536"/>
      <c r="L296" s="536"/>
      <c r="M296" s="536"/>
      <c r="N296" s="536"/>
      <c r="O296" s="536"/>
      <c r="P296" s="536"/>
      <c r="Q296" s="536"/>
      <c r="R296" s="536"/>
      <c r="S296" s="536"/>
      <c r="T296" s="536"/>
      <c r="U296" s="536"/>
      <c r="V296" s="536"/>
      <c r="W296" s="536"/>
      <c r="X296" s="536"/>
      <c r="Y296" s="536"/>
      <c r="Z296" s="536"/>
      <c r="AA296" s="536"/>
      <c r="AB296" s="536"/>
      <c r="AC296" s="536"/>
      <c r="AD296" s="536"/>
      <c r="AE296" s="536"/>
      <c r="AF296" s="536"/>
      <c r="AG296" s="536"/>
      <c r="AH296" s="536"/>
      <c r="AI296" s="536"/>
      <c r="AJ296" s="536"/>
      <c r="AK296" s="536"/>
      <c r="AL296" s="536"/>
      <c r="AM296" s="536"/>
      <c r="AN296" s="536"/>
      <c r="AO296" s="536"/>
      <c r="AP296" s="536"/>
      <c r="AQ296" s="536"/>
      <c r="AR296" s="536"/>
      <c r="AS296" s="536"/>
      <c r="AT296" s="536"/>
      <c r="AU296" s="536"/>
      <c r="AV296" s="536"/>
      <c r="AW296" s="536"/>
      <c r="AX296" s="536"/>
      <c r="AY296" s="536"/>
      <c r="AZ296" s="536"/>
      <c r="BA296" s="536"/>
      <c r="BB296" s="536"/>
      <c r="BC296" s="536"/>
      <c r="BD296" s="536"/>
      <c r="BE296" s="536"/>
      <c r="BF296" s="536"/>
      <c r="BG296" s="536"/>
      <c r="BH296" s="536"/>
      <c r="BI296" s="536"/>
      <c r="BJ296" s="536"/>
      <c r="BK296" s="536"/>
      <c r="BL296" s="536"/>
      <c r="BM296" s="536"/>
      <c r="BN296" s="536"/>
      <c r="BO296" s="536"/>
      <c r="BP296" s="536"/>
      <c r="BQ296" s="536"/>
      <c r="BR296" s="536"/>
      <c r="BS296" s="536"/>
      <c r="BT296" s="536"/>
      <c r="BU296" s="536"/>
      <c r="BV296" s="536"/>
      <c r="BW296" s="536"/>
      <c r="BX296" s="536"/>
      <c r="BY296" s="536"/>
      <c r="BZ296" s="536"/>
      <c r="CA296" s="536"/>
      <c r="CB296" s="536"/>
      <c r="CC296" s="536"/>
      <c r="CD296" s="536"/>
    </row>
    <row r="297" spans="1:82" x14ac:dyDescent="0.2">
      <c r="A297" s="536">
        <f t="shared" si="100"/>
        <v>1</v>
      </c>
      <c r="B297" s="536">
        <f t="shared" si="95"/>
        <v>2015</v>
      </c>
      <c r="C297" s="552">
        <f t="shared" si="96"/>
        <v>42062</v>
      </c>
      <c r="D297" s="631" t="str">
        <f t="shared" si="97"/>
        <v>1Q15</v>
      </c>
      <c r="E297" s="540">
        <v>34.309998</v>
      </c>
      <c r="F297" s="535"/>
      <c r="G297" s="536"/>
      <c r="H297" s="536"/>
      <c r="I297" s="536"/>
      <c r="J297" s="536"/>
      <c r="K297" s="536"/>
      <c r="L297" s="536"/>
      <c r="M297" s="536"/>
      <c r="N297" s="536"/>
      <c r="O297" s="536"/>
      <c r="P297" s="536"/>
      <c r="Q297" s="536"/>
      <c r="R297" s="536"/>
      <c r="S297" s="536"/>
      <c r="T297" s="536"/>
      <c r="U297" s="536"/>
      <c r="V297" s="536"/>
      <c r="W297" s="536"/>
      <c r="X297" s="536"/>
      <c r="Y297" s="536"/>
      <c r="Z297" s="536"/>
      <c r="AA297" s="536"/>
      <c r="AB297" s="536"/>
      <c r="AC297" s="536"/>
      <c r="AD297" s="536"/>
      <c r="AE297" s="536"/>
      <c r="AF297" s="536"/>
      <c r="AG297" s="536"/>
      <c r="AH297" s="536"/>
      <c r="AI297" s="536"/>
      <c r="AJ297" s="536"/>
      <c r="AK297" s="536"/>
      <c r="AL297" s="536"/>
      <c r="AM297" s="536"/>
      <c r="AN297" s="536"/>
      <c r="AO297" s="536"/>
      <c r="AP297" s="536"/>
      <c r="AQ297" s="536"/>
      <c r="AR297" s="536"/>
      <c r="AS297" s="536"/>
      <c r="AT297" s="536"/>
      <c r="AU297" s="536"/>
      <c r="AV297" s="536"/>
      <c r="AW297" s="536"/>
      <c r="AX297" s="536"/>
      <c r="AY297" s="536"/>
      <c r="AZ297" s="536"/>
      <c r="BA297" s="536"/>
      <c r="BB297" s="536"/>
      <c r="BC297" s="536"/>
      <c r="BD297" s="536"/>
      <c r="BE297" s="536"/>
      <c r="BF297" s="536"/>
      <c r="BG297" s="536"/>
      <c r="BH297" s="536"/>
      <c r="BI297" s="536"/>
      <c r="BJ297" s="536"/>
      <c r="BK297" s="536"/>
      <c r="BL297" s="536"/>
      <c r="BM297" s="536"/>
      <c r="BN297" s="536"/>
      <c r="BO297" s="536"/>
      <c r="BP297" s="536"/>
      <c r="BQ297" s="536"/>
      <c r="BR297" s="536"/>
      <c r="BS297" s="536"/>
      <c r="BT297" s="536"/>
      <c r="BU297" s="536"/>
      <c r="BV297" s="536"/>
      <c r="BW297" s="536"/>
      <c r="BX297" s="536"/>
      <c r="BY297" s="536"/>
      <c r="BZ297" s="536"/>
      <c r="CA297" s="536"/>
      <c r="CB297" s="536"/>
      <c r="CC297" s="536"/>
      <c r="CD297" s="536"/>
    </row>
    <row r="298" spans="1:82" x14ac:dyDescent="0.2">
      <c r="A298" s="536">
        <f t="shared" si="100"/>
        <v>1</v>
      </c>
      <c r="B298" s="536">
        <f t="shared" si="95"/>
        <v>2015</v>
      </c>
      <c r="C298" s="552">
        <f t="shared" si="96"/>
        <v>42069</v>
      </c>
      <c r="D298" s="631" t="str">
        <f t="shared" si="97"/>
        <v>1Q15</v>
      </c>
      <c r="E298" s="540">
        <v>33.679993000000003</v>
      </c>
      <c r="F298" s="535"/>
      <c r="G298" s="536"/>
      <c r="H298" s="536"/>
      <c r="I298" s="536"/>
      <c r="J298" s="536"/>
      <c r="K298" s="536"/>
      <c r="L298" s="536"/>
      <c r="M298" s="536"/>
      <c r="N298" s="536"/>
      <c r="O298" s="536"/>
      <c r="P298" s="536"/>
      <c r="Q298" s="536"/>
      <c r="R298" s="536"/>
      <c r="S298" s="536"/>
      <c r="T298" s="536"/>
      <c r="U298" s="536"/>
      <c r="V298" s="536"/>
      <c r="W298" s="536"/>
      <c r="X298" s="536"/>
      <c r="Y298" s="536"/>
      <c r="Z298" s="536"/>
      <c r="AA298" s="536"/>
      <c r="AB298" s="536"/>
      <c r="AC298" s="536"/>
      <c r="AD298" s="536"/>
      <c r="AE298" s="536"/>
      <c r="AF298" s="536"/>
      <c r="AG298" s="536"/>
      <c r="AH298" s="536"/>
      <c r="AI298" s="536"/>
      <c r="AJ298" s="536"/>
      <c r="AK298" s="536"/>
      <c r="AL298" s="536"/>
      <c r="AM298" s="536"/>
      <c r="AN298" s="536"/>
      <c r="AO298" s="536"/>
      <c r="AP298" s="536"/>
      <c r="AQ298" s="536"/>
      <c r="AR298" s="536"/>
      <c r="AS298" s="536"/>
      <c r="AT298" s="536"/>
      <c r="AU298" s="536"/>
      <c r="AV298" s="536"/>
      <c r="AW298" s="536"/>
      <c r="AX298" s="536"/>
      <c r="AY298" s="536"/>
      <c r="AZ298" s="536"/>
      <c r="BA298" s="536"/>
      <c r="BB298" s="536"/>
      <c r="BC298" s="536"/>
      <c r="BD298" s="536"/>
      <c r="BE298" s="536"/>
      <c r="BF298" s="536"/>
      <c r="BG298" s="536"/>
      <c r="BH298" s="536"/>
      <c r="BI298" s="536"/>
      <c r="BJ298" s="536"/>
      <c r="BK298" s="536"/>
      <c r="BL298" s="536"/>
      <c r="BM298" s="536"/>
      <c r="BN298" s="536"/>
      <c r="BO298" s="536"/>
      <c r="BP298" s="536"/>
      <c r="BQ298" s="536"/>
      <c r="BR298" s="536"/>
      <c r="BS298" s="536"/>
      <c r="BT298" s="536"/>
      <c r="BU298" s="536"/>
      <c r="BV298" s="536"/>
      <c r="BW298" s="536"/>
      <c r="BX298" s="536"/>
      <c r="BY298" s="536"/>
      <c r="BZ298" s="536"/>
      <c r="CA298" s="536"/>
      <c r="CB298" s="536"/>
      <c r="CC298" s="536"/>
      <c r="CD298" s="536"/>
    </row>
    <row r="299" spans="1:82" x14ac:dyDescent="0.2">
      <c r="A299" s="536">
        <f t="shared" si="100"/>
        <v>1</v>
      </c>
      <c r="B299" s="536">
        <f t="shared" si="95"/>
        <v>2015</v>
      </c>
      <c r="C299" s="552">
        <f t="shared" si="96"/>
        <v>42076</v>
      </c>
      <c r="D299" s="631" t="str">
        <f t="shared" si="97"/>
        <v>1Q15</v>
      </c>
      <c r="E299" s="540">
        <v>34.130004999999997</v>
      </c>
      <c r="F299" s="535"/>
      <c r="G299" s="536"/>
      <c r="H299" s="536"/>
      <c r="I299" s="536"/>
      <c r="J299" s="536"/>
      <c r="K299" s="536"/>
      <c r="L299" s="536"/>
      <c r="M299" s="536"/>
      <c r="N299" s="536"/>
      <c r="O299" s="536"/>
      <c r="P299" s="536"/>
      <c r="Q299" s="536"/>
      <c r="R299" s="536"/>
      <c r="S299" s="536"/>
      <c r="T299" s="536"/>
      <c r="U299" s="536"/>
      <c r="V299" s="536"/>
      <c r="W299" s="536"/>
      <c r="X299" s="536"/>
      <c r="Y299" s="536"/>
      <c r="Z299" s="536"/>
      <c r="AA299" s="536"/>
      <c r="AB299" s="536"/>
      <c r="AC299" s="536"/>
      <c r="AD299" s="536"/>
      <c r="AE299" s="536"/>
      <c r="AF299" s="536"/>
      <c r="AG299" s="536"/>
      <c r="AH299" s="536"/>
      <c r="AI299" s="536"/>
      <c r="AJ299" s="536"/>
      <c r="AK299" s="536"/>
      <c r="AL299" s="536"/>
      <c r="AM299" s="536"/>
      <c r="AN299" s="536"/>
      <c r="AO299" s="536"/>
      <c r="AP299" s="536"/>
      <c r="AQ299" s="536"/>
      <c r="AR299" s="536"/>
      <c r="AS299" s="536"/>
      <c r="AT299" s="536"/>
      <c r="AU299" s="536"/>
      <c r="AV299" s="536"/>
      <c r="AW299" s="536"/>
      <c r="AX299" s="536"/>
      <c r="AY299" s="536"/>
      <c r="AZ299" s="536"/>
      <c r="BA299" s="536"/>
      <c r="BB299" s="536"/>
      <c r="BC299" s="536"/>
      <c r="BD299" s="536"/>
      <c r="BE299" s="536"/>
      <c r="BF299" s="536"/>
      <c r="BG299" s="536"/>
      <c r="BH299" s="536"/>
      <c r="BI299" s="536"/>
      <c r="BJ299" s="536"/>
      <c r="BK299" s="536"/>
      <c r="BL299" s="536"/>
      <c r="BM299" s="536"/>
      <c r="BN299" s="536"/>
      <c r="BO299" s="536"/>
      <c r="BP299" s="536"/>
      <c r="BQ299" s="536"/>
      <c r="BR299" s="536"/>
      <c r="BS299" s="536"/>
      <c r="BT299" s="536"/>
      <c r="BU299" s="536"/>
      <c r="BV299" s="536"/>
      <c r="BW299" s="536"/>
      <c r="BX299" s="536"/>
      <c r="BY299" s="536"/>
      <c r="BZ299" s="536"/>
      <c r="CA299" s="536"/>
      <c r="CB299" s="536"/>
      <c r="CC299" s="536"/>
      <c r="CD299" s="536"/>
    </row>
    <row r="300" spans="1:82" x14ac:dyDescent="0.2">
      <c r="A300" s="536">
        <f t="shared" si="100"/>
        <v>1</v>
      </c>
      <c r="B300" s="536">
        <f t="shared" si="95"/>
        <v>2015</v>
      </c>
      <c r="C300" s="552">
        <f t="shared" si="96"/>
        <v>42083</v>
      </c>
      <c r="D300" s="631" t="str">
        <f t="shared" si="97"/>
        <v>1Q15</v>
      </c>
      <c r="E300" s="540">
        <v>35.160004000000001</v>
      </c>
      <c r="F300" s="535"/>
      <c r="G300" s="536"/>
      <c r="H300" s="536"/>
      <c r="I300" s="536"/>
      <c r="J300" s="536"/>
      <c r="K300" s="536"/>
      <c r="L300" s="536"/>
      <c r="M300" s="536"/>
      <c r="N300" s="536"/>
      <c r="O300" s="536"/>
      <c r="P300" s="536"/>
      <c r="Q300" s="536"/>
      <c r="R300" s="536"/>
      <c r="S300" s="536"/>
      <c r="T300" s="536"/>
      <c r="U300" s="536"/>
      <c r="V300" s="536"/>
      <c r="W300" s="536"/>
      <c r="X300" s="536"/>
      <c r="Y300" s="536"/>
      <c r="Z300" s="536"/>
      <c r="AA300" s="536"/>
      <c r="AB300" s="536"/>
      <c r="AC300" s="536"/>
      <c r="AD300" s="536"/>
      <c r="AE300" s="536"/>
      <c r="AF300" s="536"/>
      <c r="AG300" s="536"/>
      <c r="AH300" s="536"/>
      <c r="AI300" s="536"/>
      <c r="AJ300" s="536"/>
      <c r="AK300" s="536"/>
      <c r="AL300" s="536"/>
      <c r="AM300" s="536"/>
      <c r="AN300" s="536"/>
      <c r="AO300" s="536"/>
      <c r="AP300" s="536"/>
      <c r="AQ300" s="536"/>
      <c r="AR300" s="536"/>
      <c r="AS300" s="536"/>
      <c r="AT300" s="536"/>
      <c r="AU300" s="536"/>
      <c r="AV300" s="536"/>
      <c r="AW300" s="536"/>
      <c r="AX300" s="536"/>
      <c r="AY300" s="536"/>
      <c r="AZ300" s="536"/>
      <c r="BA300" s="536"/>
      <c r="BB300" s="536"/>
      <c r="BC300" s="536"/>
      <c r="BD300" s="536"/>
      <c r="BE300" s="536"/>
      <c r="BF300" s="536"/>
      <c r="BG300" s="536"/>
      <c r="BH300" s="536"/>
      <c r="BI300" s="536"/>
      <c r="BJ300" s="536"/>
      <c r="BK300" s="536"/>
      <c r="BL300" s="536"/>
      <c r="BM300" s="536"/>
      <c r="BN300" s="536"/>
      <c r="BO300" s="536"/>
      <c r="BP300" s="536"/>
      <c r="BQ300" s="536"/>
      <c r="BR300" s="536"/>
      <c r="BS300" s="536"/>
      <c r="BT300" s="536"/>
      <c r="BU300" s="536"/>
      <c r="BV300" s="536"/>
      <c r="BW300" s="536"/>
      <c r="BX300" s="536"/>
      <c r="BY300" s="536"/>
      <c r="BZ300" s="536"/>
      <c r="CA300" s="536"/>
      <c r="CB300" s="536"/>
      <c r="CC300" s="536"/>
      <c r="CD300" s="536"/>
    </row>
    <row r="301" spans="1:82" x14ac:dyDescent="0.2">
      <c r="A301" s="536">
        <f t="shared" si="100"/>
        <v>1</v>
      </c>
      <c r="B301" s="536">
        <f t="shared" si="95"/>
        <v>2015</v>
      </c>
      <c r="C301" s="552">
        <f t="shared" si="96"/>
        <v>42090</v>
      </c>
      <c r="D301" s="631" t="str">
        <f t="shared" si="97"/>
        <v>1Q15</v>
      </c>
      <c r="E301" s="540">
        <v>33.199997000000003</v>
      </c>
      <c r="F301" s="535"/>
      <c r="G301" s="536"/>
      <c r="H301" s="536"/>
      <c r="I301" s="536"/>
      <c r="J301" s="536"/>
      <c r="K301" s="536"/>
      <c r="L301" s="536"/>
      <c r="M301" s="536"/>
      <c r="N301" s="536"/>
      <c r="O301" s="536"/>
      <c r="P301" s="536"/>
      <c r="Q301" s="536"/>
      <c r="R301" s="536"/>
      <c r="S301" s="536"/>
      <c r="T301" s="536"/>
      <c r="U301" s="536"/>
      <c r="V301" s="536"/>
      <c r="W301" s="536"/>
      <c r="X301" s="536"/>
      <c r="Y301" s="536"/>
      <c r="Z301" s="536"/>
      <c r="AA301" s="536"/>
      <c r="AB301" s="536"/>
      <c r="AC301" s="536"/>
      <c r="AD301" s="536"/>
      <c r="AE301" s="536"/>
      <c r="AF301" s="536"/>
      <c r="AG301" s="536"/>
      <c r="AH301" s="536"/>
      <c r="AI301" s="536"/>
      <c r="AJ301" s="536"/>
      <c r="AK301" s="536"/>
      <c r="AL301" s="536"/>
      <c r="AM301" s="536"/>
      <c r="AN301" s="536"/>
      <c r="AO301" s="536"/>
      <c r="AP301" s="536"/>
      <c r="AQ301" s="536"/>
      <c r="AR301" s="536"/>
      <c r="AS301" s="536"/>
      <c r="AT301" s="536"/>
      <c r="AU301" s="536"/>
      <c r="AV301" s="536"/>
      <c r="AW301" s="536"/>
      <c r="AX301" s="536"/>
      <c r="AY301" s="536"/>
      <c r="AZ301" s="536"/>
      <c r="BA301" s="536"/>
      <c r="BB301" s="536"/>
      <c r="BC301" s="536"/>
      <c r="BD301" s="536"/>
      <c r="BE301" s="536"/>
      <c r="BF301" s="536"/>
      <c r="BG301" s="536"/>
      <c r="BH301" s="536"/>
      <c r="BI301" s="536"/>
      <c r="BJ301" s="536"/>
      <c r="BK301" s="536"/>
      <c r="BL301" s="536"/>
      <c r="BM301" s="536"/>
      <c r="BN301" s="536"/>
      <c r="BO301" s="536"/>
      <c r="BP301" s="536"/>
      <c r="BQ301" s="536"/>
      <c r="BR301" s="536"/>
      <c r="BS301" s="536"/>
      <c r="BT301" s="536"/>
      <c r="BU301" s="536"/>
      <c r="BV301" s="536"/>
      <c r="BW301" s="536"/>
      <c r="BX301" s="536"/>
      <c r="BY301" s="536"/>
      <c r="BZ301" s="536"/>
      <c r="CA301" s="536"/>
      <c r="CB301" s="536"/>
      <c r="CC301" s="536"/>
      <c r="CD301" s="536"/>
    </row>
    <row r="302" spans="1:82" x14ac:dyDescent="0.2">
      <c r="A302" s="536">
        <f t="shared" si="100"/>
        <v>2</v>
      </c>
      <c r="B302" s="536">
        <f t="shared" si="95"/>
        <v>2015</v>
      </c>
      <c r="C302" s="552">
        <f t="shared" si="96"/>
        <v>42097</v>
      </c>
      <c r="D302" s="631" t="str">
        <f t="shared" si="97"/>
        <v>2Q15</v>
      </c>
      <c r="E302" s="540">
        <v>33.320008000000001</v>
      </c>
      <c r="F302" s="535"/>
      <c r="G302" s="536"/>
      <c r="H302" s="536"/>
      <c r="I302" s="536"/>
      <c r="J302" s="536"/>
      <c r="K302" s="536"/>
      <c r="L302" s="536"/>
      <c r="M302" s="536"/>
      <c r="N302" s="536"/>
      <c r="O302" s="536"/>
      <c r="P302" s="536"/>
      <c r="Q302" s="536"/>
      <c r="R302" s="536"/>
      <c r="S302" s="536"/>
      <c r="T302" s="536"/>
      <c r="U302" s="536"/>
      <c r="V302" s="536"/>
      <c r="W302" s="536"/>
      <c r="X302" s="536"/>
      <c r="Y302" s="536"/>
      <c r="Z302" s="536"/>
      <c r="AA302" s="536"/>
      <c r="AB302" s="536"/>
      <c r="AC302" s="536"/>
      <c r="AD302" s="536"/>
      <c r="AE302" s="536"/>
      <c r="AF302" s="536"/>
      <c r="AG302" s="536"/>
      <c r="AH302" s="536"/>
      <c r="AI302" s="536"/>
      <c r="AJ302" s="536"/>
      <c r="AK302" s="536"/>
      <c r="AL302" s="536"/>
      <c r="AM302" s="536"/>
      <c r="AN302" s="536"/>
      <c r="AO302" s="536"/>
      <c r="AP302" s="536"/>
      <c r="AQ302" s="536"/>
      <c r="AR302" s="536"/>
      <c r="AS302" s="536"/>
      <c r="AT302" s="536"/>
      <c r="AU302" s="536"/>
      <c r="AV302" s="536"/>
      <c r="AW302" s="536"/>
      <c r="AX302" s="536"/>
      <c r="AY302" s="536"/>
      <c r="AZ302" s="536"/>
      <c r="BA302" s="536"/>
      <c r="BB302" s="536"/>
      <c r="BC302" s="536"/>
      <c r="BD302" s="536"/>
      <c r="BE302" s="536"/>
      <c r="BF302" s="536"/>
      <c r="BG302" s="536"/>
      <c r="BH302" s="536"/>
      <c r="BI302" s="536"/>
      <c r="BJ302" s="536"/>
      <c r="BK302" s="536"/>
      <c r="BL302" s="536"/>
      <c r="BM302" s="536"/>
      <c r="BN302" s="536"/>
      <c r="BO302" s="536"/>
      <c r="BP302" s="536"/>
      <c r="BQ302" s="536"/>
      <c r="BR302" s="536"/>
      <c r="BS302" s="536"/>
      <c r="BT302" s="536"/>
      <c r="BU302" s="536"/>
      <c r="BV302" s="536"/>
      <c r="BW302" s="536"/>
      <c r="BX302" s="536"/>
      <c r="BY302" s="536"/>
      <c r="BZ302" s="536"/>
      <c r="CA302" s="536"/>
      <c r="CB302" s="536"/>
      <c r="CC302" s="536"/>
      <c r="CD302" s="536"/>
    </row>
    <row r="303" spans="1:82" x14ac:dyDescent="0.2">
      <c r="A303" s="536">
        <f t="shared" si="100"/>
        <v>2</v>
      </c>
      <c r="B303" s="536">
        <f t="shared" si="95"/>
        <v>2015</v>
      </c>
      <c r="C303" s="552">
        <f t="shared" si="96"/>
        <v>42104</v>
      </c>
      <c r="D303" s="631" t="str">
        <f t="shared" si="97"/>
        <v>2Q15</v>
      </c>
      <c r="E303" s="540">
        <v>33.75</v>
      </c>
      <c r="F303" s="535"/>
      <c r="G303" s="536"/>
      <c r="H303" s="536"/>
      <c r="I303" s="536"/>
      <c r="J303" s="536"/>
      <c r="K303" s="536"/>
      <c r="L303" s="536"/>
      <c r="M303" s="536"/>
      <c r="N303" s="536"/>
      <c r="O303" s="536"/>
      <c r="P303" s="536"/>
      <c r="Q303" s="536"/>
      <c r="R303" s="536"/>
      <c r="S303" s="536"/>
      <c r="T303" s="536"/>
      <c r="U303" s="536"/>
      <c r="V303" s="536"/>
      <c r="W303" s="536"/>
      <c r="X303" s="536"/>
      <c r="Y303" s="536"/>
      <c r="Z303" s="536"/>
      <c r="AA303" s="536"/>
      <c r="AB303" s="536"/>
      <c r="AC303" s="536"/>
      <c r="AD303" s="536"/>
      <c r="AE303" s="536"/>
      <c r="AF303" s="536"/>
      <c r="AG303" s="536"/>
      <c r="AH303" s="536"/>
      <c r="AI303" s="536"/>
      <c r="AJ303" s="536"/>
      <c r="AK303" s="536"/>
      <c r="AL303" s="536"/>
      <c r="AM303" s="536"/>
      <c r="AN303" s="536"/>
      <c r="AO303" s="536"/>
      <c r="AP303" s="536"/>
      <c r="AQ303" s="536"/>
      <c r="AR303" s="536"/>
      <c r="AS303" s="536"/>
      <c r="AT303" s="536"/>
      <c r="AU303" s="536"/>
      <c r="AV303" s="536"/>
      <c r="AW303" s="536"/>
      <c r="AX303" s="536"/>
      <c r="AY303" s="536"/>
      <c r="AZ303" s="536"/>
      <c r="BA303" s="536"/>
      <c r="BB303" s="536"/>
      <c r="BC303" s="536"/>
      <c r="BD303" s="536"/>
      <c r="BE303" s="536"/>
      <c r="BF303" s="536"/>
      <c r="BG303" s="536"/>
      <c r="BH303" s="536"/>
      <c r="BI303" s="536"/>
      <c r="BJ303" s="536"/>
      <c r="BK303" s="536"/>
      <c r="BL303" s="536"/>
      <c r="BM303" s="536"/>
      <c r="BN303" s="536"/>
      <c r="BO303" s="536"/>
      <c r="BP303" s="536"/>
      <c r="BQ303" s="536"/>
      <c r="BR303" s="536"/>
      <c r="BS303" s="536"/>
      <c r="BT303" s="536"/>
      <c r="BU303" s="536"/>
      <c r="BV303" s="536"/>
      <c r="BW303" s="536"/>
      <c r="BX303" s="536"/>
      <c r="BY303" s="536"/>
      <c r="BZ303" s="536"/>
      <c r="CA303" s="536"/>
      <c r="CB303" s="536"/>
      <c r="CC303" s="536"/>
      <c r="CD303" s="536"/>
    </row>
    <row r="304" spans="1:82" x14ac:dyDescent="0.2">
      <c r="A304" s="536">
        <f t="shared" si="100"/>
        <v>2</v>
      </c>
      <c r="B304" s="536">
        <f t="shared" si="95"/>
        <v>2015</v>
      </c>
      <c r="C304" s="552">
        <f t="shared" si="96"/>
        <v>42111</v>
      </c>
      <c r="D304" s="631" t="str">
        <f t="shared" si="97"/>
        <v>2Q15</v>
      </c>
      <c r="E304" s="540">
        <v>33.300004000000001</v>
      </c>
      <c r="F304" s="535"/>
      <c r="G304" s="536"/>
      <c r="H304" s="536"/>
      <c r="I304" s="536"/>
      <c r="J304" s="536"/>
      <c r="K304" s="536"/>
      <c r="L304" s="536"/>
      <c r="M304" s="536"/>
      <c r="N304" s="536"/>
      <c r="O304" s="536"/>
      <c r="P304" s="536"/>
      <c r="Q304" s="536"/>
      <c r="R304" s="536"/>
      <c r="S304" s="536"/>
      <c r="T304" s="536"/>
      <c r="U304" s="536"/>
      <c r="V304" s="536"/>
      <c r="W304" s="536"/>
      <c r="X304" s="536"/>
      <c r="Y304" s="536"/>
      <c r="Z304" s="536"/>
      <c r="AA304" s="536"/>
      <c r="AB304" s="536"/>
      <c r="AC304" s="536"/>
      <c r="AD304" s="536"/>
      <c r="AE304" s="536"/>
      <c r="AF304" s="536"/>
      <c r="AG304" s="536"/>
      <c r="AH304" s="536"/>
      <c r="AI304" s="536"/>
      <c r="AJ304" s="536"/>
      <c r="AK304" s="536"/>
      <c r="AL304" s="536"/>
      <c r="AM304" s="536"/>
      <c r="AN304" s="536"/>
      <c r="AO304" s="536"/>
      <c r="AP304" s="536"/>
      <c r="AQ304" s="536"/>
      <c r="AR304" s="536"/>
      <c r="AS304" s="536"/>
      <c r="AT304" s="536"/>
      <c r="AU304" s="536"/>
      <c r="AV304" s="536"/>
      <c r="AW304" s="536"/>
      <c r="AX304" s="536"/>
      <c r="AY304" s="536"/>
      <c r="AZ304" s="536"/>
      <c r="BA304" s="536"/>
      <c r="BB304" s="536"/>
      <c r="BC304" s="536"/>
      <c r="BD304" s="536"/>
      <c r="BE304" s="536"/>
      <c r="BF304" s="536"/>
      <c r="BG304" s="536"/>
      <c r="BH304" s="536"/>
      <c r="BI304" s="536"/>
      <c r="BJ304" s="536"/>
      <c r="BK304" s="536"/>
      <c r="BL304" s="536"/>
      <c r="BM304" s="536"/>
      <c r="BN304" s="536"/>
      <c r="BO304" s="536"/>
      <c r="BP304" s="536"/>
      <c r="BQ304" s="536"/>
      <c r="BR304" s="536"/>
      <c r="BS304" s="536"/>
      <c r="BT304" s="536"/>
      <c r="BU304" s="536"/>
      <c r="BV304" s="536"/>
      <c r="BW304" s="536"/>
      <c r="BX304" s="536"/>
      <c r="BY304" s="536"/>
      <c r="BZ304" s="536"/>
      <c r="CA304" s="536"/>
      <c r="CB304" s="536"/>
      <c r="CC304" s="536"/>
      <c r="CD304" s="536"/>
    </row>
    <row r="305" spans="1:82" x14ac:dyDescent="0.2">
      <c r="A305" s="536">
        <f t="shared" si="100"/>
        <v>2</v>
      </c>
      <c r="B305" s="536">
        <f t="shared" si="95"/>
        <v>2015</v>
      </c>
      <c r="C305" s="552">
        <f t="shared" si="96"/>
        <v>42118</v>
      </c>
      <c r="D305" s="631" t="str">
        <f t="shared" si="97"/>
        <v>2Q15</v>
      </c>
      <c r="E305" s="540">
        <v>37.119996</v>
      </c>
      <c r="F305" s="535"/>
      <c r="G305" s="536"/>
      <c r="H305" s="536"/>
      <c r="I305" s="536"/>
      <c r="J305" s="536"/>
      <c r="K305" s="536"/>
      <c r="L305" s="536"/>
      <c r="M305" s="536"/>
      <c r="N305" s="536"/>
      <c r="O305" s="536"/>
      <c r="P305" s="536"/>
      <c r="Q305" s="536"/>
      <c r="R305" s="536"/>
      <c r="S305" s="536"/>
      <c r="T305" s="536"/>
      <c r="U305" s="536"/>
      <c r="V305" s="536"/>
      <c r="W305" s="536"/>
      <c r="X305" s="536"/>
      <c r="Y305" s="536"/>
      <c r="Z305" s="536"/>
      <c r="AA305" s="536"/>
      <c r="AB305" s="536"/>
      <c r="AC305" s="536"/>
      <c r="AD305" s="536"/>
      <c r="AE305" s="536"/>
      <c r="AF305" s="536"/>
      <c r="AG305" s="536"/>
      <c r="AH305" s="536"/>
      <c r="AI305" s="536"/>
      <c r="AJ305" s="536"/>
      <c r="AK305" s="536"/>
      <c r="AL305" s="536"/>
      <c r="AM305" s="536"/>
      <c r="AN305" s="536"/>
      <c r="AO305" s="536"/>
      <c r="AP305" s="536"/>
      <c r="AQ305" s="536"/>
      <c r="AR305" s="536"/>
      <c r="AS305" s="536"/>
      <c r="AT305" s="536"/>
      <c r="AU305" s="536"/>
      <c r="AV305" s="536"/>
      <c r="AW305" s="536"/>
      <c r="AX305" s="536"/>
      <c r="AY305" s="536"/>
      <c r="AZ305" s="536"/>
      <c r="BA305" s="536"/>
      <c r="BB305" s="536"/>
      <c r="BC305" s="536"/>
      <c r="BD305" s="536"/>
      <c r="BE305" s="536"/>
      <c r="BF305" s="536"/>
      <c r="BG305" s="536"/>
      <c r="BH305" s="536"/>
      <c r="BI305" s="536"/>
      <c r="BJ305" s="536"/>
      <c r="BK305" s="536"/>
      <c r="BL305" s="536"/>
      <c r="BM305" s="536"/>
      <c r="BN305" s="536"/>
      <c r="BO305" s="536"/>
      <c r="BP305" s="536"/>
      <c r="BQ305" s="536"/>
      <c r="BR305" s="536"/>
      <c r="BS305" s="536"/>
      <c r="BT305" s="536"/>
      <c r="BU305" s="536"/>
      <c r="BV305" s="536"/>
      <c r="BW305" s="536"/>
      <c r="BX305" s="536"/>
      <c r="BY305" s="536"/>
      <c r="BZ305" s="536"/>
      <c r="CA305" s="536"/>
      <c r="CB305" s="536"/>
      <c r="CC305" s="536"/>
      <c r="CD305" s="536"/>
    </row>
    <row r="306" spans="1:82" x14ac:dyDescent="0.2">
      <c r="A306" s="536">
        <f t="shared" si="100"/>
        <v>2</v>
      </c>
      <c r="B306" s="536">
        <f t="shared" si="95"/>
        <v>2015</v>
      </c>
      <c r="C306" s="552">
        <f t="shared" si="96"/>
        <v>42125</v>
      </c>
      <c r="D306" s="631" t="str">
        <f t="shared" si="97"/>
        <v>2Q15</v>
      </c>
      <c r="E306" s="540">
        <v>37.460006999999997</v>
      </c>
      <c r="F306" s="535"/>
      <c r="G306" s="536"/>
      <c r="H306" s="536"/>
      <c r="I306" s="536"/>
      <c r="J306" s="536"/>
      <c r="K306" s="536"/>
      <c r="L306" s="536"/>
      <c r="M306" s="536"/>
      <c r="N306" s="536"/>
      <c r="O306" s="536"/>
      <c r="P306" s="536"/>
      <c r="Q306" s="536"/>
      <c r="R306" s="536"/>
      <c r="S306" s="536"/>
      <c r="T306" s="536"/>
      <c r="U306" s="536"/>
      <c r="V306" s="536"/>
      <c r="W306" s="536"/>
      <c r="X306" s="536"/>
      <c r="Y306" s="536"/>
      <c r="Z306" s="536"/>
      <c r="AA306" s="536"/>
      <c r="AB306" s="536"/>
      <c r="AC306" s="536"/>
      <c r="AD306" s="536"/>
      <c r="AE306" s="536"/>
      <c r="AF306" s="536"/>
      <c r="AG306" s="536"/>
      <c r="AH306" s="536"/>
      <c r="AI306" s="536"/>
      <c r="AJ306" s="536"/>
      <c r="AK306" s="536"/>
      <c r="AL306" s="536"/>
      <c r="AM306" s="536"/>
      <c r="AN306" s="536"/>
      <c r="AO306" s="536"/>
      <c r="AP306" s="536"/>
      <c r="AQ306" s="536"/>
      <c r="AR306" s="536"/>
      <c r="AS306" s="536"/>
      <c r="AT306" s="536"/>
      <c r="AU306" s="536"/>
      <c r="AV306" s="536"/>
      <c r="AW306" s="536"/>
      <c r="AX306" s="536"/>
      <c r="AY306" s="536"/>
      <c r="AZ306" s="536"/>
      <c r="BA306" s="536"/>
      <c r="BB306" s="536"/>
      <c r="BC306" s="536"/>
      <c r="BD306" s="536"/>
      <c r="BE306" s="536"/>
      <c r="BF306" s="536"/>
      <c r="BG306" s="536"/>
      <c r="BH306" s="536"/>
      <c r="BI306" s="536"/>
      <c r="BJ306" s="536"/>
      <c r="BK306" s="536"/>
      <c r="BL306" s="536"/>
      <c r="BM306" s="536"/>
      <c r="BN306" s="536"/>
      <c r="BO306" s="536"/>
      <c r="BP306" s="536"/>
      <c r="BQ306" s="536"/>
      <c r="BR306" s="536"/>
      <c r="BS306" s="536"/>
      <c r="BT306" s="536"/>
      <c r="BU306" s="536"/>
      <c r="BV306" s="536"/>
      <c r="BW306" s="536"/>
      <c r="BX306" s="536"/>
      <c r="BY306" s="536"/>
      <c r="BZ306" s="536"/>
      <c r="CA306" s="536"/>
      <c r="CB306" s="536"/>
      <c r="CC306" s="536"/>
      <c r="CD306" s="536"/>
    </row>
    <row r="307" spans="1:82" x14ac:dyDescent="0.2">
      <c r="A307" s="536">
        <f t="shared" si="100"/>
        <v>2</v>
      </c>
      <c r="B307" s="536">
        <f t="shared" si="95"/>
        <v>2015</v>
      </c>
      <c r="C307" s="552">
        <f t="shared" si="96"/>
        <v>42132</v>
      </c>
      <c r="D307" s="631" t="str">
        <f t="shared" si="97"/>
        <v>2Q15</v>
      </c>
      <c r="E307" s="540">
        <v>36.679993000000003</v>
      </c>
      <c r="F307" s="535"/>
      <c r="G307" s="536"/>
      <c r="H307" s="536"/>
      <c r="I307" s="536"/>
      <c r="J307" s="536"/>
      <c r="K307" s="536"/>
      <c r="L307" s="536"/>
      <c r="M307" s="536"/>
      <c r="N307" s="536"/>
      <c r="O307" s="536"/>
      <c r="P307" s="536"/>
      <c r="Q307" s="536"/>
      <c r="R307" s="536"/>
      <c r="S307" s="536"/>
      <c r="T307" s="536"/>
      <c r="U307" s="536"/>
      <c r="V307" s="536"/>
      <c r="W307" s="536"/>
      <c r="X307" s="536"/>
      <c r="Y307" s="536"/>
      <c r="Z307" s="536"/>
      <c r="AA307" s="536"/>
      <c r="AB307" s="536"/>
      <c r="AC307" s="536"/>
      <c r="AD307" s="536"/>
      <c r="AE307" s="536"/>
      <c r="AF307" s="536"/>
      <c r="AG307" s="536"/>
      <c r="AH307" s="536"/>
      <c r="AI307" s="536"/>
      <c r="AJ307" s="536"/>
      <c r="AK307" s="536"/>
      <c r="AL307" s="536"/>
      <c r="AM307" s="536"/>
      <c r="AN307" s="536"/>
      <c r="AO307" s="536"/>
      <c r="AP307" s="536"/>
      <c r="AQ307" s="536"/>
      <c r="AR307" s="536"/>
      <c r="AS307" s="536"/>
      <c r="AT307" s="536"/>
      <c r="AU307" s="536"/>
      <c r="AV307" s="536"/>
      <c r="AW307" s="536"/>
      <c r="AX307" s="536"/>
      <c r="AY307" s="536"/>
      <c r="AZ307" s="536"/>
      <c r="BA307" s="536"/>
      <c r="BB307" s="536"/>
      <c r="BC307" s="536"/>
      <c r="BD307" s="536"/>
      <c r="BE307" s="536"/>
      <c r="BF307" s="536"/>
      <c r="BG307" s="536"/>
      <c r="BH307" s="536"/>
      <c r="BI307" s="536"/>
      <c r="BJ307" s="536"/>
      <c r="BK307" s="536"/>
      <c r="BL307" s="536"/>
      <c r="BM307" s="536"/>
      <c r="BN307" s="536"/>
      <c r="BO307" s="536"/>
      <c r="BP307" s="536"/>
      <c r="BQ307" s="536"/>
      <c r="BR307" s="536"/>
      <c r="BS307" s="536"/>
      <c r="BT307" s="536"/>
      <c r="BU307" s="536"/>
      <c r="BV307" s="536"/>
      <c r="BW307" s="536"/>
      <c r="BX307" s="536"/>
      <c r="BY307" s="536"/>
      <c r="BZ307" s="536"/>
      <c r="CA307" s="536"/>
      <c r="CB307" s="536"/>
      <c r="CC307" s="536"/>
      <c r="CD307" s="536"/>
    </row>
    <row r="308" spans="1:82" x14ac:dyDescent="0.2">
      <c r="A308" s="536">
        <f t="shared" si="100"/>
        <v>2</v>
      </c>
      <c r="B308" s="536">
        <f t="shared" si="95"/>
        <v>2015</v>
      </c>
      <c r="C308" s="552">
        <f t="shared" si="96"/>
        <v>42139</v>
      </c>
      <c r="D308" s="631" t="str">
        <f t="shared" si="97"/>
        <v>2Q15</v>
      </c>
      <c r="E308" s="540">
        <v>35.5</v>
      </c>
      <c r="F308" s="535"/>
      <c r="G308" s="536"/>
      <c r="H308" s="536"/>
      <c r="I308" s="536"/>
      <c r="J308" s="536"/>
      <c r="K308" s="536"/>
      <c r="L308" s="536"/>
      <c r="M308" s="536"/>
      <c r="N308" s="536"/>
      <c r="O308" s="536"/>
      <c r="P308" s="536"/>
      <c r="Q308" s="536"/>
      <c r="R308" s="536"/>
      <c r="S308" s="536"/>
      <c r="T308" s="536"/>
      <c r="U308" s="536"/>
      <c r="V308" s="536"/>
      <c r="W308" s="536"/>
      <c r="X308" s="536"/>
      <c r="Y308" s="536"/>
      <c r="Z308" s="536"/>
      <c r="AA308" s="536"/>
      <c r="AB308" s="536"/>
      <c r="AC308" s="536"/>
      <c r="AD308" s="536"/>
      <c r="AE308" s="536"/>
      <c r="AF308" s="536"/>
      <c r="AG308" s="536"/>
      <c r="AH308" s="536"/>
      <c r="AI308" s="536"/>
      <c r="AJ308" s="536"/>
      <c r="AK308" s="536"/>
      <c r="AL308" s="536"/>
      <c r="AM308" s="536"/>
      <c r="AN308" s="536"/>
      <c r="AO308" s="536"/>
      <c r="AP308" s="536"/>
      <c r="AQ308" s="536"/>
      <c r="AR308" s="536"/>
      <c r="AS308" s="536"/>
      <c r="AT308" s="536"/>
      <c r="AU308" s="536"/>
      <c r="AV308" s="536"/>
      <c r="AW308" s="536"/>
      <c r="AX308" s="536"/>
      <c r="AY308" s="536"/>
      <c r="AZ308" s="536"/>
      <c r="BA308" s="536"/>
      <c r="BB308" s="536"/>
      <c r="BC308" s="536"/>
      <c r="BD308" s="536"/>
      <c r="BE308" s="536"/>
      <c r="BF308" s="536"/>
      <c r="BG308" s="536"/>
      <c r="BH308" s="536"/>
      <c r="BI308" s="536"/>
      <c r="BJ308" s="536"/>
      <c r="BK308" s="536"/>
      <c r="BL308" s="536"/>
      <c r="BM308" s="536"/>
      <c r="BN308" s="536"/>
      <c r="BO308" s="536"/>
      <c r="BP308" s="536"/>
      <c r="BQ308" s="536"/>
      <c r="BR308" s="536"/>
      <c r="BS308" s="536"/>
      <c r="BT308" s="536"/>
      <c r="BU308" s="536"/>
      <c r="BV308" s="536"/>
      <c r="BW308" s="536"/>
      <c r="BX308" s="536"/>
      <c r="BY308" s="536"/>
      <c r="BZ308" s="536"/>
      <c r="CA308" s="536"/>
      <c r="CB308" s="536"/>
      <c r="CC308" s="536"/>
      <c r="CD308" s="536"/>
    </row>
    <row r="309" spans="1:82" x14ac:dyDescent="0.2">
      <c r="A309" s="536">
        <f t="shared" si="100"/>
        <v>2</v>
      </c>
      <c r="B309" s="536">
        <f t="shared" ref="B309:B369" si="101">YEAR(C309)</f>
        <v>2015</v>
      </c>
      <c r="C309" s="552">
        <f t="shared" ref="C309:C372" si="102">C308+7</f>
        <v>42146</v>
      </c>
      <c r="D309" s="631" t="str">
        <f t="shared" ref="D309:D369" si="103">A309&amp;"Q"&amp;RIGHT(B309,2)</f>
        <v>2Q15</v>
      </c>
      <c r="E309" s="540">
        <v>35.470002000000001</v>
      </c>
      <c r="F309" s="535"/>
      <c r="G309" s="536"/>
      <c r="H309" s="536"/>
      <c r="I309" s="536"/>
      <c r="J309" s="536"/>
      <c r="K309" s="536"/>
      <c r="L309" s="536"/>
      <c r="M309" s="536"/>
      <c r="N309" s="536"/>
      <c r="O309" s="536"/>
      <c r="P309" s="536"/>
      <c r="Q309" s="536"/>
      <c r="R309" s="536"/>
      <c r="S309" s="536"/>
      <c r="T309" s="536"/>
      <c r="U309" s="536"/>
      <c r="V309" s="536"/>
      <c r="W309" s="536"/>
      <c r="X309" s="536"/>
      <c r="Y309" s="536"/>
      <c r="Z309" s="536"/>
      <c r="AA309" s="536"/>
      <c r="AB309" s="536"/>
      <c r="AC309" s="536"/>
      <c r="AD309" s="536"/>
      <c r="AE309" s="536"/>
      <c r="AF309" s="536"/>
      <c r="AG309" s="536"/>
      <c r="AH309" s="536"/>
      <c r="AI309" s="536"/>
      <c r="AJ309" s="536"/>
      <c r="AK309" s="536"/>
      <c r="AL309" s="536"/>
      <c r="AM309" s="536"/>
      <c r="AN309" s="536"/>
      <c r="AO309" s="536"/>
      <c r="AP309" s="536"/>
      <c r="AQ309" s="536"/>
      <c r="AR309" s="536"/>
      <c r="AS309" s="536"/>
      <c r="AT309" s="536"/>
      <c r="AU309" s="536"/>
      <c r="AV309" s="536"/>
      <c r="AW309" s="536"/>
      <c r="AX309" s="536"/>
      <c r="AY309" s="536"/>
      <c r="AZ309" s="536"/>
      <c r="BA309" s="536"/>
      <c r="BB309" s="536"/>
      <c r="BC309" s="536"/>
      <c r="BD309" s="536"/>
      <c r="BE309" s="536"/>
      <c r="BF309" s="536"/>
      <c r="BG309" s="536"/>
      <c r="BH309" s="536"/>
      <c r="BI309" s="536"/>
      <c r="BJ309" s="536"/>
      <c r="BK309" s="536"/>
      <c r="BL309" s="536"/>
      <c r="BM309" s="536"/>
      <c r="BN309" s="536"/>
      <c r="BO309" s="536"/>
      <c r="BP309" s="536"/>
      <c r="BQ309" s="536"/>
      <c r="BR309" s="536"/>
      <c r="BS309" s="536"/>
      <c r="BT309" s="536"/>
      <c r="BU309" s="536"/>
      <c r="BV309" s="536"/>
      <c r="BW309" s="536"/>
      <c r="BX309" s="536"/>
      <c r="BY309" s="536"/>
      <c r="BZ309" s="536"/>
      <c r="CA309" s="536"/>
      <c r="CB309" s="536"/>
      <c r="CC309" s="536"/>
      <c r="CD309" s="536"/>
    </row>
    <row r="310" spans="1:82" x14ac:dyDescent="0.2">
      <c r="A310" s="536">
        <f t="shared" si="100"/>
        <v>2</v>
      </c>
      <c r="B310" s="536">
        <f t="shared" si="101"/>
        <v>2015</v>
      </c>
      <c r="C310" s="552">
        <f t="shared" si="102"/>
        <v>42153</v>
      </c>
      <c r="D310" s="631" t="str">
        <f t="shared" si="103"/>
        <v>2Q15</v>
      </c>
      <c r="E310" s="540">
        <v>34.080002</v>
      </c>
      <c r="F310" s="535"/>
      <c r="G310" s="536"/>
      <c r="H310" s="536"/>
      <c r="I310" s="536"/>
      <c r="J310" s="536"/>
      <c r="K310" s="536"/>
      <c r="L310" s="536"/>
      <c r="M310" s="536"/>
      <c r="N310" s="536"/>
      <c r="O310" s="536"/>
      <c r="P310" s="536"/>
      <c r="Q310" s="536"/>
      <c r="R310" s="536"/>
      <c r="S310" s="536"/>
      <c r="T310" s="536"/>
      <c r="U310" s="536"/>
      <c r="V310" s="536"/>
      <c r="W310" s="536"/>
      <c r="X310" s="536"/>
      <c r="Y310" s="536"/>
      <c r="Z310" s="536"/>
      <c r="AA310" s="536"/>
      <c r="AB310" s="536"/>
      <c r="AC310" s="536"/>
      <c r="AD310" s="536"/>
      <c r="AE310" s="536"/>
      <c r="AF310" s="536"/>
      <c r="AG310" s="536"/>
      <c r="AH310" s="536"/>
      <c r="AI310" s="536"/>
      <c r="AJ310" s="536"/>
      <c r="AK310" s="536"/>
      <c r="AL310" s="536"/>
      <c r="AM310" s="536"/>
      <c r="AN310" s="536"/>
      <c r="AO310" s="536"/>
      <c r="AP310" s="536"/>
      <c r="AQ310" s="536"/>
      <c r="AR310" s="536"/>
      <c r="AS310" s="536"/>
      <c r="AT310" s="536"/>
      <c r="AU310" s="536"/>
      <c r="AV310" s="536"/>
      <c r="AW310" s="536"/>
      <c r="AX310" s="536"/>
      <c r="AY310" s="536"/>
      <c r="AZ310" s="536"/>
      <c r="BA310" s="536"/>
      <c r="BB310" s="536"/>
      <c r="BC310" s="536"/>
      <c r="BD310" s="536"/>
      <c r="BE310" s="536"/>
      <c r="BF310" s="536"/>
      <c r="BG310" s="536"/>
      <c r="BH310" s="536"/>
      <c r="BI310" s="536"/>
      <c r="BJ310" s="536"/>
      <c r="BK310" s="536"/>
      <c r="BL310" s="536"/>
      <c r="BM310" s="536"/>
      <c r="BN310" s="536"/>
      <c r="BO310" s="536"/>
      <c r="BP310" s="536"/>
      <c r="BQ310" s="536"/>
      <c r="BR310" s="536"/>
      <c r="BS310" s="536"/>
      <c r="BT310" s="536"/>
      <c r="BU310" s="536"/>
      <c r="BV310" s="536"/>
      <c r="BW310" s="536"/>
      <c r="BX310" s="536"/>
      <c r="BY310" s="536"/>
      <c r="BZ310" s="536"/>
      <c r="CA310" s="536"/>
      <c r="CB310" s="536"/>
      <c r="CC310" s="536"/>
      <c r="CD310" s="536"/>
    </row>
    <row r="311" spans="1:82" x14ac:dyDescent="0.2">
      <c r="A311" s="536">
        <f t="shared" si="100"/>
        <v>2</v>
      </c>
      <c r="B311" s="536">
        <f t="shared" si="101"/>
        <v>2015</v>
      </c>
      <c r="C311" s="552">
        <f t="shared" si="102"/>
        <v>42160</v>
      </c>
      <c r="D311" s="631" t="str">
        <f t="shared" si="103"/>
        <v>2Q15</v>
      </c>
      <c r="E311" s="540">
        <v>34.429993000000003</v>
      </c>
      <c r="F311" s="535"/>
      <c r="G311" s="536"/>
      <c r="H311" s="536"/>
      <c r="I311" s="536"/>
      <c r="J311" s="536"/>
      <c r="K311" s="536"/>
      <c r="L311" s="536"/>
      <c r="M311" s="536"/>
      <c r="N311" s="536"/>
      <c r="O311" s="536"/>
      <c r="P311" s="536"/>
      <c r="Q311" s="536"/>
      <c r="R311" s="536"/>
      <c r="S311" s="536"/>
      <c r="T311" s="536"/>
      <c r="U311" s="536"/>
      <c r="V311" s="536"/>
      <c r="W311" s="536"/>
      <c r="X311" s="536"/>
      <c r="Y311" s="536"/>
      <c r="Z311" s="536"/>
      <c r="AA311" s="536"/>
      <c r="AB311" s="536"/>
      <c r="AC311" s="536"/>
      <c r="AD311" s="536"/>
      <c r="AE311" s="536"/>
      <c r="AF311" s="536"/>
      <c r="AG311" s="536"/>
      <c r="AH311" s="536"/>
      <c r="AI311" s="536"/>
      <c r="AJ311" s="536"/>
      <c r="AK311" s="536"/>
      <c r="AL311" s="536"/>
      <c r="AM311" s="536"/>
      <c r="AN311" s="536"/>
      <c r="AO311" s="536"/>
      <c r="AP311" s="536"/>
      <c r="AQ311" s="536"/>
      <c r="AR311" s="536"/>
      <c r="AS311" s="536"/>
      <c r="AT311" s="536"/>
      <c r="AU311" s="536"/>
      <c r="AV311" s="536"/>
      <c r="AW311" s="536"/>
      <c r="AX311" s="536"/>
      <c r="AY311" s="536"/>
      <c r="AZ311" s="536"/>
      <c r="BA311" s="536"/>
      <c r="BB311" s="536"/>
      <c r="BC311" s="536"/>
      <c r="BD311" s="536"/>
      <c r="BE311" s="536"/>
      <c r="BF311" s="536"/>
      <c r="BG311" s="536"/>
      <c r="BH311" s="536"/>
      <c r="BI311" s="536"/>
      <c r="BJ311" s="536"/>
      <c r="BK311" s="536"/>
      <c r="BL311" s="536"/>
      <c r="BM311" s="536"/>
      <c r="BN311" s="536"/>
      <c r="BO311" s="536"/>
      <c r="BP311" s="536"/>
      <c r="BQ311" s="536"/>
      <c r="BR311" s="536"/>
      <c r="BS311" s="536"/>
      <c r="BT311" s="536"/>
      <c r="BU311" s="536"/>
      <c r="BV311" s="536"/>
      <c r="BW311" s="536"/>
      <c r="BX311" s="536"/>
      <c r="BY311" s="536"/>
      <c r="BZ311" s="536"/>
      <c r="CA311" s="536"/>
      <c r="CB311" s="536"/>
      <c r="CC311" s="536"/>
      <c r="CD311" s="536"/>
    </row>
    <row r="312" spans="1:82" x14ac:dyDescent="0.2">
      <c r="A312" s="536">
        <f t="shared" si="100"/>
        <v>2</v>
      </c>
      <c r="B312" s="536">
        <f t="shared" si="101"/>
        <v>2015</v>
      </c>
      <c r="C312" s="552">
        <f t="shared" si="102"/>
        <v>42167</v>
      </c>
      <c r="D312" s="631" t="str">
        <f t="shared" si="103"/>
        <v>2Q15</v>
      </c>
      <c r="E312" s="540">
        <v>34.75</v>
      </c>
      <c r="F312" s="535"/>
      <c r="G312" s="536"/>
      <c r="H312" s="536"/>
      <c r="I312" s="536"/>
      <c r="J312" s="536"/>
      <c r="K312" s="536"/>
      <c r="L312" s="536"/>
      <c r="M312" s="536"/>
      <c r="N312" s="536"/>
      <c r="O312" s="536"/>
      <c r="P312" s="536"/>
      <c r="Q312" s="536"/>
      <c r="R312" s="536"/>
      <c r="S312" s="536"/>
      <c r="T312" s="536"/>
      <c r="U312" s="536"/>
      <c r="V312" s="536"/>
      <c r="W312" s="536"/>
      <c r="X312" s="536"/>
      <c r="Y312" s="536"/>
      <c r="Z312" s="536"/>
      <c r="AA312" s="536"/>
      <c r="AB312" s="536"/>
      <c r="AC312" s="536"/>
      <c r="AD312" s="536"/>
      <c r="AE312" s="536"/>
      <c r="AF312" s="536"/>
      <c r="AG312" s="536"/>
      <c r="AH312" s="536"/>
      <c r="AI312" s="536"/>
      <c r="AJ312" s="536"/>
      <c r="AK312" s="536"/>
      <c r="AL312" s="536"/>
      <c r="AM312" s="536"/>
      <c r="AN312" s="536"/>
      <c r="AO312" s="536"/>
      <c r="AP312" s="536"/>
      <c r="AQ312" s="536"/>
      <c r="AR312" s="536"/>
      <c r="AS312" s="536"/>
      <c r="AT312" s="536"/>
      <c r="AU312" s="536"/>
      <c r="AV312" s="536"/>
      <c r="AW312" s="536"/>
      <c r="AX312" s="536"/>
      <c r="AY312" s="536"/>
      <c r="AZ312" s="536"/>
      <c r="BA312" s="536"/>
      <c r="BB312" s="536"/>
      <c r="BC312" s="536"/>
      <c r="BD312" s="536"/>
      <c r="BE312" s="536"/>
      <c r="BF312" s="536"/>
      <c r="BG312" s="536"/>
      <c r="BH312" s="536"/>
      <c r="BI312" s="536"/>
      <c r="BJ312" s="536"/>
      <c r="BK312" s="536"/>
      <c r="BL312" s="536"/>
      <c r="BM312" s="536"/>
      <c r="BN312" s="536"/>
      <c r="BO312" s="536"/>
      <c r="BP312" s="536"/>
      <c r="BQ312" s="536"/>
      <c r="BR312" s="536"/>
      <c r="BS312" s="536"/>
      <c r="BT312" s="536"/>
      <c r="BU312" s="536"/>
      <c r="BV312" s="536"/>
      <c r="BW312" s="536"/>
      <c r="BX312" s="536"/>
      <c r="BY312" s="536"/>
      <c r="BZ312" s="536"/>
      <c r="CA312" s="536"/>
      <c r="CB312" s="536"/>
      <c r="CC312" s="536"/>
      <c r="CD312" s="536"/>
    </row>
    <row r="313" spans="1:82" x14ac:dyDescent="0.2">
      <c r="A313" s="536">
        <f t="shared" si="100"/>
        <v>2</v>
      </c>
      <c r="B313" s="536">
        <f t="shared" si="101"/>
        <v>2015</v>
      </c>
      <c r="C313" s="552">
        <f t="shared" si="102"/>
        <v>42174</v>
      </c>
      <c r="D313" s="631" t="str">
        <f t="shared" si="103"/>
        <v>2Q15</v>
      </c>
      <c r="E313" s="540">
        <v>34.990006000000001</v>
      </c>
      <c r="F313" s="535"/>
      <c r="G313" s="536"/>
      <c r="H313" s="536"/>
      <c r="I313" s="536"/>
      <c r="J313" s="536"/>
      <c r="K313" s="536"/>
      <c r="L313" s="536"/>
      <c r="M313" s="536"/>
      <c r="N313" s="536"/>
      <c r="O313" s="536"/>
      <c r="P313" s="536"/>
      <c r="Q313" s="536"/>
      <c r="R313" s="536"/>
      <c r="S313" s="536"/>
      <c r="T313" s="536"/>
      <c r="U313" s="536"/>
      <c r="V313" s="536"/>
      <c r="W313" s="536"/>
      <c r="X313" s="536"/>
      <c r="Y313" s="536"/>
      <c r="Z313" s="536"/>
      <c r="AA313" s="536"/>
      <c r="AB313" s="536"/>
      <c r="AC313" s="536"/>
      <c r="AD313" s="536"/>
      <c r="AE313" s="536"/>
      <c r="AF313" s="536"/>
      <c r="AG313" s="536"/>
      <c r="AH313" s="536"/>
      <c r="AI313" s="536"/>
      <c r="AJ313" s="536"/>
      <c r="AK313" s="536"/>
      <c r="AL313" s="536"/>
      <c r="AM313" s="536"/>
      <c r="AN313" s="536"/>
      <c r="AO313" s="536"/>
      <c r="AP313" s="536"/>
      <c r="AQ313" s="536"/>
      <c r="AR313" s="536"/>
      <c r="AS313" s="536"/>
      <c r="AT313" s="536"/>
      <c r="AU313" s="536"/>
      <c r="AV313" s="536"/>
      <c r="AW313" s="536"/>
      <c r="AX313" s="536"/>
      <c r="AY313" s="536"/>
      <c r="AZ313" s="536"/>
      <c r="BA313" s="536"/>
      <c r="BB313" s="536"/>
      <c r="BC313" s="536"/>
      <c r="BD313" s="536"/>
      <c r="BE313" s="536"/>
      <c r="BF313" s="536"/>
      <c r="BG313" s="536"/>
      <c r="BH313" s="536"/>
      <c r="BI313" s="536"/>
      <c r="BJ313" s="536"/>
      <c r="BK313" s="536"/>
      <c r="BL313" s="536"/>
      <c r="BM313" s="536"/>
      <c r="BN313" s="536"/>
      <c r="BO313" s="536"/>
      <c r="BP313" s="536"/>
      <c r="BQ313" s="536"/>
      <c r="BR313" s="536"/>
      <c r="BS313" s="536"/>
      <c r="BT313" s="536"/>
      <c r="BU313" s="536"/>
      <c r="BV313" s="536"/>
      <c r="BW313" s="536"/>
      <c r="BX313" s="536"/>
      <c r="BY313" s="536"/>
      <c r="BZ313" s="536"/>
      <c r="CA313" s="536"/>
      <c r="CB313" s="536"/>
      <c r="CC313" s="536"/>
      <c r="CD313" s="536"/>
    </row>
    <row r="314" spans="1:82" x14ac:dyDescent="0.2">
      <c r="A314" s="536">
        <f t="shared" si="100"/>
        <v>2</v>
      </c>
      <c r="B314" s="536">
        <f t="shared" si="101"/>
        <v>2015</v>
      </c>
      <c r="C314" s="552">
        <f t="shared" si="102"/>
        <v>42181</v>
      </c>
      <c r="D314" s="631" t="str">
        <f t="shared" si="103"/>
        <v>2Q15</v>
      </c>
      <c r="E314" s="540">
        <v>33.669998999999997</v>
      </c>
      <c r="F314" s="535"/>
      <c r="G314" s="536"/>
      <c r="H314" s="536"/>
      <c r="I314" s="536"/>
      <c r="J314" s="536"/>
      <c r="K314" s="536"/>
      <c r="L314" s="536"/>
      <c r="M314" s="536"/>
      <c r="N314" s="536"/>
      <c r="O314" s="536"/>
      <c r="P314" s="536"/>
      <c r="Q314" s="536"/>
      <c r="R314" s="536"/>
      <c r="S314" s="536"/>
      <c r="T314" s="536"/>
      <c r="U314" s="536"/>
      <c r="V314" s="536"/>
      <c r="W314" s="536"/>
      <c r="X314" s="536"/>
      <c r="Y314" s="536"/>
      <c r="Z314" s="536"/>
      <c r="AA314" s="536"/>
      <c r="AB314" s="536"/>
      <c r="AC314" s="536"/>
      <c r="AD314" s="536"/>
      <c r="AE314" s="536"/>
      <c r="AF314" s="536"/>
      <c r="AG314" s="536"/>
      <c r="AH314" s="536"/>
      <c r="AI314" s="536"/>
      <c r="AJ314" s="536"/>
      <c r="AK314" s="536"/>
      <c r="AL314" s="536"/>
      <c r="AM314" s="536"/>
      <c r="AN314" s="536"/>
      <c r="AO314" s="536"/>
      <c r="AP314" s="536"/>
      <c r="AQ314" s="536"/>
      <c r="AR314" s="536"/>
      <c r="AS314" s="536"/>
      <c r="AT314" s="536"/>
      <c r="AU314" s="536"/>
      <c r="AV314" s="536"/>
      <c r="AW314" s="536"/>
      <c r="AX314" s="536"/>
      <c r="AY314" s="536"/>
      <c r="AZ314" s="536"/>
      <c r="BA314" s="536"/>
      <c r="BB314" s="536"/>
      <c r="BC314" s="536"/>
      <c r="BD314" s="536"/>
      <c r="BE314" s="536"/>
      <c r="BF314" s="536"/>
      <c r="BG314" s="536"/>
      <c r="BH314" s="536"/>
      <c r="BI314" s="536"/>
      <c r="BJ314" s="536"/>
      <c r="BK314" s="536"/>
      <c r="BL314" s="536"/>
      <c r="BM314" s="536"/>
      <c r="BN314" s="536"/>
      <c r="BO314" s="536"/>
      <c r="BP314" s="536"/>
      <c r="BQ314" s="536"/>
      <c r="BR314" s="536"/>
      <c r="BS314" s="536"/>
      <c r="BT314" s="536"/>
      <c r="BU314" s="536"/>
      <c r="BV314" s="536"/>
      <c r="BW314" s="536"/>
      <c r="BX314" s="536"/>
      <c r="BY314" s="536"/>
      <c r="BZ314" s="536"/>
      <c r="CA314" s="536"/>
      <c r="CB314" s="536"/>
      <c r="CC314" s="536"/>
      <c r="CD314" s="536"/>
    </row>
    <row r="315" spans="1:82" x14ac:dyDescent="0.2">
      <c r="A315" s="536">
        <f t="shared" si="100"/>
        <v>3</v>
      </c>
      <c r="B315" s="536">
        <f t="shared" si="101"/>
        <v>2015</v>
      </c>
      <c r="C315" s="552">
        <f t="shared" si="102"/>
        <v>42188</v>
      </c>
      <c r="D315" s="631" t="str">
        <f t="shared" si="103"/>
        <v>3Q15</v>
      </c>
      <c r="E315" s="540">
        <v>32.679993000000003</v>
      </c>
      <c r="F315" s="535"/>
      <c r="G315" s="536"/>
      <c r="H315" s="536"/>
      <c r="I315" s="536"/>
      <c r="J315" s="536"/>
      <c r="K315" s="536"/>
      <c r="L315" s="536"/>
      <c r="M315" s="536"/>
      <c r="N315" s="536"/>
      <c r="O315" s="536"/>
      <c r="P315" s="536"/>
      <c r="Q315" s="536"/>
      <c r="R315" s="536"/>
      <c r="S315" s="536"/>
      <c r="T315" s="536"/>
      <c r="U315" s="536"/>
      <c r="V315" s="536"/>
      <c r="W315" s="536"/>
      <c r="X315" s="536"/>
      <c r="Y315" s="536"/>
      <c r="Z315" s="536"/>
      <c r="AA315" s="536"/>
      <c r="AB315" s="536"/>
      <c r="AC315" s="536"/>
      <c r="AD315" s="536"/>
      <c r="AE315" s="536"/>
      <c r="AF315" s="536"/>
      <c r="AG315" s="536"/>
      <c r="AH315" s="536"/>
      <c r="AI315" s="536"/>
      <c r="AJ315" s="536"/>
      <c r="AK315" s="536"/>
      <c r="AL315" s="536"/>
      <c r="AM315" s="536"/>
      <c r="AN315" s="536"/>
      <c r="AO315" s="536"/>
      <c r="AP315" s="536"/>
      <c r="AQ315" s="536"/>
      <c r="AR315" s="536"/>
      <c r="AS315" s="536"/>
      <c r="AT315" s="536"/>
      <c r="AU315" s="536"/>
      <c r="AV315" s="536"/>
      <c r="AW315" s="536"/>
      <c r="AX315" s="536"/>
      <c r="AY315" s="536"/>
      <c r="AZ315" s="536"/>
      <c r="BA315" s="536"/>
      <c r="BB315" s="536"/>
      <c r="BC315" s="536"/>
      <c r="BD315" s="536"/>
      <c r="BE315" s="536"/>
      <c r="BF315" s="536"/>
      <c r="BG315" s="536"/>
      <c r="BH315" s="536"/>
      <c r="BI315" s="536"/>
      <c r="BJ315" s="536"/>
      <c r="BK315" s="536"/>
      <c r="BL315" s="536"/>
      <c r="BM315" s="536"/>
      <c r="BN315" s="536"/>
      <c r="BO315" s="536"/>
      <c r="BP315" s="536"/>
      <c r="BQ315" s="536"/>
      <c r="BR315" s="536"/>
      <c r="BS315" s="536"/>
      <c r="BT315" s="536"/>
      <c r="BU315" s="536"/>
      <c r="BV315" s="536"/>
      <c r="BW315" s="536"/>
      <c r="BX315" s="536"/>
      <c r="BY315" s="536"/>
      <c r="BZ315" s="536"/>
      <c r="CA315" s="536"/>
      <c r="CB315" s="536"/>
      <c r="CC315" s="536"/>
      <c r="CD315" s="536"/>
    </row>
    <row r="316" spans="1:82" x14ac:dyDescent="0.2">
      <c r="A316" s="536">
        <f t="shared" si="100"/>
        <v>3</v>
      </c>
      <c r="B316" s="536">
        <f t="shared" si="101"/>
        <v>2015</v>
      </c>
      <c r="C316" s="552">
        <f t="shared" si="102"/>
        <v>42195</v>
      </c>
      <c r="D316" s="631" t="str">
        <f t="shared" si="103"/>
        <v>3Q15</v>
      </c>
      <c r="E316" s="540">
        <v>32.130004999999997</v>
      </c>
      <c r="F316" s="535"/>
      <c r="G316" s="536"/>
      <c r="H316" s="536"/>
      <c r="I316" s="536"/>
      <c r="J316" s="536"/>
      <c r="K316" s="536"/>
      <c r="L316" s="536"/>
      <c r="M316" s="536"/>
      <c r="N316" s="536"/>
      <c r="O316" s="536"/>
      <c r="P316" s="536"/>
      <c r="Q316" s="536"/>
      <c r="R316" s="536"/>
      <c r="S316" s="536"/>
      <c r="T316" s="536"/>
      <c r="U316" s="536"/>
      <c r="V316" s="536"/>
      <c r="W316" s="536"/>
      <c r="X316" s="536"/>
      <c r="Y316" s="536"/>
      <c r="Z316" s="536"/>
      <c r="AA316" s="536"/>
      <c r="AB316" s="536"/>
      <c r="AC316" s="536"/>
      <c r="AD316" s="536"/>
      <c r="AE316" s="536"/>
      <c r="AF316" s="536"/>
      <c r="AG316" s="536"/>
      <c r="AH316" s="536"/>
      <c r="AI316" s="536"/>
      <c r="AJ316" s="536"/>
      <c r="AK316" s="536"/>
      <c r="AL316" s="536"/>
      <c r="AM316" s="536"/>
      <c r="AN316" s="536"/>
      <c r="AO316" s="536"/>
      <c r="AP316" s="536"/>
      <c r="AQ316" s="536"/>
      <c r="AR316" s="536"/>
      <c r="AS316" s="536"/>
      <c r="AT316" s="536"/>
      <c r="AU316" s="536"/>
      <c r="AV316" s="536"/>
      <c r="AW316" s="536"/>
      <c r="AX316" s="536"/>
      <c r="AY316" s="536"/>
      <c r="AZ316" s="536"/>
      <c r="BA316" s="536"/>
      <c r="BB316" s="536"/>
      <c r="BC316" s="536"/>
      <c r="BD316" s="536"/>
      <c r="BE316" s="536"/>
      <c r="BF316" s="536"/>
      <c r="BG316" s="536"/>
      <c r="BH316" s="536"/>
      <c r="BI316" s="536"/>
      <c r="BJ316" s="536"/>
      <c r="BK316" s="536"/>
      <c r="BL316" s="536"/>
      <c r="BM316" s="536"/>
      <c r="BN316" s="536"/>
      <c r="BO316" s="536"/>
      <c r="BP316" s="536"/>
      <c r="BQ316" s="536"/>
      <c r="BR316" s="536"/>
      <c r="BS316" s="536"/>
      <c r="BT316" s="536"/>
      <c r="BU316" s="536"/>
      <c r="BV316" s="536"/>
      <c r="BW316" s="536"/>
      <c r="BX316" s="536"/>
      <c r="BY316" s="536"/>
      <c r="BZ316" s="536"/>
      <c r="CA316" s="536"/>
      <c r="CB316" s="536"/>
      <c r="CC316" s="536"/>
      <c r="CD316" s="536"/>
    </row>
    <row r="317" spans="1:82" x14ac:dyDescent="0.2">
      <c r="A317" s="536">
        <f t="shared" si="100"/>
        <v>3</v>
      </c>
      <c r="B317" s="536">
        <f t="shared" si="101"/>
        <v>2015</v>
      </c>
      <c r="C317" s="552">
        <f t="shared" si="102"/>
        <v>42202</v>
      </c>
      <c r="D317" s="631" t="str">
        <f t="shared" si="103"/>
        <v>3Q15</v>
      </c>
      <c r="E317" s="540">
        <v>32.17</v>
      </c>
      <c r="F317" s="535"/>
      <c r="G317" s="536"/>
      <c r="H317" s="536"/>
      <c r="I317" s="536"/>
      <c r="J317" s="536"/>
      <c r="K317" s="536"/>
      <c r="L317" s="536"/>
      <c r="M317" s="536"/>
      <c r="N317" s="536"/>
      <c r="O317" s="536"/>
      <c r="P317" s="536"/>
      <c r="Q317" s="536"/>
      <c r="R317" s="536"/>
      <c r="S317" s="536"/>
      <c r="T317" s="536"/>
      <c r="U317" s="536"/>
      <c r="V317" s="536"/>
      <c r="W317" s="536"/>
      <c r="X317" s="536"/>
      <c r="Y317" s="536"/>
      <c r="Z317" s="536"/>
      <c r="AA317" s="536"/>
      <c r="AB317" s="536"/>
      <c r="AC317" s="536"/>
      <c r="AD317" s="536"/>
      <c r="AE317" s="536"/>
      <c r="AF317" s="536"/>
      <c r="AG317" s="536"/>
      <c r="AH317" s="536"/>
      <c r="AI317" s="536"/>
      <c r="AJ317" s="536"/>
      <c r="AK317" s="536"/>
      <c r="AL317" s="536"/>
      <c r="AM317" s="536"/>
      <c r="AN317" s="536"/>
      <c r="AO317" s="536"/>
      <c r="AP317" s="536"/>
      <c r="AQ317" s="536"/>
      <c r="AR317" s="536"/>
      <c r="AS317" s="536"/>
      <c r="AT317" s="536"/>
      <c r="AU317" s="536"/>
      <c r="AV317" s="536"/>
      <c r="AW317" s="536"/>
      <c r="AX317" s="536"/>
      <c r="AY317" s="536"/>
      <c r="AZ317" s="536"/>
      <c r="BA317" s="536"/>
      <c r="BB317" s="536"/>
      <c r="BC317" s="536"/>
      <c r="BD317" s="536"/>
      <c r="BE317" s="536"/>
      <c r="BF317" s="536"/>
      <c r="BG317" s="536"/>
      <c r="BH317" s="536"/>
      <c r="BI317" s="536"/>
      <c r="BJ317" s="536"/>
      <c r="BK317" s="536"/>
      <c r="BL317" s="536"/>
      <c r="BM317" s="536"/>
      <c r="BN317" s="536"/>
      <c r="BO317" s="536"/>
      <c r="BP317" s="536"/>
      <c r="BQ317" s="536"/>
      <c r="BR317" s="536"/>
      <c r="BS317" s="536"/>
      <c r="BT317" s="536"/>
      <c r="BU317" s="536"/>
      <c r="BV317" s="536"/>
      <c r="BW317" s="536"/>
      <c r="BX317" s="536"/>
      <c r="BY317" s="536"/>
      <c r="BZ317" s="536"/>
      <c r="CA317" s="536"/>
      <c r="CB317" s="536"/>
      <c r="CC317" s="536"/>
      <c r="CD317" s="536"/>
    </row>
    <row r="318" spans="1:82" x14ac:dyDescent="0.2">
      <c r="A318" s="536">
        <f t="shared" si="100"/>
        <v>3</v>
      </c>
      <c r="B318" s="536">
        <f t="shared" si="101"/>
        <v>2015</v>
      </c>
      <c r="C318" s="552">
        <f t="shared" si="102"/>
        <v>42209</v>
      </c>
      <c r="D318" s="631" t="str">
        <f t="shared" si="103"/>
        <v>3Q15</v>
      </c>
      <c r="E318" s="540">
        <v>30.81</v>
      </c>
      <c r="F318" s="535"/>
      <c r="G318" s="536"/>
      <c r="H318" s="536"/>
      <c r="I318" s="536"/>
      <c r="J318" s="536"/>
      <c r="K318" s="536"/>
      <c r="L318" s="536"/>
      <c r="M318" s="536"/>
      <c r="N318" s="536"/>
      <c r="O318" s="536"/>
      <c r="P318" s="536"/>
      <c r="Q318" s="536"/>
      <c r="R318" s="536"/>
      <c r="S318" s="536"/>
      <c r="T318" s="536"/>
      <c r="U318" s="536"/>
      <c r="V318" s="536"/>
      <c r="W318" s="536"/>
      <c r="X318" s="536"/>
      <c r="Y318" s="536"/>
      <c r="Z318" s="536"/>
      <c r="AA318" s="536"/>
      <c r="AB318" s="536"/>
      <c r="AC318" s="536"/>
      <c r="AD318" s="536"/>
      <c r="AE318" s="536"/>
      <c r="AF318" s="536"/>
      <c r="AG318" s="536"/>
      <c r="AH318" s="536"/>
      <c r="AI318" s="536"/>
      <c r="AJ318" s="536"/>
      <c r="AK318" s="536"/>
      <c r="AL318" s="536"/>
      <c r="AM318" s="536"/>
      <c r="AN318" s="536"/>
      <c r="AO318" s="536"/>
      <c r="AP318" s="536"/>
      <c r="AQ318" s="536"/>
      <c r="AR318" s="536"/>
      <c r="AS318" s="536"/>
      <c r="AT318" s="536"/>
      <c r="AU318" s="536"/>
      <c r="AV318" s="536"/>
      <c r="AW318" s="536"/>
      <c r="AX318" s="536"/>
      <c r="AY318" s="536"/>
      <c r="AZ318" s="536"/>
      <c r="BA318" s="536"/>
      <c r="BB318" s="536"/>
      <c r="BC318" s="536"/>
      <c r="BD318" s="536"/>
      <c r="BE318" s="536"/>
      <c r="BF318" s="536"/>
      <c r="BG318" s="536"/>
      <c r="BH318" s="536"/>
      <c r="BI318" s="536"/>
      <c r="BJ318" s="536"/>
      <c r="BK318" s="536"/>
      <c r="BL318" s="536"/>
      <c r="BM318" s="536"/>
      <c r="BN318" s="536"/>
      <c r="BO318" s="536"/>
      <c r="BP318" s="536"/>
      <c r="BQ318" s="536"/>
      <c r="BR318" s="536"/>
      <c r="BS318" s="536"/>
      <c r="BT318" s="536"/>
      <c r="BU318" s="536"/>
      <c r="BV318" s="536"/>
      <c r="BW318" s="536"/>
      <c r="BX318" s="536"/>
      <c r="BY318" s="536"/>
      <c r="BZ318" s="536"/>
      <c r="CA318" s="536"/>
      <c r="CB318" s="536"/>
      <c r="CC318" s="536"/>
      <c r="CD318" s="536"/>
    </row>
    <row r="319" spans="1:82" x14ac:dyDescent="0.2">
      <c r="A319" s="536">
        <f t="shared" si="100"/>
        <v>3</v>
      </c>
      <c r="B319" s="536">
        <f t="shared" si="101"/>
        <v>2015</v>
      </c>
      <c r="C319" s="552">
        <f t="shared" si="102"/>
        <v>42216</v>
      </c>
      <c r="D319" s="631" t="str">
        <f t="shared" si="103"/>
        <v>3Q15</v>
      </c>
      <c r="E319" s="540">
        <v>31.28</v>
      </c>
      <c r="F319" s="535"/>
      <c r="G319" s="536"/>
      <c r="H319" s="536"/>
      <c r="I319" s="536"/>
      <c r="J319" s="536"/>
      <c r="K319" s="536"/>
      <c r="L319" s="536"/>
      <c r="M319" s="536"/>
      <c r="N319" s="536"/>
      <c r="O319" s="536"/>
      <c r="P319" s="536"/>
      <c r="Q319" s="536"/>
      <c r="R319" s="536"/>
      <c r="S319" s="536"/>
      <c r="T319" s="536"/>
      <c r="U319" s="536"/>
      <c r="V319" s="536"/>
      <c r="W319" s="536"/>
      <c r="X319" s="536"/>
      <c r="Y319" s="536"/>
      <c r="Z319" s="536"/>
      <c r="AA319" s="536"/>
      <c r="AB319" s="536"/>
      <c r="AC319" s="536"/>
      <c r="AD319" s="536"/>
      <c r="AE319" s="536"/>
      <c r="AF319" s="536"/>
      <c r="AG319" s="536"/>
      <c r="AH319" s="536"/>
      <c r="AI319" s="536"/>
      <c r="AJ319" s="536"/>
      <c r="AK319" s="536"/>
      <c r="AL319" s="536"/>
      <c r="AM319" s="536"/>
      <c r="AN319" s="536"/>
      <c r="AO319" s="536"/>
      <c r="AP319" s="536"/>
      <c r="AQ319" s="536"/>
      <c r="AR319" s="536"/>
      <c r="AS319" s="536"/>
      <c r="AT319" s="536"/>
      <c r="AU319" s="536"/>
      <c r="AV319" s="536"/>
      <c r="AW319" s="536"/>
      <c r="AX319" s="536"/>
      <c r="AY319" s="536"/>
      <c r="AZ319" s="536"/>
      <c r="BA319" s="536"/>
      <c r="BB319" s="536"/>
      <c r="BC319" s="536"/>
      <c r="BD319" s="536"/>
      <c r="BE319" s="536"/>
      <c r="BF319" s="536"/>
      <c r="BG319" s="536"/>
      <c r="BH319" s="536"/>
      <c r="BI319" s="536"/>
      <c r="BJ319" s="536"/>
      <c r="BK319" s="536"/>
      <c r="BL319" s="536"/>
      <c r="BM319" s="536"/>
      <c r="BN319" s="536"/>
      <c r="BO319" s="536"/>
      <c r="BP319" s="536"/>
      <c r="BQ319" s="536"/>
      <c r="BR319" s="536"/>
      <c r="BS319" s="536"/>
      <c r="BT319" s="536"/>
      <c r="BU319" s="536"/>
      <c r="BV319" s="536"/>
      <c r="BW319" s="536"/>
      <c r="BX319" s="536"/>
      <c r="BY319" s="536"/>
      <c r="BZ319" s="536"/>
      <c r="CA319" s="536"/>
      <c r="CB319" s="536"/>
      <c r="CC319" s="536"/>
      <c r="CD319" s="536"/>
    </row>
    <row r="320" spans="1:82" x14ac:dyDescent="0.2">
      <c r="A320" s="536">
        <f t="shared" si="100"/>
        <v>3</v>
      </c>
      <c r="B320" s="536">
        <f t="shared" si="101"/>
        <v>2015</v>
      </c>
      <c r="C320" s="552">
        <f t="shared" si="102"/>
        <v>42223</v>
      </c>
      <c r="D320" s="631" t="str">
        <f t="shared" si="103"/>
        <v>3Q15</v>
      </c>
      <c r="E320" s="540">
        <v>29.960007000000001</v>
      </c>
      <c r="F320" s="535"/>
      <c r="G320" s="536"/>
      <c r="H320" s="536"/>
      <c r="I320" s="536"/>
      <c r="J320" s="536"/>
      <c r="K320" s="536"/>
      <c r="L320" s="536"/>
      <c r="M320" s="536"/>
      <c r="N320" s="536"/>
      <c r="O320" s="536"/>
      <c r="P320" s="536"/>
      <c r="Q320" s="536"/>
      <c r="R320" s="536"/>
      <c r="S320" s="536"/>
      <c r="T320" s="536"/>
      <c r="U320" s="536"/>
      <c r="V320" s="536"/>
      <c r="W320" s="536"/>
      <c r="X320" s="536"/>
      <c r="Y320" s="536"/>
      <c r="Z320" s="536"/>
      <c r="AA320" s="536"/>
      <c r="AB320" s="536"/>
      <c r="AC320" s="536"/>
      <c r="AD320" s="536"/>
      <c r="AE320" s="536"/>
      <c r="AF320" s="536"/>
      <c r="AG320" s="536"/>
      <c r="AH320" s="536"/>
      <c r="AI320" s="536"/>
      <c r="AJ320" s="536"/>
      <c r="AK320" s="536"/>
      <c r="AL320" s="536"/>
      <c r="AM320" s="536"/>
      <c r="AN320" s="536"/>
      <c r="AO320" s="536"/>
      <c r="AP320" s="536"/>
      <c r="AQ320" s="536"/>
      <c r="AR320" s="536"/>
      <c r="AS320" s="536"/>
      <c r="AT320" s="536"/>
      <c r="AU320" s="536"/>
      <c r="AV320" s="536"/>
      <c r="AW320" s="536"/>
      <c r="AX320" s="536"/>
      <c r="AY320" s="536"/>
      <c r="AZ320" s="536"/>
      <c r="BA320" s="536"/>
      <c r="BB320" s="536"/>
      <c r="BC320" s="536"/>
      <c r="BD320" s="536"/>
      <c r="BE320" s="536"/>
      <c r="BF320" s="536"/>
      <c r="BG320" s="536"/>
      <c r="BH320" s="536"/>
      <c r="BI320" s="536"/>
      <c r="BJ320" s="536"/>
      <c r="BK320" s="536"/>
      <c r="BL320" s="536"/>
      <c r="BM320" s="536"/>
      <c r="BN320" s="536"/>
      <c r="BO320" s="536"/>
      <c r="BP320" s="536"/>
      <c r="BQ320" s="536"/>
      <c r="BR320" s="536"/>
      <c r="BS320" s="536"/>
      <c r="BT320" s="536"/>
      <c r="BU320" s="536"/>
      <c r="BV320" s="536"/>
      <c r="BW320" s="536"/>
      <c r="BX320" s="536"/>
      <c r="BY320" s="536"/>
      <c r="BZ320" s="536"/>
      <c r="CA320" s="536"/>
      <c r="CB320" s="536"/>
      <c r="CC320" s="536"/>
      <c r="CD320" s="536"/>
    </row>
    <row r="321" spans="1:82" x14ac:dyDescent="0.2">
      <c r="A321" s="536">
        <f t="shared" si="100"/>
        <v>3</v>
      </c>
      <c r="B321" s="536">
        <f t="shared" si="101"/>
        <v>2015</v>
      </c>
      <c r="C321" s="552">
        <f t="shared" si="102"/>
        <v>42230</v>
      </c>
      <c r="D321" s="631" t="str">
        <f t="shared" si="103"/>
        <v>3Q15</v>
      </c>
      <c r="E321" s="540">
        <v>29.619996</v>
      </c>
      <c r="F321" s="535"/>
      <c r="G321" s="536"/>
      <c r="H321" s="536"/>
      <c r="I321" s="536"/>
      <c r="J321" s="536"/>
      <c r="K321" s="536"/>
      <c r="L321" s="536"/>
      <c r="M321" s="536"/>
      <c r="N321" s="536"/>
      <c r="O321" s="536"/>
      <c r="P321" s="536"/>
      <c r="Q321" s="536"/>
      <c r="R321" s="536"/>
      <c r="S321" s="536"/>
      <c r="T321" s="536"/>
      <c r="U321" s="536"/>
      <c r="V321" s="536"/>
      <c r="W321" s="536"/>
      <c r="X321" s="536"/>
      <c r="Y321" s="536"/>
      <c r="Z321" s="536"/>
      <c r="AA321" s="536"/>
      <c r="AB321" s="536"/>
      <c r="AC321" s="536"/>
      <c r="AD321" s="536"/>
      <c r="AE321" s="536"/>
      <c r="AF321" s="536"/>
      <c r="AG321" s="536"/>
      <c r="AH321" s="536"/>
      <c r="AI321" s="536"/>
      <c r="AJ321" s="536"/>
      <c r="AK321" s="536"/>
      <c r="AL321" s="536"/>
      <c r="AM321" s="536"/>
      <c r="AN321" s="536"/>
      <c r="AO321" s="536"/>
      <c r="AP321" s="536"/>
      <c r="AQ321" s="536"/>
      <c r="AR321" s="536"/>
      <c r="AS321" s="536"/>
      <c r="AT321" s="536"/>
      <c r="AU321" s="536"/>
      <c r="AV321" s="536"/>
      <c r="AW321" s="536"/>
      <c r="AX321" s="536"/>
      <c r="AY321" s="536"/>
      <c r="AZ321" s="536"/>
      <c r="BA321" s="536"/>
      <c r="BB321" s="536"/>
      <c r="BC321" s="536"/>
      <c r="BD321" s="536"/>
      <c r="BE321" s="536"/>
      <c r="BF321" s="536"/>
      <c r="BG321" s="536"/>
      <c r="BH321" s="536"/>
      <c r="BI321" s="536"/>
      <c r="BJ321" s="536"/>
      <c r="BK321" s="536"/>
      <c r="BL321" s="536"/>
      <c r="BM321" s="536"/>
      <c r="BN321" s="536"/>
      <c r="BO321" s="536"/>
      <c r="BP321" s="536"/>
      <c r="BQ321" s="536"/>
      <c r="BR321" s="536"/>
      <c r="BS321" s="536"/>
      <c r="BT321" s="536"/>
      <c r="BU321" s="536"/>
      <c r="BV321" s="536"/>
      <c r="BW321" s="536"/>
      <c r="BX321" s="536"/>
      <c r="BY321" s="536"/>
      <c r="BZ321" s="536"/>
      <c r="CA321" s="536"/>
      <c r="CB321" s="536"/>
      <c r="CC321" s="536"/>
      <c r="CD321" s="536"/>
    </row>
    <row r="322" spans="1:82" x14ac:dyDescent="0.2">
      <c r="A322" s="536">
        <f t="shared" si="100"/>
        <v>3</v>
      </c>
      <c r="B322" s="536">
        <f t="shared" si="101"/>
        <v>2015</v>
      </c>
      <c r="C322" s="552">
        <f t="shared" si="102"/>
        <v>42237</v>
      </c>
      <c r="D322" s="631" t="str">
        <f t="shared" si="103"/>
        <v>3Q15</v>
      </c>
      <c r="E322" s="540">
        <v>27.380005000000001</v>
      </c>
      <c r="F322" s="535"/>
      <c r="G322" s="536"/>
      <c r="H322" s="536"/>
      <c r="I322" s="536"/>
      <c r="J322" s="536"/>
      <c r="K322" s="536"/>
      <c r="L322" s="536"/>
      <c r="M322" s="536"/>
      <c r="N322" s="536"/>
      <c r="O322" s="536"/>
      <c r="P322" s="536"/>
      <c r="Q322" s="536"/>
      <c r="R322" s="536"/>
      <c r="S322" s="536"/>
      <c r="T322" s="536"/>
      <c r="U322" s="536"/>
      <c r="V322" s="536"/>
      <c r="W322" s="536"/>
      <c r="X322" s="536"/>
      <c r="Y322" s="536"/>
      <c r="Z322" s="536"/>
      <c r="AA322" s="536"/>
      <c r="AB322" s="536"/>
      <c r="AC322" s="536"/>
      <c r="AD322" s="536"/>
      <c r="AE322" s="536"/>
      <c r="AF322" s="536"/>
      <c r="AG322" s="536"/>
      <c r="AH322" s="536"/>
      <c r="AI322" s="536"/>
      <c r="AJ322" s="536"/>
      <c r="AK322" s="536"/>
      <c r="AL322" s="536"/>
      <c r="AM322" s="536"/>
      <c r="AN322" s="536"/>
      <c r="AO322" s="536"/>
      <c r="AP322" s="536"/>
      <c r="AQ322" s="536"/>
      <c r="AR322" s="536"/>
      <c r="AS322" s="536"/>
      <c r="AT322" s="536"/>
      <c r="AU322" s="536"/>
      <c r="AV322" s="536"/>
      <c r="AW322" s="536"/>
      <c r="AX322" s="536"/>
      <c r="AY322" s="536"/>
      <c r="AZ322" s="536"/>
      <c r="BA322" s="536"/>
      <c r="BB322" s="536"/>
      <c r="BC322" s="536"/>
      <c r="BD322" s="536"/>
      <c r="BE322" s="536"/>
      <c r="BF322" s="536"/>
      <c r="BG322" s="536"/>
      <c r="BH322" s="536"/>
      <c r="BI322" s="536"/>
      <c r="BJ322" s="536"/>
      <c r="BK322" s="536"/>
      <c r="BL322" s="536"/>
      <c r="BM322" s="536"/>
      <c r="BN322" s="536"/>
      <c r="BO322" s="536"/>
      <c r="BP322" s="536"/>
      <c r="BQ322" s="536"/>
      <c r="BR322" s="536"/>
      <c r="BS322" s="536"/>
      <c r="BT322" s="536"/>
      <c r="BU322" s="536"/>
      <c r="BV322" s="536"/>
      <c r="BW322" s="536"/>
      <c r="BX322" s="536"/>
      <c r="BY322" s="536"/>
      <c r="BZ322" s="536"/>
      <c r="CA322" s="536"/>
      <c r="CB322" s="536"/>
      <c r="CC322" s="536"/>
      <c r="CD322" s="536"/>
    </row>
    <row r="323" spans="1:82" x14ac:dyDescent="0.2">
      <c r="A323" s="536">
        <f t="shared" si="100"/>
        <v>3</v>
      </c>
      <c r="B323" s="536">
        <f t="shared" si="101"/>
        <v>2015</v>
      </c>
      <c r="C323" s="552">
        <f t="shared" si="102"/>
        <v>42244</v>
      </c>
      <c r="D323" s="631" t="str">
        <f t="shared" si="103"/>
        <v>3Q15</v>
      </c>
      <c r="E323" s="540">
        <v>27.800004000000001</v>
      </c>
      <c r="F323" s="535"/>
      <c r="G323" s="536"/>
      <c r="H323" s="536"/>
      <c r="I323" s="536"/>
      <c r="J323" s="536"/>
      <c r="K323" s="536"/>
      <c r="L323" s="536"/>
      <c r="M323" s="536"/>
      <c r="N323" s="536"/>
      <c r="O323" s="536"/>
      <c r="P323" s="536"/>
      <c r="Q323" s="536"/>
      <c r="R323" s="536"/>
      <c r="S323" s="536"/>
      <c r="T323" s="536"/>
      <c r="U323" s="536"/>
      <c r="V323" s="536"/>
      <c r="W323" s="536"/>
      <c r="X323" s="536"/>
      <c r="Y323" s="536"/>
      <c r="Z323" s="536"/>
      <c r="AA323" s="536"/>
      <c r="AB323" s="536"/>
      <c r="AC323" s="536"/>
      <c r="AD323" s="536"/>
      <c r="AE323" s="536"/>
      <c r="AF323" s="536"/>
      <c r="AG323" s="536"/>
      <c r="AH323" s="536"/>
      <c r="AI323" s="536"/>
      <c r="AJ323" s="536"/>
      <c r="AK323" s="536"/>
      <c r="AL323" s="536"/>
      <c r="AM323" s="536"/>
      <c r="AN323" s="536"/>
      <c r="AO323" s="536"/>
      <c r="AP323" s="536"/>
      <c r="AQ323" s="536"/>
      <c r="AR323" s="536"/>
      <c r="AS323" s="536"/>
      <c r="AT323" s="536"/>
      <c r="AU323" s="536"/>
      <c r="AV323" s="536"/>
      <c r="AW323" s="536"/>
      <c r="AX323" s="536"/>
      <c r="AY323" s="536"/>
      <c r="AZ323" s="536"/>
      <c r="BA323" s="536"/>
      <c r="BB323" s="536"/>
      <c r="BC323" s="536"/>
      <c r="BD323" s="536"/>
      <c r="BE323" s="536"/>
      <c r="BF323" s="536"/>
      <c r="BG323" s="536"/>
      <c r="BH323" s="536"/>
      <c r="BI323" s="536"/>
      <c r="BJ323" s="536"/>
      <c r="BK323" s="536"/>
      <c r="BL323" s="536"/>
      <c r="BM323" s="536"/>
      <c r="BN323" s="536"/>
      <c r="BO323" s="536"/>
      <c r="BP323" s="536"/>
      <c r="BQ323" s="536"/>
      <c r="BR323" s="536"/>
      <c r="BS323" s="536"/>
      <c r="BT323" s="536"/>
      <c r="BU323" s="536"/>
      <c r="BV323" s="536"/>
      <c r="BW323" s="536"/>
      <c r="BX323" s="536"/>
      <c r="BY323" s="536"/>
      <c r="BZ323" s="536"/>
      <c r="CA323" s="536"/>
      <c r="CB323" s="536"/>
      <c r="CC323" s="536"/>
      <c r="CD323" s="536"/>
    </row>
    <row r="324" spans="1:82" x14ac:dyDescent="0.2">
      <c r="A324" s="536">
        <f t="shared" si="100"/>
        <v>3</v>
      </c>
      <c r="B324" s="536">
        <f t="shared" si="101"/>
        <v>2015</v>
      </c>
      <c r="C324" s="552">
        <f t="shared" si="102"/>
        <v>42251</v>
      </c>
      <c r="D324" s="631" t="str">
        <f t="shared" si="103"/>
        <v>3Q15</v>
      </c>
      <c r="E324" s="540">
        <v>26.850007000000002</v>
      </c>
      <c r="F324" s="535"/>
      <c r="G324" s="536"/>
      <c r="H324" s="536"/>
      <c r="I324" s="536"/>
      <c r="J324" s="536"/>
      <c r="K324" s="536"/>
      <c r="L324" s="536"/>
      <c r="M324" s="536"/>
      <c r="N324" s="536"/>
      <c r="O324" s="536"/>
      <c r="P324" s="536"/>
      <c r="Q324" s="536"/>
      <c r="R324" s="536"/>
      <c r="S324" s="536"/>
      <c r="T324" s="536"/>
      <c r="U324" s="536"/>
      <c r="V324" s="536"/>
      <c r="W324" s="536"/>
      <c r="X324" s="536"/>
      <c r="Y324" s="536"/>
      <c r="Z324" s="536"/>
      <c r="AA324" s="536"/>
      <c r="AB324" s="536"/>
      <c r="AC324" s="536"/>
      <c r="AD324" s="536"/>
      <c r="AE324" s="536"/>
      <c r="AF324" s="536"/>
      <c r="AG324" s="536"/>
      <c r="AH324" s="536"/>
      <c r="AI324" s="536"/>
      <c r="AJ324" s="536"/>
      <c r="AK324" s="536"/>
      <c r="AL324" s="536"/>
      <c r="AM324" s="536"/>
      <c r="AN324" s="536"/>
      <c r="AO324" s="536"/>
      <c r="AP324" s="536"/>
      <c r="AQ324" s="536"/>
      <c r="AR324" s="536"/>
      <c r="AS324" s="536"/>
      <c r="AT324" s="536"/>
      <c r="AU324" s="536"/>
      <c r="AV324" s="536"/>
      <c r="AW324" s="536"/>
      <c r="AX324" s="536"/>
      <c r="AY324" s="536"/>
      <c r="AZ324" s="536"/>
      <c r="BA324" s="536"/>
      <c r="BB324" s="536"/>
      <c r="BC324" s="536"/>
      <c r="BD324" s="536"/>
      <c r="BE324" s="536"/>
      <c r="BF324" s="536"/>
      <c r="BG324" s="536"/>
      <c r="BH324" s="536"/>
      <c r="BI324" s="536"/>
      <c r="BJ324" s="536"/>
      <c r="BK324" s="536"/>
      <c r="BL324" s="536"/>
      <c r="BM324" s="536"/>
      <c r="BN324" s="536"/>
      <c r="BO324" s="536"/>
      <c r="BP324" s="536"/>
      <c r="BQ324" s="536"/>
      <c r="BR324" s="536"/>
      <c r="BS324" s="536"/>
      <c r="BT324" s="536"/>
      <c r="BU324" s="536"/>
      <c r="BV324" s="536"/>
      <c r="BW324" s="536"/>
      <c r="BX324" s="536"/>
      <c r="BY324" s="536"/>
      <c r="BZ324" s="536"/>
      <c r="CA324" s="536"/>
      <c r="CB324" s="536"/>
      <c r="CC324" s="536"/>
      <c r="CD324" s="536"/>
    </row>
    <row r="325" spans="1:82" x14ac:dyDescent="0.2">
      <c r="A325" s="536">
        <f t="shared" si="100"/>
        <v>3</v>
      </c>
      <c r="B325" s="536">
        <f t="shared" si="101"/>
        <v>2015</v>
      </c>
      <c r="C325" s="552">
        <f t="shared" si="102"/>
        <v>42258</v>
      </c>
      <c r="D325" s="631" t="str">
        <f t="shared" si="103"/>
        <v>3Q15</v>
      </c>
      <c r="E325" s="540">
        <v>28.5</v>
      </c>
      <c r="F325" s="535"/>
      <c r="G325" s="536"/>
      <c r="H325" s="536"/>
      <c r="I325" s="536"/>
      <c r="J325" s="536"/>
      <c r="K325" s="536"/>
      <c r="L325" s="536"/>
      <c r="M325" s="536"/>
      <c r="N325" s="536"/>
      <c r="O325" s="536"/>
      <c r="P325" s="536"/>
      <c r="Q325" s="536"/>
      <c r="R325" s="536"/>
      <c r="S325" s="536"/>
      <c r="T325" s="536"/>
      <c r="U325" s="536"/>
      <c r="V325" s="536"/>
      <c r="W325" s="536"/>
      <c r="X325" s="536"/>
      <c r="Y325" s="536"/>
      <c r="Z325" s="536"/>
      <c r="AA325" s="536"/>
      <c r="AB325" s="536"/>
      <c r="AC325" s="536"/>
      <c r="AD325" s="536"/>
      <c r="AE325" s="536"/>
      <c r="AF325" s="536"/>
      <c r="AG325" s="536"/>
      <c r="AH325" s="536"/>
      <c r="AI325" s="536"/>
      <c r="AJ325" s="536"/>
      <c r="AK325" s="536"/>
      <c r="AL325" s="536"/>
      <c r="AM325" s="536"/>
      <c r="AN325" s="536"/>
      <c r="AO325" s="536"/>
      <c r="AP325" s="536"/>
      <c r="AQ325" s="536"/>
      <c r="AR325" s="536"/>
      <c r="AS325" s="536"/>
      <c r="AT325" s="536"/>
      <c r="AU325" s="536"/>
      <c r="AV325" s="536"/>
      <c r="AW325" s="536"/>
      <c r="AX325" s="536"/>
      <c r="AY325" s="536"/>
      <c r="AZ325" s="536"/>
      <c r="BA325" s="536"/>
      <c r="BB325" s="536"/>
      <c r="BC325" s="536"/>
      <c r="BD325" s="536"/>
      <c r="BE325" s="536"/>
      <c r="BF325" s="536"/>
      <c r="BG325" s="536"/>
      <c r="BH325" s="536"/>
      <c r="BI325" s="536"/>
      <c r="BJ325" s="536"/>
      <c r="BK325" s="536"/>
      <c r="BL325" s="536"/>
      <c r="BM325" s="536"/>
      <c r="BN325" s="536"/>
      <c r="BO325" s="536"/>
      <c r="BP325" s="536"/>
      <c r="BQ325" s="536"/>
      <c r="BR325" s="536"/>
      <c r="BS325" s="536"/>
      <c r="BT325" s="536"/>
      <c r="BU325" s="536"/>
      <c r="BV325" s="536"/>
      <c r="BW325" s="536"/>
      <c r="BX325" s="536"/>
      <c r="BY325" s="536"/>
      <c r="BZ325" s="536"/>
      <c r="CA325" s="536"/>
      <c r="CB325" s="536"/>
      <c r="CC325" s="536"/>
      <c r="CD325" s="536"/>
    </row>
    <row r="326" spans="1:82" x14ac:dyDescent="0.2">
      <c r="A326" s="536">
        <f t="shared" si="100"/>
        <v>3</v>
      </c>
      <c r="B326" s="536">
        <f t="shared" si="101"/>
        <v>2015</v>
      </c>
      <c r="C326" s="552">
        <f t="shared" si="102"/>
        <v>42265</v>
      </c>
      <c r="D326" s="631" t="str">
        <f t="shared" si="103"/>
        <v>3Q15</v>
      </c>
      <c r="E326" s="540">
        <v>28.160004000000001</v>
      </c>
      <c r="F326" s="535"/>
      <c r="G326" s="536"/>
      <c r="H326" s="536"/>
      <c r="I326" s="536"/>
      <c r="J326" s="536"/>
      <c r="K326" s="536"/>
      <c r="L326" s="536"/>
      <c r="M326" s="536"/>
      <c r="N326" s="536"/>
      <c r="O326" s="536"/>
      <c r="P326" s="536"/>
      <c r="Q326" s="536"/>
      <c r="R326" s="536"/>
      <c r="S326" s="536"/>
      <c r="T326" s="536"/>
      <c r="U326" s="536"/>
      <c r="V326" s="536"/>
      <c r="W326" s="536"/>
      <c r="X326" s="536"/>
      <c r="Y326" s="536"/>
      <c r="Z326" s="536"/>
      <c r="AA326" s="536"/>
      <c r="AB326" s="536"/>
      <c r="AC326" s="536"/>
      <c r="AD326" s="536"/>
      <c r="AE326" s="536"/>
      <c r="AF326" s="536"/>
      <c r="AG326" s="536"/>
      <c r="AH326" s="536"/>
      <c r="AI326" s="536"/>
      <c r="AJ326" s="536"/>
      <c r="AK326" s="536"/>
      <c r="AL326" s="536"/>
      <c r="AM326" s="536"/>
      <c r="AN326" s="536"/>
      <c r="AO326" s="536"/>
      <c r="AP326" s="536"/>
      <c r="AQ326" s="536"/>
      <c r="AR326" s="536"/>
      <c r="AS326" s="536"/>
      <c r="AT326" s="536"/>
      <c r="AU326" s="536"/>
      <c r="AV326" s="536"/>
      <c r="AW326" s="536"/>
      <c r="AX326" s="536"/>
      <c r="AY326" s="536"/>
      <c r="AZ326" s="536"/>
      <c r="BA326" s="536"/>
      <c r="BB326" s="536"/>
      <c r="BC326" s="536"/>
      <c r="BD326" s="536"/>
      <c r="BE326" s="536"/>
      <c r="BF326" s="536"/>
      <c r="BG326" s="536"/>
      <c r="BH326" s="536"/>
      <c r="BI326" s="536"/>
      <c r="BJ326" s="536"/>
      <c r="BK326" s="536"/>
      <c r="BL326" s="536"/>
      <c r="BM326" s="536"/>
      <c r="BN326" s="536"/>
      <c r="BO326" s="536"/>
      <c r="BP326" s="536"/>
      <c r="BQ326" s="536"/>
      <c r="BR326" s="536"/>
      <c r="BS326" s="536"/>
      <c r="BT326" s="536"/>
      <c r="BU326" s="536"/>
      <c r="BV326" s="536"/>
      <c r="BW326" s="536"/>
      <c r="BX326" s="536"/>
      <c r="BY326" s="536"/>
      <c r="BZ326" s="536"/>
      <c r="CA326" s="536"/>
      <c r="CB326" s="536"/>
      <c r="CC326" s="536"/>
      <c r="CD326" s="536"/>
    </row>
    <row r="327" spans="1:82" x14ac:dyDescent="0.2">
      <c r="A327" s="536">
        <f t="shared" si="100"/>
        <v>3</v>
      </c>
      <c r="B327" s="536">
        <f t="shared" si="101"/>
        <v>2015</v>
      </c>
      <c r="C327" s="552">
        <f t="shared" si="102"/>
        <v>42272</v>
      </c>
      <c r="D327" s="631" t="str">
        <f t="shared" si="103"/>
        <v>3Q15</v>
      </c>
      <c r="E327" s="540">
        <v>26.520005000000001</v>
      </c>
      <c r="F327" s="535"/>
      <c r="G327" s="536"/>
      <c r="H327" s="536"/>
      <c r="I327" s="536"/>
      <c r="J327" s="536"/>
      <c r="K327" s="536"/>
      <c r="L327" s="536"/>
      <c r="M327" s="536"/>
      <c r="N327" s="536"/>
      <c r="O327" s="536"/>
      <c r="P327" s="536"/>
      <c r="Q327" s="536"/>
      <c r="R327" s="536"/>
      <c r="S327" s="536"/>
      <c r="T327" s="536"/>
      <c r="U327" s="536"/>
      <c r="V327" s="536"/>
      <c r="W327" s="536"/>
      <c r="X327" s="536"/>
      <c r="Y327" s="536"/>
      <c r="Z327" s="536"/>
      <c r="AA327" s="536"/>
      <c r="AB327" s="536"/>
      <c r="AC327" s="536"/>
      <c r="AD327" s="536"/>
      <c r="AE327" s="536"/>
      <c r="AF327" s="536"/>
      <c r="AG327" s="536"/>
      <c r="AH327" s="536"/>
      <c r="AI327" s="536"/>
      <c r="AJ327" s="536"/>
      <c r="AK327" s="536"/>
      <c r="AL327" s="536"/>
      <c r="AM327" s="536"/>
      <c r="AN327" s="536"/>
      <c r="AO327" s="536"/>
      <c r="AP327" s="536"/>
      <c r="AQ327" s="536"/>
      <c r="AR327" s="536"/>
      <c r="AS327" s="536"/>
      <c r="AT327" s="536"/>
      <c r="AU327" s="536"/>
      <c r="AV327" s="536"/>
      <c r="AW327" s="536"/>
      <c r="AX327" s="536"/>
      <c r="AY327" s="536"/>
      <c r="AZ327" s="536"/>
      <c r="BA327" s="536"/>
      <c r="BB327" s="536"/>
      <c r="BC327" s="536"/>
      <c r="BD327" s="536"/>
      <c r="BE327" s="536"/>
      <c r="BF327" s="536"/>
      <c r="BG327" s="536"/>
      <c r="BH327" s="536"/>
      <c r="BI327" s="536"/>
      <c r="BJ327" s="536"/>
      <c r="BK327" s="536"/>
      <c r="BL327" s="536"/>
      <c r="BM327" s="536"/>
      <c r="BN327" s="536"/>
      <c r="BO327" s="536"/>
      <c r="BP327" s="536"/>
      <c r="BQ327" s="536"/>
      <c r="BR327" s="536"/>
      <c r="BS327" s="536"/>
      <c r="BT327" s="536"/>
      <c r="BU327" s="536"/>
      <c r="BV327" s="536"/>
      <c r="BW327" s="536"/>
      <c r="BX327" s="536"/>
      <c r="BY327" s="536"/>
      <c r="BZ327" s="536"/>
      <c r="CA327" s="536"/>
      <c r="CB327" s="536"/>
      <c r="CC327" s="536"/>
      <c r="CD327" s="536"/>
    </row>
    <row r="328" spans="1:82" x14ac:dyDescent="0.2">
      <c r="A328" s="536">
        <f t="shared" si="100"/>
        <v>4</v>
      </c>
      <c r="B328" s="536">
        <f t="shared" si="101"/>
        <v>2015</v>
      </c>
      <c r="C328" s="552">
        <f t="shared" si="102"/>
        <v>42279</v>
      </c>
      <c r="D328" s="631" t="str">
        <f t="shared" si="103"/>
        <v>4Q15</v>
      </c>
      <c r="E328" s="540">
        <v>27.309998</v>
      </c>
      <c r="F328" s="535"/>
      <c r="G328" s="536"/>
      <c r="H328" s="536"/>
      <c r="I328" s="536"/>
      <c r="J328" s="536"/>
      <c r="K328" s="536"/>
      <c r="L328" s="536"/>
      <c r="M328" s="536"/>
      <c r="N328" s="536"/>
      <c r="O328" s="536"/>
      <c r="P328" s="536"/>
      <c r="Q328" s="536"/>
      <c r="R328" s="536"/>
      <c r="S328" s="536"/>
      <c r="T328" s="536"/>
      <c r="U328" s="536"/>
      <c r="V328" s="536"/>
      <c r="W328" s="536"/>
      <c r="X328" s="536"/>
      <c r="Y328" s="536"/>
      <c r="Z328" s="536"/>
      <c r="AA328" s="536"/>
      <c r="AB328" s="536"/>
      <c r="AC328" s="536"/>
      <c r="AD328" s="536"/>
      <c r="AE328" s="536"/>
      <c r="AF328" s="536"/>
      <c r="AG328" s="536"/>
      <c r="AH328" s="536"/>
      <c r="AI328" s="536"/>
      <c r="AJ328" s="536"/>
      <c r="AK328" s="536"/>
      <c r="AL328" s="536"/>
      <c r="AM328" s="536"/>
      <c r="AN328" s="536"/>
      <c r="AO328" s="536"/>
      <c r="AP328" s="536"/>
      <c r="AQ328" s="536"/>
      <c r="AR328" s="536"/>
      <c r="AS328" s="536"/>
      <c r="AT328" s="536"/>
      <c r="AU328" s="536"/>
      <c r="AV328" s="536"/>
      <c r="AW328" s="536"/>
      <c r="AX328" s="536"/>
      <c r="AY328" s="536"/>
      <c r="AZ328" s="536"/>
      <c r="BA328" s="536"/>
      <c r="BB328" s="536"/>
      <c r="BC328" s="536"/>
      <c r="BD328" s="536"/>
      <c r="BE328" s="536"/>
      <c r="BF328" s="536"/>
      <c r="BG328" s="536"/>
      <c r="BH328" s="536"/>
      <c r="BI328" s="536"/>
      <c r="BJ328" s="536"/>
      <c r="BK328" s="536"/>
      <c r="BL328" s="536"/>
      <c r="BM328" s="536"/>
      <c r="BN328" s="536"/>
      <c r="BO328" s="536"/>
      <c r="BP328" s="536"/>
      <c r="BQ328" s="536"/>
      <c r="BR328" s="536"/>
      <c r="BS328" s="536"/>
      <c r="BT328" s="536"/>
      <c r="BU328" s="536"/>
      <c r="BV328" s="536"/>
      <c r="BW328" s="536"/>
      <c r="BX328" s="536"/>
      <c r="BY328" s="536"/>
      <c r="BZ328" s="536"/>
      <c r="CA328" s="536"/>
      <c r="CB328" s="536"/>
      <c r="CC328" s="536"/>
      <c r="CD328" s="536"/>
    </row>
    <row r="329" spans="1:82" x14ac:dyDescent="0.2">
      <c r="A329" s="536">
        <f t="shared" si="100"/>
        <v>4</v>
      </c>
      <c r="B329" s="536">
        <f t="shared" si="101"/>
        <v>2015</v>
      </c>
      <c r="C329" s="552">
        <f t="shared" si="102"/>
        <v>42286</v>
      </c>
      <c r="D329" s="631" t="str">
        <f t="shared" si="103"/>
        <v>4Q15</v>
      </c>
      <c r="E329" s="540">
        <v>29.080002</v>
      </c>
      <c r="F329" s="535"/>
      <c r="G329" s="536"/>
      <c r="H329" s="536"/>
      <c r="I329" s="536"/>
      <c r="J329" s="536"/>
      <c r="K329" s="536"/>
      <c r="L329" s="536"/>
      <c r="M329" s="536"/>
      <c r="N329" s="536"/>
      <c r="O329" s="536"/>
      <c r="P329" s="536"/>
      <c r="Q329" s="536"/>
      <c r="R329" s="536"/>
      <c r="S329" s="536"/>
      <c r="T329" s="536"/>
      <c r="U329" s="536"/>
      <c r="V329" s="536"/>
      <c r="W329" s="536"/>
      <c r="X329" s="536"/>
      <c r="Y329" s="536"/>
      <c r="Z329" s="536"/>
      <c r="AA329" s="536"/>
      <c r="AB329" s="536"/>
      <c r="AC329" s="536"/>
      <c r="AD329" s="536"/>
      <c r="AE329" s="536"/>
      <c r="AF329" s="536"/>
      <c r="AG329" s="536"/>
      <c r="AH329" s="536"/>
      <c r="AI329" s="536"/>
      <c r="AJ329" s="536"/>
      <c r="AK329" s="536"/>
      <c r="AL329" s="536"/>
      <c r="AM329" s="536"/>
      <c r="AN329" s="536"/>
      <c r="AO329" s="536"/>
      <c r="AP329" s="536"/>
      <c r="AQ329" s="536"/>
      <c r="AR329" s="536"/>
      <c r="AS329" s="536"/>
      <c r="AT329" s="536"/>
      <c r="AU329" s="536"/>
      <c r="AV329" s="536"/>
      <c r="AW329" s="536"/>
      <c r="AX329" s="536"/>
      <c r="AY329" s="536"/>
      <c r="AZ329" s="536"/>
      <c r="BA329" s="536"/>
      <c r="BB329" s="536"/>
      <c r="BC329" s="536"/>
      <c r="BD329" s="536"/>
      <c r="BE329" s="536"/>
      <c r="BF329" s="536"/>
      <c r="BG329" s="536"/>
      <c r="BH329" s="536"/>
      <c r="BI329" s="536"/>
      <c r="BJ329" s="536"/>
      <c r="BK329" s="536"/>
      <c r="BL329" s="536"/>
      <c r="BM329" s="536"/>
      <c r="BN329" s="536"/>
      <c r="BO329" s="536"/>
      <c r="BP329" s="536"/>
      <c r="BQ329" s="536"/>
      <c r="BR329" s="536"/>
      <c r="BS329" s="536"/>
      <c r="BT329" s="536"/>
      <c r="BU329" s="536"/>
      <c r="BV329" s="536"/>
      <c r="BW329" s="536"/>
      <c r="BX329" s="536"/>
      <c r="BY329" s="536"/>
      <c r="BZ329" s="536"/>
      <c r="CA329" s="536"/>
      <c r="CB329" s="536"/>
      <c r="CC329" s="536"/>
      <c r="CD329" s="536"/>
    </row>
    <row r="330" spans="1:82" x14ac:dyDescent="0.2">
      <c r="A330" s="536">
        <f t="shared" si="100"/>
        <v>4</v>
      </c>
      <c r="B330" s="536">
        <f t="shared" si="101"/>
        <v>2015</v>
      </c>
      <c r="C330" s="552">
        <f t="shared" si="102"/>
        <v>42293</v>
      </c>
      <c r="D330" s="631" t="str">
        <f t="shared" si="103"/>
        <v>4Q15</v>
      </c>
      <c r="E330" s="540">
        <v>27.429993</v>
      </c>
      <c r="F330" s="535"/>
      <c r="G330" s="536"/>
      <c r="H330" s="536"/>
      <c r="I330" s="536"/>
      <c r="J330" s="536"/>
      <c r="K330" s="536"/>
      <c r="L330" s="536"/>
      <c r="M330" s="536"/>
      <c r="N330" s="536"/>
      <c r="O330" s="536"/>
      <c r="P330" s="536"/>
      <c r="Q330" s="536"/>
      <c r="R330" s="536"/>
      <c r="S330" s="536"/>
      <c r="T330" s="536"/>
      <c r="U330" s="536"/>
      <c r="V330" s="536"/>
      <c r="W330" s="536"/>
      <c r="X330" s="536"/>
      <c r="Y330" s="536"/>
      <c r="Z330" s="536"/>
      <c r="AA330" s="536"/>
      <c r="AB330" s="536"/>
      <c r="AC330" s="536"/>
      <c r="AD330" s="536"/>
      <c r="AE330" s="536"/>
      <c r="AF330" s="536"/>
      <c r="AG330" s="536"/>
      <c r="AH330" s="536"/>
      <c r="AI330" s="536"/>
      <c r="AJ330" s="536"/>
      <c r="AK330" s="536"/>
      <c r="AL330" s="536"/>
      <c r="AM330" s="536"/>
      <c r="AN330" s="536"/>
      <c r="AO330" s="536"/>
      <c r="AP330" s="536"/>
      <c r="AQ330" s="536"/>
      <c r="AR330" s="536"/>
      <c r="AS330" s="536"/>
      <c r="AT330" s="536"/>
      <c r="AU330" s="536"/>
      <c r="AV330" s="536"/>
      <c r="AW330" s="536"/>
      <c r="AX330" s="536"/>
      <c r="AY330" s="536"/>
      <c r="AZ330" s="536"/>
      <c r="BA330" s="536"/>
      <c r="BB330" s="536"/>
      <c r="BC330" s="536"/>
      <c r="BD330" s="536"/>
      <c r="BE330" s="536"/>
      <c r="BF330" s="536"/>
      <c r="BG330" s="536"/>
      <c r="BH330" s="536"/>
      <c r="BI330" s="536"/>
      <c r="BJ330" s="536"/>
      <c r="BK330" s="536"/>
      <c r="BL330" s="536"/>
      <c r="BM330" s="536"/>
      <c r="BN330" s="536"/>
      <c r="BO330" s="536"/>
      <c r="BP330" s="536"/>
      <c r="BQ330" s="536"/>
      <c r="BR330" s="536"/>
      <c r="BS330" s="536"/>
      <c r="BT330" s="536"/>
      <c r="BU330" s="536"/>
      <c r="BV330" s="536"/>
      <c r="BW330" s="536"/>
      <c r="BX330" s="536"/>
      <c r="BY330" s="536"/>
      <c r="BZ330" s="536"/>
      <c r="CA330" s="536"/>
      <c r="CB330" s="536"/>
      <c r="CC330" s="536"/>
      <c r="CD330" s="536"/>
    </row>
    <row r="331" spans="1:82" x14ac:dyDescent="0.2">
      <c r="A331" s="536">
        <f t="shared" si="100"/>
        <v>4</v>
      </c>
      <c r="B331" s="536">
        <f>YEAR(C331)</f>
        <v>2015</v>
      </c>
      <c r="C331" s="552">
        <f t="shared" si="102"/>
        <v>42300</v>
      </c>
      <c r="D331" s="631" t="str">
        <f>A331&amp;"Q"&amp;RIGHT(B331,2)</f>
        <v>4Q15</v>
      </c>
      <c r="E331" s="540">
        <v>28.369996</v>
      </c>
      <c r="F331" s="535"/>
      <c r="G331" s="536"/>
      <c r="H331" s="536"/>
      <c r="I331" s="536"/>
      <c r="J331" s="536"/>
      <c r="K331" s="536"/>
      <c r="L331" s="536"/>
      <c r="M331" s="536"/>
      <c r="N331" s="536"/>
      <c r="O331" s="536"/>
      <c r="P331" s="536"/>
      <c r="Q331" s="536"/>
      <c r="R331" s="536"/>
      <c r="S331" s="536"/>
      <c r="T331" s="536"/>
      <c r="U331" s="536"/>
      <c r="V331" s="536"/>
      <c r="W331" s="536"/>
      <c r="X331" s="536"/>
      <c r="Y331" s="536"/>
      <c r="Z331" s="536"/>
      <c r="AA331" s="536"/>
      <c r="AB331" s="536"/>
      <c r="AC331" s="536"/>
      <c r="AD331" s="536"/>
      <c r="AE331" s="536"/>
      <c r="AF331" s="536"/>
      <c r="AG331" s="536"/>
      <c r="AH331" s="536"/>
      <c r="AI331" s="536"/>
      <c r="AJ331" s="536"/>
      <c r="AK331" s="536"/>
      <c r="AL331" s="536"/>
      <c r="AM331" s="536"/>
      <c r="AN331" s="536"/>
      <c r="AO331" s="536"/>
      <c r="AP331" s="536"/>
      <c r="AQ331" s="536"/>
      <c r="AR331" s="536"/>
      <c r="AS331" s="536"/>
      <c r="AT331" s="536"/>
      <c r="AU331" s="536"/>
      <c r="AV331" s="536"/>
      <c r="AW331" s="536"/>
      <c r="AX331" s="536"/>
      <c r="AY331" s="536"/>
      <c r="AZ331" s="536"/>
      <c r="BA331" s="536"/>
      <c r="BB331" s="536"/>
      <c r="BC331" s="536"/>
      <c r="BD331" s="536"/>
      <c r="BE331" s="536"/>
      <c r="BF331" s="536"/>
      <c r="BG331" s="536"/>
      <c r="BH331" s="536"/>
      <c r="BI331" s="536"/>
      <c r="BJ331" s="536"/>
      <c r="BK331" s="536"/>
      <c r="BL331" s="536"/>
      <c r="BM331" s="536"/>
      <c r="BN331" s="536"/>
      <c r="BO331" s="536"/>
      <c r="BP331" s="536"/>
      <c r="BQ331" s="536"/>
      <c r="BR331" s="536"/>
      <c r="BS331" s="536"/>
      <c r="BT331" s="536"/>
      <c r="BU331" s="536"/>
      <c r="BV331" s="536"/>
      <c r="BW331" s="536"/>
      <c r="BX331" s="536"/>
      <c r="BY331" s="536"/>
      <c r="BZ331" s="536"/>
      <c r="CA331" s="536"/>
      <c r="CB331" s="536"/>
      <c r="CC331" s="536"/>
      <c r="CD331" s="536"/>
    </row>
    <row r="332" spans="1:82" x14ac:dyDescent="0.2">
      <c r="A332" s="536">
        <f t="shared" si="100"/>
        <v>4</v>
      </c>
      <c r="B332" s="536">
        <f>YEAR(C332)</f>
        <v>2015</v>
      </c>
      <c r="C332" s="552">
        <f t="shared" si="102"/>
        <v>42307</v>
      </c>
      <c r="D332" s="631" t="str">
        <f>A332&amp;"Q"&amp;RIGHT(B332,2)</f>
        <v>4Q15</v>
      </c>
      <c r="E332" s="540">
        <v>26.990006000000001</v>
      </c>
      <c r="F332" s="535"/>
      <c r="G332" s="536"/>
      <c r="H332" s="536"/>
      <c r="I332" s="536"/>
      <c r="J332" s="536"/>
      <c r="K332" s="536"/>
      <c r="L332" s="536"/>
      <c r="M332" s="536"/>
      <c r="N332" s="536"/>
      <c r="O332" s="536"/>
      <c r="P332" s="536"/>
      <c r="Q332" s="536"/>
      <c r="R332" s="536"/>
      <c r="S332" s="536"/>
      <c r="T332" s="536"/>
      <c r="U332" s="536"/>
      <c r="V332" s="536"/>
      <c r="W332" s="536"/>
      <c r="X332" s="536"/>
      <c r="Y332" s="536"/>
      <c r="Z332" s="536"/>
      <c r="AA332" s="536"/>
      <c r="AB332" s="536"/>
      <c r="AC332" s="536"/>
      <c r="AD332" s="536"/>
      <c r="AE332" s="536"/>
      <c r="AF332" s="536"/>
      <c r="AG332" s="536"/>
      <c r="AH332" s="536"/>
      <c r="AI332" s="536"/>
      <c r="AJ332" s="536"/>
      <c r="AK332" s="536"/>
      <c r="AL332" s="536"/>
      <c r="AM332" s="536"/>
      <c r="AN332" s="536"/>
      <c r="AO332" s="536"/>
      <c r="AP332" s="536"/>
      <c r="AQ332" s="536"/>
      <c r="AR332" s="536"/>
      <c r="AS332" s="536"/>
      <c r="AT332" s="536"/>
      <c r="AU332" s="536"/>
      <c r="AV332" s="536"/>
      <c r="AW332" s="536"/>
      <c r="AX332" s="536"/>
      <c r="AY332" s="536"/>
      <c r="AZ332" s="536"/>
      <c r="BA332" s="536"/>
      <c r="BB332" s="536"/>
      <c r="BC332" s="536"/>
      <c r="BD332" s="536"/>
      <c r="BE332" s="536"/>
      <c r="BF332" s="536"/>
      <c r="BG332" s="536"/>
      <c r="BH332" s="536"/>
      <c r="BI332" s="536"/>
      <c r="BJ332" s="536"/>
      <c r="BK332" s="536"/>
      <c r="BL332" s="536"/>
      <c r="BM332" s="536"/>
      <c r="BN332" s="536"/>
      <c r="BO332" s="536"/>
      <c r="BP332" s="536"/>
      <c r="BQ332" s="536"/>
      <c r="BR332" s="536"/>
      <c r="BS332" s="536"/>
      <c r="BT332" s="536"/>
      <c r="BU332" s="536"/>
      <c r="BV332" s="536"/>
      <c r="BW332" s="536"/>
      <c r="BX332" s="536"/>
      <c r="BY332" s="536"/>
      <c r="BZ332" s="536"/>
      <c r="CA332" s="536"/>
      <c r="CB332" s="536"/>
      <c r="CC332" s="536"/>
      <c r="CD332" s="536"/>
    </row>
    <row r="333" spans="1:82" x14ac:dyDescent="0.2">
      <c r="A333" s="536">
        <f t="shared" si="100"/>
        <v>4</v>
      </c>
      <c r="B333" s="536">
        <f>YEAR(C333)</f>
        <v>2015</v>
      </c>
      <c r="C333" s="552">
        <f t="shared" si="102"/>
        <v>42314</v>
      </c>
      <c r="D333" s="631" t="str">
        <f>A333&amp;"Q"&amp;RIGHT(B333,2)</f>
        <v>4Q15</v>
      </c>
      <c r="E333" s="540">
        <v>27.070008000000001</v>
      </c>
      <c r="F333" s="535"/>
      <c r="G333" s="536"/>
      <c r="H333" s="536"/>
      <c r="I333" s="536"/>
      <c r="J333" s="536"/>
      <c r="K333" s="536"/>
      <c r="L333" s="536"/>
      <c r="M333" s="536"/>
      <c r="N333" s="536"/>
      <c r="O333" s="536"/>
      <c r="P333" s="536"/>
      <c r="Q333" s="536"/>
      <c r="R333" s="536"/>
      <c r="S333" s="536"/>
      <c r="T333" s="536"/>
      <c r="U333" s="536"/>
      <c r="V333" s="536"/>
      <c r="W333" s="536"/>
      <c r="X333" s="536"/>
      <c r="Y333" s="536"/>
      <c r="Z333" s="536"/>
      <c r="AA333" s="536"/>
      <c r="AB333" s="536"/>
      <c r="AC333" s="536"/>
      <c r="AD333" s="536"/>
      <c r="AE333" s="536"/>
      <c r="AF333" s="536"/>
      <c r="AG333" s="536"/>
      <c r="AH333" s="536"/>
      <c r="AI333" s="536"/>
      <c r="AJ333" s="536"/>
      <c r="AK333" s="536"/>
      <c r="AL333" s="536"/>
      <c r="AM333" s="536"/>
      <c r="AN333" s="536"/>
      <c r="AO333" s="536"/>
      <c r="AP333" s="536"/>
      <c r="AQ333" s="536"/>
      <c r="AR333" s="536"/>
      <c r="AS333" s="536"/>
      <c r="AT333" s="536"/>
      <c r="AU333" s="536"/>
      <c r="AV333" s="536"/>
      <c r="AW333" s="536"/>
      <c r="AX333" s="536"/>
      <c r="AY333" s="536"/>
      <c r="AZ333" s="536"/>
      <c r="BA333" s="536"/>
      <c r="BB333" s="536"/>
      <c r="BC333" s="536"/>
      <c r="BD333" s="536"/>
      <c r="BE333" s="536"/>
      <c r="BF333" s="536"/>
      <c r="BG333" s="536"/>
      <c r="BH333" s="536"/>
      <c r="BI333" s="536"/>
      <c r="BJ333" s="536"/>
      <c r="BK333" s="536"/>
      <c r="BL333" s="536"/>
      <c r="BM333" s="536"/>
      <c r="BN333" s="536"/>
      <c r="BO333" s="536"/>
      <c r="BP333" s="536"/>
      <c r="BQ333" s="536"/>
      <c r="BR333" s="536"/>
      <c r="BS333" s="536"/>
      <c r="BT333" s="536"/>
      <c r="BU333" s="536"/>
      <c r="BV333" s="536"/>
      <c r="BW333" s="536"/>
      <c r="BX333" s="536"/>
      <c r="BY333" s="536"/>
      <c r="BZ333" s="536"/>
      <c r="CA333" s="536"/>
      <c r="CB333" s="536"/>
      <c r="CC333" s="536"/>
      <c r="CD333" s="536"/>
    </row>
    <row r="334" spans="1:82" x14ac:dyDescent="0.2">
      <c r="A334" s="536">
        <f t="shared" si="100"/>
        <v>4</v>
      </c>
      <c r="B334" s="536">
        <f t="shared" si="101"/>
        <v>2015</v>
      </c>
      <c r="C334" s="552">
        <f t="shared" si="102"/>
        <v>42321</v>
      </c>
      <c r="D334" s="631" t="str">
        <f t="shared" si="103"/>
        <v>4Q15</v>
      </c>
      <c r="E334" s="540">
        <v>26.929993</v>
      </c>
      <c r="F334" s="535"/>
      <c r="G334" s="536"/>
      <c r="H334" s="536"/>
      <c r="I334" s="536"/>
      <c r="J334" s="536"/>
      <c r="K334" s="536"/>
      <c r="L334" s="536"/>
      <c r="M334" s="536"/>
      <c r="N334" s="536"/>
      <c r="O334" s="536"/>
      <c r="P334" s="536"/>
      <c r="Q334" s="536"/>
      <c r="R334" s="536"/>
      <c r="S334" s="536"/>
      <c r="T334" s="536"/>
      <c r="U334" s="536"/>
      <c r="V334" s="536"/>
      <c r="W334" s="536"/>
      <c r="X334" s="536"/>
      <c r="Y334" s="536"/>
      <c r="Z334" s="536"/>
      <c r="AA334" s="536"/>
      <c r="AB334" s="536"/>
      <c r="AC334" s="536"/>
      <c r="AD334" s="536"/>
      <c r="AE334" s="536"/>
      <c r="AF334" s="536"/>
      <c r="AG334" s="536"/>
      <c r="AH334" s="536"/>
      <c r="AI334" s="536"/>
      <c r="AJ334" s="536"/>
      <c r="AK334" s="536"/>
      <c r="AL334" s="536"/>
      <c r="AM334" s="536"/>
      <c r="AN334" s="536"/>
      <c r="AO334" s="536"/>
      <c r="AP334" s="536"/>
      <c r="AQ334" s="536"/>
      <c r="AR334" s="536"/>
      <c r="AS334" s="536"/>
      <c r="AT334" s="536"/>
      <c r="AU334" s="536"/>
      <c r="AV334" s="536"/>
      <c r="AW334" s="536"/>
      <c r="AX334" s="536"/>
      <c r="AY334" s="536"/>
      <c r="AZ334" s="536"/>
      <c r="BA334" s="536"/>
      <c r="BB334" s="536"/>
      <c r="BC334" s="536"/>
      <c r="BD334" s="536"/>
      <c r="BE334" s="536"/>
      <c r="BF334" s="536"/>
      <c r="BG334" s="536"/>
      <c r="BH334" s="536"/>
      <c r="BI334" s="536"/>
      <c r="BJ334" s="536"/>
      <c r="BK334" s="536"/>
      <c r="BL334" s="536"/>
      <c r="BM334" s="536"/>
      <c r="BN334" s="536"/>
      <c r="BO334" s="536"/>
      <c r="BP334" s="536"/>
      <c r="BQ334" s="536"/>
      <c r="BR334" s="536"/>
      <c r="BS334" s="536"/>
      <c r="BT334" s="536"/>
      <c r="BU334" s="536"/>
      <c r="BV334" s="536"/>
      <c r="BW334" s="536"/>
      <c r="BX334" s="536"/>
      <c r="BY334" s="536"/>
      <c r="BZ334" s="536"/>
      <c r="CA334" s="536"/>
      <c r="CB334" s="536"/>
      <c r="CC334" s="536"/>
      <c r="CD334" s="536"/>
    </row>
    <row r="335" spans="1:82" x14ac:dyDescent="0.2">
      <c r="A335" s="536">
        <f t="shared" si="100"/>
        <v>4</v>
      </c>
      <c r="B335" s="536">
        <f t="shared" si="101"/>
        <v>2015</v>
      </c>
      <c r="C335" s="552">
        <f t="shared" si="102"/>
        <v>42328</v>
      </c>
      <c r="D335" s="631" t="str">
        <f t="shared" si="103"/>
        <v>4Q15</v>
      </c>
      <c r="E335" s="540">
        <v>29.89</v>
      </c>
      <c r="F335" s="535"/>
      <c r="G335" s="536"/>
      <c r="H335" s="536"/>
      <c r="I335" s="536"/>
      <c r="J335" s="536"/>
      <c r="K335" s="536"/>
      <c r="L335" s="536"/>
      <c r="M335" s="536"/>
      <c r="N335" s="536"/>
      <c r="O335" s="536"/>
      <c r="P335" s="536"/>
      <c r="Q335" s="536"/>
      <c r="R335" s="536"/>
      <c r="S335" s="536"/>
      <c r="T335" s="536"/>
      <c r="U335" s="536"/>
      <c r="V335" s="536"/>
      <c r="W335" s="536"/>
      <c r="X335" s="536"/>
      <c r="Y335" s="536"/>
      <c r="Z335" s="536"/>
      <c r="AA335" s="536"/>
      <c r="AB335" s="536"/>
      <c r="AC335" s="536"/>
      <c r="AD335" s="536"/>
      <c r="AE335" s="536"/>
      <c r="AF335" s="536"/>
      <c r="AG335" s="536"/>
      <c r="AH335" s="536"/>
      <c r="AI335" s="536"/>
      <c r="AJ335" s="536"/>
      <c r="AK335" s="536"/>
      <c r="AL335" s="536"/>
      <c r="AM335" s="536"/>
      <c r="AN335" s="536"/>
      <c r="AO335" s="536"/>
      <c r="AP335" s="536"/>
      <c r="AQ335" s="536"/>
      <c r="AR335" s="536"/>
      <c r="AS335" s="536"/>
      <c r="AT335" s="536"/>
      <c r="AU335" s="536"/>
      <c r="AV335" s="536"/>
      <c r="AW335" s="536"/>
      <c r="AX335" s="536"/>
      <c r="AY335" s="536"/>
      <c r="AZ335" s="536"/>
      <c r="BA335" s="536"/>
      <c r="BB335" s="536"/>
      <c r="BC335" s="536"/>
      <c r="BD335" s="536"/>
      <c r="BE335" s="536"/>
      <c r="BF335" s="536"/>
      <c r="BG335" s="536"/>
      <c r="BH335" s="536"/>
      <c r="BI335" s="536"/>
      <c r="BJ335" s="536"/>
      <c r="BK335" s="536"/>
      <c r="BL335" s="536"/>
      <c r="BM335" s="536"/>
      <c r="BN335" s="536"/>
      <c r="BO335" s="536"/>
      <c r="BP335" s="536"/>
      <c r="BQ335" s="536"/>
      <c r="BR335" s="536"/>
      <c r="BS335" s="536"/>
      <c r="BT335" s="536"/>
      <c r="BU335" s="536"/>
      <c r="BV335" s="536"/>
      <c r="BW335" s="536"/>
      <c r="BX335" s="536"/>
      <c r="BY335" s="536"/>
      <c r="BZ335" s="536"/>
      <c r="CA335" s="536"/>
      <c r="CB335" s="536"/>
      <c r="CC335" s="536"/>
      <c r="CD335" s="536"/>
    </row>
    <row r="336" spans="1:82" x14ac:dyDescent="0.2">
      <c r="A336" s="536">
        <f t="shared" si="100"/>
        <v>4</v>
      </c>
      <c r="B336" s="536">
        <f t="shared" si="101"/>
        <v>2015</v>
      </c>
      <c r="C336" s="552">
        <f t="shared" si="102"/>
        <v>42335</v>
      </c>
      <c r="D336" s="631" t="str">
        <f t="shared" si="103"/>
        <v>4Q15</v>
      </c>
      <c r="E336" s="540">
        <v>28.990006000000001</v>
      </c>
      <c r="F336" s="535"/>
      <c r="G336" s="536"/>
      <c r="H336" s="536"/>
      <c r="I336" s="536"/>
      <c r="J336" s="536"/>
      <c r="K336" s="536"/>
      <c r="L336" s="536"/>
      <c r="M336" s="536"/>
      <c r="N336" s="536"/>
      <c r="O336" s="536"/>
      <c r="P336" s="536"/>
      <c r="Q336" s="536"/>
      <c r="R336" s="536"/>
      <c r="S336" s="536"/>
      <c r="T336" s="536"/>
      <c r="U336" s="536"/>
      <c r="V336" s="536"/>
      <c r="W336" s="536"/>
      <c r="X336" s="536"/>
      <c r="Y336" s="536"/>
      <c r="Z336" s="536"/>
      <c r="AA336" s="536"/>
      <c r="AB336" s="536"/>
      <c r="AC336" s="536"/>
      <c r="AD336" s="536"/>
      <c r="AE336" s="536"/>
      <c r="AF336" s="536"/>
      <c r="AG336" s="536"/>
      <c r="AH336" s="536"/>
      <c r="AI336" s="536"/>
      <c r="AJ336" s="536"/>
      <c r="AK336" s="536"/>
      <c r="AL336" s="536"/>
      <c r="AM336" s="536"/>
      <c r="AN336" s="536"/>
      <c r="AO336" s="536"/>
      <c r="AP336" s="536"/>
      <c r="AQ336" s="536"/>
      <c r="AR336" s="536"/>
      <c r="AS336" s="536"/>
      <c r="AT336" s="536"/>
      <c r="AU336" s="536"/>
      <c r="AV336" s="536"/>
      <c r="AW336" s="536"/>
      <c r="AX336" s="536"/>
      <c r="AY336" s="536"/>
      <c r="AZ336" s="536"/>
      <c r="BA336" s="536"/>
      <c r="BB336" s="536"/>
      <c r="BC336" s="536"/>
      <c r="BD336" s="536"/>
      <c r="BE336" s="536"/>
      <c r="BF336" s="536"/>
      <c r="BG336" s="536"/>
      <c r="BH336" s="536"/>
      <c r="BI336" s="536"/>
      <c r="BJ336" s="536"/>
      <c r="BK336" s="536"/>
      <c r="BL336" s="536"/>
      <c r="BM336" s="536"/>
      <c r="BN336" s="536"/>
      <c r="BO336" s="536"/>
      <c r="BP336" s="536"/>
      <c r="BQ336" s="536"/>
      <c r="BR336" s="536"/>
      <c r="BS336" s="536"/>
      <c r="BT336" s="536"/>
      <c r="BU336" s="536"/>
      <c r="BV336" s="536"/>
      <c r="BW336" s="536"/>
      <c r="BX336" s="536"/>
      <c r="BY336" s="536"/>
      <c r="BZ336" s="536"/>
      <c r="CA336" s="536"/>
      <c r="CB336" s="536"/>
      <c r="CC336" s="536"/>
      <c r="CD336" s="536"/>
    </row>
    <row r="337" spans="1:82" x14ac:dyDescent="0.2">
      <c r="A337" s="536">
        <f t="shared" si="100"/>
        <v>4</v>
      </c>
      <c r="B337" s="536">
        <f t="shared" si="101"/>
        <v>2015</v>
      </c>
      <c r="C337" s="552">
        <f t="shared" si="102"/>
        <v>42342</v>
      </c>
      <c r="D337" s="631" t="str">
        <f t="shared" si="103"/>
        <v>4Q15</v>
      </c>
      <c r="E337" s="540">
        <v>26.860001</v>
      </c>
      <c r="F337" s="535"/>
      <c r="G337" s="536"/>
      <c r="H337" s="536"/>
      <c r="I337" s="536"/>
      <c r="J337" s="536"/>
      <c r="K337" s="536"/>
      <c r="L337" s="536"/>
      <c r="M337" s="536"/>
      <c r="N337" s="536"/>
      <c r="O337" s="536"/>
      <c r="P337" s="536"/>
      <c r="Q337" s="536"/>
      <c r="R337" s="536"/>
      <c r="S337" s="536"/>
      <c r="T337" s="536"/>
      <c r="U337" s="536"/>
      <c r="V337" s="536"/>
      <c r="W337" s="536"/>
      <c r="X337" s="536"/>
      <c r="Y337" s="536"/>
      <c r="Z337" s="536"/>
      <c r="AA337" s="536"/>
      <c r="AB337" s="536"/>
      <c r="AC337" s="536"/>
      <c r="AD337" s="536"/>
      <c r="AE337" s="536"/>
      <c r="AF337" s="536"/>
      <c r="AG337" s="536"/>
      <c r="AH337" s="536"/>
      <c r="AI337" s="536"/>
      <c r="AJ337" s="536"/>
      <c r="AK337" s="536"/>
      <c r="AL337" s="536"/>
      <c r="AM337" s="536"/>
      <c r="AN337" s="536"/>
      <c r="AO337" s="536"/>
      <c r="AP337" s="536"/>
      <c r="AQ337" s="536"/>
      <c r="AR337" s="536"/>
      <c r="AS337" s="536"/>
      <c r="AT337" s="536"/>
      <c r="AU337" s="536"/>
      <c r="AV337" s="536"/>
      <c r="AW337" s="536"/>
      <c r="AX337" s="536"/>
      <c r="AY337" s="536"/>
      <c r="AZ337" s="536"/>
      <c r="BA337" s="536"/>
      <c r="BB337" s="536"/>
      <c r="BC337" s="536"/>
      <c r="BD337" s="536"/>
      <c r="BE337" s="536"/>
      <c r="BF337" s="536"/>
      <c r="BG337" s="536"/>
      <c r="BH337" s="536"/>
      <c r="BI337" s="536"/>
      <c r="BJ337" s="536"/>
      <c r="BK337" s="536"/>
      <c r="BL337" s="536"/>
      <c r="BM337" s="536"/>
      <c r="BN337" s="536"/>
      <c r="BO337" s="536"/>
      <c r="BP337" s="536"/>
      <c r="BQ337" s="536"/>
      <c r="BR337" s="536"/>
      <c r="BS337" s="536"/>
      <c r="BT337" s="536"/>
      <c r="BU337" s="536"/>
      <c r="BV337" s="536"/>
      <c r="BW337" s="536"/>
      <c r="BX337" s="536"/>
      <c r="BY337" s="536"/>
      <c r="BZ337" s="536"/>
      <c r="CA337" s="536"/>
      <c r="CB337" s="536"/>
      <c r="CC337" s="536"/>
      <c r="CD337" s="536"/>
    </row>
    <row r="338" spans="1:82" x14ac:dyDescent="0.2">
      <c r="A338" s="1187">
        <f t="shared" si="100"/>
        <v>4</v>
      </c>
      <c r="B338" s="1187">
        <f t="shared" si="101"/>
        <v>2015</v>
      </c>
      <c r="C338" s="552">
        <f t="shared" si="102"/>
        <v>42349</v>
      </c>
      <c r="D338" s="1187" t="str">
        <f t="shared" si="103"/>
        <v>4Q15</v>
      </c>
      <c r="E338" s="1188">
        <v>25.720002000000001</v>
      </c>
      <c r="F338" s="535"/>
      <c r="G338" s="536"/>
      <c r="H338" s="536"/>
      <c r="I338" s="536"/>
      <c r="J338" s="536"/>
      <c r="K338" s="536"/>
      <c r="L338" s="536"/>
      <c r="M338" s="536"/>
      <c r="N338" s="536"/>
      <c r="O338" s="536"/>
      <c r="P338" s="536"/>
      <c r="Q338" s="536"/>
      <c r="R338" s="536"/>
      <c r="S338" s="536"/>
      <c r="T338" s="536"/>
      <c r="U338" s="536"/>
      <c r="V338" s="536"/>
      <c r="W338" s="536"/>
      <c r="X338" s="536"/>
      <c r="Y338" s="536"/>
      <c r="Z338" s="536"/>
      <c r="AA338" s="536"/>
      <c r="AB338" s="536"/>
      <c r="AC338" s="536"/>
      <c r="AD338" s="536"/>
      <c r="AE338" s="536"/>
      <c r="AF338" s="536"/>
      <c r="AG338" s="536"/>
      <c r="AH338" s="536"/>
      <c r="AI338" s="536"/>
      <c r="AJ338" s="536"/>
      <c r="AK338" s="536"/>
      <c r="AL338" s="536"/>
      <c r="AM338" s="536"/>
      <c r="AN338" s="536"/>
      <c r="AO338" s="536"/>
      <c r="AP338" s="536"/>
      <c r="AQ338" s="536"/>
      <c r="AR338" s="536"/>
      <c r="AS338" s="536"/>
      <c r="AT338" s="536"/>
      <c r="AU338" s="536"/>
      <c r="AV338" s="536"/>
      <c r="AW338" s="536"/>
      <c r="AX338" s="536"/>
      <c r="AY338" s="536"/>
      <c r="AZ338" s="536"/>
      <c r="BA338" s="536"/>
      <c r="BB338" s="536"/>
      <c r="BC338" s="536"/>
      <c r="BD338" s="536"/>
      <c r="BE338" s="536"/>
      <c r="BF338" s="536"/>
      <c r="BG338" s="536"/>
      <c r="BH338" s="536"/>
      <c r="BI338" s="536"/>
      <c r="BJ338" s="536"/>
      <c r="BK338" s="536"/>
      <c r="BL338" s="536"/>
      <c r="BM338" s="536"/>
      <c r="BN338" s="536"/>
      <c r="BO338" s="536"/>
      <c r="BP338" s="536"/>
      <c r="BQ338" s="536"/>
      <c r="BR338" s="536"/>
      <c r="BS338" s="536"/>
      <c r="BT338" s="536"/>
      <c r="BU338" s="536"/>
      <c r="BV338" s="536"/>
      <c r="BW338" s="536"/>
      <c r="BX338" s="536"/>
      <c r="BY338" s="536"/>
      <c r="BZ338" s="536"/>
      <c r="CA338" s="536"/>
      <c r="CB338" s="536"/>
      <c r="CC338" s="536"/>
      <c r="CD338" s="536"/>
    </row>
    <row r="339" spans="1:82" x14ac:dyDescent="0.2">
      <c r="A339" s="1187">
        <f t="shared" si="100"/>
        <v>4</v>
      </c>
      <c r="B339" s="1187">
        <f t="shared" si="101"/>
        <v>2015</v>
      </c>
      <c r="C339" s="552">
        <f t="shared" si="102"/>
        <v>42356</v>
      </c>
      <c r="D339" s="1187" t="str">
        <f t="shared" si="103"/>
        <v>4Q15</v>
      </c>
      <c r="E339" s="1188">
        <v>25.199997</v>
      </c>
      <c r="F339" s="535"/>
      <c r="G339" s="536"/>
      <c r="H339" s="536"/>
      <c r="I339" s="536"/>
      <c r="J339" s="536"/>
      <c r="K339" s="536"/>
      <c r="L339" s="536"/>
      <c r="M339" s="536"/>
      <c r="N339" s="536"/>
      <c r="O339" s="536"/>
      <c r="P339" s="536"/>
      <c r="Q339" s="536"/>
      <c r="R339" s="536"/>
      <c r="S339" s="536"/>
      <c r="T339" s="536"/>
      <c r="U339" s="536"/>
      <c r="V339" s="536"/>
      <c r="W339" s="536"/>
      <c r="X339" s="536"/>
      <c r="Y339" s="536"/>
      <c r="Z339" s="536"/>
      <c r="AA339" s="536"/>
      <c r="AB339" s="536"/>
      <c r="AC339" s="536"/>
      <c r="AD339" s="536"/>
      <c r="AE339" s="536"/>
      <c r="AF339" s="536"/>
      <c r="AG339" s="536"/>
      <c r="AH339" s="536"/>
      <c r="AI339" s="536"/>
      <c r="AJ339" s="536"/>
      <c r="AK339" s="536"/>
      <c r="AL339" s="536"/>
      <c r="AM339" s="536"/>
      <c r="AN339" s="536"/>
      <c r="AO339" s="536"/>
      <c r="AP339" s="536"/>
      <c r="AQ339" s="536"/>
      <c r="AR339" s="536"/>
      <c r="AS339" s="536"/>
      <c r="AT339" s="536"/>
      <c r="AU339" s="536"/>
      <c r="AV339" s="536"/>
      <c r="AW339" s="536"/>
      <c r="AX339" s="536"/>
      <c r="AY339" s="536"/>
      <c r="AZ339" s="536"/>
      <c r="BA339" s="536"/>
      <c r="BB339" s="536"/>
      <c r="BC339" s="536"/>
      <c r="BD339" s="536"/>
      <c r="BE339" s="536"/>
      <c r="BF339" s="536"/>
      <c r="BG339" s="536"/>
      <c r="BH339" s="536"/>
      <c r="BI339" s="536"/>
      <c r="BJ339" s="536"/>
      <c r="BK339" s="536"/>
      <c r="BL339" s="536"/>
      <c r="BM339" s="536"/>
      <c r="BN339" s="536"/>
      <c r="BO339" s="536"/>
      <c r="BP339" s="536"/>
      <c r="BQ339" s="536"/>
      <c r="BR339" s="536"/>
      <c r="BS339" s="536"/>
      <c r="BT339" s="536"/>
      <c r="BU339" s="536"/>
      <c r="BV339" s="536"/>
      <c r="BW339" s="536"/>
      <c r="BX339" s="536"/>
      <c r="BY339" s="536"/>
      <c r="BZ339" s="536"/>
      <c r="CA339" s="536"/>
      <c r="CB339" s="536"/>
      <c r="CC339" s="536"/>
      <c r="CD339" s="536"/>
    </row>
    <row r="340" spans="1:82" x14ac:dyDescent="0.2">
      <c r="A340" s="1187">
        <f t="shared" si="100"/>
        <v>4</v>
      </c>
      <c r="B340" s="1187">
        <f t="shared" si="101"/>
        <v>2015</v>
      </c>
      <c r="C340" s="552">
        <f t="shared" si="102"/>
        <v>42363</v>
      </c>
      <c r="D340" s="1187" t="str">
        <f t="shared" si="103"/>
        <v>4Q15</v>
      </c>
      <c r="E340" s="1188">
        <v>26.130005000000001</v>
      </c>
      <c r="F340" s="535"/>
      <c r="G340" s="536"/>
      <c r="H340" s="536"/>
      <c r="I340" s="536"/>
      <c r="J340" s="536"/>
      <c r="K340" s="536"/>
      <c r="L340" s="536"/>
      <c r="M340" s="536"/>
      <c r="N340" s="536"/>
      <c r="O340" s="536"/>
      <c r="P340" s="536"/>
      <c r="Q340" s="536"/>
      <c r="R340" s="536"/>
      <c r="S340" s="536"/>
      <c r="T340" s="536"/>
      <c r="U340" s="536"/>
      <c r="V340" s="536"/>
      <c r="W340" s="536"/>
      <c r="X340" s="536"/>
      <c r="Y340" s="536"/>
      <c r="Z340" s="536"/>
      <c r="AA340" s="536"/>
      <c r="AB340" s="536"/>
      <c r="AC340" s="536"/>
      <c r="AD340" s="536"/>
      <c r="AE340" s="536"/>
      <c r="AF340" s="536"/>
      <c r="AG340" s="536"/>
      <c r="AH340" s="536"/>
      <c r="AI340" s="536"/>
      <c r="AJ340" s="536"/>
      <c r="AK340" s="536"/>
      <c r="AL340" s="536"/>
      <c r="AM340" s="536"/>
      <c r="AN340" s="536"/>
      <c r="AO340" s="536"/>
      <c r="AP340" s="536"/>
      <c r="AQ340" s="536"/>
      <c r="AR340" s="536"/>
      <c r="AS340" s="536"/>
      <c r="AT340" s="536"/>
      <c r="AU340" s="536"/>
      <c r="AV340" s="536"/>
      <c r="AW340" s="536"/>
      <c r="AX340" s="536"/>
      <c r="AY340" s="536"/>
      <c r="AZ340" s="536"/>
      <c r="BA340" s="536"/>
      <c r="BB340" s="536"/>
      <c r="BC340" s="536"/>
      <c r="BD340" s="536"/>
      <c r="BE340" s="536"/>
      <c r="BF340" s="536"/>
      <c r="BG340" s="536"/>
      <c r="BH340" s="536"/>
      <c r="BI340" s="536"/>
      <c r="BJ340" s="536"/>
      <c r="BK340" s="536"/>
      <c r="BL340" s="536"/>
      <c r="BM340" s="536"/>
      <c r="BN340" s="536"/>
      <c r="BO340" s="536"/>
      <c r="BP340" s="536"/>
      <c r="BQ340" s="536"/>
      <c r="BR340" s="536"/>
      <c r="BS340" s="536"/>
      <c r="BT340" s="536"/>
      <c r="BU340" s="536"/>
      <c r="BV340" s="536"/>
      <c r="BW340" s="536"/>
      <c r="BX340" s="536"/>
      <c r="BY340" s="536"/>
      <c r="BZ340" s="536"/>
      <c r="CA340" s="536"/>
      <c r="CB340" s="536"/>
      <c r="CC340" s="536"/>
      <c r="CD340" s="536"/>
    </row>
    <row r="341" spans="1:82" x14ac:dyDescent="0.2">
      <c r="A341" s="1187">
        <f t="shared" si="100"/>
        <v>1</v>
      </c>
      <c r="B341" s="1187">
        <f t="shared" si="101"/>
        <v>2016</v>
      </c>
      <c r="C341" s="552">
        <f t="shared" si="102"/>
        <v>42370</v>
      </c>
      <c r="D341" s="1187" t="str">
        <f t="shared" si="103"/>
        <v>1Q16</v>
      </c>
      <c r="E341" s="1188">
        <v>25.949997</v>
      </c>
      <c r="F341" s="535"/>
      <c r="G341" s="536"/>
      <c r="H341" s="536"/>
      <c r="I341" s="536"/>
      <c r="J341" s="536"/>
      <c r="K341" s="536"/>
      <c r="L341" s="536"/>
      <c r="M341" s="536"/>
      <c r="N341" s="536"/>
      <c r="O341" s="536"/>
      <c r="P341" s="536"/>
      <c r="Q341" s="536"/>
      <c r="R341" s="536"/>
      <c r="S341" s="536"/>
      <c r="T341" s="536"/>
      <c r="U341" s="536"/>
      <c r="V341" s="536"/>
      <c r="W341" s="536"/>
      <c r="X341" s="536"/>
      <c r="Y341" s="536"/>
      <c r="Z341" s="536"/>
      <c r="AA341" s="536"/>
      <c r="AB341" s="536"/>
      <c r="AC341" s="536"/>
      <c r="AD341" s="536"/>
      <c r="AE341" s="536"/>
      <c r="AF341" s="536"/>
      <c r="AG341" s="536"/>
      <c r="AH341" s="536"/>
      <c r="AI341" s="536"/>
      <c r="AJ341" s="536"/>
      <c r="AK341" s="536"/>
      <c r="AL341" s="536"/>
      <c r="AM341" s="536"/>
      <c r="AN341" s="536"/>
      <c r="AO341" s="536"/>
      <c r="AP341" s="536"/>
      <c r="AQ341" s="536"/>
      <c r="AR341" s="536"/>
      <c r="AS341" s="536"/>
      <c r="AT341" s="536"/>
      <c r="AU341" s="536"/>
      <c r="AV341" s="536"/>
      <c r="AW341" s="536"/>
      <c r="AX341" s="536"/>
      <c r="AY341" s="536"/>
      <c r="AZ341" s="536"/>
      <c r="BA341" s="536"/>
      <c r="BB341" s="536"/>
      <c r="BC341" s="536"/>
      <c r="BD341" s="536"/>
      <c r="BE341" s="536"/>
      <c r="BF341" s="536"/>
      <c r="BG341" s="536"/>
      <c r="BH341" s="536"/>
      <c r="BI341" s="536"/>
      <c r="BJ341" s="536"/>
      <c r="BK341" s="536"/>
      <c r="BL341" s="536"/>
      <c r="BM341" s="536"/>
      <c r="BN341" s="536"/>
      <c r="BO341" s="536"/>
      <c r="BP341" s="536"/>
      <c r="BQ341" s="536"/>
      <c r="BR341" s="536"/>
      <c r="BS341" s="536"/>
      <c r="BT341" s="536"/>
      <c r="BU341" s="536"/>
      <c r="BV341" s="536"/>
      <c r="BW341" s="536"/>
      <c r="BX341" s="536"/>
      <c r="BY341" s="536"/>
      <c r="BZ341" s="536"/>
      <c r="CA341" s="536"/>
      <c r="CB341" s="536"/>
      <c r="CC341" s="536"/>
      <c r="CD341" s="536"/>
    </row>
    <row r="342" spans="1:82" x14ac:dyDescent="0.2">
      <c r="A342" s="1187">
        <f t="shared" si="100"/>
        <v>1</v>
      </c>
      <c r="B342" s="1187">
        <f t="shared" si="101"/>
        <v>2016</v>
      </c>
      <c r="C342" s="552">
        <f t="shared" si="102"/>
        <v>42377</v>
      </c>
      <c r="D342" s="1187" t="str">
        <f t="shared" si="103"/>
        <v>1Q16</v>
      </c>
      <c r="E342" s="1188">
        <v>23.479996</v>
      </c>
      <c r="F342" s="535"/>
      <c r="G342" s="536"/>
      <c r="H342" s="536"/>
      <c r="I342" s="536"/>
      <c r="J342" s="536"/>
      <c r="K342" s="536"/>
      <c r="L342" s="536"/>
      <c r="M342" s="536"/>
      <c r="N342" s="536"/>
      <c r="O342" s="536"/>
      <c r="P342" s="536"/>
      <c r="Q342" s="536"/>
      <c r="R342" s="536"/>
      <c r="S342" s="536"/>
      <c r="T342" s="536"/>
      <c r="U342" s="536"/>
      <c r="V342" s="536"/>
      <c r="W342" s="536"/>
      <c r="X342" s="536"/>
      <c r="Y342" s="536"/>
      <c r="Z342" s="536"/>
      <c r="AA342" s="536"/>
      <c r="AB342" s="536"/>
      <c r="AC342" s="536"/>
      <c r="AD342" s="536"/>
      <c r="AE342" s="536"/>
      <c r="AF342" s="536"/>
      <c r="AG342" s="536"/>
      <c r="AH342" s="536"/>
      <c r="AI342" s="536"/>
      <c r="AJ342" s="536"/>
      <c r="AK342" s="536"/>
      <c r="AL342" s="536"/>
      <c r="AM342" s="536"/>
      <c r="AN342" s="536"/>
      <c r="AO342" s="536"/>
      <c r="AP342" s="536"/>
      <c r="AQ342" s="536"/>
      <c r="AR342" s="536"/>
      <c r="AS342" s="536"/>
      <c r="AT342" s="536"/>
      <c r="AU342" s="536"/>
      <c r="AV342" s="536"/>
      <c r="AW342" s="536"/>
      <c r="AX342" s="536"/>
      <c r="AY342" s="536"/>
      <c r="AZ342" s="536"/>
      <c r="BA342" s="536"/>
      <c r="BB342" s="536"/>
      <c r="BC342" s="536"/>
      <c r="BD342" s="536"/>
      <c r="BE342" s="536"/>
      <c r="BF342" s="536"/>
      <c r="BG342" s="536"/>
      <c r="BH342" s="536"/>
      <c r="BI342" s="536"/>
      <c r="BJ342" s="536"/>
      <c r="BK342" s="536"/>
      <c r="BL342" s="536"/>
      <c r="BM342" s="536"/>
      <c r="BN342" s="536"/>
      <c r="BO342" s="536"/>
      <c r="BP342" s="536"/>
      <c r="BQ342" s="536"/>
      <c r="BR342" s="536"/>
      <c r="BS342" s="536"/>
      <c r="BT342" s="536"/>
      <c r="BU342" s="536"/>
      <c r="BV342" s="536"/>
      <c r="BW342" s="536"/>
      <c r="BX342" s="536"/>
      <c r="BY342" s="536"/>
      <c r="BZ342" s="536"/>
      <c r="CA342" s="536"/>
      <c r="CB342" s="536"/>
      <c r="CC342" s="536"/>
      <c r="CD342" s="536"/>
    </row>
    <row r="343" spans="1:82" x14ac:dyDescent="0.2">
      <c r="A343" s="1187">
        <f t="shared" si="100"/>
        <v>1</v>
      </c>
      <c r="B343" s="1187">
        <f t="shared" si="101"/>
        <v>2016</v>
      </c>
      <c r="C343" s="552">
        <f t="shared" si="102"/>
        <v>42384</v>
      </c>
      <c r="D343" s="1187" t="str">
        <f t="shared" si="103"/>
        <v>1Q16</v>
      </c>
      <c r="E343" s="1188">
        <v>22.759995</v>
      </c>
      <c r="F343" s="535"/>
      <c r="G343" s="536"/>
      <c r="H343" s="536"/>
      <c r="I343" s="536"/>
      <c r="J343" s="536"/>
      <c r="K343" s="536"/>
      <c r="L343" s="536"/>
      <c r="M343" s="536"/>
      <c r="N343" s="536"/>
      <c r="O343" s="536"/>
      <c r="P343" s="536"/>
      <c r="Q343" s="536"/>
      <c r="R343" s="536"/>
      <c r="S343" s="536"/>
      <c r="T343" s="536"/>
      <c r="U343" s="536"/>
      <c r="V343" s="536"/>
      <c r="W343" s="536"/>
      <c r="X343" s="536"/>
      <c r="Y343" s="536"/>
      <c r="Z343" s="536"/>
      <c r="AA343" s="536"/>
      <c r="AB343" s="536"/>
      <c r="AC343" s="536"/>
      <c r="AD343" s="536"/>
      <c r="AE343" s="536"/>
      <c r="AF343" s="536"/>
      <c r="AG343" s="536"/>
      <c r="AH343" s="536"/>
      <c r="AI343" s="536"/>
      <c r="AJ343" s="536"/>
      <c r="AK343" s="536"/>
      <c r="AL343" s="536"/>
      <c r="AM343" s="536"/>
      <c r="AN343" s="536"/>
      <c r="AO343" s="536"/>
      <c r="AP343" s="536"/>
      <c r="AQ343" s="536"/>
      <c r="AR343" s="536"/>
      <c r="AS343" s="536"/>
      <c r="AT343" s="536"/>
      <c r="AU343" s="536"/>
      <c r="AV343" s="536"/>
      <c r="AW343" s="536"/>
      <c r="AX343" s="536"/>
      <c r="AY343" s="536"/>
      <c r="AZ343" s="536"/>
      <c r="BA343" s="536"/>
      <c r="BB343" s="536"/>
      <c r="BC343" s="536"/>
      <c r="BD343" s="536"/>
      <c r="BE343" s="536"/>
      <c r="BF343" s="536"/>
      <c r="BG343" s="536"/>
      <c r="BH343" s="536"/>
      <c r="BI343" s="536"/>
      <c r="BJ343" s="536"/>
      <c r="BK343" s="536"/>
      <c r="BL343" s="536"/>
      <c r="BM343" s="536"/>
      <c r="BN343" s="536"/>
      <c r="BO343" s="536"/>
      <c r="BP343" s="536"/>
      <c r="BQ343" s="536"/>
      <c r="BR343" s="536"/>
      <c r="BS343" s="536"/>
      <c r="BT343" s="536"/>
      <c r="BU343" s="536"/>
      <c r="BV343" s="536"/>
      <c r="BW343" s="536"/>
      <c r="BX343" s="536"/>
      <c r="BY343" s="536"/>
      <c r="BZ343" s="536"/>
      <c r="CA343" s="536"/>
      <c r="CB343" s="536"/>
      <c r="CC343" s="536"/>
      <c r="CD343" s="536"/>
    </row>
    <row r="344" spans="1:82" x14ac:dyDescent="0.2">
      <c r="A344" s="1187">
        <f t="shared" si="100"/>
        <v>1</v>
      </c>
      <c r="B344" s="1187">
        <f t="shared" si="101"/>
        <v>2016</v>
      </c>
      <c r="C344" s="552">
        <f t="shared" si="102"/>
        <v>42391</v>
      </c>
      <c r="D344" s="1187" t="str">
        <f t="shared" si="103"/>
        <v>1Q16</v>
      </c>
      <c r="E344" s="1188">
        <v>22.419999000000001</v>
      </c>
      <c r="F344" s="535"/>
      <c r="G344" s="536"/>
      <c r="H344" s="536"/>
      <c r="I344" s="536"/>
      <c r="J344" s="536"/>
      <c r="K344" s="536"/>
      <c r="L344" s="536"/>
      <c r="M344" s="536"/>
      <c r="N344" s="536"/>
      <c r="O344" s="536"/>
      <c r="P344" s="536"/>
      <c r="Q344" s="536"/>
      <c r="R344" s="536"/>
      <c r="S344" s="536"/>
      <c r="T344" s="536"/>
      <c r="U344" s="536"/>
      <c r="V344" s="536"/>
      <c r="W344" s="536"/>
      <c r="X344" s="536"/>
      <c r="Y344" s="536"/>
      <c r="Z344" s="536"/>
      <c r="AA344" s="536"/>
      <c r="AB344" s="536"/>
      <c r="AC344" s="536"/>
      <c r="AD344" s="536"/>
      <c r="AE344" s="536"/>
      <c r="AF344" s="536"/>
      <c r="AG344" s="536"/>
      <c r="AH344" s="536"/>
      <c r="AI344" s="536"/>
      <c r="AJ344" s="536"/>
      <c r="AK344" s="536"/>
      <c r="AL344" s="536"/>
      <c r="AM344" s="536"/>
      <c r="AN344" s="536"/>
      <c r="AO344" s="536"/>
      <c r="AP344" s="536"/>
      <c r="AQ344" s="536"/>
      <c r="AR344" s="536"/>
      <c r="AS344" s="536"/>
      <c r="AT344" s="536"/>
      <c r="AU344" s="536"/>
      <c r="AV344" s="536"/>
      <c r="AW344" s="536"/>
      <c r="AX344" s="536"/>
      <c r="AY344" s="536"/>
      <c r="AZ344" s="536"/>
      <c r="BA344" s="536"/>
      <c r="BB344" s="536"/>
      <c r="BC344" s="536"/>
      <c r="BD344" s="536"/>
      <c r="BE344" s="536"/>
      <c r="BF344" s="536"/>
      <c r="BG344" s="536"/>
      <c r="BH344" s="536"/>
      <c r="BI344" s="536"/>
      <c r="BJ344" s="536"/>
      <c r="BK344" s="536"/>
      <c r="BL344" s="536"/>
      <c r="BM344" s="536"/>
      <c r="BN344" s="536"/>
      <c r="BO344" s="536"/>
      <c r="BP344" s="536"/>
      <c r="BQ344" s="536"/>
      <c r="BR344" s="536"/>
      <c r="BS344" s="536"/>
      <c r="BT344" s="536"/>
      <c r="BU344" s="536"/>
      <c r="BV344" s="536"/>
      <c r="BW344" s="536"/>
      <c r="BX344" s="536"/>
      <c r="BY344" s="536"/>
      <c r="BZ344" s="536"/>
      <c r="CA344" s="536"/>
      <c r="CB344" s="536"/>
      <c r="CC344" s="536"/>
      <c r="CD344" s="536"/>
    </row>
    <row r="345" spans="1:82" x14ac:dyDescent="0.2">
      <c r="A345" s="1187">
        <f t="shared" ref="A345:A408" si="104">A293</f>
        <v>1</v>
      </c>
      <c r="B345" s="1187">
        <f t="shared" si="101"/>
        <v>2016</v>
      </c>
      <c r="C345" s="552">
        <f t="shared" si="102"/>
        <v>42398</v>
      </c>
      <c r="D345" s="1187" t="str">
        <f t="shared" si="103"/>
        <v>1Q16</v>
      </c>
      <c r="E345" s="1188">
        <v>23.020005000000001</v>
      </c>
      <c r="F345" s="535"/>
      <c r="G345" s="536"/>
      <c r="H345" s="536"/>
      <c r="I345" s="536"/>
      <c r="J345" s="536"/>
      <c r="K345" s="536"/>
      <c r="L345" s="536"/>
      <c r="M345" s="536"/>
      <c r="N345" s="536"/>
      <c r="O345" s="536"/>
      <c r="P345" s="536"/>
      <c r="Q345" s="536"/>
      <c r="R345" s="536"/>
      <c r="S345" s="536"/>
      <c r="T345" s="536"/>
      <c r="U345" s="536"/>
      <c r="V345" s="536"/>
      <c r="W345" s="536"/>
      <c r="X345" s="536"/>
      <c r="Y345" s="536"/>
      <c r="Z345" s="536"/>
      <c r="AA345" s="536"/>
      <c r="AB345" s="536"/>
      <c r="AC345" s="536"/>
      <c r="AD345" s="536"/>
      <c r="AE345" s="536"/>
      <c r="AF345" s="536"/>
      <c r="AG345" s="536"/>
      <c r="AH345" s="536"/>
      <c r="AI345" s="536"/>
      <c r="AJ345" s="536"/>
      <c r="AK345" s="536"/>
      <c r="AL345" s="536"/>
      <c r="AM345" s="536"/>
      <c r="AN345" s="536"/>
      <c r="AO345" s="536"/>
      <c r="AP345" s="536"/>
      <c r="AQ345" s="536"/>
      <c r="AR345" s="536"/>
      <c r="AS345" s="536"/>
      <c r="AT345" s="536"/>
      <c r="AU345" s="536"/>
      <c r="AV345" s="536"/>
      <c r="AW345" s="536"/>
      <c r="AX345" s="536"/>
      <c r="AY345" s="536"/>
      <c r="AZ345" s="536"/>
      <c r="BA345" s="536"/>
      <c r="BB345" s="536"/>
      <c r="BC345" s="536"/>
      <c r="BD345" s="536"/>
      <c r="BE345" s="536"/>
      <c r="BF345" s="536"/>
      <c r="BG345" s="536"/>
      <c r="BH345" s="536"/>
      <c r="BI345" s="536"/>
      <c r="BJ345" s="536"/>
      <c r="BK345" s="536"/>
      <c r="BL345" s="536"/>
      <c r="BM345" s="536"/>
      <c r="BN345" s="536"/>
      <c r="BO345" s="536"/>
      <c r="BP345" s="536"/>
      <c r="BQ345" s="536"/>
      <c r="BR345" s="536"/>
      <c r="BS345" s="536"/>
      <c r="BT345" s="536"/>
      <c r="BU345" s="536"/>
      <c r="BV345" s="536"/>
      <c r="BW345" s="536"/>
      <c r="BX345" s="536"/>
      <c r="BY345" s="536"/>
      <c r="BZ345" s="536"/>
      <c r="CA345" s="536"/>
      <c r="CB345" s="536"/>
      <c r="CC345" s="536"/>
      <c r="CD345" s="536"/>
    </row>
    <row r="346" spans="1:82" x14ac:dyDescent="0.2">
      <c r="A346" s="1187">
        <f t="shared" si="104"/>
        <v>1</v>
      </c>
      <c r="B346" s="1187">
        <f t="shared" si="101"/>
        <v>2016</v>
      </c>
      <c r="C346" s="552">
        <f t="shared" si="102"/>
        <v>42405</v>
      </c>
      <c r="D346" s="1187" t="str">
        <f t="shared" si="103"/>
        <v>1Q16</v>
      </c>
      <c r="E346" s="1188">
        <v>22.830002</v>
      </c>
      <c r="F346" s="535"/>
      <c r="G346" s="536"/>
      <c r="H346" s="536"/>
      <c r="I346" s="536"/>
      <c r="J346" s="536"/>
      <c r="K346" s="536"/>
      <c r="L346" s="536"/>
      <c r="M346" s="536"/>
      <c r="N346" s="536"/>
      <c r="O346" s="536"/>
      <c r="P346" s="536"/>
      <c r="Q346" s="536"/>
      <c r="R346" s="536"/>
      <c r="S346" s="536"/>
      <c r="T346" s="536"/>
      <c r="U346" s="536"/>
      <c r="V346" s="536"/>
      <c r="W346" s="536"/>
      <c r="X346" s="536"/>
      <c r="Y346" s="536"/>
      <c r="Z346" s="536"/>
      <c r="AA346" s="536"/>
      <c r="AB346" s="536"/>
      <c r="AC346" s="536"/>
      <c r="AD346" s="536"/>
      <c r="AE346" s="536"/>
      <c r="AF346" s="536"/>
      <c r="AG346" s="536"/>
      <c r="AH346" s="536"/>
      <c r="AI346" s="536"/>
      <c r="AJ346" s="536"/>
      <c r="AK346" s="536"/>
      <c r="AL346" s="536"/>
      <c r="AM346" s="536"/>
      <c r="AN346" s="536"/>
      <c r="AO346" s="536"/>
      <c r="AP346" s="536"/>
      <c r="AQ346" s="536"/>
      <c r="AR346" s="536"/>
      <c r="AS346" s="536"/>
      <c r="AT346" s="536"/>
      <c r="AU346" s="536"/>
      <c r="AV346" s="536"/>
      <c r="AW346" s="536"/>
      <c r="AX346" s="536"/>
      <c r="AY346" s="536"/>
      <c r="AZ346" s="536"/>
      <c r="BA346" s="536"/>
      <c r="BB346" s="536"/>
      <c r="BC346" s="536"/>
      <c r="BD346" s="536"/>
      <c r="BE346" s="536"/>
      <c r="BF346" s="536"/>
      <c r="BG346" s="536"/>
      <c r="BH346" s="536"/>
      <c r="BI346" s="536"/>
      <c r="BJ346" s="536"/>
      <c r="BK346" s="536"/>
      <c r="BL346" s="536"/>
      <c r="BM346" s="536"/>
      <c r="BN346" s="536"/>
      <c r="BO346" s="536"/>
      <c r="BP346" s="536"/>
      <c r="BQ346" s="536"/>
      <c r="BR346" s="536"/>
      <c r="BS346" s="536"/>
      <c r="BT346" s="536"/>
      <c r="BU346" s="536"/>
      <c r="BV346" s="536"/>
      <c r="BW346" s="536"/>
      <c r="BX346" s="536"/>
      <c r="BY346" s="536"/>
      <c r="BZ346" s="536"/>
      <c r="CA346" s="536"/>
      <c r="CB346" s="536"/>
      <c r="CC346" s="536"/>
      <c r="CD346" s="536"/>
    </row>
    <row r="347" spans="1:82" x14ac:dyDescent="0.2">
      <c r="A347" s="1187">
        <f t="shared" si="104"/>
        <v>1</v>
      </c>
      <c r="B347" s="1187">
        <f t="shared" si="101"/>
        <v>2016</v>
      </c>
      <c r="C347" s="552">
        <f t="shared" si="102"/>
        <v>42412</v>
      </c>
      <c r="D347" s="1187" t="str">
        <f t="shared" si="103"/>
        <v>1Q16</v>
      </c>
      <c r="E347" s="1188">
        <v>24.190003000000001</v>
      </c>
      <c r="F347" s="535"/>
      <c r="G347" s="536"/>
      <c r="H347" s="536"/>
      <c r="I347" s="536"/>
      <c r="J347" s="536"/>
      <c r="K347" s="536"/>
      <c r="L347" s="536"/>
      <c r="M347" s="536"/>
      <c r="N347" s="536"/>
      <c r="O347" s="536"/>
      <c r="P347" s="536"/>
      <c r="Q347" s="536"/>
      <c r="R347" s="536"/>
      <c r="S347" s="536"/>
      <c r="T347" s="536"/>
      <c r="U347" s="536"/>
      <c r="V347" s="536"/>
      <c r="W347" s="536"/>
      <c r="X347" s="536"/>
      <c r="Y347" s="536"/>
      <c r="Z347" s="536"/>
      <c r="AA347" s="536"/>
      <c r="AB347" s="536"/>
      <c r="AC347" s="536"/>
      <c r="AD347" s="536"/>
      <c r="AE347" s="536"/>
      <c r="AF347" s="536"/>
      <c r="AG347" s="536"/>
      <c r="AH347" s="536"/>
      <c r="AI347" s="536"/>
      <c r="AJ347" s="536"/>
      <c r="AK347" s="536"/>
      <c r="AL347" s="536"/>
      <c r="AM347" s="536"/>
      <c r="AN347" s="536"/>
      <c r="AO347" s="536"/>
      <c r="AP347" s="536"/>
      <c r="AQ347" s="536"/>
      <c r="AR347" s="536"/>
      <c r="AS347" s="536"/>
      <c r="AT347" s="536"/>
      <c r="AU347" s="536"/>
      <c r="AV347" s="536"/>
      <c r="AW347" s="536"/>
      <c r="AX347" s="536"/>
      <c r="AY347" s="536"/>
      <c r="AZ347" s="536"/>
      <c r="BA347" s="536"/>
      <c r="BB347" s="536"/>
      <c r="BC347" s="536"/>
      <c r="BD347" s="536"/>
      <c r="BE347" s="536"/>
      <c r="BF347" s="536"/>
      <c r="BG347" s="536"/>
      <c r="BH347" s="536"/>
      <c r="BI347" s="536"/>
      <c r="BJ347" s="536"/>
      <c r="BK347" s="536"/>
      <c r="BL347" s="536"/>
      <c r="BM347" s="536"/>
      <c r="BN347" s="536"/>
      <c r="BO347" s="536"/>
      <c r="BP347" s="536"/>
      <c r="BQ347" s="536"/>
      <c r="BR347" s="536"/>
      <c r="BS347" s="536"/>
      <c r="BT347" s="536"/>
      <c r="BU347" s="536"/>
      <c r="BV347" s="536"/>
      <c r="BW347" s="536"/>
      <c r="BX347" s="536"/>
      <c r="BY347" s="536"/>
      <c r="BZ347" s="536"/>
      <c r="CA347" s="536"/>
      <c r="CB347" s="536"/>
      <c r="CC347" s="536"/>
      <c r="CD347" s="536"/>
    </row>
    <row r="348" spans="1:82" x14ac:dyDescent="0.2">
      <c r="A348" s="1187">
        <f t="shared" si="104"/>
        <v>1</v>
      </c>
      <c r="B348" s="1187">
        <f t="shared" si="101"/>
        <v>2016</v>
      </c>
      <c r="C348" s="552">
        <f t="shared" si="102"/>
        <v>42419</v>
      </c>
      <c r="D348" s="1187" t="str">
        <f t="shared" si="103"/>
        <v>1Q16</v>
      </c>
      <c r="E348" s="1188">
        <v>24.509995</v>
      </c>
      <c r="F348" s="535"/>
      <c r="G348" s="536"/>
      <c r="H348" s="536"/>
      <c r="I348" s="536"/>
      <c r="J348" s="536"/>
      <c r="K348" s="536"/>
      <c r="L348" s="536"/>
      <c r="M348" s="536"/>
      <c r="N348" s="536"/>
      <c r="O348" s="536"/>
      <c r="P348" s="536"/>
      <c r="Q348" s="536"/>
      <c r="R348" s="536"/>
      <c r="S348" s="536"/>
      <c r="T348" s="536"/>
      <c r="U348" s="536"/>
      <c r="V348" s="536"/>
      <c r="W348" s="536"/>
      <c r="X348" s="536"/>
      <c r="Y348" s="536"/>
      <c r="Z348" s="536"/>
      <c r="AA348" s="536"/>
      <c r="AB348" s="536"/>
      <c r="AC348" s="536"/>
      <c r="AD348" s="536"/>
      <c r="AE348" s="536"/>
      <c r="AF348" s="536"/>
      <c r="AG348" s="536"/>
      <c r="AH348" s="536"/>
      <c r="AI348" s="536"/>
      <c r="AJ348" s="536"/>
      <c r="AK348" s="536"/>
      <c r="AL348" s="536"/>
      <c r="AM348" s="536"/>
      <c r="AN348" s="536"/>
      <c r="AO348" s="536"/>
      <c r="AP348" s="536"/>
      <c r="AQ348" s="536"/>
      <c r="AR348" s="536"/>
      <c r="AS348" s="536"/>
      <c r="AT348" s="536"/>
      <c r="AU348" s="536"/>
      <c r="AV348" s="536"/>
      <c r="AW348" s="536"/>
      <c r="AX348" s="536"/>
      <c r="AY348" s="536"/>
      <c r="AZ348" s="536"/>
      <c r="BA348" s="536"/>
      <c r="BB348" s="536"/>
      <c r="BC348" s="536"/>
      <c r="BD348" s="536"/>
      <c r="BE348" s="536"/>
      <c r="BF348" s="536"/>
      <c r="BG348" s="536"/>
      <c r="BH348" s="536"/>
      <c r="BI348" s="536"/>
      <c r="BJ348" s="536"/>
      <c r="BK348" s="536"/>
      <c r="BL348" s="536"/>
      <c r="BM348" s="536"/>
      <c r="BN348" s="536"/>
      <c r="BO348" s="536"/>
      <c r="BP348" s="536"/>
      <c r="BQ348" s="536"/>
      <c r="BR348" s="536"/>
      <c r="BS348" s="536"/>
      <c r="BT348" s="536"/>
      <c r="BU348" s="536"/>
      <c r="BV348" s="536"/>
      <c r="BW348" s="536"/>
      <c r="BX348" s="536"/>
      <c r="BY348" s="536"/>
      <c r="BZ348" s="536"/>
      <c r="CA348" s="536"/>
      <c r="CB348" s="536"/>
      <c r="CC348" s="536"/>
      <c r="CD348" s="536"/>
    </row>
    <row r="349" spans="1:82" x14ac:dyDescent="0.2">
      <c r="A349" s="1187">
        <f t="shared" si="104"/>
        <v>1</v>
      </c>
      <c r="B349" s="1187">
        <f t="shared" si="101"/>
        <v>2016</v>
      </c>
      <c r="C349" s="552">
        <f t="shared" si="102"/>
        <v>42426</v>
      </c>
      <c r="D349" s="1187" t="str">
        <f t="shared" si="103"/>
        <v>1Q16</v>
      </c>
      <c r="E349" s="1188">
        <v>24.309998</v>
      </c>
      <c r="F349" s="535"/>
      <c r="G349" s="536"/>
      <c r="H349" s="536"/>
      <c r="I349" s="536"/>
      <c r="J349" s="536"/>
      <c r="K349" s="536"/>
      <c r="L349" s="536"/>
      <c r="M349" s="536"/>
      <c r="N349" s="536"/>
      <c r="O349" s="536"/>
      <c r="P349" s="536"/>
      <c r="Q349" s="536"/>
      <c r="R349" s="536"/>
      <c r="S349" s="536"/>
      <c r="T349" s="536"/>
      <c r="U349" s="536"/>
      <c r="V349" s="536"/>
      <c r="W349" s="536"/>
      <c r="X349" s="536"/>
      <c r="Y349" s="536"/>
      <c r="Z349" s="536"/>
      <c r="AA349" s="536"/>
      <c r="AB349" s="536"/>
      <c r="AC349" s="536"/>
      <c r="AD349" s="536"/>
      <c r="AE349" s="536"/>
      <c r="AF349" s="536"/>
      <c r="AG349" s="536"/>
      <c r="AH349" s="536"/>
      <c r="AI349" s="536"/>
      <c r="AJ349" s="536"/>
      <c r="AK349" s="536"/>
      <c r="AL349" s="536"/>
      <c r="AM349" s="536"/>
      <c r="AN349" s="536"/>
      <c r="AO349" s="536"/>
      <c r="AP349" s="536"/>
      <c r="AQ349" s="536"/>
      <c r="AR349" s="536"/>
      <c r="AS349" s="536"/>
      <c r="AT349" s="536"/>
      <c r="AU349" s="536"/>
      <c r="AV349" s="536"/>
      <c r="AW349" s="536"/>
      <c r="AX349" s="536"/>
      <c r="AY349" s="536"/>
      <c r="AZ349" s="536"/>
      <c r="BA349" s="536"/>
      <c r="BB349" s="536"/>
      <c r="BC349" s="536"/>
      <c r="BD349" s="536"/>
      <c r="BE349" s="536"/>
      <c r="BF349" s="536"/>
      <c r="BG349" s="536"/>
      <c r="BH349" s="536"/>
      <c r="BI349" s="536"/>
      <c r="BJ349" s="536"/>
      <c r="BK349" s="536"/>
      <c r="BL349" s="536"/>
      <c r="BM349" s="536"/>
      <c r="BN349" s="536"/>
      <c r="BO349" s="536"/>
      <c r="BP349" s="536"/>
      <c r="BQ349" s="536"/>
      <c r="BR349" s="536"/>
      <c r="BS349" s="536"/>
      <c r="BT349" s="536"/>
      <c r="BU349" s="536"/>
      <c r="BV349" s="536"/>
      <c r="BW349" s="536"/>
      <c r="BX349" s="536"/>
      <c r="BY349" s="536"/>
      <c r="BZ349" s="536"/>
      <c r="CA349" s="536"/>
      <c r="CB349" s="536"/>
      <c r="CC349" s="536"/>
      <c r="CD349" s="536"/>
    </row>
    <row r="350" spans="1:82" x14ac:dyDescent="0.2">
      <c r="A350" s="1187">
        <f t="shared" si="104"/>
        <v>1</v>
      </c>
      <c r="B350" s="1187">
        <f t="shared" si="101"/>
        <v>2016</v>
      </c>
      <c r="C350" s="552">
        <f t="shared" si="102"/>
        <v>42433</v>
      </c>
      <c r="D350" s="1187" t="str">
        <f t="shared" si="103"/>
        <v>1Q16</v>
      </c>
      <c r="E350" s="1188">
        <v>25.229996</v>
      </c>
      <c r="F350" s="535"/>
      <c r="G350" s="536"/>
      <c r="H350" s="536"/>
      <c r="I350" s="536"/>
      <c r="J350" s="536"/>
      <c r="K350" s="536"/>
      <c r="L350" s="536"/>
      <c r="M350" s="536"/>
      <c r="N350" s="536"/>
      <c r="O350" s="536"/>
      <c r="P350" s="536"/>
      <c r="Q350" s="536"/>
      <c r="R350" s="536"/>
      <c r="S350" s="536"/>
      <c r="T350" s="536"/>
      <c r="U350" s="536"/>
      <c r="V350" s="536"/>
      <c r="W350" s="536"/>
      <c r="X350" s="536"/>
      <c r="Y350" s="536"/>
      <c r="Z350" s="536"/>
      <c r="AA350" s="536"/>
      <c r="AB350" s="536"/>
      <c r="AC350" s="536"/>
      <c r="AD350" s="536"/>
      <c r="AE350" s="536"/>
      <c r="AF350" s="536"/>
      <c r="AG350" s="536"/>
      <c r="AH350" s="536"/>
      <c r="AI350" s="536"/>
      <c r="AJ350" s="536"/>
      <c r="AK350" s="536"/>
      <c r="AL350" s="536"/>
      <c r="AM350" s="536"/>
      <c r="AN350" s="536"/>
      <c r="AO350" s="536"/>
      <c r="AP350" s="536"/>
      <c r="AQ350" s="536"/>
      <c r="AR350" s="536"/>
      <c r="AS350" s="536"/>
      <c r="AT350" s="536"/>
      <c r="AU350" s="536"/>
      <c r="AV350" s="536"/>
      <c r="AW350" s="536"/>
      <c r="AX350" s="536"/>
      <c r="AY350" s="536"/>
      <c r="AZ350" s="536"/>
      <c r="BA350" s="536"/>
      <c r="BB350" s="536"/>
      <c r="BC350" s="536"/>
      <c r="BD350" s="536"/>
      <c r="BE350" s="536"/>
      <c r="BF350" s="536"/>
      <c r="BG350" s="536"/>
      <c r="BH350" s="536"/>
      <c r="BI350" s="536"/>
      <c r="BJ350" s="536"/>
      <c r="BK350" s="536"/>
      <c r="BL350" s="536"/>
      <c r="BM350" s="536"/>
      <c r="BN350" s="536"/>
      <c r="BO350" s="536"/>
      <c r="BP350" s="536"/>
      <c r="BQ350" s="536"/>
      <c r="BR350" s="536"/>
      <c r="BS350" s="536"/>
      <c r="BT350" s="536"/>
      <c r="BU350" s="536"/>
      <c r="BV350" s="536"/>
      <c r="BW350" s="536"/>
      <c r="BX350" s="536"/>
      <c r="BY350" s="536"/>
      <c r="BZ350" s="536"/>
      <c r="CA350" s="536"/>
      <c r="CB350" s="536"/>
      <c r="CC350" s="536"/>
      <c r="CD350" s="536"/>
    </row>
    <row r="351" spans="1:82" x14ac:dyDescent="0.2">
      <c r="A351" s="1187">
        <f t="shared" si="104"/>
        <v>1</v>
      </c>
      <c r="B351" s="1187">
        <f t="shared" si="101"/>
        <v>2016</v>
      </c>
      <c r="C351" s="552">
        <f t="shared" si="102"/>
        <v>42440</v>
      </c>
      <c r="D351" s="1187" t="str">
        <f t="shared" si="103"/>
        <v>1Q16</v>
      </c>
      <c r="E351" s="1188">
        <v>26.100007000000002</v>
      </c>
      <c r="F351" s="535"/>
      <c r="G351" s="536"/>
      <c r="H351" s="536"/>
      <c r="I351" s="536"/>
      <c r="J351" s="536"/>
      <c r="K351" s="536"/>
      <c r="L351" s="536"/>
      <c r="M351" s="536"/>
      <c r="N351" s="536"/>
      <c r="O351" s="536"/>
      <c r="P351" s="536"/>
      <c r="Q351" s="536"/>
      <c r="R351" s="536"/>
      <c r="S351" s="536"/>
      <c r="T351" s="536"/>
      <c r="U351" s="536"/>
      <c r="V351" s="536"/>
      <c r="W351" s="536"/>
      <c r="X351" s="536"/>
      <c r="Y351" s="536"/>
      <c r="Z351" s="536"/>
      <c r="AA351" s="536"/>
      <c r="AB351" s="536"/>
      <c r="AC351" s="536"/>
      <c r="AD351" s="536"/>
      <c r="AE351" s="536"/>
      <c r="AF351" s="536"/>
      <c r="AG351" s="536"/>
      <c r="AH351" s="536"/>
      <c r="AI351" s="536"/>
      <c r="AJ351" s="536"/>
      <c r="AK351" s="536"/>
      <c r="AL351" s="536"/>
      <c r="AM351" s="536"/>
      <c r="AN351" s="536"/>
      <c r="AO351" s="536"/>
      <c r="AP351" s="536"/>
      <c r="AQ351" s="536"/>
      <c r="AR351" s="536"/>
      <c r="AS351" s="536"/>
      <c r="AT351" s="536"/>
      <c r="AU351" s="536"/>
      <c r="AV351" s="536"/>
      <c r="AW351" s="536"/>
      <c r="AX351" s="536"/>
      <c r="AY351" s="536"/>
      <c r="AZ351" s="536"/>
      <c r="BA351" s="536"/>
      <c r="BB351" s="536"/>
      <c r="BC351" s="536"/>
      <c r="BD351" s="536"/>
      <c r="BE351" s="536"/>
      <c r="BF351" s="536"/>
      <c r="BG351" s="536"/>
      <c r="BH351" s="536"/>
      <c r="BI351" s="536"/>
      <c r="BJ351" s="536"/>
      <c r="BK351" s="536"/>
      <c r="BL351" s="536"/>
      <c r="BM351" s="536"/>
      <c r="BN351" s="536"/>
      <c r="BO351" s="536"/>
      <c r="BP351" s="536"/>
      <c r="BQ351" s="536"/>
      <c r="BR351" s="536"/>
      <c r="BS351" s="536"/>
      <c r="BT351" s="536"/>
      <c r="BU351" s="536"/>
      <c r="BV351" s="536"/>
      <c r="BW351" s="536"/>
      <c r="BX351" s="536"/>
      <c r="BY351" s="536"/>
      <c r="BZ351" s="536"/>
      <c r="CA351" s="536"/>
      <c r="CB351" s="536"/>
      <c r="CC351" s="536"/>
      <c r="CD351" s="536"/>
    </row>
    <row r="352" spans="1:82" x14ac:dyDescent="0.2">
      <c r="A352" s="1187">
        <f t="shared" si="104"/>
        <v>1</v>
      </c>
      <c r="B352" s="1187">
        <f t="shared" si="101"/>
        <v>2016</v>
      </c>
      <c r="C352" s="552">
        <f t="shared" si="102"/>
        <v>42447</v>
      </c>
      <c r="D352" s="1187" t="str">
        <f t="shared" si="103"/>
        <v>1Q16</v>
      </c>
      <c r="E352" s="1188">
        <v>27.020005000000001</v>
      </c>
      <c r="F352" s="535"/>
      <c r="G352" s="536"/>
      <c r="H352" s="536"/>
      <c r="I352" s="536"/>
      <c r="J352" s="536"/>
      <c r="K352" s="536"/>
      <c r="L352" s="536"/>
      <c r="M352" s="536"/>
      <c r="N352" s="536"/>
      <c r="O352" s="536"/>
      <c r="P352" s="536"/>
      <c r="Q352" s="536"/>
      <c r="R352" s="536"/>
      <c r="S352" s="536"/>
      <c r="T352" s="536"/>
      <c r="U352" s="536"/>
      <c r="V352" s="536"/>
      <c r="W352" s="536"/>
      <c r="X352" s="536"/>
      <c r="Y352" s="536"/>
      <c r="Z352" s="536"/>
      <c r="AA352" s="536"/>
      <c r="AB352" s="536"/>
      <c r="AC352" s="536"/>
      <c r="AD352" s="536"/>
      <c r="AE352" s="536"/>
      <c r="AF352" s="536"/>
      <c r="AG352" s="536"/>
      <c r="AH352" s="536"/>
      <c r="AI352" s="536"/>
      <c r="AJ352" s="536"/>
      <c r="AK352" s="536"/>
      <c r="AL352" s="536"/>
      <c r="AM352" s="536"/>
      <c r="AN352" s="536"/>
      <c r="AO352" s="536"/>
      <c r="AP352" s="536"/>
      <c r="AQ352" s="536"/>
      <c r="AR352" s="536"/>
      <c r="AS352" s="536"/>
      <c r="AT352" s="536"/>
      <c r="AU352" s="536"/>
      <c r="AV352" s="536"/>
      <c r="AW352" s="536"/>
      <c r="AX352" s="536"/>
      <c r="AY352" s="536"/>
      <c r="AZ352" s="536"/>
      <c r="BA352" s="536"/>
      <c r="BB352" s="536"/>
      <c r="BC352" s="536"/>
      <c r="BD352" s="536"/>
      <c r="BE352" s="536"/>
      <c r="BF352" s="536"/>
      <c r="BG352" s="536"/>
      <c r="BH352" s="536"/>
      <c r="BI352" s="536"/>
      <c r="BJ352" s="536"/>
      <c r="BK352" s="536"/>
      <c r="BL352" s="536"/>
      <c r="BM352" s="536"/>
      <c r="BN352" s="536"/>
      <c r="BO352" s="536"/>
      <c r="BP352" s="536"/>
      <c r="BQ352" s="536"/>
      <c r="BR352" s="536"/>
      <c r="BS352" s="536"/>
      <c r="BT352" s="536"/>
      <c r="BU352" s="536"/>
      <c r="BV352" s="536"/>
      <c r="BW352" s="536"/>
      <c r="BX352" s="536"/>
      <c r="BY352" s="536"/>
      <c r="BZ352" s="536"/>
      <c r="CA352" s="536"/>
      <c r="CB352" s="536"/>
      <c r="CC352" s="536"/>
      <c r="CD352" s="536"/>
    </row>
    <row r="353" spans="1:82" x14ac:dyDescent="0.2">
      <c r="A353" s="1187">
        <f t="shared" si="104"/>
        <v>1</v>
      </c>
      <c r="B353" s="1187">
        <f t="shared" si="101"/>
        <v>2016</v>
      </c>
      <c r="C353" s="552">
        <f t="shared" si="102"/>
        <v>42454</v>
      </c>
      <c r="D353" s="1187" t="str">
        <f t="shared" si="103"/>
        <v>1Q16</v>
      </c>
      <c r="E353" s="1188">
        <v>26.169999000000001</v>
      </c>
      <c r="F353" s="535"/>
      <c r="G353" s="536"/>
      <c r="H353" s="536"/>
      <c r="I353" s="536"/>
      <c r="J353" s="536"/>
      <c r="K353" s="536"/>
      <c r="L353" s="536"/>
      <c r="M353" s="536"/>
      <c r="N353" s="536"/>
      <c r="O353" s="536"/>
      <c r="P353" s="536"/>
      <c r="Q353" s="536"/>
      <c r="R353" s="536"/>
      <c r="S353" s="536"/>
      <c r="T353" s="536"/>
      <c r="U353" s="536"/>
      <c r="V353" s="536"/>
      <c r="W353" s="536"/>
      <c r="X353" s="536"/>
      <c r="Y353" s="536"/>
      <c r="Z353" s="536"/>
      <c r="AA353" s="536"/>
      <c r="AB353" s="536"/>
      <c r="AC353" s="536"/>
      <c r="AD353" s="536"/>
      <c r="AE353" s="536"/>
      <c r="AF353" s="536"/>
      <c r="AG353" s="536"/>
      <c r="AH353" s="536"/>
      <c r="AI353" s="536"/>
      <c r="AJ353" s="536"/>
      <c r="AK353" s="536"/>
      <c r="AL353" s="536"/>
      <c r="AM353" s="536"/>
      <c r="AN353" s="536"/>
      <c r="AO353" s="536"/>
      <c r="AP353" s="536"/>
      <c r="AQ353" s="536"/>
      <c r="AR353" s="536"/>
      <c r="AS353" s="536"/>
      <c r="AT353" s="536"/>
      <c r="AU353" s="536"/>
      <c r="AV353" s="536"/>
      <c r="AW353" s="536"/>
      <c r="AX353" s="536"/>
      <c r="AY353" s="536"/>
      <c r="AZ353" s="536"/>
      <c r="BA353" s="536"/>
      <c r="BB353" s="536"/>
      <c r="BC353" s="536"/>
      <c r="BD353" s="536"/>
      <c r="BE353" s="536"/>
      <c r="BF353" s="536"/>
      <c r="BG353" s="536"/>
      <c r="BH353" s="536"/>
      <c r="BI353" s="536"/>
      <c r="BJ353" s="536"/>
      <c r="BK353" s="536"/>
      <c r="BL353" s="536"/>
      <c r="BM353" s="536"/>
      <c r="BN353" s="536"/>
      <c r="BO353" s="536"/>
      <c r="BP353" s="536"/>
      <c r="BQ353" s="536"/>
      <c r="BR353" s="536"/>
      <c r="BS353" s="536"/>
      <c r="BT353" s="536"/>
      <c r="BU353" s="536"/>
      <c r="BV353" s="536"/>
      <c r="BW353" s="536"/>
      <c r="BX353" s="536"/>
      <c r="BY353" s="536"/>
      <c r="BZ353" s="536"/>
      <c r="CA353" s="536"/>
      <c r="CB353" s="536"/>
      <c r="CC353" s="536"/>
      <c r="CD353" s="536"/>
    </row>
    <row r="354" spans="1:82" x14ac:dyDescent="0.2">
      <c r="A354" s="1187">
        <f t="shared" si="104"/>
        <v>2</v>
      </c>
      <c r="B354" s="1187">
        <f t="shared" si="101"/>
        <v>2016</v>
      </c>
      <c r="C354" s="552">
        <f t="shared" si="102"/>
        <v>42461</v>
      </c>
      <c r="D354" s="1187" t="str">
        <f t="shared" si="103"/>
        <v>2Q16</v>
      </c>
      <c r="E354" s="1188">
        <v>25.619996</v>
      </c>
      <c r="F354" s="535"/>
      <c r="G354" s="536"/>
      <c r="H354" s="536"/>
      <c r="I354" s="536"/>
      <c r="J354" s="536"/>
      <c r="K354" s="536"/>
      <c r="L354" s="536"/>
      <c r="M354" s="536"/>
      <c r="N354" s="536"/>
      <c r="O354" s="536"/>
      <c r="P354" s="536"/>
      <c r="Q354" s="536"/>
      <c r="R354" s="536"/>
      <c r="S354" s="536"/>
      <c r="T354" s="536"/>
      <c r="U354" s="536"/>
      <c r="V354" s="536"/>
      <c r="W354" s="536"/>
      <c r="X354" s="536"/>
      <c r="Y354" s="536"/>
      <c r="Z354" s="536"/>
      <c r="AA354" s="536"/>
      <c r="AB354" s="536"/>
      <c r="AC354" s="536"/>
      <c r="AD354" s="536"/>
      <c r="AE354" s="536"/>
      <c r="AF354" s="536"/>
      <c r="AG354" s="536"/>
      <c r="AH354" s="536"/>
      <c r="AI354" s="536"/>
      <c r="AJ354" s="536"/>
      <c r="AK354" s="536"/>
      <c r="AL354" s="536"/>
      <c r="AM354" s="536"/>
      <c r="AN354" s="536"/>
      <c r="AO354" s="536"/>
      <c r="AP354" s="536"/>
      <c r="AQ354" s="536"/>
      <c r="AR354" s="536"/>
      <c r="AS354" s="536"/>
      <c r="AT354" s="536"/>
      <c r="AU354" s="536"/>
      <c r="AV354" s="536"/>
      <c r="AW354" s="536"/>
      <c r="AX354" s="536"/>
      <c r="AY354" s="536"/>
      <c r="AZ354" s="536"/>
      <c r="BA354" s="536"/>
      <c r="BB354" s="536"/>
      <c r="BC354" s="536"/>
      <c r="BD354" s="536"/>
      <c r="BE354" s="536"/>
      <c r="BF354" s="536"/>
      <c r="BG354" s="536"/>
      <c r="BH354" s="536"/>
      <c r="BI354" s="536"/>
      <c r="BJ354" s="536"/>
      <c r="BK354" s="536"/>
      <c r="BL354" s="536"/>
      <c r="BM354" s="536"/>
      <c r="BN354" s="536"/>
      <c r="BO354" s="536"/>
      <c r="BP354" s="536"/>
      <c r="BQ354" s="536"/>
      <c r="BR354" s="536"/>
      <c r="BS354" s="536"/>
      <c r="BT354" s="536"/>
      <c r="BU354" s="536"/>
      <c r="BV354" s="536"/>
      <c r="BW354" s="536"/>
      <c r="BX354" s="536"/>
      <c r="BY354" s="536"/>
      <c r="BZ354" s="536"/>
      <c r="CA354" s="536"/>
      <c r="CB354" s="536"/>
      <c r="CC354" s="536"/>
      <c r="CD354" s="536"/>
    </row>
    <row r="355" spans="1:82" x14ac:dyDescent="0.2">
      <c r="A355" s="1187">
        <f t="shared" si="104"/>
        <v>2</v>
      </c>
      <c r="B355" s="1187">
        <f t="shared" si="101"/>
        <v>2016</v>
      </c>
      <c r="C355" s="552">
        <f t="shared" si="102"/>
        <v>42468</v>
      </c>
      <c r="D355" s="1187" t="str">
        <f t="shared" si="103"/>
        <v>2Q16</v>
      </c>
      <c r="E355" s="1188">
        <v>24.800004000000001</v>
      </c>
      <c r="F355" s="535"/>
      <c r="G355" s="536"/>
      <c r="H355" s="536"/>
      <c r="I355" s="536"/>
      <c r="J355" s="536"/>
      <c r="K355" s="536"/>
      <c r="L355" s="536"/>
      <c r="M355" s="536"/>
      <c r="N355" s="536"/>
      <c r="O355" s="536"/>
      <c r="P355" s="536"/>
      <c r="Q355" s="536"/>
      <c r="R355" s="536"/>
      <c r="S355" s="536"/>
      <c r="T355" s="536"/>
      <c r="U355" s="536"/>
      <c r="V355" s="536"/>
      <c r="W355" s="536"/>
      <c r="X355" s="536"/>
      <c r="Y355" s="536"/>
      <c r="Z355" s="536"/>
      <c r="AA355" s="536"/>
      <c r="AB355" s="536"/>
      <c r="AC355" s="536"/>
      <c r="AD355" s="536"/>
      <c r="AE355" s="536"/>
      <c r="AF355" s="536"/>
      <c r="AG355" s="536"/>
      <c r="AH355" s="536"/>
      <c r="AI355" s="536"/>
      <c r="AJ355" s="536"/>
      <c r="AK355" s="536"/>
      <c r="AL355" s="536"/>
      <c r="AM355" s="536"/>
      <c r="AN355" s="536"/>
      <c r="AO355" s="536"/>
      <c r="AP355" s="536"/>
      <c r="AQ355" s="536"/>
      <c r="AR355" s="536"/>
      <c r="AS355" s="536"/>
      <c r="AT355" s="536"/>
      <c r="AU355" s="536"/>
      <c r="AV355" s="536"/>
      <c r="AW355" s="536"/>
      <c r="AX355" s="536"/>
      <c r="AY355" s="536"/>
      <c r="AZ355" s="536"/>
      <c r="BA355" s="536"/>
      <c r="BB355" s="536"/>
      <c r="BC355" s="536"/>
      <c r="BD355" s="536"/>
      <c r="BE355" s="536"/>
      <c r="BF355" s="536"/>
      <c r="BG355" s="536"/>
      <c r="BH355" s="536"/>
      <c r="BI355" s="536"/>
      <c r="BJ355" s="536"/>
      <c r="BK355" s="536"/>
      <c r="BL355" s="536"/>
      <c r="BM355" s="536"/>
      <c r="BN355" s="536"/>
      <c r="BO355" s="536"/>
      <c r="BP355" s="536"/>
      <c r="BQ355" s="536"/>
      <c r="BR355" s="536"/>
      <c r="BS355" s="536"/>
      <c r="BT355" s="536"/>
      <c r="BU355" s="536"/>
      <c r="BV355" s="536"/>
      <c r="BW355" s="536"/>
      <c r="BX355" s="536"/>
      <c r="BY355" s="536"/>
      <c r="BZ355" s="536"/>
      <c r="CA355" s="536"/>
      <c r="CB355" s="536"/>
      <c r="CC355" s="536"/>
      <c r="CD355" s="536"/>
    </row>
    <row r="356" spans="1:82" x14ac:dyDescent="0.2">
      <c r="A356" s="1187">
        <f t="shared" si="104"/>
        <v>2</v>
      </c>
      <c r="B356" s="1187">
        <f t="shared" si="101"/>
        <v>2016</v>
      </c>
      <c r="C356" s="552">
        <f t="shared" si="102"/>
        <v>42475</v>
      </c>
      <c r="D356" s="1187" t="str">
        <f t="shared" si="103"/>
        <v>2Q16</v>
      </c>
      <c r="E356" s="1188">
        <v>25.929993</v>
      </c>
      <c r="F356" s="535"/>
      <c r="G356" s="536"/>
      <c r="H356" s="536"/>
      <c r="I356" s="536"/>
      <c r="J356" s="536"/>
      <c r="K356" s="536"/>
      <c r="L356" s="536"/>
      <c r="M356" s="536"/>
      <c r="N356" s="536"/>
      <c r="O356" s="536"/>
      <c r="P356" s="536"/>
      <c r="Q356" s="536"/>
      <c r="R356" s="536"/>
      <c r="S356" s="536"/>
      <c r="T356" s="536"/>
      <c r="U356" s="536"/>
      <c r="V356" s="536"/>
      <c r="W356" s="536"/>
      <c r="X356" s="536"/>
      <c r="Y356" s="536"/>
      <c r="Z356" s="536"/>
      <c r="AA356" s="536"/>
      <c r="AB356" s="536"/>
      <c r="AC356" s="536"/>
      <c r="AD356" s="536"/>
      <c r="AE356" s="536"/>
      <c r="AF356" s="536"/>
      <c r="AG356" s="536"/>
      <c r="AH356" s="536"/>
      <c r="AI356" s="536"/>
      <c r="AJ356" s="536"/>
      <c r="AK356" s="536"/>
      <c r="AL356" s="536"/>
      <c r="AM356" s="536"/>
      <c r="AN356" s="536"/>
      <c r="AO356" s="536"/>
      <c r="AP356" s="536"/>
      <c r="AQ356" s="536"/>
      <c r="AR356" s="536"/>
      <c r="AS356" s="536"/>
      <c r="AT356" s="536"/>
      <c r="AU356" s="536"/>
      <c r="AV356" s="536"/>
      <c r="AW356" s="536"/>
      <c r="AX356" s="536"/>
      <c r="AY356" s="536"/>
      <c r="AZ356" s="536"/>
      <c r="BA356" s="536"/>
      <c r="BB356" s="536"/>
      <c r="BC356" s="536"/>
      <c r="BD356" s="536"/>
      <c r="BE356" s="536"/>
      <c r="BF356" s="536"/>
      <c r="BG356" s="536"/>
      <c r="BH356" s="536"/>
      <c r="BI356" s="536"/>
      <c r="BJ356" s="536"/>
      <c r="BK356" s="536"/>
      <c r="BL356" s="536"/>
      <c r="BM356" s="536"/>
      <c r="BN356" s="536"/>
      <c r="BO356" s="536"/>
      <c r="BP356" s="536"/>
      <c r="BQ356" s="536"/>
      <c r="BR356" s="536"/>
      <c r="BS356" s="536"/>
      <c r="BT356" s="536"/>
      <c r="BU356" s="536"/>
      <c r="BV356" s="536"/>
      <c r="BW356" s="536"/>
      <c r="BX356" s="536"/>
      <c r="BY356" s="536"/>
      <c r="BZ356" s="536"/>
      <c r="CA356" s="536"/>
      <c r="CB356" s="536"/>
      <c r="CC356" s="536"/>
      <c r="CD356" s="536"/>
    </row>
    <row r="357" spans="1:82" x14ac:dyDescent="0.2">
      <c r="A357" s="1187">
        <f t="shared" si="104"/>
        <v>2</v>
      </c>
      <c r="B357" s="1187">
        <f t="shared" si="101"/>
        <v>2016</v>
      </c>
      <c r="C357" s="552">
        <f t="shared" si="102"/>
        <v>42482</v>
      </c>
      <c r="D357" s="1187" t="str">
        <f t="shared" si="103"/>
        <v>2Q16</v>
      </c>
      <c r="E357" s="1188">
        <v>27.529999</v>
      </c>
      <c r="F357" s="535"/>
      <c r="G357" s="536"/>
      <c r="H357" s="536"/>
      <c r="I357" s="536"/>
      <c r="J357" s="536"/>
      <c r="K357" s="536"/>
      <c r="L357" s="536"/>
      <c r="M357" s="536"/>
      <c r="N357" s="536"/>
      <c r="O357" s="536"/>
      <c r="P357" s="536"/>
      <c r="Q357" s="536"/>
      <c r="R357" s="536"/>
      <c r="S357" s="536"/>
      <c r="T357" s="536"/>
      <c r="U357" s="536"/>
      <c r="V357" s="536"/>
      <c r="W357" s="536"/>
      <c r="X357" s="536"/>
      <c r="Y357" s="536"/>
      <c r="Z357" s="536"/>
      <c r="AA357" s="536"/>
      <c r="AB357" s="536"/>
      <c r="AC357" s="536"/>
      <c r="AD357" s="536"/>
      <c r="AE357" s="536"/>
      <c r="AF357" s="536"/>
      <c r="AG357" s="536"/>
      <c r="AH357" s="536"/>
      <c r="AI357" s="536"/>
      <c r="AJ357" s="536"/>
      <c r="AK357" s="536"/>
      <c r="AL357" s="536"/>
      <c r="AM357" s="536"/>
      <c r="AN357" s="536"/>
      <c r="AO357" s="536"/>
      <c r="AP357" s="536"/>
      <c r="AQ357" s="536"/>
      <c r="AR357" s="536"/>
      <c r="AS357" s="536"/>
      <c r="AT357" s="536"/>
      <c r="AU357" s="536"/>
      <c r="AV357" s="536"/>
      <c r="AW357" s="536"/>
      <c r="AX357" s="536"/>
      <c r="AY357" s="536"/>
      <c r="AZ357" s="536"/>
      <c r="BA357" s="536"/>
      <c r="BB357" s="536"/>
      <c r="BC357" s="536"/>
      <c r="BD357" s="536"/>
      <c r="BE357" s="536"/>
      <c r="BF357" s="536"/>
      <c r="BG357" s="536"/>
      <c r="BH357" s="536"/>
      <c r="BI357" s="536"/>
      <c r="BJ357" s="536"/>
      <c r="BK357" s="536"/>
      <c r="BL357" s="536"/>
      <c r="BM357" s="536"/>
      <c r="BN357" s="536"/>
      <c r="BO357" s="536"/>
      <c r="BP357" s="536"/>
      <c r="BQ357" s="536"/>
      <c r="BR357" s="536"/>
      <c r="BS357" s="536"/>
      <c r="BT357" s="536"/>
      <c r="BU357" s="536"/>
      <c r="BV357" s="536"/>
      <c r="BW357" s="536"/>
      <c r="BX357" s="536"/>
      <c r="BY357" s="536"/>
      <c r="BZ357" s="536"/>
      <c r="CA357" s="536"/>
      <c r="CB357" s="536"/>
      <c r="CC357" s="536"/>
      <c r="CD357" s="536"/>
    </row>
    <row r="358" spans="1:82" x14ac:dyDescent="0.2">
      <c r="A358" s="1187">
        <f t="shared" si="104"/>
        <v>2</v>
      </c>
      <c r="B358" s="1187">
        <f t="shared" si="101"/>
        <v>2016</v>
      </c>
      <c r="C358" s="552">
        <f t="shared" si="102"/>
        <v>42489</v>
      </c>
      <c r="D358" s="1187" t="str">
        <f t="shared" si="103"/>
        <v>2Q16</v>
      </c>
      <c r="E358" s="1188">
        <v>27.270005000000001</v>
      </c>
      <c r="F358" s="535"/>
      <c r="G358" s="536"/>
      <c r="H358" s="536"/>
      <c r="I358" s="536"/>
      <c r="J358" s="536"/>
      <c r="K358" s="536"/>
      <c r="L358" s="536"/>
      <c r="M358" s="536"/>
      <c r="N358" s="536"/>
      <c r="O358" s="536"/>
      <c r="P358" s="536"/>
      <c r="Q358" s="536"/>
      <c r="R358" s="536"/>
      <c r="S358" s="536"/>
      <c r="T358" s="536"/>
      <c r="U358" s="536"/>
      <c r="V358" s="536"/>
      <c r="W358" s="536"/>
      <c r="X358" s="536"/>
      <c r="Y358" s="536"/>
      <c r="Z358" s="536"/>
      <c r="AA358" s="536"/>
      <c r="AB358" s="536"/>
      <c r="AC358" s="536"/>
      <c r="AD358" s="536"/>
      <c r="AE358" s="536"/>
      <c r="AF358" s="536"/>
      <c r="AG358" s="536"/>
      <c r="AH358" s="536"/>
      <c r="AI358" s="536"/>
      <c r="AJ358" s="536"/>
      <c r="AK358" s="536"/>
      <c r="AL358" s="536"/>
      <c r="AM358" s="536"/>
      <c r="AN358" s="536"/>
      <c r="AO358" s="536"/>
      <c r="AP358" s="536"/>
      <c r="AQ358" s="536"/>
      <c r="AR358" s="536"/>
      <c r="AS358" s="536"/>
      <c r="AT358" s="536"/>
      <c r="AU358" s="536"/>
      <c r="AV358" s="536"/>
      <c r="AW358" s="536"/>
      <c r="AX358" s="536"/>
      <c r="AY358" s="536"/>
      <c r="AZ358" s="536"/>
      <c r="BA358" s="536"/>
      <c r="BB358" s="536"/>
      <c r="BC358" s="536"/>
      <c r="BD358" s="536"/>
      <c r="BE358" s="536"/>
      <c r="BF358" s="536"/>
      <c r="BG358" s="536"/>
      <c r="BH358" s="536"/>
      <c r="BI358" s="536"/>
      <c r="BJ358" s="536"/>
      <c r="BK358" s="536"/>
      <c r="BL358" s="536"/>
      <c r="BM358" s="536"/>
      <c r="BN358" s="536"/>
      <c r="BO358" s="536"/>
      <c r="BP358" s="536"/>
      <c r="BQ358" s="536"/>
      <c r="BR358" s="536"/>
      <c r="BS358" s="536"/>
      <c r="BT358" s="536"/>
      <c r="BU358" s="536"/>
      <c r="BV358" s="536"/>
      <c r="BW358" s="536"/>
      <c r="BX358" s="536"/>
      <c r="BY358" s="536"/>
      <c r="BZ358" s="536"/>
      <c r="CA358" s="536"/>
      <c r="CB358" s="536"/>
      <c r="CC358" s="536"/>
      <c r="CD358" s="536"/>
    </row>
    <row r="359" spans="1:82" x14ac:dyDescent="0.2">
      <c r="A359" s="1187">
        <f t="shared" si="104"/>
        <v>2</v>
      </c>
      <c r="B359" s="1187">
        <f t="shared" si="101"/>
        <v>2016</v>
      </c>
      <c r="C359" s="552">
        <f t="shared" si="102"/>
        <v>42496</v>
      </c>
      <c r="D359" s="1187" t="str">
        <f t="shared" si="103"/>
        <v>2Q16</v>
      </c>
      <c r="E359" s="1188">
        <v>26.160004000000001</v>
      </c>
      <c r="F359" s="535"/>
      <c r="G359" s="536"/>
      <c r="H359" s="536"/>
      <c r="I359" s="536"/>
      <c r="J359" s="536"/>
      <c r="K359" s="536"/>
      <c r="L359" s="536"/>
      <c r="M359" s="536"/>
      <c r="N359" s="536"/>
      <c r="O359" s="536"/>
      <c r="P359" s="536"/>
      <c r="Q359" s="536"/>
      <c r="R359" s="536"/>
      <c r="S359" s="536"/>
      <c r="T359" s="536"/>
      <c r="U359" s="536"/>
      <c r="V359" s="536"/>
      <c r="W359" s="536"/>
      <c r="X359" s="536"/>
      <c r="Y359" s="536"/>
      <c r="Z359" s="536"/>
      <c r="AA359" s="536"/>
      <c r="AB359" s="536"/>
      <c r="AC359" s="536"/>
      <c r="AD359" s="536"/>
      <c r="AE359" s="536"/>
      <c r="AF359" s="536"/>
      <c r="AG359" s="536"/>
      <c r="AH359" s="536"/>
      <c r="AI359" s="536"/>
      <c r="AJ359" s="536"/>
      <c r="AK359" s="536"/>
      <c r="AL359" s="536"/>
      <c r="AM359" s="536"/>
      <c r="AN359" s="536"/>
      <c r="AO359" s="536"/>
      <c r="AP359" s="536"/>
      <c r="AQ359" s="536"/>
      <c r="AR359" s="536"/>
      <c r="AS359" s="536"/>
      <c r="AT359" s="536"/>
      <c r="AU359" s="536"/>
      <c r="AV359" s="536"/>
      <c r="AW359" s="536"/>
      <c r="AX359" s="536"/>
      <c r="AY359" s="536"/>
      <c r="AZ359" s="536"/>
      <c r="BA359" s="536"/>
      <c r="BB359" s="536"/>
      <c r="BC359" s="536"/>
      <c r="BD359" s="536"/>
      <c r="BE359" s="536"/>
      <c r="BF359" s="536"/>
      <c r="BG359" s="536"/>
      <c r="BH359" s="536"/>
      <c r="BI359" s="536"/>
      <c r="BJ359" s="536"/>
      <c r="BK359" s="536"/>
      <c r="BL359" s="536"/>
      <c r="BM359" s="536"/>
      <c r="BN359" s="536"/>
      <c r="BO359" s="536"/>
      <c r="BP359" s="536"/>
      <c r="BQ359" s="536"/>
      <c r="BR359" s="536"/>
      <c r="BS359" s="536"/>
      <c r="BT359" s="536"/>
      <c r="BU359" s="536"/>
      <c r="BV359" s="536"/>
      <c r="BW359" s="536"/>
      <c r="BX359" s="536"/>
      <c r="BY359" s="536"/>
      <c r="BZ359" s="536"/>
      <c r="CA359" s="536"/>
      <c r="CB359" s="536"/>
      <c r="CC359" s="536"/>
      <c r="CD359" s="536"/>
    </row>
    <row r="360" spans="1:82" x14ac:dyDescent="0.2">
      <c r="A360" s="1187">
        <f t="shared" si="104"/>
        <v>2</v>
      </c>
      <c r="B360" s="1187">
        <f t="shared" si="101"/>
        <v>2016</v>
      </c>
      <c r="C360" s="552">
        <f t="shared" si="102"/>
        <v>42503</v>
      </c>
      <c r="D360" s="1187" t="str">
        <f t="shared" si="103"/>
        <v>2Q16</v>
      </c>
      <c r="E360" s="1188">
        <v>25.119996</v>
      </c>
      <c r="F360" s="535"/>
      <c r="G360" s="536"/>
      <c r="H360" s="536"/>
      <c r="I360" s="536"/>
      <c r="J360" s="536"/>
      <c r="K360" s="536"/>
      <c r="L360" s="536"/>
      <c r="M360" s="536"/>
      <c r="N360" s="536"/>
      <c r="O360" s="536"/>
      <c r="P360" s="536"/>
      <c r="Q360" s="536"/>
      <c r="R360" s="536"/>
      <c r="S360" s="536"/>
      <c r="T360" s="536"/>
      <c r="U360" s="536"/>
      <c r="V360" s="536"/>
      <c r="W360" s="536"/>
      <c r="X360" s="536"/>
      <c r="Y360" s="536"/>
      <c r="Z360" s="536"/>
      <c r="AA360" s="536"/>
      <c r="AB360" s="536"/>
      <c r="AC360" s="536"/>
      <c r="AD360" s="536"/>
      <c r="AE360" s="536"/>
      <c r="AF360" s="536"/>
      <c r="AG360" s="536"/>
      <c r="AH360" s="536"/>
      <c r="AI360" s="536"/>
      <c r="AJ360" s="536"/>
      <c r="AK360" s="536"/>
      <c r="AL360" s="536"/>
      <c r="AM360" s="536"/>
      <c r="AN360" s="536"/>
      <c r="AO360" s="536"/>
      <c r="AP360" s="536"/>
      <c r="AQ360" s="536"/>
      <c r="AR360" s="536"/>
      <c r="AS360" s="536"/>
      <c r="AT360" s="536"/>
      <c r="AU360" s="536"/>
      <c r="AV360" s="536"/>
      <c r="AW360" s="536"/>
      <c r="AX360" s="536"/>
      <c r="AY360" s="536"/>
      <c r="AZ360" s="536"/>
      <c r="BA360" s="536"/>
      <c r="BB360" s="536"/>
      <c r="BC360" s="536"/>
      <c r="BD360" s="536"/>
      <c r="BE360" s="536"/>
      <c r="BF360" s="536"/>
      <c r="BG360" s="536"/>
      <c r="BH360" s="536"/>
      <c r="BI360" s="536"/>
      <c r="BJ360" s="536"/>
      <c r="BK360" s="536"/>
      <c r="BL360" s="536"/>
      <c r="BM360" s="536"/>
      <c r="BN360" s="536"/>
      <c r="BO360" s="536"/>
      <c r="BP360" s="536"/>
      <c r="BQ360" s="536"/>
      <c r="BR360" s="536"/>
      <c r="BS360" s="536"/>
      <c r="BT360" s="536"/>
      <c r="BU360" s="536"/>
      <c r="BV360" s="536"/>
      <c r="BW360" s="536"/>
      <c r="BX360" s="536"/>
      <c r="BY360" s="536"/>
      <c r="BZ360" s="536"/>
      <c r="CA360" s="536"/>
      <c r="CB360" s="536"/>
      <c r="CC360" s="536"/>
      <c r="CD360" s="536"/>
    </row>
    <row r="361" spans="1:82" x14ac:dyDescent="0.2">
      <c r="A361" s="1187">
        <f t="shared" si="104"/>
        <v>2</v>
      </c>
      <c r="B361" s="1187">
        <f t="shared" si="101"/>
        <v>2016</v>
      </c>
      <c r="C361" s="552">
        <f t="shared" si="102"/>
        <v>42510</v>
      </c>
      <c r="D361" s="1187" t="str">
        <f t="shared" si="103"/>
        <v>2Q16</v>
      </c>
      <c r="E361" s="1188">
        <v>25.820008000000001</v>
      </c>
      <c r="F361" s="535"/>
      <c r="G361" s="536"/>
      <c r="H361" s="536"/>
      <c r="I361" s="536"/>
      <c r="J361" s="536"/>
      <c r="K361" s="536"/>
      <c r="L361" s="536"/>
      <c r="M361" s="536"/>
      <c r="N361" s="536"/>
      <c r="O361" s="536"/>
      <c r="P361" s="536"/>
      <c r="Q361" s="536"/>
      <c r="R361" s="536"/>
      <c r="S361" s="536"/>
      <c r="T361" s="536"/>
      <c r="U361" s="536"/>
      <c r="V361" s="536"/>
      <c r="W361" s="536"/>
      <c r="X361" s="536"/>
      <c r="Y361" s="536"/>
      <c r="Z361" s="536"/>
      <c r="AA361" s="536"/>
      <c r="AB361" s="536"/>
      <c r="AC361" s="536"/>
      <c r="AD361" s="536"/>
      <c r="AE361" s="536"/>
      <c r="AF361" s="536"/>
      <c r="AG361" s="536"/>
      <c r="AH361" s="536"/>
      <c r="AI361" s="536"/>
      <c r="AJ361" s="536"/>
      <c r="AK361" s="536"/>
      <c r="AL361" s="536"/>
      <c r="AM361" s="536"/>
      <c r="AN361" s="536"/>
      <c r="AO361" s="536"/>
      <c r="AP361" s="536"/>
      <c r="AQ361" s="536"/>
      <c r="AR361" s="536"/>
      <c r="AS361" s="536"/>
      <c r="AT361" s="536"/>
      <c r="AU361" s="536"/>
      <c r="AV361" s="536"/>
      <c r="AW361" s="536"/>
      <c r="AX361" s="536"/>
      <c r="AY361" s="536"/>
      <c r="AZ361" s="536"/>
      <c r="BA361" s="536"/>
      <c r="BB361" s="536"/>
      <c r="BC361" s="536"/>
      <c r="BD361" s="536"/>
      <c r="BE361" s="536"/>
      <c r="BF361" s="536"/>
      <c r="BG361" s="536"/>
      <c r="BH361" s="536"/>
      <c r="BI361" s="536"/>
      <c r="BJ361" s="536"/>
      <c r="BK361" s="536"/>
      <c r="BL361" s="536"/>
      <c r="BM361" s="536"/>
      <c r="BN361" s="536"/>
      <c r="BO361" s="536"/>
      <c r="BP361" s="536"/>
      <c r="BQ361" s="536"/>
      <c r="BR361" s="536"/>
      <c r="BS361" s="536"/>
      <c r="BT361" s="536"/>
      <c r="BU361" s="536"/>
      <c r="BV361" s="536"/>
      <c r="BW361" s="536"/>
      <c r="BX361" s="536"/>
      <c r="BY361" s="536"/>
      <c r="BZ361" s="536"/>
      <c r="CA361" s="536"/>
      <c r="CB361" s="536"/>
      <c r="CC361" s="536"/>
      <c r="CD361" s="536"/>
    </row>
    <row r="362" spans="1:82" x14ac:dyDescent="0.2">
      <c r="A362" s="1187">
        <f t="shared" si="104"/>
        <v>2</v>
      </c>
      <c r="B362" s="1187">
        <f t="shared" si="101"/>
        <v>2016</v>
      </c>
      <c r="C362" s="552">
        <f t="shared" si="102"/>
        <v>42517</v>
      </c>
      <c r="D362" s="1187" t="str">
        <f t="shared" si="103"/>
        <v>2Q16</v>
      </c>
      <c r="E362" s="1188">
        <v>25.89</v>
      </c>
      <c r="F362" s="535"/>
      <c r="G362" s="536"/>
      <c r="H362" s="536"/>
      <c r="I362" s="536"/>
      <c r="J362" s="536"/>
      <c r="K362" s="536"/>
      <c r="L362" s="536"/>
      <c r="M362" s="536"/>
      <c r="N362" s="536"/>
      <c r="O362" s="536"/>
      <c r="P362" s="536"/>
      <c r="Q362" s="536"/>
      <c r="R362" s="536"/>
      <c r="S362" s="536"/>
      <c r="T362" s="536"/>
      <c r="U362" s="536"/>
      <c r="V362" s="536"/>
      <c r="W362" s="536"/>
      <c r="X362" s="536"/>
      <c r="Y362" s="536"/>
      <c r="Z362" s="536"/>
      <c r="AA362" s="536"/>
      <c r="AB362" s="536"/>
      <c r="AC362" s="536"/>
      <c r="AD362" s="536"/>
      <c r="AE362" s="536"/>
      <c r="AF362" s="536"/>
      <c r="AG362" s="536"/>
      <c r="AH362" s="536"/>
      <c r="AI362" s="536"/>
      <c r="AJ362" s="536"/>
      <c r="AK362" s="536"/>
      <c r="AL362" s="536"/>
      <c r="AM362" s="536"/>
      <c r="AN362" s="536"/>
      <c r="AO362" s="536"/>
      <c r="AP362" s="536"/>
      <c r="AQ362" s="536"/>
      <c r="AR362" s="536"/>
      <c r="AS362" s="536"/>
      <c r="AT362" s="536"/>
      <c r="AU362" s="536"/>
      <c r="AV362" s="536"/>
      <c r="AW362" s="536"/>
      <c r="AX362" s="536"/>
      <c r="AY362" s="536"/>
      <c r="AZ362" s="536"/>
      <c r="BA362" s="536"/>
      <c r="BB362" s="536"/>
      <c r="BC362" s="536"/>
      <c r="BD362" s="536"/>
      <c r="BE362" s="536"/>
      <c r="BF362" s="536"/>
      <c r="BG362" s="536"/>
      <c r="BH362" s="536"/>
      <c r="BI362" s="536"/>
      <c r="BJ362" s="536"/>
      <c r="BK362" s="536"/>
      <c r="BL362" s="536"/>
      <c r="BM362" s="536"/>
      <c r="BN362" s="536"/>
      <c r="BO362" s="536"/>
      <c r="BP362" s="536"/>
      <c r="BQ362" s="536"/>
      <c r="BR362" s="536"/>
      <c r="BS362" s="536"/>
      <c r="BT362" s="536"/>
      <c r="BU362" s="536"/>
      <c r="BV362" s="536"/>
      <c r="BW362" s="536"/>
      <c r="BX362" s="536"/>
      <c r="BY362" s="536"/>
      <c r="BZ362" s="536"/>
      <c r="CA362" s="536"/>
      <c r="CB362" s="536"/>
      <c r="CC362" s="536"/>
      <c r="CD362" s="536"/>
    </row>
    <row r="363" spans="1:82" x14ac:dyDescent="0.2">
      <c r="A363" s="1187">
        <f t="shared" si="104"/>
        <v>2</v>
      </c>
      <c r="B363" s="1187">
        <f t="shared" si="101"/>
        <v>2016</v>
      </c>
      <c r="C363" s="552">
        <f t="shared" si="102"/>
        <v>42524</v>
      </c>
      <c r="D363" s="1187" t="str">
        <f t="shared" si="103"/>
        <v>2Q16</v>
      </c>
      <c r="E363" s="1188">
        <v>26.64</v>
      </c>
      <c r="F363" s="535"/>
      <c r="G363" s="536"/>
      <c r="H363" s="536"/>
      <c r="I363" s="536"/>
      <c r="J363" s="536"/>
      <c r="K363" s="536"/>
      <c r="L363" s="536"/>
      <c r="M363" s="536"/>
      <c r="N363" s="536"/>
      <c r="O363" s="536"/>
      <c r="P363" s="536"/>
      <c r="Q363" s="536"/>
      <c r="R363" s="536"/>
      <c r="S363" s="536"/>
      <c r="T363" s="536"/>
      <c r="U363" s="536"/>
      <c r="V363" s="536"/>
      <c r="W363" s="536"/>
      <c r="X363" s="536"/>
      <c r="Y363" s="536"/>
      <c r="Z363" s="536"/>
      <c r="AA363" s="536"/>
      <c r="AB363" s="536"/>
      <c r="AC363" s="536"/>
      <c r="AD363" s="536"/>
      <c r="AE363" s="536"/>
      <c r="AF363" s="536"/>
      <c r="AG363" s="536"/>
      <c r="AH363" s="536"/>
      <c r="AI363" s="536"/>
      <c r="AJ363" s="536"/>
      <c r="AK363" s="536"/>
      <c r="AL363" s="536"/>
      <c r="AM363" s="536"/>
      <c r="AN363" s="536"/>
      <c r="AO363" s="536"/>
      <c r="AP363" s="536"/>
      <c r="AQ363" s="536"/>
      <c r="AR363" s="536"/>
      <c r="AS363" s="536"/>
      <c r="AT363" s="536"/>
      <c r="AU363" s="536"/>
      <c r="AV363" s="536"/>
      <c r="AW363" s="536"/>
      <c r="AX363" s="536"/>
      <c r="AY363" s="536"/>
      <c r="AZ363" s="536"/>
      <c r="BA363" s="536"/>
      <c r="BB363" s="536"/>
      <c r="BC363" s="536"/>
      <c r="BD363" s="536"/>
      <c r="BE363" s="536"/>
      <c r="BF363" s="536"/>
      <c r="BG363" s="536"/>
      <c r="BH363" s="536"/>
      <c r="BI363" s="536"/>
      <c r="BJ363" s="536"/>
      <c r="BK363" s="536"/>
      <c r="BL363" s="536"/>
      <c r="BM363" s="536"/>
      <c r="BN363" s="536"/>
      <c r="BO363" s="536"/>
      <c r="BP363" s="536"/>
      <c r="BQ363" s="536"/>
      <c r="BR363" s="536"/>
      <c r="BS363" s="536"/>
      <c r="BT363" s="536"/>
      <c r="BU363" s="536"/>
      <c r="BV363" s="536"/>
      <c r="BW363" s="536"/>
      <c r="BX363" s="536"/>
      <c r="BY363" s="536"/>
      <c r="BZ363" s="536"/>
      <c r="CA363" s="536"/>
      <c r="CB363" s="536"/>
      <c r="CC363" s="536"/>
      <c r="CD363" s="536"/>
    </row>
    <row r="364" spans="1:82" x14ac:dyDescent="0.2">
      <c r="A364" s="1187">
        <f t="shared" si="104"/>
        <v>2</v>
      </c>
      <c r="B364" s="1187">
        <f t="shared" si="101"/>
        <v>2016</v>
      </c>
      <c r="C364" s="552">
        <f t="shared" si="102"/>
        <v>42531</v>
      </c>
      <c r="D364" s="1187" t="str">
        <f t="shared" si="103"/>
        <v>2Q16</v>
      </c>
      <c r="E364" s="1188">
        <v>26.779999</v>
      </c>
      <c r="F364" s="535"/>
      <c r="G364" s="536"/>
      <c r="H364" s="536"/>
      <c r="I364" s="536"/>
      <c r="J364" s="536"/>
      <c r="K364" s="536"/>
      <c r="L364" s="536"/>
      <c r="M364" s="536"/>
      <c r="N364" s="536"/>
      <c r="O364" s="536"/>
      <c r="P364" s="536"/>
      <c r="Q364" s="536"/>
      <c r="R364" s="536"/>
      <c r="S364" s="536"/>
      <c r="T364" s="536"/>
      <c r="U364" s="536"/>
      <c r="V364" s="536"/>
      <c r="W364" s="536"/>
      <c r="X364" s="536"/>
      <c r="Y364" s="536"/>
      <c r="Z364" s="536"/>
      <c r="AA364" s="536"/>
      <c r="AB364" s="536"/>
      <c r="AC364" s="536"/>
      <c r="AD364" s="536"/>
      <c r="AE364" s="536"/>
      <c r="AF364" s="536"/>
      <c r="AG364" s="536"/>
      <c r="AH364" s="536"/>
      <c r="AI364" s="536"/>
      <c r="AJ364" s="536"/>
      <c r="AK364" s="536"/>
      <c r="AL364" s="536"/>
      <c r="AM364" s="536"/>
      <c r="AN364" s="536"/>
      <c r="AO364" s="536"/>
      <c r="AP364" s="536"/>
      <c r="AQ364" s="536"/>
      <c r="AR364" s="536"/>
      <c r="AS364" s="536"/>
      <c r="AT364" s="536"/>
      <c r="AU364" s="536"/>
      <c r="AV364" s="536"/>
      <c r="AW364" s="536"/>
      <c r="AX364" s="536"/>
      <c r="AY364" s="536"/>
      <c r="AZ364" s="536"/>
      <c r="BA364" s="536"/>
      <c r="BB364" s="536"/>
      <c r="BC364" s="536"/>
      <c r="BD364" s="536"/>
      <c r="BE364" s="536"/>
      <c r="BF364" s="536"/>
      <c r="BG364" s="536"/>
      <c r="BH364" s="536"/>
      <c r="BI364" s="536"/>
      <c r="BJ364" s="536"/>
      <c r="BK364" s="536"/>
      <c r="BL364" s="536"/>
      <c r="BM364" s="536"/>
      <c r="BN364" s="536"/>
      <c r="BO364" s="536"/>
      <c r="BP364" s="536"/>
      <c r="BQ364" s="536"/>
      <c r="BR364" s="536"/>
      <c r="BS364" s="536"/>
      <c r="BT364" s="536"/>
      <c r="BU364" s="536"/>
      <c r="BV364" s="536"/>
      <c r="BW364" s="536"/>
      <c r="BX364" s="536"/>
      <c r="BY364" s="536"/>
      <c r="BZ364" s="536"/>
      <c r="CA364" s="536"/>
      <c r="CB364" s="536"/>
      <c r="CC364" s="536"/>
      <c r="CD364" s="536"/>
    </row>
    <row r="365" spans="1:82" x14ac:dyDescent="0.2">
      <c r="A365" s="1187">
        <f t="shared" si="104"/>
        <v>2</v>
      </c>
      <c r="B365" s="1187">
        <f t="shared" si="101"/>
        <v>2016</v>
      </c>
      <c r="C365" s="552">
        <f t="shared" si="102"/>
        <v>42538</v>
      </c>
      <c r="D365" s="1187" t="str">
        <f t="shared" si="103"/>
        <v>2Q16</v>
      </c>
      <c r="E365" s="1188">
        <v>26.75</v>
      </c>
      <c r="F365" s="535"/>
      <c r="G365" s="536"/>
      <c r="H365" s="536"/>
      <c r="I365" s="536"/>
      <c r="J365" s="536"/>
      <c r="K365" s="536"/>
      <c r="L365" s="536"/>
      <c r="M365" s="536"/>
      <c r="N365" s="536"/>
      <c r="O365" s="536"/>
      <c r="P365" s="536"/>
      <c r="Q365" s="536"/>
      <c r="R365" s="536"/>
      <c r="S365" s="536"/>
      <c r="T365" s="536"/>
      <c r="U365" s="536"/>
      <c r="V365" s="536"/>
      <c r="W365" s="536"/>
      <c r="X365" s="536"/>
      <c r="Y365" s="536"/>
      <c r="Z365" s="536"/>
      <c r="AA365" s="536"/>
      <c r="AB365" s="536"/>
      <c r="AC365" s="536"/>
      <c r="AD365" s="536"/>
      <c r="AE365" s="536"/>
      <c r="AF365" s="536"/>
      <c r="AG365" s="536"/>
      <c r="AH365" s="536"/>
      <c r="AI365" s="536"/>
      <c r="AJ365" s="536"/>
      <c r="AK365" s="536"/>
      <c r="AL365" s="536"/>
      <c r="AM365" s="536"/>
      <c r="AN365" s="536"/>
      <c r="AO365" s="536"/>
      <c r="AP365" s="536"/>
      <c r="AQ365" s="536"/>
      <c r="AR365" s="536"/>
      <c r="AS365" s="536"/>
      <c r="AT365" s="536"/>
      <c r="AU365" s="536"/>
      <c r="AV365" s="536"/>
      <c r="AW365" s="536"/>
      <c r="AX365" s="536"/>
      <c r="AY365" s="536"/>
      <c r="AZ365" s="536"/>
      <c r="BA365" s="536"/>
      <c r="BB365" s="536"/>
      <c r="BC365" s="536"/>
      <c r="BD365" s="536"/>
      <c r="BE365" s="536"/>
      <c r="BF365" s="536"/>
      <c r="BG365" s="536"/>
      <c r="BH365" s="536"/>
      <c r="BI365" s="536"/>
      <c r="BJ365" s="536"/>
      <c r="BK365" s="536"/>
      <c r="BL365" s="536"/>
      <c r="BM365" s="536"/>
      <c r="BN365" s="536"/>
      <c r="BO365" s="536"/>
      <c r="BP365" s="536"/>
      <c r="BQ365" s="536"/>
      <c r="BR365" s="536"/>
      <c r="BS365" s="536"/>
      <c r="BT365" s="536"/>
      <c r="BU365" s="536"/>
      <c r="BV365" s="536"/>
      <c r="BW365" s="536"/>
      <c r="BX365" s="536"/>
      <c r="BY365" s="536"/>
      <c r="BZ365" s="536"/>
      <c r="CA365" s="536"/>
      <c r="CB365" s="536"/>
      <c r="CC365" s="536"/>
      <c r="CD365" s="536"/>
    </row>
    <row r="366" spans="1:82" x14ac:dyDescent="0.2">
      <c r="A366" s="1187">
        <f t="shared" si="104"/>
        <v>2</v>
      </c>
      <c r="B366" s="1187">
        <f>YEAR(C366)</f>
        <v>2016</v>
      </c>
      <c r="C366" s="552">
        <f t="shared" si="102"/>
        <v>42545</v>
      </c>
      <c r="D366" s="1187" t="str">
        <f>A366&amp;"Q"&amp;RIGHT(B366,2)</f>
        <v>2Q16</v>
      </c>
      <c r="E366" s="1188">
        <v>25.699997</v>
      </c>
      <c r="F366" s="535"/>
      <c r="G366" s="536"/>
      <c r="H366" s="536"/>
      <c r="I366" s="536"/>
      <c r="J366" s="536"/>
      <c r="K366" s="536"/>
      <c r="L366" s="536"/>
      <c r="M366" s="536"/>
      <c r="N366" s="536"/>
      <c r="O366" s="536"/>
      <c r="P366" s="536"/>
      <c r="Q366" s="536"/>
      <c r="R366" s="536"/>
      <c r="S366" s="536"/>
      <c r="T366" s="536"/>
      <c r="U366" s="536"/>
      <c r="V366" s="536"/>
      <c r="W366" s="536"/>
      <c r="X366" s="536"/>
      <c r="Y366" s="536"/>
      <c r="Z366" s="536"/>
      <c r="AA366" s="536"/>
      <c r="AB366" s="536"/>
      <c r="AC366" s="536"/>
      <c r="AD366" s="536"/>
      <c r="AE366" s="536"/>
      <c r="AF366" s="536"/>
      <c r="AG366" s="536"/>
      <c r="AH366" s="536"/>
      <c r="AI366" s="536"/>
      <c r="AJ366" s="536"/>
      <c r="AK366" s="536"/>
      <c r="AL366" s="536"/>
      <c r="AM366" s="536"/>
      <c r="AN366" s="536"/>
      <c r="AO366" s="536"/>
      <c r="AP366" s="536"/>
      <c r="AQ366" s="536"/>
      <c r="AR366" s="536"/>
      <c r="AS366" s="536"/>
      <c r="AT366" s="536"/>
      <c r="AU366" s="536"/>
      <c r="AV366" s="536"/>
      <c r="AW366" s="536"/>
      <c r="AX366" s="536"/>
      <c r="AY366" s="536"/>
      <c r="AZ366" s="536"/>
      <c r="BA366" s="536"/>
      <c r="BB366" s="536"/>
      <c r="BC366" s="536"/>
      <c r="BD366" s="536"/>
      <c r="BE366" s="536"/>
      <c r="BF366" s="536"/>
      <c r="BG366" s="536"/>
      <c r="BH366" s="536"/>
      <c r="BI366" s="536"/>
      <c r="BJ366" s="536"/>
      <c r="BK366" s="536"/>
      <c r="BL366" s="536"/>
      <c r="BM366" s="536"/>
      <c r="BN366" s="536"/>
      <c r="BO366" s="536"/>
      <c r="BP366" s="536"/>
      <c r="BQ366" s="536"/>
      <c r="BR366" s="536"/>
      <c r="BS366" s="536"/>
      <c r="BT366" s="536"/>
      <c r="BU366" s="536"/>
      <c r="BV366" s="536"/>
      <c r="BW366" s="536"/>
      <c r="BX366" s="536"/>
      <c r="BY366" s="536"/>
      <c r="BZ366" s="536"/>
      <c r="CA366" s="536"/>
      <c r="CB366" s="536"/>
      <c r="CC366" s="536"/>
      <c r="CD366" s="536"/>
    </row>
    <row r="367" spans="1:82" x14ac:dyDescent="0.2">
      <c r="A367" s="1187">
        <f t="shared" si="104"/>
        <v>3</v>
      </c>
      <c r="B367" s="1187">
        <f t="shared" si="101"/>
        <v>2016</v>
      </c>
      <c r="C367" s="552">
        <f t="shared" si="102"/>
        <v>42552</v>
      </c>
      <c r="D367" s="1187" t="str">
        <f t="shared" si="103"/>
        <v>3Q16</v>
      </c>
      <c r="E367" s="1188">
        <v>26.210007000000001</v>
      </c>
      <c r="F367" s="535"/>
      <c r="G367" s="536"/>
      <c r="H367" s="536"/>
      <c r="I367" s="536"/>
      <c r="J367" s="536"/>
      <c r="K367" s="536"/>
      <c r="L367" s="536"/>
      <c r="M367" s="536"/>
      <c r="N367" s="536"/>
      <c r="O367" s="536"/>
      <c r="P367" s="536"/>
      <c r="Q367" s="536"/>
      <c r="R367" s="536"/>
      <c r="S367" s="536"/>
      <c r="T367" s="536"/>
      <c r="U367" s="536"/>
      <c r="V367" s="536"/>
      <c r="W367" s="536"/>
      <c r="X367" s="536"/>
      <c r="Y367" s="536"/>
      <c r="Z367" s="536"/>
      <c r="AA367" s="536"/>
      <c r="AB367" s="536"/>
      <c r="AC367" s="536"/>
      <c r="AD367" s="536"/>
      <c r="AE367" s="536"/>
      <c r="AF367" s="536"/>
      <c r="AG367" s="536"/>
      <c r="AH367" s="536"/>
      <c r="AI367" s="536"/>
      <c r="AJ367" s="536"/>
      <c r="AK367" s="536"/>
      <c r="AL367" s="536"/>
      <c r="AM367" s="536"/>
      <c r="AN367" s="536"/>
      <c r="AO367" s="536"/>
      <c r="AP367" s="536"/>
      <c r="AQ367" s="536"/>
      <c r="AR367" s="536"/>
      <c r="AS367" s="536"/>
      <c r="AT367" s="536"/>
      <c r="AU367" s="536"/>
      <c r="AV367" s="536"/>
      <c r="AW367" s="536"/>
      <c r="AX367" s="536"/>
      <c r="AY367" s="536"/>
      <c r="AZ367" s="536"/>
      <c r="BA367" s="536"/>
      <c r="BB367" s="536"/>
      <c r="BC367" s="536"/>
      <c r="BD367" s="536"/>
      <c r="BE367" s="536"/>
      <c r="BF367" s="536"/>
      <c r="BG367" s="536"/>
      <c r="BH367" s="536"/>
      <c r="BI367" s="536"/>
      <c r="BJ367" s="536"/>
      <c r="BK367" s="536"/>
      <c r="BL367" s="536"/>
      <c r="BM367" s="536"/>
      <c r="BN367" s="536"/>
      <c r="BO367" s="536"/>
      <c r="BP367" s="536"/>
      <c r="BQ367" s="536"/>
      <c r="BR367" s="536"/>
      <c r="BS367" s="536"/>
      <c r="BT367" s="536"/>
      <c r="BU367" s="536"/>
      <c r="BV367" s="536"/>
      <c r="BW367" s="536"/>
      <c r="BX367" s="536"/>
      <c r="BY367" s="536"/>
      <c r="BZ367" s="536"/>
      <c r="CA367" s="536"/>
      <c r="CB367" s="536"/>
      <c r="CC367" s="536"/>
      <c r="CD367" s="536"/>
    </row>
    <row r="368" spans="1:82" x14ac:dyDescent="0.2">
      <c r="A368" s="1187">
        <f t="shared" si="104"/>
        <v>3</v>
      </c>
      <c r="B368" s="1187">
        <f t="shared" si="101"/>
        <v>2016</v>
      </c>
      <c r="C368" s="552">
        <f t="shared" si="102"/>
        <v>42559</v>
      </c>
      <c r="D368" s="1187" t="str">
        <f t="shared" si="103"/>
        <v>3Q16</v>
      </c>
      <c r="E368" s="1188">
        <v>26.529999</v>
      </c>
      <c r="F368" s="535"/>
      <c r="G368" s="536"/>
      <c r="H368" s="536"/>
      <c r="I368" s="536"/>
      <c r="J368" s="536"/>
      <c r="K368" s="536"/>
      <c r="L368" s="536"/>
      <c r="M368" s="536"/>
      <c r="N368" s="536"/>
      <c r="O368" s="536"/>
      <c r="P368" s="536"/>
      <c r="Q368" s="536"/>
      <c r="R368" s="536"/>
      <c r="S368" s="536"/>
      <c r="T368" s="536"/>
      <c r="U368" s="536"/>
      <c r="V368" s="536"/>
      <c r="W368" s="536"/>
      <c r="X368" s="536"/>
      <c r="Y368" s="536"/>
      <c r="Z368" s="536"/>
      <c r="AA368" s="536"/>
      <c r="AB368" s="536"/>
      <c r="AC368" s="536"/>
      <c r="AD368" s="536"/>
      <c r="AE368" s="536"/>
      <c r="AF368" s="536"/>
      <c r="AG368" s="536"/>
      <c r="AH368" s="536"/>
      <c r="AI368" s="536"/>
      <c r="AJ368" s="536"/>
      <c r="AK368" s="536"/>
      <c r="AL368" s="536"/>
      <c r="AM368" s="536"/>
      <c r="AN368" s="536"/>
      <c r="AO368" s="536"/>
      <c r="AP368" s="536"/>
      <c r="AQ368" s="536"/>
      <c r="AR368" s="536"/>
      <c r="AS368" s="536"/>
      <c r="AT368" s="536"/>
      <c r="AU368" s="536"/>
      <c r="AV368" s="536"/>
      <c r="AW368" s="536"/>
      <c r="AX368" s="536"/>
      <c r="AY368" s="536"/>
      <c r="AZ368" s="536"/>
      <c r="BA368" s="536"/>
      <c r="BB368" s="536"/>
      <c r="BC368" s="536"/>
      <c r="BD368" s="536"/>
      <c r="BE368" s="536"/>
      <c r="BF368" s="536"/>
      <c r="BG368" s="536"/>
      <c r="BH368" s="536"/>
      <c r="BI368" s="536"/>
      <c r="BJ368" s="536"/>
      <c r="BK368" s="536"/>
      <c r="BL368" s="536"/>
      <c r="BM368" s="536"/>
      <c r="BN368" s="536"/>
      <c r="BO368" s="536"/>
      <c r="BP368" s="536"/>
      <c r="BQ368" s="536"/>
      <c r="BR368" s="536"/>
      <c r="BS368" s="536"/>
      <c r="BT368" s="536"/>
      <c r="BU368" s="536"/>
      <c r="BV368" s="536"/>
      <c r="BW368" s="536"/>
      <c r="BX368" s="536"/>
      <c r="BY368" s="536"/>
      <c r="BZ368" s="536"/>
      <c r="CA368" s="536"/>
      <c r="CB368" s="536"/>
      <c r="CC368" s="536"/>
      <c r="CD368" s="536"/>
    </row>
    <row r="369" spans="1:82" x14ac:dyDescent="0.2">
      <c r="A369" s="1187">
        <f t="shared" si="104"/>
        <v>3</v>
      </c>
      <c r="B369" s="1187">
        <f t="shared" si="101"/>
        <v>2016</v>
      </c>
      <c r="C369" s="552">
        <f t="shared" si="102"/>
        <v>42566</v>
      </c>
      <c r="D369" s="1187" t="str">
        <f t="shared" si="103"/>
        <v>3Q16</v>
      </c>
      <c r="E369" s="1188">
        <v>28.520005000000001</v>
      </c>
      <c r="F369" s="535"/>
      <c r="G369" s="536"/>
      <c r="H369" s="536"/>
      <c r="I369" s="536"/>
      <c r="J369" s="536"/>
      <c r="K369" s="536"/>
      <c r="L369" s="536"/>
      <c r="M369" s="536"/>
      <c r="N369" s="536"/>
      <c r="O369" s="536"/>
      <c r="P369" s="536"/>
      <c r="Q369" s="536"/>
      <c r="R369" s="536"/>
      <c r="S369" s="536"/>
      <c r="T369" s="536"/>
      <c r="U369" s="536"/>
      <c r="V369" s="536"/>
      <c r="W369" s="536"/>
      <c r="X369" s="536"/>
      <c r="Y369" s="536"/>
      <c r="Z369" s="536"/>
      <c r="AA369" s="536"/>
      <c r="AB369" s="536"/>
      <c r="AC369" s="536"/>
      <c r="AD369" s="536"/>
      <c r="AE369" s="536"/>
      <c r="AF369" s="536"/>
      <c r="AG369" s="536"/>
      <c r="AH369" s="536"/>
      <c r="AI369" s="536"/>
      <c r="AJ369" s="536"/>
      <c r="AK369" s="536"/>
      <c r="AL369" s="536"/>
      <c r="AM369" s="536"/>
      <c r="AN369" s="536"/>
      <c r="AO369" s="536"/>
      <c r="AP369" s="536"/>
      <c r="AQ369" s="536"/>
      <c r="AR369" s="536"/>
      <c r="AS369" s="536"/>
      <c r="AT369" s="536"/>
      <c r="AU369" s="536"/>
      <c r="AV369" s="536"/>
      <c r="AW369" s="536"/>
      <c r="AX369" s="536"/>
      <c r="AY369" s="536"/>
      <c r="AZ369" s="536"/>
      <c r="BA369" s="536"/>
      <c r="BB369" s="536"/>
      <c r="BC369" s="536"/>
      <c r="BD369" s="536"/>
      <c r="BE369" s="536"/>
      <c r="BF369" s="536"/>
      <c r="BG369" s="536"/>
      <c r="BH369" s="536"/>
      <c r="BI369" s="536"/>
      <c r="BJ369" s="536"/>
      <c r="BK369" s="536"/>
      <c r="BL369" s="536"/>
      <c r="BM369" s="536"/>
      <c r="BN369" s="536"/>
      <c r="BO369" s="536"/>
      <c r="BP369" s="536"/>
      <c r="BQ369" s="536"/>
      <c r="BR369" s="536"/>
      <c r="BS369" s="536"/>
      <c r="BT369" s="536"/>
      <c r="BU369" s="536"/>
      <c r="BV369" s="536"/>
      <c r="BW369" s="536"/>
      <c r="BX369" s="536"/>
      <c r="BY369" s="536"/>
      <c r="BZ369" s="536"/>
      <c r="CA369" s="536"/>
      <c r="CB369" s="536"/>
      <c r="CC369" s="536"/>
      <c r="CD369" s="536"/>
    </row>
    <row r="370" spans="1:82" x14ac:dyDescent="0.2">
      <c r="A370" s="1187">
        <f t="shared" si="104"/>
        <v>3</v>
      </c>
      <c r="B370" s="1187">
        <f t="shared" ref="B370:B379" si="105">YEAR(C370)</f>
        <v>2016</v>
      </c>
      <c r="C370" s="552">
        <f t="shared" si="102"/>
        <v>42573</v>
      </c>
      <c r="D370" s="1187" t="str">
        <f t="shared" ref="D370:D379" si="106">A370&amp;"Q"&amp;RIGHT(B370,2)</f>
        <v>3Q16</v>
      </c>
      <c r="E370" s="1188">
        <v>28.479996</v>
      </c>
      <c r="F370" s="535"/>
      <c r="G370" s="536"/>
      <c r="H370" s="536"/>
      <c r="I370" s="536"/>
      <c r="J370" s="536"/>
      <c r="K370" s="536"/>
      <c r="L370" s="536"/>
      <c r="M370" s="536"/>
      <c r="N370" s="536"/>
      <c r="O370" s="536"/>
      <c r="P370" s="536"/>
      <c r="Q370" s="536"/>
      <c r="R370" s="536"/>
      <c r="S370" s="536"/>
      <c r="T370" s="536"/>
      <c r="U370" s="536"/>
      <c r="V370" s="536"/>
      <c r="W370" s="536"/>
      <c r="X370" s="536"/>
      <c r="Y370" s="536"/>
      <c r="Z370" s="536"/>
      <c r="AA370" s="536"/>
      <c r="AB370" s="536"/>
      <c r="AC370" s="536"/>
      <c r="AD370" s="536"/>
      <c r="AE370" s="536"/>
      <c r="AF370" s="536"/>
      <c r="AG370" s="536"/>
      <c r="AH370" s="536"/>
      <c r="AI370" s="536"/>
      <c r="AJ370" s="536"/>
      <c r="AK370" s="536"/>
      <c r="AL370" s="536"/>
      <c r="AM370" s="536"/>
      <c r="AN370" s="536"/>
      <c r="AO370" s="536"/>
      <c r="AP370" s="536"/>
      <c r="AQ370" s="536"/>
      <c r="AR370" s="536"/>
      <c r="AS370" s="536"/>
      <c r="AT370" s="536"/>
      <c r="AU370" s="536"/>
      <c r="AV370" s="536"/>
      <c r="AW370" s="536"/>
      <c r="AX370" s="536"/>
      <c r="AY370" s="536"/>
      <c r="AZ370" s="536"/>
      <c r="BA370" s="536"/>
      <c r="BB370" s="536"/>
      <c r="BC370" s="536"/>
      <c r="BD370" s="536"/>
      <c r="BE370" s="536"/>
      <c r="BF370" s="536"/>
      <c r="BG370" s="536"/>
      <c r="BH370" s="536"/>
      <c r="BI370" s="536"/>
      <c r="BJ370" s="536"/>
      <c r="BK370" s="536"/>
      <c r="BL370" s="536"/>
      <c r="BM370" s="536"/>
      <c r="BN370" s="536"/>
      <c r="BO370" s="536"/>
      <c r="BP370" s="536"/>
      <c r="BQ370" s="536"/>
      <c r="BR370" s="536"/>
      <c r="BS370" s="536"/>
      <c r="BT370" s="536"/>
      <c r="BU370" s="536"/>
      <c r="BV370" s="536"/>
      <c r="BW370" s="536"/>
      <c r="BX370" s="536"/>
      <c r="BY370" s="536"/>
      <c r="BZ370" s="536"/>
      <c r="CA370" s="536"/>
      <c r="CB370" s="536"/>
      <c r="CC370" s="536"/>
      <c r="CD370" s="536"/>
    </row>
    <row r="371" spans="1:82" x14ac:dyDescent="0.2">
      <c r="A371" s="1187">
        <f t="shared" si="104"/>
        <v>3</v>
      </c>
      <c r="B371" s="1187">
        <f t="shared" si="105"/>
        <v>2016</v>
      </c>
      <c r="C371" s="552">
        <f t="shared" si="102"/>
        <v>42580</v>
      </c>
      <c r="D371" s="1187" t="str">
        <f t="shared" si="106"/>
        <v>3Q16</v>
      </c>
      <c r="E371" s="1188">
        <v>28.330002</v>
      </c>
      <c r="F371" s="535"/>
      <c r="G371" s="536"/>
      <c r="H371" s="536"/>
      <c r="I371" s="536"/>
      <c r="J371" s="536"/>
      <c r="K371" s="536"/>
      <c r="L371" s="536"/>
      <c r="M371" s="536"/>
      <c r="N371" s="536"/>
      <c r="O371" s="536"/>
      <c r="P371" s="536"/>
      <c r="Q371" s="536"/>
      <c r="R371" s="536"/>
      <c r="S371" s="536"/>
      <c r="T371" s="536"/>
      <c r="U371" s="536"/>
      <c r="V371" s="536"/>
      <c r="W371" s="536"/>
      <c r="X371" s="536"/>
      <c r="Y371" s="536"/>
      <c r="Z371" s="536"/>
      <c r="AA371" s="536"/>
      <c r="AB371" s="536"/>
      <c r="AC371" s="536"/>
      <c r="AD371" s="536"/>
      <c r="AE371" s="536"/>
      <c r="AF371" s="536"/>
      <c r="AG371" s="536"/>
      <c r="AH371" s="536"/>
      <c r="AI371" s="536"/>
      <c r="AJ371" s="536"/>
      <c r="AK371" s="536"/>
      <c r="AL371" s="536"/>
      <c r="AM371" s="536"/>
      <c r="AN371" s="536"/>
      <c r="AO371" s="536"/>
      <c r="AP371" s="536"/>
      <c r="AQ371" s="536"/>
      <c r="AR371" s="536"/>
      <c r="AS371" s="536"/>
      <c r="AT371" s="536"/>
      <c r="AU371" s="536"/>
      <c r="AV371" s="536"/>
      <c r="AW371" s="536"/>
      <c r="AX371" s="536"/>
      <c r="AY371" s="536"/>
      <c r="AZ371" s="536"/>
      <c r="BA371" s="536"/>
      <c r="BB371" s="536"/>
      <c r="BC371" s="536"/>
      <c r="BD371" s="536"/>
      <c r="BE371" s="536"/>
      <c r="BF371" s="536"/>
      <c r="BG371" s="536"/>
      <c r="BH371" s="536"/>
      <c r="BI371" s="536"/>
      <c r="BJ371" s="536"/>
      <c r="BK371" s="536"/>
      <c r="BL371" s="536"/>
      <c r="BM371" s="536"/>
      <c r="BN371" s="536"/>
      <c r="BO371" s="536"/>
      <c r="BP371" s="536"/>
      <c r="BQ371" s="536"/>
      <c r="BR371" s="536"/>
      <c r="BS371" s="536"/>
      <c r="BT371" s="536"/>
      <c r="BU371" s="536"/>
      <c r="BV371" s="536"/>
      <c r="BW371" s="536"/>
      <c r="BX371" s="536"/>
      <c r="BY371" s="536"/>
      <c r="BZ371" s="536"/>
      <c r="CA371" s="536"/>
      <c r="CB371" s="536"/>
      <c r="CC371" s="536"/>
      <c r="CD371" s="536"/>
    </row>
    <row r="372" spans="1:82" x14ac:dyDescent="0.2">
      <c r="A372" s="1187">
        <f t="shared" si="104"/>
        <v>3</v>
      </c>
      <c r="B372" s="1187">
        <f t="shared" si="105"/>
        <v>2016</v>
      </c>
      <c r="C372" s="552">
        <f t="shared" si="102"/>
        <v>42587</v>
      </c>
      <c r="D372" s="1187" t="str">
        <f t="shared" si="106"/>
        <v>3Q16</v>
      </c>
      <c r="E372" s="1188">
        <v>28.630005000000001</v>
      </c>
      <c r="F372" s="535"/>
      <c r="G372" s="536"/>
      <c r="H372" s="536"/>
      <c r="I372" s="536"/>
      <c r="J372" s="536"/>
      <c r="K372" s="536"/>
      <c r="L372" s="536"/>
      <c r="M372" s="536"/>
      <c r="N372" s="536"/>
      <c r="O372" s="536"/>
      <c r="P372" s="536"/>
      <c r="Q372" s="536"/>
      <c r="R372" s="536"/>
      <c r="S372" s="536"/>
      <c r="T372" s="536"/>
      <c r="U372" s="536"/>
      <c r="V372" s="536"/>
      <c r="W372" s="536"/>
      <c r="X372" s="536"/>
      <c r="Y372" s="536"/>
      <c r="Z372" s="536"/>
      <c r="AA372" s="536"/>
      <c r="AB372" s="536"/>
      <c r="AC372" s="536"/>
      <c r="AD372" s="536"/>
      <c r="AE372" s="536"/>
      <c r="AF372" s="536"/>
      <c r="AG372" s="536"/>
      <c r="AH372" s="536"/>
      <c r="AI372" s="536"/>
      <c r="AJ372" s="536"/>
      <c r="AK372" s="536"/>
      <c r="AL372" s="536"/>
      <c r="AM372" s="536"/>
      <c r="AN372" s="536"/>
      <c r="AO372" s="536"/>
      <c r="AP372" s="536"/>
      <c r="AQ372" s="536"/>
      <c r="AR372" s="536"/>
      <c r="AS372" s="536"/>
      <c r="AT372" s="536"/>
      <c r="AU372" s="536"/>
      <c r="AV372" s="536"/>
      <c r="AW372" s="536"/>
      <c r="AX372" s="536"/>
      <c r="AY372" s="536"/>
      <c r="AZ372" s="536"/>
      <c r="BA372" s="536"/>
      <c r="BB372" s="536"/>
      <c r="BC372" s="536"/>
      <c r="BD372" s="536"/>
      <c r="BE372" s="536"/>
      <c r="BF372" s="536"/>
      <c r="BG372" s="536"/>
      <c r="BH372" s="536"/>
      <c r="BI372" s="536"/>
      <c r="BJ372" s="536"/>
      <c r="BK372" s="536"/>
      <c r="BL372" s="536"/>
      <c r="BM372" s="536"/>
      <c r="BN372" s="536"/>
      <c r="BO372" s="536"/>
      <c r="BP372" s="536"/>
      <c r="BQ372" s="536"/>
      <c r="BR372" s="536"/>
      <c r="BS372" s="536"/>
      <c r="BT372" s="536"/>
      <c r="BU372" s="536"/>
      <c r="BV372" s="536"/>
      <c r="BW372" s="536"/>
      <c r="BX372" s="536"/>
      <c r="BY372" s="536"/>
      <c r="BZ372" s="536"/>
      <c r="CA372" s="536"/>
      <c r="CB372" s="536"/>
      <c r="CC372" s="536"/>
      <c r="CD372" s="536"/>
    </row>
    <row r="373" spans="1:82" x14ac:dyDescent="0.2">
      <c r="A373" s="1187">
        <f t="shared" si="104"/>
        <v>3</v>
      </c>
      <c r="B373" s="1187">
        <f t="shared" si="105"/>
        <v>2016</v>
      </c>
      <c r="C373" s="552">
        <f t="shared" ref="C373:C382" si="107">C372+7</f>
        <v>42594</v>
      </c>
      <c r="D373" s="1187" t="str">
        <f t="shared" si="106"/>
        <v>3Q16</v>
      </c>
      <c r="E373" s="1188">
        <v>28.059998</v>
      </c>
      <c r="F373" s="535"/>
      <c r="G373" s="536"/>
      <c r="H373" s="536"/>
      <c r="I373" s="536"/>
      <c r="J373" s="536"/>
      <c r="K373" s="536"/>
      <c r="L373" s="536"/>
      <c r="M373" s="536"/>
      <c r="N373" s="536"/>
      <c r="O373" s="536"/>
      <c r="P373" s="536"/>
      <c r="Q373" s="536"/>
      <c r="R373" s="536"/>
      <c r="S373" s="536"/>
      <c r="T373" s="536"/>
      <c r="U373" s="536"/>
      <c r="V373" s="536"/>
      <c r="W373" s="536"/>
      <c r="X373" s="536"/>
      <c r="Y373" s="536"/>
      <c r="Z373" s="536"/>
      <c r="AA373" s="536"/>
      <c r="AB373" s="536"/>
      <c r="AC373" s="536"/>
      <c r="AD373" s="536"/>
      <c r="AE373" s="536"/>
      <c r="AF373" s="536"/>
      <c r="AG373" s="536"/>
      <c r="AH373" s="536"/>
      <c r="AI373" s="536"/>
      <c r="AJ373" s="536"/>
      <c r="AK373" s="536"/>
      <c r="AL373" s="536"/>
      <c r="AM373" s="536"/>
      <c r="AN373" s="536"/>
      <c r="AO373" s="536"/>
      <c r="AP373" s="536"/>
      <c r="AQ373" s="536"/>
      <c r="AR373" s="536"/>
      <c r="AS373" s="536"/>
      <c r="AT373" s="536"/>
      <c r="AU373" s="536"/>
      <c r="AV373" s="536"/>
      <c r="AW373" s="536"/>
      <c r="AX373" s="536"/>
      <c r="AY373" s="536"/>
      <c r="AZ373" s="536"/>
      <c r="BA373" s="536"/>
      <c r="BB373" s="536"/>
      <c r="BC373" s="536"/>
      <c r="BD373" s="536"/>
      <c r="BE373" s="536"/>
      <c r="BF373" s="536"/>
      <c r="BG373" s="536"/>
      <c r="BH373" s="536"/>
      <c r="BI373" s="536"/>
      <c r="BJ373" s="536"/>
      <c r="BK373" s="536"/>
      <c r="BL373" s="536"/>
      <c r="BM373" s="536"/>
      <c r="BN373" s="536"/>
      <c r="BO373" s="536"/>
      <c r="BP373" s="536"/>
      <c r="BQ373" s="536"/>
      <c r="BR373" s="536"/>
      <c r="BS373" s="536"/>
      <c r="BT373" s="536"/>
      <c r="BU373" s="536"/>
      <c r="BV373" s="536"/>
      <c r="BW373" s="536"/>
      <c r="BX373" s="536"/>
      <c r="BY373" s="536"/>
      <c r="BZ373" s="536"/>
      <c r="CA373" s="536"/>
      <c r="CB373" s="536"/>
      <c r="CC373" s="536"/>
      <c r="CD373" s="536"/>
    </row>
    <row r="374" spans="1:82" x14ac:dyDescent="0.2">
      <c r="A374" s="1187">
        <f t="shared" si="104"/>
        <v>3</v>
      </c>
      <c r="B374" s="1187">
        <f t="shared" si="105"/>
        <v>2016</v>
      </c>
      <c r="C374" s="552">
        <f t="shared" si="107"/>
        <v>42601</v>
      </c>
      <c r="D374" s="1187" t="str">
        <f t="shared" si="106"/>
        <v>3Q16</v>
      </c>
      <c r="E374" s="1188">
        <v>28.669999000000001</v>
      </c>
      <c r="F374" s="535"/>
      <c r="G374" s="536"/>
      <c r="H374" s="536"/>
      <c r="I374" s="536"/>
      <c r="J374" s="536"/>
      <c r="K374" s="536"/>
      <c r="L374" s="536"/>
      <c r="M374" s="536"/>
      <c r="N374" s="536"/>
      <c r="O374" s="536"/>
      <c r="P374" s="536"/>
      <c r="Q374" s="536"/>
      <c r="R374" s="536"/>
      <c r="S374" s="536"/>
      <c r="T374" s="536"/>
      <c r="U374" s="536"/>
      <c r="V374" s="536"/>
      <c r="W374" s="536"/>
      <c r="X374" s="536"/>
      <c r="Y374" s="536"/>
      <c r="Z374" s="536"/>
      <c r="AA374" s="536"/>
      <c r="AB374" s="536"/>
      <c r="AC374" s="536"/>
      <c r="AD374" s="536"/>
      <c r="AE374" s="536"/>
      <c r="AF374" s="536"/>
      <c r="AG374" s="536"/>
      <c r="AH374" s="536"/>
      <c r="AI374" s="536"/>
      <c r="AJ374" s="536"/>
      <c r="AK374" s="536"/>
      <c r="AL374" s="536"/>
      <c r="AM374" s="536"/>
      <c r="AN374" s="536"/>
      <c r="AO374" s="536"/>
      <c r="AP374" s="536"/>
      <c r="AQ374" s="536"/>
      <c r="AR374" s="536"/>
      <c r="AS374" s="536"/>
      <c r="AT374" s="536"/>
      <c r="AU374" s="536"/>
      <c r="AV374" s="536"/>
      <c r="AW374" s="536"/>
      <c r="AX374" s="536"/>
      <c r="AY374" s="536"/>
      <c r="AZ374" s="536"/>
      <c r="BA374" s="536"/>
      <c r="BB374" s="536"/>
      <c r="BC374" s="536"/>
      <c r="BD374" s="536"/>
      <c r="BE374" s="536"/>
      <c r="BF374" s="536"/>
      <c r="BG374" s="536"/>
      <c r="BH374" s="536"/>
      <c r="BI374" s="536"/>
      <c r="BJ374" s="536"/>
      <c r="BK374" s="536"/>
      <c r="BL374" s="536"/>
      <c r="BM374" s="536"/>
      <c r="BN374" s="536"/>
      <c r="BO374" s="536"/>
      <c r="BP374" s="536"/>
      <c r="BQ374" s="536"/>
      <c r="BR374" s="536"/>
      <c r="BS374" s="536"/>
      <c r="BT374" s="536"/>
      <c r="BU374" s="536"/>
      <c r="BV374" s="536"/>
      <c r="BW374" s="536"/>
      <c r="BX374" s="536"/>
      <c r="BY374" s="536"/>
      <c r="BZ374" s="536"/>
      <c r="CA374" s="536"/>
      <c r="CB374" s="536"/>
      <c r="CC374" s="536"/>
      <c r="CD374" s="536"/>
    </row>
    <row r="375" spans="1:82" x14ac:dyDescent="0.2">
      <c r="A375" s="1187">
        <f t="shared" si="104"/>
        <v>3</v>
      </c>
      <c r="B375" s="1187">
        <f t="shared" si="105"/>
        <v>2016</v>
      </c>
      <c r="C375" s="552">
        <f t="shared" si="107"/>
        <v>42608</v>
      </c>
      <c r="D375" s="1187" t="str">
        <f t="shared" si="106"/>
        <v>3Q16</v>
      </c>
      <c r="E375" s="1188">
        <v>28.190003000000001</v>
      </c>
      <c r="F375" s="535"/>
      <c r="G375" s="536"/>
      <c r="H375" s="536"/>
      <c r="I375" s="536"/>
      <c r="J375" s="536"/>
      <c r="K375" s="536"/>
      <c r="L375" s="536"/>
      <c r="M375" s="536"/>
      <c r="N375" s="536"/>
      <c r="O375" s="536"/>
      <c r="P375" s="536"/>
      <c r="Q375" s="536"/>
      <c r="R375" s="536"/>
      <c r="S375" s="536"/>
      <c r="T375" s="536"/>
      <c r="U375" s="536"/>
      <c r="V375" s="536"/>
      <c r="W375" s="536"/>
      <c r="X375" s="536"/>
      <c r="Y375" s="536"/>
      <c r="Z375" s="536"/>
      <c r="AA375" s="536"/>
      <c r="AB375" s="536"/>
      <c r="AC375" s="536"/>
      <c r="AD375" s="536"/>
      <c r="AE375" s="536"/>
      <c r="AF375" s="536"/>
      <c r="AG375" s="536"/>
      <c r="AH375" s="536"/>
      <c r="AI375" s="536"/>
      <c r="AJ375" s="536"/>
      <c r="AK375" s="536"/>
      <c r="AL375" s="536"/>
      <c r="AM375" s="536"/>
      <c r="AN375" s="536"/>
      <c r="AO375" s="536"/>
      <c r="AP375" s="536"/>
      <c r="AQ375" s="536"/>
      <c r="AR375" s="536"/>
      <c r="AS375" s="536"/>
      <c r="AT375" s="536"/>
      <c r="AU375" s="536"/>
      <c r="AV375" s="536"/>
      <c r="AW375" s="536"/>
      <c r="AX375" s="536"/>
      <c r="AY375" s="536"/>
      <c r="AZ375" s="536"/>
      <c r="BA375" s="536"/>
      <c r="BB375" s="536"/>
      <c r="BC375" s="536"/>
      <c r="BD375" s="536"/>
      <c r="BE375" s="536"/>
      <c r="BF375" s="536"/>
      <c r="BG375" s="536"/>
      <c r="BH375" s="536"/>
      <c r="BI375" s="536"/>
      <c r="BJ375" s="536"/>
      <c r="BK375" s="536"/>
      <c r="BL375" s="536"/>
      <c r="BM375" s="536"/>
      <c r="BN375" s="536"/>
      <c r="BO375" s="536"/>
      <c r="BP375" s="536"/>
      <c r="BQ375" s="536"/>
      <c r="BR375" s="536"/>
      <c r="BS375" s="536"/>
      <c r="BT375" s="536"/>
      <c r="BU375" s="536"/>
      <c r="BV375" s="536"/>
      <c r="BW375" s="536"/>
      <c r="BX375" s="536"/>
      <c r="BY375" s="536"/>
      <c r="BZ375" s="536"/>
      <c r="CA375" s="536"/>
      <c r="CB375" s="536"/>
      <c r="CC375" s="536"/>
      <c r="CD375" s="536"/>
    </row>
    <row r="376" spans="1:82" x14ac:dyDescent="0.2">
      <c r="A376" s="1187">
        <f t="shared" si="104"/>
        <v>3</v>
      </c>
      <c r="B376" s="1187">
        <f t="shared" si="105"/>
        <v>2016</v>
      </c>
      <c r="C376" s="552">
        <f t="shared" si="107"/>
        <v>42615</v>
      </c>
      <c r="D376" s="1187" t="str">
        <f t="shared" si="106"/>
        <v>3Q16</v>
      </c>
      <c r="E376" s="1188">
        <v>28.14</v>
      </c>
      <c r="F376" s="535"/>
      <c r="G376" s="536"/>
      <c r="H376" s="536"/>
      <c r="I376" s="536"/>
      <c r="J376" s="536"/>
      <c r="K376" s="536"/>
      <c r="L376" s="536"/>
      <c r="M376" s="536"/>
      <c r="N376" s="536"/>
      <c r="O376" s="536"/>
      <c r="P376" s="536"/>
      <c r="Q376" s="536"/>
      <c r="R376" s="536"/>
      <c r="S376" s="536"/>
      <c r="T376" s="536"/>
      <c r="U376" s="536"/>
      <c r="V376" s="536"/>
      <c r="W376" s="536"/>
      <c r="X376" s="536"/>
      <c r="Y376" s="536"/>
      <c r="Z376" s="536"/>
      <c r="AA376" s="536"/>
      <c r="AB376" s="536"/>
      <c r="AC376" s="536"/>
      <c r="AD376" s="536"/>
      <c r="AE376" s="536"/>
      <c r="AF376" s="536"/>
      <c r="AG376" s="536"/>
      <c r="AH376" s="536"/>
      <c r="AI376" s="536"/>
      <c r="AJ376" s="536"/>
      <c r="AK376" s="536"/>
      <c r="AL376" s="536"/>
      <c r="AM376" s="536"/>
      <c r="AN376" s="536"/>
      <c r="AO376" s="536"/>
      <c r="AP376" s="536"/>
      <c r="AQ376" s="536"/>
      <c r="AR376" s="536"/>
      <c r="AS376" s="536"/>
      <c r="AT376" s="536"/>
      <c r="AU376" s="536"/>
      <c r="AV376" s="536"/>
      <c r="AW376" s="536"/>
      <c r="AX376" s="536"/>
      <c r="AY376" s="536"/>
      <c r="AZ376" s="536"/>
      <c r="BA376" s="536"/>
      <c r="BB376" s="536"/>
      <c r="BC376" s="536"/>
      <c r="BD376" s="536"/>
      <c r="BE376" s="536"/>
      <c r="BF376" s="536"/>
      <c r="BG376" s="536"/>
      <c r="BH376" s="536"/>
      <c r="BI376" s="536"/>
      <c r="BJ376" s="536"/>
      <c r="BK376" s="536"/>
      <c r="BL376" s="536"/>
      <c r="BM376" s="536"/>
      <c r="BN376" s="536"/>
      <c r="BO376" s="536"/>
      <c r="BP376" s="536"/>
      <c r="BQ376" s="536"/>
      <c r="BR376" s="536"/>
      <c r="BS376" s="536"/>
      <c r="BT376" s="536"/>
      <c r="BU376" s="536"/>
      <c r="BV376" s="536"/>
      <c r="BW376" s="536"/>
      <c r="BX376" s="536"/>
      <c r="BY376" s="536"/>
      <c r="BZ376" s="536"/>
      <c r="CA376" s="536"/>
      <c r="CB376" s="536"/>
      <c r="CC376" s="536"/>
      <c r="CD376" s="536"/>
    </row>
    <row r="377" spans="1:82" x14ac:dyDescent="0.2">
      <c r="A377" s="1187">
        <f t="shared" si="104"/>
        <v>3</v>
      </c>
      <c r="B377" s="1187">
        <f t="shared" si="105"/>
        <v>2016</v>
      </c>
      <c r="C377" s="552">
        <f t="shared" si="107"/>
        <v>42622</v>
      </c>
      <c r="D377" s="1187" t="str">
        <f t="shared" si="106"/>
        <v>3Q16</v>
      </c>
      <c r="E377" s="1188">
        <v>27.89</v>
      </c>
      <c r="F377" s="535"/>
      <c r="G377" s="536"/>
      <c r="H377" s="536"/>
      <c r="I377" s="536"/>
      <c r="J377" s="536"/>
      <c r="K377" s="536"/>
      <c r="L377" s="536"/>
      <c r="M377" s="536"/>
      <c r="N377" s="536"/>
      <c r="O377" s="536"/>
      <c r="P377" s="536"/>
      <c r="Q377" s="536"/>
      <c r="R377" s="536"/>
      <c r="S377" s="536"/>
      <c r="T377" s="536"/>
      <c r="U377" s="536"/>
      <c r="V377" s="536"/>
      <c r="W377" s="536"/>
      <c r="X377" s="536"/>
      <c r="Y377" s="536"/>
      <c r="Z377" s="536"/>
      <c r="AA377" s="536"/>
      <c r="AB377" s="536"/>
      <c r="AC377" s="536"/>
      <c r="AD377" s="536"/>
      <c r="AE377" s="536"/>
      <c r="AF377" s="536"/>
      <c r="AG377" s="536"/>
      <c r="AH377" s="536"/>
      <c r="AI377" s="536"/>
      <c r="AJ377" s="536"/>
      <c r="AK377" s="536"/>
      <c r="AL377" s="536"/>
      <c r="AM377" s="536"/>
      <c r="AN377" s="536"/>
      <c r="AO377" s="536"/>
      <c r="AP377" s="536"/>
      <c r="AQ377" s="536"/>
      <c r="AR377" s="536"/>
      <c r="AS377" s="536"/>
      <c r="AT377" s="536"/>
      <c r="AU377" s="536"/>
      <c r="AV377" s="536"/>
      <c r="AW377" s="536"/>
      <c r="AX377" s="536"/>
      <c r="AY377" s="536"/>
      <c r="AZ377" s="536"/>
      <c r="BA377" s="536"/>
      <c r="BB377" s="536"/>
      <c r="BC377" s="536"/>
      <c r="BD377" s="536"/>
      <c r="BE377" s="536"/>
      <c r="BF377" s="536"/>
      <c r="BG377" s="536"/>
      <c r="BH377" s="536"/>
      <c r="BI377" s="536"/>
      <c r="BJ377" s="536"/>
      <c r="BK377" s="536"/>
      <c r="BL377" s="536"/>
      <c r="BM377" s="536"/>
      <c r="BN377" s="536"/>
      <c r="BO377" s="536"/>
      <c r="BP377" s="536"/>
      <c r="BQ377" s="536"/>
      <c r="BR377" s="536"/>
      <c r="BS377" s="536"/>
      <c r="BT377" s="536"/>
      <c r="BU377" s="536"/>
      <c r="BV377" s="536"/>
      <c r="BW377" s="536"/>
      <c r="BX377" s="536"/>
      <c r="BY377" s="536"/>
      <c r="BZ377" s="536"/>
      <c r="CA377" s="536"/>
      <c r="CB377" s="536"/>
      <c r="CC377" s="536"/>
      <c r="CD377" s="536"/>
    </row>
    <row r="378" spans="1:82" x14ac:dyDescent="0.2">
      <c r="A378" s="1187">
        <f t="shared" si="104"/>
        <v>3</v>
      </c>
      <c r="B378" s="1187">
        <f t="shared" si="105"/>
        <v>2016</v>
      </c>
      <c r="C378" s="552">
        <f t="shared" si="107"/>
        <v>42629</v>
      </c>
      <c r="D378" s="1187" t="str">
        <f t="shared" si="106"/>
        <v>3Q16</v>
      </c>
      <c r="E378" s="1188">
        <v>29.330002</v>
      </c>
      <c r="F378" s="535"/>
      <c r="G378" s="536"/>
      <c r="H378" s="536"/>
      <c r="I378" s="536"/>
      <c r="J378" s="536"/>
      <c r="K378" s="536"/>
      <c r="L378" s="536"/>
      <c r="M378" s="536"/>
      <c r="N378" s="536"/>
      <c r="O378" s="536"/>
      <c r="P378" s="536"/>
      <c r="Q378" s="536"/>
      <c r="R378" s="536"/>
      <c r="S378" s="536"/>
      <c r="T378" s="536"/>
      <c r="U378" s="536"/>
      <c r="V378" s="536"/>
      <c r="W378" s="536"/>
      <c r="X378" s="536"/>
      <c r="Y378" s="536"/>
      <c r="Z378" s="536"/>
      <c r="AA378" s="536"/>
      <c r="AB378" s="536"/>
      <c r="AC378" s="536"/>
      <c r="AD378" s="536"/>
      <c r="AE378" s="536"/>
      <c r="AF378" s="536"/>
      <c r="AG378" s="536"/>
      <c r="AH378" s="536"/>
      <c r="AI378" s="536"/>
      <c r="AJ378" s="536"/>
      <c r="AK378" s="536"/>
      <c r="AL378" s="536"/>
      <c r="AM378" s="536"/>
      <c r="AN378" s="536"/>
      <c r="AO378" s="536"/>
      <c r="AP378" s="536"/>
      <c r="AQ378" s="536"/>
      <c r="AR378" s="536"/>
      <c r="AS378" s="536"/>
      <c r="AT378" s="536"/>
      <c r="AU378" s="536"/>
      <c r="AV378" s="536"/>
      <c r="AW378" s="536"/>
      <c r="AX378" s="536"/>
      <c r="AY378" s="536"/>
      <c r="AZ378" s="536"/>
      <c r="BA378" s="536"/>
      <c r="BB378" s="536"/>
      <c r="BC378" s="536"/>
      <c r="BD378" s="536"/>
      <c r="BE378" s="536"/>
      <c r="BF378" s="536"/>
      <c r="BG378" s="536"/>
      <c r="BH378" s="536"/>
      <c r="BI378" s="536"/>
      <c r="BJ378" s="536"/>
      <c r="BK378" s="536"/>
      <c r="BL378" s="536"/>
      <c r="BM378" s="536"/>
      <c r="BN378" s="536"/>
      <c r="BO378" s="536"/>
      <c r="BP378" s="536"/>
      <c r="BQ378" s="536"/>
      <c r="BR378" s="536"/>
      <c r="BS378" s="536"/>
      <c r="BT378" s="536"/>
      <c r="BU378" s="536"/>
      <c r="BV378" s="536"/>
      <c r="BW378" s="536"/>
      <c r="BX378" s="536"/>
      <c r="BY378" s="536"/>
      <c r="BZ378" s="536"/>
      <c r="CA378" s="536"/>
      <c r="CB378" s="536"/>
      <c r="CC378" s="536"/>
      <c r="CD378" s="536"/>
    </row>
    <row r="379" spans="1:82" x14ac:dyDescent="0.2">
      <c r="A379" s="1187">
        <f t="shared" si="104"/>
        <v>3</v>
      </c>
      <c r="B379" s="1187">
        <f t="shared" si="105"/>
        <v>2016</v>
      </c>
      <c r="C379" s="552">
        <f t="shared" si="107"/>
        <v>42636</v>
      </c>
      <c r="D379" s="1187" t="str">
        <f t="shared" si="106"/>
        <v>3Q16</v>
      </c>
      <c r="E379" s="1188">
        <v>29.64</v>
      </c>
      <c r="F379" s="535"/>
      <c r="G379" s="536"/>
      <c r="H379" s="536"/>
      <c r="I379" s="536"/>
      <c r="J379" s="536"/>
      <c r="K379" s="536"/>
      <c r="L379" s="536"/>
      <c r="M379" s="536"/>
      <c r="N379" s="536"/>
      <c r="O379" s="536"/>
      <c r="P379" s="536"/>
      <c r="Q379" s="536"/>
      <c r="R379" s="536"/>
      <c r="S379" s="536"/>
      <c r="T379" s="536"/>
      <c r="U379" s="536"/>
      <c r="V379" s="536"/>
      <c r="W379" s="536"/>
      <c r="X379" s="536"/>
      <c r="Y379" s="536"/>
      <c r="Z379" s="536"/>
      <c r="AA379" s="536"/>
      <c r="AB379" s="536"/>
      <c r="AC379" s="536"/>
      <c r="AD379" s="536"/>
      <c r="AE379" s="536"/>
      <c r="AF379" s="536"/>
      <c r="AG379" s="536"/>
      <c r="AH379" s="536"/>
      <c r="AI379" s="536"/>
      <c r="AJ379" s="536"/>
      <c r="AK379" s="536"/>
      <c r="AL379" s="536"/>
      <c r="AM379" s="536"/>
      <c r="AN379" s="536"/>
      <c r="AO379" s="536"/>
      <c r="AP379" s="536"/>
      <c r="AQ379" s="536"/>
      <c r="AR379" s="536"/>
      <c r="AS379" s="536"/>
      <c r="AT379" s="536"/>
      <c r="AU379" s="536"/>
      <c r="AV379" s="536"/>
      <c r="AW379" s="536"/>
      <c r="AX379" s="536"/>
      <c r="AY379" s="536"/>
      <c r="AZ379" s="536"/>
      <c r="BA379" s="536"/>
      <c r="BB379" s="536"/>
      <c r="BC379" s="536"/>
      <c r="BD379" s="536"/>
      <c r="BE379" s="536"/>
      <c r="BF379" s="536"/>
      <c r="BG379" s="536"/>
      <c r="BH379" s="536"/>
      <c r="BI379" s="536"/>
      <c r="BJ379" s="536"/>
      <c r="BK379" s="536"/>
      <c r="BL379" s="536"/>
      <c r="BM379" s="536"/>
      <c r="BN379" s="536"/>
      <c r="BO379" s="536"/>
      <c r="BP379" s="536"/>
      <c r="BQ379" s="536"/>
      <c r="BR379" s="536"/>
      <c r="BS379" s="536"/>
      <c r="BT379" s="536"/>
      <c r="BU379" s="536"/>
      <c r="BV379" s="536"/>
      <c r="BW379" s="536"/>
      <c r="BX379" s="536"/>
      <c r="BY379" s="536"/>
      <c r="BZ379" s="536"/>
      <c r="CA379" s="536"/>
      <c r="CB379" s="536"/>
      <c r="CC379" s="536"/>
      <c r="CD379" s="536"/>
    </row>
    <row r="380" spans="1:82" x14ac:dyDescent="0.2">
      <c r="A380" s="1187">
        <f t="shared" si="104"/>
        <v>4</v>
      </c>
      <c r="B380" s="1187">
        <f t="shared" ref="B380:B382" si="108">YEAR(C380)</f>
        <v>2016</v>
      </c>
      <c r="C380" s="552">
        <f t="shared" si="107"/>
        <v>42643</v>
      </c>
      <c r="D380" s="1187" t="str">
        <f t="shared" ref="D380:D382" si="109">A380&amp;"Q"&amp;RIGHT(B380,2)</f>
        <v>4Q16</v>
      </c>
      <c r="E380" s="1188">
        <v>30.5</v>
      </c>
      <c r="F380" s="535"/>
      <c r="G380" s="536"/>
      <c r="H380" s="536"/>
      <c r="I380" s="536"/>
      <c r="J380" s="536"/>
      <c r="K380" s="536"/>
      <c r="L380" s="536"/>
      <c r="M380" s="536"/>
      <c r="N380" s="536"/>
      <c r="O380" s="536"/>
      <c r="P380" s="536"/>
      <c r="Q380" s="536"/>
      <c r="R380" s="536"/>
      <c r="S380" s="536"/>
      <c r="T380" s="536"/>
      <c r="U380" s="536"/>
      <c r="V380" s="536"/>
      <c r="W380" s="536"/>
      <c r="X380" s="536"/>
      <c r="Y380" s="536"/>
      <c r="Z380" s="536"/>
      <c r="AA380" s="536"/>
      <c r="AB380" s="536"/>
      <c r="AC380" s="536"/>
      <c r="AD380" s="536"/>
      <c r="AE380" s="536"/>
      <c r="AF380" s="536"/>
      <c r="AG380" s="536"/>
      <c r="AH380" s="536"/>
      <c r="AI380" s="536"/>
      <c r="AJ380" s="536"/>
      <c r="AK380" s="536"/>
      <c r="AL380" s="536"/>
      <c r="AM380" s="536"/>
      <c r="AN380" s="536"/>
      <c r="AO380" s="536"/>
      <c r="AP380" s="536"/>
      <c r="AQ380" s="536"/>
      <c r="AR380" s="536"/>
      <c r="AS380" s="536"/>
      <c r="AT380" s="536"/>
      <c r="AU380" s="536"/>
      <c r="AV380" s="536"/>
      <c r="AW380" s="536"/>
      <c r="AX380" s="536"/>
      <c r="AY380" s="536"/>
      <c r="AZ380" s="536"/>
      <c r="BA380" s="536"/>
      <c r="BB380" s="536"/>
      <c r="BC380" s="536"/>
      <c r="BD380" s="536"/>
      <c r="BE380" s="536"/>
      <c r="BF380" s="536"/>
      <c r="BG380" s="536"/>
      <c r="BH380" s="536"/>
      <c r="BI380" s="536"/>
      <c r="BJ380" s="536"/>
      <c r="BK380" s="536"/>
      <c r="BL380" s="536"/>
      <c r="BM380" s="536"/>
      <c r="BN380" s="536"/>
      <c r="BO380" s="536"/>
      <c r="BP380" s="536"/>
      <c r="BQ380" s="536"/>
      <c r="BR380" s="536"/>
      <c r="BS380" s="536"/>
      <c r="BT380" s="536"/>
      <c r="BU380" s="536"/>
      <c r="BV380" s="536"/>
      <c r="BW380" s="536"/>
      <c r="BX380" s="536"/>
      <c r="BY380" s="536"/>
      <c r="BZ380" s="536"/>
      <c r="CA380" s="536"/>
      <c r="CB380" s="536"/>
      <c r="CC380" s="536"/>
      <c r="CD380" s="536"/>
    </row>
    <row r="381" spans="1:82" x14ac:dyDescent="0.2">
      <c r="A381" s="1187">
        <f t="shared" si="104"/>
        <v>4</v>
      </c>
      <c r="B381" s="1187">
        <f t="shared" si="108"/>
        <v>2016</v>
      </c>
      <c r="C381" s="552">
        <f t="shared" si="107"/>
        <v>42650</v>
      </c>
      <c r="D381" s="1187" t="str">
        <f t="shared" si="109"/>
        <v>4Q16</v>
      </c>
      <c r="E381" s="1188">
        <v>31.050004000000001</v>
      </c>
      <c r="F381" s="535"/>
      <c r="G381" s="536"/>
      <c r="H381" s="536"/>
      <c r="I381" s="536"/>
      <c r="J381" s="536"/>
      <c r="K381" s="536"/>
      <c r="L381" s="536"/>
      <c r="M381" s="536"/>
      <c r="N381" s="536"/>
      <c r="O381" s="536"/>
      <c r="P381" s="536"/>
      <c r="Q381" s="536"/>
      <c r="R381" s="536"/>
      <c r="S381" s="536"/>
      <c r="T381" s="536"/>
      <c r="U381" s="536"/>
      <c r="V381" s="536"/>
      <c r="W381" s="536"/>
      <c r="X381" s="536"/>
      <c r="Y381" s="536"/>
      <c r="Z381" s="536"/>
      <c r="AA381" s="536"/>
      <c r="AB381" s="536"/>
      <c r="AC381" s="536"/>
      <c r="AD381" s="536"/>
      <c r="AE381" s="536"/>
      <c r="AF381" s="536"/>
      <c r="AG381" s="536"/>
      <c r="AH381" s="536"/>
      <c r="AI381" s="536"/>
      <c r="AJ381" s="536"/>
      <c r="AK381" s="536"/>
      <c r="AL381" s="536"/>
      <c r="AM381" s="536"/>
      <c r="AN381" s="536"/>
      <c r="AO381" s="536"/>
      <c r="AP381" s="536"/>
      <c r="AQ381" s="536"/>
      <c r="AR381" s="536"/>
      <c r="AS381" s="536"/>
      <c r="AT381" s="536"/>
      <c r="AU381" s="536"/>
      <c r="AV381" s="536"/>
      <c r="AW381" s="536"/>
      <c r="AX381" s="536"/>
      <c r="AY381" s="536"/>
      <c r="AZ381" s="536"/>
      <c r="BA381" s="536"/>
      <c r="BB381" s="536"/>
      <c r="BC381" s="536"/>
      <c r="BD381" s="536"/>
      <c r="BE381" s="536"/>
      <c r="BF381" s="536"/>
      <c r="BG381" s="536"/>
      <c r="BH381" s="536"/>
      <c r="BI381" s="536"/>
      <c r="BJ381" s="536"/>
      <c r="BK381" s="536"/>
      <c r="BL381" s="536"/>
      <c r="BM381" s="536"/>
      <c r="BN381" s="536"/>
      <c r="BO381" s="536"/>
      <c r="BP381" s="536"/>
      <c r="BQ381" s="536"/>
      <c r="BR381" s="536"/>
      <c r="BS381" s="536"/>
      <c r="BT381" s="536"/>
      <c r="BU381" s="536"/>
      <c r="BV381" s="536"/>
      <c r="BW381" s="536"/>
      <c r="BX381" s="536"/>
      <c r="BY381" s="536"/>
      <c r="BZ381" s="536"/>
      <c r="CA381" s="536"/>
      <c r="CB381" s="536"/>
      <c r="CC381" s="536"/>
      <c r="CD381" s="536"/>
    </row>
    <row r="382" spans="1:82" x14ac:dyDescent="0.2">
      <c r="A382" s="1187">
        <f t="shared" si="104"/>
        <v>4</v>
      </c>
      <c r="B382" s="1187">
        <f t="shared" si="108"/>
        <v>2016</v>
      </c>
      <c r="C382" s="552">
        <f t="shared" si="107"/>
        <v>42657</v>
      </c>
      <c r="D382" s="1187" t="str">
        <f t="shared" si="109"/>
        <v>4Q16</v>
      </c>
      <c r="E382" s="1188">
        <v>31.024994</v>
      </c>
      <c r="F382" s="535"/>
      <c r="G382" s="536"/>
      <c r="H382" s="536"/>
      <c r="I382" s="536"/>
      <c r="J382" s="536"/>
      <c r="K382" s="536"/>
      <c r="L382" s="536"/>
      <c r="M382" s="536"/>
      <c r="N382" s="536"/>
      <c r="O382" s="536"/>
      <c r="P382" s="536"/>
      <c r="Q382" s="536"/>
      <c r="R382" s="536"/>
      <c r="S382" s="536"/>
      <c r="T382" s="536"/>
      <c r="U382" s="536"/>
      <c r="V382" s="536"/>
      <c r="W382" s="536"/>
      <c r="X382" s="536"/>
      <c r="Y382" s="536"/>
      <c r="Z382" s="536"/>
      <c r="AA382" s="536"/>
      <c r="AB382" s="536"/>
      <c r="AC382" s="536"/>
      <c r="AD382" s="536"/>
      <c r="AE382" s="536"/>
      <c r="AF382" s="536"/>
      <c r="AG382" s="536"/>
      <c r="AH382" s="536"/>
      <c r="AI382" s="536"/>
      <c r="AJ382" s="536"/>
      <c r="AK382" s="536"/>
      <c r="AL382" s="536"/>
      <c r="AM382" s="536"/>
      <c r="AN382" s="536"/>
      <c r="AO382" s="536"/>
      <c r="AP382" s="536"/>
      <c r="AQ382" s="536"/>
      <c r="AR382" s="536"/>
      <c r="AS382" s="536"/>
      <c r="AT382" s="536"/>
      <c r="AU382" s="536"/>
      <c r="AV382" s="536"/>
      <c r="AW382" s="536"/>
      <c r="AX382" s="536"/>
      <c r="AY382" s="536"/>
      <c r="AZ382" s="536"/>
      <c r="BA382" s="536"/>
      <c r="BB382" s="536"/>
      <c r="BC382" s="536"/>
      <c r="BD382" s="536"/>
      <c r="BE382" s="536"/>
      <c r="BF382" s="536"/>
      <c r="BG382" s="536"/>
      <c r="BH382" s="536"/>
      <c r="BI382" s="536"/>
      <c r="BJ382" s="536"/>
      <c r="BK382" s="536"/>
      <c r="BL382" s="536"/>
      <c r="BM382" s="536"/>
      <c r="BN382" s="536"/>
      <c r="BO382" s="536"/>
      <c r="BP382" s="536"/>
      <c r="BQ382" s="536"/>
      <c r="BR382" s="536"/>
      <c r="BS382" s="536"/>
      <c r="BT382" s="536"/>
      <c r="BU382" s="536"/>
      <c r="BV382" s="536"/>
      <c r="BW382" s="536"/>
      <c r="BX382" s="536"/>
      <c r="BY382" s="536"/>
      <c r="BZ382" s="536"/>
      <c r="CA382" s="536"/>
      <c r="CB382" s="536"/>
      <c r="CC382" s="536"/>
      <c r="CD382" s="536"/>
    </row>
    <row r="383" spans="1:82" x14ac:dyDescent="0.2">
      <c r="A383" s="1187">
        <f t="shared" si="104"/>
        <v>4</v>
      </c>
      <c r="B383" s="1187">
        <f t="shared" ref="B383:B424" si="110">YEAR(C383)</f>
        <v>2016</v>
      </c>
      <c r="C383" s="552">
        <f t="shared" ref="C383:C436" si="111">C382+7</f>
        <v>42664</v>
      </c>
      <c r="D383" s="1187" t="str">
        <f t="shared" ref="D383:D424" si="112">A383&amp;"Q"&amp;RIGHT(B383,2)</f>
        <v>4Q16</v>
      </c>
      <c r="E383" s="1188">
        <v>30.289994</v>
      </c>
      <c r="F383" s="535"/>
      <c r="G383" s="536"/>
      <c r="H383" s="536"/>
      <c r="I383" s="536"/>
      <c r="J383" s="536"/>
      <c r="K383" s="536"/>
      <c r="L383" s="536"/>
      <c r="M383" s="536"/>
      <c r="N383" s="536"/>
      <c r="O383" s="536"/>
      <c r="P383" s="536"/>
      <c r="Q383" s="536"/>
      <c r="R383" s="536"/>
      <c r="S383" s="536"/>
      <c r="T383" s="536"/>
      <c r="U383" s="536"/>
      <c r="V383" s="536"/>
      <c r="W383" s="536"/>
      <c r="X383" s="536"/>
      <c r="Y383" s="536"/>
      <c r="Z383" s="536"/>
      <c r="AA383" s="536"/>
      <c r="AB383" s="536"/>
      <c r="AC383" s="536"/>
      <c r="AD383" s="536"/>
      <c r="AE383" s="536"/>
      <c r="AF383" s="536"/>
      <c r="AG383" s="536"/>
      <c r="AH383" s="536"/>
      <c r="AI383" s="536"/>
      <c r="AJ383" s="536"/>
      <c r="AK383" s="536"/>
      <c r="AL383" s="536"/>
      <c r="AM383" s="536"/>
      <c r="AN383" s="536"/>
      <c r="AO383" s="536"/>
      <c r="AP383" s="536"/>
      <c r="AQ383" s="536"/>
      <c r="AR383" s="536"/>
      <c r="AS383" s="536"/>
      <c r="AT383" s="536"/>
      <c r="AU383" s="536"/>
      <c r="AV383" s="536"/>
      <c r="AW383" s="536"/>
      <c r="AX383" s="536"/>
      <c r="AY383" s="536"/>
      <c r="AZ383" s="536"/>
      <c r="BA383" s="536"/>
      <c r="BB383" s="536"/>
      <c r="BC383" s="536"/>
      <c r="BD383" s="536"/>
      <c r="BE383" s="536"/>
      <c r="BF383" s="536"/>
      <c r="BG383" s="536"/>
      <c r="BH383" s="536"/>
      <c r="BI383" s="536"/>
      <c r="BJ383" s="536"/>
      <c r="BK383" s="536"/>
      <c r="BL383" s="536"/>
      <c r="BM383" s="536"/>
      <c r="BN383" s="536"/>
      <c r="BO383" s="536"/>
      <c r="BP383" s="536"/>
      <c r="BQ383" s="536"/>
      <c r="BR383" s="536"/>
      <c r="BS383" s="536"/>
      <c r="BT383" s="536"/>
      <c r="BU383" s="536"/>
      <c r="BV383" s="536"/>
      <c r="BW383" s="536"/>
      <c r="BX383" s="536"/>
      <c r="BY383" s="536"/>
      <c r="BZ383" s="536"/>
      <c r="CA383" s="536"/>
      <c r="CB383" s="536"/>
      <c r="CC383" s="536"/>
      <c r="CD383" s="536"/>
    </row>
    <row r="384" spans="1:82" x14ac:dyDescent="0.2">
      <c r="A384" s="1187">
        <f t="shared" si="104"/>
        <v>4</v>
      </c>
      <c r="B384" s="1187">
        <f t="shared" si="110"/>
        <v>2016</v>
      </c>
      <c r="C384" s="552">
        <f t="shared" si="111"/>
        <v>42671</v>
      </c>
      <c r="D384" s="1187" t="str">
        <f t="shared" si="112"/>
        <v>4Q16</v>
      </c>
      <c r="E384" s="1188">
        <v>30.279999</v>
      </c>
      <c r="F384" s="535"/>
      <c r="G384" s="536"/>
      <c r="H384" s="536"/>
      <c r="I384" s="536"/>
      <c r="J384" s="536"/>
      <c r="K384" s="536"/>
      <c r="L384" s="536"/>
      <c r="M384" s="536"/>
      <c r="N384" s="536"/>
      <c r="O384" s="536"/>
      <c r="P384" s="536"/>
      <c r="Q384" s="536"/>
      <c r="R384" s="536"/>
      <c r="S384" s="536"/>
      <c r="T384" s="536"/>
      <c r="U384" s="536"/>
      <c r="V384" s="536"/>
      <c r="W384" s="536"/>
      <c r="X384" s="536"/>
      <c r="Y384" s="536"/>
      <c r="Z384" s="536"/>
      <c r="AA384" s="536"/>
      <c r="AB384" s="536"/>
      <c r="AC384" s="536"/>
      <c r="AD384" s="536"/>
      <c r="AE384" s="536"/>
      <c r="AF384" s="536"/>
      <c r="AG384" s="536"/>
      <c r="AH384" s="536"/>
      <c r="AI384" s="536"/>
      <c r="AJ384" s="536"/>
      <c r="AK384" s="536"/>
      <c r="AL384" s="536"/>
      <c r="AM384" s="536"/>
      <c r="AN384" s="536"/>
      <c r="AO384" s="536"/>
      <c r="AP384" s="536"/>
      <c r="AQ384" s="536"/>
      <c r="AR384" s="536"/>
      <c r="AS384" s="536"/>
      <c r="AT384" s="536"/>
      <c r="AU384" s="536"/>
      <c r="AV384" s="536"/>
      <c r="AW384" s="536"/>
      <c r="AX384" s="536"/>
      <c r="AY384" s="536"/>
      <c r="AZ384" s="536"/>
      <c r="BA384" s="536"/>
      <c r="BB384" s="536"/>
      <c r="BC384" s="536"/>
      <c r="BD384" s="536"/>
      <c r="BE384" s="536"/>
      <c r="BF384" s="536"/>
      <c r="BG384" s="536"/>
      <c r="BH384" s="536"/>
      <c r="BI384" s="536"/>
      <c r="BJ384" s="536"/>
      <c r="BK384" s="536"/>
      <c r="BL384" s="536"/>
      <c r="BM384" s="536"/>
      <c r="BN384" s="536"/>
      <c r="BO384" s="536"/>
      <c r="BP384" s="536"/>
      <c r="BQ384" s="536"/>
      <c r="BR384" s="536"/>
      <c r="BS384" s="536"/>
      <c r="BT384" s="536"/>
      <c r="BU384" s="536"/>
      <c r="BV384" s="536"/>
      <c r="BW384" s="536"/>
      <c r="BX384" s="536"/>
      <c r="BY384" s="536"/>
      <c r="BZ384" s="536"/>
      <c r="CA384" s="536"/>
      <c r="CB384" s="536"/>
      <c r="CC384" s="536"/>
      <c r="CD384" s="536"/>
    </row>
    <row r="385" spans="1:82" x14ac:dyDescent="0.2">
      <c r="A385" s="1187">
        <f t="shared" si="104"/>
        <v>4</v>
      </c>
      <c r="B385" s="1187">
        <f t="shared" si="110"/>
        <v>2016</v>
      </c>
      <c r="C385" s="552">
        <f t="shared" si="111"/>
        <v>42678</v>
      </c>
      <c r="D385" s="1187" t="str">
        <f t="shared" si="112"/>
        <v>4Q16</v>
      </c>
      <c r="E385" s="1188">
        <v>30.919999000000001</v>
      </c>
      <c r="F385" s="535"/>
      <c r="G385" s="536"/>
      <c r="H385" s="536"/>
      <c r="I385" s="536"/>
      <c r="J385" s="536"/>
      <c r="K385" s="536"/>
      <c r="L385" s="536"/>
      <c r="M385" s="536"/>
      <c r="N385" s="536"/>
      <c r="O385" s="536"/>
      <c r="P385" s="536"/>
      <c r="Q385" s="536"/>
      <c r="R385" s="536"/>
      <c r="S385" s="536"/>
      <c r="T385" s="536"/>
      <c r="U385" s="536"/>
      <c r="V385" s="536"/>
      <c r="W385" s="536"/>
      <c r="X385" s="536"/>
      <c r="Y385" s="536"/>
      <c r="Z385" s="536"/>
      <c r="AA385" s="536"/>
      <c r="AB385" s="536"/>
      <c r="AC385" s="536"/>
      <c r="AD385" s="536"/>
      <c r="AE385" s="536"/>
      <c r="AF385" s="536"/>
      <c r="AG385" s="536"/>
      <c r="AH385" s="536"/>
      <c r="AI385" s="536"/>
      <c r="AJ385" s="536"/>
      <c r="AK385" s="536"/>
      <c r="AL385" s="536"/>
      <c r="AM385" s="536"/>
      <c r="AN385" s="536"/>
      <c r="AO385" s="536"/>
      <c r="AP385" s="536"/>
      <c r="AQ385" s="536"/>
      <c r="AR385" s="536"/>
      <c r="AS385" s="536"/>
      <c r="AT385" s="536"/>
      <c r="AU385" s="536"/>
      <c r="AV385" s="536"/>
      <c r="AW385" s="536"/>
      <c r="AX385" s="536"/>
      <c r="AY385" s="536"/>
      <c r="AZ385" s="536"/>
      <c r="BA385" s="536"/>
      <c r="BB385" s="536"/>
      <c r="BC385" s="536"/>
      <c r="BD385" s="536"/>
      <c r="BE385" s="536"/>
      <c r="BF385" s="536"/>
      <c r="BG385" s="536"/>
      <c r="BH385" s="536"/>
      <c r="BI385" s="536"/>
      <c r="BJ385" s="536"/>
      <c r="BK385" s="536"/>
      <c r="BL385" s="536"/>
      <c r="BM385" s="536"/>
      <c r="BN385" s="536"/>
      <c r="BO385" s="536"/>
      <c r="BP385" s="536"/>
      <c r="BQ385" s="536"/>
      <c r="BR385" s="536"/>
      <c r="BS385" s="536"/>
      <c r="BT385" s="536"/>
      <c r="BU385" s="536"/>
      <c r="BV385" s="536"/>
      <c r="BW385" s="536"/>
      <c r="BX385" s="536"/>
      <c r="BY385" s="536"/>
      <c r="BZ385" s="536"/>
      <c r="CA385" s="536"/>
      <c r="CB385" s="536"/>
      <c r="CC385" s="536"/>
      <c r="CD385" s="536"/>
    </row>
    <row r="386" spans="1:82" x14ac:dyDescent="0.2">
      <c r="A386" s="1187">
        <f t="shared" si="104"/>
        <v>4</v>
      </c>
      <c r="B386" s="1187">
        <f t="shared" si="110"/>
        <v>2016</v>
      </c>
      <c r="C386" s="552">
        <f t="shared" si="111"/>
        <v>42685</v>
      </c>
      <c r="D386" s="1187" t="str">
        <f t="shared" si="112"/>
        <v>4Q16</v>
      </c>
      <c r="E386" s="1188">
        <v>34.580002</v>
      </c>
      <c r="F386" s="535"/>
      <c r="G386" s="536"/>
      <c r="H386" s="536"/>
      <c r="I386" s="536"/>
      <c r="J386" s="536"/>
      <c r="K386" s="536"/>
      <c r="L386" s="536"/>
      <c r="M386" s="536"/>
      <c r="N386" s="536"/>
      <c r="O386" s="536"/>
      <c r="P386" s="536"/>
      <c r="Q386" s="536"/>
      <c r="R386" s="536"/>
      <c r="S386" s="536"/>
      <c r="T386" s="536"/>
      <c r="U386" s="536"/>
      <c r="V386" s="536"/>
      <c r="W386" s="536"/>
      <c r="X386" s="536"/>
      <c r="Y386" s="536"/>
      <c r="Z386" s="536"/>
      <c r="AA386" s="536"/>
      <c r="AB386" s="536"/>
      <c r="AC386" s="536"/>
      <c r="AD386" s="536"/>
      <c r="AE386" s="536"/>
      <c r="AF386" s="536"/>
      <c r="AG386" s="536"/>
      <c r="AH386" s="536"/>
      <c r="AI386" s="536"/>
      <c r="AJ386" s="536"/>
      <c r="AK386" s="536"/>
      <c r="AL386" s="536"/>
      <c r="AM386" s="536"/>
      <c r="AN386" s="536"/>
      <c r="AO386" s="536"/>
      <c r="AP386" s="536"/>
      <c r="AQ386" s="536"/>
      <c r="AR386" s="536"/>
      <c r="AS386" s="536"/>
      <c r="AT386" s="536"/>
      <c r="AU386" s="536"/>
      <c r="AV386" s="536"/>
      <c r="AW386" s="536"/>
      <c r="AX386" s="536"/>
      <c r="AY386" s="536"/>
      <c r="AZ386" s="536"/>
      <c r="BA386" s="536"/>
      <c r="BB386" s="536"/>
      <c r="BC386" s="536"/>
      <c r="BD386" s="536"/>
      <c r="BE386" s="536"/>
      <c r="BF386" s="536"/>
      <c r="BG386" s="536"/>
      <c r="BH386" s="536"/>
      <c r="BI386" s="536"/>
      <c r="BJ386" s="536"/>
      <c r="BK386" s="536"/>
      <c r="BL386" s="536"/>
      <c r="BM386" s="536"/>
      <c r="BN386" s="536"/>
      <c r="BO386" s="536"/>
      <c r="BP386" s="536"/>
      <c r="BQ386" s="536"/>
      <c r="BR386" s="536"/>
      <c r="BS386" s="536"/>
      <c r="BT386" s="536"/>
      <c r="BU386" s="536"/>
      <c r="BV386" s="536"/>
      <c r="BW386" s="536"/>
      <c r="BX386" s="536"/>
      <c r="BY386" s="536"/>
      <c r="BZ386" s="536"/>
      <c r="CA386" s="536"/>
      <c r="CB386" s="536"/>
      <c r="CC386" s="536"/>
      <c r="CD386" s="536"/>
    </row>
    <row r="387" spans="1:82" x14ac:dyDescent="0.2">
      <c r="A387" s="1187">
        <f t="shared" si="104"/>
        <v>4</v>
      </c>
      <c r="B387" s="1187">
        <f t="shared" si="110"/>
        <v>2016</v>
      </c>
      <c r="C387" s="552">
        <f t="shared" si="111"/>
        <v>42692</v>
      </c>
      <c r="D387" s="1187" t="str">
        <f t="shared" si="112"/>
        <v>4Q16</v>
      </c>
      <c r="E387" s="1188">
        <v>34</v>
      </c>
      <c r="F387" s="535"/>
      <c r="G387" s="536"/>
      <c r="H387" s="536"/>
      <c r="I387" s="536"/>
      <c r="J387" s="536"/>
      <c r="K387" s="536"/>
      <c r="L387" s="536"/>
      <c r="M387" s="536"/>
      <c r="N387" s="536"/>
      <c r="O387" s="536"/>
      <c r="P387" s="536"/>
      <c r="Q387" s="536"/>
      <c r="R387" s="536"/>
      <c r="S387" s="536"/>
      <c r="T387" s="536"/>
      <c r="U387" s="536"/>
      <c r="V387" s="536"/>
      <c r="W387" s="536"/>
      <c r="X387" s="536"/>
      <c r="Y387" s="536"/>
      <c r="Z387" s="536"/>
      <c r="AA387" s="536"/>
      <c r="AB387" s="536"/>
      <c r="AC387" s="536"/>
      <c r="AD387" s="536"/>
      <c r="AE387" s="536"/>
      <c r="AF387" s="536"/>
      <c r="AG387" s="536"/>
      <c r="AH387" s="536"/>
      <c r="AI387" s="536"/>
      <c r="AJ387" s="536"/>
      <c r="AK387" s="536"/>
      <c r="AL387" s="536"/>
      <c r="AM387" s="536"/>
      <c r="AN387" s="536"/>
      <c r="AO387" s="536"/>
      <c r="AP387" s="536"/>
      <c r="AQ387" s="536"/>
      <c r="AR387" s="536"/>
      <c r="AS387" s="536"/>
      <c r="AT387" s="536"/>
      <c r="AU387" s="536"/>
      <c r="AV387" s="536"/>
      <c r="AW387" s="536"/>
      <c r="AX387" s="536"/>
      <c r="AY387" s="536"/>
      <c r="AZ387" s="536"/>
      <c r="BA387" s="536"/>
      <c r="BB387" s="536"/>
      <c r="BC387" s="536"/>
      <c r="BD387" s="536"/>
      <c r="BE387" s="536"/>
      <c r="BF387" s="536"/>
      <c r="BG387" s="536"/>
      <c r="BH387" s="536"/>
      <c r="BI387" s="536"/>
      <c r="BJ387" s="536"/>
      <c r="BK387" s="536"/>
      <c r="BL387" s="536"/>
      <c r="BM387" s="536"/>
      <c r="BN387" s="536"/>
      <c r="BO387" s="536"/>
      <c r="BP387" s="536"/>
      <c r="BQ387" s="536"/>
      <c r="BR387" s="536"/>
      <c r="BS387" s="536"/>
      <c r="BT387" s="536"/>
      <c r="BU387" s="536"/>
      <c r="BV387" s="536"/>
      <c r="BW387" s="536"/>
      <c r="BX387" s="536"/>
      <c r="BY387" s="536"/>
      <c r="BZ387" s="536"/>
      <c r="CA387" s="536"/>
      <c r="CB387" s="536"/>
      <c r="CC387" s="536"/>
      <c r="CD387" s="536"/>
    </row>
    <row r="388" spans="1:82" x14ac:dyDescent="0.2">
      <c r="A388" s="1187">
        <f t="shared" si="104"/>
        <v>4</v>
      </c>
      <c r="B388" s="1187">
        <f t="shared" si="110"/>
        <v>2016</v>
      </c>
      <c r="C388" s="552">
        <f t="shared" si="111"/>
        <v>42699</v>
      </c>
      <c r="D388" s="1187" t="str">
        <f t="shared" si="112"/>
        <v>4Q16</v>
      </c>
      <c r="E388" s="1188">
        <v>35.190002999999997</v>
      </c>
      <c r="F388" s="535"/>
      <c r="G388" s="536"/>
      <c r="H388" s="536"/>
      <c r="I388" s="536"/>
      <c r="J388" s="536"/>
      <c r="K388" s="536"/>
      <c r="L388" s="536"/>
      <c r="M388" s="536"/>
      <c r="N388" s="536"/>
      <c r="O388" s="536"/>
      <c r="P388" s="536"/>
      <c r="Q388" s="536"/>
      <c r="R388" s="536"/>
      <c r="S388" s="536"/>
      <c r="T388" s="536"/>
      <c r="U388" s="536"/>
      <c r="V388" s="536"/>
      <c r="W388" s="536"/>
      <c r="X388" s="536"/>
      <c r="Y388" s="536"/>
      <c r="Z388" s="536"/>
      <c r="AA388" s="536"/>
      <c r="AB388" s="536"/>
      <c r="AC388" s="536"/>
      <c r="AD388" s="536"/>
      <c r="AE388" s="536"/>
      <c r="AF388" s="536"/>
      <c r="AG388" s="536"/>
      <c r="AH388" s="536"/>
      <c r="AI388" s="536"/>
      <c r="AJ388" s="536"/>
      <c r="AK388" s="536"/>
      <c r="AL388" s="536"/>
      <c r="AM388" s="536"/>
      <c r="AN388" s="536"/>
      <c r="AO388" s="536"/>
      <c r="AP388" s="536"/>
      <c r="AQ388" s="536"/>
      <c r="AR388" s="536"/>
      <c r="AS388" s="536"/>
      <c r="AT388" s="536"/>
      <c r="AU388" s="536"/>
      <c r="AV388" s="536"/>
      <c r="AW388" s="536"/>
      <c r="AX388" s="536"/>
      <c r="AY388" s="536"/>
      <c r="AZ388" s="536"/>
      <c r="BA388" s="536"/>
      <c r="BB388" s="536"/>
      <c r="BC388" s="536"/>
      <c r="BD388" s="536"/>
      <c r="BE388" s="536"/>
      <c r="BF388" s="536"/>
      <c r="BG388" s="536"/>
      <c r="BH388" s="536"/>
      <c r="BI388" s="536"/>
      <c r="BJ388" s="536"/>
      <c r="BK388" s="536"/>
      <c r="BL388" s="536"/>
      <c r="BM388" s="536"/>
      <c r="BN388" s="536"/>
      <c r="BO388" s="536"/>
      <c r="BP388" s="536"/>
      <c r="BQ388" s="536"/>
      <c r="BR388" s="536"/>
      <c r="BS388" s="536"/>
      <c r="BT388" s="536"/>
      <c r="BU388" s="536"/>
      <c r="BV388" s="536"/>
      <c r="BW388" s="536"/>
      <c r="BX388" s="536"/>
      <c r="BY388" s="536"/>
      <c r="BZ388" s="536"/>
      <c r="CA388" s="536"/>
      <c r="CB388" s="536"/>
      <c r="CC388" s="536"/>
      <c r="CD388" s="536"/>
    </row>
    <row r="389" spans="1:82" x14ac:dyDescent="0.2">
      <c r="A389" s="1187">
        <f t="shared" si="104"/>
        <v>4</v>
      </c>
      <c r="B389" s="1187">
        <f t="shared" si="110"/>
        <v>2016</v>
      </c>
      <c r="C389" s="552">
        <f t="shared" si="111"/>
        <v>42706</v>
      </c>
      <c r="D389" s="1187" t="str">
        <f t="shared" si="112"/>
        <v>4Q16</v>
      </c>
      <c r="E389" s="1188">
        <v>36.479996</v>
      </c>
      <c r="F389" s="535"/>
      <c r="G389" s="536"/>
      <c r="H389" s="536"/>
      <c r="I389" s="536"/>
      <c r="J389" s="536"/>
      <c r="K389" s="536"/>
      <c r="L389" s="536"/>
      <c r="M389" s="536"/>
      <c r="N389" s="536"/>
      <c r="O389" s="536"/>
      <c r="P389" s="536"/>
      <c r="Q389" s="536"/>
      <c r="R389" s="536"/>
      <c r="S389" s="536"/>
      <c r="T389" s="536"/>
      <c r="U389" s="536"/>
      <c r="V389" s="536"/>
      <c r="W389" s="536"/>
      <c r="X389" s="536"/>
      <c r="Y389" s="536"/>
      <c r="Z389" s="536"/>
      <c r="AA389" s="536"/>
      <c r="AB389" s="536"/>
      <c r="AC389" s="536"/>
      <c r="AD389" s="536"/>
      <c r="AE389" s="536"/>
      <c r="AF389" s="536"/>
      <c r="AG389" s="536"/>
      <c r="AH389" s="536"/>
      <c r="AI389" s="536"/>
      <c r="AJ389" s="536"/>
      <c r="AK389" s="536"/>
      <c r="AL389" s="536"/>
      <c r="AM389" s="536"/>
      <c r="AN389" s="536"/>
      <c r="AO389" s="536"/>
      <c r="AP389" s="536"/>
      <c r="AQ389" s="536"/>
      <c r="AR389" s="536"/>
      <c r="AS389" s="536"/>
      <c r="AT389" s="536"/>
      <c r="AU389" s="536"/>
      <c r="AV389" s="536"/>
      <c r="AW389" s="536"/>
      <c r="AX389" s="536"/>
      <c r="AY389" s="536"/>
      <c r="AZ389" s="536"/>
      <c r="BA389" s="536"/>
      <c r="BB389" s="536"/>
      <c r="BC389" s="536"/>
      <c r="BD389" s="536"/>
      <c r="BE389" s="536"/>
      <c r="BF389" s="536"/>
      <c r="BG389" s="536"/>
      <c r="BH389" s="536"/>
      <c r="BI389" s="536"/>
      <c r="BJ389" s="536"/>
      <c r="BK389" s="536"/>
      <c r="BL389" s="536"/>
      <c r="BM389" s="536"/>
      <c r="BN389" s="536"/>
      <c r="BO389" s="536"/>
      <c r="BP389" s="536"/>
      <c r="BQ389" s="536"/>
      <c r="BR389" s="536"/>
      <c r="BS389" s="536"/>
      <c r="BT389" s="536"/>
      <c r="BU389" s="536"/>
      <c r="BV389" s="536"/>
      <c r="BW389" s="536"/>
      <c r="BX389" s="536"/>
      <c r="BY389" s="536"/>
      <c r="BZ389" s="536"/>
      <c r="CA389" s="536"/>
      <c r="CB389" s="536"/>
      <c r="CC389" s="536"/>
      <c r="CD389" s="536"/>
    </row>
    <row r="390" spans="1:82" x14ac:dyDescent="0.2">
      <c r="A390" s="1187">
        <f t="shared" si="104"/>
        <v>4</v>
      </c>
      <c r="B390" s="1187">
        <f t="shared" si="110"/>
        <v>2016</v>
      </c>
      <c r="C390" s="552">
        <f t="shared" si="111"/>
        <v>42713</v>
      </c>
      <c r="D390" s="1187" t="str">
        <f t="shared" si="112"/>
        <v>4Q16</v>
      </c>
      <c r="E390" s="1188">
        <v>37.270004999999998</v>
      </c>
      <c r="F390" s="535"/>
      <c r="G390" s="536"/>
      <c r="H390" s="536"/>
      <c r="I390" s="536"/>
      <c r="J390" s="536"/>
      <c r="K390" s="536"/>
      <c r="L390" s="536"/>
      <c r="M390" s="536"/>
      <c r="N390" s="536"/>
      <c r="O390" s="536"/>
      <c r="P390" s="536"/>
      <c r="Q390" s="536"/>
      <c r="R390" s="536"/>
      <c r="S390" s="536"/>
      <c r="T390" s="536"/>
      <c r="U390" s="536"/>
      <c r="V390" s="536"/>
      <c r="W390" s="536"/>
      <c r="X390" s="536"/>
      <c r="Y390" s="536"/>
      <c r="Z390" s="536"/>
      <c r="AA390" s="536"/>
      <c r="AB390" s="536"/>
      <c r="AC390" s="536"/>
      <c r="AD390" s="536"/>
      <c r="AE390" s="536"/>
      <c r="AF390" s="536"/>
      <c r="AG390" s="536"/>
      <c r="AH390" s="536"/>
      <c r="AI390" s="536"/>
      <c r="AJ390" s="536"/>
      <c r="AK390" s="536"/>
      <c r="AL390" s="536"/>
      <c r="AM390" s="536"/>
      <c r="AN390" s="536"/>
      <c r="AO390" s="536"/>
      <c r="AP390" s="536"/>
      <c r="AQ390" s="536"/>
      <c r="AR390" s="536"/>
      <c r="AS390" s="536"/>
      <c r="AT390" s="536"/>
      <c r="AU390" s="536"/>
      <c r="AV390" s="536"/>
      <c r="AW390" s="536"/>
      <c r="AX390" s="536"/>
      <c r="AY390" s="536"/>
      <c r="AZ390" s="536"/>
      <c r="BA390" s="536"/>
      <c r="BB390" s="536"/>
      <c r="BC390" s="536"/>
      <c r="BD390" s="536"/>
      <c r="BE390" s="536"/>
      <c r="BF390" s="536"/>
      <c r="BG390" s="536"/>
      <c r="BH390" s="536"/>
      <c r="BI390" s="536"/>
      <c r="BJ390" s="536"/>
      <c r="BK390" s="536"/>
      <c r="BL390" s="536"/>
      <c r="BM390" s="536"/>
      <c r="BN390" s="536"/>
      <c r="BO390" s="536"/>
      <c r="BP390" s="536"/>
      <c r="BQ390" s="536"/>
      <c r="BR390" s="536"/>
      <c r="BS390" s="536"/>
      <c r="BT390" s="536"/>
      <c r="BU390" s="536"/>
      <c r="BV390" s="536"/>
      <c r="BW390" s="536"/>
      <c r="BX390" s="536"/>
      <c r="BY390" s="536"/>
      <c r="BZ390" s="536"/>
      <c r="CA390" s="536"/>
      <c r="CB390" s="536"/>
      <c r="CC390" s="536"/>
      <c r="CD390" s="536"/>
    </row>
    <row r="391" spans="1:82" x14ac:dyDescent="0.2">
      <c r="A391" s="1187">
        <f t="shared" si="104"/>
        <v>4</v>
      </c>
      <c r="B391" s="1187">
        <f t="shared" si="110"/>
        <v>2016</v>
      </c>
      <c r="C391" s="552">
        <f t="shared" si="111"/>
        <v>42720</v>
      </c>
      <c r="D391" s="1187" t="str">
        <f t="shared" si="112"/>
        <v>4Q16</v>
      </c>
      <c r="E391" s="1188">
        <v>36.039994</v>
      </c>
      <c r="F391" s="535"/>
      <c r="G391" s="536"/>
      <c r="H391" s="536"/>
      <c r="I391" s="536"/>
      <c r="J391" s="536"/>
      <c r="K391" s="536"/>
      <c r="L391" s="536"/>
      <c r="M391" s="536"/>
      <c r="N391" s="536"/>
      <c r="O391" s="536"/>
      <c r="P391" s="536"/>
      <c r="Q391" s="536"/>
      <c r="R391" s="536"/>
      <c r="S391" s="536"/>
      <c r="T391" s="536"/>
      <c r="U391" s="536"/>
      <c r="V391" s="536"/>
      <c r="W391" s="536"/>
      <c r="X391" s="536"/>
      <c r="Y391" s="536"/>
      <c r="Z391" s="536"/>
      <c r="AA391" s="536"/>
      <c r="AB391" s="536"/>
      <c r="AC391" s="536"/>
      <c r="AD391" s="536"/>
      <c r="AE391" s="536"/>
      <c r="AF391" s="536"/>
      <c r="AG391" s="536"/>
      <c r="AH391" s="536"/>
      <c r="AI391" s="536"/>
      <c r="AJ391" s="536"/>
      <c r="AK391" s="536"/>
      <c r="AL391" s="536"/>
      <c r="AM391" s="536"/>
      <c r="AN391" s="536"/>
      <c r="AO391" s="536"/>
      <c r="AP391" s="536"/>
      <c r="AQ391" s="536"/>
      <c r="AR391" s="536"/>
      <c r="AS391" s="536"/>
      <c r="AT391" s="536"/>
      <c r="AU391" s="536"/>
      <c r="AV391" s="536"/>
      <c r="AW391" s="536"/>
      <c r="AX391" s="536"/>
      <c r="AY391" s="536"/>
      <c r="AZ391" s="536"/>
      <c r="BA391" s="536"/>
      <c r="BB391" s="536"/>
      <c r="BC391" s="536"/>
      <c r="BD391" s="536"/>
      <c r="BE391" s="536"/>
      <c r="BF391" s="536"/>
      <c r="BG391" s="536"/>
      <c r="BH391" s="536"/>
      <c r="BI391" s="536"/>
      <c r="BJ391" s="536"/>
      <c r="BK391" s="536"/>
      <c r="BL391" s="536"/>
      <c r="BM391" s="536"/>
      <c r="BN391" s="536"/>
      <c r="BO391" s="536"/>
      <c r="BP391" s="536"/>
      <c r="BQ391" s="536"/>
      <c r="BR391" s="536"/>
      <c r="BS391" s="536"/>
      <c r="BT391" s="536"/>
      <c r="BU391" s="536"/>
      <c r="BV391" s="536"/>
      <c r="BW391" s="536"/>
      <c r="BX391" s="536"/>
      <c r="BY391" s="536"/>
      <c r="BZ391" s="536"/>
      <c r="CA391" s="536"/>
      <c r="CB391" s="536"/>
      <c r="CC391" s="536"/>
      <c r="CD391" s="536"/>
    </row>
    <row r="392" spans="1:82" x14ac:dyDescent="0.2">
      <c r="A392" s="1187">
        <f t="shared" si="104"/>
        <v>4</v>
      </c>
      <c r="B392" s="1187">
        <f t="shared" si="110"/>
        <v>2016</v>
      </c>
      <c r="C392" s="552">
        <f t="shared" si="111"/>
        <v>42727</v>
      </c>
      <c r="D392" s="1187" t="str">
        <f t="shared" si="112"/>
        <v>4Q16</v>
      </c>
      <c r="E392" s="1188">
        <v>36.649994</v>
      </c>
      <c r="F392" s="535"/>
      <c r="G392" s="536"/>
      <c r="H392" s="536"/>
      <c r="I392" s="536"/>
      <c r="J392" s="536"/>
      <c r="K392" s="536"/>
      <c r="L392" s="536"/>
      <c r="M392" s="536"/>
      <c r="N392" s="536"/>
      <c r="O392" s="536"/>
      <c r="P392" s="536"/>
      <c r="Q392" s="536"/>
      <c r="R392" s="536"/>
      <c r="S392" s="536"/>
      <c r="T392" s="536"/>
      <c r="U392" s="536"/>
      <c r="V392" s="536"/>
      <c r="W392" s="536"/>
      <c r="X392" s="536"/>
      <c r="Y392" s="536"/>
      <c r="Z392" s="536"/>
      <c r="AA392" s="536"/>
      <c r="AB392" s="536"/>
      <c r="AC392" s="536"/>
      <c r="AD392" s="536"/>
      <c r="AE392" s="536"/>
      <c r="AF392" s="536"/>
      <c r="AG392" s="536"/>
      <c r="AH392" s="536"/>
      <c r="AI392" s="536"/>
      <c r="AJ392" s="536"/>
      <c r="AK392" s="536"/>
      <c r="AL392" s="536"/>
      <c r="AM392" s="536"/>
      <c r="AN392" s="536"/>
      <c r="AO392" s="536"/>
      <c r="AP392" s="536"/>
      <c r="AQ392" s="536"/>
      <c r="AR392" s="536"/>
      <c r="AS392" s="536"/>
      <c r="AT392" s="536"/>
      <c r="AU392" s="536"/>
      <c r="AV392" s="536"/>
      <c r="AW392" s="536"/>
      <c r="AX392" s="536"/>
      <c r="AY392" s="536"/>
      <c r="AZ392" s="536"/>
      <c r="BA392" s="536"/>
      <c r="BB392" s="536"/>
      <c r="BC392" s="536"/>
      <c r="BD392" s="536"/>
      <c r="BE392" s="536"/>
      <c r="BF392" s="536"/>
      <c r="BG392" s="536"/>
      <c r="BH392" s="536"/>
      <c r="BI392" s="536"/>
      <c r="BJ392" s="536"/>
      <c r="BK392" s="536"/>
      <c r="BL392" s="536"/>
      <c r="BM392" s="536"/>
      <c r="BN392" s="536"/>
      <c r="BO392" s="536"/>
      <c r="BP392" s="536"/>
      <c r="BQ392" s="536"/>
      <c r="BR392" s="536"/>
      <c r="BS392" s="536"/>
      <c r="BT392" s="536"/>
      <c r="BU392" s="536"/>
      <c r="BV392" s="536"/>
      <c r="BW392" s="536"/>
      <c r="BX392" s="536"/>
      <c r="BY392" s="536"/>
      <c r="BZ392" s="536"/>
      <c r="CA392" s="536"/>
      <c r="CB392" s="536"/>
      <c r="CC392" s="536"/>
      <c r="CD392" s="536"/>
    </row>
    <row r="393" spans="1:82" x14ac:dyDescent="0.2">
      <c r="A393" s="536">
        <f t="shared" si="104"/>
        <v>1</v>
      </c>
      <c r="B393" s="536">
        <f t="shared" si="110"/>
        <v>2016</v>
      </c>
      <c r="C393" s="552">
        <f t="shared" si="111"/>
        <v>42734</v>
      </c>
      <c r="D393" s="536" t="str">
        <f t="shared" si="112"/>
        <v>1Q16</v>
      </c>
      <c r="E393" s="1188">
        <v>35.929993000000003</v>
      </c>
      <c r="F393" s="535"/>
      <c r="G393" s="536"/>
      <c r="H393" s="536"/>
      <c r="I393" s="536"/>
      <c r="J393" s="536"/>
      <c r="K393" s="536"/>
      <c r="L393" s="536"/>
      <c r="M393" s="536"/>
      <c r="N393" s="536"/>
      <c r="O393" s="536"/>
      <c r="P393" s="536"/>
      <c r="Q393" s="536"/>
      <c r="R393" s="536"/>
      <c r="S393" s="536"/>
      <c r="T393" s="536"/>
      <c r="U393" s="536"/>
      <c r="V393" s="536"/>
      <c r="W393" s="536"/>
      <c r="X393" s="536"/>
      <c r="Y393" s="536"/>
      <c r="Z393" s="536"/>
      <c r="AA393" s="536"/>
      <c r="AB393" s="536"/>
      <c r="AC393" s="536"/>
      <c r="AD393" s="536"/>
      <c r="AE393" s="536"/>
      <c r="AF393" s="536"/>
      <c r="AG393" s="536"/>
      <c r="AH393" s="536"/>
      <c r="AI393" s="536"/>
      <c r="AJ393" s="536"/>
      <c r="AK393" s="536"/>
      <c r="AL393" s="536"/>
      <c r="AM393" s="536"/>
      <c r="AN393" s="536"/>
      <c r="AO393" s="536"/>
      <c r="AP393" s="536"/>
      <c r="AQ393" s="536"/>
      <c r="AR393" s="536"/>
      <c r="AS393" s="536"/>
      <c r="AT393" s="536"/>
      <c r="AU393" s="536"/>
      <c r="AV393" s="536"/>
      <c r="AW393" s="536"/>
      <c r="AX393" s="536"/>
      <c r="AY393" s="536"/>
      <c r="AZ393" s="536"/>
      <c r="BA393" s="536"/>
      <c r="BB393" s="536"/>
      <c r="BC393" s="536"/>
      <c r="BD393" s="536"/>
      <c r="BE393" s="536"/>
      <c r="BF393" s="536"/>
      <c r="BG393" s="536"/>
      <c r="BH393" s="536"/>
      <c r="BI393" s="536"/>
      <c r="BJ393" s="536"/>
      <c r="BK393" s="536"/>
      <c r="BL393" s="536"/>
      <c r="BM393" s="536"/>
      <c r="BN393" s="536"/>
      <c r="BO393" s="536"/>
      <c r="BP393" s="536"/>
      <c r="BQ393" s="536"/>
      <c r="BR393" s="536"/>
      <c r="BS393" s="536"/>
      <c r="BT393" s="536"/>
      <c r="BU393" s="536"/>
      <c r="BV393" s="536"/>
      <c r="BW393" s="536"/>
      <c r="BX393" s="536"/>
      <c r="BY393" s="536"/>
      <c r="BZ393" s="536"/>
      <c r="CA393" s="536"/>
      <c r="CB393" s="536"/>
      <c r="CC393" s="536"/>
      <c r="CD393" s="536"/>
    </row>
    <row r="394" spans="1:82" x14ac:dyDescent="0.2">
      <c r="A394" s="536">
        <f t="shared" si="104"/>
        <v>1</v>
      </c>
      <c r="B394" s="536">
        <f t="shared" si="110"/>
        <v>2017</v>
      </c>
      <c r="C394" s="552">
        <f t="shared" si="111"/>
        <v>42741</v>
      </c>
      <c r="D394" s="536" t="str">
        <f t="shared" si="112"/>
        <v>1Q17</v>
      </c>
      <c r="E394" s="1188">
        <v>37.520004999999998</v>
      </c>
      <c r="F394" s="535"/>
      <c r="G394" s="536"/>
      <c r="H394" s="536"/>
      <c r="I394" s="536"/>
      <c r="J394" s="536"/>
      <c r="K394" s="536"/>
      <c r="L394" s="536"/>
      <c r="M394" s="536"/>
      <c r="N394" s="536"/>
      <c r="O394" s="536"/>
      <c r="P394" s="536"/>
      <c r="Q394" s="536"/>
      <c r="R394" s="536"/>
      <c r="S394" s="536"/>
      <c r="T394" s="536"/>
      <c r="U394" s="536"/>
      <c r="V394" s="536"/>
      <c r="W394" s="536"/>
      <c r="X394" s="536"/>
      <c r="Y394" s="536"/>
      <c r="Z394" s="536"/>
      <c r="AA394" s="536"/>
      <c r="AB394" s="536"/>
      <c r="AC394" s="536"/>
      <c r="AD394" s="536"/>
      <c r="AE394" s="536"/>
      <c r="AF394" s="536"/>
      <c r="AG394" s="536"/>
      <c r="AH394" s="536"/>
      <c r="AI394" s="536"/>
      <c r="AJ394" s="536"/>
      <c r="AK394" s="536"/>
      <c r="AL394" s="536"/>
      <c r="AM394" s="536"/>
      <c r="AN394" s="536"/>
      <c r="AO394" s="536"/>
      <c r="AP394" s="536"/>
      <c r="AQ394" s="536"/>
      <c r="AR394" s="536"/>
      <c r="AS394" s="536"/>
      <c r="AT394" s="536"/>
      <c r="AU394" s="536"/>
      <c r="AV394" s="536"/>
      <c r="AW394" s="536"/>
      <c r="AX394" s="536"/>
      <c r="AY394" s="536"/>
      <c r="AZ394" s="536"/>
      <c r="BA394" s="536"/>
      <c r="BB394" s="536"/>
      <c r="BC394" s="536"/>
      <c r="BD394" s="536"/>
      <c r="BE394" s="536"/>
      <c r="BF394" s="536"/>
      <c r="BG394" s="536"/>
      <c r="BH394" s="536"/>
      <c r="BI394" s="536"/>
      <c r="BJ394" s="536"/>
      <c r="BK394" s="536"/>
      <c r="BL394" s="536"/>
      <c r="BM394" s="536"/>
      <c r="BN394" s="536"/>
      <c r="BO394" s="536"/>
      <c r="BP394" s="536"/>
      <c r="BQ394" s="536"/>
      <c r="BR394" s="536"/>
      <c r="BS394" s="536"/>
      <c r="BT394" s="536"/>
      <c r="BU394" s="536"/>
      <c r="BV394" s="536"/>
      <c r="BW394" s="536"/>
      <c r="BX394" s="536"/>
      <c r="BY394" s="536"/>
      <c r="BZ394" s="536"/>
      <c r="CA394" s="536"/>
      <c r="CB394" s="536"/>
      <c r="CC394" s="536"/>
      <c r="CD394" s="536"/>
    </row>
    <row r="395" spans="1:82" x14ac:dyDescent="0.2">
      <c r="A395" s="536">
        <f t="shared" si="104"/>
        <v>1</v>
      </c>
      <c r="B395" s="536">
        <f t="shared" si="110"/>
        <v>2017</v>
      </c>
      <c r="C395" s="552">
        <f t="shared" si="111"/>
        <v>42748</v>
      </c>
      <c r="D395" s="536" t="str">
        <f t="shared" si="112"/>
        <v>1Q17</v>
      </c>
      <c r="E395" s="1188">
        <v>38.800004000000001</v>
      </c>
      <c r="F395" s="535"/>
      <c r="G395" s="536"/>
      <c r="H395" s="536"/>
      <c r="I395" s="536"/>
      <c r="J395" s="536"/>
      <c r="K395" s="536"/>
      <c r="L395" s="536"/>
      <c r="M395" s="536"/>
      <c r="N395" s="536"/>
      <c r="O395" s="536"/>
      <c r="P395" s="536"/>
      <c r="Q395" s="536"/>
      <c r="R395" s="536"/>
      <c r="S395" s="536"/>
      <c r="T395" s="536"/>
      <c r="U395" s="536"/>
      <c r="V395" s="536"/>
      <c r="W395" s="536"/>
      <c r="X395" s="536"/>
      <c r="Y395" s="536"/>
      <c r="Z395" s="536"/>
      <c r="AA395" s="536"/>
      <c r="AB395" s="536"/>
      <c r="AC395" s="536"/>
      <c r="AD395" s="536"/>
      <c r="AE395" s="536"/>
      <c r="AF395" s="536"/>
      <c r="AG395" s="536"/>
      <c r="AH395" s="536"/>
      <c r="AI395" s="536"/>
      <c r="AJ395" s="536"/>
      <c r="AK395" s="536"/>
      <c r="AL395" s="536"/>
      <c r="AM395" s="536"/>
      <c r="AN395" s="536"/>
      <c r="AO395" s="536"/>
      <c r="AP395" s="536"/>
      <c r="AQ395" s="536"/>
      <c r="AR395" s="536"/>
      <c r="AS395" s="536"/>
      <c r="AT395" s="536"/>
      <c r="AU395" s="536"/>
      <c r="AV395" s="536"/>
      <c r="AW395" s="536"/>
      <c r="AX395" s="536"/>
      <c r="AY395" s="536"/>
      <c r="AZ395" s="536"/>
      <c r="BA395" s="536"/>
      <c r="BB395" s="536"/>
      <c r="BC395" s="536"/>
      <c r="BD395" s="536"/>
      <c r="BE395" s="536"/>
      <c r="BF395" s="536"/>
      <c r="BG395" s="536"/>
      <c r="BH395" s="536"/>
      <c r="BI395" s="536"/>
      <c r="BJ395" s="536"/>
      <c r="BK395" s="536"/>
      <c r="BL395" s="536"/>
      <c r="BM395" s="536"/>
      <c r="BN395" s="536"/>
      <c r="BO395" s="536"/>
      <c r="BP395" s="536"/>
      <c r="BQ395" s="536"/>
      <c r="BR395" s="536"/>
      <c r="BS395" s="536"/>
      <c r="BT395" s="536"/>
      <c r="BU395" s="536"/>
      <c r="BV395" s="536"/>
      <c r="BW395" s="536"/>
      <c r="BX395" s="536"/>
      <c r="BY395" s="536"/>
      <c r="BZ395" s="536"/>
      <c r="CA395" s="536"/>
      <c r="CB395" s="536"/>
      <c r="CC395" s="536"/>
      <c r="CD395" s="536"/>
    </row>
    <row r="396" spans="1:82" x14ac:dyDescent="0.2">
      <c r="A396" s="536">
        <f t="shared" si="104"/>
        <v>1</v>
      </c>
      <c r="B396" s="536">
        <f t="shared" si="110"/>
        <v>2017</v>
      </c>
      <c r="C396" s="552">
        <f t="shared" si="111"/>
        <v>42755</v>
      </c>
      <c r="D396" s="536" t="str">
        <f t="shared" si="112"/>
        <v>1Q17</v>
      </c>
      <c r="E396" s="1188">
        <v>44.330002</v>
      </c>
      <c r="F396" s="535"/>
      <c r="G396" s="536"/>
      <c r="H396" s="536"/>
      <c r="I396" s="536"/>
      <c r="J396" s="536"/>
      <c r="K396" s="536"/>
      <c r="L396" s="536"/>
      <c r="M396" s="536"/>
      <c r="N396" s="536"/>
      <c r="O396" s="536"/>
      <c r="P396" s="536"/>
      <c r="Q396" s="536"/>
      <c r="R396" s="536"/>
      <c r="S396" s="536"/>
      <c r="T396" s="536"/>
      <c r="U396" s="536"/>
      <c r="V396" s="536"/>
      <c r="W396" s="536"/>
      <c r="X396" s="536"/>
      <c r="Y396" s="536"/>
      <c r="Z396" s="536"/>
      <c r="AA396" s="536"/>
      <c r="AB396" s="536"/>
      <c r="AC396" s="536"/>
      <c r="AD396" s="536"/>
      <c r="AE396" s="536"/>
      <c r="AF396" s="536"/>
      <c r="AG396" s="536"/>
      <c r="AH396" s="536"/>
      <c r="AI396" s="536"/>
      <c r="AJ396" s="536"/>
      <c r="AK396" s="536"/>
      <c r="AL396" s="536"/>
      <c r="AM396" s="536"/>
      <c r="AN396" s="536"/>
      <c r="AO396" s="536"/>
      <c r="AP396" s="536"/>
      <c r="AQ396" s="536"/>
      <c r="AR396" s="536"/>
      <c r="AS396" s="536"/>
      <c r="AT396" s="536"/>
      <c r="AU396" s="536"/>
      <c r="AV396" s="536"/>
      <c r="AW396" s="536"/>
      <c r="AX396" s="536"/>
      <c r="AY396" s="536"/>
      <c r="AZ396" s="536"/>
      <c r="BA396" s="536"/>
      <c r="BB396" s="536"/>
      <c r="BC396" s="536"/>
      <c r="BD396" s="536"/>
      <c r="BE396" s="536"/>
      <c r="BF396" s="536"/>
      <c r="BG396" s="536"/>
      <c r="BH396" s="536"/>
      <c r="BI396" s="536"/>
      <c r="BJ396" s="536"/>
      <c r="BK396" s="536"/>
      <c r="BL396" s="536"/>
      <c r="BM396" s="536"/>
      <c r="BN396" s="536"/>
      <c r="BO396" s="536"/>
      <c r="BP396" s="536"/>
      <c r="BQ396" s="536"/>
      <c r="BR396" s="536"/>
      <c r="BS396" s="536"/>
      <c r="BT396" s="536"/>
      <c r="BU396" s="536"/>
      <c r="BV396" s="536"/>
      <c r="BW396" s="536"/>
      <c r="BX396" s="536"/>
      <c r="BY396" s="536"/>
      <c r="BZ396" s="536"/>
      <c r="CA396" s="536"/>
      <c r="CB396" s="536"/>
      <c r="CC396" s="536"/>
      <c r="CD396" s="536"/>
    </row>
    <row r="397" spans="1:82" x14ac:dyDescent="0.2">
      <c r="A397" s="536">
        <f t="shared" si="104"/>
        <v>1</v>
      </c>
      <c r="B397" s="536">
        <f t="shared" si="110"/>
        <v>2017</v>
      </c>
      <c r="C397" s="552">
        <f t="shared" si="111"/>
        <v>42762</v>
      </c>
      <c r="D397" s="536" t="str">
        <f t="shared" si="112"/>
        <v>1Q17</v>
      </c>
      <c r="E397" s="1188">
        <v>48.059998</v>
      </c>
      <c r="F397" s="535"/>
      <c r="G397" s="536"/>
      <c r="H397" s="536"/>
      <c r="I397" s="536"/>
      <c r="J397" s="536"/>
      <c r="K397" s="536"/>
      <c r="L397" s="536"/>
      <c r="M397" s="536"/>
      <c r="N397" s="536"/>
      <c r="O397" s="536"/>
      <c r="P397" s="536"/>
      <c r="Q397" s="536"/>
      <c r="R397" s="536"/>
      <c r="S397" s="536"/>
      <c r="T397" s="536"/>
      <c r="U397" s="536"/>
      <c r="V397" s="536"/>
      <c r="W397" s="536"/>
      <c r="X397" s="536"/>
      <c r="Y397" s="536"/>
      <c r="Z397" s="536"/>
      <c r="AA397" s="536"/>
      <c r="AB397" s="536"/>
      <c r="AC397" s="536"/>
      <c r="AD397" s="536"/>
      <c r="AE397" s="536"/>
      <c r="AF397" s="536"/>
      <c r="AG397" s="536"/>
      <c r="AH397" s="536"/>
      <c r="AI397" s="536"/>
      <c r="AJ397" s="536"/>
      <c r="AK397" s="536"/>
      <c r="AL397" s="536"/>
      <c r="AM397" s="536"/>
      <c r="AN397" s="536"/>
      <c r="AO397" s="536"/>
      <c r="AP397" s="536"/>
      <c r="AQ397" s="536"/>
      <c r="AR397" s="536"/>
      <c r="AS397" s="536"/>
      <c r="AT397" s="536"/>
      <c r="AU397" s="536"/>
      <c r="AV397" s="536"/>
      <c r="AW397" s="536"/>
      <c r="AX397" s="536"/>
      <c r="AY397" s="536"/>
      <c r="AZ397" s="536"/>
      <c r="BA397" s="536"/>
      <c r="BB397" s="536"/>
      <c r="BC397" s="536"/>
      <c r="BD397" s="536"/>
      <c r="BE397" s="536"/>
      <c r="BF397" s="536"/>
      <c r="BG397" s="536"/>
      <c r="BH397" s="536"/>
      <c r="BI397" s="536"/>
      <c r="BJ397" s="536"/>
      <c r="BK397" s="536"/>
      <c r="BL397" s="536"/>
      <c r="BM397" s="536"/>
      <c r="BN397" s="536"/>
      <c r="BO397" s="536"/>
      <c r="BP397" s="536"/>
      <c r="BQ397" s="536"/>
      <c r="BR397" s="536"/>
      <c r="BS397" s="536"/>
      <c r="BT397" s="536"/>
      <c r="BU397" s="536"/>
      <c r="BV397" s="536"/>
      <c r="BW397" s="536"/>
      <c r="BX397" s="536"/>
      <c r="BY397" s="536"/>
      <c r="BZ397" s="536"/>
      <c r="CA397" s="536"/>
      <c r="CB397" s="536"/>
      <c r="CC397" s="536"/>
      <c r="CD397" s="536"/>
    </row>
    <row r="398" spans="1:82" x14ac:dyDescent="0.2">
      <c r="A398" s="536">
        <f t="shared" si="104"/>
        <v>1</v>
      </c>
      <c r="B398" s="536">
        <f t="shared" si="110"/>
        <v>2017</v>
      </c>
      <c r="C398" s="552">
        <f t="shared" si="111"/>
        <v>42769</v>
      </c>
      <c r="D398" s="536" t="str">
        <f t="shared" si="112"/>
        <v>1Q17</v>
      </c>
      <c r="E398" s="1188">
        <v>46.789994</v>
      </c>
      <c r="F398" s="535"/>
      <c r="G398" s="536"/>
      <c r="H398" s="536"/>
      <c r="I398" s="536"/>
      <c r="J398" s="536"/>
      <c r="K398" s="536"/>
      <c r="L398" s="536"/>
      <c r="M398" s="536"/>
      <c r="N398" s="536"/>
      <c r="O398" s="536"/>
      <c r="P398" s="536"/>
      <c r="Q398" s="536"/>
      <c r="R398" s="536"/>
      <c r="S398" s="536"/>
      <c r="T398" s="536"/>
      <c r="U398" s="536"/>
      <c r="V398" s="536"/>
      <c r="W398" s="536"/>
      <c r="X398" s="536"/>
      <c r="Y398" s="536"/>
      <c r="Z398" s="536"/>
      <c r="AA398" s="536"/>
      <c r="AB398" s="536"/>
      <c r="AC398" s="536"/>
      <c r="AD398" s="536"/>
      <c r="AE398" s="536"/>
      <c r="AF398" s="536"/>
      <c r="AG398" s="536"/>
      <c r="AH398" s="536"/>
      <c r="AI398" s="536"/>
      <c r="AJ398" s="536"/>
      <c r="AK398" s="536"/>
      <c r="AL398" s="536"/>
      <c r="AM398" s="536"/>
      <c r="AN398" s="536"/>
      <c r="AO398" s="536"/>
      <c r="AP398" s="536"/>
      <c r="AQ398" s="536"/>
      <c r="AR398" s="536"/>
      <c r="AS398" s="536"/>
      <c r="AT398" s="536"/>
      <c r="AU398" s="536"/>
      <c r="AV398" s="536"/>
      <c r="AW398" s="536"/>
      <c r="AX398" s="536"/>
      <c r="AY398" s="536"/>
      <c r="AZ398" s="536"/>
      <c r="BA398" s="536"/>
      <c r="BB398" s="536"/>
      <c r="BC398" s="536"/>
      <c r="BD398" s="536"/>
      <c r="BE398" s="536"/>
      <c r="BF398" s="536"/>
      <c r="BG398" s="536"/>
      <c r="BH398" s="536"/>
      <c r="BI398" s="536"/>
      <c r="BJ398" s="536"/>
      <c r="BK398" s="536"/>
      <c r="BL398" s="536"/>
      <c r="BM398" s="536"/>
      <c r="BN398" s="536"/>
      <c r="BO398" s="536"/>
      <c r="BP398" s="536"/>
      <c r="BQ398" s="536"/>
      <c r="BR398" s="536"/>
      <c r="BS398" s="536"/>
      <c r="BT398" s="536"/>
      <c r="BU398" s="536"/>
      <c r="BV398" s="536"/>
      <c r="BW398" s="536"/>
      <c r="BX398" s="536"/>
      <c r="BY398" s="536"/>
      <c r="BZ398" s="536"/>
      <c r="CA398" s="536"/>
      <c r="CB398" s="536"/>
      <c r="CC398" s="536"/>
      <c r="CD398" s="536"/>
    </row>
    <row r="399" spans="1:82" x14ac:dyDescent="0.2">
      <c r="A399" s="536">
        <f t="shared" si="104"/>
        <v>1</v>
      </c>
      <c r="B399" s="536">
        <f t="shared" si="110"/>
        <v>2017</v>
      </c>
      <c r="C399" s="552">
        <f t="shared" si="111"/>
        <v>42776</v>
      </c>
      <c r="D399" s="536" t="str">
        <f t="shared" si="112"/>
        <v>1Q17</v>
      </c>
      <c r="E399" s="1188">
        <v>47.770004999999998</v>
      </c>
      <c r="F399" s="535"/>
      <c r="G399" s="536"/>
      <c r="H399" s="536"/>
      <c r="I399" s="536"/>
      <c r="J399" s="536"/>
      <c r="K399" s="536"/>
      <c r="L399" s="536"/>
      <c r="M399" s="536"/>
      <c r="N399" s="536"/>
      <c r="O399" s="536"/>
      <c r="P399" s="536"/>
      <c r="Q399" s="536"/>
      <c r="R399" s="536"/>
      <c r="S399" s="536"/>
      <c r="T399" s="536"/>
      <c r="U399" s="536"/>
      <c r="V399" s="536"/>
      <c r="W399" s="536"/>
      <c r="X399" s="536"/>
      <c r="Y399" s="536"/>
      <c r="Z399" s="536"/>
      <c r="AA399" s="536"/>
      <c r="AB399" s="536"/>
      <c r="AC399" s="536"/>
      <c r="AD399" s="536"/>
      <c r="AE399" s="536"/>
      <c r="AF399" s="536"/>
      <c r="AG399" s="536"/>
      <c r="AH399" s="536"/>
      <c r="AI399" s="536"/>
      <c r="AJ399" s="536"/>
      <c r="AK399" s="536"/>
      <c r="AL399" s="536"/>
      <c r="AM399" s="536"/>
      <c r="AN399" s="536"/>
      <c r="AO399" s="536"/>
      <c r="AP399" s="536"/>
      <c r="AQ399" s="536"/>
      <c r="AR399" s="536"/>
      <c r="AS399" s="536"/>
      <c r="AT399" s="536"/>
      <c r="AU399" s="536"/>
      <c r="AV399" s="536"/>
      <c r="AW399" s="536"/>
      <c r="AX399" s="536"/>
      <c r="AY399" s="536"/>
      <c r="AZ399" s="536"/>
      <c r="BA399" s="536"/>
      <c r="BB399" s="536"/>
      <c r="BC399" s="536"/>
      <c r="BD399" s="536"/>
      <c r="BE399" s="536"/>
      <c r="BF399" s="536"/>
      <c r="BG399" s="536"/>
      <c r="BH399" s="536"/>
      <c r="BI399" s="536"/>
      <c r="BJ399" s="536"/>
      <c r="BK399" s="536"/>
      <c r="BL399" s="536"/>
      <c r="BM399" s="536"/>
      <c r="BN399" s="536"/>
      <c r="BO399" s="536"/>
      <c r="BP399" s="536"/>
      <c r="BQ399" s="536"/>
      <c r="BR399" s="536"/>
      <c r="BS399" s="536"/>
      <c r="BT399" s="536"/>
      <c r="BU399" s="536"/>
      <c r="BV399" s="536"/>
      <c r="BW399" s="536"/>
      <c r="BX399" s="536"/>
      <c r="BY399" s="536"/>
      <c r="BZ399" s="536"/>
      <c r="CA399" s="536"/>
      <c r="CB399" s="536"/>
      <c r="CC399" s="536"/>
      <c r="CD399" s="536"/>
    </row>
    <row r="400" spans="1:82" x14ac:dyDescent="0.2">
      <c r="A400" s="536">
        <f t="shared" si="104"/>
        <v>1</v>
      </c>
      <c r="B400" s="536">
        <f t="shared" si="110"/>
        <v>2017</v>
      </c>
      <c r="C400" s="552">
        <f t="shared" si="111"/>
        <v>42783</v>
      </c>
      <c r="D400" s="536" t="str">
        <f t="shared" si="112"/>
        <v>1Q17</v>
      </c>
      <c r="E400" s="1188">
        <v>48.539994</v>
      </c>
      <c r="F400" s="535"/>
      <c r="G400" s="536"/>
      <c r="H400" s="536"/>
      <c r="I400" s="536"/>
      <c r="J400" s="536"/>
      <c r="K400" s="536"/>
      <c r="L400" s="536"/>
      <c r="M400" s="536"/>
      <c r="N400" s="536"/>
      <c r="O400" s="536"/>
      <c r="P400" s="536"/>
      <c r="Q400" s="536"/>
      <c r="R400" s="536"/>
      <c r="S400" s="536"/>
      <c r="T400" s="536"/>
      <c r="U400" s="536"/>
      <c r="V400" s="536"/>
      <c r="W400" s="536"/>
      <c r="X400" s="536"/>
      <c r="Y400" s="536"/>
      <c r="Z400" s="536"/>
      <c r="AA400" s="536"/>
      <c r="AB400" s="536"/>
      <c r="AC400" s="536"/>
      <c r="AD400" s="536"/>
      <c r="AE400" s="536"/>
      <c r="AF400" s="536"/>
      <c r="AG400" s="536"/>
      <c r="AH400" s="536"/>
      <c r="AI400" s="536"/>
      <c r="AJ400" s="536"/>
      <c r="AK400" s="536"/>
      <c r="AL400" s="536"/>
      <c r="AM400" s="536"/>
      <c r="AN400" s="536"/>
      <c r="AO400" s="536"/>
      <c r="AP400" s="536"/>
      <c r="AQ400" s="536"/>
      <c r="AR400" s="536"/>
      <c r="AS400" s="536"/>
      <c r="AT400" s="536"/>
      <c r="AU400" s="536"/>
      <c r="AV400" s="536"/>
      <c r="AW400" s="536"/>
      <c r="AX400" s="536"/>
      <c r="AY400" s="536"/>
      <c r="AZ400" s="536"/>
      <c r="BA400" s="536"/>
      <c r="BB400" s="536"/>
      <c r="BC400" s="536"/>
      <c r="BD400" s="536"/>
      <c r="BE400" s="536"/>
      <c r="BF400" s="536"/>
      <c r="BG400" s="536"/>
      <c r="BH400" s="536"/>
      <c r="BI400" s="536"/>
      <c r="BJ400" s="536"/>
      <c r="BK400" s="536"/>
      <c r="BL400" s="536"/>
      <c r="BM400" s="536"/>
      <c r="BN400" s="536"/>
      <c r="BO400" s="536"/>
      <c r="BP400" s="536"/>
      <c r="BQ400" s="536"/>
      <c r="BR400" s="536"/>
      <c r="BS400" s="536"/>
      <c r="BT400" s="536"/>
      <c r="BU400" s="536"/>
      <c r="BV400" s="536"/>
      <c r="BW400" s="536"/>
      <c r="BX400" s="536"/>
      <c r="BY400" s="536"/>
      <c r="BZ400" s="536"/>
      <c r="CA400" s="536"/>
      <c r="CB400" s="536"/>
      <c r="CC400" s="536"/>
      <c r="CD400" s="536"/>
    </row>
    <row r="401" spans="1:82" x14ac:dyDescent="0.2">
      <c r="A401" s="536">
        <f t="shared" si="104"/>
        <v>1</v>
      </c>
      <c r="B401" s="536">
        <f t="shared" si="110"/>
        <v>2017</v>
      </c>
      <c r="C401" s="552">
        <f t="shared" si="111"/>
        <v>42790</v>
      </c>
      <c r="D401" s="536" t="str">
        <f t="shared" si="112"/>
        <v>1Q17</v>
      </c>
      <c r="E401" s="1188">
        <v>48.479996</v>
      </c>
      <c r="F401" s="535"/>
      <c r="G401" s="536"/>
      <c r="H401" s="536"/>
      <c r="I401" s="536"/>
      <c r="J401" s="536"/>
      <c r="K401" s="536"/>
      <c r="L401" s="536"/>
      <c r="M401" s="536"/>
      <c r="N401" s="536"/>
      <c r="O401" s="536"/>
      <c r="P401" s="536"/>
      <c r="Q401" s="536"/>
      <c r="R401" s="536"/>
      <c r="S401" s="536"/>
      <c r="T401" s="536"/>
      <c r="U401" s="536"/>
      <c r="V401" s="536"/>
      <c r="W401" s="536"/>
      <c r="X401" s="536"/>
      <c r="Y401" s="536"/>
      <c r="Z401" s="536"/>
      <c r="AA401" s="536"/>
      <c r="AB401" s="536"/>
      <c r="AC401" s="536"/>
      <c r="AD401" s="536"/>
      <c r="AE401" s="536"/>
      <c r="AF401" s="536"/>
      <c r="AG401" s="536"/>
      <c r="AH401" s="536"/>
      <c r="AI401" s="536"/>
      <c r="AJ401" s="536"/>
      <c r="AK401" s="536"/>
      <c r="AL401" s="536"/>
      <c r="AM401" s="536"/>
      <c r="AN401" s="536"/>
      <c r="AO401" s="536"/>
      <c r="AP401" s="536"/>
      <c r="AQ401" s="536"/>
      <c r="AR401" s="536"/>
      <c r="AS401" s="536"/>
      <c r="AT401" s="536"/>
      <c r="AU401" s="536"/>
      <c r="AV401" s="536"/>
      <c r="AW401" s="536"/>
      <c r="AX401" s="536"/>
      <c r="AY401" s="536"/>
      <c r="AZ401" s="536"/>
      <c r="BA401" s="536"/>
      <c r="BB401" s="536"/>
      <c r="BC401" s="536"/>
      <c r="BD401" s="536"/>
      <c r="BE401" s="536"/>
      <c r="BF401" s="536"/>
      <c r="BG401" s="536"/>
      <c r="BH401" s="536"/>
      <c r="BI401" s="536"/>
      <c r="BJ401" s="536"/>
      <c r="BK401" s="536"/>
      <c r="BL401" s="536"/>
      <c r="BM401" s="536"/>
      <c r="BN401" s="536"/>
      <c r="BO401" s="536"/>
      <c r="BP401" s="536"/>
      <c r="BQ401" s="536"/>
      <c r="BR401" s="536"/>
      <c r="BS401" s="536"/>
      <c r="BT401" s="536"/>
      <c r="BU401" s="536"/>
      <c r="BV401" s="536"/>
      <c r="BW401" s="536"/>
      <c r="BX401" s="536"/>
      <c r="BY401" s="536"/>
      <c r="BZ401" s="536"/>
      <c r="CA401" s="536"/>
      <c r="CB401" s="536"/>
      <c r="CC401" s="536"/>
      <c r="CD401" s="536"/>
    </row>
    <row r="402" spans="1:82" x14ac:dyDescent="0.2">
      <c r="A402" s="536">
        <f t="shared" si="104"/>
        <v>1</v>
      </c>
      <c r="B402" s="536">
        <f t="shared" si="110"/>
        <v>2017</v>
      </c>
      <c r="C402" s="552">
        <f t="shared" si="111"/>
        <v>42797</v>
      </c>
      <c r="D402" s="536" t="str">
        <f t="shared" si="112"/>
        <v>1Q17</v>
      </c>
      <c r="E402" s="1188">
        <v>49.479996</v>
      </c>
      <c r="F402" s="535"/>
      <c r="G402" s="536"/>
      <c r="H402" s="536"/>
      <c r="I402" s="536"/>
      <c r="J402" s="536"/>
      <c r="K402" s="536"/>
      <c r="L402" s="536"/>
      <c r="M402" s="536"/>
      <c r="N402" s="536"/>
      <c r="O402" s="536"/>
      <c r="P402" s="536"/>
      <c r="Q402" s="536"/>
      <c r="R402" s="536"/>
      <c r="S402" s="536"/>
      <c r="T402" s="536"/>
      <c r="U402" s="536"/>
      <c r="V402" s="536"/>
      <c r="W402" s="536"/>
      <c r="X402" s="536"/>
      <c r="Y402" s="536"/>
      <c r="Z402" s="536"/>
      <c r="AA402" s="536"/>
      <c r="AB402" s="536"/>
      <c r="AC402" s="536"/>
      <c r="AD402" s="536"/>
      <c r="AE402" s="536"/>
      <c r="AF402" s="536"/>
      <c r="AG402" s="536"/>
      <c r="AH402" s="536"/>
      <c r="AI402" s="536"/>
      <c r="AJ402" s="536"/>
      <c r="AK402" s="536"/>
      <c r="AL402" s="536"/>
      <c r="AM402" s="536"/>
      <c r="AN402" s="536"/>
      <c r="AO402" s="536"/>
      <c r="AP402" s="536"/>
      <c r="AQ402" s="536"/>
      <c r="AR402" s="536"/>
      <c r="AS402" s="536"/>
      <c r="AT402" s="536"/>
      <c r="AU402" s="536"/>
      <c r="AV402" s="536"/>
      <c r="AW402" s="536"/>
      <c r="AX402" s="536"/>
      <c r="AY402" s="536"/>
      <c r="AZ402" s="536"/>
      <c r="BA402" s="536"/>
      <c r="BB402" s="536"/>
      <c r="BC402" s="536"/>
      <c r="BD402" s="536"/>
      <c r="BE402" s="536"/>
      <c r="BF402" s="536"/>
      <c r="BG402" s="536"/>
      <c r="BH402" s="536"/>
      <c r="BI402" s="536"/>
      <c r="BJ402" s="536"/>
      <c r="BK402" s="536"/>
      <c r="BL402" s="536"/>
      <c r="BM402" s="536"/>
      <c r="BN402" s="536"/>
      <c r="BO402" s="536"/>
      <c r="BP402" s="536"/>
      <c r="BQ402" s="536"/>
      <c r="BR402" s="536"/>
      <c r="BS402" s="536"/>
      <c r="BT402" s="536"/>
      <c r="BU402" s="536"/>
      <c r="BV402" s="536"/>
      <c r="BW402" s="536"/>
      <c r="BX402" s="536"/>
      <c r="BY402" s="536"/>
      <c r="BZ402" s="536"/>
      <c r="CA402" s="536"/>
      <c r="CB402" s="536"/>
      <c r="CC402" s="536"/>
      <c r="CD402" s="536"/>
    </row>
    <row r="403" spans="1:82" x14ac:dyDescent="0.2">
      <c r="A403" s="536">
        <f t="shared" si="104"/>
        <v>1</v>
      </c>
      <c r="B403" s="536">
        <f t="shared" si="110"/>
        <v>2017</v>
      </c>
      <c r="C403" s="552">
        <f t="shared" si="111"/>
        <v>42804</v>
      </c>
      <c r="D403" s="536" t="str">
        <f t="shared" si="112"/>
        <v>1Q17</v>
      </c>
      <c r="E403" s="1188">
        <v>47.800004000000001</v>
      </c>
      <c r="F403" s="535"/>
      <c r="G403" s="536"/>
      <c r="H403" s="536"/>
      <c r="I403" s="536"/>
      <c r="J403" s="536"/>
      <c r="K403" s="536"/>
      <c r="L403" s="536"/>
      <c r="M403" s="536"/>
      <c r="N403" s="536"/>
      <c r="O403" s="536"/>
      <c r="P403" s="536"/>
      <c r="Q403" s="536"/>
      <c r="R403" s="536"/>
      <c r="S403" s="536"/>
      <c r="T403" s="536"/>
      <c r="U403" s="536"/>
      <c r="V403" s="536"/>
      <c r="W403" s="536"/>
      <c r="X403" s="536"/>
      <c r="Y403" s="536"/>
      <c r="Z403" s="536"/>
      <c r="AA403" s="536"/>
      <c r="AB403" s="536"/>
      <c r="AC403" s="536"/>
      <c r="AD403" s="536"/>
      <c r="AE403" s="536"/>
      <c r="AF403" s="536"/>
      <c r="AG403" s="536"/>
      <c r="AH403" s="536"/>
      <c r="AI403" s="536"/>
      <c r="AJ403" s="536"/>
      <c r="AK403" s="536"/>
      <c r="AL403" s="536"/>
      <c r="AM403" s="536"/>
      <c r="AN403" s="536"/>
      <c r="AO403" s="536"/>
      <c r="AP403" s="536"/>
      <c r="AQ403" s="536"/>
      <c r="AR403" s="536"/>
      <c r="AS403" s="536"/>
      <c r="AT403" s="536"/>
      <c r="AU403" s="536"/>
      <c r="AV403" s="536"/>
      <c r="AW403" s="536"/>
      <c r="AX403" s="536"/>
      <c r="AY403" s="536"/>
      <c r="AZ403" s="536"/>
      <c r="BA403" s="536"/>
      <c r="BB403" s="536"/>
      <c r="BC403" s="536"/>
      <c r="BD403" s="536"/>
      <c r="BE403" s="536"/>
      <c r="BF403" s="536"/>
      <c r="BG403" s="536"/>
      <c r="BH403" s="536"/>
      <c r="BI403" s="536"/>
      <c r="BJ403" s="536"/>
      <c r="BK403" s="536"/>
      <c r="BL403" s="536"/>
      <c r="BM403" s="536"/>
      <c r="BN403" s="536"/>
      <c r="BO403" s="536"/>
      <c r="BP403" s="536"/>
      <c r="BQ403" s="536"/>
      <c r="BR403" s="536"/>
      <c r="BS403" s="536"/>
      <c r="BT403" s="536"/>
      <c r="BU403" s="536"/>
      <c r="BV403" s="536"/>
      <c r="BW403" s="536"/>
      <c r="BX403" s="536"/>
      <c r="BY403" s="536"/>
      <c r="BZ403" s="536"/>
      <c r="CA403" s="536"/>
      <c r="CB403" s="536"/>
      <c r="CC403" s="536"/>
      <c r="CD403" s="536"/>
    </row>
    <row r="404" spans="1:82" x14ac:dyDescent="0.2">
      <c r="A404" s="536">
        <f t="shared" si="104"/>
        <v>1</v>
      </c>
      <c r="B404" s="536">
        <f t="shared" si="110"/>
        <v>2017</v>
      </c>
      <c r="C404" s="552">
        <f t="shared" si="111"/>
        <v>42811</v>
      </c>
      <c r="D404" s="536" t="str">
        <f t="shared" si="112"/>
        <v>1Q17</v>
      </c>
      <c r="E404" s="1188">
        <v>46.880004999999997</v>
      </c>
      <c r="F404" s="535"/>
      <c r="G404" s="536"/>
      <c r="H404" s="536"/>
      <c r="I404" s="536"/>
      <c r="J404" s="536"/>
      <c r="K404" s="536"/>
      <c r="L404" s="536"/>
      <c r="M404" s="536"/>
      <c r="N404" s="536"/>
      <c r="O404" s="536"/>
      <c r="P404" s="536"/>
      <c r="Q404" s="536"/>
      <c r="R404" s="536"/>
      <c r="S404" s="536"/>
      <c r="T404" s="536"/>
      <c r="U404" s="536"/>
      <c r="V404" s="536"/>
      <c r="W404" s="536"/>
      <c r="X404" s="536"/>
      <c r="Y404" s="536"/>
      <c r="Z404" s="536"/>
      <c r="AA404" s="536"/>
      <c r="AB404" s="536"/>
      <c r="AC404" s="536"/>
      <c r="AD404" s="536"/>
      <c r="AE404" s="536"/>
      <c r="AF404" s="536"/>
      <c r="AG404" s="536"/>
      <c r="AH404" s="536"/>
      <c r="AI404" s="536"/>
      <c r="AJ404" s="536"/>
      <c r="AK404" s="536"/>
      <c r="AL404" s="536"/>
      <c r="AM404" s="536"/>
      <c r="AN404" s="536"/>
      <c r="AO404" s="536"/>
      <c r="AP404" s="536"/>
      <c r="AQ404" s="536"/>
      <c r="AR404" s="536"/>
      <c r="AS404" s="536"/>
      <c r="AT404" s="536"/>
      <c r="AU404" s="536"/>
      <c r="AV404" s="536"/>
      <c r="AW404" s="536"/>
      <c r="AX404" s="536"/>
      <c r="AY404" s="536"/>
      <c r="AZ404" s="536"/>
      <c r="BA404" s="536"/>
      <c r="BB404" s="536"/>
      <c r="BC404" s="536"/>
      <c r="BD404" s="536"/>
      <c r="BE404" s="536"/>
      <c r="BF404" s="536"/>
      <c r="BG404" s="536"/>
      <c r="BH404" s="536"/>
      <c r="BI404" s="536"/>
      <c r="BJ404" s="536"/>
      <c r="BK404" s="536"/>
      <c r="BL404" s="536"/>
      <c r="BM404" s="536"/>
      <c r="BN404" s="536"/>
      <c r="BO404" s="536"/>
      <c r="BP404" s="536"/>
      <c r="BQ404" s="536"/>
      <c r="BR404" s="536"/>
      <c r="BS404" s="536"/>
      <c r="BT404" s="536"/>
      <c r="BU404" s="536"/>
      <c r="BV404" s="536"/>
      <c r="BW404" s="536"/>
      <c r="BX404" s="536"/>
      <c r="BY404" s="536"/>
      <c r="BZ404" s="536"/>
      <c r="CA404" s="536"/>
      <c r="CB404" s="536"/>
      <c r="CC404" s="536"/>
      <c r="CD404" s="536"/>
    </row>
    <row r="405" spans="1:82" x14ac:dyDescent="0.2">
      <c r="A405" s="536">
        <f t="shared" si="104"/>
        <v>1</v>
      </c>
      <c r="B405" s="536">
        <f t="shared" si="110"/>
        <v>2017</v>
      </c>
      <c r="C405" s="552">
        <f t="shared" si="111"/>
        <v>42818</v>
      </c>
      <c r="D405" s="536" t="str">
        <f t="shared" si="112"/>
        <v>1Q17</v>
      </c>
      <c r="E405" s="1188">
        <v>46.32</v>
      </c>
      <c r="F405" s="535"/>
      <c r="G405" s="536"/>
      <c r="H405" s="536"/>
      <c r="I405" s="536"/>
      <c r="J405" s="536"/>
      <c r="K405" s="536"/>
      <c r="L405" s="536"/>
      <c r="M405" s="536"/>
      <c r="N405" s="536"/>
      <c r="O405" s="536"/>
      <c r="P405" s="536"/>
      <c r="Q405" s="536"/>
      <c r="R405" s="536"/>
      <c r="S405" s="536"/>
      <c r="T405" s="536"/>
      <c r="U405" s="536"/>
      <c r="V405" s="536"/>
      <c r="W405" s="536"/>
      <c r="X405" s="536"/>
      <c r="Y405" s="536"/>
      <c r="Z405" s="536"/>
      <c r="AA405" s="536"/>
      <c r="AB405" s="536"/>
      <c r="AC405" s="536"/>
      <c r="AD405" s="536"/>
      <c r="AE405" s="536"/>
      <c r="AF405" s="536"/>
      <c r="AG405" s="536"/>
      <c r="AH405" s="536"/>
      <c r="AI405" s="536"/>
      <c r="AJ405" s="536"/>
      <c r="AK405" s="536"/>
      <c r="AL405" s="536"/>
      <c r="AM405" s="536"/>
      <c r="AN405" s="536"/>
      <c r="AO405" s="536"/>
      <c r="AP405" s="536"/>
      <c r="AQ405" s="536"/>
      <c r="AR405" s="536"/>
      <c r="AS405" s="536"/>
      <c r="AT405" s="536"/>
      <c r="AU405" s="536"/>
      <c r="AV405" s="536"/>
      <c r="AW405" s="536"/>
      <c r="AX405" s="536"/>
      <c r="AY405" s="536"/>
      <c r="AZ405" s="536"/>
      <c r="BA405" s="536"/>
      <c r="BB405" s="536"/>
      <c r="BC405" s="536"/>
      <c r="BD405" s="536"/>
      <c r="BE405" s="536"/>
      <c r="BF405" s="536"/>
      <c r="BG405" s="536"/>
      <c r="BH405" s="536"/>
      <c r="BI405" s="536"/>
      <c r="BJ405" s="536"/>
      <c r="BK405" s="536"/>
      <c r="BL405" s="536"/>
      <c r="BM405" s="536"/>
      <c r="BN405" s="536"/>
      <c r="BO405" s="536"/>
      <c r="BP405" s="536"/>
      <c r="BQ405" s="536"/>
      <c r="BR405" s="536"/>
      <c r="BS405" s="536"/>
      <c r="BT405" s="536"/>
      <c r="BU405" s="536"/>
      <c r="BV405" s="536"/>
      <c r="BW405" s="536"/>
      <c r="BX405" s="536"/>
      <c r="BY405" s="536"/>
      <c r="BZ405" s="536"/>
      <c r="CA405" s="536"/>
      <c r="CB405" s="536"/>
      <c r="CC405" s="536"/>
      <c r="CD405" s="536"/>
    </row>
    <row r="406" spans="1:82" x14ac:dyDescent="0.2">
      <c r="A406" s="536">
        <f t="shared" si="104"/>
        <v>2</v>
      </c>
      <c r="B406" s="536">
        <f t="shared" si="110"/>
        <v>2017</v>
      </c>
      <c r="C406" s="552">
        <f t="shared" si="111"/>
        <v>42825</v>
      </c>
      <c r="D406" s="536" t="str">
        <f t="shared" si="112"/>
        <v>2Q17</v>
      </c>
      <c r="E406" s="1188">
        <v>46.55</v>
      </c>
      <c r="F406" s="535"/>
      <c r="G406" s="536"/>
      <c r="H406" s="536"/>
      <c r="I406" s="536"/>
      <c r="J406" s="536"/>
      <c r="K406" s="536"/>
      <c r="L406" s="536"/>
      <c r="M406" s="536"/>
      <c r="N406" s="536"/>
      <c r="O406" s="536"/>
      <c r="P406" s="536"/>
      <c r="Q406" s="536"/>
      <c r="R406" s="536"/>
      <c r="S406" s="536"/>
      <c r="T406" s="536"/>
      <c r="U406" s="536"/>
      <c r="V406" s="536"/>
      <c r="W406" s="536"/>
      <c r="X406" s="536"/>
      <c r="Y406" s="536"/>
      <c r="Z406" s="536"/>
      <c r="AA406" s="536"/>
      <c r="AB406" s="536"/>
      <c r="AC406" s="536"/>
      <c r="AD406" s="536"/>
      <c r="AE406" s="536"/>
      <c r="AF406" s="536"/>
      <c r="AG406" s="536"/>
      <c r="AH406" s="536"/>
      <c r="AI406" s="536"/>
      <c r="AJ406" s="536"/>
      <c r="AK406" s="536"/>
      <c r="AL406" s="536"/>
      <c r="AM406" s="536"/>
      <c r="AN406" s="536"/>
      <c r="AO406" s="536"/>
      <c r="AP406" s="536"/>
      <c r="AQ406" s="536"/>
      <c r="AR406" s="536"/>
      <c r="AS406" s="536"/>
      <c r="AT406" s="536"/>
      <c r="AU406" s="536"/>
      <c r="AV406" s="536"/>
      <c r="AW406" s="536"/>
      <c r="AX406" s="536"/>
      <c r="AY406" s="536"/>
      <c r="AZ406" s="536"/>
      <c r="BA406" s="536"/>
      <c r="BB406" s="536"/>
      <c r="BC406" s="536"/>
      <c r="BD406" s="536"/>
      <c r="BE406" s="536"/>
      <c r="BF406" s="536"/>
      <c r="BG406" s="536"/>
      <c r="BH406" s="536"/>
      <c r="BI406" s="536"/>
      <c r="BJ406" s="536"/>
      <c r="BK406" s="536"/>
      <c r="BL406" s="536"/>
      <c r="BM406" s="536"/>
      <c r="BN406" s="536"/>
      <c r="BO406" s="536"/>
      <c r="BP406" s="536"/>
      <c r="BQ406" s="536"/>
      <c r="BR406" s="536"/>
      <c r="BS406" s="536"/>
      <c r="BT406" s="536"/>
      <c r="BU406" s="536"/>
      <c r="BV406" s="536"/>
      <c r="BW406" s="536"/>
      <c r="BX406" s="536"/>
      <c r="BY406" s="536"/>
      <c r="BZ406" s="536"/>
      <c r="CA406" s="536"/>
      <c r="CB406" s="536"/>
      <c r="CC406" s="536"/>
      <c r="CD406" s="536"/>
    </row>
    <row r="407" spans="1:82" x14ac:dyDescent="0.2">
      <c r="A407" s="536">
        <f t="shared" si="104"/>
        <v>2</v>
      </c>
      <c r="B407" s="536">
        <f t="shared" si="110"/>
        <v>2017</v>
      </c>
      <c r="C407" s="552">
        <f t="shared" si="111"/>
        <v>42832</v>
      </c>
      <c r="D407" s="536" t="str">
        <f t="shared" si="112"/>
        <v>2Q17</v>
      </c>
      <c r="E407" s="1188">
        <v>47.43</v>
      </c>
      <c r="F407" s="535"/>
      <c r="G407" s="536"/>
      <c r="H407" s="536"/>
      <c r="I407" s="536"/>
      <c r="J407" s="536"/>
      <c r="K407" s="536"/>
      <c r="L407" s="536"/>
      <c r="M407" s="536"/>
      <c r="N407" s="536"/>
      <c r="O407" s="536"/>
      <c r="P407" s="536"/>
      <c r="Q407" s="536"/>
      <c r="R407" s="536"/>
      <c r="S407" s="536"/>
      <c r="T407" s="536"/>
      <c r="U407" s="536"/>
      <c r="V407" s="536"/>
      <c r="W407" s="536"/>
      <c r="X407" s="536"/>
      <c r="Y407" s="536"/>
      <c r="Z407" s="536"/>
      <c r="AA407" s="536"/>
      <c r="AB407" s="536"/>
      <c r="AC407" s="536"/>
      <c r="AD407" s="536"/>
      <c r="AE407" s="536"/>
      <c r="AF407" s="536"/>
      <c r="AG407" s="536"/>
      <c r="AH407" s="536"/>
      <c r="AI407" s="536"/>
      <c r="AJ407" s="536"/>
      <c r="AK407" s="536"/>
      <c r="AL407" s="536"/>
      <c r="AM407" s="536"/>
      <c r="AN407" s="536"/>
      <c r="AO407" s="536"/>
      <c r="AP407" s="536"/>
      <c r="AQ407" s="536"/>
      <c r="AR407" s="536"/>
      <c r="AS407" s="536"/>
      <c r="AT407" s="536"/>
      <c r="AU407" s="536"/>
      <c r="AV407" s="536"/>
      <c r="AW407" s="536"/>
      <c r="AX407" s="536"/>
      <c r="AY407" s="536"/>
      <c r="AZ407" s="536"/>
      <c r="BA407" s="536"/>
      <c r="BB407" s="536"/>
      <c r="BC407" s="536"/>
      <c r="BD407" s="536"/>
      <c r="BE407" s="536"/>
      <c r="BF407" s="536"/>
      <c r="BG407" s="536"/>
      <c r="BH407" s="536"/>
      <c r="BI407" s="536"/>
      <c r="BJ407" s="536"/>
      <c r="BK407" s="536"/>
      <c r="BL407" s="536"/>
      <c r="BM407" s="536"/>
      <c r="BN407" s="536"/>
      <c r="BO407" s="536"/>
      <c r="BP407" s="536"/>
      <c r="BQ407" s="536"/>
      <c r="BR407" s="536"/>
      <c r="BS407" s="536"/>
      <c r="BT407" s="536"/>
      <c r="BU407" s="536"/>
      <c r="BV407" s="536"/>
      <c r="BW407" s="536"/>
      <c r="BX407" s="536"/>
      <c r="BY407" s="536"/>
      <c r="BZ407" s="536"/>
      <c r="CA407" s="536"/>
      <c r="CB407" s="536"/>
      <c r="CC407" s="536"/>
      <c r="CD407" s="536"/>
    </row>
    <row r="408" spans="1:82" x14ac:dyDescent="0.2">
      <c r="A408" s="536">
        <f t="shared" si="104"/>
        <v>2</v>
      </c>
      <c r="B408" s="536">
        <f t="shared" si="110"/>
        <v>2017</v>
      </c>
      <c r="C408" s="552">
        <f t="shared" si="111"/>
        <v>42839</v>
      </c>
      <c r="D408" s="536" t="str">
        <f t="shared" si="112"/>
        <v>2Q17</v>
      </c>
      <c r="E408" s="1188">
        <v>46.42</v>
      </c>
      <c r="F408" s="535"/>
      <c r="G408" s="536"/>
      <c r="H408" s="536"/>
      <c r="I408" s="536"/>
      <c r="J408" s="536"/>
      <c r="K408" s="536"/>
      <c r="L408" s="536"/>
      <c r="M408" s="536"/>
      <c r="N408" s="536"/>
      <c r="O408" s="536"/>
      <c r="P408" s="536"/>
      <c r="Q408" s="536"/>
      <c r="R408" s="536"/>
      <c r="S408" s="536"/>
      <c r="T408" s="536"/>
      <c r="U408" s="536"/>
      <c r="V408" s="536"/>
      <c r="W408" s="536"/>
      <c r="X408" s="536"/>
      <c r="Y408" s="536"/>
      <c r="Z408" s="536"/>
      <c r="AA408" s="536"/>
      <c r="AB408" s="536"/>
      <c r="AC408" s="536"/>
      <c r="AD408" s="536"/>
      <c r="AE408" s="536"/>
      <c r="AF408" s="536"/>
      <c r="AG408" s="536"/>
      <c r="AH408" s="536"/>
      <c r="AI408" s="536"/>
      <c r="AJ408" s="536"/>
      <c r="AK408" s="536"/>
      <c r="AL408" s="536"/>
      <c r="AM408" s="536"/>
      <c r="AN408" s="536"/>
      <c r="AO408" s="536"/>
      <c r="AP408" s="536"/>
      <c r="AQ408" s="536"/>
      <c r="AR408" s="536"/>
      <c r="AS408" s="536"/>
      <c r="AT408" s="536"/>
      <c r="AU408" s="536"/>
      <c r="AV408" s="536"/>
      <c r="AW408" s="536"/>
      <c r="AX408" s="536"/>
      <c r="AY408" s="536"/>
      <c r="AZ408" s="536"/>
      <c r="BA408" s="536"/>
      <c r="BB408" s="536"/>
      <c r="BC408" s="536"/>
      <c r="BD408" s="536"/>
      <c r="BE408" s="536"/>
      <c r="BF408" s="536"/>
      <c r="BG408" s="536"/>
      <c r="BH408" s="536"/>
      <c r="BI408" s="536"/>
      <c r="BJ408" s="536"/>
      <c r="BK408" s="536"/>
      <c r="BL408" s="536"/>
      <c r="BM408" s="536"/>
      <c r="BN408" s="536"/>
      <c r="BO408" s="536"/>
      <c r="BP408" s="536"/>
      <c r="BQ408" s="536"/>
      <c r="BR408" s="536"/>
      <c r="BS408" s="536"/>
      <c r="BT408" s="536"/>
      <c r="BU408" s="536"/>
      <c r="BV408" s="536"/>
      <c r="BW408" s="536"/>
      <c r="BX408" s="536"/>
      <c r="BY408" s="536"/>
      <c r="BZ408" s="536"/>
      <c r="CA408" s="536"/>
      <c r="CB408" s="536"/>
      <c r="CC408" s="536"/>
      <c r="CD408" s="536"/>
    </row>
    <row r="409" spans="1:82" x14ac:dyDescent="0.2">
      <c r="A409" s="536">
        <f t="shared" ref="A409:A472" si="113">A357</f>
        <v>2</v>
      </c>
      <c r="B409" s="536">
        <f t="shared" si="110"/>
        <v>2017</v>
      </c>
      <c r="C409" s="552">
        <f t="shared" si="111"/>
        <v>42846</v>
      </c>
      <c r="D409" s="536" t="str">
        <f t="shared" si="112"/>
        <v>2Q17</v>
      </c>
      <c r="E409" s="1188">
        <v>50.770004999999998</v>
      </c>
      <c r="F409" s="535"/>
      <c r="G409" s="536"/>
      <c r="H409" s="536"/>
      <c r="I409" s="536"/>
      <c r="J409" s="536"/>
      <c r="K409" s="536"/>
      <c r="L409" s="536"/>
      <c r="M409" s="536"/>
      <c r="N409" s="536"/>
      <c r="O409" s="536"/>
      <c r="P409" s="536"/>
      <c r="Q409" s="536"/>
      <c r="R409" s="536"/>
      <c r="S409" s="536"/>
      <c r="T409" s="536"/>
      <c r="U409" s="536"/>
      <c r="V409" s="536"/>
      <c r="W409" s="536"/>
      <c r="X409" s="536"/>
      <c r="Y409" s="536"/>
      <c r="Z409" s="536"/>
      <c r="AA409" s="536"/>
      <c r="AB409" s="536"/>
      <c r="AC409" s="536"/>
      <c r="AD409" s="536"/>
      <c r="AE409" s="536"/>
      <c r="AF409" s="536"/>
      <c r="AG409" s="536"/>
      <c r="AH409" s="536"/>
      <c r="AI409" s="536"/>
      <c r="AJ409" s="536"/>
      <c r="AK409" s="536"/>
      <c r="AL409" s="536"/>
      <c r="AM409" s="536"/>
      <c r="AN409" s="536"/>
      <c r="AO409" s="536"/>
      <c r="AP409" s="536"/>
      <c r="AQ409" s="536"/>
      <c r="AR409" s="536"/>
      <c r="AS409" s="536"/>
      <c r="AT409" s="536"/>
      <c r="AU409" s="536"/>
      <c r="AV409" s="536"/>
      <c r="AW409" s="536"/>
      <c r="AX409" s="536"/>
      <c r="AY409" s="536"/>
      <c r="AZ409" s="536"/>
      <c r="BA409" s="536"/>
      <c r="BB409" s="536"/>
      <c r="BC409" s="536"/>
      <c r="BD409" s="536"/>
      <c r="BE409" s="536"/>
      <c r="BF409" s="536"/>
      <c r="BG409" s="536"/>
      <c r="BH409" s="536"/>
      <c r="BI409" s="536"/>
      <c r="BJ409" s="536"/>
      <c r="BK409" s="536"/>
      <c r="BL409" s="536"/>
      <c r="BM409" s="536"/>
      <c r="BN409" s="536"/>
      <c r="BO409" s="536"/>
      <c r="BP409" s="536"/>
      <c r="BQ409" s="536"/>
      <c r="BR409" s="536"/>
      <c r="BS409" s="536"/>
      <c r="BT409" s="536"/>
      <c r="BU409" s="536"/>
      <c r="BV409" s="536"/>
      <c r="BW409" s="536"/>
      <c r="BX409" s="536"/>
      <c r="BY409" s="536"/>
      <c r="BZ409" s="536"/>
      <c r="CA409" s="536"/>
      <c r="CB409" s="536"/>
      <c r="CC409" s="536"/>
      <c r="CD409" s="536"/>
    </row>
    <row r="410" spans="1:82" x14ac:dyDescent="0.2">
      <c r="A410" s="536">
        <f t="shared" si="113"/>
        <v>2</v>
      </c>
      <c r="B410" s="536">
        <f t="shared" si="110"/>
        <v>2017</v>
      </c>
      <c r="C410" s="552">
        <f t="shared" si="111"/>
        <v>42853</v>
      </c>
      <c r="D410" s="536" t="str">
        <f t="shared" si="112"/>
        <v>2Q17</v>
      </c>
      <c r="E410" s="1188">
        <v>50.839996999999997</v>
      </c>
      <c r="F410" s="535"/>
      <c r="G410" s="536"/>
      <c r="H410" s="536"/>
      <c r="I410" s="536"/>
      <c r="J410" s="536"/>
      <c r="K410" s="536"/>
      <c r="L410" s="536"/>
      <c r="M410" s="536"/>
      <c r="N410" s="536"/>
      <c r="O410" s="536"/>
      <c r="P410" s="536"/>
      <c r="Q410" s="536"/>
      <c r="R410" s="536"/>
      <c r="S410" s="536"/>
      <c r="T410" s="536"/>
      <c r="U410" s="536"/>
      <c r="V410" s="536"/>
      <c r="W410" s="536"/>
      <c r="X410" s="536"/>
      <c r="Y410" s="536"/>
      <c r="Z410" s="536"/>
      <c r="AA410" s="536"/>
      <c r="AB410" s="536"/>
      <c r="AC410" s="536"/>
      <c r="AD410" s="536"/>
      <c r="AE410" s="536"/>
      <c r="AF410" s="536"/>
      <c r="AG410" s="536"/>
      <c r="AH410" s="536"/>
      <c r="AI410" s="536"/>
      <c r="AJ410" s="536"/>
      <c r="AK410" s="536"/>
      <c r="AL410" s="536"/>
      <c r="AM410" s="536"/>
      <c r="AN410" s="536"/>
      <c r="AO410" s="536"/>
      <c r="AP410" s="536"/>
      <c r="AQ410" s="536"/>
      <c r="AR410" s="536"/>
      <c r="AS410" s="536"/>
      <c r="AT410" s="536"/>
      <c r="AU410" s="536"/>
      <c r="AV410" s="536"/>
      <c r="AW410" s="536"/>
      <c r="AX410" s="536"/>
      <c r="AY410" s="536"/>
      <c r="AZ410" s="536"/>
      <c r="BA410" s="536"/>
      <c r="BB410" s="536"/>
      <c r="BC410" s="536"/>
      <c r="BD410" s="536"/>
      <c r="BE410" s="536"/>
      <c r="BF410" s="536"/>
      <c r="BG410" s="536"/>
      <c r="BH410" s="536"/>
      <c r="BI410" s="536"/>
      <c r="BJ410" s="536"/>
      <c r="BK410" s="536"/>
      <c r="BL410" s="536"/>
      <c r="BM410" s="536"/>
      <c r="BN410" s="536"/>
      <c r="BO410" s="536"/>
      <c r="BP410" s="536"/>
      <c r="BQ410" s="536"/>
      <c r="BR410" s="536"/>
      <c r="BS410" s="536"/>
      <c r="BT410" s="536"/>
      <c r="BU410" s="536"/>
      <c r="BV410" s="536"/>
      <c r="BW410" s="536"/>
      <c r="BX410" s="536"/>
      <c r="BY410" s="536"/>
      <c r="BZ410" s="536"/>
      <c r="CA410" s="536"/>
      <c r="CB410" s="536"/>
      <c r="CC410" s="536"/>
      <c r="CD410" s="536"/>
    </row>
    <row r="411" spans="1:82" x14ac:dyDescent="0.2">
      <c r="A411" s="536">
        <f t="shared" si="113"/>
        <v>2</v>
      </c>
      <c r="B411" s="536">
        <f t="shared" si="110"/>
        <v>2017</v>
      </c>
      <c r="C411" s="552">
        <f t="shared" si="111"/>
        <v>42860</v>
      </c>
      <c r="D411" s="536" t="str">
        <f t="shared" si="112"/>
        <v>2Q17</v>
      </c>
      <c r="E411" s="1188">
        <v>52.5</v>
      </c>
      <c r="F411" s="535"/>
      <c r="G411" s="536"/>
      <c r="H411" s="536"/>
      <c r="I411" s="536"/>
      <c r="J411" s="536"/>
      <c r="K411" s="536"/>
      <c r="L411" s="536"/>
      <c r="M411" s="536"/>
      <c r="N411" s="536"/>
      <c r="O411" s="536"/>
      <c r="P411" s="536"/>
      <c r="Q411" s="536"/>
      <c r="R411" s="536"/>
      <c r="S411" s="536"/>
      <c r="T411" s="536"/>
      <c r="U411" s="536"/>
      <c r="V411" s="536"/>
      <c r="W411" s="536"/>
      <c r="X411" s="536"/>
      <c r="Y411" s="536"/>
      <c r="Z411" s="536"/>
      <c r="AA411" s="536"/>
      <c r="AB411" s="536"/>
      <c r="AC411" s="536"/>
      <c r="AD411" s="536"/>
      <c r="AE411" s="536"/>
      <c r="AF411" s="536"/>
      <c r="AG411" s="536"/>
      <c r="AH411" s="536"/>
      <c r="AI411" s="536"/>
      <c r="AJ411" s="536"/>
      <c r="AK411" s="536"/>
      <c r="AL411" s="536"/>
      <c r="AM411" s="536"/>
      <c r="AN411" s="536"/>
      <c r="AO411" s="536"/>
      <c r="AP411" s="536"/>
      <c r="AQ411" s="536"/>
      <c r="AR411" s="536"/>
      <c r="AS411" s="536"/>
      <c r="AT411" s="536"/>
      <c r="AU411" s="536"/>
      <c r="AV411" s="536"/>
      <c r="AW411" s="536"/>
      <c r="AX411" s="536"/>
      <c r="AY411" s="536"/>
      <c r="AZ411" s="536"/>
      <c r="BA411" s="536"/>
      <c r="BB411" s="536"/>
      <c r="BC411" s="536"/>
      <c r="BD411" s="536"/>
      <c r="BE411" s="536"/>
      <c r="BF411" s="536"/>
      <c r="BG411" s="536"/>
      <c r="BH411" s="536"/>
      <c r="BI411" s="536"/>
      <c r="BJ411" s="536"/>
      <c r="BK411" s="536"/>
      <c r="BL411" s="536"/>
      <c r="BM411" s="536"/>
      <c r="BN411" s="536"/>
      <c r="BO411" s="536"/>
      <c r="BP411" s="536"/>
      <c r="BQ411" s="536"/>
      <c r="BR411" s="536"/>
      <c r="BS411" s="536"/>
      <c r="BT411" s="536"/>
      <c r="BU411" s="536"/>
      <c r="BV411" s="536"/>
      <c r="BW411" s="536"/>
      <c r="BX411" s="536"/>
      <c r="BY411" s="536"/>
      <c r="BZ411" s="536"/>
      <c r="CA411" s="536"/>
      <c r="CB411" s="536"/>
      <c r="CC411" s="536"/>
      <c r="CD411" s="536"/>
    </row>
    <row r="412" spans="1:82" x14ac:dyDescent="0.2">
      <c r="A412" s="536">
        <f t="shared" si="113"/>
        <v>2</v>
      </c>
      <c r="B412" s="536">
        <f t="shared" si="110"/>
        <v>2017</v>
      </c>
      <c r="C412" s="552">
        <f t="shared" si="111"/>
        <v>42867</v>
      </c>
      <c r="D412" s="536" t="str">
        <f t="shared" si="112"/>
        <v>2Q17</v>
      </c>
      <c r="E412" s="1188">
        <v>52.14</v>
      </c>
      <c r="F412" s="535"/>
      <c r="G412" s="536"/>
      <c r="H412" s="536"/>
      <c r="I412" s="536"/>
      <c r="J412" s="536"/>
      <c r="K412" s="536"/>
      <c r="L412" s="536"/>
      <c r="M412" s="536"/>
      <c r="N412" s="536"/>
      <c r="O412" s="536"/>
      <c r="P412" s="536"/>
      <c r="Q412" s="536"/>
      <c r="R412" s="536"/>
      <c r="S412" s="536"/>
      <c r="T412" s="536"/>
      <c r="U412" s="536"/>
      <c r="V412" s="536"/>
      <c r="W412" s="536"/>
      <c r="X412" s="536"/>
      <c r="Y412" s="536"/>
      <c r="Z412" s="536"/>
      <c r="AA412" s="536"/>
      <c r="AB412" s="536"/>
      <c r="AC412" s="536"/>
      <c r="AD412" s="536"/>
      <c r="AE412" s="536"/>
      <c r="AF412" s="536"/>
      <c r="AG412" s="536"/>
      <c r="AH412" s="536"/>
      <c r="AI412" s="536"/>
      <c r="AJ412" s="536"/>
      <c r="AK412" s="536"/>
      <c r="AL412" s="536"/>
      <c r="AM412" s="536"/>
      <c r="AN412" s="536"/>
      <c r="AO412" s="536"/>
      <c r="AP412" s="536"/>
      <c r="AQ412" s="536"/>
      <c r="AR412" s="536"/>
      <c r="AS412" s="536"/>
      <c r="AT412" s="536"/>
      <c r="AU412" s="536"/>
      <c r="AV412" s="536"/>
      <c r="AW412" s="536"/>
      <c r="AX412" s="536"/>
      <c r="AY412" s="536"/>
      <c r="AZ412" s="536"/>
      <c r="BA412" s="536"/>
      <c r="BB412" s="536"/>
      <c r="BC412" s="536"/>
      <c r="BD412" s="536"/>
      <c r="BE412" s="536"/>
      <c r="BF412" s="536"/>
      <c r="BG412" s="536"/>
      <c r="BH412" s="536"/>
      <c r="BI412" s="536"/>
      <c r="BJ412" s="536"/>
      <c r="BK412" s="536"/>
      <c r="BL412" s="536"/>
      <c r="BM412" s="536"/>
      <c r="BN412" s="536"/>
      <c r="BO412" s="536"/>
      <c r="BP412" s="536"/>
      <c r="BQ412" s="536"/>
      <c r="BR412" s="536"/>
      <c r="BS412" s="536"/>
      <c r="BT412" s="536"/>
      <c r="BU412" s="536"/>
      <c r="BV412" s="536"/>
      <c r="BW412" s="536"/>
      <c r="BX412" s="536"/>
      <c r="BY412" s="536"/>
      <c r="BZ412" s="536"/>
      <c r="CA412" s="536"/>
      <c r="CB412" s="536"/>
      <c r="CC412" s="536"/>
      <c r="CD412" s="536"/>
    </row>
    <row r="413" spans="1:82" x14ac:dyDescent="0.2">
      <c r="A413" s="536">
        <f t="shared" si="113"/>
        <v>2</v>
      </c>
      <c r="B413" s="536">
        <f t="shared" si="110"/>
        <v>2017</v>
      </c>
      <c r="C413" s="552">
        <f t="shared" si="111"/>
        <v>42874</v>
      </c>
      <c r="D413" s="536" t="str">
        <f t="shared" si="112"/>
        <v>2Q17</v>
      </c>
      <c r="E413" s="1188">
        <v>50.380004999999997</v>
      </c>
      <c r="F413" s="535"/>
      <c r="G413" s="536"/>
      <c r="H413" s="536"/>
      <c r="I413" s="536"/>
      <c r="J413" s="536"/>
      <c r="K413" s="536"/>
      <c r="L413" s="536"/>
      <c r="M413" s="536"/>
      <c r="N413" s="536"/>
      <c r="O413" s="536"/>
      <c r="P413" s="536"/>
      <c r="Q413" s="536"/>
      <c r="R413" s="536"/>
      <c r="S413" s="536"/>
      <c r="T413" s="536"/>
      <c r="U413" s="536"/>
      <c r="V413" s="536"/>
      <c r="W413" s="536"/>
      <c r="X413" s="536"/>
      <c r="Y413" s="536"/>
      <c r="Z413" s="536"/>
      <c r="AA413" s="536"/>
      <c r="AB413" s="536"/>
      <c r="AC413" s="536"/>
      <c r="AD413" s="536"/>
      <c r="AE413" s="536"/>
      <c r="AF413" s="536"/>
      <c r="AG413" s="536"/>
      <c r="AH413" s="536"/>
      <c r="AI413" s="536"/>
      <c r="AJ413" s="536"/>
      <c r="AK413" s="536"/>
      <c r="AL413" s="536"/>
      <c r="AM413" s="536"/>
      <c r="AN413" s="536"/>
      <c r="AO413" s="536"/>
      <c r="AP413" s="536"/>
      <c r="AQ413" s="536"/>
      <c r="AR413" s="536"/>
      <c r="AS413" s="536"/>
      <c r="AT413" s="536"/>
      <c r="AU413" s="536"/>
      <c r="AV413" s="536"/>
      <c r="AW413" s="536"/>
      <c r="AX413" s="536"/>
      <c r="AY413" s="536"/>
      <c r="AZ413" s="536"/>
      <c r="BA413" s="536"/>
      <c r="BB413" s="536"/>
      <c r="BC413" s="536"/>
      <c r="BD413" s="536"/>
      <c r="BE413" s="536"/>
      <c r="BF413" s="536"/>
      <c r="BG413" s="536"/>
      <c r="BH413" s="536"/>
      <c r="BI413" s="536"/>
      <c r="BJ413" s="536"/>
      <c r="BK413" s="536"/>
      <c r="BL413" s="536"/>
      <c r="BM413" s="536"/>
      <c r="BN413" s="536"/>
      <c r="BO413" s="536"/>
      <c r="BP413" s="536"/>
      <c r="BQ413" s="536"/>
      <c r="BR413" s="536"/>
      <c r="BS413" s="536"/>
      <c r="BT413" s="536"/>
      <c r="BU413" s="536"/>
      <c r="BV413" s="536"/>
      <c r="BW413" s="536"/>
      <c r="BX413" s="536"/>
      <c r="BY413" s="536"/>
      <c r="BZ413" s="536"/>
      <c r="CA413" s="536"/>
      <c r="CB413" s="536"/>
      <c r="CC413" s="536"/>
      <c r="CD413" s="536"/>
    </row>
    <row r="414" spans="1:82" x14ac:dyDescent="0.2">
      <c r="A414" s="536">
        <f t="shared" si="113"/>
        <v>2</v>
      </c>
      <c r="B414" s="536">
        <f t="shared" si="110"/>
        <v>2017</v>
      </c>
      <c r="C414" s="552">
        <f t="shared" si="111"/>
        <v>42881</v>
      </c>
      <c r="D414" s="536" t="str">
        <f t="shared" si="112"/>
        <v>2Q17</v>
      </c>
      <c r="E414" s="1188">
        <v>53.960006999999997</v>
      </c>
      <c r="F414" s="535"/>
      <c r="G414" s="536"/>
      <c r="H414" s="536"/>
      <c r="I414" s="536"/>
      <c r="J414" s="536"/>
      <c r="K414" s="536"/>
      <c r="L414" s="536"/>
      <c r="M414" s="536"/>
      <c r="N414" s="536"/>
      <c r="O414" s="536"/>
      <c r="P414" s="536"/>
      <c r="Q414" s="536"/>
      <c r="R414" s="536"/>
      <c r="S414" s="536"/>
      <c r="T414" s="536"/>
      <c r="U414" s="536"/>
      <c r="V414" s="536"/>
      <c r="W414" s="536"/>
      <c r="X414" s="536"/>
      <c r="Y414" s="536"/>
      <c r="Z414" s="536"/>
      <c r="AA414" s="536"/>
      <c r="AB414" s="536"/>
      <c r="AC414" s="536"/>
      <c r="AD414" s="536"/>
      <c r="AE414" s="536"/>
      <c r="AF414" s="536"/>
      <c r="AG414" s="536"/>
      <c r="AH414" s="536"/>
      <c r="AI414" s="536"/>
      <c r="AJ414" s="536"/>
      <c r="AK414" s="536"/>
      <c r="AL414" s="536"/>
      <c r="AM414" s="536"/>
      <c r="AN414" s="536"/>
      <c r="AO414" s="536"/>
      <c r="AP414" s="536"/>
      <c r="AQ414" s="536"/>
      <c r="AR414" s="536"/>
      <c r="AS414" s="536"/>
      <c r="AT414" s="536"/>
      <c r="AU414" s="536"/>
      <c r="AV414" s="536"/>
      <c r="AW414" s="536"/>
      <c r="AX414" s="536"/>
      <c r="AY414" s="536"/>
      <c r="AZ414" s="536"/>
      <c r="BA414" s="536"/>
      <c r="BB414" s="536"/>
      <c r="BC414" s="536"/>
      <c r="BD414" s="536"/>
      <c r="BE414" s="536"/>
      <c r="BF414" s="536"/>
      <c r="BG414" s="536"/>
      <c r="BH414" s="536"/>
      <c r="BI414" s="536"/>
      <c r="BJ414" s="536"/>
      <c r="BK414" s="536"/>
      <c r="BL414" s="536"/>
      <c r="BM414" s="536"/>
      <c r="BN414" s="536"/>
      <c r="BO414" s="536"/>
      <c r="BP414" s="536"/>
      <c r="BQ414" s="536"/>
      <c r="BR414" s="536"/>
      <c r="BS414" s="536"/>
      <c r="BT414" s="536"/>
      <c r="BU414" s="536"/>
      <c r="BV414" s="536"/>
      <c r="BW414" s="536"/>
      <c r="BX414" s="536"/>
      <c r="BY414" s="536"/>
      <c r="BZ414" s="536"/>
      <c r="CA414" s="536"/>
      <c r="CB414" s="536"/>
      <c r="CC414" s="536"/>
      <c r="CD414" s="536"/>
    </row>
    <row r="415" spans="1:82" x14ac:dyDescent="0.2">
      <c r="A415" s="536">
        <f t="shared" si="113"/>
        <v>2</v>
      </c>
      <c r="B415" s="536">
        <f t="shared" si="110"/>
        <v>2017</v>
      </c>
      <c r="C415" s="552">
        <f t="shared" si="111"/>
        <v>42888</v>
      </c>
      <c r="D415" s="536" t="str">
        <f t="shared" si="112"/>
        <v>2Q17</v>
      </c>
      <c r="E415" s="1188">
        <v>54.539994</v>
      </c>
      <c r="F415" s="535"/>
      <c r="G415" s="536"/>
      <c r="H415" s="536"/>
      <c r="I415" s="536"/>
      <c r="J415" s="536"/>
      <c r="K415" s="536"/>
      <c r="L415" s="536"/>
      <c r="M415" s="536"/>
      <c r="N415" s="536"/>
      <c r="O415" s="536"/>
      <c r="P415" s="536"/>
      <c r="Q415" s="536"/>
      <c r="R415" s="536"/>
      <c r="S415" s="536"/>
      <c r="T415" s="536"/>
      <c r="U415" s="536"/>
      <c r="V415" s="536"/>
      <c r="W415" s="536"/>
      <c r="X415" s="536"/>
      <c r="Y415" s="536"/>
      <c r="Z415" s="536"/>
      <c r="AA415" s="536"/>
      <c r="AB415" s="536"/>
      <c r="AC415" s="536"/>
      <c r="AD415" s="536"/>
      <c r="AE415" s="536"/>
      <c r="AF415" s="536"/>
      <c r="AG415" s="536"/>
      <c r="AH415" s="536"/>
      <c r="AI415" s="536"/>
      <c r="AJ415" s="536"/>
      <c r="AK415" s="536"/>
      <c r="AL415" s="536"/>
      <c r="AM415" s="536"/>
      <c r="AN415" s="536"/>
      <c r="AO415" s="536"/>
      <c r="AP415" s="536"/>
      <c r="AQ415" s="536"/>
      <c r="AR415" s="536"/>
      <c r="AS415" s="536"/>
      <c r="AT415" s="536"/>
      <c r="AU415" s="536"/>
      <c r="AV415" s="536"/>
      <c r="AW415" s="536"/>
      <c r="AX415" s="536"/>
      <c r="AY415" s="536"/>
      <c r="AZ415" s="536"/>
      <c r="BA415" s="536"/>
      <c r="BB415" s="536"/>
      <c r="BC415" s="536"/>
      <c r="BD415" s="536"/>
      <c r="BE415" s="536"/>
      <c r="BF415" s="536"/>
      <c r="BG415" s="536"/>
      <c r="BH415" s="536"/>
      <c r="BI415" s="536"/>
      <c r="BJ415" s="536"/>
      <c r="BK415" s="536"/>
      <c r="BL415" s="536"/>
      <c r="BM415" s="536"/>
      <c r="BN415" s="536"/>
      <c r="BO415" s="536"/>
      <c r="BP415" s="536"/>
      <c r="BQ415" s="536"/>
      <c r="BR415" s="536"/>
      <c r="BS415" s="536"/>
      <c r="BT415" s="536"/>
      <c r="BU415" s="536"/>
      <c r="BV415" s="536"/>
      <c r="BW415" s="536"/>
      <c r="BX415" s="536"/>
      <c r="BY415" s="536"/>
      <c r="BZ415" s="536"/>
      <c r="CA415" s="536"/>
      <c r="CB415" s="536"/>
      <c r="CC415" s="536"/>
      <c r="CD415" s="536"/>
    </row>
    <row r="416" spans="1:82" x14ac:dyDescent="0.2">
      <c r="A416" s="536">
        <f t="shared" si="113"/>
        <v>2</v>
      </c>
      <c r="B416" s="536">
        <f t="shared" si="110"/>
        <v>2017</v>
      </c>
      <c r="C416" s="552">
        <f t="shared" si="111"/>
        <v>42895</v>
      </c>
      <c r="D416" s="536" t="str">
        <f t="shared" si="112"/>
        <v>2Q17</v>
      </c>
      <c r="E416" s="1188">
        <v>53.050004000000001</v>
      </c>
      <c r="F416" s="535"/>
      <c r="G416" s="536"/>
      <c r="H416" s="536"/>
      <c r="I416" s="536"/>
      <c r="J416" s="536"/>
      <c r="K416" s="536"/>
      <c r="L416" s="536"/>
      <c r="M416" s="536"/>
      <c r="N416" s="536"/>
      <c r="O416" s="536"/>
      <c r="P416" s="536"/>
      <c r="Q416" s="536"/>
      <c r="R416" s="536"/>
      <c r="S416" s="536"/>
      <c r="T416" s="536"/>
      <c r="U416" s="536"/>
      <c r="V416" s="536"/>
      <c r="W416" s="536"/>
      <c r="X416" s="536"/>
      <c r="Y416" s="536"/>
      <c r="Z416" s="536"/>
      <c r="AA416" s="536"/>
      <c r="AB416" s="536"/>
      <c r="AC416" s="536"/>
      <c r="AD416" s="536"/>
      <c r="AE416" s="536"/>
      <c r="AF416" s="536"/>
      <c r="AG416" s="536"/>
      <c r="AH416" s="536"/>
      <c r="AI416" s="536"/>
      <c r="AJ416" s="536"/>
      <c r="AK416" s="536"/>
      <c r="AL416" s="536"/>
      <c r="AM416" s="536"/>
      <c r="AN416" s="536"/>
      <c r="AO416" s="536"/>
      <c r="AP416" s="536"/>
      <c r="AQ416" s="536"/>
      <c r="AR416" s="536"/>
      <c r="AS416" s="536"/>
      <c r="AT416" s="536"/>
      <c r="AU416" s="536"/>
      <c r="AV416" s="536"/>
      <c r="AW416" s="536"/>
      <c r="AX416" s="536"/>
      <c r="AY416" s="536"/>
      <c r="AZ416" s="536"/>
      <c r="BA416" s="536"/>
      <c r="BB416" s="536"/>
      <c r="BC416" s="536"/>
      <c r="BD416" s="536"/>
      <c r="BE416" s="536"/>
      <c r="BF416" s="536"/>
      <c r="BG416" s="536"/>
      <c r="BH416" s="536"/>
      <c r="BI416" s="536"/>
      <c r="BJ416" s="536"/>
      <c r="BK416" s="536"/>
      <c r="BL416" s="536"/>
      <c r="BM416" s="536"/>
      <c r="BN416" s="536"/>
      <c r="BO416" s="536"/>
      <c r="BP416" s="536"/>
      <c r="BQ416" s="536"/>
      <c r="BR416" s="536"/>
      <c r="BS416" s="536"/>
      <c r="BT416" s="536"/>
      <c r="BU416" s="536"/>
      <c r="BV416" s="536"/>
      <c r="BW416" s="536"/>
      <c r="BX416" s="536"/>
      <c r="BY416" s="536"/>
      <c r="BZ416" s="536"/>
      <c r="CA416" s="536"/>
      <c r="CB416" s="536"/>
      <c r="CC416" s="536"/>
      <c r="CD416" s="536"/>
    </row>
    <row r="417" spans="1:82" x14ac:dyDescent="0.2">
      <c r="A417" s="536">
        <f t="shared" si="113"/>
        <v>2</v>
      </c>
      <c r="B417" s="536">
        <f t="shared" si="110"/>
        <v>2017</v>
      </c>
      <c r="C417" s="552">
        <f t="shared" si="111"/>
        <v>42902</v>
      </c>
      <c r="D417" s="536" t="str">
        <f t="shared" si="112"/>
        <v>2Q17</v>
      </c>
      <c r="E417" s="1188">
        <v>52.740006000000001</v>
      </c>
      <c r="F417" s="535"/>
      <c r="G417" s="536"/>
      <c r="H417" s="536"/>
      <c r="I417" s="536"/>
      <c r="J417" s="536"/>
      <c r="K417" s="536"/>
      <c r="L417" s="536"/>
      <c r="M417" s="536"/>
      <c r="N417" s="536"/>
      <c r="O417" s="536"/>
      <c r="P417" s="536"/>
      <c r="Q417" s="536"/>
      <c r="R417" s="536"/>
      <c r="S417" s="536"/>
      <c r="T417" s="536"/>
      <c r="U417" s="536"/>
      <c r="V417" s="536"/>
      <c r="W417" s="536"/>
      <c r="X417" s="536"/>
      <c r="Y417" s="536"/>
      <c r="Z417" s="536"/>
      <c r="AA417" s="536"/>
      <c r="AB417" s="536"/>
      <c r="AC417" s="536"/>
      <c r="AD417" s="536"/>
      <c r="AE417" s="536"/>
      <c r="AF417" s="536"/>
      <c r="AG417" s="536"/>
      <c r="AH417" s="536"/>
      <c r="AI417" s="536"/>
      <c r="AJ417" s="536"/>
      <c r="AK417" s="536"/>
      <c r="AL417" s="536"/>
      <c r="AM417" s="536"/>
      <c r="AN417" s="536"/>
      <c r="AO417" s="536"/>
      <c r="AP417" s="536"/>
      <c r="AQ417" s="536"/>
      <c r="AR417" s="536"/>
      <c r="AS417" s="536"/>
      <c r="AT417" s="536"/>
      <c r="AU417" s="536"/>
      <c r="AV417" s="536"/>
      <c r="AW417" s="536"/>
      <c r="AX417" s="536"/>
      <c r="AY417" s="536"/>
      <c r="AZ417" s="536"/>
      <c r="BA417" s="536"/>
      <c r="BB417" s="536"/>
      <c r="BC417" s="536"/>
      <c r="BD417" s="536"/>
      <c r="BE417" s="536"/>
      <c r="BF417" s="536"/>
      <c r="BG417" s="536"/>
      <c r="BH417" s="536"/>
      <c r="BI417" s="536"/>
      <c r="BJ417" s="536"/>
      <c r="BK417" s="536"/>
      <c r="BL417" s="536"/>
      <c r="BM417" s="536"/>
      <c r="BN417" s="536"/>
      <c r="BO417" s="536"/>
      <c r="BP417" s="536"/>
      <c r="BQ417" s="536"/>
      <c r="BR417" s="536"/>
      <c r="BS417" s="536"/>
      <c r="BT417" s="536"/>
      <c r="BU417" s="536"/>
      <c r="BV417" s="536"/>
      <c r="BW417" s="536"/>
      <c r="BX417" s="536"/>
      <c r="BY417" s="536"/>
      <c r="BZ417" s="536"/>
      <c r="CA417" s="536"/>
      <c r="CB417" s="536"/>
      <c r="CC417" s="536"/>
      <c r="CD417" s="536"/>
    </row>
    <row r="418" spans="1:82" x14ac:dyDescent="0.2">
      <c r="A418" s="536">
        <f t="shared" si="113"/>
        <v>2</v>
      </c>
      <c r="B418" s="536">
        <f t="shared" si="110"/>
        <v>2017</v>
      </c>
      <c r="C418" s="552">
        <f t="shared" si="111"/>
        <v>42909</v>
      </c>
      <c r="D418" s="536" t="str">
        <f t="shared" si="112"/>
        <v>2Q17</v>
      </c>
      <c r="E418" s="1188">
        <v>52.649994</v>
      </c>
      <c r="F418" s="535"/>
      <c r="G418" s="536"/>
      <c r="H418" s="536"/>
      <c r="I418" s="536"/>
      <c r="J418" s="536"/>
      <c r="K418" s="536"/>
      <c r="L418" s="536"/>
      <c r="M418" s="536"/>
      <c r="N418" s="536"/>
      <c r="O418" s="536"/>
      <c r="P418" s="536"/>
      <c r="Q418" s="536"/>
      <c r="R418" s="536"/>
      <c r="S418" s="536"/>
      <c r="T418" s="536"/>
      <c r="U418" s="536"/>
      <c r="V418" s="536"/>
      <c r="W418" s="536"/>
      <c r="X418" s="536"/>
      <c r="Y418" s="536"/>
      <c r="Z418" s="536"/>
      <c r="AA418" s="536"/>
      <c r="AB418" s="536"/>
      <c r="AC418" s="536"/>
      <c r="AD418" s="536"/>
      <c r="AE418" s="536"/>
      <c r="AF418" s="536"/>
      <c r="AG418" s="536"/>
      <c r="AH418" s="536"/>
      <c r="AI418" s="536"/>
      <c r="AJ418" s="536"/>
      <c r="AK418" s="536"/>
      <c r="AL418" s="536"/>
      <c r="AM418" s="536"/>
      <c r="AN418" s="536"/>
      <c r="AO418" s="536"/>
      <c r="AP418" s="536"/>
      <c r="AQ418" s="536"/>
      <c r="AR418" s="536"/>
      <c r="AS418" s="536"/>
      <c r="AT418" s="536"/>
      <c r="AU418" s="536"/>
      <c r="AV418" s="536"/>
      <c r="AW418" s="536"/>
      <c r="AX418" s="536"/>
      <c r="AY418" s="536"/>
      <c r="AZ418" s="536"/>
      <c r="BA418" s="536"/>
      <c r="BB418" s="536"/>
      <c r="BC418" s="536"/>
      <c r="BD418" s="536"/>
      <c r="BE418" s="536"/>
      <c r="BF418" s="536"/>
      <c r="BG418" s="536"/>
      <c r="BH418" s="536"/>
      <c r="BI418" s="536"/>
      <c r="BJ418" s="536"/>
      <c r="BK418" s="536"/>
      <c r="BL418" s="536"/>
      <c r="BM418" s="536"/>
      <c r="BN418" s="536"/>
      <c r="BO418" s="536"/>
      <c r="BP418" s="536"/>
      <c r="BQ418" s="536"/>
      <c r="BR418" s="536"/>
      <c r="BS418" s="536"/>
      <c r="BT418" s="536"/>
      <c r="BU418" s="536"/>
      <c r="BV418" s="536"/>
      <c r="BW418" s="536"/>
      <c r="BX418" s="536"/>
      <c r="BY418" s="536"/>
      <c r="BZ418" s="536"/>
      <c r="CA418" s="536"/>
      <c r="CB418" s="536"/>
      <c r="CC418" s="536"/>
      <c r="CD418" s="536"/>
    </row>
    <row r="419" spans="1:82" x14ac:dyDescent="0.2">
      <c r="A419" s="536">
        <f t="shared" si="113"/>
        <v>3</v>
      </c>
      <c r="B419" s="536">
        <f t="shared" si="110"/>
        <v>2017</v>
      </c>
      <c r="C419" s="552">
        <f t="shared" si="111"/>
        <v>42916</v>
      </c>
      <c r="D419" s="536" t="str">
        <f t="shared" si="112"/>
        <v>3Q17</v>
      </c>
      <c r="E419" s="1188">
        <v>54.559998</v>
      </c>
      <c r="F419" s="535"/>
      <c r="G419" s="536"/>
      <c r="H419" s="536"/>
      <c r="I419" s="536"/>
      <c r="J419" s="536"/>
      <c r="K419" s="536"/>
      <c r="L419" s="536"/>
      <c r="M419" s="536"/>
      <c r="N419" s="536"/>
      <c r="O419" s="536"/>
      <c r="P419" s="536"/>
      <c r="Q419" s="536"/>
      <c r="R419" s="536"/>
      <c r="S419" s="536"/>
      <c r="T419" s="536"/>
      <c r="U419" s="536"/>
      <c r="V419" s="536"/>
      <c r="W419" s="536"/>
      <c r="X419" s="536"/>
      <c r="Y419" s="536"/>
      <c r="Z419" s="536"/>
      <c r="AA419" s="536"/>
      <c r="AB419" s="536"/>
      <c r="AC419" s="536"/>
      <c r="AD419" s="536"/>
      <c r="AE419" s="536"/>
      <c r="AF419" s="536"/>
      <c r="AG419" s="536"/>
      <c r="AH419" s="536"/>
      <c r="AI419" s="536"/>
      <c r="AJ419" s="536"/>
      <c r="AK419" s="536"/>
      <c r="AL419" s="536"/>
      <c r="AM419" s="536"/>
      <c r="AN419" s="536"/>
      <c r="AO419" s="536"/>
      <c r="AP419" s="536"/>
      <c r="AQ419" s="536"/>
      <c r="AR419" s="536"/>
      <c r="AS419" s="536"/>
      <c r="AT419" s="536"/>
      <c r="AU419" s="536"/>
      <c r="AV419" s="536"/>
      <c r="AW419" s="536"/>
      <c r="AX419" s="536"/>
      <c r="AY419" s="536"/>
      <c r="AZ419" s="536"/>
      <c r="BA419" s="536"/>
      <c r="BB419" s="536"/>
      <c r="BC419" s="536"/>
      <c r="BD419" s="536"/>
      <c r="BE419" s="536"/>
      <c r="BF419" s="536"/>
      <c r="BG419" s="536"/>
      <c r="BH419" s="536"/>
      <c r="BI419" s="536"/>
      <c r="BJ419" s="536"/>
      <c r="BK419" s="536"/>
      <c r="BL419" s="536"/>
      <c r="BM419" s="536"/>
      <c r="BN419" s="536"/>
      <c r="BO419" s="536"/>
      <c r="BP419" s="536"/>
      <c r="BQ419" s="536"/>
      <c r="BR419" s="536"/>
      <c r="BS419" s="536"/>
      <c r="BT419" s="536"/>
      <c r="BU419" s="536"/>
      <c r="BV419" s="536"/>
      <c r="BW419" s="536"/>
      <c r="BX419" s="536"/>
      <c r="BY419" s="536"/>
      <c r="BZ419" s="536"/>
      <c r="CA419" s="536"/>
      <c r="CB419" s="536"/>
      <c r="CC419" s="536"/>
      <c r="CD419" s="536"/>
    </row>
    <row r="420" spans="1:82" x14ac:dyDescent="0.2">
      <c r="A420" s="536">
        <f t="shared" si="113"/>
        <v>3</v>
      </c>
      <c r="B420" s="536">
        <f t="shared" si="110"/>
        <v>2017</v>
      </c>
      <c r="C420" s="552">
        <f t="shared" si="111"/>
        <v>42923</v>
      </c>
      <c r="D420" s="536" t="str">
        <f t="shared" si="112"/>
        <v>3Q17</v>
      </c>
      <c r="E420" s="1188">
        <v>54.850006999999998</v>
      </c>
      <c r="F420" s="535"/>
      <c r="G420" s="536"/>
      <c r="H420" s="536"/>
      <c r="I420" s="536"/>
      <c r="J420" s="536"/>
      <c r="K420" s="536"/>
      <c r="L420" s="536"/>
      <c r="M420" s="536"/>
      <c r="N420" s="536"/>
      <c r="O420" s="536"/>
      <c r="P420" s="536"/>
      <c r="Q420" s="536"/>
      <c r="R420" s="536"/>
      <c r="S420" s="536"/>
      <c r="T420" s="536"/>
      <c r="U420" s="536"/>
      <c r="V420" s="536"/>
      <c r="W420" s="536"/>
      <c r="X420" s="536"/>
      <c r="Y420" s="536"/>
      <c r="Z420" s="536"/>
      <c r="AA420" s="536"/>
      <c r="AB420" s="536"/>
      <c r="AC420" s="536"/>
      <c r="AD420" s="536"/>
      <c r="AE420" s="536"/>
      <c r="AF420" s="536"/>
      <c r="AG420" s="536"/>
      <c r="AH420" s="536"/>
      <c r="AI420" s="536"/>
      <c r="AJ420" s="536"/>
      <c r="AK420" s="536"/>
      <c r="AL420" s="536"/>
      <c r="AM420" s="536"/>
      <c r="AN420" s="536"/>
      <c r="AO420" s="536"/>
      <c r="AP420" s="536"/>
      <c r="AQ420" s="536"/>
      <c r="AR420" s="536"/>
      <c r="AS420" s="536"/>
      <c r="AT420" s="536"/>
      <c r="AU420" s="536"/>
      <c r="AV420" s="536"/>
      <c r="AW420" s="536"/>
      <c r="AX420" s="536"/>
      <c r="AY420" s="536"/>
      <c r="AZ420" s="536"/>
      <c r="BA420" s="536"/>
      <c r="BB420" s="536"/>
      <c r="BC420" s="536"/>
      <c r="BD420" s="536"/>
      <c r="BE420" s="536"/>
      <c r="BF420" s="536"/>
      <c r="BG420" s="536"/>
      <c r="BH420" s="536"/>
      <c r="BI420" s="536"/>
      <c r="BJ420" s="536"/>
      <c r="BK420" s="536"/>
      <c r="BL420" s="536"/>
      <c r="BM420" s="536"/>
      <c r="BN420" s="536"/>
      <c r="BO420" s="536"/>
      <c r="BP420" s="536"/>
      <c r="BQ420" s="536"/>
      <c r="BR420" s="536"/>
      <c r="BS420" s="536"/>
      <c r="BT420" s="536"/>
      <c r="BU420" s="536"/>
      <c r="BV420" s="536"/>
      <c r="BW420" s="536"/>
      <c r="BX420" s="536"/>
      <c r="BY420" s="536"/>
      <c r="BZ420" s="536"/>
      <c r="CA420" s="536"/>
      <c r="CB420" s="536"/>
      <c r="CC420" s="536"/>
      <c r="CD420" s="536"/>
    </row>
    <row r="421" spans="1:82" x14ac:dyDescent="0.2">
      <c r="A421" s="536">
        <f t="shared" si="113"/>
        <v>3</v>
      </c>
      <c r="B421" s="536">
        <f t="shared" si="110"/>
        <v>2017</v>
      </c>
      <c r="C421" s="552">
        <f t="shared" si="111"/>
        <v>42930</v>
      </c>
      <c r="D421" s="536" t="str">
        <f t="shared" si="112"/>
        <v>3Q17</v>
      </c>
      <c r="E421" s="1188">
        <v>55.08</v>
      </c>
      <c r="F421" s="535"/>
      <c r="G421" s="536"/>
      <c r="H421" s="536"/>
      <c r="I421" s="536"/>
      <c r="J421" s="536"/>
      <c r="K421" s="536"/>
      <c r="L421" s="536"/>
      <c r="M421" s="536"/>
      <c r="N421" s="536"/>
      <c r="O421" s="536"/>
      <c r="P421" s="536"/>
      <c r="Q421" s="536"/>
      <c r="R421" s="536"/>
      <c r="S421" s="536"/>
      <c r="T421" s="536"/>
      <c r="U421" s="536"/>
      <c r="V421" s="536"/>
      <c r="W421" s="536"/>
      <c r="X421" s="536"/>
      <c r="Y421" s="536"/>
      <c r="Z421" s="536"/>
      <c r="AA421" s="536"/>
      <c r="AB421" s="536"/>
      <c r="AC421" s="536"/>
      <c r="AD421" s="536"/>
      <c r="AE421" s="536"/>
      <c r="AF421" s="536"/>
      <c r="AG421" s="536"/>
      <c r="AH421" s="536"/>
      <c r="AI421" s="536"/>
      <c r="AJ421" s="536"/>
      <c r="AK421" s="536"/>
      <c r="AL421" s="536"/>
      <c r="AM421" s="536"/>
      <c r="AN421" s="536"/>
      <c r="AO421" s="536"/>
      <c r="AP421" s="536"/>
      <c r="AQ421" s="536"/>
      <c r="AR421" s="536"/>
      <c r="AS421" s="536"/>
      <c r="AT421" s="536"/>
      <c r="AU421" s="536"/>
      <c r="AV421" s="536"/>
      <c r="AW421" s="536"/>
      <c r="AX421" s="536"/>
      <c r="AY421" s="536"/>
      <c r="AZ421" s="536"/>
      <c r="BA421" s="536"/>
      <c r="BB421" s="536"/>
      <c r="BC421" s="536"/>
      <c r="BD421" s="536"/>
      <c r="BE421" s="536"/>
      <c r="BF421" s="536"/>
      <c r="BG421" s="536"/>
      <c r="BH421" s="536"/>
      <c r="BI421" s="536"/>
      <c r="BJ421" s="536"/>
      <c r="BK421" s="536"/>
      <c r="BL421" s="536"/>
      <c r="BM421" s="536"/>
      <c r="BN421" s="536"/>
      <c r="BO421" s="536"/>
      <c r="BP421" s="536"/>
      <c r="BQ421" s="536"/>
      <c r="BR421" s="536"/>
      <c r="BS421" s="536"/>
      <c r="BT421" s="536"/>
      <c r="BU421" s="536"/>
      <c r="BV421" s="536"/>
      <c r="BW421" s="536"/>
      <c r="BX421" s="536"/>
      <c r="BY421" s="536"/>
      <c r="BZ421" s="536"/>
      <c r="CA421" s="536"/>
      <c r="CB421" s="536"/>
      <c r="CC421" s="536"/>
      <c r="CD421" s="536"/>
    </row>
    <row r="422" spans="1:82" x14ac:dyDescent="0.2">
      <c r="A422" s="536">
        <f t="shared" si="113"/>
        <v>3</v>
      </c>
      <c r="B422" s="536">
        <f t="shared" si="110"/>
        <v>2017</v>
      </c>
      <c r="C422" s="552">
        <f t="shared" si="111"/>
        <v>42937</v>
      </c>
      <c r="D422" s="536" t="str">
        <f t="shared" si="112"/>
        <v>3Q17</v>
      </c>
      <c r="E422" s="1188">
        <v>51.679993000000003</v>
      </c>
      <c r="F422" s="535"/>
      <c r="G422" s="536"/>
      <c r="H422" s="536"/>
      <c r="I422" s="536"/>
      <c r="J422" s="536"/>
      <c r="K422" s="536"/>
      <c r="L422" s="536"/>
      <c r="M422" s="536"/>
      <c r="N422" s="536"/>
      <c r="O422" s="536"/>
      <c r="P422" s="536"/>
      <c r="Q422" s="536"/>
      <c r="R422" s="536"/>
      <c r="S422" s="536"/>
      <c r="T422" s="536"/>
      <c r="U422" s="536"/>
      <c r="V422" s="536"/>
      <c r="W422" s="536"/>
      <c r="X422" s="536"/>
      <c r="Y422" s="536"/>
      <c r="Z422" s="536"/>
      <c r="AA422" s="536"/>
      <c r="AB422" s="536"/>
      <c r="AC422" s="536"/>
      <c r="AD422" s="536"/>
      <c r="AE422" s="536"/>
      <c r="AF422" s="536"/>
      <c r="AG422" s="536"/>
      <c r="AH422" s="536"/>
      <c r="AI422" s="536"/>
      <c r="AJ422" s="536"/>
      <c r="AK422" s="536"/>
      <c r="AL422" s="536"/>
      <c r="AM422" s="536"/>
      <c r="AN422" s="536"/>
      <c r="AO422" s="536"/>
      <c r="AP422" s="536"/>
      <c r="AQ422" s="536"/>
      <c r="AR422" s="536"/>
      <c r="AS422" s="536"/>
      <c r="AT422" s="536"/>
      <c r="AU422" s="536"/>
      <c r="AV422" s="536"/>
      <c r="AW422" s="536"/>
      <c r="AX422" s="536"/>
      <c r="AY422" s="536"/>
      <c r="AZ422" s="536"/>
      <c r="BA422" s="536"/>
      <c r="BB422" s="536"/>
      <c r="BC422" s="536"/>
      <c r="BD422" s="536"/>
      <c r="BE422" s="536"/>
      <c r="BF422" s="536"/>
      <c r="BG422" s="536"/>
      <c r="BH422" s="536"/>
      <c r="BI422" s="536"/>
      <c r="BJ422" s="536"/>
      <c r="BK422" s="536"/>
      <c r="BL422" s="536"/>
      <c r="BM422" s="536"/>
      <c r="BN422" s="536"/>
      <c r="BO422" s="536"/>
      <c r="BP422" s="536"/>
      <c r="BQ422" s="536"/>
      <c r="BR422" s="536"/>
      <c r="BS422" s="536"/>
      <c r="BT422" s="536"/>
      <c r="BU422" s="536"/>
      <c r="BV422" s="536"/>
      <c r="BW422" s="536"/>
      <c r="BX422" s="536"/>
      <c r="BY422" s="536"/>
      <c r="BZ422" s="536"/>
      <c r="CA422" s="536"/>
      <c r="CB422" s="536"/>
      <c r="CC422" s="536"/>
      <c r="CD422" s="536"/>
    </row>
    <row r="423" spans="1:82" x14ac:dyDescent="0.2">
      <c r="A423" s="536">
        <f t="shared" si="113"/>
        <v>3</v>
      </c>
      <c r="B423" s="536">
        <f t="shared" si="110"/>
        <v>2017</v>
      </c>
      <c r="C423" s="552">
        <f t="shared" si="111"/>
        <v>42944</v>
      </c>
      <c r="D423" s="536" t="str">
        <f t="shared" si="112"/>
        <v>3Q17</v>
      </c>
      <c r="E423" s="1188">
        <v>49.990006000000001</v>
      </c>
      <c r="F423" s="535"/>
      <c r="G423" s="536"/>
      <c r="H423" s="536"/>
      <c r="I423" s="536"/>
      <c r="J423" s="536"/>
      <c r="K423" s="536"/>
      <c r="L423" s="536"/>
      <c r="M423" s="536"/>
      <c r="N423" s="536"/>
      <c r="O423" s="536"/>
      <c r="P423" s="536"/>
      <c r="Q423" s="536"/>
      <c r="R423" s="536"/>
      <c r="S423" s="536"/>
      <c r="T423" s="536"/>
      <c r="U423" s="536"/>
      <c r="V423" s="536"/>
      <c r="W423" s="536"/>
      <c r="X423" s="536"/>
      <c r="Y423" s="536"/>
      <c r="Z423" s="536"/>
      <c r="AA423" s="536"/>
      <c r="AB423" s="536"/>
      <c r="AC423" s="536"/>
      <c r="AD423" s="536"/>
      <c r="AE423" s="536"/>
      <c r="AF423" s="536"/>
      <c r="AG423" s="536"/>
      <c r="AH423" s="536"/>
      <c r="AI423" s="536"/>
      <c r="AJ423" s="536"/>
      <c r="AK423" s="536"/>
      <c r="AL423" s="536"/>
      <c r="AM423" s="536"/>
      <c r="AN423" s="536"/>
      <c r="AO423" s="536"/>
      <c r="AP423" s="536"/>
      <c r="AQ423" s="536"/>
      <c r="AR423" s="536"/>
      <c r="AS423" s="536"/>
      <c r="AT423" s="536"/>
      <c r="AU423" s="536"/>
      <c r="AV423" s="536"/>
      <c r="AW423" s="536"/>
      <c r="AX423" s="536"/>
      <c r="AY423" s="536"/>
      <c r="AZ423" s="536"/>
      <c r="BA423" s="536"/>
      <c r="BB423" s="536"/>
      <c r="BC423" s="536"/>
      <c r="BD423" s="536"/>
      <c r="BE423" s="536"/>
      <c r="BF423" s="536"/>
      <c r="BG423" s="536"/>
      <c r="BH423" s="536"/>
      <c r="BI423" s="536"/>
      <c r="BJ423" s="536"/>
      <c r="BK423" s="536"/>
      <c r="BL423" s="536"/>
      <c r="BM423" s="536"/>
      <c r="BN423" s="536"/>
      <c r="BO423" s="536"/>
      <c r="BP423" s="536"/>
      <c r="BQ423" s="536"/>
      <c r="BR423" s="536"/>
      <c r="BS423" s="536"/>
      <c r="BT423" s="536"/>
      <c r="BU423" s="536"/>
      <c r="BV423" s="536"/>
      <c r="BW423" s="536"/>
      <c r="BX423" s="536"/>
      <c r="BY423" s="536"/>
      <c r="BZ423" s="536"/>
      <c r="CA423" s="536"/>
      <c r="CB423" s="536"/>
      <c r="CC423" s="536"/>
      <c r="CD423" s="536"/>
    </row>
    <row r="424" spans="1:82" x14ac:dyDescent="0.2">
      <c r="A424" s="536">
        <f t="shared" si="113"/>
        <v>3</v>
      </c>
      <c r="B424" s="536">
        <f t="shared" si="110"/>
        <v>2017</v>
      </c>
      <c r="C424" s="552">
        <f t="shared" si="111"/>
        <v>42951</v>
      </c>
      <c r="D424" s="536" t="str">
        <f t="shared" si="112"/>
        <v>3Q17</v>
      </c>
      <c r="E424" s="1188">
        <v>48.740006000000001</v>
      </c>
      <c r="F424" s="535"/>
      <c r="G424" s="536"/>
      <c r="H424" s="536"/>
      <c r="I424" s="536"/>
      <c r="J424" s="536"/>
      <c r="K424" s="536"/>
      <c r="L424" s="536"/>
      <c r="M424" s="536"/>
      <c r="N424" s="536"/>
      <c r="O424" s="536"/>
      <c r="P424" s="536"/>
      <c r="Q424" s="536"/>
      <c r="R424" s="536"/>
      <c r="S424" s="536"/>
      <c r="T424" s="536"/>
      <c r="U424" s="536"/>
      <c r="V424" s="536"/>
      <c r="W424" s="536"/>
      <c r="X424" s="536"/>
      <c r="Y424" s="536"/>
      <c r="Z424" s="536"/>
      <c r="AA424" s="536"/>
      <c r="AB424" s="536"/>
      <c r="AC424" s="536"/>
      <c r="AD424" s="536"/>
      <c r="AE424" s="536"/>
      <c r="AF424" s="536"/>
      <c r="AG424" s="536"/>
      <c r="AH424" s="536"/>
      <c r="AI424" s="536"/>
      <c r="AJ424" s="536"/>
      <c r="AK424" s="536"/>
      <c r="AL424" s="536"/>
      <c r="AM424" s="536"/>
      <c r="AN424" s="536"/>
      <c r="AO424" s="536"/>
      <c r="AP424" s="536"/>
      <c r="AQ424" s="536"/>
      <c r="AR424" s="536"/>
      <c r="AS424" s="536"/>
      <c r="AT424" s="536"/>
      <c r="AU424" s="536"/>
      <c r="AV424" s="536"/>
      <c r="AW424" s="536"/>
      <c r="AX424" s="536"/>
      <c r="AY424" s="536"/>
      <c r="AZ424" s="536"/>
      <c r="BA424" s="536"/>
      <c r="BB424" s="536"/>
      <c r="BC424" s="536"/>
      <c r="BD424" s="536"/>
      <c r="BE424" s="536"/>
      <c r="BF424" s="536"/>
      <c r="BG424" s="536"/>
      <c r="BH424" s="536"/>
      <c r="BI424" s="536"/>
      <c r="BJ424" s="536"/>
      <c r="BK424" s="536"/>
      <c r="BL424" s="536"/>
      <c r="BM424" s="536"/>
      <c r="BN424" s="536"/>
      <c r="BO424" s="536"/>
      <c r="BP424" s="536"/>
      <c r="BQ424" s="536"/>
      <c r="BR424" s="536"/>
      <c r="BS424" s="536"/>
      <c r="BT424" s="536"/>
      <c r="BU424" s="536"/>
      <c r="BV424" s="536"/>
      <c r="BW424" s="536"/>
      <c r="BX424" s="536"/>
      <c r="BY424" s="536"/>
      <c r="BZ424" s="536"/>
      <c r="CA424" s="536"/>
      <c r="CB424" s="536"/>
      <c r="CC424" s="536"/>
      <c r="CD424" s="536"/>
    </row>
    <row r="425" spans="1:82" x14ac:dyDescent="0.2">
      <c r="A425" s="536">
        <f t="shared" si="113"/>
        <v>3</v>
      </c>
      <c r="B425" s="536">
        <f t="shared" ref="B425:B443" si="114">YEAR(C425)</f>
        <v>2017</v>
      </c>
      <c r="C425" s="552">
        <f t="shared" si="111"/>
        <v>42958</v>
      </c>
      <c r="D425" s="536" t="str">
        <f t="shared" ref="D425:D443" si="115">A425&amp;"Q"&amp;RIGHT(B425,2)</f>
        <v>3Q17</v>
      </c>
      <c r="E425" s="1188">
        <v>50.270004999999998</v>
      </c>
      <c r="F425" s="535"/>
    </row>
    <row r="426" spans="1:82" x14ac:dyDescent="0.2">
      <c r="A426" s="536">
        <f t="shared" si="113"/>
        <v>3</v>
      </c>
      <c r="B426" s="536">
        <f t="shared" si="114"/>
        <v>2017</v>
      </c>
      <c r="C426" s="552">
        <f t="shared" si="111"/>
        <v>42965</v>
      </c>
      <c r="D426" s="536" t="str">
        <f t="shared" si="115"/>
        <v>3Q17</v>
      </c>
      <c r="E426" s="1188">
        <v>48.779998999999997</v>
      </c>
      <c r="F426" s="535"/>
    </row>
    <row r="427" spans="1:82" x14ac:dyDescent="0.2">
      <c r="A427" s="536">
        <f t="shared" si="113"/>
        <v>3</v>
      </c>
      <c r="B427" s="536">
        <f t="shared" si="114"/>
        <v>2017</v>
      </c>
      <c r="C427" s="552">
        <f t="shared" si="111"/>
        <v>42972</v>
      </c>
      <c r="D427" s="536" t="str">
        <f t="shared" si="115"/>
        <v>3Q17</v>
      </c>
      <c r="E427" s="1188">
        <v>48.850006999999998</v>
      </c>
      <c r="F427" s="535"/>
    </row>
    <row r="428" spans="1:82" x14ac:dyDescent="0.2">
      <c r="A428" s="536">
        <f t="shared" si="113"/>
        <v>3</v>
      </c>
      <c r="B428" s="536">
        <f t="shared" si="114"/>
        <v>2017</v>
      </c>
      <c r="C428" s="552">
        <f t="shared" si="111"/>
        <v>42979</v>
      </c>
      <c r="D428" s="536" t="str">
        <f t="shared" si="115"/>
        <v>3Q17</v>
      </c>
      <c r="E428" s="1188">
        <v>49.779998999999997</v>
      </c>
      <c r="F428" s="535"/>
    </row>
    <row r="429" spans="1:82" x14ac:dyDescent="0.2">
      <c r="A429" s="536">
        <f t="shared" si="113"/>
        <v>3</v>
      </c>
      <c r="B429" s="536">
        <f t="shared" si="114"/>
        <v>2017</v>
      </c>
      <c r="C429" s="552">
        <f t="shared" si="111"/>
        <v>42986</v>
      </c>
      <c r="D429" s="536" t="str">
        <f t="shared" si="115"/>
        <v>3Q17</v>
      </c>
      <c r="E429" s="1188">
        <v>51.14</v>
      </c>
      <c r="F429" s="535"/>
    </row>
    <row r="430" spans="1:82" x14ac:dyDescent="0.2">
      <c r="A430" s="536">
        <f t="shared" si="113"/>
        <v>3</v>
      </c>
      <c r="B430" s="536">
        <f t="shared" si="114"/>
        <v>2017</v>
      </c>
      <c r="C430" s="552">
        <f t="shared" si="111"/>
        <v>42993</v>
      </c>
      <c r="D430" s="536" t="str">
        <f t="shared" si="115"/>
        <v>3Q17</v>
      </c>
      <c r="E430" s="1188">
        <v>52.479996</v>
      </c>
      <c r="F430" s="535"/>
    </row>
    <row r="431" spans="1:82" x14ac:dyDescent="0.2">
      <c r="A431" s="536">
        <f t="shared" si="113"/>
        <v>3</v>
      </c>
      <c r="B431" s="536">
        <f t="shared" si="114"/>
        <v>2017</v>
      </c>
      <c r="C431" s="552">
        <f t="shared" si="111"/>
        <v>43000</v>
      </c>
      <c r="D431" s="536" t="str">
        <f t="shared" si="115"/>
        <v>3Q17</v>
      </c>
      <c r="E431" s="1188">
        <v>53.100006999999998</v>
      </c>
      <c r="F431" s="535"/>
    </row>
    <row r="432" spans="1:82" x14ac:dyDescent="0.2">
      <c r="A432" s="536">
        <f t="shared" si="113"/>
        <v>4</v>
      </c>
      <c r="B432" s="536">
        <f t="shared" si="114"/>
        <v>2017</v>
      </c>
      <c r="C432" s="552">
        <f t="shared" si="111"/>
        <v>43007</v>
      </c>
      <c r="D432" s="536" t="s">
        <v>793</v>
      </c>
      <c r="E432" s="1188">
        <v>54.259995000000004</v>
      </c>
      <c r="F432" s="535"/>
    </row>
    <row r="433" spans="1:6" x14ac:dyDescent="0.2">
      <c r="A433" s="536">
        <f t="shared" si="113"/>
        <v>4</v>
      </c>
      <c r="B433" s="536">
        <f t="shared" si="114"/>
        <v>2017</v>
      </c>
      <c r="C433" s="552">
        <f t="shared" si="111"/>
        <v>43014</v>
      </c>
      <c r="D433" s="536" t="str">
        <f t="shared" si="115"/>
        <v>4Q17</v>
      </c>
      <c r="E433" s="1188">
        <v>52.350006999999998</v>
      </c>
      <c r="F433" s="535"/>
    </row>
    <row r="434" spans="1:6" x14ac:dyDescent="0.2">
      <c r="A434" s="536">
        <f t="shared" si="113"/>
        <v>4</v>
      </c>
      <c r="B434" s="536">
        <f t="shared" si="114"/>
        <v>2017</v>
      </c>
      <c r="C434" s="552">
        <f t="shared" si="111"/>
        <v>43021</v>
      </c>
      <c r="D434" s="536" t="str">
        <f t="shared" si="115"/>
        <v>4Q17</v>
      </c>
      <c r="E434" s="1188">
        <v>52.830002</v>
      </c>
      <c r="F434" s="535"/>
    </row>
    <row r="435" spans="1:6" x14ac:dyDescent="0.2">
      <c r="A435" s="536">
        <f t="shared" si="113"/>
        <v>4</v>
      </c>
      <c r="B435" s="536">
        <f t="shared" si="114"/>
        <v>2017</v>
      </c>
      <c r="C435" s="552">
        <f t="shared" si="111"/>
        <v>43028</v>
      </c>
      <c r="D435" s="536" t="str">
        <f t="shared" si="115"/>
        <v>4Q17</v>
      </c>
      <c r="E435" s="1188">
        <v>54.520004999999998</v>
      </c>
      <c r="F435" s="535"/>
    </row>
    <row r="436" spans="1:6" x14ac:dyDescent="0.2">
      <c r="A436" s="536">
        <f t="shared" si="113"/>
        <v>4</v>
      </c>
      <c r="B436" s="536">
        <f t="shared" si="114"/>
        <v>2017</v>
      </c>
      <c r="C436" s="552">
        <f t="shared" si="111"/>
        <v>43035</v>
      </c>
      <c r="D436" s="536" t="str">
        <f t="shared" si="115"/>
        <v>4Q17</v>
      </c>
      <c r="E436" s="1188">
        <v>52.539994</v>
      </c>
      <c r="F436" s="535"/>
    </row>
    <row r="437" spans="1:6" x14ac:dyDescent="0.2">
      <c r="A437" s="536">
        <f t="shared" si="113"/>
        <v>4</v>
      </c>
      <c r="B437" s="536">
        <f t="shared" si="114"/>
        <v>2017</v>
      </c>
      <c r="C437" s="552">
        <f t="shared" ref="C437:C500" si="116">C436+7</f>
        <v>43042</v>
      </c>
      <c r="D437" s="536" t="str">
        <f t="shared" si="115"/>
        <v>4Q17</v>
      </c>
      <c r="E437" s="1188">
        <v>51.309998</v>
      </c>
      <c r="F437" s="535"/>
    </row>
    <row r="438" spans="1:6" x14ac:dyDescent="0.2">
      <c r="A438" s="536">
        <f t="shared" si="113"/>
        <v>4</v>
      </c>
      <c r="B438" s="536">
        <f t="shared" si="114"/>
        <v>2017</v>
      </c>
      <c r="C438" s="552">
        <f t="shared" si="116"/>
        <v>43049</v>
      </c>
      <c r="D438" s="536" t="str">
        <f t="shared" si="115"/>
        <v>4Q17</v>
      </c>
      <c r="E438" s="1188">
        <v>50.080002</v>
      </c>
      <c r="F438" s="535"/>
    </row>
    <row r="439" spans="1:6" x14ac:dyDescent="0.2">
      <c r="A439" s="536">
        <f t="shared" si="113"/>
        <v>4</v>
      </c>
      <c r="B439" s="536">
        <f t="shared" si="114"/>
        <v>2017</v>
      </c>
      <c r="C439" s="552">
        <f t="shared" si="116"/>
        <v>43056</v>
      </c>
      <c r="D439" s="536" t="str">
        <f t="shared" si="115"/>
        <v>4Q17</v>
      </c>
      <c r="E439" s="1188">
        <v>49.919998999999997</v>
      </c>
      <c r="F439" s="535"/>
    </row>
    <row r="440" spans="1:6" x14ac:dyDescent="0.2">
      <c r="A440" s="536">
        <f t="shared" si="113"/>
        <v>4</v>
      </c>
      <c r="B440" s="536">
        <f t="shared" si="114"/>
        <v>2017</v>
      </c>
      <c r="C440" s="552">
        <f t="shared" si="116"/>
        <v>43063</v>
      </c>
      <c r="D440" s="536" t="str">
        <f t="shared" si="115"/>
        <v>4Q17</v>
      </c>
      <c r="E440" s="1188">
        <v>50.899994</v>
      </c>
      <c r="F440" s="535"/>
    </row>
    <row r="441" spans="1:6" x14ac:dyDescent="0.2">
      <c r="A441" s="536">
        <f t="shared" si="113"/>
        <v>4</v>
      </c>
      <c r="B441" s="536">
        <f t="shared" si="114"/>
        <v>2017</v>
      </c>
      <c r="C441" s="552">
        <f t="shared" si="116"/>
        <v>43070</v>
      </c>
      <c r="D441" s="536" t="str">
        <f t="shared" si="115"/>
        <v>4Q17</v>
      </c>
      <c r="E441" s="1188">
        <v>56.14</v>
      </c>
      <c r="F441" s="535"/>
    </row>
    <row r="442" spans="1:6" x14ac:dyDescent="0.2">
      <c r="A442" s="536">
        <f t="shared" si="113"/>
        <v>4</v>
      </c>
      <c r="B442" s="536">
        <f t="shared" si="114"/>
        <v>2017</v>
      </c>
      <c r="C442" s="552">
        <f t="shared" si="116"/>
        <v>43077</v>
      </c>
      <c r="D442" s="536" t="str">
        <f t="shared" si="115"/>
        <v>4Q17</v>
      </c>
      <c r="E442" s="1188">
        <v>56.460006999999997</v>
      </c>
      <c r="F442" s="535"/>
    </row>
    <row r="443" spans="1:6" x14ac:dyDescent="0.2">
      <c r="A443" s="536">
        <f t="shared" si="113"/>
        <v>4</v>
      </c>
      <c r="B443" s="536">
        <f t="shared" si="114"/>
        <v>2017</v>
      </c>
      <c r="C443" s="552">
        <f t="shared" si="116"/>
        <v>43084</v>
      </c>
      <c r="D443" s="536" t="str">
        <f t="shared" si="115"/>
        <v>4Q17</v>
      </c>
      <c r="E443" s="1188">
        <v>52.929993000000003</v>
      </c>
      <c r="F443" s="535"/>
    </row>
    <row r="444" spans="1:6" x14ac:dyDescent="0.2">
      <c r="A444" s="536">
        <f t="shared" si="113"/>
        <v>4</v>
      </c>
      <c r="B444" s="536">
        <f t="shared" ref="B444:B472" si="117">YEAR(C444)</f>
        <v>2017</v>
      </c>
      <c r="C444" s="552">
        <f t="shared" si="116"/>
        <v>43091</v>
      </c>
      <c r="D444" s="536" t="str">
        <f t="shared" ref="D444:D472" si="118">A444&amp;"Q"&amp;RIGHT(B444,2)</f>
        <v>4Q17</v>
      </c>
      <c r="E444" s="1188">
        <v>55</v>
      </c>
      <c r="F444" s="535"/>
    </row>
    <row r="445" spans="1:6" x14ac:dyDescent="0.2">
      <c r="A445" s="536">
        <f t="shared" si="113"/>
        <v>1</v>
      </c>
      <c r="B445" s="536">
        <f t="shared" si="117"/>
        <v>2017</v>
      </c>
      <c r="C445" s="552">
        <f t="shared" si="116"/>
        <v>43098</v>
      </c>
      <c r="D445" s="536" t="s">
        <v>799</v>
      </c>
      <c r="E445" s="1188">
        <v>55.009995000000004</v>
      </c>
      <c r="F445" s="535"/>
    </row>
    <row r="446" spans="1:6" x14ac:dyDescent="0.2">
      <c r="A446" s="536">
        <f t="shared" si="113"/>
        <v>1</v>
      </c>
      <c r="B446" s="536">
        <f t="shared" si="117"/>
        <v>2018</v>
      </c>
      <c r="C446" s="552">
        <f t="shared" si="116"/>
        <v>43105</v>
      </c>
      <c r="D446" s="536" t="str">
        <f t="shared" si="118"/>
        <v>1Q18</v>
      </c>
      <c r="E446" s="1188">
        <v>57.720002000000001</v>
      </c>
      <c r="F446" s="535"/>
    </row>
    <row r="447" spans="1:6" x14ac:dyDescent="0.2">
      <c r="A447" s="536">
        <f t="shared" si="113"/>
        <v>1</v>
      </c>
      <c r="B447" s="536">
        <f t="shared" si="117"/>
        <v>2018</v>
      </c>
      <c r="C447" s="552">
        <f t="shared" si="116"/>
        <v>43112</v>
      </c>
      <c r="D447" s="536" t="str">
        <f t="shared" si="118"/>
        <v>1Q18</v>
      </c>
      <c r="E447" s="1188">
        <v>59.25</v>
      </c>
      <c r="F447" s="535"/>
    </row>
    <row r="448" spans="1:6" x14ac:dyDescent="0.2">
      <c r="A448" s="536">
        <f t="shared" si="113"/>
        <v>1</v>
      </c>
      <c r="B448" s="536">
        <f t="shared" si="117"/>
        <v>2018</v>
      </c>
      <c r="C448" s="552">
        <f t="shared" si="116"/>
        <v>43119</v>
      </c>
      <c r="D448" s="536" t="str">
        <f t="shared" si="118"/>
        <v>1Q18</v>
      </c>
      <c r="E448" s="1188">
        <v>57.490006000000001</v>
      </c>
      <c r="F448" s="535"/>
    </row>
    <row r="449" spans="1:6" x14ac:dyDescent="0.2">
      <c r="A449" s="536">
        <f t="shared" si="113"/>
        <v>1</v>
      </c>
      <c r="B449" s="536">
        <f t="shared" si="117"/>
        <v>2018</v>
      </c>
      <c r="C449" s="552">
        <f t="shared" si="116"/>
        <v>43126</v>
      </c>
      <c r="D449" s="536" t="str">
        <f t="shared" si="118"/>
        <v>1Q18</v>
      </c>
      <c r="E449" s="1188">
        <v>57.910004000000001</v>
      </c>
      <c r="F449" s="535"/>
    </row>
    <row r="450" spans="1:6" x14ac:dyDescent="0.2">
      <c r="A450" s="536">
        <f t="shared" si="113"/>
        <v>1</v>
      </c>
      <c r="B450" s="536">
        <f t="shared" si="117"/>
        <v>2018</v>
      </c>
      <c r="C450" s="552">
        <f t="shared" si="116"/>
        <v>43133</v>
      </c>
      <c r="D450" s="536" t="str">
        <f t="shared" si="118"/>
        <v>1Q18</v>
      </c>
      <c r="E450" s="1188">
        <v>55.25</v>
      </c>
      <c r="F450" s="535"/>
    </row>
    <row r="451" spans="1:6" x14ac:dyDescent="0.2">
      <c r="A451" s="536">
        <f t="shared" si="113"/>
        <v>1</v>
      </c>
      <c r="B451" s="536">
        <f t="shared" si="117"/>
        <v>2018</v>
      </c>
      <c r="C451" s="552">
        <f t="shared" si="116"/>
        <v>43140</v>
      </c>
      <c r="D451" s="536" t="str">
        <f t="shared" si="118"/>
        <v>1Q18</v>
      </c>
      <c r="E451" s="1188">
        <v>50.89</v>
      </c>
      <c r="F451" s="535"/>
    </row>
    <row r="452" spans="1:6" x14ac:dyDescent="0.2">
      <c r="A452" s="536">
        <f t="shared" si="113"/>
        <v>1</v>
      </c>
      <c r="B452" s="536">
        <f t="shared" si="117"/>
        <v>2018</v>
      </c>
      <c r="C452" s="552">
        <f t="shared" si="116"/>
        <v>43147</v>
      </c>
      <c r="D452" s="536" t="str">
        <f t="shared" si="118"/>
        <v>1Q18</v>
      </c>
      <c r="E452" s="1188">
        <v>56.100006999999998</v>
      </c>
      <c r="F452" s="535"/>
    </row>
    <row r="453" spans="1:6" x14ac:dyDescent="0.2">
      <c r="A453" s="536">
        <f t="shared" si="113"/>
        <v>1</v>
      </c>
      <c r="B453" s="536">
        <f t="shared" si="117"/>
        <v>2018</v>
      </c>
      <c r="C453" s="552">
        <f t="shared" si="116"/>
        <v>43154</v>
      </c>
      <c r="D453" s="536" t="str">
        <f t="shared" si="118"/>
        <v>1Q18</v>
      </c>
      <c r="E453" s="1188">
        <v>55.84</v>
      </c>
      <c r="F453" s="535"/>
    </row>
    <row r="454" spans="1:6" x14ac:dyDescent="0.2">
      <c r="A454" s="536">
        <f t="shared" si="113"/>
        <v>1</v>
      </c>
      <c r="B454" s="536">
        <f t="shared" si="117"/>
        <v>2018</v>
      </c>
      <c r="C454" s="552">
        <f t="shared" si="116"/>
        <v>43161</v>
      </c>
      <c r="D454" s="536" t="str">
        <f t="shared" si="118"/>
        <v>1Q18</v>
      </c>
      <c r="E454" s="1188">
        <v>55.039994</v>
      </c>
      <c r="F454" s="535"/>
    </row>
    <row r="455" spans="1:6" x14ac:dyDescent="0.2">
      <c r="A455" s="536">
        <f t="shared" si="113"/>
        <v>1</v>
      </c>
      <c r="B455" s="536">
        <f t="shared" si="117"/>
        <v>2018</v>
      </c>
      <c r="C455" s="552">
        <f t="shared" si="116"/>
        <v>43168</v>
      </c>
      <c r="D455" s="536" t="str">
        <f t="shared" si="118"/>
        <v>1Q18</v>
      </c>
      <c r="E455" s="1188">
        <v>58</v>
      </c>
      <c r="F455" s="535"/>
    </row>
    <row r="456" spans="1:6" x14ac:dyDescent="0.2">
      <c r="A456" s="536">
        <f t="shared" si="113"/>
        <v>1</v>
      </c>
      <c r="B456" s="536">
        <f t="shared" si="117"/>
        <v>2018</v>
      </c>
      <c r="C456" s="552">
        <f t="shared" si="116"/>
        <v>43175</v>
      </c>
      <c r="D456" s="536" t="str">
        <f t="shared" si="118"/>
        <v>1Q18</v>
      </c>
      <c r="E456" s="1188">
        <v>56.919998999999997</v>
      </c>
      <c r="F456" s="535"/>
    </row>
    <row r="457" spans="1:6" x14ac:dyDescent="0.2">
      <c r="A457" s="536">
        <f t="shared" si="113"/>
        <v>1</v>
      </c>
      <c r="B457" s="536">
        <f t="shared" si="117"/>
        <v>2018</v>
      </c>
      <c r="C457" s="552">
        <f t="shared" si="116"/>
        <v>43182</v>
      </c>
      <c r="D457" s="536" t="str">
        <f t="shared" si="118"/>
        <v>1Q18</v>
      </c>
      <c r="E457" s="1188">
        <v>54.270004999999998</v>
      </c>
      <c r="F457" s="535"/>
    </row>
    <row r="458" spans="1:6" x14ac:dyDescent="0.2">
      <c r="A458" s="536">
        <f t="shared" si="113"/>
        <v>2</v>
      </c>
      <c r="B458" s="536">
        <f t="shared" si="117"/>
        <v>2018</v>
      </c>
      <c r="C458" s="552">
        <f t="shared" si="116"/>
        <v>43189</v>
      </c>
      <c r="D458" s="536" t="s">
        <v>799</v>
      </c>
      <c r="E458" s="1188">
        <v>55.710006999999997</v>
      </c>
      <c r="F458" s="535"/>
    </row>
    <row r="459" spans="1:6" x14ac:dyDescent="0.2">
      <c r="A459" s="536">
        <f t="shared" si="113"/>
        <v>2</v>
      </c>
      <c r="B459" s="536">
        <f t="shared" si="117"/>
        <v>2018</v>
      </c>
      <c r="C459" s="552">
        <f t="shared" si="116"/>
        <v>43196</v>
      </c>
      <c r="D459" s="536" t="str">
        <f t="shared" si="118"/>
        <v>2Q18</v>
      </c>
      <c r="E459" s="1188">
        <v>54.350006999999998</v>
      </c>
      <c r="F459" s="535"/>
    </row>
    <row r="460" spans="1:6" x14ac:dyDescent="0.2">
      <c r="A460" s="536">
        <f t="shared" si="113"/>
        <v>2</v>
      </c>
      <c r="B460" s="536">
        <f t="shared" si="117"/>
        <v>2018</v>
      </c>
      <c r="C460" s="552">
        <f t="shared" si="116"/>
        <v>43203</v>
      </c>
      <c r="D460" s="536" t="str">
        <f t="shared" si="118"/>
        <v>2Q18</v>
      </c>
      <c r="E460" s="1188">
        <v>55.589996999999997</v>
      </c>
      <c r="F460" s="535"/>
    </row>
    <row r="461" spans="1:6" x14ac:dyDescent="0.2">
      <c r="A461" s="536">
        <f t="shared" si="113"/>
        <v>2</v>
      </c>
      <c r="B461" s="536">
        <f t="shared" si="117"/>
        <v>2018</v>
      </c>
      <c r="C461" s="552">
        <f t="shared" si="116"/>
        <v>43210</v>
      </c>
      <c r="D461" s="536" t="str">
        <f t="shared" si="118"/>
        <v>2Q18</v>
      </c>
      <c r="E461" s="1713">
        <v>56.41</v>
      </c>
      <c r="F461" s="535"/>
    </row>
    <row r="462" spans="1:6" x14ac:dyDescent="0.2">
      <c r="A462" s="536">
        <f t="shared" si="113"/>
        <v>2</v>
      </c>
      <c r="B462" s="536">
        <f t="shared" si="117"/>
        <v>2018</v>
      </c>
      <c r="C462" s="552">
        <f t="shared" si="116"/>
        <v>43217</v>
      </c>
      <c r="D462" s="536" t="str">
        <f t="shared" si="118"/>
        <v>2Q18</v>
      </c>
      <c r="E462" s="553">
        <f t="shared" ref="E462:E500" si="119">E461</f>
        <v>56.41</v>
      </c>
      <c r="F462" s="535"/>
    </row>
    <row r="463" spans="1:6" x14ac:dyDescent="0.2">
      <c r="A463" s="536">
        <f t="shared" si="113"/>
        <v>2</v>
      </c>
      <c r="B463" s="536">
        <f t="shared" si="117"/>
        <v>2018</v>
      </c>
      <c r="C463" s="552">
        <f t="shared" si="116"/>
        <v>43224</v>
      </c>
      <c r="D463" s="536" t="str">
        <f t="shared" si="118"/>
        <v>2Q18</v>
      </c>
      <c r="E463" s="553">
        <f t="shared" si="119"/>
        <v>56.41</v>
      </c>
      <c r="F463" s="535"/>
    </row>
    <row r="464" spans="1:6" x14ac:dyDescent="0.2">
      <c r="A464" s="536">
        <f t="shared" si="113"/>
        <v>2</v>
      </c>
      <c r="B464" s="536">
        <f t="shared" si="117"/>
        <v>2018</v>
      </c>
      <c r="C464" s="552">
        <f t="shared" si="116"/>
        <v>43231</v>
      </c>
      <c r="D464" s="536" t="str">
        <f t="shared" si="118"/>
        <v>2Q18</v>
      </c>
      <c r="E464" s="553">
        <f t="shared" si="119"/>
        <v>56.41</v>
      </c>
      <c r="F464" s="535"/>
    </row>
    <row r="465" spans="1:6" x14ac:dyDescent="0.2">
      <c r="A465" s="536">
        <f t="shared" si="113"/>
        <v>2</v>
      </c>
      <c r="B465" s="536">
        <f t="shared" si="117"/>
        <v>2018</v>
      </c>
      <c r="C465" s="552">
        <f t="shared" si="116"/>
        <v>43238</v>
      </c>
      <c r="D465" s="536" t="str">
        <f t="shared" si="118"/>
        <v>2Q18</v>
      </c>
      <c r="E465" s="553">
        <f t="shared" si="119"/>
        <v>56.41</v>
      </c>
      <c r="F465" s="535"/>
    </row>
    <row r="466" spans="1:6" x14ac:dyDescent="0.2">
      <c r="A466" s="536">
        <f t="shared" si="113"/>
        <v>2</v>
      </c>
      <c r="B466" s="536">
        <f t="shared" si="117"/>
        <v>2018</v>
      </c>
      <c r="C466" s="552">
        <f t="shared" si="116"/>
        <v>43245</v>
      </c>
      <c r="D466" s="536" t="str">
        <f t="shared" si="118"/>
        <v>2Q18</v>
      </c>
      <c r="E466" s="553">
        <f t="shared" si="119"/>
        <v>56.41</v>
      </c>
      <c r="F466" s="535"/>
    </row>
    <row r="467" spans="1:6" x14ac:dyDescent="0.2">
      <c r="A467" s="536">
        <f t="shared" si="113"/>
        <v>2</v>
      </c>
      <c r="B467" s="536">
        <f t="shared" si="117"/>
        <v>2018</v>
      </c>
      <c r="C467" s="552">
        <f t="shared" si="116"/>
        <v>43252</v>
      </c>
      <c r="D467" s="536" t="str">
        <f t="shared" si="118"/>
        <v>2Q18</v>
      </c>
      <c r="E467" s="553">
        <f t="shared" si="119"/>
        <v>56.41</v>
      </c>
      <c r="F467" s="535"/>
    </row>
    <row r="468" spans="1:6" x14ac:dyDescent="0.2">
      <c r="A468" s="536">
        <f t="shared" si="113"/>
        <v>2</v>
      </c>
      <c r="B468" s="536">
        <f t="shared" si="117"/>
        <v>2018</v>
      </c>
      <c r="C468" s="552">
        <f t="shared" si="116"/>
        <v>43259</v>
      </c>
      <c r="D468" s="536" t="str">
        <f t="shared" si="118"/>
        <v>2Q18</v>
      </c>
      <c r="E468" s="553">
        <f t="shared" si="119"/>
        <v>56.41</v>
      </c>
      <c r="F468" s="535"/>
    </row>
    <row r="469" spans="1:6" x14ac:dyDescent="0.2">
      <c r="A469" s="536">
        <f t="shared" si="113"/>
        <v>2</v>
      </c>
      <c r="B469" s="536">
        <f t="shared" si="117"/>
        <v>2018</v>
      </c>
      <c r="C469" s="552">
        <f t="shared" si="116"/>
        <v>43266</v>
      </c>
      <c r="D469" s="536" t="str">
        <f t="shared" si="118"/>
        <v>2Q18</v>
      </c>
      <c r="E469" s="553">
        <f t="shared" si="119"/>
        <v>56.41</v>
      </c>
      <c r="F469" s="535"/>
    </row>
    <row r="470" spans="1:6" x14ac:dyDescent="0.2">
      <c r="A470" s="536">
        <f t="shared" si="113"/>
        <v>2</v>
      </c>
      <c r="B470" s="536">
        <f t="shared" si="117"/>
        <v>2018</v>
      </c>
      <c r="C470" s="552">
        <f t="shared" si="116"/>
        <v>43273</v>
      </c>
      <c r="D470" s="536" t="str">
        <f t="shared" si="118"/>
        <v>2Q18</v>
      </c>
      <c r="E470" s="553">
        <f t="shared" si="119"/>
        <v>56.41</v>
      </c>
      <c r="F470" s="535"/>
    </row>
    <row r="471" spans="1:6" x14ac:dyDescent="0.2">
      <c r="A471" s="536">
        <f t="shared" si="113"/>
        <v>3</v>
      </c>
      <c r="B471" s="536">
        <f t="shared" si="117"/>
        <v>2018</v>
      </c>
      <c r="C471" s="552">
        <f t="shared" si="116"/>
        <v>43280</v>
      </c>
      <c r="D471" s="536" t="str">
        <f t="shared" si="118"/>
        <v>3Q18</v>
      </c>
      <c r="E471" s="553">
        <f t="shared" si="119"/>
        <v>56.41</v>
      </c>
      <c r="F471" s="535"/>
    </row>
    <row r="472" spans="1:6" x14ac:dyDescent="0.2">
      <c r="A472" s="536">
        <f t="shared" si="113"/>
        <v>3</v>
      </c>
      <c r="B472" s="536">
        <f t="shared" si="117"/>
        <v>2018</v>
      </c>
      <c r="C472" s="552">
        <f t="shared" si="116"/>
        <v>43287</v>
      </c>
      <c r="D472" s="536" t="str">
        <f t="shared" si="118"/>
        <v>3Q18</v>
      </c>
      <c r="E472" s="553">
        <f t="shared" si="119"/>
        <v>56.41</v>
      </c>
      <c r="F472" s="535"/>
    </row>
    <row r="473" spans="1:6" x14ac:dyDescent="0.2">
      <c r="A473" s="536">
        <f t="shared" ref="A473:A536" si="120">A421</f>
        <v>3</v>
      </c>
      <c r="B473" s="536">
        <f t="shared" ref="B473:B497" si="121">YEAR(C473)</f>
        <v>2018</v>
      </c>
      <c r="C473" s="552">
        <f t="shared" si="116"/>
        <v>43294</v>
      </c>
      <c r="D473" s="536" t="str">
        <f t="shared" ref="D473:D497" si="122">A473&amp;"Q"&amp;RIGHT(B473,2)</f>
        <v>3Q18</v>
      </c>
      <c r="E473" s="553">
        <f t="shared" si="119"/>
        <v>56.41</v>
      </c>
      <c r="F473" s="535"/>
    </row>
    <row r="474" spans="1:6" x14ac:dyDescent="0.2">
      <c r="A474" s="536">
        <f t="shared" si="120"/>
        <v>3</v>
      </c>
      <c r="B474" s="536">
        <f t="shared" si="121"/>
        <v>2018</v>
      </c>
      <c r="C474" s="552">
        <f t="shared" si="116"/>
        <v>43301</v>
      </c>
      <c r="D474" s="536" t="str">
        <f t="shared" si="122"/>
        <v>3Q18</v>
      </c>
      <c r="E474" s="553">
        <f t="shared" si="119"/>
        <v>56.41</v>
      </c>
      <c r="F474" s="535"/>
    </row>
    <row r="475" spans="1:6" x14ac:dyDescent="0.2">
      <c r="A475" s="536">
        <f t="shared" si="120"/>
        <v>3</v>
      </c>
      <c r="B475" s="536">
        <f t="shared" si="121"/>
        <v>2018</v>
      </c>
      <c r="C475" s="552">
        <f t="shared" si="116"/>
        <v>43308</v>
      </c>
      <c r="D475" s="536" t="str">
        <f t="shared" si="122"/>
        <v>3Q18</v>
      </c>
      <c r="E475" s="553">
        <f t="shared" si="119"/>
        <v>56.41</v>
      </c>
      <c r="F475" s="535"/>
    </row>
    <row r="476" spans="1:6" x14ac:dyDescent="0.2">
      <c r="A476" s="536">
        <f t="shared" si="120"/>
        <v>3</v>
      </c>
      <c r="B476" s="536">
        <f t="shared" si="121"/>
        <v>2018</v>
      </c>
      <c r="C476" s="552">
        <f t="shared" si="116"/>
        <v>43315</v>
      </c>
      <c r="D476" s="536" t="str">
        <f t="shared" si="122"/>
        <v>3Q18</v>
      </c>
      <c r="E476" s="553">
        <f t="shared" si="119"/>
        <v>56.41</v>
      </c>
      <c r="F476" s="535"/>
    </row>
    <row r="477" spans="1:6" x14ac:dyDescent="0.2">
      <c r="A477" s="536">
        <f t="shared" si="120"/>
        <v>3</v>
      </c>
      <c r="B477" s="536">
        <f t="shared" si="121"/>
        <v>2018</v>
      </c>
      <c r="C477" s="552">
        <f t="shared" si="116"/>
        <v>43322</v>
      </c>
      <c r="D477" s="536" t="str">
        <f t="shared" si="122"/>
        <v>3Q18</v>
      </c>
      <c r="E477" s="553">
        <f t="shared" si="119"/>
        <v>56.41</v>
      </c>
      <c r="F477" s="535"/>
    </row>
    <row r="478" spans="1:6" x14ac:dyDescent="0.2">
      <c r="A478" s="536">
        <f t="shared" si="120"/>
        <v>3</v>
      </c>
      <c r="B478" s="536">
        <f t="shared" si="121"/>
        <v>2018</v>
      </c>
      <c r="C478" s="552">
        <f t="shared" si="116"/>
        <v>43329</v>
      </c>
      <c r="D478" s="536" t="str">
        <f t="shared" si="122"/>
        <v>3Q18</v>
      </c>
      <c r="E478" s="553">
        <f t="shared" si="119"/>
        <v>56.41</v>
      </c>
      <c r="F478" s="535"/>
    </row>
    <row r="479" spans="1:6" x14ac:dyDescent="0.2">
      <c r="A479" s="536">
        <f t="shared" si="120"/>
        <v>3</v>
      </c>
      <c r="B479" s="536">
        <f t="shared" si="121"/>
        <v>2018</v>
      </c>
      <c r="C479" s="552">
        <f t="shared" si="116"/>
        <v>43336</v>
      </c>
      <c r="D479" s="536" t="str">
        <f t="shared" si="122"/>
        <v>3Q18</v>
      </c>
      <c r="E479" s="553">
        <f t="shared" si="119"/>
        <v>56.41</v>
      </c>
      <c r="F479" s="535"/>
    </row>
    <row r="480" spans="1:6" x14ac:dyDescent="0.2">
      <c r="A480" s="536">
        <f t="shared" si="120"/>
        <v>3</v>
      </c>
      <c r="B480" s="536">
        <f t="shared" si="121"/>
        <v>2018</v>
      </c>
      <c r="C480" s="552">
        <f t="shared" si="116"/>
        <v>43343</v>
      </c>
      <c r="D480" s="536" t="str">
        <f t="shared" si="122"/>
        <v>3Q18</v>
      </c>
      <c r="E480" s="553">
        <f t="shared" si="119"/>
        <v>56.41</v>
      </c>
      <c r="F480" s="535"/>
    </row>
    <row r="481" spans="1:6" x14ac:dyDescent="0.2">
      <c r="A481" s="536">
        <f t="shared" si="120"/>
        <v>3</v>
      </c>
      <c r="B481" s="536">
        <f t="shared" si="121"/>
        <v>2018</v>
      </c>
      <c r="C481" s="552">
        <f t="shared" si="116"/>
        <v>43350</v>
      </c>
      <c r="D481" s="536" t="str">
        <f t="shared" si="122"/>
        <v>3Q18</v>
      </c>
      <c r="E481" s="553">
        <f t="shared" si="119"/>
        <v>56.41</v>
      </c>
      <c r="F481" s="535"/>
    </row>
    <row r="482" spans="1:6" x14ac:dyDescent="0.2">
      <c r="A482" s="536">
        <f t="shared" si="120"/>
        <v>3</v>
      </c>
      <c r="B482" s="536">
        <f t="shared" si="121"/>
        <v>2018</v>
      </c>
      <c r="C482" s="552">
        <f t="shared" si="116"/>
        <v>43357</v>
      </c>
      <c r="D482" s="536" t="str">
        <f t="shared" si="122"/>
        <v>3Q18</v>
      </c>
      <c r="E482" s="553">
        <f t="shared" si="119"/>
        <v>56.41</v>
      </c>
      <c r="F482" s="535"/>
    </row>
    <row r="483" spans="1:6" x14ac:dyDescent="0.2">
      <c r="A483" s="536">
        <f t="shared" si="120"/>
        <v>3</v>
      </c>
      <c r="B483" s="536">
        <f t="shared" si="121"/>
        <v>2018</v>
      </c>
      <c r="C483" s="552">
        <f t="shared" si="116"/>
        <v>43364</v>
      </c>
      <c r="D483" s="536" t="str">
        <f t="shared" si="122"/>
        <v>3Q18</v>
      </c>
      <c r="E483" s="553">
        <f t="shared" si="119"/>
        <v>56.41</v>
      </c>
      <c r="F483" s="535"/>
    </row>
    <row r="484" spans="1:6" x14ac:dyDescent="0.2">
      <c r="A484" s="536">
        <f t="shared" si="120"/>
        <v>4</v>
      </c>
      <c r="B484" s="536">
        <f t="shared" si="121"/>
        <v>2018</v>
      </c>
      <c r="C484" s="552">
        <f t="shared" si="116"/>
        <v>43371</v>
      </c>
      <c r="D484" s="536" t="str">
        <f t="shared" si="122"/>
        <v>4Q18</v>
      </c>
      <c r="E484" s="553">
        <f t="shared" si="119"/>
        <v>56.41</v>
      </c>
      <c r="F484" s="535"/>
    </row>
    <row r="485" spans="1:6" x14ac:dyDescent="0.2">
      <c r="A485" s="536">
        <f t="shared" si="120"/>
        <v>4</v>
      </c>
      <c r="B485" s="536">
        <f t="shared" si="121"/>
        <v>2018</v>
      </c>
      <c r="C485" s="552">
        <f t="shared" si="116"/>
        <v>43378</v>
      </c>
      <c r="D485" s="536" t="str">
        <f t="shared" si="122"/>
        <v>4Q18</v>
      </c>
      <c r="E485" s="553">
        <f t="shared" si="119"/>
        <v>56.41</v>
      </c>
      <c r="F485" s="535"/>
    </row>
    <row r="486" spans="1:6" x14ac:dyDescent="0.2">
      <c r="A486" s="536">
        <f t="shared" si="120"/>
        <v>4</v>
      </c>
      <c r="B486" s="536">
        <f t="shared" si="121"/>
        <v>2018</v>
      </c>
      <c r="C486" s="552">
        <f t="shared" si="116"/>
        <v>43385</v>
      </c>
      <c r="D486" s="536" t="str">
        <f t="shared" si="122"/>
        <v>4Q18</v>
      </c>
      <c r="E486" s="553">
        <f t="shared" si="119"/>
        <v>56.41</v>
      </c>
      <c r="F486" s="535"/>
    </row>
    <row r="487" spans="1:6" x14ac:dyDescent="0.2">
      <c r="A487" s="536">
        <f t="shared" si="120"/>
        <v>4</v>
      </c>
      <c r="B487" s="536">
        <f t="shared" si="121"/>
        <v>2018</v>
      </c>
      <c r="C487" s="552">
        <f t="shared" si="116"/>
        <v>43392</v>
      </c>
      <c r="D487" s="536" t="str">
        <f t="shared" si="122"/>
        <v>4Q18</v>
      </c>
      <c r="E487" s="553">
        <f t="shared" si="119"/>
        <v>56.41</v>
      </c>
      <c r="F487" s="535"/>
    </row>
    <row r="488" spans="1:6" x14ac:dyDescent="0.2">
      <c r="A488" s="536">
        <f t="shared" si="120"/>
        <v>4</v>
      </c>
      <c r="B488" s="536">
        <f t="shared" si="121"/>
        <v>2018</v>
      </c>
      <c r="C488" s="552">
        <f t="shared" si="116"/>
        <v>43399</v>
      </c>
      <c r="D488" s="536" t="str">
        <f t="shared" si="122"/>
        <v>4Q18</v>
      </c>
      <c r="E488" s="553">
        <f t="shared" si="119"/>
        <v>56.41</v>
      </c>
      <c r="F488" s="535"/>
    </row>
    <row r="489" spans="1:6" x14ac:dyDescent="0.2">
      <c r="A489" s="536">
        <f t="shared" si="120"/>
        <v>4</v>
      </c>
      <c r="B489" s="536">
        <f t="shared" si="121"/>
        <v>2018</v>
      </c>
      <c r="C489" s="552">
        <f t="shared" si="116"/>
        <v>43406</v>
      </c>
      <c r="D489" s="536" t="str">
        <f t="shared" si="122"/>
        <v>4Q18</v>
      </c>
      <c r="E489" s="553">
        <f t="shared" si="119"/>
        <v>56.41</v>
      </c>
      <c r="F489" s="535"/>
    </row>
    <row r="490" spans="1:6" x14ac:dyDescent="0.2">
      <c r="A490" s="536">
        <f t="shared" si="120"/>
        <v>4</v>
      </c>
      <c r="B490" s="536">
        <f t="shared" si="121"/>
        <v>2018</v>
      </c>
      <c r="C490" s="552">
        <f t="shared" si="116"/>
        <v>43413</v>
      </c>
      <c r="D490" s="536" t="str">
        <f t="shared" si="122"/>
        <v>4Q18</v>
      </c>
      <c r="E490" s="553">
        <f t="shared" si="119"/>
        <v>56.41</v>
      </c>
      <c r="F490" s="535"/>
    </row>
    <row r="491" spans="1:6" x14ac:dyDescent="0.2">
      <c r="A491" s="536">
        <f t="shared" si="120"/>
        <v>4</v>
      </c>
      <c r="B491" s="536">
        <f t="shared" si="121"/>
        <v>2018</v>
      </c>
      <c r="C491" s="552">
        <f t="shared" si="116"/>
        <v>43420</v>
      </c>
      <c r="D491" s="536" t="str">
        <f t="shared" si="122"/>
        <v>4Q18</v>
      </c>
      <c r="E491" s="553">
        <f t="shared" si="119"/>
        <v>56.41</v>
      </c>
      <c r="F491" s="535"/>
    </row>
    <row r="492" spans="1:6" x14ac:dyDescent="0.2">
      <c r="A492" s="536">
        <f t="shared" si="120"/>
        <v>4</v>
      </c>
      <c r="B492" s="536">
        <f t="shared" si="121"/>
        <v>2018</v>
      </c>
      <c r="C492" s="552">
        <f t="shared" si="116"/>
        <v>43427</v>
      </c>
      <c r="D492" s="536" t="str">
        <f t="shared" si="122"/>
        <v>4Q18</v>
      </c>
      <c r="E492" s="553">
        <f t="shared" si="119"/>
        <v>56.41</v>
      </c>
      <c r="F492" s="535"/>
    </row>
    <row r="493" spans="1:6" x14ac:dyDescent="0.2">
      <c r="A493" s="536">
        <f t="shared" si="120"/>
        <v>4</v>
      </c>
      <c r="B493" s="536">
        <f t="shared" si="121"/>
        <v>2018</v>
      </c>
      <c r="C493" s="552">
        <f t="shared" si="116"/>
        <v>43434</v>
      </c>
      <c r="D493" s="536" t="str">
        <f t="shared" si="122"/>
        <v>4Q18</v>
      </c>
      <c r="E493" s="553">
        <f t="shared" si="119"/>
        <v>56.41</v>
      </c>
      <c r="F493" s="535"/>
    </row>
    <row r="494" spans="1:6" x14ac:dyDescent="0.2">
      <c r="A494" s="536">
        <f t="shared" si="120"/>
        <v>4</v>
      </c>
      <c r="B494" s="536">
        <f t="shared" si="121"/>
        <v>2018</v>
      </c>
      <c r="C494" s="552">
        <f t="shared" si="116"/>
        <v>43441</v>
      </c>
      <c r="D494" s="536" t="str">
        <f t="shared" si="122"/>
        <v>4Q18</v>
      </c>
      <c r="E494" s="553">
        <f t="shared" si="119"/>
        <v>56.41</v>
      </c>
      <c r="F494" s="535"/>
    </row>
    <row r="495" spans="1:6" x14ac:dyDescent="0.2">
      <c r="A495" s="536">
        <f t="shared" si="120"/>
        <v>4</v>
      </c>
      <c r="B495" s="536">
        <f t="shared" si="121"/>
        <v>2018</v>
      </c>
      <c r="C495" s="552">
        <f t="shared" si="116"/>
        <v>43448</v>
      </c>
      <c r="D495" s="536" t="str">
        <f t="shared" si="122"/>
        <v>4Q18</v>
      </c>
      <c r="E495" s="553">
        <f t="shared" si="119"/>
        <v>56.41</v>
      </c>
      <c r="F495" s="535"/>
    </row>
    <row r="496" spans="1:6" x14ac:dyDescent="0.2">
      <c r="A496" s="536">
        <f t="shared" si="120"/>
        <v>4</v>
      </c>
      <c r="B496" s="536">
        <f t="shared" si="121"/>
        <v>2018</v>
      </c>
      <c r="C496" s="552">
        <f t="shared" si="116"/>
        <v>43455</v>
      </c>
      <c r="D496" s="536" t="str">
        <f t="shared" si="122"/>
        <v>4Q18</v>
      </c>
      <c r="E496" s="553">
        <f t="shared" si="119"/>
        <v>56.41</v>
      </c>
      <c r="F496" s="535"/>
    </row>
    <row r="497" spans="1:6" x14ac:dyDescent="0.2">
      <c r="A497" s="536">
        <f t="shared" si="120"/>
        <v>1</v>
      </c>
      <c r="B497" s="536">
        <f t="shared" si="121"/>
        <v>2018</v>
      </c>
      <c r="C497" s="552">
        <f t="shared" si="116"/>
        <v>43462</v>
      </c>
      <c r="D497" s="536" t="str">
        <f t="shared" si="122"/>
        <v>1Q18</v>
      </c>
      <c r="E497" s="553">
        <f t="shared" si="119"/>
        <v>56.41</v>
      </c>
      <c r="F497" s="535"/>
    </row>
    <row r="498" spans="1:6" x14ac:dyDescent="0.2">
      <c r="A498" s="536">
        <f t="shared" si="120"/>
        <v>1</v>
      </c>
      <c r="B498" s="536">
        <f t="shared" ref="B498:B559" si="123">YEAR(C498)</f>
        <v>2019</v>
      </c>
      <c r="C498" s="552">
        <f t="shared" si="116"/>
        <v>43469</v>
      </c>
      <c r="D498" s="536" t="str">
        <f t="shared" ref="D498:D559" si="124">A498&amp;"Q"&amp;RIGHT(B498,2)</f>
        <v>1Q19</v>
      </c>
      <c r="E498" s="553">
        <f t="shared" si="119"/>
        <v>56.41</v>
      </c>
      <c r="F498" s="535"/>
    </row>
    <row r="499" spans="1:6" x14ac:dyDescent="0.2">
      <c r="A499" s="536">
        <f t="shared" si="120"/>
        <v>1</v>
      </c>
      <c r="B499" s="536">
        <f t="shared" si="123"/>
        <v>2019</v>
      </c>
      <c r="C499" s="552">
        <f t="shared" si="116"/>
        <v>43476</v>
      </c>
      <c r="D499" s="536" t="str">
        <f t="shared" si="124"/>
        <v>1Q19</v>
      </c>
      <c r="E499" s="553">
        <f t="shared" si="119"/>
        <v>56.41</v>
      </c>
      <c r="F499" s="535"/>
    </row>
    <row r="500" spans="1:6" x14ac:dyDescent="0.2">
      <c r="A500" s="536">
        <f t="shared" si="120"/>
        <v>1</v>
      </c>
      <c r="B500" s="536">
        <f t="shared" si="123"/>
        <v>2019</v>
      </c>
      <c r="C500" s="552">
        <f t="shared" si="116"/>
        <v>43483</v>
      </c>
      <c r="D500" s="536" t="str">
        <f t="shared" si="124"/>
        <v>1Q19</v>
      </c>
      <c r="E500" s="553">
        <f t="shared" si="119"/>
        <v>56.41</v>
      </c>
      <c r="F500" s="535"/>
    </row>
    <row r="501" spans="1:6" x14ac:dyDescent="0.2">
      <c r="A501" s="536">
        <f t="shared" si="120"/>
        <v>1</v>
      </c>
      <c r="B501" s="536">
        <f t="shared" si="123"/>
        <v>2019</v>
      </c>
      <c r="C501" s="552">
        <f t="shared" ref="C501:C564" si="125">C500+7</f>
        <v>43490</v>
      </c>
      <c r="D501" s="536" t="str">
        <f t="shared" si="124"/>
        <v>1Q19</v>
      </c>
      <c r="E501" s="553">
        <f t="shared" ref="E501:E564" si="126">E500</f>
        <v>56.41</v>
      </c>
      <c r="F501" s="535"/>
    </row>
    <row r="502" spans="1:6" x14ac:dyDescent="0.2">
      <c r="A502" s="536">
        <f t="shared" si="120"/>
        <v>1</v>
      </c>
      <c r="B502" s="536">
        <f t="shared" si="123"/>
        <v>2019</v>
      </c>
      <c r="C502" s="552">
        <f t="shared" si="125"/>
        <v>43497</v>
      </c>
      <c r="D502" s="536" t="str">
        <f t="shared" si="124"/>
        <v>1Q19</v>
      </c>
      <c r="E502" s="553">
        <f t="shared" si="126"/>
        <v>56.41</v>
      </c>
      <c r="F502" s="535"/>
    </row>
    <row r="503" spans="1:6" x14ac:dyDescent="0.2">
      <c r="A503" s="536">
        <f t="shared" si="120"/>
        <v>1</v>
      </c>
      <c r="B503" s="536">
        <f t="shared" si="123"/>
        <v>2019</v>
      </c>
      <c r="C503" s="552">
        <f t="shared" si="125"/>
        <v>43504</v>
      </c>
      <c r="D503" s="536" t="str">
        <f t="shared" si="124"/>
        <v>1Q19</v>
      </c>
      <c r="E503" s="553">
        <f t="shared" si="126"/>
        <v>56.41</v>
      </c>
      <c r="F503" s="535"/>
    </row>
    <row r="504" spans="1:6" x14ac:dyDescent="0.2">
      <c r="A504" s="536">
        <f t="shared" si="120"/>
        <v>1</v>
      </c>
      <c r="B504" s="536">
        <f t="shared" si="123"/>
        <v>2019</v>
      </c>
      <c r="C504" s="552">
        <f t="shared" si="125"/>
        <v>43511</v>
      </c>
      <c r="D504" s="536" t="str">
        <f t="shared" si="124"/>
        <v>1Q19</v>
      </c>
      <c r="E504" s="553">
        <f t="shared" si="126"/>
        <v>56.41</v>
      </c>
      <c r="F504" s="535"/>
    </row>
    <row r="505" spans="1:6" x14ac:dyDescent="0.2">
      <c r="A505" s="536">
        <f t="shared" si="120"/>
        <v>1</v>
      </c>
      <c r="B505" s="536">
        <f t="shared" si="123"/>
        <v>2019</v>
      </c>
      <c r="C505" s="552">
        <f t="shared" si="125"/>
        <v>43518</v>
      </c>
      <c r="D505" s="536" t="str">
        <f t="shared" si="124"/>
        <v>1Q19</v>
      </c>
      <c r="E505" s="553">
        <f t="shared" si="126"/>
        <v>56.41</v>
      </c>
      <c r="F505" s="535"/>
    </row>
    <row r="506" spans="1:6" x14ac:dyDescent="0.2">
      <c r="A506" s="536">
        <f t="shared" si="120"/>
        <v>1</v>
      </c>
      <c r="B506" s="536">
        <f t="shared" si="123"/>
        <v>2019</v>
      </c>
      <c r="C506" s="552">
        <f t="shared" si="125"/>
        <v>43525</v>
      </c>
      <c r="D506" s="536" t="str">
        <f t="shared" si="124"/>
        <v>1Q19</v>
      </c>
      <c r="E506" s="553">
        <f t="shared" si="126"/>
        <v>56.41</v>
      </c>
      <c r="F506" s="535"/>
    </row>
    <row r="507" spans="1:6" x14ac:dyDescent="0.2">
      <c r="A507" s="536">
        <f t="shared" si="120"/>
        <v>1</v>
      </c>
      <c r="B507" s="536">
        <f t="shared" si="123"/>
        <v>2019</v>
      </c>
      <c r="C507" s="552">
        <f t="shared" si="125"/>
        <v>43532</v>
      </c>
      <c r="D507" s="536" t="str">
        <f t="shared" si="124"/>
        <v>1Q19</v>
      </c>
      <c r="E507" s="553">
        <f t="shared" si="126"/>
        <v>56.41</v>
      </c>
      <c r="F507" s="535"/>
    </row>
    <row r="508" spans="1:6" x14ac:dyDescent="0.2">
      <c r="A508" s="536">
        <f t="shared" si="120"/>
        <v>1</v>
      </c>
      <c r="B508" s="536">
        <f t="shared" si="123"/>
        <v>2019</v>
      </c>
      <c r="C508" s="552">
        <f t="shared" si="125"/>
        <v>43539</v>
      </c>
      <c r="D508" s="536" t="str">
        <f t="shared" si="124"/>
        <v>1Q19</v>
      </c>
      <c r="E508" s="553">
        <f t="shared" si="126"/>
        <v>56.41</v>
      </c>
      <c r="F508" s="535"/>
    </row>
    <row r="509" spans="1:6" x14ac:dyDescent="0.2">
      <c r="A509" s="536">
        <f t="shared" si="120"/>
        <v>1</v>
      </c>
      <c r="B509" s="536">
        <f t="shared" si="123"/>
        <v>2019</v>
      </c>
      <c r="C509" s="552">
        <f t="shared" si="125"/>
        <v>43546</v>
      </c>
      <c r="D509" s="536" t="str">
        <f t="shared" si="124"/>
        <v>1Q19</v>
      </c>
      <c r="E509" s="553">
        <f t="shared" si="126"/>
        <v>56.41</v>
      </c>
      <c r="F509" s="535"/>
    </row>
    <row r="510" spans="1:6" x14ac:dyDescent="0.2">
      <c r="A510" s="536">
        <f t="shared" si="120"/>
        <v>2</v>
      </c>
      <c r="B510" s="536">
        <f t="shared" si="123"/>
        <v>2019</v>
      </c>
      <c r="C510" s="552">
        <f t="shared" si="125"/>
        <v>43553</v>
      </c>
      <c r="D510" s="536" t="str">
        <f t="shared" si="124"/>
        <v>2Q19</v>
      </c>
      <c r="E510" s="553">
        <f t="shared" si="126"/>
        <v>56.41</v>
      </c>
      <c r="F510" s="535"/>
    </row>
    <row r="511" spans="1:6" x14ac:dyDescent="0.2">
      <c r="A511" s="536">
        <f t="shared" si="120"/>
        <v>2</v>
      </c>
      <c r="B511" s="536">
        <f t="shared" si="123"/>
        <v>2019</v>
      </c>
      <c r="C511" s="552">
        <f t="shared" si="125"/>
        <v>43560</v>
      </c>
      <c r="D511" s="536" t="str">
        <f t="shared" si="124"/>
        <v>2Q19</v>
      </c>
      <c r="E511" s="553">
        <f t="shared" si="126"/>
        <v>56.41</v>
      </c>
      <c r="F511" s="535"/>
    </row>
    <row r="512" spans="1:6" x14ac:dyDescent="0.2">
      <c r="A512" s="536">
        <f t="shared" si="120"/>
        <v>2</v>
      </c>
      <c r="B512" s="536">
        <f t="shared" si="123"/>
        <v>2019</v>
      </c>
      <c r="C512" s="552">
        <f t="shared" si="125"/>
        <v>43567</v>
      </c>
      <c r="D512" s="536" t="str">
        <f t="shared" si="124"/>
        <v>2Q19</v>
      </c>
      <c r="E512" s="553">
        <f t="shared" si="126"/>
        <v>56.41</v>
      </c>
      <c r="F512" s="535"/>
    </row>
    <row r="513" spans="1:6" x14ac:dyDescent="0.2">
      <c r="A513" s="536">
        <f t="shared" si="120"/>
        <v>2</v>
      </c>
      <c r="B513" s="536">
        <f t="shared" si="123"/>
        <v>2019</v>
      </c>
      <c r="C513" s="552">
        <f t="shared" si="125"/>
        <v>43574</v>
      </c>
      <c r="D513" s="536" t="str">
        <f t="shared" si="124"/>
        <v>2Q19</v>
      </c>
      <c r="E513" s="553">
        <f t="shared" si="126"/>
        <v>56.41</v>
      </c>
      <c r="F513" s="535"/>
    </row>
    <row r="514" spans="1:6" x14ac:dyDescent="0.2">
      <c r="A514" s="536">
        <f t="shared" si="120"/>
        <v>2</v>
      </c>
      <c r="B514" s="536">
        <f t="shared" si="123"/>
        <v>2019</v>
      </c>
      <c r="C514" s="552">
        <f t="shared" si="125"/>
        <v>43581</v>
      </c>
      <c r="D514" s="536" t="str">
        <f t="shared" si="124"/>
        <v>2Q19</v>
      </c>
      <c r="E514" s="553">
        <f t="shared" si="126"/>
        <v>56.41</v>
      </c>
      <c r="F514" s="535"/>
    </row>
    <row r="515" spans="1:6" x14ac:dyDescent="0.2">
      <c r="A515" s="536">
        <f t="shared" si="120"/>
        <v>2</v>
      </c>
      <c r="B515" s="536">
        <f t="shared" si="123"/>
        <v>2019</v>
      </c>
      <c r="C515" s="552">
        <f t="shared" si="125"/>
        <v>43588</v>
      </c>
      <c r="D515" s="536" t="str">
        <f t="shared" si="124"/>
        <v>2Q19</v>
      </c>
      <c r="E515" s="553">
        <f t="shared" si="126"/>
        <v>56.41</v>
      </c>
      <c r="F515" s="535"/>
    </row>
    <row r="516" spans="1:6" x14ac:dyDescent="0.2">
      <c r="A516" s="536">
        <f t="shared" si="120"/>
        <v>2</v>
      </c>
      <c r="B516" s="536">
        <f t="shared" si="123"/>
        <v>2019</v>
      </c>
      <c r="C516" s="552">
        <f t="shared" si="125"/>
        <v>43595</v>
      </c>
      <c r="D516" s="536" t="str">
        <f t="shared" si="124"/>
        <v>2Q19</v>
      </c>
      <c r="E516" s="553">
        <f t="shared" si="126"/>
        <v>56.41</v>
      </c>
      <c r="F516" s="535"/>
    </row>
    <row r="517" spans="1:6" x14ac:dyDescent="0.2">
      <c r="A517" s="536">
        <f t="shared" si="120"/>
        <v>2</v>
      </c>
      <c r="B517" s="536">
        <f t="shared" si="123"/>
        <v>2019</v>
      </c>
      <c r="C517" s="552">
        <f t="shared" si="125"/>
        <v>43602</v>
      </c>
      <c r="D517" s="536" t="str">
        <f t="shared" si="124"/>
        <v>2Q19</v>
      </c>
      <c r="E517" s="553">
        <f t="shared" si="126"/>
        <v>56.41</v>
      </c>
      <c r="F517" s="535"/>
    </row>
    <row r="518" spans="1:6" x14ac:dyDescent="0.2">
      <c r="A518" s="536">
        <f t="shared" si="120"/>
        <v>2</v>
      </c>
      <c r="B518" s="536">
        <f t="shared" si="123"/>
        <v>2019</v>
      </c>
      <c r="C518" s="552">
        <f t="shared" si="125"/>
        <v>43609</v>
      </c>
      <c r="D518" s="536" t="str">
        <f t="shared" si="124"/>
        <v>2Q19</v>
      </c>
      <c r="E518" s="553">
        <f t="shared" si="126"/>
        <v>56.41</v>
      </c>
      <c r="F518" s="535"/>
    </row>
    <row r="519" spans="1:6" x14ac:dyDescent="0.2">
      <c r="A519" s="536">
        <f t="shared" si="120"/>
        <v>2</v>
      </c>
      <c r="B519" s="536">
        <f t="shared" si="123"/>
        <v>2019</v>
      </c>
      <c r="C519" s="552">
        <f t="shared" si="125"/>
        <v>43616</v>
      </c>
      <c r="D519" s="536" t="str">
        <f t="shared" si="124"/>
        <v>2Q19</v>
      </c>
      <c r="E519" s="553">
        <f t="shared" si="126"/>
        <v>56.41</v>
      </c>
      <c r="F519" s="535"/>
    </row>
    <row r="520" spans="1:6" x14ac:dyDescent="0.2">
      <c r="A520" s="536">
        <f t="shared" si="120"/>
        <v>2</v>
      </c>
      <c r="B520" s="536">
        <f t="shared" si="123"/>
        <v>2019</v>
      </c>
      <c r="C520" s="552">
        <f t="shared" si="125"/>
        <v>43623</v>
      </c>
      <c r="D520" s="536" t="str">
        <f t="shared" si="124"/>
        <v>2Q19</v>
      </c>
      <c r="E520" s="553">
        <f t="shared" si="126"/>
        <v>56.41</v>
      </c>
      <c r="F520" s="535"/>
    </row>
    <row r="521" spans="1:6" x14ac:dyDescent="0.2">
      <c r="A521" s="536">
        <f t="shared" si="120"/>
        <v>2</v>
      </c>
      <c r="B521" s="536">
        <f t="shared" si="123"/>
        <v>2019</v>
      </c>
      <c r="C521" s="552">
        <f t="shared" si="125"/>
        <v>43630</v>
      </c>
      <c r="D521" s="536" t="str">
        <f t="shared" si="124"/>
        <v>2Q19</v>
      </c>
      <c r="E521" s="553">
        <f t="shared" si="126"/>
        <v>56.41</v>
      </c>
      <c r="F521" s="535"/>
    </row>
    <row r="522" spans="1:6" x14ac:dyDescent="0.2">
      <c r="A522" s="536">
        <f t="shared" si="120"/>
        <v>2</v>
      </c>
      <c r="B522" s="536">
        <f t="shared" si="123"/>
        <v>2019</v>
      </c>
      <c r="C522" s="552">
        <f t="shared" si="125"/>
        <v>43637</v>
      </c>
      <c r="D522" s="536" t="str">
        <f t="shared" si="124"/>
        <v>2Q19</v>
      </c>
      <c r="E522" s="553">
        <f t="shared" si="126"/>
        <v>56.41</v>
      </c>
      <c r="F522" s="535"/>
    </row>
    <row r="523" spans="1:6" x14ac:dyDescent="0.2">
      <c r="A523" s="536">
        <f t="shared" si="120"/>
        <v>3</v>
      </c>
      <c r="B523" s="536">
        <f t="shared" si="123"/>
        <v>2019</v>
      </c>
      <c r="C523" s="552">
        <f t="shared" si="125"/>
        <v>43644</v>
      </c>
      <c r="D523" s="536" t="str">
        <f t="shared" si="124"/>
        <v>3Q19</v>
      </c>
      <c r="E523" s="553">
        <f t="shared" si="126"/>
        <v>56.41</v>
      </c>
      <c r="F523" s="535"/>
    </row>
    <row r="524" spans="1:6" x14ac:dyDescent="0.2">
      <c r="A524" s="536">
        <f t="shared" si="120"/>
        <v>3</v>
      </c>
      <c r="B524" s="536">
        <f t="shared" si="123"/>
        <v>2019</v>
      </c>
      <c r="C524" s="552">
        <f t="shared" si="125"/>
        <v>43651</v>
      </c>
      <c r="D524" s="536" t="str">
        <f t="shared" si="124"/>
        <v>3Q19</v>
      </c>
      <c r="E524" s="553">
        <f t="shared" si="126"/>
        <v>56.41</v>
      </c>
      <c r="F524" s="535"/>
    </row>
    <row r="525" spans="1:6" x14ac:dyDescent="0.2">
      <c r="A525" s="536">
        <f t="shared" si="120"/>
        <v>3</v>
      </c>
      <c r="B525" s="536">
        <f t="shared" si="123"/>
        <v>2019</v>
      </c>
      <c r="C525" s="552">
        <f t="shared" si="125"/>
        <v>43658</v>
      </c>
      <c r="D525" s="536" t="str">
        <f t="shared" si="124"/>
        <v>3Q19</v>
      </c>
      <c r="E525" s="553">
        <f t="shared" si="126"/>
        <v>56.41</v>
      </c>
      <c r="F525" s="535"/>
    </row>
    <row r="526" spans="1:6" x14ac:dyDescent="0.2">
      <c r="A526" s="536">
        <f t="shared" si="120"/>
        <v>3</v>
      </c>
      <c r="B526" s="536">
        <f t="shared" si="123"/>
        <v>2019</v>
      </c>
      <c r="C526" s="552">
        <f t="shared" si="125"/>
        <v>43665</v>
      </c>
      <c r="D526" s="536" t="str">
        <f t="shared" si="124"/>
        <v>3Q19</v>
      </c>
      <c r="E526" s="553">
        <f t="shared" si="126"/>
        <v>56.41</v>
      </c>
      <c r="F526" s="535"/>
    </row>
    <row r="527" spans="1:6" x14ac:dyDescent="0.2">
      <c r="A527" s="536">
        <f t="shared" si="120"/>
        <v>3</v>
      </c>
      <c r="B527" s="536">
        <f t="shared" si="123"/>
        <v>2019</v>
      </c>
      <c r="C527" s="552">
        <f t="shared" si="125"/>
        <v>43672</v>
      </c>
      <c r="D527" s="536" t="str">
        <f t="shared" si="124"/>
        <v>3Q19</v>
      </c>
      <c r="E527" s="553">
        <f t="shared" si="126"/>
        <v>56.41</v>
      </c>
      <c r="F527" s="535"/>
    </row>
    <row r="528" spans="1:6" x14ac:dyDescent="0.2">
      <c r="A528" s="536">
        <f t="shared" si="120"/>
        <v>3</v>
      </c>
      <c r="B528" s="536">
        <f t="shared" si="123"/>
        <v>2019</v>
      </c>
      <c r="C528" s="552">
        <f t="shared" si="125"/>
        <v>43679</v>
      </c>
      <c r="D528" s="536" t="str">
        <f t="shared" si="124"/>
        <v>3Q19</v>
      </c>
      <c r="E528" s="553">
        <f t="shared" si="126"/>
        <v>56.41</v>
      </c>
      <c r="F528" s="535"/>
    </row>
    <row r="529" spans="1:6" x14ac:dyDescent="0.2">
      <c r="A529" s="536">
        <f t="shared" si="120"/>
        <v>3</v>
      </c>
      <c r="B529" s="536">
        <f t="shared" si="123"/>
        <v>2019</v>
      </c>
      <c r="C529" s="552">
        <f t="shared" si="125"/>
        <v>43686</v>
      </c>
      <c r="D529" s="536" t="str">
        <f t="shared" si="124"/>
        <v>3Q19</v>
      </c>
      <c r="E529" s="553">
        <f t="shared" si="126"/>
        <v>56.41</v>
      </c>
      <c r="F529" s="535"/>
    </row>
    <row r="530" spans="1:6" x14ac:dyDescent="0.2">
      <c r="A530" s="536">
        <f t="shared" si="120"/>
        <v>3</v>
      </c>
      <c r="B530" s="536">
        <f t="shared" si="123"/>
        <v>2019</v>
      </c>
      <c r="C530" s="552">
        <f t="shared" si="125"/>
        <v>43693</v>
      </c>
      <c r="D530" s="536" t="str">
        <f t="shared" si="124"/>
        <v>3Q19</v>
      </c>
      <c r="E530" s="553">
        <f t="shared" si="126"/>
        <v>56.41</v>
      </c>
      <c r="F530" s="535"/>
    </row>
    <row r="531" spans="1:6" x14ac:dyDescent="0.2">
      <c r="A531" s="536">
        <f t="shared" si="120"/>
        <v>3</v>
      </c>
      <c r="B531" s="536">
        <f t="shared" si="123"/>
        <v>2019</v>
      </c>
      <c r="C531" s="552">
        <f t="shared" si="125"/>
        <v>43700</v>
      </c>
      <c r="D531" s="536" t="str">
        <f t="shared" si="124"/>
        <v>3Q19</v>
      </c>
      <c r="E531" s="553">
        <f t="shared" si="126"/>
        <v>56.41</v>
      </c>
      <c r="F531" s="535"/>
    </row>
    <row r="532" spans="1:6" x14ac:dyDescent="0.2">
      <c r="A532" s="536">
        <f t="shared" si="120"/>
        <v>3</v>
      </c>
      <c r="B532" s="536">
        <f t="shared" si="123"/>
        <v>2019</v>
      </c>
      <c r="C532" s="552">
        <f t="shared" si="125"/>
        <v>43707</v>
      </c>
      <c r="D532" s="536" t="str">
        <f t="shared" si="124"/>
        <v>3Q19</v>
      </c>
      <c r="E532" s="553">
        <f t="shared" si="126"/>
        <v>56.41</v>
      </c>
      <c r="F532" s="535"/>
    </row>
    <row r="533" spans="1:6" x14ac:dyDescent="0.2">
      <c r="A533" s="536">
        <f t="shared" si="120"/>
        <v>3</v>
      </c>
      <c r="B533" s="536">
        <f t="shared" si="123"/>
        <v>2019</v>
      </c>
      <c r="C533" s="552">
        <f t="shared" si="125"/>
        <v>43714</v>
      </c>
      <c r="D533" s="536" t="str">
        <f t="shared" si="124"/>
        <v>3Q19</v>
      </c>
      <c r="E533" s="553">
        <f t="shared" si="126"/>
        <v>56.41</v>
      </c>
      <c r="F533" s="535"/>
    </row>
    <row r="534" spans="1:6" x14ac:dyDescent="0.2">
      <c r="A534" s="536">
        <f t="shared" si="120"/>
        <v>3</v>
      </c>
      <c r="B534" s="536">
        <f t="shared" si="123"/>
        <v>2019</v>
      </c>
      <c r="C534" s="552">
        <f t="shared" si="125"/>
        <v>43721</v>
      </c>
      <c r="D534" s="536" t="str">
        <f t="shared" si="124"/>
        <v>3Q19</v>
      </c>
      <c r="E534" s="553">
        <f t="shared" si="126"/>
        <v>56.41</v>
      </c>
      <c r="F534" s="535"/>
    </row>
    <row r="535" spans="1:6" x14ac:dyDescent="0.2">
      <c r="A535" s="536">
        <f t="shared" si="120"/>
        <v>3</v>
      </c>
      <c r="B535" s="536">
        <f t="shared" si="123"/>
        <v>2019</v>
      </c>
      <c r="C535" s="552">
        <f t="shared" si="125"/>
        <v>43728</v>
      </c>
      <c r="D535" s="536" t="str">
        <f t="shared" si="124"/>
        <v>3Q19</v>
      </c>
      <c r="E535" s="553">
        <f t="shared" si="126"/>
        <v>56.41</v>
      </c>
      <c r="F535" s="535"/>
    </row>
    <row r="536" spans="1:6" x14ac:dyDescent="0.2">
      <c r="A536" s="536">
        <f t="shared" si="120"/>
        <v>4</v>
      </c>
      <c r="B536" s="536">
        <f t="shared" si="123"/>
        <v>2019</v>
      </c>
      <c r="C536" s="552">
        <f t="shared" si="125"/>
        <v>43735</v>
      </c>
      <c r="D536" s="536" t="str">
        <f t="shared" si="124"/>
        <v>4Q19</v>
      </c>
      <c r="E536" s="553">
        <f t="shared" si="126"/>
        <v>56.41</v>
      </c>
      <c r="F536" s="535"/>
    </row>
    <row r="537" spans="1:6" x14ac:dyDescent="0.2">
      <c r="A537" s="536">
        <f t="shared" ref="A537:A600" si="127">A485</f>
        <v>4</v>
      </c>
      <c r="B537" s="536">
        <f t="shared" si="123"/>
        <v>2019</v>
      </c>
      <c r="C537" s="552">
        <f t="shared" si="125"/>
        <v>43742</v>
      </c>
      <c r="D537" s="536" t="str">
        <f t="shared" si="124"/>
        <v>4Q19</v>
      </c>
      <c r="E537" s="553">
        <f t="shared" si="126"/>
        <v>56.41</v>
      </c>
      <c r="F537" s="535"/>
    </row>
    <row r="538" spans="1:6" x14ac:dyDescent="0.2">
      <c r="A538" s="536">
        <f t="shared" si="127"/>
        <v>4</v>
      </c>
      <c r="B538" s="536">
        <f t="shared" si="123"/>
        <v>2019</v>
      </c>
      <c r="C538" s="552">
        <f t="shared" si="125"/>
        <v>43749</v>
      </c>
      <c r="D538" s="536" t="str">
        <f t="shared" si="124"/>
        <v>4Q19</v>
      </c>
      <c r="E538" s="553">
        <f t="shared" si="126"/>
        <v>56.41</v>
      </c>
      <c r="F538" s="535"/>
    </row>
    <row r="539" spans="1:6" x14ac:dyDescent="0.2">
      <c r="A539" s="536">
        <f t="shared" si="127"/>
        <v>4</v>
      </c>
      <c r="B539" s="536">
        <f t="shared" si="123"/>
        <v>2019</v>
      </c>
      <c r="C539" s="552">
        <f t="shared" si="125"/>
        <v>43756</v>
      </c>
      <c r="D539" s="536" t="str">
        <f t="shared" si="124"/>
        <v>4Q19</v>
      </c>
      <c r="E539" s="553">
        <f t="shared" si="126"/>
        <v>56.41</v>
      </c>
      <c r="F539" s="535"/>
    </row>
    <row r="540" spans="1:6" x14ac:dyDescent="0.2">
      <c r="A540" s="536">
        <f t="shared" si="127"/>
        <v>4</v>
      </c>
      <c r="B540" s="536">
        <f t="shared" si="123"/>
        <v>2019</v>
      </c>
      <c r="C540" s="552">
        <f t="shared" si="125"/>
        <v>43763</v>
      </c>
      <c r="D540" s="536" t="str">
        <f t="shared" si="124"/>
        <v>4Q19</v>
      </c>
      <c r="E540" s="553">
        <f t="shared" si="126"/>
        <v>56.41</v>
      </c>
      <c r="F540" s="535"/>
    </row>
    <row r="541" spans="1:6" x14ac:dyDescent="0.2">
      <c r="A541" s="536">
        <f t="shared" si="127"/>
        <v>4</v>
      </c>
      <c r="B541" s="536">
        <f t="shared" si="123"/>
        <v>2019</v>
      </c>
      <c r="C541" s="552">
        <f t="shared" si="125"/>
        <v>43770</v>
      </c>
      <c r="D541" s="536" t="str">
        <f t="shared" si="124"/>
        <v>4Q19</v>
      </c>
      <c r="E541" s="553">
        <f t="shared" si="126"/>
        <v>56.41</v>
      </c>
      <c r="F541" s="535"/>
    </row>
    <row r="542" spans="1:6" x14ac:dyDescent="0.2">
      <c r="A542" s="536">
        <f t="shared" si="127"/>
        <v>4</v>
      </c>
      <c r="B542" s="536">
        <f t="shared" si="123"/>
        <v>2019</v>
      </c>
      <c r="C542" s="552">
        <f t="shared" si="125"/>
        <v>43777</v>
      </c>
      <c r="D542" s="536" t="str">
        <f t="shared" si="124"/>
        <v>4Q19</v>
      </c>
      <c r="E542" s="553">
        <f t="shared" si="126"/>
        <v>56.41</v>
      </c>
      <c r="F542" s="535"/>
    </row>
    <row r="543" spans="1:6" x14ac:dyDescent="0.2">
      <c r="A543" s="536">
        <f t="shared" si="127"/>
        <v>4</v>
      </c>
      <c r="B543" s="536">
        <f t="shared" si="123"/>
        <v>2019</v>
      </c>
      <c r="C543" s="552">
        <f t="shared" si="125"/>
        <v>43784</v>
      </c>
      <c r="D543" s="536" t="str">
        <f t="shared" si="124"/>
        <v>4Q19</v>
      </c>
      <c r="E543" s="553">
        <f t="shared" si="126"/>
        <v>56.41</v>
      </c>
      <c r="F543" s="535"/>
    </row>
    <row r="544" spans="1:6" x14ac:dyDescent="0.2">
      <c r="A544" s="536">
        <f t="shared" si="127"/>
        <v>4</v>
      </c>
      <c r="B544" s="536">
        <f t="shared" si="123"/>
        <v>2019</v>
      </c>
      <c r="C544" s="552">
        <f t="shared" si="125"/>
        <v>43791</v>
      </c>
      <c r="D544" s="536" t="str">
        <f t="shared" si="124"/>
        <v>4Q19</v>
      </c>
      <c r="E544" s="553">
        <f t="shared" si="126"/>
        <v>56.41</v>
      </c>
      <c r="F544" s="535"/>
    </row>
    <row r="545" spans="1:6" x14ac:dyDescent="0.2">
      <c r="A545" s="536">
        <f t="shared" si="127"/>
        <v>4</v>
      </c>
      <c r="B545" s="536">
        <f t="shared" si="123"/>
        <v>2019</v>
      </c>
      <c r="C545" s="552">
        <f t="shared" si="125"/>
        <v>43798</v>
      </c>
      <c r="D545" s="536" t="str">
        <f t="shared" si="124"/>
        <v>4Q19</v>
      </c>
      <c r="E545" s="553">
        <f t="shared" si="126"/>
        <v>56.41</v>
      </c>
      <c r="F545" s="535"/>
    </row>
    <row r="546" spans="1:6" x14ac:dyDescent="0.2">
      <c r="A546" s="536">
        <f t="shared" si="127"/>
        <v>4</v>
      </c>
      <c r="B546" s="536">
        <f t="shared" si="123"/>
        <v>2019</v>
      </c>
      <c r="C546" s="552">
        <f t="shared" si="125"/>
        <v>43805</v>
      </c>
      <c r="D546" s="536" t="str">
        <f t="shared" si="124"/>
        <v>4Q19</v>
      </c>
      <c r="E546" s="553">
        <f t="shared" si="126"/>
        <v>56.41</v>
      </c>
      <c r="F546" s="535"/>
    </row>
    <row r="547" spans="1:6" x14ac:dyDescent="0.2">
      <c r="A547" s="536">
        <f t="shared" si="127"/>
        <v>4</v>
      </c>
      <c r="B547" s="536">
        <f t="shared" si="123"/>
        <v>2019</v>
      </c>
      <c r="C547" s="552">
        <f t="shared" si="125"/>
        <v>43812</v>
      </c>
      <c r="D547" s="536" t="str">
        <f t="shared" si="124"/>
        <v>4Q19</v>
      </c>
      <c r="E547" s="553">
        <f t="shared" si="126"/>
        <v>56.41</v>
      </c>
      <c r="F547" s="535"/>
    </row>
    <row r="548" spans="1:6" x14ac:dyDescent="0.2">
      <c r="A548" s="536">
        <f t="shared" si="127"/>
        <v>4</v>
      </c>
      <c r="B548" s="536">
        <f t="shared" si="123"/>
        <v>2019</v>
      </c>
      <c r="C548" s="552">
        <f t="shared" si="125"/>
        <v>43819</v>
      </c>
      <c r="D548" s="536" t="str">
        <f t="shared" si="124"/>
        <v>4Q19</v>
      </c>
      <c r="E548" s="553">
        <f t="shared" si="126"/>
        <v>56.41</v>
      </c>
      <c r="F548" s="535"/>
    </row>
    <row r="549" spans="1:6" x14ac:dyDescent="0.2">
      <c r="A549" s="536">
        <f t="shared" si="127"/>
        <v>1</v>
      </c>
      <c r="B549" s="536">
        <f t="shared" si="123"/>
        <v>2019</v>
      </c>
      <c r="C549" s="552">
        <f t="shared" si="125"/>
        <v>43826</v>
      </c>
      <c r="D549" s="536" t="str">
        <f t="shared" si="124"/>
        <v>1Q19</v>
      </c>
      <c r="E549" s="553">
        <f t="shared" si="126"/>
        <v>56.41</v>
      </c>
      <c r="F549" s="535"/>
    </row>
    <row r="550" spans="1:6" x14ac:dyDescent="0.2">
      <c r="A550" s="536">
        <f t="shared" si="127"/>
        <v>1</v>
      </c>
      <c r="B550" s="536">
        <f t="shared" si="123"/>
        <v>2020</v>
      </c>
      <c r="C550" s="552">
        <f t="shared" si="125"/>
        <v>43833</v>
      </c>
      <c r="D550" s="536" t="str">
        <f t="shared" si="124"/>
        <v>1Q20</v>
      </c>
      <c r="E550" s="553">
        <f t="shared" si="126"/>
        <v>56.41</v>
      </c>
      <c r="F550" s="535"/>
    </row>
    <row r="551" spans="1:6" x14ac:dyDescent="0.2">
      <c r="A551" s="536">
        <f t="shared" si="127"/>
        <v>1</v>
      </c>
      <c r="B551" s="536">
        <f t="shared" si="123"/>
        <v>2020</v>
      </c>
      <c r="C551" s="552">
        <f t="shared" si="125"/>
        <v>43840</v>
      </c>
      <c r="D551" s="536" t="str">
        <f t="shared" si="124"/>
        <v>1Q20</v>
      </c>
      <c r="E551" s="553">
        <f t="shared" si="126"/>
        <v>56.41</v>
      </c>
      <c r="F551" s="535"/>
    </row>
    <row r="552" spans="1:6" x14ac:dyDescent="0.2">
      <c r="A552" s="536">
        <f t="shared" si="127"/>
        <v>1</v>
      </c>
      <c r="B552" s="536">
        <f t="shared" si="123"/>
        <v>2020</v>
      </c>
      <c r="C552" s="552">
        <f t="shared" si="125"/>
        <v>43847</v>
      </c>
      <c r="D552" s="536" t="str">
        <f t="shared" si="124"/>
        <v>1Q20</v>
      </c>
      <c r="E552" s="553">
        <f t="shared" si="126"/>
        <v>56.41</v>
      </c>
      <c r="F552" s="535"/>
    </row>
    <row r="553" spans="1:6" x14ac:dyDescent="0.2">
      <c r="A553" s="536">
        <f t="shared" si="127"/>
        <v>1</v>
      </c>
      <c r="B553" s="536">
        <f t="shared" si="123"/>
        <v>2020</v>
      </c>
      <c r="C553" s="552">
        <f t="shared" si="125"/>
        <v>43854</v>
      </c>
      <c r="D553" s="536" t="str">
        <f t="shared" si="124"/>
        <v>1Q20</v>
      </c>
      <c r="E553" s="553">
        <f t="shared" si="126"/>
        <v>56.41</v>
      </c>
      <c r="F553" s="535"/>
    </row>
    <row r="554" spans="1:6" x14ac:dyDescent="0.2">
      <c r="A554" s="536">
        <f t="shared" si="127"/>
        <v>1</v>
      </c>
      <c r="B554" s="536">
        <f t="shared" si="123"/>
        <v>2020</v>
      </c>
      <c r="C554" s="552">
        <f t="shared" si="125"/>
        <v>43861</v>
      </c>
      <c r="D554" s="536" t="str">
        <f t="shared" si="124"/>
        <v>1Q20</v>
      </c>
      <c r="E554" s="553">
        <f t="shared" si="126"/>
        <v>56.41</v>
      </c>
      <c r="F554" s="535"/>
    </row>
    <row r="555" spans="1:6" x14ac:dyDescent="0.2">
      <c r="A555" s="536">
        <f t="shared" si="127"/>
        <v>1</v>
      </c>
      <c r="B555" s="536">
        <f t="shared" si="123"/>
        <v>2020</v>
      </c>
      <c r="C555" s="552">
        <f t="shared" si="125"/>
        <v>43868</v>
      </c>
      <c r="D555" s="536" t="str">
        <f t="shared" si="124"/>
        <v>1Q20</v>
      </c>
      <c r="E555" s="553">
        <f t="shared" si="126"/>
        <v>56.41</v>
      </c>
      <c r="F555" s="535"/>
    </row>
    <row r="556" spans="1:6" x14ac:dyDescent="0.2">
      <c r="A556" s="536">
        <f t="shared" si="127"/>
        <v>1</v>
      </c>
      <c r="B556" s="536">
        <f t="shared" si="123"/>
        <v>2020</v>
      </c>
      <c r="C556" s="552">
        <f t="shared" si="125"/>
        <v>43875</v>
      </c>
      <c r="D556" s="536" t="str">
        <f t="shared" si="124"/>
        <v>1Q20</v>
      </c>
      <c r="E556" s="553">
        <f t="shared" si="126"/>
        <v>56.41</v>
      </c>
      <c r="F556" s="535"/>
    </row>
    <row r="557" spans="1:6" x14ac:dyDescent="0.2">
      <c r="A557" s="536">
        <f t="shared" si="127"/>
        <v>1</v>
      </c>
      <c r="B557" s="536">
        <f t="shared" si="123"/>
        <v>2020</v>
      </c>
      <c r="C557" s="552">
        <f t="shared" si="125"/>
        <v>43882</v>
      </c>
      <c r="D557" s="536" t="str">
        <f t="shared" si="124"/>
        <v>1Q20</v>
      </c>
      <c r="E557" s="553">
        <f t="shared" si="126"/>
        <v>56.41</v>
      </c>
      <c r="F557" s="535"/>
    </row>
    <row r="558" spans="1:6" x14ac:dyDescent="0.2">
      <c r="A558" s="536">
        <f t="shared" si="127"/>
        <v>1</v>
      </c>
      <c r="B558" s="536">
        <f t="shared" si="123"/>
        <v>2020</v>
      </c>
      <c r="C558" s="552">
        <f t="shared" si="125"/>
        <v>43889</v>
      </c>
      <c r="D558" s="536" t="str">
        <f t="shared" si="124"/>
        <v>1Q20</v>
      </c>
      <c r="E558" s="553">
        <f t="shared" si="126"/>
        <v>56.41</v>
      </c>
      <c r="F558" s="535"/>
    </row>
    <row r="559" spans="1:6" x14ac:dyDescent="0.2">
      <c r="A559" s="536">
        <f t="shared" si="127"/>
        <v>1</v>
      </c>
      <c r="B559" s="536">
        <f t="shared" si="123"/>
        <v>2020</v>
      </c>
      <c r="C559" s="552">
        <f t="shared" si="125"/>
        <v>43896</v>
      </c>
      <c r="D559" s="536" t="str">
        <f t="shared" si="124"/>
        <v>1Q20</v>
      </c>
      <c r="E559" s="553">
        <f t="shared" si="126"/>
        <v>56.41</v>
      </c>
      <c r="F559" s="535"/>
    </row>
    <row r="560" spans="1:6" x14ac:dyDescent="0.2">
      <c r="A560" s="536">
        <f t="shared" si="127"/>
        <v>1</v>
      </c>
      <c r="B560" s="536">
        <f t="shared" ref="B560:B607" si="128">YEAR(C560)</f>
        <v>2020</v>
      </c>
      <c r="C560" s="552">
        <f t="shared" si="125"/>
        <v>43903</v>
      </c>
      <c r="D560" s="536" t="str">
        <f t="shared" ref="D560:D607" si="129">A560&amp;"Q"&amp;RIGHT(B560,2)</f>
        <v>1Q20</v>
      </c>
      <c r="E560" s="553">
        <f t="shared" si="126"/>
        <v>56.41</v>
      </c>
      <c r="F560" s="535"/>
    </row>
    <row r="561" spans="1:6" x14ac:dyDescent="0.2">
      <c r="A561" s="536">
        <f t="shared" si="127"/>
        <v>1</v>
      </c>
      <c r="B561" s="536">
        <f t="shared" si="128"/>
        <v>2020</v>
      </c>
      <c r="C561" s="552">
        <f t="shared" si="125"/>
        <v>43910</v>
      </c>
      <c r="D561" s="536" t="str">
        <f t="shared" si="129"/>
        <v>1Q20</v>
      </c>
      <c r="E561" s="553">
        <f t="shared" si="126"/>
        <v>56.41</v>
      </c>
      <c r="F561" s="535"/>
    </row>
    <row r="562" spans="1:6" x14ac:dyDescent="0.2">
      <c r="A562" s="536">
        <f t="shared" si="127"/>
        <v>2</v>
      </c>
      <c r="B562" s="536">
        <f t="shared" si="128"/>
        <v>2020</v>
      </c>
      <c r="C562" s="552">
        <f t="shared" si="125"/>
        <v>43917</v>
      </c>
      <c r="D562" s="536" t="str">
        <f t="shared" si="129"/>
        <v>2Q20</v>
      </c>
      <c r="E562" s="553">
        <f t="shared" si="126"/>
        <v>56.41</v>
      </c>
      <c r="F562" s="535"/>
    </row>
    <row r="563" spans="1:6" x14ac:dyDescent="0.2">
      <c r="A563" s="536">
        <f t="shared" si="127"/>
        <v>2</v>
      </c>
      <c r="B563" s="536">
        <f t="shared" si="128"/>
        <v>2020</v>
      </c>
      <c r="C563" s="552">
        <f t="shared" si="125"/>
        <v>43924</v>
      </c>
      <c r="D563" s="536" t="str">
        <f t="shared" si="129"/>
        <v>2Q20</v>
      </c>
      <c r="E563" s="553">
        <f t="shared" si="126"/>
        <v>56.41</v>
      </c>
      <c r="F563" s="535"/>
    </row>
    <row r="564" spans="1:6" x14ac:dyDescent="0.2">
      <c r="A564" s="536">
        <f t="shared" si="127"/>
        <v>2</v>
      </c>
      <c r="B564" s="536">
        <f t="shared" si="128"/>
        <v>2020</v>
      </c>
      <c r="C564" s="552">
        <f t="shared" si="125"/>
        <v>43931</v>
      </c>
      <c r="D564" s="536" t="str">
        <f t="shared" si="129"/>
        <v>2Q20</v>
      </c>
      <c r="E564" s="553">
        <f t="shared" si="126"/>
        <v>56.41</v>
      </c>
      <c r="F564" s="535"/>
    </row>
    <row r="565" spans="1:6" x14ac:dyDescent="0.2">
      <c r="A565" s="536">
        <f t="shared" si="127"/>
        <v>2</v>
      </c>
      <c r="B565" s="536">
        <f t="shared" si="128"/>
        <v>2020</v>
      </c>
      <c r="C565" s="552">
        <f t="shared" ref="C565:C607" si="130">C564+7</f>
        <v>43938</v>
      </c>
      <c r="D565" s="536" t="str">
        <f t="shared" si="129"/>
        <v>2Q20</v>
      </c>
      <c r="E565" s="553">
        <f t="shared" ref="E565:E607" si="131">E564</f>
        <v>56.41</v>
      </c>
      <c r="F565" s="535"/>
    </row>
    <row r="566" spans="1:6" x14ac:dyDescent="0.2">
      <c r="A566" s="536">
        <f t="shared" si="127"/>
        <v>2</v>
      </c>
      <c r="B566" s="536">
        <f t="shared" si="128"/>
        <v>2020</v>
      </c>
      <c r="C566" s="552">
        <f t="shared" si="130"/>
        <v>43945</v>
      </c>
      <c r="D566" s="536" t="str">
        <f t="shared" si="129"/>
        <v>2Q20</v>
      </c>
      <c r="E566" s="553">
        <f t="shared" si="131"/>
        <v>56.41</v>
      </c>
      <c r="F566" s="535"/>
    </row>
    <row r="567" spans="1:6" x14ac:dyDescent="0.2">
      <c r="A567" s="536">
        <f t="shared" si="127"/>
        <v>2</v>
      </c>
      <c r="B567" s="536">
        <f t="shared" si="128"/>
        <v>2020</v>
      </c>
      <c r="C567" s="552">
        <f t="shared" si="130"/>
        <v>43952</v>
      </c>
      <c r="D567" s="536" t="str">
        <f t="shared" si="129"/>
        <v>2Q20</v>
      </c>
      <c r="E567" s="553">
        <f t="shared" si="131"/>
        <v>56.41</v>
      </c>
      <c r="F567" s="535"/>
    </row>
    <row r="568" spans="1:6" x14ac:dyDescent="0.2">
      <c r="A568" s="536">
        <f t="shared" si="127"/>
        <v>2</v>
      </c>
      <c r="B568" s="536">
        <f t="shared" si="128"/>
        <v>2020</v>
      </c>
      <c r="C568" s="552">
        <f t="shared" si="130"/>
        <v>43959</v>
      </c>
      <c r="D568" s="536" t="str">
        <f t="shared" si="129"/>
        <v>2Q20</v>
      </c>
      <c r="E568" s="553">
        <f t="shared" si="131"/>
        <v>56.41</v>
      </c>
      <c r="F568" s="535"/>
    </row>
    <row r="569" spans="1:6" x14ac:dyDescent="0.2">
      <c r="A569" s="536">
        <f t="shared" si="127"/>
        <v>2</v>
      </c>
      <c r="B569" s="536">
        <f t="shared" si="128"/>
        <v>2020</v>
      </c>
      <c r="C569" s="552">
        <f t="shared" si="130"/>
        <v>43966</v>
      </c>
      <c r="D569" s="536" t="str">
        <f t="shared" si="129"/>
        <v>2Q20</v>
      </c>
      <c r="E569" s="553">
        <f t="shared" si="131"/>
        <v>56.41</v>
      </c>
      <c r="F569" s="535"/>
    </row>
    <row r="570" spans="1:6" x14ac:dyDescent="0.2">
      <c r="A570" s="536">
        <f t="shared" si="127"/>
        <v>2</v>
      </c>
      <c r="B570" s="536">
        <f t="shared" si="128"/>
        <v>2020</v>
      </c>
      <c r="C570" s="552">
        <f t="shared" si="130"/>
        <v>43973</v>
      </c>
      <c r="D570" s="536" t="str">
        <f t="shared" si="129"/>
        <v>2Q20</v>
      </c>
      <c r="E570" s="553">
        <f t="shared" si="131"/>
        <v>56.41</v>
      </c>
      <c r="F570" s="535"/>
    </row>
    <row r="571" spans="1:6" x14ac:dyDescent="0.2">
      <c r="A571" s="536">
        <f t="shared" si="127"/>
        <v>2</v>
      </c>
      <c r="B571" s="536">
        <f t="shared" si="128"/>
        <v>2020</v>
      </c>
      <c r="C571" s="552">
        <f t="shared" si="130"/>
        <v>43980</v>
      </c>
      <c r="D571" s="536" t="str">
        <f t="shared" si="129"/>
        <v>2Q20</v>
      </c>
      <c r="E571" s="553">
        <f t="shared" si="131"/>
        <v>56.41</v>
      </c>
      <c r="F571" s="535"/>
    </row>
    <row r="572" spans="1:6" x14ac:dyDescent="0.2">
      <c r="A572" s="536">
        <f t="shared" si="127"/>
        <v>2</v>
      </c>
      <c r="B572" s="536">
        <f t="shared" si="128"/>
        <v>2020</v>
      </c>
      <c r="C572" s="552">
        <f t="shared" si="130"/>
        <v>43987</v>
      </c>
      <c r="D572" s="536" t="str">
        <f t="shared" si="129"/>
        <v>2Q20</v>
      </c>
      <c r="E572" s="553">
        <f t="shared" si="131"/>
        <v>56.41</v>
      </c>
      <c r="F572" s="535"/>
    </row>
    <row r="573" spans="1:6" x14ac:dyDescent="0.2">
      <c r="A573" s="536">
        <f t="shared" si="127"/>
        <v>2</v>
      </c>
      <c r="B573" s="536">
        <f t="shared" si="128"/>
        <v>2020</v>
      </c>
      <c r="C573" s="552">
        <f t="shared" si="130"/>
        <v>43994</v>
      </c>
      <c r="D573" s="536" t="str">
        <f t="shared" si="129"/>
        <v>2Q20</v>
      </c>
      <c r="E573" s="553">
        <f t="shared" si="131"/>
        <v>56.41</v>
      </c>
      <c r="F573" s="535"/>
    </row>
    <row r="574" spans="1:6" x14ac:dyDescent="0.2">
      <c r="A574" s="536">
        <f t="shared" si="127"/>
        <v>2</v>
      </c>
      <c r="B574" s="536">
        <f t="shared" si="128"/>
        <v>2020</v>
      </c>
      <c r="C574" s="552">
        <f t="shared" si="130"/>
        <v>44001</v>
      </c>
      <c r="D574" s="536" t="str">
        <f t="shared" si="129"/>
        <v>2Q20</v>
      </c>
      <c r="E574" s="553">
        <f t="shared" si="131"/>
        <v>56.41</v>
      </c>
      <c r="F574" s="535"/>
    </row>
    <row r="575" spans="1:6" x14ac:dyDescent="0.2">
      <c r="A575" s="536">
        <f t="shared" si="127"/>
        <v>3</v>
      </c>
      <c r="B575" s="536">
        <f t="shared" si="128"/>
        <v>2020</v>
      </c>
      <c r="C575" s="552">
        <f t="shared" si="130"/>
        <v>44008</v>
      </c>
      <c r="D575" s="536" t="str">
        <f t="shared" si="129"/>
        <v>3Q20</v>
      </c>
      <c r="E575" s="553">
        <f t="shared" si="131"/>
        <v>56.41</v>
      </c>
      <c r="F575" s="535"/>
    </row>
    <row r="576" spans="1:6" x14ac:dyDescent="0.2">
      <c r="A576" s="536">
        <f t="shared" si="127"/>
        <v>3</v>
      </c>
      <c r="B576" s="536">
        <f t="shared" si="128"/>
        <v>2020</v>
      </c>
      <c r="C576" s="552">
        <f t="shared" si="130"/>
        <v>44015</v>
      </c>
      <c r="D576" s="536" t="str">
        <f t="shared" si="129"/>
        <v>3Q20</v>
      </c>
      <c r="E576" s="553">
        <f t="shared" si="131"/>
        <v>56.41</v>
      </c>
      <c r="F576" s="535"/>
    </row>
    <row r="577" spans="1:6" x14ac:dyDescent="0.2">
      <c r="A577" s="536">
        <f t="shared" si="127"/>
        <v>3</v>
      </c>
      <c r="B577" s="536">
        <f t="shared" si="128"/>
        <v>2020</v>
      </c>
      <c r="C577" s="552">
        <f t="shared" si="130"/>
        <v>44022</v>
      </c>
      <c r="D577" s="536" t="str">
        <f t="shared" si="129"/>
        <v>3Q20</v>
      </c>
      <c r="E577" s="553">
        <f t="shared" si="131"/>
        <v>56.41</v>
      </c>
      <c r="F577" s="535"/>
    </row>
    <row r="578" spans="1:6" x14ac:dyDescent="0.2">
      <c r="A578" s="536">
        <f t="shared" si="127"/>
        <v>3</v>
      </c>
      <c r="B578" s="536">
        <f t="shared" si="128"/>
        <v>2020</v>
      </c>
      <c r="C578" s="552">
        <f t="shared" si="130"/>
        <v>44029</v>
      </c>
      <c r="D578" s="536" t="str">
        <f t="shared" si="129"/>
        <v>3Q20</v>
      </c>
      <c r="E578" s="553">
        <f t="shared" si="131"/>
        <v>56.41</v>
      </c>
      <c r="F578" s="535"/>
    </row>
    <row r="579" spans="1:6" x14ac:dyDescent="0.2">
      <c r="A579" s="536">
        <f t="shared" si="127"/>
        <v>3</v>
      </c>
      <c r="B579" s="536">
        <f t="shared" si="128"/>
        <v>2020</v>
      </c>
      <c r="C579" s="552">
        <f t="shared" si="130"/>
        <v>44036</v>
      </c>
      <c r="D579" s="536" t="str">
        <f t="shared" si="129"/>
        <v>3Q20</v>
      </c>
      <c r="E579" s="553">
        <f t="shared" si="131"/>
        <v>56.41</v>
      </c>
      <c r="F579" s="535"/>
    </row>
    <row r="580" spans="1:6" x14ac:dyDescent="0.2">
      <c r="A580" s="536">
        <f t="shared" si="127"/>
        <v>3</v>
      </c>
      <c r="B580" s="536">
        <f t="shared" si="128"/>
        <v>2020</v>
      </c>
      <c r="C580" s="552">
        <f t="shared" si="130"/>
        <v>44043</v>
      </c>
      <c r="D580" s="536" t="str">
        <f t="shared" si="129"/>
        <v>3Q20</v>
      </c>
      <c r="E580" s="553">
        <f t="shared" si="131"/>
        <v>56.41</v>
      </c>
      <c r="F580" s="535"/>
    </row>
    <row r="581" spans="1:6" x14ac:dyDescent="0.2">
      <c r="A581" s="536">
        <f t="shared" si="127"/>
        <v>3</v>
      </c>
      <c r="B581" s="536">
        <f t="shared" si="128"/>
        <v>2020</v>
      </c>
      <c r="C581" s="552">
        <f t="shared" si="130"/>
        <v>44050</v>
      </c>
      <c r="D581" s="536" t="str">
        <f t="shared" si="129"/>
        <v>3Q20</v>
      </c>
      <c r="E581" s="553">
        <f t="shared" si="131"/>
        <v>56.41</v>
      </c>
      <c r="F581" s="535"/>
    </row>
    <row r="582" spans="1:6" x14ac:dyDescent="0.2">
      <c r="A582" s="536">
        <f t="shared" si="127"/>
        <v>3</v>
      </c>
      <c r="B582" s="536">
        <f t="shared" si="128"/>
        <v>2020</v>
      </c>
      <c r="C582" s="552">
        <f t="shared" si="130"/>
        <v>44057</v>
      </c>
      <c r="D582" s="536" t="str">
        <f t="shared" si="129"/>
        <v>3Q20</v>
      </c>
      <c r="E582" s="553">
        <f t="shared" si="131"/>
        <v>56.41</v>
      </c>
      <c r="F582" s="535"/>
    </row>
    <row r="583" spans="1:6" x14ac:dyDescent="0.2">
      <c r="A583" s="536">
        <f t="shared" si="127"/>
        <v>3</v>
      </c>
      <c r="B583" s="536">
        <f t="shared" si="128"/>
        <v>2020</v>
      </c>
      <c r="C583" s="552">
        <f t="shared" si="130"/>
        <v>44064</v>
      </c>
      <c r="D583" s="536" t="str">
        <f t="shared" si="129"/>
        <v>3Q20</v>
      </c>
      <c r="E583" s="553">
        <f t="shared" si="131"/>
        <v>56.41</v>
      </c>
      <c r="F583" s="535"/>
    </row>
    <row r="584" spans="1:6" x14ac:dyDescent="0.2">
      <c r="A584" s="536">
        <f t="shared" si="127"/>
        <v>3</v>
      </c>
      <c r="B584" s="536">
        <f t="shared" si="128"/>
        <v>2020</v>
      </c>
      <c r="C584" s="552">
        <f t="shared" si="130"/>
        <v>44071</v>
      </c>
      <c r="D584" s="536" t="str">
        <f t="shared" si="129"/>
        <v>3Q20</v>
      </c>
      <c r="E584" s="553">
        <f t="shared" si="131"/>
        <v>56.41</v>
      </c>
      <c r="F584" s="535"/>
    </row>
    <row r="585" spans="1:6" x14ac:dyDescent="0.2">
      <c r="A585" s="536">
        <f t="shared" si="127"/>
        <v>3</v>
      </c>
      <c r="B585" s="536">
        <f t="shared" si="128"/>
        <v>2020</v>
      </c>
      <c r="C585" s="552">
        <f t="shared" si="130"/>
        <v>44078</v>
      </c>
      <c r="D585" s="536" t="str">
        <f t="shared" si="129"/>
        <v>3Q20</v>
      </c>
      <c r="E585" s="553">
        <f t="shared" si="131"/>
        <v>56.41</v>
      </c>
      <c r="F585" s="535"/>
    </row>
    <row r="586" spans="1:6" x14ac:dyDescent="0.2">
      <c r="A586" s="536">
        <f t="shared" si="127"/>
        <v>3</v>
      </c>
      <c r="B586" s="536">
        <f t="shared" si="128"/>
        <v>2020</v>
      </c>
      <c r="C586" s="552">
        <f t="shared" si="130"/>
        <v>44085</v>
      </c>
      <c r="D586" s="536" t="str">
        <f t="shared" si="129"/>
        <v>3Q20</v>
      </c>
      <c r="E586" s="553">
        <f t="shared" si="131"/>
        <v>56.41</v>
      </c>
      <c r="F586" s="535"/>
    </row>
    <row r="587" spans="1:6" x14ac:dyDescent="0.2">
      <c r="A587" s="536">
        <f t="shared" si="127"/>
        <v>3</v>
      </c>
      <c r="B587" s="536">
        <f t="shared" si="128"/>
        <v>2020</v>
      </c>
      <c r="C587" s="552">
        <f t="shared" si="130"/>
        <v>44092</v>
      </c>
      <c r="D587" s="536" t="str">
        <f t="shared" si="129"/>
        <v>3Q20</v>
      </c>
      <c r="E587" s="553">
        <f t="shared" si="131"/>
        <v>56.41</v>
      </c>
      <c r="F587" s="535"/>
    </row>
    <row r="588" spans="1:6" x14ac:dyDescent="0.2">
      <c r="A588" s="536">
        <f t="shared" si="127"/>
        <v>4</v>
      </c>
      <c r="B588" s="536">
        <f t="shared" si="128"/>
        <v>2020</v>
      </c>
      <c r="C588" s="552">
        <f t="shared" si="130"/>
        <v>44099</v>
      </c>
      <c r="D588" s="536" t="str">
        <f t="shared" si="129"/>
        <v>4Q20</v>
      </c>
      <c r="E588" s="553">
        <f t="shared" si="131"/>
        <v>56.41</v>
      </c>
      <c r="F588" s="535"/>
    </row>
    <row r="589" spans="1:6" x14ac:dyDescent="0.2">
      <c r="A589" s="536">
        <f t="shared" si="127"/>
        <v>4</v>
      </c>
      <c r="B589" s="536">
        <f t="shared" si="128"/>
        <v>2020</v>
      </c>
      <c r="C589" s="552">
        <f t="shared" si="130"/>
        <v>44106</v>
      </c>
      <c r="D589" s="536" t="str">
        <f t="shared" si="129"/>
        <v>4Q20</v>
      </c>
      <c r="E589" s="553">
        <f t="shared" si="131"/>
        <v>56.41</v>
      </c>
      <c r="F589" s="535"/>
    </row>
    <row r="590" spans="1:6" x14ac:dyDescent="0.2">
      <c r="A590" s="536">
        <f t="shared" si="127"/>
        <v>4</v>
      </c>
      <c r="B590" s="536">
        <f t="shared" si="128"/>
        <v>2020</v>
      </c>
      <c r="C590" s="552">
        <f t="shared" si="130"/>
        <v>44113</v>
      </c>
      <c r="D590" s="536" t="str">
        <f t="shared" si="129"/>
        <v>4Q20</v>
      </c>
      <c r="E590" s="553">
        <f t="shared" si="131"/>
        <v>56.41</v>
      </c>
      <c r="F590" s="535"/>
    </row>
    <row r="591" spans="1:6" x14ac:dyDescent="0.2">
      <c r="A591" s="536">
        <f t="shared" si="127"/>
        <v>4</v>
      </c>
      <c r="B591" s="536">
        <f t="shared" si="128"/>
        <v>2020</v>
      </c>
      <c r="C591" s="552">
        <f t="shared" si="130"/>
        <v>44120</v>
      </c>
      <c r="D591" s="536" t="str">
        <f t="shared" si="129"/>
        <v>4Q20</v>
      </c>
      <c r="E591" s="553">
        <f t="shared" si="131"/>
        <v>56.41</v>
      </c>
      <c r="F591" s="535"/>
    </row>
    <row r="592" spans="1:6" x14ac:dyDescent="0.2">
      <c r="A592" s="536">
        <f t="shared" si="127"/>
        <v>4</v>
      </c>
      <c r="B592" s="536">
        <f t="shared" si="128"/>
        <v>2020</v>
      </c>
      <c r="C592" s="552">
        <f t="shared" si="130"/>
        <v>44127</v>
      </c>
      <c r="D592" s="536" t="str">
        <f t="shared" si="129"/>
        <v>4Q20</v>
      </c>
      <c r="E592" s="553">
        <f t="shared" si="131"/>
        <v>56.41</v>
      </c>
      <c r="F592" s="535"/>
    </row>
    <row r="593" spans="1:6" x14ac:dyDescent="0.2">
      <c r="A593" s="536">
        <f t="shared" si="127"/>
        <v>4</v>
      </c>
      <c r="B593" s="536">
        <f t="shared" si="128"/>
        <v>2020</v>
      </c>
      <c r="C593" s="552">
        <f t="shared" si="130"/>
        <v>44134</v>
      </c>
      <c r="D593" s="536" t="str">
        <f t="shared" si="129"/>
        <v>4Q20</v>
      </c>
      <c r="E593" s="553">
        <f t="shared" si="131"/>
        <v>56.41</v>
      </c>
      <c r="F593" s="535"/>
    </row>
    <row r="594" spans="1:6" x14ac:dyDescent="0.2">
      <c r="A594" s="536">
        <f t="shared" si="127"/>
        <v>4</v>
      </c>
      <c r="B594" s="536">
        <f t="shared" si="128"/>
        <v>2020</v>
      </c>
      <c r="C594" s="552">
        <f t="shared" si="130"/>
        <v>44141</v>
      </c>
      <c r="D594" s="536" t="str">
        <f t="shared" si="129"/>
        <v>4Q20</v>
      </c>
      <c r="E594" s="553">
        <f t="shared" si="131"/>
        <v>56.41</v>
      </c>
      <c r="F594" s="535"/>
    </row>
    <row r="595" spans="1:6" x14ac:dyDescent="0.2">
      <c r="A595" s="536">
        <f t="shared" si="127"/>
        <v>4</v>
      </c>
      <c r="B595" s="536">
        <f t="shared" si="128"/>
        <v>2020</v>
      </c>
      <c r="C595" s="552">
        <f t="shared" si="130"/>
        <v>44148</v>
      </c>
      <c r="D595" s="536" t="str">
        <f t="shared" si="129"/>
        <v>4Q20</v>
      </c>
      <c r="E595" s="553">
        <f t="shared" si="131"/>
        <v>56.41</v>
      </c>
      <c r="F595" s="535"/>
    </row>
    <row r="596" spans="1:6" x14ac:dyDescent="0.2">
      <c r="A596" s="536">
        <f t="shared" si="127"/>
        <v>4</v>
      </c>
      <c r="B596" s="536">
        <f t="shared" si="128"/>
        <v>2020</v>
      </c>
      <c r="C596" s="552">
        <f t="shared" si="130"/>
        <v>44155</v>
      </c>
      <c r="D596" s="536" t="str">
        <f t="shared" si="129"/>
        <v>4Q20</v>
      </c>
      <c r="E596" s="553">
        <f t="shared" si="131"/>
        <v>56.41</v>
      </c>
      <c r="F596" s="535"/>
    </row>
    <row r="597" spans="1:6" x14ac:dyDescent="0.2">
      <c r="A597" s="536">
        <f t="shared" si="127"/>
        <v>4</v>
      </c>
      <c r="B597" s="536">
        <f t="shared" si="128"/>
        <v>2020</v>
      </c>
      <c r="C597" s="552">
        <f t="shared" si="130"/>
        <v>44162</v>
      </c>
      <c r="D597" s="536" t="str">
        <f t="shared" si="129"/>
        <v>4Q20</v>
      </c>
      <c r="E597" s="553">
        <f t="shared" si="131"/>
        <v>56.41</v>
      </c>
      <c r="F597" s="535"/>
    </row>
    <row r="598" spans="1:6" x14ac:dyDescent="0.2">
      <c r="A598" s="536">
        <f t="shared" si="127"/>
        <v>4</v>
      </c>
      <c r="B598" s="536">
        <f t="shared" si="128"/>
        <v>2020</v>
      </c>
      <c r="C598" s="552">
        <f t="shared" si="130"/>
        <v>44169</v>
      </c>
      <c r="D598" s="536" t="str">
        <f t="shared" si="129"/>
        <v>4Q20</v>
      </c>
      <c r="E598" s="553">
        <f t="shared" si="131"/>
        <v>56.41</v>
      </c>
      <c r="F598" s="535"/>
    </row>
    <row r="599" spans="1:6" x14ac:dyDescent="0.2">
      <c r="A599" s="536">
        <f t="shared" si="127"/>
        <v>4</v>
      </c>
      <c r="B599" s="536">
        <f t="shared" si="128"/>
        <v>2020</v>
      </c>
      <c r="C599" s="552">
        <f t="shared" si="130"/>
        <v>44176</v>
      </c>
      <c r="D599" s="536" t="str">
        <f t="shared" si="129"/>
        <v>4Q20</v>
      </c>
      <c r="E599" s="553">
        <f t="shared" si="131"/>
        <v>56.41</v>
      </c>
      <c r="F599" s="535"/>
    </row>
    <row r="600" spans="1:6" x14ac:dyDescent="0.2">
      <c r="A600" s="536">
        <f t="shared" si="127"/>
        <v>4</v>
      </c>
      <c r="B600" s="536">
        <f t="shared" si="128"/>
        <v>2020</v>
      </c>
      <c r="C600" s="552">
        <f t="shared" si="130"/>
        <v>44183</v>
      </c>
      <c r="D600" s="536" t="str">
        <f t="shared" si="129"/>
        <v>4Q20</v>
      </c>
      <c r="E600" s="553">
        <f t="shared" si="131"/>
        <v>56.41</v>
      </c>
      <c r="F600" s="535"/>
    </row>
    <row r="601" spans="1:6" x14ac:dyDescent="0.2">
      <c r="A601" s="536">
        <f t="shared" ref="A601:A607" si="132">A549</f>
        <v>1</v>
      </c>
      <c r="B601" s="536">
        <f t="shared" si="128"/>
        <v>2020</v>
      </c>
      <c r="C601" s="552">
        <f t="shared" si="130"/>
        <v>44190</v>
      </c>
      <c r="D601" s="536" t="str">
        <f t="shared" si="129"/>
        <v>1Q20</v>
      </c>
      <c r="E601" s="553">
        <f t="shared" si="131"/>
        <v>56.41</v>
      </c>
      <c r="F601" s="535"/>
    </row>
    <row r="602" spans="1:6" x14ac:dyDescent="0.2">
      <c r="A602" s="536">
        <f t="shared" si="132"/>
        <v>1</v>
      </c>
      <c r="B602" s="536">
        <f t="shared" si="128"/>
        <v>2021</v>
      </c>
      <c r="C602" s="552">
        <f t="shared" si="130"/>
        <v>44197</v>
      </c>
      <c r="D602" s="536" t="str">
        <f t="shared" si="129"/>
        <v>1Q21</v>
      </c>
      <c r="E602" s="553">
        <f t="shared" si="131"/>
        <v>56.41</v>
      </c>
      <c r="F602" s="535"/>
    </row>
    <row r="603" spans="1:6" x14ac:dyDescent="0.2">
      <c r="A603" s="536">
        <f t="shared" si="132"/>
        <v>1</v>
      </c>
      <c r="B603" s="536">
        <f t="shared" si="128"/>
        <v>2021</v>
      </c>
      <c r="C603" s="552">
        <f t="shared" si="130"/>
        <v>44204</v>
      </c>
      <c r="D603" s="536" t="str">
        <f t="shared" si="129"/>
        <v>1Q21</v>
      </c>
      <c r="E603" s="553">
        <f t="shared" si="131"/>
        <v>56.41</v>
      </c>
      <c r="F603" s="535"/>
    </row>
    <row r="604" spans="1:6" x14ac:dyDescent="0.2">
      <c r="A604" s="536">
        <f t="shared" si="132"/>
        <v>1</v>
      </c>
      <c r="B604" s="536">
        <f t="shared" si="128"/>
        <v>2021</v>
      </c>
      <c r="C604" s="552">
        <f t="shared" si="130"/>
        <v>44211</v>
      </c>
      <c r="D604" s="536" t="str">
        <f t="shared" si="129"/>
        <v>1Q21</v>
      </c>
      <c r="E604" s="553">
        <f t="shared" si="131"/>
        <v>56.41</v>
      </c>
      <c r="F604" s="535"/>
    </row>
    <row r="605" spans="1:6" x14ac:dyDescent="0.2">
      <c r="A605" s="536">
        <f t="shared" si="132"/>
        <v>1</v>
      </c>
      <c r="B605" s="536">
        <f t="shared" si="128"/>
        <v>2021</v>
      </c>
      <c r="C605" s="552">
        <f t="shared" si="130"/>
        <v>44218</v>
      </c>
      <c r="D605" s="536" t="str">
        <f t="shared" si="129"/>
        <v>1Q21</v>
      </c>
      <c r="E605" s="553">
        <f t="shared" si="131"/>
        <v>56.41</v>
      </c>
      <c r="F605" s="535"/>
    </row>
    <row r="606" spans="1:6" x14ac:dyDescent="0.2">
      <c r="A606" s="536">
        <f t="shared" si="132"/>
        <v>1</v>
      </c>
      <c r="B606" s="536">
        <f t="shared" si="128"/>
        <v>2021</v>
      </c>
      <c r="C606" s="552">
        <f t="shared" si="130"/>
        <v>44225</v>
      </c>
      <c r="D606" s="536" t="str">
        <f t="shared" si="129"/>
        <v>1Q21</v>
      </c>
      <c r="E606" s="553">
        <f t="shared" si="131"/>
        <v>56.41</v>
      </c>
      <c r="F606" s="535"/>
    </row>
    <row r="607" spans="1:6" x14ac:dyDescent="0.2">
      <c r="A607" s="536">
        <f t="shared" si="132"/>
        <v>1</v>
      </c>
      <c r="B607" s="536">
        <f t="shared" si="128"/>
        <v>2021</v>
      </c>
      <c r="C607" s="552">
        <f t="shared" si="130"/>
        <v>44232</v>
      </c>
      <c r="D607" s="536" t="str">
        <f t="shared" si="129"/>
        <v>1Q21</v>
      </c>
      <c r="E607" s="553">
        <f t="shared" si="131"/>
        <v>56.41</v>
      </c>
      <c r="F607" s="535"/>
    </row>
  </sheetData>
  <phoneticPr fontId="12" type="noConversion"/>
  <pageMargins left="0.75" right="0.75" top="1" bottom="1" header="0.5" footer="0.5"/>
  <pageSetup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Y246"/>
  <sheetViews>
    <sheetView showGridLines="0" topLeftCell="A13" zoomScaleNormal="100" workbookViewId="0">
      <selection activeCell="M51" sqref="M51:M52"/>
    </sheetView>
  </sheetViews>
  <sheetFormatPr defaultRowHeight="12.75" outlineLevelRow="1" outlineLevelCol="1" x14ac:dyDescent="0.2"/>
  <cols>
    <col min="1" max="1" width="1.28515625" style="1035" customWidth="1"/>
    <col min="2" max="2" width="6.85546875" style="1048" customWidth="1"/>
    <col min="3" max="3" width="45.28515625" style="1048" customWidth="1"/>
    <col min="4" max="4" width="9" style="1048" hidden="1" customWidth="1" outlineLevel="1"/>
    <col min="5" max="5" width="10" style="1048" hidden="1" customWidth="1" outlineLevel="1"/>
    <col min="6" max="6" width="10.85546875" style="1048" hidden="1" customWidth="1" outlineLevel="1"/>
    <col min="7" max="7" width="10.7109375" style="1048" hidden="1" customWidth="1" outlineLevel="1"/>
    <col min="8" max="8" width="10.140625" style="1128" customWidth="1" collapsed="1"/>
    <col min="9" max="15" width="10.140625" style="1128" customWidth="1"/>
    <col min="16" max="20" width="10.140625" style="1128" hidden="1" customWidth="1" outlineLevel="1"/>
    <col min="21" max="21" width="3.85546875" style="1028" customWidth="1" collapsed="1"/>
    <col min="22" max="22" width="9.140625" style="1028"/>
    <col min="23" max="23" width="9.140625" style="1029" customWidth="1"/>
    <col min="24" max="27" width="9.140625" style="1029"/>
    <col min="28" max="28" width="41.140625" bestFit="1" customWidth="1"/>
    <col min="29" max="29" width="12.5703125" bestFit="1" customWidth="1"/>
    <col min="30" max="31" width="11.28515625" bestFit="1" customWidth="1"/>
    <col min="32" max="32" width="18.140625" bestFit="1" customWidth="1"/>
    <col min="33" max="33" width="10.28515625" bestFit="1" customWidth="1"/>
    <col min="34" max="34" width="9.42578125" style="1029" hidden="1" customWidth="1"/>
    <col min="35" max="39" width="9.140625" style="1029" hidden="1" customWidth="1"/>
    <col min="40" max="40" width="108.5703125" style="1032" hidden="1" customWidth="1" outlineLevel="1"/>
    <col min="41" max="41" width="9.140625" style="1029" collapsed="1"/>
    <col min="42" max="42" width="34.42578125" style="1029" customWidth="1"/>
    <col min="43" max="43" width="9.140625" style="1029"/>
    <col min="44" max="44" width="10.42578125" style="1029" customWidth="1"/>
    <col min="45" max="47" width="9.140625" style="1029"/>
    <col min="48" max="48" width="18.28515625" style="1029" customWidth="1"/>
    <col min="49" max="50" width="9.140625" style="1029"/>
    <col min="51" max="51" width="16.85546875" style="1029" customWidth="1"/>
    <col min="52" max="52" width="13.5703125" style="1029" customWidth="1"/>
    <col min="53" max="53" width="9.42578125" style="1029" customWidth="1"/>
    <col min="54" max="54" width="8.7109375" style="1029" customWidth="1"/>
    <col min="55" max="55" width="9.140625" style="1029"/>
    <col min="56" max="56" width="7.5703125" style="1029" bestFit="1" customWidth="1"/>
    <col min="57" max="58" width="9.140625" style="1029"/>
    <col min="59" max="59" width="11.7109375" style="1031" bestFit="1" customWidth="1"/>
    <col min="60" max="61" width="9.140625" style="1029"/>
    <col min="62" max="62" width="13.28515625" style="1029" bestFit="1" customWidth="1"/>
    <col min="63" max="80" width="9.140625" style="1029"/>
    <col min="81" max="81" width="20.5703125" style="1029" customWidth="1"/>
    <col min="82" max="88" width="10.5703125" style="1029" bestFit="1" customWidth="1"/>
    <col min="89" max="16384" width="9.140625" style="1029"/>
  </cols>
  <sheetData>
    <row r="1" spans="1:88" ht="15" customHeight="1" x14ac:dyDescent="0.2">
      <c r="A1" s="2065"/>
      <c r="B1" s="1025"/>
      <c r="C1" s="1026" t="s">
        <v>45</v>
      </c>
      <c r="D1" s="1026"/>
      <c r="E1" s="1026"/>
      <c r="F1" s="1026"/>
      <c r="G1" s="1026"/>
      <c r="H1" s="1027" t="s">
        <v>675</v>
      </c>
      <c r="I1" s="1028"/>
      <c r="J1" s="1028"/>
      <c r="K1" s="1028">
        <f>IF(OR(ISERROR($J$2),$J$2="NA",$J$2="N/A"),2,1)</f>
        <v>1</v>
      </c>
      <c r="L1" s="1028"/>
      <c r="M1" s="1028"/>
      <c r="N1" s="1028"/>
      <c r="O1" s="1028"/>
      <c r="P1" s="1028"/>
      <c r="Q1" s="1028"/>
      <c r="R1" s="1028"/>
      <c r="S1" s="1028"/>
      <c r="T1" s="1028"/>
      <c r="V1" s="1029"/>
    </row>
    <row r="2" spans="1:88" ht="17.25" customHeight="1" x14ac:dyDescent="0.2">
      <c r="A2" s="2065"/>
      <c r="B2" s="1025"/>
      <c r="C2" s="1026" t="s">
        <v>46</v>
      </c>
      <c r="D2" s="1026"/>
      <c r="E2" s="1026"/>
      <c r="F2" s="1026"/>
      <c r="G2" s="1026"/>
      <c r="H2" s="1033" t="s">
        <v>47</v>
      </c>
      <c r="I2" s="1028"/>
      <c r="J2" s="1981">
        <v>2160753</v>
      </c>
      <c r="K2" s="1034"/>
      <c r="L2" s="1034"/>
      <c r="M2" s="1034"/>
      <c r="N2" s="1034"/>
      <c r="O2" s="1034"/>
      <c r="P2" s="1034"/>
      <c r="Q2" s="1034"/>
      <c r="R2" s="1034"/>
      <c r="S2" s="1034"/>
      <c r="T2" s="1034"/>
      <c r="V2" s="1029"/>
    </row>
    <row r="3" spans="1:88" ht="18.75" hidden="1" customHeight="1" outlineLevel="1" x14ac:dyDescent="0.2">
      <c r="A3" s="1036"/>
      <c r="B3" s="1025"/>
      <c r="C3" s="1026" t="s">
        <v>48</v>
      </c>
      <c r="D3" s="1026"/>
      <c r="E3" s="1026"/>
      <c r="F3" s="1026"/>
      <c r="G3" s="1026"/>
      <c r="H3" s="1033">
        <f>IF(OR(ISERROR($J$2),$J$2="NA",$J$2="N/A"),$J$3,J2)</f>
        <v>2160753</v>
      </c>
      <c r="I3" s="1028"/>
      <c r="J3" s="1981">
        <f>_xll.ThomsonONEAddinShim.SpreadsheetFormulas.TF($H$1,"TF.SEDOL7()")</f>
        <v>2160753</v>
      </c>
      <c r="K3" s="1028"/>
      <c r="L3" s="1028"/>
      <c r="M3" s="1028"/>
      <c r="N3" s="1028"/>
      <c r="O3" s="1028"/>
      <c r="P3" s="1028"/>
      <c r="Q3" s="1028"/>
      <c r="R3" s="1028"/>
      <c r="S3" s="1028"/>
      <c r="T3" s="1028"/>
      <c r="V3" s="1029"/>
      <c r="CD3" s="1039"/>
      <c r="CE3" s="1039"/>
      <c r="CF3" s="1039"/>
      <c r="CG3" s="1039"/>
      <c r="CH3" s="1039"/>
      <c r="CI3" s="1039">
        <f>IF(CI27&lt;&gt;"",CI38,"")</f>
        <v>2018</v>
      </c>
      <c r="CJ3" s="1039">
        <f>IF(CJ27&lt;&gt;"",CJ38,"")</f>
        <v>2019</v>
      </c>
    </row>
    <row r="4" spans="1:88" s="1031" customFormat="1" collapsed="1" x14ac:dyDescent="0.2">
      <c r="A4" s="1040"/>
      <c r="B4" s="1041"/>
      <c r="C4" s="1042"/>
      <c r="D4" s="1042"/>
      <c r="E4" s="1042"/>
      <c r="F4" s="1042"/>
      <c r="G4" s="1042"/>
      <c r="H4" s="1034"/>
      <c r="I4" s="1034"/>
      <c r="J4" s="1034"/>
      <c r="K4" s="1034"/>
      <c r="L4" s="1034"/>
      <c r="M4" s="1034"/>
      <c r="N4" s="1034"/>
      <c r="O4" s="1034"/>
      <c r="P4" s="1034"/>
      <c r="Q4" s="1034"/>
      <c r="R4" s="1034"/>
      <c r="S4" s="1034"/>
      <c r="T4" s="1034"/>
      <c r="U4" s="1034"/>
      <c r="AB4"/>
      <c r="AC4"/>
      <c r="AD4"/>
      <c r="AE4"/>
      <c r="AF4"/>
      <c r="AG4"/>
      <c r="AN4" s="1043"/>
      <c r="AY4" s="1044"/>
      <c r="AZ4" s="1044"/>
      <c r="BA4" s="1044"/>
      <c r="BB4" s="1044"/>
    </row>
    <row r="5" spans="1:88" customFormat="1" ht="12.75" customHeight="1" outlineLevel="1" x14ac:dyDescent="0.2"/>
    <row r="6" spans="1:88" x14ac:dyDescent="0.2">
      <c r="A6" s="1040"/>
      <c r="B6" s="1026" t="s">
        <v>49</v>
      </c>
      <c r="C6" s="1026" t="s">
        <v>50</v>
      </c>
      <c r="D6" s="1046">
        <v>2009</v>
      </c>
      <c r="E6" s="1046">
        <v>2010</v>
      </c>
      <c r="F6" s="1046">
        <v>2011</v>
      </c>
      <c r="G6" s="1046">
        <v>2012</v>
      </c>
      <c r="H6" s="1046">
        <v>2013</v>
      </c>
      <c r="I6" s="1046">
        <v>2014</v>
      </c>
      <c r="J6" s="1046">
        <v>2015</v>
      </c>
      <c r="K6" s="1045">
        <v>2016</v>
      </c>
      <c r="L6" s="1045">
        <v>2017</v>
      </c>
      <c r="M6" s="1045">
        <v>2018</v>
      </c>
      <c r="N6" s="1045">
        <v>2019</v>
      </c>
      <c r="O6" s="1045">
        <v>2020</v>
      </c>
      <c r="P6" s="1045">
        <v>2021</v>
      </c>
      <c r="Q6" s="1045">
        <v>2022</v>
      </c>
      <c r="R6" s="1045">
        <v>2023</v>
      </c>
      <c r="S6" s="1045">
        <v>2024</v>
      </c>
      <c r="T6" s="1045">
        <v>2025</v>
      </c>
      <c r="V6" s="1029"/>
      <c r="AY6" s="1047"/>
      <c r="AZ6" s="1047"/>
      <c r="BA6" s="1047"/>
      <c r="BB6" s="1047"/>
      <c r="BG6" s="1030">
        <f>VALUE(RIGHT(BG7,4))</f>
        <v>2016</v>
      </c>
    </row>
    <row r="7" spans="1:88" ht="7.5" customHeight="1" x14ac:dyDescent="0.2">
      <c r="A7" s="1040"/>
      <c r="C7" s="1049"/>
      <c r="D7" s="1049"/>
      <c r="E7" s="1049"/>
      <c r="F7" s="1049"/>
      <c r="G7" s="1049"/>
      <c r="H7" s="966"/>
      <c r="I7" s="966"/>
      <c r="J7" s="967"/>
      <c r="K7" s="967"/>
      <c r="L7" s="967"/>
      <c r="M7" s="967"/>
      <c r="N7" s="967"/>
      <c r="O7" s="967"/>
      <c r="P7" s="967"/>
      <c r="Q7" s="967"/>
      <c r="R7" s="967"/>
      <c r="S7" s="967"/>
      <c r="T7" s="967"/>
      <c r="V7" s="1029"/>
      <c r="BG7" s="1031" t="str">
        <f>IF($AZ$19="NA","NA",(MONTH($AZ$19)&amp;"/"&amp;YEAR($AZ$19)))</f>
        <v>12/2016</v>
      </c>
    </row>
    <row r="8" spans="1:88" x14ac:dyDescent="0.2">
      <c r="A8" s="1040"/>
      <c r="C8" s="1028" t="s">
        <v>51</v>
      </c>
      <c r="D8" s="968">
        <v>6.5000000000000002E-2</v>
      </c>
      <c r="E8" s="968">
        <v>0.05</v>
      </c>
      <c r="F8" s="968">
        <v>4.7500000000000001E-2</v>
      </c>
      <c r="G8" s="968">
        <v>3.7499999999999999E-2</v>
      </c>
      <c r="H8" s="968">
        <v>4.7500000000000001E-2</v>
      </c>
      <c r="I8" s="968">
        <v>0.04</v>
      </c>
      <c r="J8" s="968">
        <v>4.2999999999999997E-2</v>
      </c>
      <c r="K8" s="968">
        <v>4.0800000000000003E-2</v>
      </c>
      <c r="L8" s="1050">
        <f t="shared" ref="L8:T8" si="0">+K8</f>
        <v>4.0800000000000003E-2</v>
      </c>
      <c r="M8" s="1050">
        <f t="shared" si="0"/>
        <v>4.0800000000000003E-2</v>
      </c>
      <c r="N8" s="1050">
        <f t="shared" si="0"/>
        <v>4.0800000000000003E-2</v>
      </c>
      <c r="O8" s="1050">
        <f t="shared" si="0"/>
        <v>4.0800000000000003E-2</v>
      </c>
      <c r="P8" s="1050">
        <f t="shared" si="0"/>
        <v>4.0800000000000003E-2</v>
      </c>
      <c r="Q8" s="1050">
        <f t="shared" si="0"/>
        <v>4.0800000000000003E-2</v>
      </c>
      <c r="R8" s="1050">
        <f t="shared" si="0"/>
        <v>4.0800000000000003E-2</v>
      </c>
      <c r="S8" s="1050">
        <f t="shared" si="0"/>
        <v>4.0800000000000003E-2</v>
      </c>
      <c r="T8" s="1050">
        <f t="shared" si="0"/>
        <v>4.0800000000000003E-2</v>
      </c>
      <c r="V8" s="1029"/>
      <c r="AN8" s="969" t="s">
        <v>7</v>
      </c>
      <c r="AY8" s="1047"/>
      <c r="AZ8" s="1052"/>
      <c r="BA8" s="1052"/>
      <c r="BB8" s="1047"/>
      <c r="BG8" s="970">
        <f>_xll.ThomsonONEAddinShim.SpreadsheetFormulas.TF(Sedol,$AN8,"dataDir=across",trSdate,trEdate)</f>
        <v>6.5000000000000002E-2</v>
      </c>
      <c r="BH8" s="969">
        <v>0.05</v>
      </c>
      <c r="BI8" s="1053">
        <v>4.7500000000000001E-2</v>
      </c>
      <c r="BJ8" s="1053">
        <v>3.7499999999999999E-2</v>
      </c>
      <c r="BK8" s="1053">
        <v>4.7500000000000001E-2</v>
      </c>
      <c r="BL8" s="1053">
        <v>0.04</v>
      </c>
      <c r="BM8" s="1053">
        <v>4.2999999999999997E-2</v>
      </c>
      <c r="BN8" s="1053">
        <v>4.0800000000000003E-2</v>
      </c>
    </row>
    <row r="9" spans="1:88" ht="12.75" hidden="1" customHeight="1" outlineLevel="1" x14ac:dyDescent="0.2">
      <c r="A9" s="1040"/>
      <c r="C9" s="1028" t="s">
        <v>372</v>
      </c>
      <c r="D9" s="1054">
        <v>0.1</v>
      </c>
      <c r="E9" s="1054">
        <v>0.1</v>
      </c>
      <c r="F9" s="1054">
        <v>0.1</v>
      </c>
      <c r="G9" s="1054">
        <v>0.1</v>
      </c>
      <c r="H9" s="1054">
        <v>0.1</v>
      </c>
      <c r="I9" s="1054">
        <v>0.1</v>
      </c>
      <c r="J9" s="1054">
        <v>0.1</v>
      </c>
      <c r="K9" s="1054">
        <v>0.1</v>
      </c>
      <c r="L9" s="1055">
        <f t="shared" ref="L9:T9" si="1">+K9</f>
        <v>0.1</v>
      </c>
      <c r="M9" s="1055">
        <f t="shared" si="1"/>
        <v>0.1</v>
      </c>
      <c r="N9" s="1055">
        <f t="shared" si="1"/>
        <v>0.1</v>
      </c>
      <c r="O9" s="1055">
        <f t="shared" si="1"/>
        <v>0.1</v>
      </c>
      <c r="P9" s="1055">
        <f t="shared" si="1"/>
        <v>0.1</v>
      </c>
      <c r="Q9" s="1055">
        <f t="shared" si="1"/>
        <v>0.1</v>
      </c>
      <c r="R9" s="1055">
        <f t="shared" si="1"/>
        <v>0.1</v>
      </c>
      <c r="S9" s="1055">
        <f t="shared" si="1"/>
        <v>0.1</v>
      </c>
      <c r="T9" s="1055">
        <f t="shared" si="1"/>
        <v>0.1</v>
      </c>
      <c r="V9" s="1029"/>
      <c r="AZ9" s="1028"/>
      <c r="BA9" s="1056"/>
      <c r="BB9" s="1056"/>
      <c r="BC9" s="1056"/>
      <c r="BD9" s="1056"/>
      <c r="BG9" s="1057"/>
      <c r="BH9" s="1032"/>
    </row>
    <row r="10" spans="1:88" ht="12.75" hidden="1" customHeight="1" outlineLevel="1" x14ac:dyDescent="0.2">
      <c r="A10" s="1040"/>
      <c r="C10" s="1028" t="s">
        <v>396</v>
      </c>
      <c r="D10" s="1058">
        <v>10</v>
      </c>
      <c r="E10" s="1058">
        <v>10</v>
      </c>
      <c r="F10" s="1058">
        <v>10</v>
      </c>
      <c r="G10" s="1058">
        <v>10</v>
      </c>
      <c r="H10" s="1058">
        <v>10</v>
      </c>
      <c r="I10" s="1058">
        <v>10</v>
      </c>
      <c r="J10" s="1058">
        <v>10</v>
      </c>
      <c r="K10" s="1058">
        <v>10</v>
      </c>
      <c r="L10" s="1059">
        <f t="shared" ref="L10:T10" si="2">+K10</f>
        <v>10</v>
      </c>
      <c r="M10" s="1059">
        <f t="shared" si="2"/>
        <v>10</v>
      </c>
      <c r="N10" s="1059">
        <f t="shared" si="2"/>
        <v>10</v>
      </c>
      <c r="O10" s="1059">
        <f t="shared" si="2"/>
        <v>10</v>
      </c>
      <c r="P10" s="1059">
        <f t="shared" si="2"/>
        <v>10</v>
      </c>
      <c r="Q10" s="1059">
        <f t="shared" si="2"/>
        <v>10</v>
      </c>
      <c r="R10" s="1059">
        <f t="shared" si="2"/>
        <v>10</v>
      </c>
      <c r="S10" s="1059">
        <f t="shared" si="2"/>
        <v>10</v>
      </c>
      <c r="T10" s="1059">
        <f t="shared" si="2"/>
        <v>10</v>
      </c>
      <c r="V10" s="1029"/>
      <c r="AY10" s="1081" t="s">
        <v>397</v>
      </c>
      <c r="AZ10" s="1082"/>
      <c r="BA10" s="1980"/>
      <c r="BB10" s="1056"/>
      <c r="BC10" s="1056"/>
      <c r="BD10" s="1056"/>
      <c r="BG10" s="1058"/>
      <c r="BH10" s="1032"/>
    </row>
    <row r="11" spans="1:88" collapsed="1" x14ac:dyDescent="0.2">
      <c r="A11" s="1040"/>
      <c r="C11" s="1028" t="s">
        <v>359</v>
      </c>
      <c r="D11" s="968">
        <v>8.5000000000000006E-2</v>
      </c>
      <c r="E11" s="968">
        <v>8.5000000000000006E-2</v>
      </c>
      <c r="F11" s="968">
        <v>8.2500000000000004E-2</v>
      </c>
      <c r="G11" s="968">
        <v>0.08</v>
      </c>
      <c r="H11" s="968">
        <v>7.7499999999999999E-2</v>
      </c>
      <c r="I11" s="968">
        <v>7.4999999999999997E-2</v>
      </c>
      <c r="J11" s="968">
        <v>7.2499999999999995E-2</v>
      </c>
      <c r="K11" s="968">
        <v>7.0000000000000007E-2</v>
      </c>
      <c r="L11" s="1050">
        <f t="shared" ref="L11:T11" si="3">+K11</f>
        <v>7.0000000000000007E-2</v>
      </c>
      <c r="M11" s="1050">
        <f t="shared" si="3"/>
        <v>7.0000000000000007E-2</v>
      </c>
      <c r="N11" s="1050">
        <f t="shared" si="3"/>
        <v>7.0000000000000007E-2</v>
      </c>
      <c r="O11" s="1050">
        <f t="shared" si="3"/>
        <v>7.0000000000000007E-2</v>
      </c>
      <c r="P11" s="1050">
        <f t="shared" si="3"/>
        <v>7.0000000000000007E-2</v>
      </c>
      <c r="Q11" s="1050">
        <f t="shared" si="3"/>
        <v>7.0000000000000007E-2</v>
      </c>
      <c r="R11" s="1050">
        <f t="shared" si="3"/>
        <v>7.0000000000000007E-2</v>
      </c>
      <c r="S11" s="1050">
        <f t="shared" si="3"/>
        <v>7.0000000000000007E-2</v>
      </c>
      <c r="T11" s="1050">
        <f t="shared" si="3"/>
        <v>7.0000000000000007E-2</v>
      </c>
      <c r="V11" s="1029"/>
      <c r="AN11" s="969" t="s">
        <v>536</v>
      </c>
      <c r="AY11" s="1060" t="s">
        <v>360</v>
      </c>
      <c r="AZ11" s="1979" t="str">
        <f>$AZ$16-1&amp;"FY"</f>
        <v>-8FY</v>
      </c>
      <c r="BA11" s="1966"/>
      <c r="BB11" s="1056"/>
      <c r="BC11" s="1063"/>
      <c r="BD11" s="1056"/>
      <c r="BG11" s="970">
        <f>_xll.ThomsonONEAddinShim.SpreadsheetFormulas.TF(Sedol,$AN11,"dataDir=across",trSdate,trEdate)</f>
        <v>8.5000000000000006E-2</v>
      </c>
      <c r="BH11" s="969">
        <v>8.5000000000000006E-2</v>
      </c>
      <c r="BI11" s="1053">
        <v>8.2500000000000004E-2</v>
      </c>
      <c r="BJ11" s="1053">
        <v>0.08</v>
      </c>
      <c r="BK11" s="1053">
        <v>7.7499999999999999E-2</v>
      </c>
      <c r="BL11" s="1053">
        <v>7.4999999999999997E-2</v>
      </c>
      <c r="BM11" s="1053">
        <v>7.2499999999999995E-2</v>
      </c>
      <c r="BN11" s="1053">
        <v>7.0000000000000007E-2</v>
      </c>
    </row>
    <row r="12" spans="1:88" x14ac:dyDescent="0.2">
      <c r="A12" s="1040"/>
      <c r="C12" s="1028" t="s">
        <v>270</v>
      </c>
      <c r="D12" s="968">
        <f t="shared" ref="D12:K12" si="4">IF(ISNUMBER(D38/D37),D38/D37,0)</f>
        <v>0.2643939393939394</v>
      </c>
      <c r="E12" s="968">
        <f t="shared" si="4"/>
        <v>0.11791128579449747</v>
      </c>
      <c r="F12" s="968">
        <f t="shared" si="4"/>
        <v>7.6175040518638576E-2</v>
      </c>
      <c r="G12" s="968">
        <f t="shared" si="4"/>
        <v>-0.16810810810810811</v>
      </c>
      <c r="H12" s="968">
        <f t="shared" si="4"/>
        <v>0.15257192676547515</v>
      </c>
      <c r="I12" s="968">
        <f t="shared" si="4"/>
        <v>7.8E-2</v>
      </c>
      <c r="J12" s="968">
        <f t="shared" si="4"/>
        <v>3.5942492012779551E-3</v>
      </c>
      <c r="K12" s="968">
        <f t="shared" si="4"/>
        <v>6.0199220441749676E-2</v>
      </c>
      <c r="L12" s="1050">
        <f t="shared" ref="L12:T12" si="5">+L11</f>
        <v>7.0000000000000007E-2</v>
      </c>
      <c r="M12" s="1050">
        <f t="shared" si="5"/>
        <v>7.0000000000000007E-2</v>
      </c>
      <c r="N12" s="1050">
        <f t="shared" si="5"/>
        <v>7.0000000000000007E-2</v>
      </c>
      <c r="O12" s="1050">
        <f t="shared" si="5"/>
        <v>7.0000000000000007E-2</v>
      </c>
      <c r="P12" s="1050">
        <f t="shared" si="5"/>
        <v>7.0000000000000007E-2</v>
      </c>
      <c r="Q12" s="1050">
        <f t="shared" si="5"/>
        <v>7.0000000000000007E-2</v>
      </c>
      <c r="R12" s="1050">
        <f t="shared" si="5"/>
        <v>7.0000000000000007E-2</v>
      </c>
      <c r="S12" s="1050">
        <f t="shared" si="5"/>
        <v>7.0000000000000007E-2</v>
      </c>
      <c r="T12" s="1050">
        <f t="shared" si="5"/>
        <v>7.0000000000000007E-2</v>
      </c>
      <c r="V12" s="1029"/>
      <c r="AN12" s="969"/>
      <c r="AY12" s="1971" t="s">
        <v>361</v>
      </c>
      <c r="AZ12" s="1978" t="str">
        <f>$AZ$16&amp;"FY"</f>
        <v>-7FY</v>
      </c>
      <c r="BA12" s="1977" t="str">
        <f>($AZ$15-3)&amp;"FY"</f>
        <v>-3FY</v>
      </c>
      <c r="BB12" s="1064"/>
      <c r="BC12" s="1056"/>
      <c r="BD12" s="1056"/>
      <c r="BG12" s="970"/>
      <c r="BH12" s="969"/>
    </row>
    <row r="13" spans="1:88" x14ac:dyDescent="0.2">
      <c r="A13" s="1040"/>
      <c r="C13" s="1028" t="s">
        <v>66</v>
      </c>
      <c r="D13" s="968">
        <v>0.35</v>
      </c>
      <c r="E13" s="968">
        <v>0.36</v>
      </c>
      <c r="F13" s="968">
        <v>0.36</v>
      </c>
      <c r="G13" s="968">
        <v>0.36</v>
      </c>
      <c r="H13" s="968">
        <v>0.36</v>
      </c>
      <c r="I13" s="968">
        <v>0.36</v>
      </c>
      <c r="J13" s="968">
        <v>0.36</v>
      </c>
      <c r="K13" s="968">
        <v>0.36</v>
      </c>
      <c r="L13" s="971">
        <v>0.36</v>
      </c>
      <c r="M13" s="971">
        <v>0.36</v>
      </c>
      <c r="N13" s="971">
        <v>0.36</v>
      </c>
      <c r="O13" s="971">
        <v>0.36</v>
      </c>
      <c r="P13" s="971">
        <v>0.35</v>
      </c>
      <c r="Q13" s="971">
        <v>0.35</v>
      </c>
      <c r="R13" s="971">
        <v>0.35</v>
      </c>
      <c r="S13" s="971">
        <v>0.35</v>
      </c>
      <c r="T13" s="971">
        <v>0.35</v>
      </c>
      <c r="V13" s="1029"/>
      <c r="AY13" s="1971" t="s">
        <v>362</v>
      </c>
      <c r="AZ13" s="1973" t="str">
        <f>$AZ$15&amp;"FY"</f>
        <v>0FY</v>
      </c>
      <c r="BA13" s="1966"/>
      <c r="BB13" s="1056"/>
      <c r="BC13" s="1056"/>
      <c r="BD13" s="1056"/>
      <c r="BG13" s="970"/>
      <c r="BH13" s="1032"/>
    </row>
    <row r="14" spans="1:88" ht="7.5" customHeight="1" x14ac:dyDescent="0.2">
      <c r="A14" s="1040"/>
      <c r="C14" s="1049"/>
      <c r="D14" s="1049"/>
      <c r="E14" s="1049"/>
      <c r="F14" s="1049"/>
      <c r="G14" s="1049"/>
      <c r="H14" s="966"/>
      <c r="I14" s="966"/>
      <c r="J14" s="967"/>
      <c r="K14" s="967"/>
      <c r="L14" s="967"/>
      <c r="M14" s="967"/>
      <c r="N14" s="967"/>
      <c r="O14" s="967"/>
      <c r="P14" s="967"/>
      <c r="Q14" s="967"/>
      <c r="R14" s="967"/>
      <c r="S14" s="967"/>
      <c r="T14" s="967"/>
      <c r="V14" s="1029"/>
      <c r="AY14" s="1976"/>
      <c r="AZ14" s="1975"/>
      <c r="BA14" s="1974"/>
      <c r="BG14" s="1066"/>
      <c r="BH14" s="1032"/>
    </row>
    <row r="15" spans="1:88" x14ac:dyDescent="0.2">
      <c r="A15" s="1040"/>
      <c r="B15" s="1026" t="s">
        <v>363</v>
      </c>
      <c r="C15" s="1026" t="s">
        <v>364</v>
      </c>
      <c r="D15" s="1045">
        <f t="shared" ref="D15:T15" si="6">+D6</f>
        <v>2009</v>
      </c>
      <c r="E15" s="1045">
        <f t="shared" si="6"/>
        <v>2010</v>
      </c>
      <c r="F15" s="1045">
        <f t="shared" si="6"/>
        <v>2011</v>
      </c>
      <c r="G15" s="1045">
        <f t="shared" si="6"/>
        <v>2012</v>
      </c>
      <c r="H15" s="1045">
        <f t="shared" si="6"/>
        <v>2013</v>
      </c>
      <c r="I15" s="1045">
        <f t="shared" si="6"/>
        <v>2014</v>
      </c>
      <c r="J15" s="1045">
        <f t="shared" si="6"/>
        <v>2015</v>
      </c>
      <c r="K15" s="1045">
        <f t="shared" si="6"/>
        <v>2016</v>
      </c>
      <c r="L15" s="1045">
        <f t="shared" si="6"/>
        <v>2017</v>
      </c>
      <c r="M15" s="1045">
        <f t="shared" si="6"/>
        <v>2018</v>
      </c>
      <c r="N15" s="1045">
        <f t="shared" si="6"/>
        <v>2019</v>
      </c>
      <c r="O15" s="1045">
        <f t="shared" si="6"/>
        <v>2020</v>
      </c>
      <c r="P15" s="1045">
        <f t="shared" si="6"/>
        <v>2021</v>
      </c>
      <c r="Q15" s="1045">
        <f t="shared" si="6"/>
        <v>2022</v>
      </c>
      <c r="R15" s="1045">
        <f t="shared" si="6"/>
        <v>2023</v>
      </c>
      <c r="S15" s="1045">
        <f t="shared" si="6"/>
        <v>2024</v>
      </c>
      <c r="T15" s="1045">
        <f t="shared" si="6"/>
        <v>2025</v>
      </c>
      <c r="V15" s="1029"/>
      <c r="AY15" s="1971" t="s">
        <v>365</v>
      </c>
      <c r="AZ15" s="1973">
        <f>IF(ISERROR($AZ$18-YEAR($AZ$19)),0,$AZ$18-YEAR($AZ$19))</f>
        <v>0</v>
      </c>
      <c r="BA15" s="1966"/>
      <c r="BB15" s="1056"/>
      <c r="BC15" s="1056"/>
      <c r="BD15" s="1056"/>
      <c r="BG15" s="1067"/>
      <c r="BH15" s="1032"/>
    </row>
    <row r="16" spans="1:88" ht="11.25" customHeight="1" x14ac:dyDescent="0.2">
      <c r="A16" s="1040"/>
      <c r="C16" s="1049"/>
      <c r="D16" s="1049"/>
      <c r="E16" s="1049"/>
      <c r="F16" s="1049"/>
      <c r="G16" s="1049"/>
      <c r="H16" s="1068"/>
      <c r="I16" s="1068"/>
      <c r="J16" s="1069"/>
      <c r="K16" s="1069"/>
      <c r="L16" s="1069"/>
      <c r="M16" s="1069"/>
      <c r="N16" s="1069"/>
      <c r="O16" s="1069"/>
      <c r="P16" s="1069"/>
      <c r="Q16" s="1069"/>
      <c r="R16" s="1069"/>
      <c r="S16" s="1069"/>
      <c r="T16" s="1069"/>
      <c r="V16" s="1029"/>
      <c r="AY16" s="1971" t="s">
        <v>366</v>
      </c>
      <c r="AZ16" s="1972">
        <f>AZ15-7</f>
        <v>-7</v>
      </c>
      <c r="BA16" s="1966"/>
      <c r="BB16" s="1056"/>
      <c r="BC16" s="1056"/>
      <c r="BD16" s="1056"/>
      <c r="BG16" s="1066"/>
      <c r="BH16" s="1032"/>
    </row>
    <row r="17" spans="1:100" ht="15" customHeight="1" x14ac:dyDescent="0.2">
      <c r="A17" s="1040"/>
      <c r="B17" s="1071" t="s">
        <v>367</v>
      </c>
      <c r="C17" s="1072" t="s">
        <v>416</v>
      </c>
      <c r="D17" s="1073"/>
      <c r="E17" s="1073"/>
      <c r="F17" s="1073"/>
      <c r="G17" s="1073"/>
      <c r="H17" s="1069"/>
      <c r="I17" s="1069"/>
      <c r="J17" s="1069"/>
      <c r="K17" s="1069"/>
      <c r="L17" s="1069"/>
      <c r="M17" s="1069"/>
      <c r="N17" s="1069"/>
      <c r="O17" s="1069"/>
      <c r="P17" s="1069"/>
      <c r="Q17" s="1069"/>
      <c r="R17" s="1069"/>
      <c r="S17" s="1069"/>
      <c r="T17" s="1069"/>
      <c r="V17" s="1029"/>
      <c r="AY17" s="1971" t="s">
        <v>368</v>
      </c>
      <c r="AZ17" s="1970">
        <v>12</v>
      </c>
      <c r="BA17" s="1969" t="s">
        <v>827</v>
      </c>
      <c r="BB17" s="1056"/>
      <c r="BC17" s="1075"/>
      <c r="BD17" s="1056"/>
      <c r="BG17" s="1076"/>
      <c r="BH17" s="1032"/>
    </row>
    <row r="18" spans="1:100" ht="10.5" customHeight="1" x14ac:dyDescent="0.2">
      <c r="A18" s="1040"/>
      <c r="C18" s="1049"/>
      <c r="D18" s="1049"/>
      <c r="E18" s="1049"/>
      <c r="F18" s="1049"/>
      <c r="G18" s="1049"/>
      <c r="H18" s="966"/>
      <c r="I18" s="966"/>
      <c r="J18" s="967"/>
      <c r="K18" s="967"/>
      <c r="L18" s="967"/>
      <c r="M18" s="967"/>
      <c r="N18" s="967"/>
      <c r="O18" s="967"/>
      <c r="P18" s="967"/>
      <c r="Q18" s="967"/>
      <c r="R18" s="967"/>
      <c r="S18" s="967"/>
      <c r="T18" s="967"/>
      <c r="V18" s="1029"/>
      <c r="AY18" s="1968" t="s">
        <v>369</v>
      </c>
      <c r="AZ18" s="1967">
        <v>2016</v>
      </c>
      <c r="BA18" s="1966" t="s">
        <v>827</v>
      </c>
      <c r="BG18" s="1066"/>
      <c r="BH18" s="1032"/>
    </row>
    <row r="19" spans="1:100" outlineLevel="1" x14ac:dyDescent="0.2">
      <c r="A19" s="1040"/>
      <c r="C19" s="1028" t="s">
        <v>122</v>
      </c>
      <c r="D19" s="966">
        <v>32</v>
      </c>
      <c r="E19" s="966">
        <v>41</v>
      </c>
      <c r="F19" s="966">
        <v>40</v>
      </c>
      <c r="G19" s="966">
        <v>44</v>
      </c>
      <c r="H19" s="966">
        <v>49</v>
      </c>
      <c r="I19" s="966">
        <v>44</v>
      </c>
      <c r="J19" s="966">
        <v>45</v>
      </c>
      <c r="K19" s="966">
        <v>48</v>
      </c>
      <c r="L19" s="967">
        <f t="shared" ref="L19:T19" si="7">K19+K19*(-(K8-J8))*K9*100</f>
        <v>49.055999999999997</v>
      </c>
      <c r="M19" s="967">
        <f t="shared" si="7"/>
        <v>49.055999999999997</v>
      </c>
      <c r="N19" s="967">
        <f t="shared" si="7"/>
        <v>49.055999999999997</v>
      </c>
      <c r="O19" s="967">
        <f t="shared" si="7"/>
        <v>49.055999999999997</v>
      </c>
      <c r="P19" s="967">
        <f t="shared" si="7"/>
        <v>49.055999999999997</v>
      </c>
      <c r="Q19" s="967">
        <f t="shared" si="7"/>
        <v>49.055999999999997</v>
      </c>
      <c r="R19" s="967">
        <f t="shared" si="7"/>
        <v>49.055999999999997</v>
      </c>
      <c r="S19" s="967">
        <f t="shared" si="7"/>
        <v>49.055999999999997</v>
      </c>
      <c r="T19" s="967">
        <f t="shared" si="7"/>
        <v>49.055999999999997</v>
      </c>
      <c r="V19" s="1029"/>
      <c r="AN19" s="972" t="s">
        <v>370</v>
      </c>
      <c r="AY19" s="1965" t="s">
        <v>371</v>
      </c>
      <c r="AZ19" s="1964">
        <v>42734</v>
      </c>
      <c r="BA19" s="1963" t="str">
        <f>_xll.ThomsonONEAddinShim.SpreadsheetFormulas.TF(Sedol,"TF.FN.FiscalYearEndDate(period=FY0)")</f>
        <v>######</v>
      </c>
      <c r="BB19" s="1047"/>
      <c r="BG19" s="973">
        <f>_xll.ThomsonONEAddinShim.SpreadsheetFormulas.TF(Sedol,$AN19,"dataDir=across",trSdate,trEdate,Currency_ISOcode)</f>
        <v>32</v>
      </c>
      <c r="BH19" s="974">
        <v>41</v>
      </c>
      <c r="BI19" s="1080">
        <v>40</v>
      </c>
      <c r="BJ19" s="1080">
        <v>44</v>
      </c>
      <c r="BK19" s="1080">
        <v>49</v>
      </c>
      <c r="BL19" s="1080">
        <v>44</v>
      </c>
      <c r="BM19" s="1080">
        <v>45</v>
      </c>
      <c r="BN19" s="1080">
        <v>48</v>
      </c>
    </row>
    <row r="20" spans="1:100" outlineLevel="1" x14ac:dyDescent="0.2">
      <c r="A20" s="1040"/>
      <c r="C20" s="1028" t="s">
        <v>124</v>
      </c>
      <c r="D20" s="966">
        <v>2</v>
      </c>
      <c r="E20" s="966">
        <v>0</v>
      </c>
      <c r="F20" s="966">
        <v>0</v>
      </c>
      <c r="G20" s="966">
        <v>0</v>
      </c>
      <c r="H20" s="966">
        <v>0</v>
      </c>
      <c r="I20" s="966">
        <v>0</v>
      </c>
      <c r="J20" s="966">
        <v>0</v>
      </c>
      <c r="K20" s="966">
        <v>0</v>
      </c>
      <c r="L20" s="967">
        <f t="shared" ref="L20:T20" si="8">+K20</f>
        <v>0</v>
      </c>
      <c r="M20" s="967">
        <f t="shared" si="8"/>
        <v>0</v>
      </c>
      <c r="N20" s="967">
        <f t="shared" si="8"/>
        <v>0</v>
      </c>
      <c r="O20" s="967">
        <f t="shared" si="8"/>
        <v>0</v>
      </c>
      <c r="P20" s="967">
        <f t="shared" si="8"/>
        <v>0</v>
      </c>
      <c r="Q20" s="967">
        <f t="shared" si="8"/>
        <v>0</v>
      </c>
      <c r="R20" s="967">
        <f t="shared" si="8"/>
        <v>0</v>
      </c>
      <c r="S20" s="967">
        <f t="shared" si="8"/>
        <v>0</v>
      </c>
      <c r="T20" s="967">
        <f t="shared" si="8"/>
        <v>0</v>
      </c>
      <c r="V20" s="1029"/>
      <c r="AN20" s="975" t="s">
        <v>65</v>
      </c>
      <c r="AY20" s="1959" t="s">
        <v>245</v>
      </c>
      <c r="BG20" s="973">
        <f>_xll.ThomsonONEAddinShim.SpreadsheetFormulas.TF(Sedol,$AN20,"dataDir=across",trSdate,trEdate,Currency_ISOcode)</f>
        <v>2</v>
      </c>
      <c r="BH20" s="976">
        <v>0</v>
      </c>
      <c r="BI20" s="1080">
        <v>0</v>
      </c>
      <c r="BJ20" s="1080">
        <v>0</v>
      </c>
      <c r="BK20" s="1080">
        <v>0</v>
      </c>
      <c r="BL20" s="1080">
        <v>0</v>
      </c>
      <c r="BM20" s="1080">
        <v>0</v>
      </c>
      <c r="BN20" s="1080">
        <v>0</v>
      </c>
    </row>
    <row r="21" spans="1:100" outlineLevel="1" x14ac:dyDescent="0.2">
      <c r="A21" s="1040"/>
      <c r="C21" s="1028" t="s">
        <v>125</v>
      </c>
      <c r="D21" s="966">
        <v>129</v>
      </c>
      <c r="E21" s="966">
        <v>122</v>
      </c>
      <c r="F21" s="966">
        <v>121</v>
      </c>
      <c r="G21" s="966">
        <v>123</v>
      </c>
      <c r="H21" s="966">
        <v>108</v>
      </c>
      <c r="I21" s="966">
        <v>123</v>
      </c>
      <c r="J21" s="966">
        <v>116</v>
      </c>
      <c r="K21" s="966">
        <v>119</v>
      </c>
      <c r="L21" s="967">
        <f t="shared" ref="L21:T21" si="9">+K35*K8</f>
        <v>117.13680000000001</v>
      </c>
      <c r="M21" s="967">
        <f t="shared" si="9"/>
        <v>123.91746624000002</v>
      </c>
      <c r="N21" s="967">
        <f t="shared" si="9"/>
        <v>130.97478366259202</v>
      </c>
      <c r="O21" s="967">
        <f t="shared" si="9"/>
        <v>138.32003963602577</v>
      </c>
      <c r="P21" s="967">
        <f t="shared" si="9"/>
        <v>145.96498205317565</v>
      </c>
      <c r="Q21" s="967">
        <f t="shared" si="9"/>
        <v>153.92183812094521</v>
      </c>
      <c r="R21" s="967">
        <f t="shared" si="9"/>
        <v>162.20333391627977</v>
      </c>
      <c r="S21" s="967">
        <f t="shared" si="9"/>
        <v>170.82271474006399</v>
      </c>
      <c r="T21" s="967">
        <f t="shared" si="9"/>
        <v>179.79376630145859</v>
      </c>
      <c r="V21" s="1029"/>
      <c r="AN21" s="972" t="s">
        <v>38</v>
      </c>
      <c r="AY21" s="1032" t="s">
        <v>245</v>
      </c>
      <c r="AZ21" s="1032">
        <f>MATCH($AY$20,AY21:AY22,0)</f>
        <v>1</v>
      </c>
      <c r="BA21" s="1032"/>
      <c r="BG21" s="973">
        <f>_xll.ThomsonONEAddinShim.SpreadsheetFormulas.TF(Sedol,$AN21,"dataDir=across",trSdate,trEdate,Currency_ISOcode)</f>
        <v>129</v>
      </c>
      <c r="BH21" s="974">
        <v>122</v>
      </c>
      <c r="BI21" s="1080">
        <v>121</v>
      </c>
      <c r="BJ21" s="1080">
        <v>123</v>
      </c>
      <c r="BK21" s="1080">
        <v>108</v>
      </c>
      <c r="BL21" s="1080">
        <v>123</v>
      </c>
      <c r="BM21" s="1080">
        <v>116</v>
      </c>
      <c r="BN21" s="1080">
        <v>119</v>
      </c>
    </row>
    <row r="22" spans="1:100" outlineLevel="1" x14ac:dyDescent="0.2">
      <c r="A22" s="1040"/>
      <c r="C22" s="1028" t="s">
        <v>250</v>
      </c>
      <c r="D22" s="966">
        <v>-154</v>
      </c>
      <c r="E22" s="966">
        <v>-165</v>
      </c>
      <c r="F22" s="966">
        <v>-157</v>
      </c>
      <c r="G22" s="966">
        <v>-166</v>
      </c>
      <c r="H22" s="966">
        <v>-162</v>
      </c>
      <c r="I22" s="966">
        <v>-166</v>
      </c>
      <c r="J22" s="966">
        <v>-162</v>
      </c>
      <c r="K22" s="966">
        <v>-157</v>
      </c>
      <c r="L22" s="967">
        <f t="shared" ref="L22:T22" si="10">-K42*L11</f>
        <v>-177.73000000000002</v>
      </c>
      <c r="M22" s="967">
        <f t="shared" si="10"/>
        <v>-190.17110000000002</v>
      </c>
      <c r="N22" s="967">
        <f t="shared" si="10"/>
        <v>-203.48307700000001</v>
      </c>
      <c r="O22" s="967">
        <f t="shared" si="10"/>
        <v>-217.72689239000002</v>
      </c>
      <c r="P22" s="967">
        <f t="shared" si="10"/>
        <v>-232.96777485730001</v>
      </c>
      <c r="Q22" s="967">
        <f t="shared" si="10"/>
        <v>-249.27551909731102</v>
      </c>
      <c r="R22" s="967">
        <f t="shared" si="10"/>
        <v>-266.7248054341228</v>
      </c>
      <c r="S22" s="967">
        <f t="shared" si="10"/>
        <v>-285.39554181451143</v>
      </c>
      <c r="T22" s="967">
        <f t="shared" si="10"/>
        <v>-305.37322974152721</v>
      </c>
      <c r="V22" s="1029"/>
      <c r="AN22" s="975" t="s">
        <v>39</v>
      </c>
      <c r="AY22" s="1043" t="s">
        <v>339</v>
      </c>
      <c r="AZ22" s="1043"/>
      <c r="BA22" s="1043"/>
      <c r="BB22" s="1043"/>
      <c r="BG22" s="973" t="str">
        <f>_xll.ThomsonONEAddinShim.SpreadsheetFormulas.TF(Sedol,$AN22,"dataDir=across",trSdate,trEdate,Currency_ISOcode)</f>
        <v>(154)</v>
      </c>
      <c r="BH22" s="976">
        <v>-165</v>
      </c>
      <c r="BI22" s="1080">
        <v>-157</v>
      </c>
      <c r="BJ22" s="1080">
        <v>-166</v>
      </c>
      <c r="BK22" s="1080">
        <v>-162</v>
      </c>
      <c r="BL22" s="1080">
        <v>-166</v>
      </c>
      <c r="BM22" s="1080">
        <v>-162</v>
      </c>
      <c r="BN22" s="1080">
        <v>-157</v>
      </c>
    </row>
    <row r="23" spans="1:100" s="1031" customFormat="1" ht="12.75" hidden="1" customHeight="1" outlineLevel="1" x14ac:dyDescent="0.2">
      <c r="A23" s="1040"/>
      <c r="B23" s="1041"/>
      <c r="C23" s="1034" t="s">
        <v>340</v>
      </c>
      <c r="D23" s="1068">
        <f t="shared" ref="D23:K23" si="11">IF(ISNUMBER(D26-SUM(D19:D22)),D26-SUM(D19:D22),0)</f>
        <v>26</v>
      </c>
      <c r="E23" s="1068">
        <f t="shared" si="11"/>
        <v>56</v>
      </c>
      <c r="F23" s="1068">
        <f t="shared" si="11"/>
        <v>69</v>
      </c>
      <c r="G23" s="1068">
        <f t="shared" si="11"/>
        <v>80</v>
      </c>
      <c r="H23" s="1083">
        <f t="shared" si="11"/>
        <v>98</v>
      </c>
      <c r="I23" s="1083">
        <f t="shared" si="11"/>
        <v>83</v>
      </c>
      <c r="J23" s="1083">
        <f t="shared" si="11"/>
        <v>75</v>
      </c>
      <c r="K23" s="1083">
        <f t="shared" si="11"/>
        <v>47</v>
      </c>
      <c r="L23" s="966">
        <f t="shared" ref="L23:T23" si="12">((L32+(-L22-K42*L12)))</f>
        <v>0</v>
      </c>
      <c r="M23" s="966">
        <f t="shared" si="12"/>
        <v>0</v>
      </c>
      <c r="N23" s="966">
        <f t="shared" si="12"/>
        <v>0</v>
      </c>
      <c r="O23" s="966">
        <f t="shared" si="12"/>
        <v>0</v>
      </c>
      <c r="P23" s="966">
        <f t="shared" si="12"/>
        <v>0</v>
      </c>
      <c r="Q23" s="966">
        <f t="shared" si="12"/>
        <v>0</v>
      </c>
      <c r="R23" s="966">
        <f t="shared" si="12"/>
        <v>0</v>
      </c>
      <c r="S23" s="966">
        <f t="shared" si="12"/>
        <v>0</v>
      </c>
      <c r="T23" s="966">
        <f t="shared" si="12"/>
        <v>0</v>
      </c>
      <c r="U23" s="1084"/>
      <c r="V23" s="1085"/>
      <c r="W23" s="1085"/>
      <c r="AB23"/>
      <c r="AC23"/>
      <c r="AD23"/>
      <c r="AE23"/>
      <c r="AF23"/>
      <c r="AG23"/>
      <c r="AN23" s="975"/>
      <c r="AV23" s="1087" t="s">
        <v>341</v>
      </c>
      <c r="BG23" s="1030"/>
      <c r="BH23" s="975"/>
    </row>
    <row r="24" spans="1:100" s="1031" customFormat="1" outlineLevel="1" x14ac:dyDescent="0.2">
      <c r="A24" s="1040"/>
      <c r="B24" s="1041"/>
      <c r="C24" s="1034" t="s">
        <v>342</v>
      </c>
      <c r="D24" s="966">
        <f t="shared" ref="D24:K24" si="13">IF(ISERROR(D26-SUM(D19:D22)),0,D26-SUM(D19:D22))</f>
        <v>26</v>
      </c>
      <c r="E24" s="966">
        <f t="shared" si="13"/>
        <v>56</v>
      </c>
      <c r="F24" s="966">
        <f t="shared" si="13"/>
        <v>69</v>
      </c>
      <c r="G24" s="966">
        <f t="shared" si="13"/>
        <v>80</v>
      </c>
      <c r="H24" s="966">
        <f t="shared" si="13"/>
        <v>98</v>
      </c>
      <c r="I24" s="966">
        <f t="shared" si="13"/>
        <v>83</v>
      </c>
      <c r="J24" s="966">
        <f t="shared" si="13"/>
        <v>75</v>
      </c>
      <c r="K24" s="966">
        <f t="shared" si="13"/>
        <v>47</v>
      </c>
      <c r="L24" s="966">
        <f t="shared" ref="L24:T24" si="14">K24+((K32+(-K22-J42*K12))/K10)</f>
        <v>48.8</v>
      </c>
      <c r="M24" s="966">
        <f t="shared" si="14"/>
        <v>48.8</v>
      </c>
      <c r="N24" s="966">
        <f t="shared" si="14"/>
        <v>48.8</v>
      </c>
      <c r="O24" s="966">
        <f t="shared" si="14"/>
        <v>48.8</v>
      </c>
      <c r="P24" s="966">
        <f t="shared" si="14"/>
        <v>48.8</v>
      </c>
      <c r="Q24" s="966">
        <f t="shared" si="14"/>
        <v>48.8</v>
      </c>
      <c r="R24" s="966">
        <f t="shared" si="14"/>
        <v>48.8</v>
      </c>
      <c r="S24" s="966">
        <f t="shared" si="14"/>
        <v>48.8</v>
      </c>
      <c r="T24" s="966">
        <f t="shared" si="14"/>
        <v>48.8</v>
      </c>
      <c r="U24" s="1028">
        <v>0</v>
      </c>
      <c r="V24" s="1028" t="b">
        <v>0</v>
      </c>
      <c r="AB24"/>
      <c r="AC24"/>
      <c r="AD24"/>
      <c r="AE24"/>
      <c r="AF24"/>
      <c r="AG24"/>
      <c r="AN24" s="975"/>
      <c r="AV24" s="1031" t="s">
        <v>341</v>
      </c>
      <c r="BG24" s="973"/>
      <c r="BH24" s="975"/>
    </row>
    <row r="25" spans="1:100" x14ac:dyDescent="0.2">
      <c r="A25" s="1040"/>
      <c r="C25" s="1088" t="s">
        <v>344</v>
      </c>
      <c r="D25" s="977">
        <f t="shared" ref="D25:T25" si="15">CHOOSE(dropDown,SUM(D19:D22)+D24,SUM(D19:D23))</f>
        <v>35</v>
      </c>
      <c r="E25" s="977">
        <f t="shared" si="15"/>
        <v>54</v>
      </c>
      <c r="F25" s="977">
        <f t="shared" si="15"/>
        <v>73</v>
      </c>
      <c r="G25" s="977">
        <f t="shared" si="15"/>
        <v>81</v>
      </c>
      <c r="H25" s="977">
        <f t="shared" si="15"/>
        <v>93</v>
      </c>
      <c r="I25" s="977">
        <f t="shared" si="15"/>
        <v>84</v>
      </c>
      <c r="J25" s="977">
        <f t="shared" si="15"/>
        <v>74</v>
      </c>
      <c r="K25" s="977">
        <f t="shared" si="15"/>
        <v>57</v>
      </c>
      <c r="L25" s="978">
        <f t="shared" si="15"/>
        <v>37.262799999999984</v>
      </c>
      <c r="M25" s="978">
        <f t="shared" si="15"/>
        <v>31.602366239999995</v>
      </c>
      <c r="N25" s="978">
        <f t="shared" si="15"/>
        <v>25.347706662591989</v>
      </c>
      <c r="O25" s="978">
        <f t="shared" si="15"/>
        <v>18.44914724602576</v>
      </c>
      <c r="P25" s="978">
        <f t="shared" si="15"/>
        <v>10.85320719587564</v>
      </c>
      <c r="Q25" s="978">
        <f t="shared" si="15"/>
        <v>2.5023190236341719</v>
      </c>
      <c r="R25" s="978">
        <f t="shared" si="15"/>
        <v>-6.6654715178430166</v>
      </c>
      <c r="S25" s="978">
        <f t="shared" si="15"/>
        <v>-16.716827074447465</v>
      </c>
      <c r="T25" s="978">
        <f t="shared" si="15"/>
        <v>-27.723463440068613</v>
      </c>
      <c r="V25" s="1029"/>
      <c r="AN25" s="975"/>
      <c r="AV25" s="1086" t="s">
        <v>343</v>
      </c>
      <c r="AW25" s="1069">
        <v>6</v>
      </c>
      <c r="AX25" s="1028" t="str">
        <f>"ISO4217:"&amp;Pension!$AQ$186</f>
        <v>ISO4217:USD</v>
      </c>
      <c r="AY25" s="1028" t="b">
        <v>1</v>
      </c>
      <c r="AZ25" s="1028" t="b">
        <v>0</v>
      </c>
      <c r="BG25" s="979"/>
      <c r="BH25" s="975"/>
    </row>
    <row r="26" spans="1:100" x14ac:dyDescent="0.2">
      <c r="A26" s="1040"/>
      <c r="C26" s="1049"/>
      <c r="D26" s="980">
        <v>35</v>
      </c>
      <c r="E26" s="1089">
        <v>54</v>
      </c>
      <c r="F26" s="1089">
        <v>73</v>
      </c>
      <c r="G26" s="1089">
        <v>81</v>
      </c>
      <c r="H26" s="1090">
        <v>93</v>
      </c>
      <c r="I26" s="980">
        <v>84</v>
      </c>
      <c r="J26" s="981">
        <v>74</v>
      </c>
      <c r="K26" s="981">
        <v>57</v>
      </c>
      <c r="L26" s="981"/>
      <c r="M26" s="981"/>
      <c r="N26" s="981"/>
      <c r="O26" s="981"/>
      <c r="P26" s="981"/>
      <c r="Q26" s="981"/>
      <c r="R26" s="981"/>
      <c r="S26" s="981"/>
      <c r="T26" s="981"/>
      <c r="V26" s="1029"/>
      <c r="AN26" s="975" t="s">
        <v>345</v>
      </c>
      <c r="BG26" s="982">
        <f>_xll.ThomsonONEAddinShim.SpreadsheetFormulas.TF(Sedol,$AN26,"dataDir=across",trSdate,trEdate,Currency_ISOcode)</f>
        <v>35</v>
      </c>
      <c r="BH26" s="976">
        <v>54</v>
      </c>
      <c r="BI26" s="1080">
        <v>73</v>
      </c>
      <c r="BJ26" s="1080">
        <v>81</v>
      </c>
      <c r="BK26" s="1080">
        <v>93</v>
      </c>
      <c r="BL26" s="1080">
        <v>84</v>
      </c>
      <c r="BM26" s="1080">
        <v>74</v>
      </c>
      <c r="BN26" s="1080">
        <v>57</v>
      </c>
      <c r="CC26" s="1091" t="s">
        <v>346</v>
      </c>
      <c r="CD26" s="1029">
        <f>CD38</f>
        <v>2013</v>
      </c>
      <c r="CE26" s="1029">
        <f>CE38</f>
        <v>2014</v>
      </c>
      <c r="CF26" s="1029">
        <f>CF38</f>
        <v>2015</v>
      </c>
      <c r="CG26" s="1029">
        <f>CG38</f>
        <v>2016</v>
      </c>
    </row>
    <row r="27" spans="1:100" x14ac:dyDescent="0.2">
      <c r="A27" s="1040"/>
      <c r="B27" s="1071" t="s">
        <v>54</v>
      </c>
      <c r="C27" s="1072" t="s">
        <v>318</v>
      </c>
      <c r="D27" s="1073"/>
      <c r="E27" s="1073"/>
      <c r="F27" s="1073"/>
      <c r="G27" s="1073"/>
      <c r="H27" s="966"/>
      <c r="I27" s="966"/>
      <c r="J27" s="967"/>
      <c r="K27" s="967"/>
      <c r="L27" s="967"/>
      <c r="M27" s="967"/>
      <c r="N27" s="967"/>
      <c r="O27" s="967"/>
      <c r="P27" s="967"/>
      <c r="Q27" s="967"/>
      <c r="R27" s="967"/>
      <c r="S27" s="967"/>
      <c r="T27" s="967"/>
      <c r="V27" s="1029"/>
      <c r="BG27" s="1076"/>
      <c r="BH27" s="1032"/>
      <c r="CC27" s="1031" t="s">
        <v>100</v>
      </c>
      <c r="CD27" s="1092">
        <v>0.65</v>
      </c>
      <c r="CE27" s="1092">
        <v>0.68</v>
      </c>
      <c r="CF27" s="1092">
        <v>0.7</v>
      </c>
      <c r="CG27" s="1092">
        <v>0.71</v>
      </c>
      <c r="CH27" s="1959">
        <f>_xll.ThomsonONEAddinShim.SpreadsheetFormulas.TF(Sedol,$CV27,"dataDir=across",$BA$12,trEdate)</f>
        <v>0.65</v>
      </c>
      <c r="CI27" s="1962">
        <v>0.68</v>
      </c>
      <c r="CJ27" s="1962">
        <v>0.7</v>
      </c>
      <c r="CK27" s="1962">
        <v>0.71</v>
      </c>
      <c r="CV27" s="983" t="s">
        <v>111</v>
      </c>
    </row>
    <row r="28" spans="1:100" ht="7.5" customHeight="1" x14ac:dyDescent="0.2">
      <c r="A28" s="1040"/>
      <c r="C28" s="1049"/>
      <c r="D28" s="1049"/>
      <c r="E28" s="1049"/>
      <c r="F28" s="1049"/>
      <c r="G28" s="1049"/>
      <c r="H28" s="966"/>
      <c r="I28" s="966"/>
      <c r="J28" s="967"/>
      <c r="K28" s="967"/>
      <c r="L28" s="967"/>
      <c r="M28" s="967"/>
      <c r="N28" s="967"/>
      <c r="O28" s="967"/>
      <c r="P28" s="967"/>
      <c r="Q28" s="967"/>
      <c r="R28" s="967"/>
      <c r="S28" s="967"/>
      <c r="T28" s="967"/>
      <c r="V28" s="1029"/>
      <c r="BG28" s="1066"/>
      <c r="BH28" s="1032"/>
      <c r="CC28" s="1031" t="s">
        <v>101</v>
      </c>
      <c r="CD28" s="1092">
        <v>0.32</v>
      </c>
      <c r="CE28" s="1092">
        <v>0.3</v>
      </c>
      <c r="CF28" s="1092">
        <v>0.28000000000000003</v>
      </c>
      <c r="CG28" s="1092">
        <v>0.26</v>
      </c>
      <c r="CH28" s="1959">
        <f>_xll.ThomsonONEAddinShim.SpreadsheetFormulas.TF(Sedol,$CV28,"dataDir=across",$BA$12,trEdate)</f>
        <v>0.32</v>
      </c>
      <c r="CI28" s="1962">
        <v>0.3</v>
      </c>
      <c r="CJ28" s="1962">
        <v>0.28000000000000003</v>
      </c>
      <c r="CK28" s="1962">
        <v>0.26</v>
      </c>
      <c r="CV28" s="983" t="s">
        <v>112</v>
      </c>
    </row>
    <row r="29" spans="1:100" outlineLevel="1" x14ac:dyDescent="0.2">
      <c r="A29" s="1040"/>
      <c r="C29" s="1028" t="s">
        <v>55</v>
      </c>
      <c r="D29" s="966">
        <v>2062</v>
      </c>
      <c r="E29" s="966">
        <f t="shared" ref="E29:K29" si="16">D35</f>
        <v>2395</v>
      </c>
      <c r="F29" s="966">
        <f t="shared" si="16"/>
        <v>2487</v>
      </c>
      <c r="G29" s="966">
        <f t="shared" si="16"/>
        <v>2668</v>
      </c>
      <c r="H29" s="966">
        <f t="shared" si="16"/>
        <v>2954</v>
      </c>
      <c r="I29" s="966">
        <f t="shared" si="16"/>
        <v>2679</v>
      </c>
      <c r="J29" s="966">
        <f t="shared" si="16"/>
        <v>3002</v>
      </c>
      <c r="K29" s="966">
        <f t="shared" si="16"/>
        <v>2860</v>
      </c>
      <c r="L29" s="966">
        <f t="shared" ref="L29:T29" si="17">+K35</f>
        <v>2871</v>
      </c>
      <c r="M29" s="966">
        <f t="shared" si="17"/>
        <v>3037.1928000000003</v>
      </c>
      <c r="N29" s="966">
        <f t="shared" si="17"/>
        <v>3210.1662662400004</v>
      </c>
      <c r="O29" s="966">
        <f t="shared" si="17"/>
        <v>3390.1970499025924</v>
      </c>
      <c r="P29" s="966">
        <f t="shared" si="17"/>
        <v>3577.5730895386182</v>
      </c>
      <c r="Q29" s="966">
        <f t="shared" si="17"/>
        <v>3772.5940715917941</v>
      </c>
      <c r="R29" s="966">
        <f t="shared" si="17"/>
        <v>3975.5719097127394</v>
      </c>
      <c r="S29" s="966">
        <f t="shared" si="17"/>
        <v>4186.8312436290189</v>
      </c>
      <c r="T29" s="966">
        <f t="shared" si="17"/>
        <v>4406.7099583690824</v>
      </c>
      <c r="V29" s="1029"/>
      <c r="AN29" s="983" t="s">
        <v>56</v>
      </c>
      <c r="BG29" s="973">
        <f>_xll.ThomsonONEAddinShim.SpreadsheetFormulas.TF(Sedol,$AN29,,$AZ$11,Currency_ISOcode)</f>
        <v>2062</v>
      </c>
      <c r="BH29" s="983"/>
      <c r="CC29" s="1031" t="s">
        <v>511</v>
      </c>
      <c r="CD29" s="1092">
        <v>0</v>
      </c>
      <c r="CE29" s="1092">
        <v>0</v>
      </c>
      <c r="CF29" s="1092">
        <v>0</v>
      </c>
      <c r="CG29" s="1092">
        <v>0</v>
      </c>
      <c r="CH29" s="1959" t="str">
        <f>_xll.ThomsonONEAddinShim.SpreadsheetFormulas.TF(Sedol,$CV29,"dataDir=across",$BA$12,trEdate)</f>
        <v>Manual Calculation</v>
      </c>
      <c r="CI29" s="1962">
        <v>0</v>
      </c>
      <c r="CJ29" s="1962">
        <v>0</v>
      </c>
      <c r="CK29" s="1962">
        <v>0</v>
      </c>
      <c r="CV29" s="983" t="s">
        <v>113</v>
      </c>
    </row>
    <row r="30" spans="1:100" outlineLevel="1" x14ac:dyDescent="0.2">
      <c r="A30" s="1040"/>
      <c r="C30" s="1028" t="s">
        <v>122</v>
      </c>
      <c r="D30" s="966">
        <f t="shared" ref="D30:K30" si="18">D19</f>
        <v>32</v>
      </c>
      <c r="E30" s="966">
        <f t="shared" si="18"/>
        <v>41</v>
      </c>
      <c r="F30" s="966">
        <f t="shared" si="18"/>
        <v>40</v>
      </c>
      <c r="G30" s="966">
        <f t="shared" si="18"/>
        <v>44</v>
      </c>
      <c r="H30" s="966">
        <f t="shared" si="18"/>
        <v>49</v>
      </c>
      <c r="I30" s="966">
        <f t="shared" si="18"/>
        <v>44</v>
      </c>
      <c r="J30" s="966">
        <f t="shared" si="18"/>
        <v>45</v>
      </c>
      <c r="K30" s="966">
        <f t="shared" si="18"/>
        <v>48</v>
      </c>
      <c r="L30" s="966">
        <f t="shared" ref="L30:T30" si="19">+L19</f>
        <v>49.055999999999997</v>
      </c>
      <c r="M30" s="966">
        <f t="shared" si="19"/>
        <v>49.055999999999997</v>
      </c>
      <c r="N30" s="966">
        <f t="shared" si="19"/>
        <v>49.055999999999997</v>
      </c>
      <c r="O30" s="966">
        <f t="shared" si="19"/>
        <v>49.055999999999997</v>
      </c>
      <c r="P30" s="966">
        <f t="shared" si="19"/>
        <v>49.055999999999997</v>
      </c>
      <c r="Q30" s="966">
        <f t="shared" si="19"/>
        <v>49.055999999999997</v>
      </c>
      <c r="R30" s="966">
        <f t="shared" si="19"/>
        <v>49.055999999999997</v>
      </c>
      <c r="S30" s="966">
        <f t="shared" si="19"/>
        <v>49.055999999999997</v>
      </c>
      <c r="T30" s="966">
        <f t="shared" si="19"/>
        <v>49.055999999999997</v>
      </c>
      <c r="V30" s="1029"/>
      <c r="BG30" s="973"/>
      <c r="BH30" s="1032"/>
      <c r="CC30" s="1031" t="s">
        <v>512</v>
      </c>
      <c r="CD30" s="1092">
        <v>0.03</v>
      </c>
      <c r="CE30" s="1092">
        <v>0.02</v>
      </c>
      <c r="CF30" s="1092">
        <v>0.02</v>
      </c>
      <c r="CG30" s="1092">
        <v>0.03</v>
      </c>
      <c r="CH30" s="1959">
        <f>_xll.ThomsonONEAddinShim.SpreadsheetFormulas.TF(Sedol,$CV30,"dataDir=across",$BA$12,trEdate)</f>
        <v>0.03</v>
      </c>
      <c r="CI30" s="1962">
        <v>0.02</v>
      </c>
      <c r="CJ30" s="1962">
        <v>0.02</v>
      </c>
      <c r="CK30" s="1962">
        <v>0.03</v>
      </c>
      <c r="CV30" s="983" t="s">
        <v>114</v>
      </c>
    </row>
    <row r="31" spans="1:100" outlineLevel="1" x14ac:dyDescent="0.2">
      <c r="A31" s="1040"/>
      <c r="C31" s="1028" t="s">
        <v>125</v>
      </c>
      <c r="D31" s="966">
        <f t="shared" ref="D31:K31" si="20">D21</f>
        <v>129</v>
      </c>
      <c r="E31" s="966">
        <f t="shared" si="20"/>
        <v>122</v>
      </c>
      <c r="F31" s="966">
        <f t="shared" si="20"/>
        <v>121</v>
      </c>
      <c r="G31" s="966">
        <f t="shared" si="20"/>
        <v>123</v>
      </c>
      <c r="H31" s="966">
        <f t="shared" si="20"/>
        <v>108</v>
      </c>
      <c r="I31" s="966">
        <f t="shared" si="20"/>
        <v>123</v>
      </c>
      <c r="J31" s="966">
        <f t="shared" si="20"/>
        <v>116</v>
      </c>
      <c r="K31" s="966">
        <f t="shared" si="20"/>
        <v>119</v>
      </c>
      <c r="L31" s="966">
        <f t="shared" ref="L31:T31" si="21">+L21</f>
        <v>117.13680000000001</v>
      </c>
      <c r="M31" s="966">
        <f t="shared" si="21"/>
        <v>123.91746624000002</v>
      </c>
      <c r="N31" s="966">
        <f t="shared" si="21"/>
        <v>130.97478366259202</v>
      </c>
      <c r="O31" s="966">
        <f t="shared" si="21"/>
        <v>138.32003963602577</v>
      </c>
      <c r="P31" s="966">
        <f t="shared" si="21"/>
        <v>145.96498205317565</v>
      </c>
      <c r="Q31" s="966">
        <f t="shared" si="21"/>
        <v>153.92183812094521</v>
      </c>
      <c r="R31" s="966">
        <f t="shared" si="21"/>
        <v>162.20333391627977</v>
      </c>
      <c r="S31" s="966">
        <f t="shared" si="21"/>
        <v>170.82271474006399</v>
      </c>
      <c r="T31" s="966">
        <f t="shared" si="21"/>
        <v>179.79376630145859</v>
      </c>
      <c r="V31" s="1029"/>
      <c r="BG31" s="973"/>
      <c r="BH31" s="1032"/>
      <c r="CC31" s="1091" t="s">
        <v>513</v>
      </c>
      <c r="CD31" s="1961">
        <f>SUM(CD27:CD30)</f>
        <v>1</v>
      </c>
      <c r="CE31" s="1961">
        <f>SUM(CE27:CE30)</f>
        <v>1</v>
      </c>
      <c r="CF31" s="1961">
        <f>SUM(CF27:CF30)</f>
        <v>1</v>
      </c>
      <c r="CG31" s="1961">
        <f>SUM(CG27:CG30)</f>
        <v>1</v>
      </c>
      <c r="CH31" s="1961"/>
      <c r="CI31" s="1961"/>
      <c r="CJ31" s="1961"/>
      <c r="CK31" s="1961"/>
    </row>
    <row r="32" spans="1:100" outlineLevel="1" x14ac:dyDescent="0.2">
      <c r="A32" s="1040"/>
      <c r="C32" s="1028" t="s">
        <v>57</v>
      </c>
      <c r="D32" s="984"/>
      <c r="E32" s="984"/>
      <c r="F32" s="984"/>
      <c r="G32" s="984"/>
      <c r="H32" s="984"/>
      <c r="I32" s="984"/>
      <c r="J32" s="984"/>
      <c r="K32" s="985"/>
      <c r="L32" s="966">
        <f>K35*(-(L8-K8))*L9*100</f>
        <v>0</v>
      </c>
      <c r="M32" s="966">
        <f t="shared" ref="M32:T32" si="22">L35*(-(M8-L8))*M9</f>
        <v>0</v>
      </c>
      <c r="N32" s="966">
        <f t="shared" si="22"/>
        <v>0</v>
      </c>
      <c r="O32" s="966">
        <f t="shared" si="22"/>
        <v>0</v>
      </c>
      <c r="P32" s="966">
        <f t="shared" si="22"/>
        <v>0</v>
      </c>
      <c r="Q32" s="966">
        <f t="shared" si="22"/>
        <v>0</v>
      </c>
      <c r="R32" s="966">
        <f t="shared" si="22"/>
        <v>0</v>
      </c>
      <c r="S32" s="966">
        <f t="shared" si="22"/>
        <v>0</v>
      </c>
      <c r="T32" s="966">
        <f t="shared" si="22"/>
        <v>0</v>
      </c>
      <c r="V32" s="1029"/>
      <c r="BG32" s="966"/>
      <c r="BH32" s="1032"/>
      <c r="CH32" s="1093"/>
      <c r="CI32" s="1093"/>
      <c r="CJ32" s="1093"/>
    </row>
    <row r="33" spans="1:103" outlineLevel="1" x14ac:dyDescent="0.2">
      <c r="A33" s="1040"/>
      <c r="C33" s="1028" t="s">
        <v>438</v>
      </c>
      <c r="D33" s="984"/>
      <c r="E33" s="984"/>
      <c r="F33" s="984"/>
      <c r="G33" s="984"/>
      <c r="H33" s="984"/>
      <c r="I33" s="984"/>
      <c r="J33" s="985"/>
      <c r="K33" s="985"/>
      <c r="L33" s="966">
        <f t="shared" ref="L33:T33" si="23">+K33</f>
        <v>0</v>
      </c>
      <c r="M33" s="966">
        <f t="shared" si="23"/>
        <v>0</v>
      </c>
      <c r="N33" s="966">
        <f t="shared" si="23"/>
        <v>0</v>
      </c>
      <c r="O33" s="966">
        <f t="shared" si="23"/>
        <v>0</v>
      </c>
      <c r="P33" s="966">
        <f t="shared" si="23"/>
        <v>0</v>
      </c>
      <c r="Q33" s="966">
        <f t="shared" si="23"/>
        <v>0</v>
      </c>
      <c r="R33" s="966">
        <f t="shared" si="23"/>
        <v>0</v>
      </c>
      <c r="S33" s="966">
        <f t="shared" si="23"/>
        <v>0</v>
      </c>
      <c r="T33" s="966">
        <f t="shared" si="23"/>
        <v>0</v>
      </c>
      <c r="V33" s="1029"/>
      <c r="AR33" s="1031"/>
      <c r="BG33" s="966"/>
      <c r="BH33" s="1032"/>
    </row>
    <row r="34" spans="1:103" outlineLevel="1" x14ac:dyDescent="0.2">
      <c r="A34" s="1040"/>
      <c r="C34" s="1028" t="s">
        <v>405</v>
      </c>
      <c r="D34" s="966">
        <f t="shared" ref="D34:K34" si="24">IF(ISNUMBER(D35-SUM(D29:D33)),D35-SUM(D29:D33),0)</f>
        <v>172</v>
      </c>
      <c r="E34" s="966">
        <f t="shared" si="24"/>
        <v>-71</v>
      </c>
      <c r="F34" s="966">
        <f t="shared" si="24"/>
        <v>20</v>
      </c>
      <c r="G34" s="966">
        <f t="shared" si="24"/>
        <v>119</v>
      </c>
      <c r="H34" s="966">
        <f t="shared" si="24"/>
        <v>-432</v>
      </c>
      <c r="I34" s="966">
        <f t="shared" si="24"/>
        <v>156</v>
      </c>
      <c r="J34" s="966">
        <f t="shared" si="24"/>
        <v>-303</v>
      </c>
      <c r="K34" s="966">
        <f t="shared" si="24"/>
        <v>-156</v>
      </c>
      <c r="L34" s="966">
        <v>0</v>
      </c>
      <c r="M34" s="966">
        <v>0</v>
      </c>
      <c r="N34" s="966">
        <v>0</v>
      </c>
      <c r="O34" s="966">
        <v>0</v>
      </c>
      <c r="P34" s="966">
        <v>0</v>
      </c>
      <c r="Q34" s="966">
        <v>0</v>
      </c>
      <c r="R34" s="966">
        <v>0</v>
      </c>
      <c r="S34" s="966">
        <v>0</v>
      </c>
      <c r="T34" s="966">
        <v>0</v>
      </c>
      <c r="V34" s="1029"/>
      <c r="BG34" s="973"/>
      <c r="BH34" s="1032"/>
    </row>
    <row r="35" spans="1:103" x14ac:dyDescent="0.2">
      <c r="A35" s="1040"/>
      <c r="C35" s="1088" t="s">
        <v>58</v>
      </c>
      <c r="D35" s="977">
        <v>2395</v>
      </c>
      <c r="E35" s="977">
        <v>2487</v>
      </c>
      <c r="F35" s="977">
        <v>2668</v>
      </c>
      <c r="G35" s="977">
        <v>2954</v>
      </c>
      <c r="H35" s="977">
        <v>2679</v>
      </c>
      <c r="I35" s="977">
        <v>3002</v>
      </c>
      <c r="J35" s="977">
        <v>2860</v>
      </c>
      <c r="K35" s="977">
        <v>2871</v>
      </c>
      <c r="L35" s="977">
        <f t="shared" ref="L35:T35" si="25">SUM(L29:L34)</f>
        <v>3037.1928000000003</v>
      </c>
      <c r="M35" s="977">
        <f t="shared" si="25"/>
        <v>3210.1662662400004</v>
      </c>
      <c r="N35" s="977">
        <f t="shared" si="25"/>
        <v>3390.1970499025924</v>
      </c>
      <c r="O35" s="977">
        <f t="shared" si="25"/>
        <v>3577.5730895386182</v>
      </c>
      <c r="P35" s="977">
        <f t="shared" si="25"/>
        <v>3772.5940715917941</v>
      </c>
      <c r="Q35" s="977">
        <f t="shared" si="25"/>
        <v>3975.5719097127394</v>
      </c>
      <c r="R35" s="977">
        <f t="shared" si="25"/>
        <v>4186.8312436290189</v>
      </c>
      <c r="S35" s="977">
        <f t="shared" si="25"/>
        <v>4406.7099583690824</v>
      </c>
      <c r="T35" s="977">
        <f t="shared" si="25"/>
        <v>4635.5597246705402</v>
      </c>
      <c r="U35" s="1078"/>
      <c r="V35" s="1029"/>
      <c r="AN35" s="983" t="s">
        <v>62</v>
      </c>
      <c r="BG35" s="979">
        <f>_xll.ThomsonONEAddinShim.SpreadsheetFormulas.TF(Sedol,$AN35,"dataDir=across",trSdate,trEdate,Currency_ISOcode)</f>
        <v>2395</v>
      </c>
      <c r="BH35" s="986">
        <v>2487</v>
      </c>
      <c r="BI35" s="1080">
        <v>2668</v>
      </c>
      <c r="BJ35" s="1080">
        <v>2954</v>
      </c>
      <c r="BK35" s="1080">
        <v>2679</v>
      </c>
      <c r="BL35" s="1080">
        <v>3002</v>
      </c>
      <c r="BM35" s="1080">
        <v>2860</v>
      </c>
      <c r="BN35" s="1080">
        <v>2871</v>
      </c>
    </row>
    <row r="36" spans="1:103" x14ac:dyDescent="0.2">
      <c r="A36" s="1040"/>
      <c r="C36" s="1049"/>
      <c r="D36" s="1049"/>
      <c r="E36" s="1049"/>
      <c r="F36" s="1049"/>
      <c r="G36" s="1049"/>
      <c r="H36" s="966"/>
      <c r="I36" s="966"/>
      <c r="J36" s="967"/>
      <c r="K36" s="967"/>
      <c r="L36" s="967"/>
      <c r="M36" s="967"/>
      <c r="N36" s="967"/>
      <c r="O36" s="967"/>
      <c r="P36" s="967"/>
      <c r="Q36" s="967"/>
      <c r="R36" s="967"/>
      <c r="S36" s="967"/>
      <c r="T36" s="967"/>
      <c r="V36" s="1029"/>
      <c r="BG36" s="1066"/>
      <c r="BH36" s="1032"/>
    </row>
    <row r="37" spans="1:103" outlineLevel="1" x14ac:dyDescent="0.2">
      <c r="A37" s="1040"/>
      <c r="C37" s="1028" t="s">
        <v>63</v>
      </c>
      <c r="D37" s="966">
        <v>1320</v>
      </c>
      <c r="E37" s="966">
        <f t="shared" ref="E37:K37" si="26">D42</f>
        <v>1781</v>
      </c>
      <c r="F37" s="966">
        <f t="shared" si="26"/>
        <v>1851</v>
      </c>
      <c r="G37" s="966">
        <f t="shared" si="26"/>
        <v>1850</v>
      </c>
      <c r="H37" s="966">
        <f t="shared" si="26"/>
        <v>2294</v>
      </c>
      <c r="I37" s="966">
        <f t="shared" si="26"/>
        <v>2500</v>
      </c>
      <c r="J37" s="966">
        <f t="shared" si="26"/>
        <v>2504</v>
      </c>
      <c r="K37" s="966">
        <f t="shared" si="26"/>
        <v>2309</v>
      </c>
      <c r="L37" s="966">
        <f t="shared" ref="L37:T37" si="27">+K42</f>
        <v>2539</v>
      </c>
      <c r="M37" s="966">
        <f t="shared" si="27"/>
        <v>2716.73</v>
      </c>
      <c r="N37" s="966">
        <f t="shared" si="27"/>
        <v>2906.9011</v>
      </c>
      <c r="O37" s="966">
        <f t="shared" si="27"/>
        <v>3110.3841769999999</v>
      </c>
      <c r="P37" s="966">
        <f t="shared" si="27"/>
        <v>3328.11106939</v>
      </c>
      <c r="Q37" s="966">
        <f t="shared" si="27"/>
        <v>3561.0788442472999</v>
      </c>
      <c r="R37" s="966">
        <f t="shared" si="27"/>
        <v>3810.3543633446111</v>
      </c>
      <c r="S37" s="966">
        <f t="shared" si="27"/>
        <v>4077.0791687787341</v>
      </c>
      <c r="T37" s="966">
        <f t="shared" si="27"/>
        <v>4362.4747105932456</v>
      </c>
      <c r="V37" s="1029"/>
      <c r="AN37" s="983" t="s">
        <v>107</v>
      </c>
      <c r="BG37" s="973">
        <f>_xll.ThomsonONEAddinShim.SpreadsheetFormulas.TF(Sedol,$AN37,,$AZ$11,Currency_ISOcode)</f>
        <v>1320</v>
      </c>
      <c r="BH37" s="983"/>
    </row>
    <row r="38" spans="1:103" outlineLevel="1" x14ac:dyDescent="0.2">
      <c r="A38" s="1040"/>
      <c r="C38" s="1028" t="s">
        <v>64</v>
      </c>
      <c r="D38" s="966">
        <v>349</v>
      </c>
      <c r="E38" s="1094">
        <v>210</v>
      </c>
      <c r="F38" s="1094">
        <v>141</v>
      </c>
      <c r="G38" s="1094">
        <v>-311</v>
      </c>
      <c r="H38" s="1094">
        <v>350</v>
      </c>
      <c r="I38" s="966">
        <v>195</v>
      </c>
      <c r="J38" s="967">
        <v>9</v>
      </c>
      <c r="K38" s="967">
        <v>139</v>
      </c>
      <c r="L38" s="967">
        <f t="shared" ref="L38:T38" si="28">IF(ISERROR(((K42+0.5*L39)*L12)),"",((K42+0.5*L39)*L12))</f>
        <v>177.73000000000002</v>
      </c>
      <c r="M38" s="967">
        <f t="shared" si="28"/>
        <v>190.17110000000002</v>
      </c>
      <c r="N38" s="967">
        <f t="shared" si="28"/>
        <v>203.48307700000001</v>
      </c>
      <c r="O38" s="967">
        <f t="shared" si="28"/>
        <v>217.72689239000002</v>
      </c>
      <c r="P38" s="967">
        <f t="shared" si="28"/>
        <v>232.96777485730001</v>
      </c>
      <c r="Q38" s="967">
        <f t="shared" si="28"/>
        <v>249.27551909731102</v>
      </c>
      <c r="R38" s="967">
        <f t="shared" si="28"/>
        <v>266.7248054341228</v>
      </c>
      <c r="S38" s="967">
        <f t="shared" si="28"/>
        <v>285.39554181451143</v>
      </c>
      <c r="T38" s="967">
        <f t="shared" si="28"/>
        <v>305.37322974152721</v>
      </c>
      <c r="U38" s="1078"/>
      <c r="V38" s="1029"/>
      <c r="AN38" s="983" t="s">
        <v>108</v>
      </c>
      <c r="AR38" s="1031"/>
      <c r="BG38" s="973">
        <f>_xll.ThomsonONEAddinShim.SpreadsheetFormulas.TF(Sedol,$AN38,"dataDir=across",trSdate,trEdate,Currency_ISOcode)</f>
        <v>349</v>
      </c>
      <c r="BH38" s="986">
        <v>210</v>
      </c>
      <c r="BI38" s="1080">
        <v>141</v>
      </c>
      <c r="BJ38" s="1080">
        <v>-311</v>
      </c>
      <c r="BK38" s="1080">
        <v>350</v>
      </c>
      <c r="BL38" s="1080">
        <v>195</v>
      </c>
      <c r="BM38" s="1080">
        <v>9</v>
      </c>
      <c r="BN38" s="1080">
        <v>139</v>
      </c>
      <c r="CC38" s="1091" t="s">
        <v>347</v>
      </c>
      <c r="CD38" s="1960">
        <f t="shared" ref="CD38:CJ38" si="29">H6</f>
        <v>2013</v>
      </c>
      <c r="CE38" s="1960">
        <f t="shared" si="29"/>
        <v>2014</v>
      </c>
      <c r="CF38" s="1960">
        <f t="shared" si="29"/>
        <v>2015</v>
      </c>
      <c r="CG38" s="1960">
        <f t="shared" si="29"/>
        <v>2016</v>
      </c>
      <c r="CH38" s="1960">
        <f t="shared" si="29"/>
        <v>2017</v>
      </c>
      <c r="CI38" s="1960">
        <f t="shared" si="29"/>
        <v>2018</v>
      </c>
      <c r="CJ38" s="1960">
        <f t="shared" si="29"/>
        <v>2019</v>
      </c>
      <c r="CK38" s="1960"/>
      <c r="CL38" s="1960"/>
      <c r="CM38" s="1960"/>
      <c r="CN38" s="1960"/>
      <c r="CO38" s="1960"/>
      <c r="CP38" s="1960"/>
      <c r="CQ38" s="1960"/>
      <c r="CR38" s="1960"/>
      <c r="CS38" s="1960"/>
      <c r="CT38" s="1960"/>
      <c r="CU38" s="1960"/>
      <c r="CV38" s="1960"/>
      <c r="CW38" s="1960"/>
      <c r="CX38" s="1960"/>
      <c r="CY38" s="1960"/>
    </row>
    <row r="39" spans="1:103" outlineLevel="1" x14ac:dyDescent="0.2">
      <c r="A39" s="1040"/>
      <c r="C39" s="1028" t="s">
        <v>348</v>
      </c>
      <c r="D39" s="985"/>
      <c r="E39" s="985"/>
      <c r="F39" s="985"/>
      <c r="G39" s="985"/>
      <c r="H39" s="985"/>
      <c r="I39" s="985"/>
      <c r="J39" s="985"/>
      <c r="K39" s="985">
        <v>83</v>
      </c>
      <c r="L39" s="966"/>
      <c r="M39" s="966"/>
      <c r="N39" s="966"/>
      <c r="O39" s="966"/>
      <c r="P39" s="966"/>
      <c r="Q39" s="966"/>
      <c r="R39" s="966"/>
      <c r="S39" s="966"/>
      <c r="T39" s="966"/>
      <c r="V39" s="1029"/>
      <c r="BG39" s="966"/>
      <c r="BH39" s="1032"/>
      <c r="CD39" s="1097"/>
      <c r="CE39" s="1097"/>
      <c r="CF39" s="1097"/>
      <c r="CG39" s="1097"/>
      <c r="CH39" s="1097"/>
      <c r="CI39" s="1097"/>
      <c r="CJ39" s="1097"/>
      <c r="CK39" s="1097"/>
    </row>
    <row r="40" spans="1:103" outlineLevel="1" x14ac:dyDescent="0.2">
      <c r="A40" s="1040"/>
      <c r="C40" s="1028" t="s">
        <v>438</v>
      </c>
      <c r="D40" s="966">
        <f t="shared" ref="D40:T40" si="30">D33</f>
        <v>0</v>
      </c>
      <c r="E40" s="966">
        <f t="shared" si="30"/>
        <v>0</v>
      </c>
      <c r="F40" s="966">
        <f t="shared" si="30"/>
        <v>0</v>
      </c>
      <c r="G40" s="966">
        <f t="shared" si="30"/>
        <v>0</v>
      </c>
      <c r="H40" s="966">
        <f t="shared" si="30"/>
        <v>0</v>
      </c>
      <c r="I40" s="966">
        <f t="shared" si="30"/>
        <v>0</v>
      </c>
      <c r="J40" s="966">
        <f t="shared" si="30"/>
        <v>0</v>
      </c>
      <c r="K40" s="966">
        <f t="shared" si="30"/>
        <v>0</v>
      </c>
      <c r="L40" s="966">
        <f t="shared" si="30"/>
        <v>0</v>
      </c>
      <c r="M40" s="966">
        <f t="shared" si="30"/>
        <v>0</v>
      </c>
      <c r="N40" s="966">
        <f t="shared" si="30"/>
        <v>0</v>
      </c>
      <c r="O40" s="966">
        <f t="shared" si="30"/>
        <v>0</v>
      </c>
      <c r="P40" s="966">
        <f t="shared" si="30"/>
        <v>0</v>
      </c>
      <c r="Q40" s="966">
        <f t="shared" si="30"/>
        <v>0</v>
      </c>
      <c r="R40" s="966">
        <f t="shared" si="30"/>
        <v>0</v>
      </c>
      <c r="S40" s="966">
        <f t="shared" si="30"/>
        <v>0</v>
      </c>
      <c r="T40" s="966">
        <f t="shared" si="30"/>
        <v>0</v>
      </c>
      <c r="V40" s="1029"/>
      <c r="AR40" s="1031"/>
      <c r="BG40" s="973"/>
      <c r="BH40" s="1032"/>
      <c r="CB40" s="1959"/>
      <c r="CC40" s="1029" t="s">
        <v>349</v>
      </c>
      <c r="CD40" s="987">
        <v>29163.3977480576</v>
      </c>
      <c r="CE40" s="987">
        <v>36063.239472810885</v>
      </c>
      <c r="CF40" s="987">
        <v>25299.8146351656</v>
      </c>
      <c r="CG40" s="987">
        <v>33654.221736173284</v>
      </c>
      <c r="CH40" s="987">
        <v>50273.639082927679</v>
      </c>
      <c r="CI40" s="987">
        <v>50273.639082927679</v>
      </c>
      <c r="CJ40" s="987">
        <v>50273.639082927679</v>
      </c>
      <c r="CK40" s="987"/>
      <c r="CL40" s="987"/>
      <c r="CM40" s="987"/>
      <c r="CN40" s="987"/>
      <c r="CO40" s="987"/>
      <c r="CP40" s="987"/>
      <c r="CQ40" s="987"/>
      <c r="CR40" s="987"/>
      <c r="CS40" s="987"/>
      <c r="CT40" s="987"/>
      <c r="CU40" s="987"/>
      <c r="CV40" s="987"/>
      <c r="CW40" s="987"/>
      <c r="CX40" s="987"/>
      <c r="CY40" s="987"/>
    </row>
    <row r="41" spans="1:103" outlineLevel="1" x14ac:dyDescent="0.2">
      <c r="A41" s="1040"/>
      <c r="C41" s="1028" t="s">
        <v>104</v>
      </c>
      <c r="D41" s="966">
        <f t="shared" ref="D41:K41" si="31">IF(ISNUMBER(D42-SUM(D37:D40)),D42-SUM(D37:D40),0)</f>
        <v>112</v>
      </c>
      <c r="E41" s="966">
        <f t="shared" si="31"/>
        <v>-140</v>
      </c>
      <c r="F41" s="966">
        <f t="shared" si="31"/>
        <v>-142</v>
      </c>
      <c r="G41" s="966">
        <f t="shared" si="31"/>
        <v>755</v>
      </c>
      <c r="H41" s="966">
        <f t="shared" si="31"/>
        <v>-144</v>
      </c>
      <c r="I41" s="966">
        <f t="shared" si="31"/>
        <v>-191</v>
      </c>
      <c r="J41" s="966">
        <f t="shared" si="31"/>
        <v>-204</v>
      </c>
      <c r="K41" s="966">
        <f t="shared" si="31"/>
        <v>8</v>
      </c>
      <c r="L41" s="966">
        <v>0</v>
      </c>
      <c r="M41" s="966">
        <v>0</v>
      </c>
      <c r="N41" s="966">
        <v>0</v>
      </c>
      <c r="O41" s="966">
        <v>0</v>
      </c>
      <c r="P41" s="966">
        <v>0</v>
      </c>
      <c r="Q41" s="966">
        <v>0</v>
      </c>
      <c r="R41" s="966">
        <v>0</v>
      </c>
      <c r="S41" s="966">
        <v>0</v>
      </c>
      <c r="T41" s="966">
        <v>0</v>
      </c>
      <c r="V41" s="1029"/>
      <c r="BG41" s="966"/>
      <c r="BH41" s="1032"/>
      <c r="CC41" s="1029" t="s">
        <v>350</v>
      </c>
      <c r="CD41" s="987">
        <f t="shared" ref="CD41:CJ41" si="32">H44</f>
        <v>179</v>
      </c>
      <c r="CE41" s="987">
        <f t="shared" si="32"/>
        <v>498</v>
      </c>
      <c r="CF41" s="987">
        <f t="shared" si="32"/>
        <v>551</v>
      </c>
      <c r="CG41" s="987">
        <f t="shared" si="32"/>
        <v>332</v>
      </c>
      <c r="CH41" s="987">
        <f t="shared" si="32"/>
        <v>320.46280000000024</v>
      </c>
      <c r="CI41" s="987">
        <f t="shared" si="32"/>
        <v>303.26516624000033</v>
      </c>
      <c r="CJ41" s="987">
        <f t="shared" si="32"/>
        <v>279.81287290259252</v>
      </c>
      <c r="CK41" s="987"/>
      <c r="CL41" s="987"/>
      <c r="CM41" s="987"/>
      <c r="CN41" s="987"/>
      <c r="CO41" s="987"/>
      <c r="CP41" s="987"/>
      <c r="CQ41" s="987"/>
      <c r="CR41" s="987"/>
      <c r="CS41" s="987"/>
      <c r="CT41" s="987"/>
      <c r="CU41" s="987"/>
      <c r="CV41" s="987"/>
      <c r="CW41" s="987"/>
      <c r="CX41" s="987"/>
      <c r="CY41" s="987"/>
    </row>
    <row r="42" spans="1:103" x14ac:dyDescent="0.2">
      <c r="A42" s="1040"/>
      <c r="C42" s="1088" t="s">
        <v>351</v>
      </c>
      <c r="D42" s="977">
        <v>1781</v>
      </c>
      <c r="E42" s="977">
        <v>1851</v>
      </c>
      <c r="F42" s="977">
        <v>1850</v>
      </c>
      <c r="G42" s="977">
        <v>2294</v>
      </c>
      <c r="H42" s="977">
        <v>2500</v>
      </c>
      <c r="I42" s="977">
        <v>2504</v>
      </c>
      <c r="J42" s="977">
        <v>2309</v>
      </c>
      <c r="K42" s="977">
        <v>2539</v>
      </c>
      <c r="L42" s="977">
        <f t="shared" ref="L42:T42" si="33">SUM(L37:L41)</f>
        <v>2716.73</v>
      </c>
      <c r="M42" s="977">
        <f t="shared" si="33"/>
        <v>2906.9011</v>
      </c>
      <c r="N42" s="977">
        <f t="shared" si="33"/>
        <v>3110.3841769999999</v>
      </c>
      <c r="O42" s="977">
        <f t="shared" si="33"/>
        <v>3328.11106939</v>
      </c>
      <c r="P42" s="977">
        <f t="shared" si="33"/>
        <v>3561.0788442472999</v>
      </c>
      <c r="Q42" s="977">
        <f t="shared" si="33"/>
        <v>3810.3543633446111</v>
      </c>
      <c r="R42" s="977">
        <f t="shared" si="33"/>
        <v>4077.0791687787341</v>
      </c>
      <c r="S42" s="977">
        <f t="shared" si="33"/>
        <v>4362.4747105932456</v>
      </c>
      <c r="T42" s="977">
        <f t="shared" si="33"/>
        <v>4667.8479403347728</v>
      </c>
      <c r="U42" s="1078"/>
      <c r="V42" s="1029"/>
      <c r="AN42" s="983" t="s">
        <v>109</v>
      </c>
      <c r="BG42" s="977">
        <f>_xll.ThomsonONEAddinShim.SpreadsheetFormulas.TF(Sedol,$AN42,"dataDir=across",trSdate,trEdate,Currency_ISOcode)</f>
        <v>1781</v>
      </c>
      <c r="BH42" s="986">
        <v>1851</v>
      </c>
      <c r="BI42" s="1080">
        <v>1850</v>
      </c>
      <c r="BJ42" s="1080">
        <v>2294</v>
      </c>
      <c r="BK42" s="1080">
        <v>2500</v>
      </c>
      <c r="BL42" s="1080">
        <v>2504</v>
      </c>
      <c r="BM42" s="1080">
        <v>2309</v>
      </c>
      <c r="BN42" s="1080">
        <v>2539</v>
      </c>
      <c r="CC42" s="1029" t="s">
        <v>352</v>
      </c>
      <c r="CD42" s="988">
        <f t="shared" ref="CD42:CJ42" si="34">IF(ISNUMBER(CD41/CD40),CD41/CD40,NA())</f>
        <v>6.1378307680874438E-3</v>
      </c>
      <c r="CE42" s="988">
        <f t="shared" si="34"/>
        <v>1.3809075592764109E-2</v>
      </c>
      <c r="CF42" s="988">
        <f t="shared" si="34"/>
        <v>2.1778815692749576E-2</v>
      </c>
      <c r="CG42" s="988">
        <f t="shared" si="34"/>
        <v>9.8650327617931331E-3</v>
      </c>
      <c r="CH42" s="988">
        <f t="shared" si="34"/>
        <v>6.374370462249381E-3</v>
      </c>
      <c r="CI42" s="988">
        <f t="shared" si="34"/>
        <v>6.0322899191712883E-3</v>
      </c>
      <c r="CJ42" s="988">
        <f t="shared" si="34"/>
        <v>5.5657970659540659E-3</v>
      </c>
      <c r="CK42" s="988"/>
      <c r="CL42" s="988"/>
      <c r="CM42" s="988"/>
      <c r="CN42" s="988"/>
      <c r="CO42" s="988"/>
      <c r="CP42" s="988"/>
      <c r="CQ42" s="988"/>
      <c r="CR42" s="988"/>
      <c r="CS42" s="988"/>
      <c r="CT42" s="988"/>
      <c r="CU42" s="988"/>
      <c r="CV42" s="988"/>
      <c r="CW42" s="988"/>
      <c r="CX42" s="988"/>
      <c r="CY42" s="988"/>
    </row>
    <row r="43" spans="1:103" x14ac:dyDescent="0.2">
      <c r="A43" s="1040"/>
      <c r="C43" s="1049"/>
      <c r="D43" s="1049"/>
      <c r="E43" s="1049"/>
      <c r="F43" s="1049"/>
      <c r="G43" s="1049"/>
      <c r="H43" s="966"/>
      <c r="I43" s="966"/>
      <c r="J43" s="967"/>
      <c r="K43" s="967"/>
      <c r="L43" s="967"/>
      <c r="M43" s="967"/>
      <c r="N43" s="967"/>
      <c r="O43" s="967"/>
      <c r="P43" s="967"/>
      <c r="Q43" s="967"/>
      <c r="R43" s="967"/>
      <c r="S43" s="967"/>
      <c r="T43" s="967"/>
      <c r="V43" s="1029"/>
      <c r="BG43" s="1066"/>
      <c r="BH43" s="1032"/>
      <c r="CC43" s="1029" t="s">
        <v>353</v>
      </c>
      <c r="CD43" s="988">
        <f t="shared" ref="CD43:CJ43" si="35">IF(ISNUMBER(H45),H45,NA())</f>
        <v>0.93318402388951105</v>
      </c>
      <c r="CE43" s="988">
        <f t="shared" si="35"/>
        <v>0.83411059293804135</v>
      </c>
      <c r="CF43" s="988">
        <f t="shared" si="35"/>
        <v>0.80734265734265731</v>
      </c>
      <c r="CG43" s="988">
        <f t="shared" si="35"/>
        <v>0.88436084987809127</v>
      </c>
      <c r="CH43" s="988">
        <f t="shared" si="35"/>
        <v>0.89448717249691878</v>
      </c>
      <c r="CI43" s="988">
        <f t="shared" si="35"/>
        <v>0.90552976354236991</v>
      </c>
      <c r="CJ43" s="988">
        <f t="shared" si="35"/>
        <v>0.91746412707466896</v>
      </c>
      <c r="CK43" s="988"/>
      <c r="CL43" s="988"/>
      <c r="CM43" s="988"/>
      <c r="CN43" s="988"/>
      <c r="CO43" s="988"/>
      <c r="CP43" s="988"/>
      <c r="CQ43" s="988"/>
      <c r="CR43" s="988"/>
      <c r="CS43" s="988"/>
      <c r="CT43" s="988"/>
      <c r="CU43" s="988"/>
      <c r="CV43" s="988"/>
      <c r="CW43" s="988"/>
      <c r="CX43" s="988"/>
      <c r="CY43" s="988"/>
    </row>
    <row r="44" spans="1:103" x14ac:dyDescent="0.2">
      <c r="A44" s="1040"/>
      <c r="C44" s="1088" t="s">
        <v>350</v>
      </c>
      <c r="D44" s="977">
        <f t="shared" ref="D44:T44" si="36">IF(ISERROR(D35-D42),0,D35-D42)</f>
        <v>614</v>
      </c>
      <c r="E44" s="977">
        <f t="shared" si="36"/>
        <v>636</v>
      </c>
      <c r="F44" s="977">
        <f t="shared" si="36"/>
        <v>818</v>
      </c>
      <c r="G44" s="977">
        <f t="shared" si="36"/>
        <v>660</v>
      </c>
      <c r="H44" s="977">
        <f t="shared" si="36"/>
        <v>179</v>
      </c>
      <c r="I44" s="977">
        <f t="shared" si="36"/>
        <v>498</v>
      </c>
      <c r="J44" s="977">
        <f t="shared" si="36"/>
        <v>551</v>
      </c>
      <c r="K44" s="977">
        <f t="shared" si="36"/>
        <v>332</v>
      </c>
      <c r="L44" s="977">
        <f t="shared" si="36"/>
        <v>320.46280000000024</v>
      </c>
      <c r="M44" s="977">
        <f t="shared" si="36"/>
        <v>303.26516624000033</v>
      </c>
      <c r="N44" s="977">
        <f t="shared" si="36"/>
        <v>279.81287290259252</v>
      </c>
      <c r="O44" s="977">
        <f t="shared" si="36"/>
        <v>249.46202014861819</v>
      </c>
      <c r="P44" s="977">
        <f t="shared" si="36"/>
        <v>211.51522734449418</v>
      </c>
      <c r="Q44" s="977">
        <f t="shared" si="36"/>
        <v>165.2175463681283</v>
      </c>
      <c r="R44" s="977">
        <f t="shared" si="36"/>
        <v>109.75207485028477</v>
      </c>
      <c r="S44" s="977">
        <f t="shared" si="36"/>
        <v>44.235247775836797</v>
      </c>
      <c r="T44" s="977">
        <f t="shared" si="36"/>
        <v>-32.288215664232666</v>
      </c>
      <c r="V44" s="1029"/>
      <c r="BG44" s="977"/>
      <c r="BH44" s="1032"/>
      <c r="CD44" s="989">
        <f>_xll.ThomsonONEAddinShim.SpreadsheetFormulas.TF($H$3,"TF.PR.MarketCap(sdate=#1,curn=#2,scale=6)",,CD$38,$AQ$184)</f>
        <v>29163</v>
      </c>
      <c r="CE44" s="989">
        <f>_xll.ThomsonONEAddinShim.SpreadsheetFormulas.TF($H$3,"TF.PR.MarketCap(sdate=#1,curn=#2,scale=6)",,CE$38,$AQ$184)</f>
        <v>36063</v>
      </c>
      <c r="CF44" s="989">
        <f>_xll.ThomsonONEAddinShim.SpreadsheetFormulas.TF($H$3,"TF.PR.MarketCap(sdate=#1,curn=#2,scale=6)",,CF$38,$AQ$184)</f>
        <v>25300</v>
      </c>
      <c r="CG44" s="989">
        <f>_xll.ThomsonONEAddinShim.SpreadsheetFormulas.TF($H$3,"TF.PR.MarketCap(sdate=#1,curn=#2,scale=6)",,CG$38,$AQ$184)</f>
        <v>33654</v>
      </c>
      <c r="CH44" s="989">
        <f>_xll.ThomsonONEAddinShim.SpreadsheetFormulas.TF($H$3,"TF.PR.MarketCap(sdate=#1,curn=#2,scale=6)",,CH$38,$AQ$184)</f>
        <v>48259</v>
      </c>
      <c r="CI44" s="989">
        <f>_xll.ThomsonONEAddinShim.SpreadsheetFormulas.TF($H$3,"TF.PR.MarketCap(sdate=#1,curn=#2,scale=6)",,CI$38,$AQ$184)</f>
        <v>48259</v>
      </c>
      <c r="CJ44" s="989">
        <f>_xll.ThomsonONEAddinShim.SpreadsheetFormulas.TF($H$3,"TF.PR.MarketCap(sdate=#1,curn=#2,scale=6)",,CJ$38,$AQ$184)</f>
        <v>48259</v>
      </c>
    </row>
    <row r="45" spans="1:103" x14ac:dyDescent="0.2">
      <c r="A45" s="1040"/>
      <c r="C45" s="1088" t="s">
        <v>249</v>
      </c>
      <c r="D45" s="990">
        <f t="shared" ref="D45:T45" si="37">IF(ISERROR(D42/D35),"NA",D42/D35)</f>
        <v>0.7436325678496869</v>
      </c>
      <c r="E45" s="990">
        <f t="shared" si="37"/>
        <v>0.744270205066345</v>
      </c>
      <c r="F45" s="990">
        <f t="shared" si="37"/>
        <v>0.69340329835082459</v>
      </c>
      <c r="G45" s="990">
        <f t="shared" si="37"/>
        <v>0.77657413676371023</v>
      </c>
      <c r="H45" s="990">
        <f t="shared" si="37"/>
        <v>0.93318402388951105</v>
      </c>
      <c r="I45" s="990">
        <f t="shared" si="37"/>
        <v>0.83411059293804135</v>
      </c>
      <c r="J45" s="990">
        <f t="shared" si="37"/>
        <v>0.80734265734265731</v>
      </c>
      <c r="K45" s="990">
        <f t="shared" si="37"/>
        <v>0.88436084987809127</v>
      </c>
      <c r="L45" s="990">
        <f t="shared" si="37"/>
        <v>0.89448717249691878</v>
      </c>
      <c r="M45" s="990">
        <f t="shared" si="37"/>
        <v>0.90552976354236991</v>
      </c>
      <c r="N45" s="990">
        <f t="shared" si="37"/>
        <v>0.91746412707466896</v>
      </c>
      <c r="O45" s="990">
        <f t="shared" si="37"/>
        <v>0.93027060135316764</v>
      </c>
      <c r="P45" s="990">
        <f t="shared" si="37"/>
        <v>0.94393374337906222</v>
      </c>
      <c r="Q45" s="990">
        <f t="shared" si="37"/>
        <v>0.95844181664417027</v>
      </c>
      <c r="R45" s="990">
        <f t="shared" si="37"/>
        <v>0.97378636289263121</v>
      </c>
      <c r="S45" s="990">
        <f t="shared" si="37"/>
        <v>0.9899618426913197</v>
      </c>
      <c r="T45" s="990">
        <f t="shared" si="37"/>
        <v>1.0069653326851544</v>
      </c>
      <c r="V45" s="1029"/>
      <c r="BG45" s="991"/>
      <c r="BH45" s="1032"/>
      <c r="CD45" s="992"/>
      <c r="CE45" s="992"/>
      <c r="CF45" s="992"/>
      <c r="CG45" s="992"/>
      <c r="CH45" s="992"/>
      <c r="CI45" s="992"/>
      <c r="CJ45" s="992"/>
    </row>
    <row r="46" spans="1:103" ht="12.75" customHeight="1" x14ac:dyDescent="0.2">
      <c r="A46" s="1040"/>
      <c r="C46" s="1049"/>
      <c r="D46" s="1049"/>
      <c r="E46" s="1049"/>
      <c r="F46" s="1049"/>
      <c r="G46" s="1049"/>
      <c r="H46" s="993"/>
      <c r="I46" s="993"/>
      <c r="J46" s="993"/>
      <c r="K46" s="993"/>
      <c r="L46" s="993"/>
      <c r="M46" s="993"/>
      <c r="N46" s="993"/>
      <c r="O46" s="993"/>
      <c r="P46" s="993"/>
      <c r="Q46" s="993"/>
      <c r="R46" s="993"/>
      <c r="S46" s="993"/>
      <c r="T46" s="993"/>
      <c r="V46" s="1029"/>
      <c r="BG46" s="1066"/>
      <c r="BH46" s="1032"/>
    </row>
    <row r="47" spans="1:103" x14ac:dyDescent="0.2">
      <c r="A47" s="1040"/>
      <c r="C47" s="1088" t="s">
        <v>354</v>
      </c>
      <c r="D47" s="977">
        <f>IF(ISERROR(D44*D13),0,D44*D13)</f>
        <v>214.89999999999998</v>
      </c>
      <c r="E47" s="977">
        <f t="shared" ref="E47:T47" si="38">+D47+(E44-D44)*E13</f>
        <v>222.81999999999996</v>
      </c>
      <c r="F47" s="977">
        <f t="shared" si="38"/>
        <v>288.33999999999997</v>
      </c>
      <c r="G47" s="977">
        <f t="shared" si="38"/>
        <v>231.45999999999998</v>
      </c>
      <c r="H47" s="977">
        <f t="shared" si="38"/>
        <v>58.299999999999983</v>
      </c>
      <c r="I47" s="977">
        <f t="shared" si="38"/>
        <v>173.14</v>
      </c>
      <c r="J47" s="977">
        <f t="shared" si="38"/>
        <v>192.21999999999997</v>
      </c>
      <c r="K47" s="977">
        <f t="shared" si="38"/>
        <v>113.37999999999997</v>
      </c>
      <c r="L47" s="977">
        <f t="shared" si="38"/>
        <v>109.22660800000006</v>
      </c>
      <c r="M47" s="977">
        <f t="shared" si="38"/>
        <v>103.03545984640009</v>
      </c>
      <c r="N47" s="977">
        <f t="shared" si="38"/>
        <v>94.592634244933279</v>
      </c>
      <c r="O47" s="977">
        <f t="shared" si="38"/>
        <v>83.666327253502516</v>
      </c>
      <c r="P47" s="977">
        <f t="shared" si="38"/>
        <v>70.384949772059116</v>
      </c>
      <c r="Q47" s="977">
        <f t="shared" si="38"/>
        <v>54.18076143033106</v>
      </c>
      <c r="R47" s="977">
        <f t="shared" si="38"/>
        <v>34.767846399085826</v>
      </c>
      <c r="S47" s="977">
        <f t="shared" si="38"/>
        <v>11.836956923029035</v>
      </c>
      <c r="T47" s="977">
        <f t="shared" si="38"/>
        <v>-14.946255280995274</v>
      </c>
      <c r="V47" s="1029"/>
      <c r="BG47" s="977"/>
      <c r="BH47" s="1032"/>
    </row>
    <row r="48" spans="1:103" x14ac:dyDescent="0.2">
      <c r="A48" s="1040"/>
      <c r="C48" s="1049"/>
      <c r="D48" s="1049"/>
      <c r="E48" s="1049"/>
      <c r="F48" s="1049"/>
      <c r="G48" s="1049"/>
      <c r="H48" s="1098"/>
      <c r="I48" s="1098"/>
      <c r="J48" s="1094"/>
      <c r="K48" s="1094"/>
      <c r="L48" s="1094"/>
      <c r="M48" s="1094"/>
      <c r="N48" s="1094"/>
      <c r="O48" s="1094"/>
      <c r="P48" s="1094"/>
      <c r="Q48" s="1094"/>
      <c r="R48" s="1094"/>
      <c r="S48" s="1094"/>
      <c r="T48" s="1094"/>
      <c r="V48" s="1029"/>
      <c r="BG48" s="1066"/>
      <c r="BH48" s="1032"/>
    </row>
    <row r="49" spans="1:60" x14ac:dyDescent="0.2">
      <c r="A49" s="1040"/>
      <c r="B49" s="1071" t="s">
        <v>355</v>
      </c>
      <c r="C49" s="1072" t="s">
        <v>459</v>
      </c>
      <c r="D49" s="1073"/>
      <c r="E49" s="1073"/>
      <c r="F49" s="1073"/>
      <c r="G49" s="1073"/>
      <c r="H49" s="1098"/>
      <c r="I49" s="1098"/>
      <c r="J49" s="1094"/>
      <c r="K49" s="1094"/>
      <c r="L49" s="1094"/>
      <c r="M49" s="1094"/>
      <c r="N49" s="1094"/>
      <c r="O49" s="1094"/>
      <c r="P49" s="1094"/>
      <c r="Q49" s="1094"/>
      <c r="R49" s="1094"/>
      <c r="S49" s="1094"/>
      <c r="T49" s="1094"/>
      <c r="V49" s="1029"/>
      <c r="BG49" s="1076"/>
      <c r="BH49" s="1032"/>
    </row>
    <row r="50" spans="1:60" ht="7.5" customHeight="1" x14ac:dyDescent="0.2">
      <c r="A50" s="1040"/>
      <c r="C50" s="1049"/>
      <c r="D50" s="1049"/>
      <c r="E50" s="1049"/>
      <c r="F50" s="1049"/>
      <c r="G50" s="1049"/>
      <c r="H50" s="1098"/>
      <c r="I50" s="1098"/>
      <c r="J50" s="1094"/>
      <c r="K50" s="1094"/>
      <c r="L50" s="1094"/>
      <c r="M50" s="1094"/>
      <c r="N50" s="1094"/>
      <c r="O50" s="1094"/>
      <c r="P50" s="1094"/>
      <c r="Q50" s="1094"/>
      <c r="R50" s="1094"/>
      <c r="S50" s="1094"/>
      <c r="T50" s="1094"/>
      <c r="V50" s="1029"/>
      <c r="BG50" s="1066"/>
      <c r="BH50" s="1032"/>
    </row>
    <row r="51" spans="1:60" x14ac:dyDescent="0.2">
      <c r="A51" s="1040"/>
      <c r="C51" s="1088" t="s">
        <v>356</v>
      </c>
      <c r="D51" s="1099">
        <f t="shared" ref="D51:T51" si="39">+D25*(1-D13)</f>
        <v>22.75</v>
      </c>
      <c r="E51" s="1099">
        <f t="shared" si="39"/>
        <v>34.56</v>
      </c>
      <c r="F51" s="1099">
        <f t="shared" si="39"/>
        <v>46.72</v>
      </c>
      <c r="G51" s="1099">
        <f t="shared" si="39"/>
        <v>51.84</v>
      </c>
      <c r="H51" s="1099">
        <f t="shared" si="39"/>
        <v>59.52</v>
      </c>
      <c r="I51" s="1099">
        <f t="shared" si="39"/>
        <v>53.76</v>
      </c>
      <c r="J51" s="1099">
        <f t="shared" si="39"/>
        <v>47.36</v>
      </c>
      <c r="K51" s="1099">
        <f t="shared" si="39"/>
        <v>36.480000000000004</v>
      </c>
      <c r="L51" s="1099">
        <f t="shared" si="39"/>
        <v>23.84819199999999</v>
      </c>
      <c r="M51" s="1099">
        <f t="shared" si="39"/>
        <v>20.225514393599997</v>
      </c>
      <c r="N51" s="1099">
        <f t="shared" si="39"/>
        <v>16.222532264058874</v>
      </c>
      <c r="O51" s="1099">
        <f t="shared" si="39"/>
        <v>11.807454237456486</v>
      </c>
      <c r="P51" s="1099">
        <f t="shared" si="39"/>
        <v>7.0545846773191663</v>
      </c>
      <c r="Q51" s="1099">
        <f t="shared" si="39"/>
        <v>1.6265073653622117</v>
      </c>
      <c r="R51" s="1099">
        <f t="shared" si="39"/>
        <v>-4.3325564865979613</v>
      </c>
      <c r="S51" s="1099">
        <f t="shared" si="39"/>
        <v>-10.865937598390852</v>
      </c>
      <c r="T51" s="1099">
        <f t="shared" si="39"/>
        <v>-18.020251236044601</v>
      </c>
      <c r="V51" s="1029"/>
      <c r="BG51" s="1101"/>
      <c r="BH51" s="1032"/>
    </row>
    <row r="52" spans="1:60" x14ac:dyDescent="0.2">
      <c r="A52" s="1040"/>
      <c r="C52" s="1088" t="s">
        <v>3</v>
      </c>
      <c r="D52" s="1099">
        <f t="shared" ref="D52:T52" si="40">IF(ISERROR(-D39*(1-D13)),0,(-D39*(1-D13)))</f>
        <v>0</v>
      </c>
      <c r="E52" s="1099">
        <f t="shared" si="40"/>
        <v>0</v>
      </c>
      <c r="F52" s="1099">
        <f t="shared" si="40"/>
        <v>0</v>
      </c>
      <c r="G52" s="1099">
        <f t="shared" si="40"/>
        <v>0</v>
      </c>
      <c r="H52" s="1099">
        <f t="shared" si="40"/>
        <v>0</v>
      </c>
      <c r="I52" s="1099">
        <f t="shared" si="40"/>
        <v>0</v>
      </c>
      <c r="J52" s="1099">
        <f t="shared" si="40"/>
        <v>0</v>
      </c>
      <c r="K52" s="1099">
        <f t="shared" si="40"/>
        <v>-53.120000000000005</v>
      </c>
      <c r="L52" s="1099">
        <f t="shared" si="40"/>
        <v>0</v>
      </c>
      <c r="M52" s="1099">
        <f t="shared" si="40"/>
        <v>0</v>
      </c>
      <c r="N52" s="1099">
        <f t="shared" si="40"/>
        <v>0</v>
      </c>
      <c r="O52" s="1099">
        <f t="shared" si="40"/>
        <v>0</v>
      </c>
      <c r="P52" s="1099">
        <f t="shared" si="40"/>
        <v>0</v>
      </c>
      <c r="Q52" s="1099">
        <f t="shared" si="40"/>
        <v>0</v>
      </c>
      <c r="R52" s="1099">
        <f t="shared" si="40"/>
        <v>0</v>
      </c>
      <c r="S52" s="1099">
        <f t="shared" si="40"/>
        <v>0</v>
      </c>
      <c r="T52" s="1099">
        <f t="shared" si="40"/>
        <v>0</v>
      </c>
      <c r="V52" s="1029"/>
      <c r="BG52" s="1101"/>
      <c r="BH52" s="1032"/>
    </row>
    <row r="53" spans="1:60" ht="7.5" customHeight="1" x14ac:dyDescent="0.2">
      <c r="A53" s="1040"/>
      <c r="C53" s="1049"/>
      <c r="D53" s="1049"/>
      <c r="E53" s="1049"/>
      <c r="F53" s="1049"/>
      <c r="G53" s="1049"/>
      <c r="H53" s="1069"/>
      <c r="I53" s="1069"/>
      <c r="J53" s="1069"/>
      <c r="K53" s="1069"/>
      <c r="L53" s="1069"/>
      <c r="M53" s="1069"/>
      <c r="N53" s="1069"/>
      <c r="O53" s="1069"/>
      <c r="P53" s="1069"/>
      <c r="Q53" s="1069"/>
      <c r="R53" s="1069"/>
      <c r="S53" s="1069"/>
      <c r="T53" s="1069"/>
      <c r="V53" s="1029"/>
      <c r="BH53" s="1032"/>
    </row>
    <row r="54" spans="1:60" ht="12" customHeight="1" x14ac:dyDescent="0.2">
      <c r="A54" s="1040"/>
      <c r="B54" s="1026" t="s">
        <v>357</v>
      </c>
      <c r="C54" s="1026" t="s">
        <v>358</v>
      </c>
      <c r="D54" s="1045">
        <f t="shared" ref="D54:T54" si="41">+D15</f>
        <v>2009</v>
      </c>
      <c r="E54" s="1045">
        <f t="shared" si="41"/>
        <v>2010</v>
      </c>
      <c r="F54" s="1045">
        <f t="shared" si="41"/>
        <v>2011</v>
      </c>
      <c r="G54" s="1045">
        <f t="shared" si="41"/>
        <v>2012</v>
      </c>
      <c r="H54" s="1045">
        <f t="shared" si="41"/>
        <v>2013</v>
      </c>
      <c r="I54" s="1045">
        <f t="shared" si="41"/>
        <v>2014</v>
      </c>
      <c r="J54" s="1045">
        <f t="shared" si="41"/>
        <v>2015</v>
      </c>
      <c r="K54" s="1045">
        <f t="shared" si="41"/>
        <v>2016</v>
      </c>
      <c r="L54" s="1045">
        <f t="shared" si="41"/>
        <v>2017</v>
      </c>
      <c r="M54" s="1045">
        <f t="shared" si="41"/>
        <v>2018</v>
      </c>
      <c r="N54" s="1045">
        <f t="shared" si="41"/>
        <v>2019</v>
      </c>
      <c r="O54" s="1045">
        <f t="shared" si="41"/>
        <v>2020</v>
      </c>
      <c r="P54" s="1045">
        <f t="shared" si="41"/>
        <v>2021</v>
      </c>
      <c r="Q54" s="1045">
        <f t="shared" si="41"/>
        <v>2022</v>
      </c>
      <c r="R54" s="1045">
        <f t="shared" si="41"/>
        <v>2023</v>
      </c>
      <c r="S54" s="1045">
        <f t="shared" si="41"/>
        <v>2024</v>
      </c>
      <c r="T54" s="1045">
        <f t="shared" si="41"/>
        <v>2025</v>
      </c>
      <c r="V54" s="1029"/>
      <c r="BH54" s="1032"/>
    </row>
    <row r="55" spans="1:60" s="1100" customFormat="1" ht="27.75" customHeight="1" x14ac:dyDescent="0.2">
      <c r="A55" s="1040"/>
      <c r="B55" s="1102"/>
      <c r="C55" s="2064" t="s">
        <v>75</v>
      </c>
      <c r="D55" s="2064"/>
      <c r="E55" s="2064"/>
      <c r="F55" s="2064"/>
      <c r="G55" s="2064"/>
      <c r="H55" s="2064"/>
      <c r="I55" s="2064"/>
      <c r="J55" s="2064"/>
      <c r="K55" s="2064"/>
      <c r="L55" s="2064"/>
      <c r="M55" s="2064"/>
      <c r="N55" s="2064"/>
      <c r="O55" s="2064"/>
      <c r="P55" s="2064"/>
      <c r="Q55" s="2064"/>
      <c r="R55" s="2064"/>
      <c r="S55" s="2064"/>
      <c r="T55" s="2064"/>
      <c r="U55" s="1028"/>
      <c r="V55" s="1029"/>
      <c r="W55" s="1029"/>
      <c r="X55" s="1029"/>
      <c r="AB55"/>
      <c r="AC55"/>
      <c r="AD55"/>
      <c r="AE55"/>
      <c r="AF55"/>
      <c r="AG55"/>
      <c r="AN55" s="1103"/>
      <c r="BG55" s="1104"/>
      <c r="BH55" s="1103"/>
    </row>
    <row r="56" spans="1:60" s="1100" customFormat="1" x14ac:dyDescent="0.2">
      <c r="A56" s="1040"/>
      <c r="B56" s="1102"/>
      <c r="C56" s="1105"/>
      <c r="D56" s="1105"/>
      <c r="E56" s="1105"/>
      <c r="F56" s="1105"/>
      <c r="G56" s="1105"/>
      <c r="H56" s="1105"/>
      <c r="I56" s="1105"/>
      <c r="J56" s="1105"/>
      <c r="K56" s="1105"/>
      <c r="L56" s="1105"/>
      <c r="M56" s="1105"/>
      <c r="N56" s="1105"/>
      <c r="O56" s="1105"/>
      <c r="P56" s="1105"/>
      <c r="Q56" s="1105"/>
      <c r="R56" s="1105"/>
      <c r="S56" s="1105"/>
      <c r="T56" s="1105"/>
      <c r="U56" s="1028"/>
      <c r="V56" s="1029"/>
      <c r="W56" s="1029"/>
      <c r="X56" s="1029"/>
      <c r="AB56"/>
      <c r="AC56"/>
      <c r="AD56"/>
      <c r="AE56"/>
      <c r="AF56"/>
      <c r="AG56"/>
      <c r="AN56" s="1103"/>
      <c r="BG56" s="1104"/>
      <c r="BH56" s="1103"/>
    </row>
    <row r="57" spans="1:60" s="1100" customFormat="1" x14ac:dyDescent="0.2">
      <c r="A57" s="1040"/>
      <c r="B57" s="1106" t="s">
        <v>367</v>
      </c>
      <c r="C57" s="1107" t="s">
        <v>76</v>
      </c>
      <c r="D57" s="1108"/>
      <c r="E57" s="1108"/>
      <c r="F57" s="1108"/>
      <c r="G57" s="1108"/>
      <c r="H57" s="1109"/>
      <c r="I57" s="1109"/>
      <c r="J57" s="1109"/>
      <c r="K57" s="1109"/>
      <c r="L57" s="1109"/>
      <c r="M57" s="1109"/>
      <c r="N57" s="1109"/>
      <c r="O57" s="1109"/>
      <c r="P57" s="1109"/>
      <c r="Q57" s="1109"/>
      <c r="R57" s="1109"/>
      <c r="S57" s="1109"/>
      <c r="T57" s="1109"/>
      <c r="U57" s="1028"/>
      <c r="V57" s="1029"/>
      <c r="W57" s="1029"/>
      <c r="X57" s="1029"/>
      <c r="AB57"/>
      <c r="AC57"/>
      <c r="AD57"/>
      <c r="AE57"/>
      <c r="AF57"/>
      <c r="AG57"/>
      <c r="AN57" s="1103"/>
      <c r="BG57" s="1104"/>
      <c r="BH57" s="1103"/>
    </row>
    <row r="58" spans="1:60" ht="7.5" customHeight="1" x14ac:dyDescent="0.2">
      <c r="A58" s="1040"/>
      <c r="C58" s="1049"/>
      <c r="D58" s="1049"/>
      <c r="E58" s="1049"/>
      <c r="F58" s="1049"/>
      <c r="G58" s="1049"/>
      <c r="H58" s="1098"/>
      <c r="I58" s="1098"/>
      <c r="J58" s="1094"/>
      <c r="K58" s="1094"/>
      <c r="L58" s="1094"/>
      <c r="M58" s="1094"/>
      <c r="N58" s="1094"/>
      <c r="O58" s="1094"/>
      <c r="P58" s="1094"/>
      <c r="Q58" s="1094"/>
      <c r="R58" s="1094"/>
      <c r="S58" s="1094"/>
      <c r="T58" s="1094"/>
      <c r="V58" s="1029"/>
      <c r="BH58" s="1032"/>
    </row>
    <row r="59" spans="1:60" s="1100" customFormat="1" ht="15.75" customHeight="1" x14ac:dyDescent="0.2">
      <c r="A59" s="1040"/>
      <c r="B59" s="1102"/>
      <c r="C59" s="1109" t="s">
        <v>77</v>
      </c>
      <c r="D59" s="1109"/>
      <c r="E59" s="1109"/>
      <c r="F59" s="1109"/>
      <c r="G59" s="1109"/>
      <c r="H59" s="1109"/>
      <c r="I59" s="1109"/>
      <c r="J59" s="1109"/>
      <c r="K59" s="1109"/>
      <c r="L59" s="966">
        <f t="shared" ref="L59:T59" si="42">+L52</f>
        <v>0</v>
      </c>
      <c r="M59" s="966">
        <f t="shared" si="42"/>
        <v>0</v>
      </c>
      <c r="N59" s="966">
        <f t="shared" si="42"/>
        <v>0</v>
      </c>
      <c r="O59" s="966">
        <f t="shared" si="42"/>
        <v>0</v>
      </c>
      <c r="P59" s="966">
        <f t="shared" si="42"/>
        <v>0</v>
      </c>
      <c r="Q59" s="966">
        <f t="shared" si="42"/>
        <v>0</v>
      </c>
      <c r="R59" s="966">
        <f t="shared" si="42"/>
        <v>0</v>
      </c>
      <c r="S59" s="966">
        <f t="shared" si="42"/>
        <v>0</v>
      </c>
      <c r="T59" s="966">
        <f t="shared" si="42"/>
        <v>0</v>
      </c>
      <c r="U59" s="1028"/>
      <c r="V59" s="1029"/>
      <c r="W59" s="1029"/>
      <c r="X59" s="1029"/>
      <c r="AB59"/>
      <c r="AC59"/>
      <c r="AD59"/>
      <c r="AE59"/>
      <c r="AF59"/>
      <c r="AG59"/>
      <c r="AN59" s="1103"/>
      <c r="BG59" s="1104"/>
      <c r="BH59" s="1103"/>
    </row>
    <row r="60" spans="1:60" s="1100" customFormat="1" ht="15.75" customHeight="1" x14ac:dyDescent="0.2">
      <c r="A60" s="1040"/>
      <c r="B60" s="1102"/>
      <c r="C60" s="1109" t="s">
        <v>78</v>
      </c>
      <c r="D60" s="1109"/>
      <c r="E60" s="1109"/>
      <c r="F60" s="1109"/>
      <c r="G60" s="1109"/>
      <c r="H60" s="1109"/>
      <c r="I60" s="1109"/>
      <c r="J60" s="1109"/>
      <c r="K60" s="1109"/>
      <c r="L60" s="966">
        <f t="shared" ref="L60:T60" si="43">L25*(1-L13)</f>
        <v>23.84819199999999</v>
      </c>
      <c r="M60" s="966">
        <f t="shared" si="43"/>
        <v>20.225514393599997</v>
      </c>
      <c r="N60" s="966">
        <f t="shared" si="43"/>
        <v>16.222532264058874</v>
      </c>
      <c r="O60" s="966">
        <f t="shared" si="43"/>
        <v>11.807454237456486</v>
      </c>
      <c r="P60" s="966">
        <f t="shared" si="43"/>
        <v>7.0545846773191663</v>
      </c>
      <c r="Q60" s="966">
        <f t="shared" si="43"/>
        <v>1.6265073653622117</v>
      </c>
      <c r="R60" s="966">
        <f t="shared" si="43"/>
        <v>-4.3325564865979613</v>
      </c>
      <c r="S60" s="966">
        <f t="shared" si="43"/>
        <v>-10.865937598390852</v>
      </c>
      <c r="T60" s="966">
        <f t="shared" si="43"/>
        <v>-18.020251236044601</v>
      </c>
      <c r="U60" s="1028"/>
      <c r="V60" s="1029"/>
      <c r="W60" s="1029"/>
      <c r="X60" s="1029"/>
      <c r="AB60"/>
      <c r="AC60"/>
      <c r="AD60"/>
      <c r="AE60"/>
      <c r="AF60"/>
      <c r="AG60"/>
      <c r="AN60" s="1103"/>
      <c r="BG60" s="1104"/>
      <c r="BH60" s="1103"/>
    </row>
    <row r="61" spans="1:60" s="1100" customFormat="1" ht="15.75" customHeight="1" x14ac:dyDescent="0.2">
      <c r="A61" s="1040"/>
      <c r="B61" s="1102"/>
      <c r="C61" s="1109" t="s">
        <v>79</v>
      </c>
      <c r="D61" s="1109"/>
      <c r="E61" s="1109"/>
      <c r="F61" s="1109"/>
      <c r="G61" s="1109"/>
      <c r="H61" s="1109"/>
      <c r="I61" s="1109"/>
      <c r="J61" s="1109"/>
      <c r="K61" s="1109"/>
      <c r="L61" s="966">
        <f t="shared" ref="L61:T61" si="44">L47-K47</f>
        <v>-4.1533919999999114</v>
      </c>
      <c r="M61" s="966">
        <f t="shared" si="44"/>
        <v>-6.1911481535999684</v>
      </c>
      <c r="N61" s="966">
        <f t="shared" si="44"/>
        <v>-8.4428256014668079</v>
      </c>
      <c r="O61" s="966">
        <f t="shared" si="44"/>
        <v>-10.926306991430764</v>
      </c>
      <c r="P61" s="966">
        <f t="shared" si="44"/>
        <v>-13.2813774814434</v>
      </c>
      <c r="Q61" s="966">
        <f t="shared" si="44"/>
        <v>-16.204188341728056</v>
      </c>
      <c r="R61" s="966">
        <f t="shared" si="44"/>
        <v>-19.412915031245234</v>
      </c>
      <c r="S61" s="966">
        <f t="shared" si="44"/>
        <v>-22.930889476056791</v>
      </c>
      <c r="T61" s="966">
        <f t="shared" si="44"/>
        <v>-26.783212204024309</v>
      </c>
      <c r="U61" s="1028"/>
      <c r="V61" s="1029"/>
      <c r="W61" s="1029"/>
      <c r="X61" s="1029"/>
      <c r="AB61"/>
      <c r="AC61"/>
      <c r="AD61"/>
      <c r="AE61"/>
      <c r="AF61"/>
      <c r="AG61"/>
      <c r="AN61" s="1103"/>
      <c r="BG61" s="1104"/>
      <c r="BH61" s="1103"/>
    </row>
    <row r="62" spans="1:60" s="1100" customFormat="1" ht="15.75" customHeight="1" x14ac:dyDescent="0.2">
      <c r="A62" s="1040"/>
      <c r="B62" s="1102"/>
      <c r="C62" s="1110" t="s">
        <v>80</v>
      </c>
      <c r="D62" s="1110"/>
      <c r="E62" s="1110"/>
      <c r="F62" s="1110"/>
      <c r="G62" s="1110"/>
      <c r="H62" s="1110"/>
      <c r="I62" s="1110"/>
      <c r="J62" s="1110"/>
      <c r="K62" s="1110"/>
      <c r="L62" s="977">
        <f t="shared" ref="L62:T62" si="45">SUM(L59:L61)</f>
        <v>19.694800000000079</v>
      </c>
      <c r="M62" s="977">
        <f t="shared" si="45"/>
        <v>14.034366240000029</v>
      </c>
      <c r="N62" s="977">
        <f t="shared" si="45"/>
        <v>7.7797066625920657</v>
      </c>
      <c r="O62" s="977">
        <f t="shared" si="45"/>
        <v>0.88114724602572281</v>
      </c>
      <c r="P62" s="977">
        <f t="shared" si="45"/>
        <v>-6.2267928041242335</v>
      </c>
      <c r="Q62" s="977">
        <f t="shared" si="45"/>
        <v>-14.577680976365844</v>
      </c>
      <c r="R62" s="977">
        <f t="shared" si="45"/>
        <v>-23.745471517843196</v>
      </c>
      <c r="S62" s="977">
        <f t="shared" si="45"/>
        <v>-33.796827074447641</v>
      </c>
      <c r="T62" s="977">
        <f t="shared" si="45"/>
        <v>-44.80346344006891</v>
      </c>
      <c r="U62" s="1078"/>
      <c r="V62" s="1029"/>
      <c r="W62" s="1029"/>
      <c r="X62" s="1029"/>
      <c r="AB62"/>
      <c r="AC62"/>
      <c r="AD62"/>
      <c r="AE62"/>
      <c r="AF62"/>
      <c r="AG62"/>
      <c r="AN62" s="1103"/>
      <c r="BG62" s="1104"/>
      <c r="BH62" s="1103"/>
    </row>
    <row r="63" spans="1:60" x14ac:dyDescent="0.2">
      <c r="A63" s="1040"/>
      <c r="C63" s="1049"/>
      <c r="D63" s="1049"/>
      <c r="E63" s="1049"/>
      <c r="F63" s="1049"/>
      <c r="G63" s="1049"/>
      <c r="H63" s="1098"/>
      <c r="I63" s="1098"/>
      <c r="J63" s="1094"/>
      <c r="K63" s="1094"/>
      <c r="L63" s="1094"/>
      <c r="M63" s="1094"/>
      <c r="N63" s="1094"/>
      <c r="O63" s="1094"/>
      <c r="P63" s="1094"/>
      <c r="Q63" s="1094"/>
      <c r="R63" s="1094"/>
      <c r="S63" s="1094"/>
      <c r="T63" s="1094"/>
      <c r="V63" s="1029"/>
      <c r="BH63" s="1032"/>
    </row>
    <row r="64" spans="1:60" s="1100" customFormat="1" x14ac:dyDescent="0.2">
      <c r="A64" s="1040"/>
      <c r="B64" s="1106" t="s">
        <v>54</v>
      </c>
      <c r="C64" s="1107" t="s">
        <v>81</v>
      </c>
      <c r="D64" s="1108"/>
      <c r="E64" s="1108"/>
      <c r="F64" s="1108"/>
      <c r="G64" s="1108"/>
      <c r="H64" s="1109"/>
      <c r="I64" s="1109"/>
      <c r="J64" s="1109"/>
      <c r="K64" s="1109"/>
      <c r="L64" s="966"/>
      <c r="M64" s="966"/>
      <c r="N64" s="966"/>
      <c r="O64" s="966"/>
      <c r="P64" s="966"/>
      <c r="Q64" s="966"/>
      <c r="R64" s="966"/>
      <c r="S64" s="966"/>
      <c r="T64" s="966"/>
      <c r="U64" s="1028"/>
      <c r="V64" s="1029"/>
      <c r="W64" s="1029"/>
      <c r="X64" s="1029"/>
      <c r="AB64"/>
      <c r="AC64"/>
      <c r="AD64"/>
      <c r="AE64"/>
      <c r="AF64"/>
      <c r="AG64"/>
      <c r="AN64" s="1103"/>
      <c r="BG64" s="1104"/>
      <c r="BH64" s="1103"/>
    </row>
    <row r="65" spans="1:60" ht="7.5" customHeight="1" x14ac:dyDescent="0.2">
      <c r="A65" s="1040"/>
      <c r="C65" s="1049"/>
      <c r="D65" s="1049"/>
      <c r="E65" s="1049"/>
      <c r="F65" s="1049"/>
      <c r="G65" s="1049"/>
      <c r="H65" s="1098"/>
      <c r="I65" s="1098"/>
      <c r="J65" s="1094"/>
      <c r="K65" s="1094"/>
      <c r="L65" s="1094"/>
      <c r="M65" s="1094"/>
      <c r="N65" s="1094"/>
      <c r="O65" s="1094"/>
      <c r="P65" s="1094"/>
      <c r="Q65" s="1094"/>
      <c r="R65" s="1094"/>
      <c r="S65" s="1094"/>
      <c r="T65" s="1094"/>
      <c r="V65" s="1029"/>
      <c r="BH65" s="1032"/>
    </row>
    <row r="66" spans="1:60" s="1100" customFormat="1" ht="15.75" customHeight="1" x14ac:dyDescent="0.2">
      <c r="A66" s="1040"/>
      <c r="B66" s="1102"/>
      <c r="C66" s="1109" t="s">
        <v>82</v>
      </c>
      <c r="D66" s="1109"/>
      <c r="E66" s="1109"/>
      <c r="F66" s="1109"/>
      <c r="G66" s="1109"/>
      <c r="H66" s="1109"/>
      <c r="I66" s="1109"/>
      <c r="J66" s="1109"/>
      <c r="K66" s="1109"/>
      <c r="L66" s="966">
        <f t="shared" ref="L66:T66" si="46">L44-K44</f>
        <v>-11.537199999999757</v>
      </c>
      <c r="M66" s="966">
        <f t="shared" si="46"/>
        <v>-17.197633759999917</v>
      </c>
      <c r="N66" s="966">
        <f t="shared" si="46"/>
        <v>-23.452293337407809</v>
      </c>
      <c r="O66" s="966">
        <f t="shared" si="46"/>
        <v>-30.350852753974323</v>
      </c>
      <c r="P66" s="966">
        <f t="shared" si="46"/>
        <v>-37.946792804124016</v>
      </c>
      <c r="Q66" s="966">
        <f t="shared" si="46"/>
        <v>-46.297680976365882</v>
      </c>
      <c r="R66" s="966">
        <f t="shared" si="46"/>
        <v>-55.465471517843525</v>
      </c>
      <c r="S66" s="966">
        <f t="shared" si="46"/>
        <v>-65.516827074447974</v>
      </c>
      <c r="T66" s="966">
        <f t="shared" si="46"/>
        <v>-76.523463440069463</v>
      </c>
      <c r="U66" s="1028"/>
      <c r="V66" s="1029"/>
      <c r="W66" s="1029"/>
      <c r="X66" s="1029"/>
      <c r="AB66"/>
      <c r="AC66"/>
      <c r="AD66"/>
      <c r="AE66"/>
      <c r="AF66"/>
      <c r="AG66"/>
      <c r="AN66" s="1103"/>
      <c r="BG66" s="1104"/>
      <c r="BH66" s="1103"/>
    </row>
    <row r="67" spans="1:60" s="1100" customFormat="1" ht="15.75" customHeight="1" x14ac:dyDescent="0.2">
      <c r="A67" s="1040"/>
      <c r="B67" s="1102"/>
      <c r="C67" s="1109" t="s">
        <v>74</v>
      </c>
      <c r="D67" s="1109"/>
      <c r="E67" s="1109"/>
      <c r="F67" s="1109"/>
      <c r="G67" s="1109"/>
      <c r="H67" s="1109"/>
      <c r="I67" s="1109"/>
      <c r="J67" s="1109"/>
      <c r="K67" s="1109"/>
      <c r="L67" s="966">
        <f t="shared" ref="L67:T67" si="47">CHOOSE(dropDown,IF(ISERROR((L22+L38)*(1-L13)+(-L32*(1-L13))+((L24+L20)*(1-L13))),0,(L22+L38)*(1-L13)+(-L32*(1-L13))+((L24+L20)*(1-L13))),IF(ISERROR((L22+L38)*(1-L13)+(-L32*(1-L13))+((L23+L20)*(1-L13))),0,(L22+L38)*(1-L13)+(-L32*(1-L13))+((L23+L20)*(1-L13))))</f>
        <v>31.231999999999999</v>
      </c>
      <c r="M67" s="966">
        <f t="shared" si="47"/>
        <v>31.231999999999999</v>
      </c>
      <c r="N67" s="966">
        <f t="shared" si="47"/>
        <v>31.231999999999999</v>
      </c>
      <c r="O67" s="966">
        <f t="shared" si="47"/>
        <v>31.231999999999999</v>
      </c>
      <c r="P67" s="966">
        <f t="shared" si="47"/>
        <v>31.72</v>
      </c>
      <c r="Q67" s="966">
        <f t="shared" si="47"/>
        <v>31.72</v>
      </c>
      <c r="R67" s="966">
        <f t="shared" si="47"/>
        <v>31.72</v>
      </c>
      <c r="S67" s="966">
        <f t="shared" si="47"/>
        <v>31.72</v>
      </c>
      <c r="T67" s="966">
        <f t="shared" si="47"/>
        <v>31.72</v>
      </c>
      <c r="U67" s="1028"/>
      <c r="V67" s="1029"/>
      <c r="W67" s="1029"/>
      <c r="X67" s="1029"/>
      <c r="AB67"/>
      <c r="AC67"/>
      <c r="AD67"/>
      <c r="AE67"/>
      <c r="AF67"/>
      <c r="AG67"/>
      <c r="AN67" s="1103"/>
      <c r="BG67" s="1104"/>
      <c r="BH67" s="1103"/>
    </row>
    <row r="68" spans="1:60" s="1100" customFormat="1" ht="15.75" customHeight="1" x14ac:dyDescent="0.2">
      <c r="A68" s="1040"/>
      <c r="B68" s="1102"/>
      <c r="C68" s="1110" t="s">
        <v>385</v>
      </c>
      <c r="D68" s="1110"/>
      <c r="E68" s="1110"/>
      <c r="F68" s="1110"/>
      <c r="G68" s="1110"/>
      <c r="H68" s="1110"/>
      <c r="I68" s="1110"/>
      <c r="J68" s="1110"/>
      <c r="K68" s="1110"/>
      <c r="L68" s="977">
        <f t="shared" ref="L68:T68" si="48">SUM(L66:L67)</f>
        <v>19.694800000000242</v>
      </c>
      <c r="M68" s="977">
        <f t="shared" si="48"/>
        <v>14.034366240000082</v>
      </c>
      <c r="N68" s="977">
        <f t="shared" si="48"/>
        <v>7.77970666259219</v>
      </c>
      <c r="O68" s="977">
        <f t="shared" si="48"/>
        <v>0.88114724602567662</v>
      </c>
      <c r="P68" s="977">
        <f t="shared" si="48"/>
        <v>-6.2267928041240168</v>
      </c>
      <c r="Q68" s="977">
        <f t="shared" si="48"/>
        <v>-14.577680976365883</v>
      </c>
      <c r="R68" s="977">
        <f t="shared" si="48"/>
        <v>-23.745471517843526</v>
      </c>
      <c r="S68" s="977">
        <f t="shared" si="48"/>
        <v>-33.796827074447975</v>
      </c>
      <c r="T68" s="977">
        <f t="shared" si="48"/>
        <v>-44.803463440069464</v>
      </c>
      <c r="U68" s="1078"/>
      <c r="V68" s="1029"/>
      <c r="W68" s="1029"/>
      <c r="X68" s="1029"/>
      <c r="AB68"/>
      <c r="AC68"/>
      <c r="AD68"/>
      <c r="AE68"/>
      <c r="AF68"/>
      <c r="AG68"/>
      <c r="AN68" s="1103"/>
      <c r="BG68" s="1104"/>
      <c r="BH68" s="1103"/>
    </row>
    <row r="69" spans="1:60" s="1112" customFormat="1" ht="24.75" customHeight="1" x14ac:dyDescent="0.2">
      <c r="A69" s="1040"/>
      <c r="B69" s="1113"/>
      <c r="C69" s="1114" t="s">
        <v>443</v>
      </c>
      <c r="D69" s="1115"/>
      <c r="E69" s="1115"/>
      <c r="F69" s="1115"/>
      <c r="G69" s="1115"/>
      <c r="H69" s="1116"/>
      <c r="I69" s="1116"/>
      <c r="J69" s="1116"/>
      <c r="K69" s="1116"/>
      <c r="L69" s="1117">
        <f t="shared" ref="L69:T69" si="49">ROUND(L62-L68,0)</f>
        <v>0</v>
      </c>
      <c r="M69" s="1117">
        <f t="shared" si="49"/>
        <v>0</v>
      </c>
      <c r="N69" s="1117">
        <f t="shared" si="49"/>
        <v>0</v>
      </c>
      <c r="O69" s="1117">
        <f t="shared" si="49"/>
        <v>0</v>
      </c>
      <c r="P69" s="1117">
        <f>ROUND(P62-P68,0)</f>
        <v>0</v>
      </c>
      <c r="Q69" s="1117">
        <f t="shared" si="49"/>
        <v>0</v>
      </c>
      <c r="R69" s="1117">
        <f t="shared" si="49"/>
        <v>0</v>
      </c>
      <c r="S69" s="1117">
        <f t="shared" si="49"/>
        <v>0</v>
      </c>
      <c r="T69" s="1117">
        <f t="shared" si="49"/>
        <v>0</v>
      </c>
      <c r="U69" s="2062" t="str">
        <f>IF(AND(L69&lt;&gt;0,M69&lt;&gt;0,T69&lt;&gt;0),"Check Failing? : Have you not updated Company Contributions on row 39?","")</f>
        <v/>
      </c>
      <c r="V69" s="2063"/>
      <c r="W69" s="2063"/>
      <c r="X69" s="2063"/>
      <c r="Y69" s="2063"/>
      <c r="AB69"/>
      <c r="AC69"/>
      <c r="AD69"/>
      <c r="AE69"/>
      <c r="AF69"/>
      <c r="AG69"/>
      <c r="BG69" s="1118"/>
    </row>
    <row r="70" spans="1:60" s="1112" customFormat="1" x14ac:dyDescent="0.2">
      <c r="A70" s="1040"/>
      <c r="B70" s="1113"/>
      <c r="C70" s="1115"/>
      <c r="D70" s="1115"/>
      <c r="E70" s="1115"/>
      <c r="F70" s="1115"/>
      <c r="G70" s="1115"/>
      <c r="H70" s="1116"/>
      <c r="I70" s="1116"/>
      <c r="J70" s="1116"/>
      <c r="K70" s="1116"/>
      <c r="L70" s="1124"/>
      <c r="M70" s="1124"/>
      <c r="N70" s="1124"/>
      <c r="O70" s="1124"/>
      <c r="P70" s="1124"/>
      <c r="Q70" s="1124"/>
      <c r="R70" s="1124"/>
      <c r="S70" s="1124"/>
      <c r="T70" s="1124"/>
      <c r="U70" s="1125"/>
      <c r="AB70"/>
      <c r="AC70"/>
      <c r="AD70"/>
      <c r="AE70"/>
      <c r="AF70"/>
      <c r="AG70"/>
      <c r="BG70" s="1118"/>
    </row>
    <row r="71" spans="1:60" x14ac:dyDescent="0.2">
      <c r="A71" s="1040"/>
      <c r="B71" s="1026" t="s">
        <v>386</v>
      </c>
      <c r="C71" s="1026" t="s">
        <v>387</v>
      </c>
      <c r="D71" s="1026"/>
      <c r="E71" s="1026"/>
      <c r="F71" s="1026"/>
      <c r="G71" s="1026"/>
      <c r="H71" s="1026"/>
      <c r="I71" s="1026"/>
      <c r="J71" s="1026"/>
      <c r="K71" s="1026"/>
      <c r="L71" s="1026"/>
      <c r="M71" s="1026"/>
      <c r="N71" s="1026"/>
      <c r="O71" s="1026"/>
      <c r="P71" s="1026"/>
      <c r="Q71" s="1026"/>
      <c r="R71" s="1026"/>
      <c r="S71" s="1026"/>
      <c r="T71" s="1026"/>
      <c r="V71" s="1029"/>
      <c r="BH71" s="1032"/>
    </row>
    <row r="72" spans="1:60" ht="7.5" customHeight="1" x14ac:dyDescent="0.2">
      <c r="A72" s="1040"/>
      <c r="C72" s="1049"/>
      <c r="D72" s="1049"/>
      <c r="E72" s="1049"/>
      <c r="F72" s="1049"/>
      <c r="G72" s="1049"/>
      <c r="V72" s="1029"/>
      <c r="BH72" s="1032"/>
    </row>
    <row r="73" spans="1:60" x14ac:dyDescent="0.2">
      <c r="A73" s="1040"/>
      <c r="C73" s="1958" t="s">
        <v>388</v>
      </c>
      <c r="D73" s="1957"/>
      <c r="E73" s="1957"/>
      <c r="F73" s="1957"/>
      <c r="G73" s="1957"/>
      <c r="V73" s="1029"/>
      <c r="BH73" s="1032"/>
    </row>
    <row r="74" spans="1:60" x14ac:dyDescent="0.2">
      <c r="A74" s="1040"/>
      <c r="V74" s="1029"/>
      <c r="BH74" s="1032"/>
    </row>
    <row r="75" spans="1:60" x14ac:dyDescent="0.2">
      <c r="A75" s="1040"/>
      <c r="V75" s="1029"/>
      <c r="BH75" s="1032"/>
    </row>
    <row r="76" spans="1:60" x14ac:dyDescent="0.2">
      <c r="A76" s="1040"/>
      <c r="V76" s="1029"/>
      <c r="BH76" s="1032"/>
    </row>
    <row r="77" spans="1:60" x14ac:dyDescent="0.2">
      <c r="A77" s="1040"/>
      <c r="V77" s="1029"/>
      <c r="BH77" s="1032"/>
    </row>
    <row r="78" spans="1:60" x14ac:dyDescent="0.2">
      <c r="A78" s="1040"/>
      <c r="V78" s="1029"/>
      <c r="BH78" s="1032"/>
    </row>
    <row r="79" spans="1:60" x14ac:dyDescent="0.2">
      <c r="A79" s="1040"/>
      <c r="V79" s="1029"/>
      <c r="BH79" s="1032"/>
    </row>
    <row r="80" spans="1:60" x14ac:dyDescent="0.2">
      <c r="A80" s="1040"/>
      <c r="V80" s="1029"/>
      <c r="BH80" s="1032"/>
    </row>
    <row r="81" spans="1:60" x14ac:dyDescent="0.2">
      <c r="A81" s="1040"/>
      <c r="V81" s="1029"/>
      <c r="BH81" s="1032"/>
    </row>
    <row r="82" spans="1:60" x14ac:dyDescent="0.2">
      <c r="A82" s="1040"/>
      <c r="V82" s="1029"/>
      <c r="BH82" s="1032"/>
    </row>
    <row r="83" spans="1:60" x14ac:dyDescent="0.2">
      <c r="A83" s="1040"/>
      <c r="V83" s="1029"/>
      <c r="BH83" s="1032"/>
    </row>
    <row r="84" spans="1:60" x14ac:dyDescent="0.2">
      <c r="A84" s="1040"/>
      <c r="V84" s="1029"/>
      <c r="BH84" s="1032"/>
    </row>
    <row r="85" spans="1:60" x14ac:dyDescent="0.2">
      <c r="A85" s="1040"/>
      <c r="BH85" s="1032"/>
    </row>
    <row r="86" spans="1:60" x14ac:dyDescent="0.2">
      <c r="A86" s="1040"/>
      <c r="BH86" s="1032"/>
    </row>
    <row r="87" spans="1:60" hidden="1" outlineLevel="1" x14ac:dyDescent="0.2">
      <c r="A87" s="1040"/>
      <c r="B87" s="1026"/>
      <c r="C87" s="1026" t="s">
        <v>389</v>
      </c>
      <c r="D87" s="1046">
        <f t="shared" ref="D87:T87" si="50">+D6</f>
        <v>2009</v>
      </c>
      <c r="E87" s="1046">
        <f t="shared" si="50"/>
        <v>2010</v>
      </c>
      <c r="F87" s="1046">
        <f t="shared" si="50"/>
        <v>2011</v>
      </c>
      <c r="G87" s="1046">
        <f t="shared" si="50"/>
        <v>2012</v>
      </c>
      <c r="H87" s="1046">
        <f t="shared" si="50"/>
        <v>2013</v>
      </c>
      <c r="I87" s="1046">
        <f t="shared" si="50"/>
        <v>2014</v>
      </c>
      <c r="J87" s="1046">
        <f t="shared" si="50"/>
        <v>2015</v>
      </c>
      <c r="K87" s="1046">
        <f t="shared" si="50"/>
        <v>2016</v>
      </c>
      <c r="L87" s="1046">
        <f t="shared" si="50"/>
        <v>2017</v>
      </c>
      <c r="M87" s="1046">
        <f t="shared" si="50"/>
        <v>2018</v>
      </c>
      <c r="N87" s="1046">
        <f t="shared" si="50"/>
        <v>2019</v>
      </c>
      <c r="O87" s="1046">
        <f t="shared" si="50"/>
        <v>2020</v>
      </c>
      <c r="P87" s="1046">
        <f t="shared" si="50"/>
        <v>2021</v>
      </c>
      <c r="Q87" s="1046">
        <f t="shared" si="50"/>
        <v>2022</v>
      </c>
      <c r="R87" s="1046">
        <f t="shared" si="50"/>
        <v>2023</v>
      </c>
      <c r="S87" s="1046">
        <f t="shared" si="50"/>
        <v>2024</v>
      </c>
      <c r="T87" s="1046">
        <f t="shared" si="50"/>
        <v>2025</v>
      </c>
      <c r="BH87" s="1032"/>
    </row>
    <row r="88" spans="1:60" hidden="1" outlineLevel="1" x14ac:dyDescent="0.2">
      <c r="A88" s="1040"/>
      <c r="BH88" s="1032"/>
    </row>
    <row r="89" spans="1:60" hidden="1" outlineLevel="1" x14ac:dyDescent="0.2">
      <c r="A89" s="1040"/>
      <c r="C89" s="1028" t="s">
        <v>122</v>
      </c>
      <c r="D89" s="966">
        <f t="shared" ref="D89:T89" si="51">+D19</f>
        <v>32</v>
      </c>
      <c r="E89" s="966">
        <f t="shared" si="51"/>
        <v>41</v>
      </c>
      <c r="F89" s="966">
        <f t="shared" si="51"/>
        <v>40</v>
      </c>
      <c r="G89" s="966">
        <f t="shared" si="51"/>
        <v>44</v>
      </c>
      <c r="H89" s="966">
        <f t="shared" si="51"/>
        <v>49</v>
      </c>
      <c r="I89" s="966">
        <f t="shared" si="51"/>
        <v>44</v>
      </c>
      <c r="J89" s="966">
        <f t="shared" si="51"/>
        <v>45</v>
      </c>
      <c r="K89" s="966">
        <f t="shared" si="51"/>
        <v>48</v>
      </c>
      <c r="L89" s="966">
        <f t="shared" si="51"/>
        <v>49.055999999999997</v>
      </c>
      <c r="M89" s="966">
        <f t="shared" si="51"/>
        <v>49.055999999999997</v>
      </c>
      <c r="N89" s="966">
        <f t="shared" si="51"/>
        <v>49.055999999999997</v>
      </c>
      <c r="O89" s="966">
        <f t="shared" si="51"/>
        <v>49.055999999999997</v>
      </c>
      <c r="P89" s="966">
        <f t="shared" si="51"/>
        <v>49.055999999999997</v>
      </c>
      <c r="Q89" s="966">
        <f t="shared" si="51"/>
        <v>49.055999999999997</v>
      </c>
      <c r="R89" s="966">
        <f t="shared" si="51"/>
        <v>49.055999999999997</v>
      </c>
      <c r="S89" s="966">
        <f t="shared" si="51"/>
        <v>49.055999999999997</v>
      </c>
      <c r="T89" s="966">
        <f t="shared" si="51"/>
        <v>49.055999999999997</v>
      </c>
      <c r="BH89" s="1032"/>
    </row>
    <row r="90" spans="1:60" hidden="1" outlineLevel="1" x14ac:dyDescent="0.2">
      <c r="A90" s="1040"/>
      <c r="C90" s="1028" t="s">
        <v>390</v>
      </c>
      <c r="D90" s="966"/>
      <c r="E90" s="966">
        <f t="shared" ref="E90:T90" si="52">+D44*D8</f>
        <v>39.910000000000004</v>
      </c>
      <c r="F90" s="966">
        <f t="shared" si="52"/>
        <v>31.8</v>
      </c>
      <c r="G90" s="966">
        <f t="shared" si="52"/>
        <v>38.855000000000004</v>
      </c>
      <c r="H90" s="966">
        <f t="shared" si="52"/>
        <v>24.75</v>
      </c>
      <c r="I90" s="966">
        <f t="shared" si="52"/>
        <v>8.5024999999999995</v>
      </c>
      <c r="J90" s="966">
        <f t="shared" si="52"/>
        <v>19.920000000000002</v>
      </c>
      <c r="K90" s="966">
        <f t="shared" si="52"/>
        <v>23.692999999999998</v>
      </c>
      <c r="L90" s="966">
        <f t="shared" si="52"/>
        <v>13.5456</v>
      </c>
      <c r="M90" s="966">
        <f t="shared" si="52"/>
        <v>13.074882240000012</v>
      </c>
      <c r="N90" s="966">
        <f t="shared" si="52"/>
        <v>12.373218782592014</v>
      </c>
      <c r="O90" s="966">
        <f t="shared" si="52"/>
        <v>11.416365214425776</v>
      </c>
      <c r="P90" s="966">
        <f t="shared" si="52"/>
        <v>10.178050422063624</v>
      </c>
      <c r="Q90" s="966">
        <f t="shared" si="52"/>
        <v>8.6298212756553632</v>
      </c>
      <c r="R90" s="966">
        <f t="shared" si="52"/>
        <v>6.740875891819635</v>
      </c>
      <c r="S90" s="966">
        <f t="shared" si="52"/>
        <v>4.4778846538916186</v>
      </c>
      <c r="T90" s="966">
        <f t="shared" si="52"/>
        <v>1.8047981092541414</v>
      </c>
      <c r="BH90" s="1032"/>
    </row>
    <row r="91" spans="1:60" hidden="1" outlineLevel="1" x14ac:dyDescent="0.2">
      <c r="A91" s="1040"/>
      <c r="C91" s="1107" t="s">
        <v>391</v>
      </c>
      <c r="D91" s="977">
        <f t="shared" ref="D91:T91" si="53">SUM(D89:D90)</f>
        <v>32</v>
      </c>
      <c r="E91" s="977">
        <f t="shared" si="53"/>
        <v>80.91</v>
      </c>
      <c r="F91" s="977">
        <f t="shared" si="53"/>
        <v>71.8</v>
      </c>
      <c r="G91" s="977">
        <f t="shared" si="53"/>
        <v>82.855000000000004</v>
      </c>
      <c r="H91" s="977">
        <f t="shared" si="53"/>
        <v>73.75</v>
      </c>
      <c r="I91" s="977">
        <f t="shared" si="53"/>
        <v>52.502499999999998</v>
      </c>
      <c r="J91" s="977">
        <f t="shared" si="53"/>
        <v>64.92</v>
      </c>
      <c r="K91" s="977">
        <f t="shared" si="53"/>
        <v>71.692999999999998</v>
      </c>
      <c r="L91" s="977">
        <f t="shared" si="53"/>
        <v>62.601599999999998</v>
      </c>
      <c r="M91" s="977">
        <f t="shared" si="53"/>
        <v>62.130882240000005</v>
      </c>
      <c r="N91" s="977">
        <f t="shared" si="53"/>
        <v>61.42921878259201</v>
      </c>
      <c r="O91" s="977">
        <f t="shared" si="53"/>
        <v>60.472365214425771</v>
      </c>
      <c r="P91" s="977">
        <f t="shared" si="53"/>
        <v>59.234050422063618</v>
      </c>
      <c r="Q91" s="977">
        <f t="shared" si="53"/>
        <v>57.685821275655357</v>
      </c>
      <c r="R91" s="977">
        <f t="shared" si="53"/>
        <v>55.796875891819631</v>
      </c>
      <c r="S91" s="977">
        <f t="shared" si="53"/>
        <v>53.533884653891619</v>
      </c>
      <c r="T91" s="977">
        <f t="shared" si="53"/>
        <v>50.860798109254141</v>
      </c>
      <c r="BH91" s="1032"/>
    </row>
    <row r="92" spans="1:60" hidden="1" outlineLevel="1" x14ac:dyDescent="0.2">
      <c r="A92" s="1040"/>
      <c r="C92" s="1107"/>
      <c r="D92" s="1028"/>
      <c r="E92" s="1028"/>
      <c r="F92" s="1028"/>
      <c r="G92" s="1028"/>
      <c r="BH92" s="1032"/>
    </row>
    <row r="93" spans="1:60" hidden="1" outlineLevel="1" x14ac:dyDescent="0.2">
      <c r="A93" s="1040"/>
      <c r="C93" s="1107" t="str">
        <f t="shared" ref="C93:T93" si="54">+C25</f>
        <v>GAAP Pension Expense / (Benefit)</v>
      </c>
      <c r="D93" s="1956">
        <f t="shared" si="54"/>
        <v>35</v>
      </c>
      <c r="E93" s="1956">
        <f t="shared" si="54"/>
        <v>54</v>
      </c>
      <c r="F93" s="1956">
        <f t="shared" si="54"/>
        <v>73</v>
      </c>
      <c r="G93" s="1956">
        <f t="shared" si="54"/>
        <v>81</v>
      </c>
      <c r="H93" s="1956">
        <f t="shared" si="54"/>
        <v>93</v>
      </c>
      <c r="I93" s="1956">
        <f t="shared" si="54"/>
        <v>84</v>
      </c>
      <c r="J93" s="1956">
        <f t="shared" si="54"/>
        <v>74</v>
      </c>
      <c r="K93" s="1956">
        <f t="shared" si="54"/>
        <v>57</v>
      </c>
      <c r="L93" s="1956">
        <f t="shared" si="54"/>
        <v>37.262799999999984</v>
      </c>
      <c r="M93" s="1956">
        <f t="shared" si="54"/>
        <v>31.602366239999995</v>
      </c>
      <c r="N93" s="1956">
        <f t="shared" si="54"/>
        <v>25.347706662591989</v>
      </c>
      <c r="O93" s="1956">
        <f t="shared" si="54"/>
        <v>18.44914724602576</v>
      </c>
      <c r="P93" s="1956">
        <f t="shared" si="54"/>
        <v>10.85320719587564</v>
      </c>
      <c r="Q93" s="1956">
        <f t="shared" si="54"/>
        <v>2.5023190236341719</v>
      </c>
      <c r="R93" s="1956">
        <f t="shared" si="54"/>
        <v>-6.6654715178430166</v>
      </c>
      <c r="S93" s="1956">
        <f t="shared" si="54"/>
        <v>-16.716827074447465</v>
      </c>
      <c r="T93" s="1956">
        <f t="shared" si="54"/>
        <v>-27.723463440068613</v>
      </c>
      <c r="BH93" s="1032"/>
    </row>
    <row r="94" spans="1:60" hidden="1" outlineLevel="1" x14ac:dyDescent="0.2">
      <c r="A94" s="1040"/>
      <c r="C94" s="1107"/>
      <c r="D94" s="1028"/>
      <c r="E94" s="1028"/>
      <c r="F94" s="1028"/>
      <c r="G94" s="1028"/>
      <c r="BH94" s="1032"/>
    </row>
    <row r="95" spans="1:60" hidden="1" outlineLevel="1" x14ac:dyDescent="0.2">
      <c r="A95" s="1040"/>
      <c r="C95" s="1107" t="s">
        <v>633</v>
      </c>
      <c r="D95" s="1956">
        <f t="shared" ref="D95:T95" si="55">+D93-D91</f>
        <v>3</v>
      </c>
      <c r="E95" s="1956">
        <f t="shared" si="55"/>
        <v>-26.909999999999997</v>
      </c>
      <c r="F95" s="1956">
        <f t="shared" si="55"/>
        <v>1.2000000000000028</v>
      </c>
      <c r="G95" s="1956">
        <f t="shared" si="55"/>
        <v>-1.855000000000004</v>
      </c>
      <c r="H95" s="1956">
        <f t="shared" si="55"/>
        <v>19.25</v>
      </c>
      <c r="I95" s="1956">
        <f t="shared" si="55"/>
        <v>31.497500000000002</v>
      </c>
      <c r="J95" s="1956">
        <f t="shared" si="55"/>
        <v>9.0799999999999983</v>
      </c>
      <c r="K95" s="1956">
        <f t="shared" si="55"/>
        <v>-14.692999999999998</v>
      </c>
      <c r="L95" s="1956">
        <f t="shared" si="55"/>
        <v>-25.338800000000013</v>
      </c>
      <c r="M95" s="1956">
        <f t="shared" si="55"/>
        <v>-30.52851600000001</v>
      </c>
      <c r="N95" s="1956">
        <f t="shared" si="55"/>
        <v>-36.081512120000021</v>
      </c>
      <c r="O95" s="1956">
        <f t="shared" si="55"/>
        <v>-42.023217968400012</v>
      </c>
      <c r="P95" s="1956">
        <f t="shared" si="55"/>
        <v>-48.380843226187977</v>
      </c>
      <c r="Q95" s="1956">
        <f t="shared" si="55"/>
        <v>-55.183502252021185</v>
      </c>
      <c r="R95" s="1956">
        <f t="shared" si="55"/>
        <v>-62.462347409662648</v>
      </c>
      <c r="S95" s="1956">
        <f t="shared" si="55"/>
        <v>-70.250711728339084</v>
      </c>
      <c r="T95" s="1956">
        <f t="shared" si="55"/>
        <v>-78.584261549322747</v>
      </c>
      <c r="BH95" s="1032"/>
    </row>
    <row r="96" spans="1:60" hidden="1" outlineLevel="1" x14ac:dyDescent="0.2">
      <c r="A96" s="1040"/>
      <c r="C96" s="1107"/>
      <c r="D96" s="1028"/>
      <c r="E96" s="1028"/>
      <c r="F96" s="1028"/>
      <c r="G96" s="1028"/>
      <c r="BH96" s="1032"/>
    </row>
    <row r="97" spans="1:60" hidden="1" outlineLevel="1" x14ac:dyDescent="0.2">
      <c r="A97" s="1040"/>
      <c r="C97" s="1028" t="s">
        <v>392</v>
      </c>
      <c r="D97" s="1094" t="s">
        <v>227</v>
      </c>
      <c r="E97" s="1955">
        <v>1154.0002500000001</v>
      </c>
      <c r="F97" s="1955">
        <v>1089.1895</v>
      </c>
      <c r="G97" s="1955">
        <v>1040</v>
      </c>
      <c r="H97" s="1955">
        <v>1019.125</v>
      </c>
      <c r="I97" s="1955">
        <v>1001.12898803589</v>
      </c>
      <c r="J97" s="1955">
        <v>984</v>
      </c>
      <c r="K97" s="1955">
        <v>948.25</v>
      </c>
      <c r="L97" s="1954">
        <v>920.32685736083999</v>
      </c>
      <c r="M97" s="1954">
        <v>892.71705164001503</v>
      </c>
      <c r="N97" s="1954">
        <v>865.93554009081402</v>
      </c>
      <c r="O97" s="1954">
        <v>839.95747388809002</v>
      </c>
      <c r="P97" s="1094" t="s">
        <v>227</v>
      </c>
      <c r="Q97" s="1094" t="s">
        <v>227</v>
      </c>
      <c r="R97" s="1094" t="s">
        <v>227</v>
      </c>
      <c r="S97" s="1094" t="s">
        <v>227</v>
      </c>
      <c r="T97" s="1094" t="s">
        <v>227</v>
      </c>
      <c r="BH97" s="1032"/>
    </row>
    <row r="98" spans="1:60" hidden="1" outlineLevel="1" x14ac:dyDescent="0.2">
      <c r="A98" s="1040"/>
      <c r="C98" s="1107"/>
      <c r="D98" s="1028"/>
      <c r="E98" s="1028"/>
      <c r="F98" s="1028"/>
      <c r="G98" s="1028"/>
      <c r="BH98" s="1032"/>
    </row>
    <row r="99" spans="1:60" hidden="1" outlineLevel="1" x14ac:dyDescent="0.2">
      <c r="A99" s="1040"/>
      <c r="C99" s="1107" t="s">
        <v>393</v>
      </c>
      <c r="D99" s="1953" t="str">
        <f t="shared" ref="D99:T99" si="56">IF(ISERROR(D95/D97),"NA",(D95/D97))</f>
        <v>NA</v>
      </c>
      <c r="E99" s="1953">
        <f t="shared" si="56"/>
        <v>-2.3318885762806375E-2</v>
      </c>
      <c r="F99" s="1953">
        <f t="shared" si="56"/>
        <v>1.1017366583133631E-3</v>
      </c>
      <c r="G99" s="1953">
        <f t="shared" si="56"/>
        <v>-1.78365384615385E-3</v>
      </c>
      <c r="H99" s="1953">
        <f t="shared" si="56"/>
        <v>1.8888752606402551E-2</v>
      </c>
      <c r="I99" s="1953">
        <f t="shared" si="56"/>
        <v>3.1461979801219016E-2</v>
      </c>
      <c r="J99" s="1953">
        <f t="shared" si="56"/>
        <v>9.2276422764227626E-3</v>
      </c>
      <c r="K99" s="1953">
        <f t="shared" si="56"/>
        <v>-1.5494858950698654E-2</v>
      </c>
      <c r="L99" s="1953">
        <f t="shared" si="56"/>
        <v>-2.7532392211895674E-2</v>
      </c>
      <c r="M99" s="1953">
        <f t="shared" si="56"/>
        <v>-3.4197303550902176E-2</v>
      </c>
      <c r="N99" s="1953">
        <f t="shared" si="56"/>
        <v>-4.1667665143084454E-2</v>
      </c>
      <c r="O99" s="1953">
        <f t="shared" si="56"/>
        <v>-5.0030173282318915E-2</v>
      </c>
      <c r="P99" s="1953" t="str">
        <f t="shared" si="56"/>
        <v>NA</v>
      </c>
      <c r="Q99" s="1953" t="str">
        <f t="shared" si="56"/>
        <v>NA</v>
      </c>
      <c r="R99" s="1953" t="str">
        <f t="shared" si="56"/>
        <v>NA</v>
      </c>
      <c r="S99" s="1953" t="str">
        <f t="shared" si="56"/>
        <v>NA</v>
      </c>
      <c r="T99" s="1953" t="str">
        <f t="shared" si="56"/>
        <v>NA</v>
      </c>
      <c r="BH99" s="1032"/>
    </row>
    <row r="100" spans="1:60" hidden="1" outlineLevel="1" x14ac:dyDescent="0.2">
      <c r="A100" s="1040"/>
      <c r="D100" s="1028"/>
      <c r="E100" s="1028"/>
      <c r="F100" s="1028"/>
      <c r="G100" s="1028"/>
      <c r="BH100" s="1032"/>
    </row>
    <row r="101" spans="1:60" collapsed="1" x14ac:dyDescent="0.2">
      <c r="BH101" s="1032"/>
    </row>
    <row r="102" spans="1:60" x14ac:dyDescent="0.2">
      <c r="BH102" s="1032"/>
    </row>
    <row r="103" spans="1:60" x14ac:dyDescent="0.2">
      <c r="BH103" s="1032"/>
    </row>
    <row r="104" spans="1:60" x14ac:dyDescent="0.2">
      <c r="BH104" s="1032"/>
    </row>
    <row r="105" spans="1:60" x14ac:dyDescent="0.2">
      <c r="BH105" s="1032"/>
    </row>
    <row r="106" spans="1:60" x14ac:dyDescent="0.2">
      <c r="BH106" s="1032"/>
    </row>
    <row r="107" spans="1:60" x14ac:dyDescent="0.2">
      <c r="BH107" s="1032"/>
    </row>
    <row r="108" spans="1:60" x14ac:dyDescent="0.2">
      <c r="BH108" s="1032"/>
    </row>
    <row r="109" spans="1:60" x14ac:dyDescent="0.2">
      <c r="BH109" s="1032"/>
    </row>
    <row r="110" spans="1:60" x14ac:dyDescent="0.2">
      <c r="BH110" s="1032"/>
    </row>
    <row r="111" spans="1:60" x14ac:dyDescent="0.2">
      <c r="BH111" s="1032"/>
    </row>
    <row r="112" spans="1:60" x14ac:dyDescent="0.2">
      <c r="BH112" s="1032"/>
    </row>
    <row r="113" spans="60:60" x14ac:dyDescent="0.2">
      <c r="BH113" s="1032"/>
    </row>
    <row r="114" spans="60:60" x14ac:dyDescent="0.2">
      <c r="BH114" s="1032"/>
    </row>
    <row r="115" spans="60:60" x14ac:dyDescent="0.2">
      <c r="BH115" s="1032"/>
    </row>
    <row r="116" spans="60:60" x14ac:dyDescent="0.2">
      <c r="BH116" s="1032"/>
    </row>
    <row r="117" spans="60:60" x14ac:dyDescent="0.2">
      <c r="BH117" s="1032"/>
    </row>
    <row r="118" spans="60:60" x14ac:dyDescent="0.2">
      <c r="BH118" s="1032"/>
    </row>
    <row r="119" spans="60:60" x14ac:dyDescent="0.2">
      <c r="BH119" s="1032"/>
    </row>
    <row r="120" spans="60:60" x14ac:dyDescent="0.2">
      <c r="BH120" s="1032"/>
    </row>
    <row r="121" spans="60:60" x14ac:dyDescent="0.2">
      <c r="BH121" s="1032"/>
    </row>
    <row r="122" spans="60:60" x14ac:dyDescent="0.2">
      <c r="BH122" s="1032"/>
    </row>
    <row r="123" spans="60:60" x14ac:dyDescent="0.2">
      <c r="BH123" s="1032"/>
    </row>
    <row r="124" spans="60:60" x14ac:dyDescent="0.2">
      <c r="BH124" s="1032"/>
    </row>
    <row r="125" spans="60:60" x14ac:dyDescent="0.2">
      <c r="BH125" s="1032"/>
    </row>
    <row r="126" spans="60:60" x14ac:dyDescent="0.2">
      <c r="BH126" s="1032"/>
    </row>
    <row r="127" spans="60:60" x14ac:dyDescent="0.2">
      <c r="BH127" s="1032"/>
    </row>
    <row r="128" spans="60:60" x14ac:dyDescent="0.2">
      <c r="BH128" s="1032"/>
    </row>
    <row r="129" spans="60:60" x14ac:dyDescent="0.2">
      <c r="BH129" s="1032"/>
    </row>
    <row r="130" spans="60:60" x14ac:dyDescent="0.2">
      <c r="BH130" s="1032"/>
    </row>
    <row r="131" spans="60:60" x14ac:dyDescent="0.2">
      <c r="BH131" s="1032"/>
    </row>
    <row r="132" spans="60:60" x14ac:dyDescent="0.2">
      <c r="BH132" s="1032"/>
    </row>
    <row r="133" spans="60:60" x14ac:dyDescent="0.2">
      <c r="BH133" s="1032"/>
    </row>
    <row r="134" spans="60:60" x14ac:dyDescent="0.2">
      <c r="BH134" s="1032"/>
    </row>
    <row r="135" spans="60:60" x14ac:dyDescent="0.2">
      <c r="BH135" s="1032"/>
    </row>
    <row r="136" spans="60:60" x14ac:dyDescent="0.2">
      <c r="BH136" s="1032"/>
    </row>
    <row r="137" spans="60:60" x14ac:dyDescent="0.2">
      <c r="BH137" s="1032"/>
    </row>
    <row r="138" spans="60:60" x14ac:dyDescent="0.2">
      <c r="BH138" s="1032"/>
    </row>
    <row r="139" spans="60:60" x14ac:dyDescent="0.2">
      <c r="BH139" s="1032"/>
    </row>
    <row r="140" spans="60:60" x14ac:dyDescent="0.2">
      <c r="BH140" s="1032"/>
    </row>
    <row r="141" spans="60:60" x14ac:dyDescent="0.2">
      <c r="BH141" s="1032"/>
    </row>
    <row r="142" spans="60:60" x14ac:dyDescent="0.2">
      <c r="BH142" s="1032"/>
    </row>
    <row r="143" spans="60:60" x14ac:dyDescent="0.2">
      <c r="BH143" s="1032"/>
    </row>
    <row r="144" spans="60:60" x14ac:dyDescent="0.2">
      <c r="BH144" s="1032"/>
    </row>
    <row r="145" spans="60:60" x14ac:dyDescent="0.2">
      <c r="BH145" s="1032"/>
    </row>
    <row r="146" spans="60:60" x14ac:dyDescent="0.2">
      <c r="BH146" s="1032"/>
    </row>
    <row r="147" spans="60:60" x14ac:dyDescent="0.2">
      <c r="BH147" s="1032"/>
    </row>
    <row r="148" spans="60:60" x14ac:dyDescent="0.2">
      <c r="BH148" s="1032"/>
    </row>
    <row r="149" spans="60:60" x14ac:dyDescent="0.2">
      <c r="BH149" s="1032"/>
    </row>
    <row r="150" spans="60:60" x14ac:dyDescent="0.2">
      <c r="BH150" s="1032"/>
    </row>
    <row r="151" spans="60:60" x14ac:dyDescent="0.2">
      <c r="BH151" s="1032"/>
    </row>
    <row r="152" spans="60:60" x14ac:dyDescent="0.2">
      <c r="BH152" s="1032"/>
    </row>
    <row r="153" spans="60:60" x14ac:dyDescent="0.2">
      <c r="BH153" s="1032"/>
    </row>
    <row r="154" spans="60:60" x14ac:dyDescent="0.2">
      <c r="BH154" s="1032"/>
    </row>
    <row r="155" spans="60:60" x14ac:dyDescent="0.2">
      <c r="BH155" s="1032"/>
    </row>
    <row r="156" spans="60:60" x14ac:dyDescent="0.2">
      <c r="BH156" s="1032"/>
    </row>
    <row r="157" spans="60:60" x14ac:dyDescent="0.2">
      <c r="BH157" s="1032"/>
    </row>
    <row r="158" spans="60:60" x14ac:dyDescent="0.2">
      <c r="BH158" s="1032"/>
    </row>
    <row r="159" spans="60:60" x14ac:dyDescent="0.2">
      <c r="BH159" s="1032"/>
    </row>
    <row r="160" spans="60:60" x14ac:dyDescent="0.2">
      <c r="BH160" s="1032"/>
    </row>
    <row r="161" spans="60:60" x14ac:dyDescent="0.2">
      <c r="BH161" s="1032"/>
    </row>
    <row r="162" spans="60:60" x14ac:dyDescent="0.2">
      <c r="BH162" s="1032"/>
    </row>
    <row r="163" spans="60:60" x14ac:dyDescent="0.2">
      <c r="BH163" s="1032"/>
    </row>
    <row r="164" spans="60:60" x14ac:dyDescent="0.2">
      <c r="BH164" s="1032"/>
    </row>
    <row r="165" spans="60:60" x14ac:dyDescent="0.2">
      <c r="BH165" s="1032"/>
    </row>
    <row r="166" spans="60:60" x14ac:dyDescent="0.2">
      <c r="BH166" s="1032"/>
    </row>
    <row r="167" spans="60:60" x14ac:dyDescent="0.2">
      <c r="BH167" s="1032"/>
    </row>
    <row r="168" spans="60:60" x14ac:dyDescent="0.2">
      <c r="BH168" s="1032"/>
    </row>
    <row r="169" spans="60:60" x14ac:dyDescent="0.2">
      <c r="BH169" s="1032"/>
    </row>
    <row r="170" spans="60:60" x14ac:dyDescent="0.2">
      <c r="BH170" s="1032"/>
    </row>
    <row r="171" spans="60:60" x14ac:dyDescent="0.2">
      <c r="BH171" s="1032"/>
    </row>
    <row r="172" spans="60:60" x14ac:dyDescent="0.2">
      <c r="BH172" s="1032"/>
    </row>
    <row r="173" spans="60:60" x14ac:dyDescent="0.2">
      <c r="BH173" s="1032"/>
    </row>
    <row r="174" spans="60:60" x14ac:dyDescent="0.2">
      <c r="BH174" s="1032"/>
    </row>
    <row r="175" spans="60:60" x14ac:dyDescent="0.2">
      <c r="BH175" s="1032"/>
    </row>
    <row r="176" spans="60:60" x14ac:dyDescent="0.2">
      <c r="BH176" s="1032"/>
    </row>
    <row r="177" spans="40:60" x14ac:dyDescent="0.2">
      <c r="BH177" s="1032"/>
    </row>
    <row r="178" spans="40:60" x14ac:dyDescent="0.2">
      <c r="BH178" s="1032"/>
    </row>
    <row r="179" spans="40:60" x14ac:dyDescent="0.2">
      <c r="BH179" s="1032"/>
    </row>
    <row r="180" spans="40:60" x14ac:dyDescent="0.2">
      <c r="BH180" s="1032"/>
    </row>
    <row r="181" spans="40:60" x14ac:dyDescent="0.2">
      <c r="BH181" s="1032"/>
    </row>
    <row r="182" spans="40:60" x14ac:dyDescent="0.2">
      <c r="AQ182" s="1131" t="str">
        <f>IF(AND(AQ183="GBP",CODE(RIGHT(AQ183,1))=112),"BPN",AQ183)</f>
        <v>USD</v>
      </c>
      <c r="BH182" s="1032"/>
    </row>
    <row r="183" spans="40:60" x14ac:dyDescent="0.2">
      <c r="AP183" s="1132" t="s">
        <v>115</v>
      </c>
      <c r="AQ183" s="1131" t="s">
        <v>333</v>
      </c>
      <c r="BH183" s="1032"/>
    </row>
    <row r="184" spans="40:60" x14ac:dyDescent="0.2">
      <c r="AP184" s="1132" t="s">
        <v>116</v>
      </c>
      <c r="AQ184" s="1951" t="s">
        <v>333</v>
      </c>
      <c r="BH184" s="1032"/>
    </row>
    <row r="185" spans="40:60" x14ac:dyDescent="0.2">
      <c r="AQ185" s="1952"/>
      <c r="BH185" s="1032"/>
    </row>
    <row r="186" spans="40:60" x14ac:dyDescent="0.2">
      <c r="AQ186" s="1951" t="str">
        <f>AQ184</f>
        <v>USD</v>
      </c>
      <c r="AR186" s="1029" t="str">
        <f>VLOOKUP(Currency_ISOcode,$AQ$190:$AR$246,2,0)</f>
        <v>$</v>
      </c>
      <c r="AS186" s="1029" t="str">
        <f>"OPEB in "&amp;$AR$186&amp;" mn"</f>
        <v>OPEB in $ mn</v>
      </c>
      <c r="BH186" s="1032"/>
    </row>
    <row r="187" spans="40:60" x14ac:dyDescent="0.2">
      <c r="AQ187" s="1952"/>
      <c r="BH187" s="1032"/>
    </row>
    <row r="188" spans="40:60" x14ac:dyDescent="0.2">
      <c r="AQ188" s="1952"/>
      <c r="BH188" s="1032"/>
    </row>
    <row r="189" spans="40:60" x14ac:dyDescent="0.2">
      <c r="AP189" s="1111">
        <f>IF(ISERROR(MATCH($AQ$182,$AQ$190:$AQ$246,FALSE)),57,MATCH($AQ$182,$AQ$190:$AQ$246,FALSE))</f>
        <v>54</v>
      </c>
      <c r="AQ189" s="1951" t="str">
        <f>VLOOKUP($AR$189,$AN$190:$AQ$246,4,FALSE)</f>
        <v>USD</v>
      </c>
      <c r="AR189" s="1029">
        <v>54</v>
      </c>
      <c r="BH189" s="1032"/>
    </row>
    <row r="190" spans="40:60" x14ac:dyDescent="0.2">
      <c r="AN190" s="1043">
        <v>1</v>
      </c>
      <c r="AO190" s="1134" t="s">
        <v>193</v>
      </c>
      <c r="AP190" s="1134" t="s">
        <v>194</v>
      </c>
      <c r="AQ190" s="1134" t="s">
        <v>194</v>
      </c>
      <c r="AR190" s="1029" t="str">
        <f t="shared" ref="AR190:AR221" si="57">AP190</f>
        <v>AED</v>
      </c>
      <c r="BH190" s="1043"/>
    </row>
    <row r="191" spans="40:60" x14ac:dyDescent="0.2">
      <c r="AN191" s="1043">
        <v>2</v>
      </c>
      <c r="AO191" s="1134" t="s">
        <v>152</v>
      </c>
      <c r="AP191" s="1134" t="s">
        <v>153</v>
      </c>
      <c r="AQ191" s="1134" t="s">
        <v>154</v>
      </c>
      <c r="AR191" s="1029" t="str">
        <f t="shared" si="57"/>
        <v>Ar$</v>
      </c>
    </row>
    <row r="192" spans="40:60" x14ac:dyDescent="0.2">
      <c r="AN192" s="1043">
        <v>3</v>
      </c>
      <c r="AO192" s="1134" t="s">
        <v>151</v>
      </c>
      <c r="AP192" s="1134" t="s">
        <v>518</v>
      </c>
      <c r="AQ192" s="1134" t="s">
        <v>519</v>
      </c>
      <c r="AR192" s="1029" t="str">
        <f t="shared" si="57"/>
        <v>A$</v>
      </c>
    </row>
    <row r="193" spans="40:44" x14ac:dyDescent="0.2">
      <c r="AN193" s="1043">
        <v>4</v>
      </c>
      <c r="AO193" s="1134" t="s">
        <v>520</v>
      </c>
      <c r="AP193" s="1134" t="s">
        <v>521</v>
      </c>
      <c r="AQ193" s="1134" t="s">
        <v>521</v>
      </c>
      <c r="AR193" s="1029" t="str">
        <f t="shared" si="57"/>
        <v>BGL</v>
      </c>
    </row>
    <row r="194" spans="40:44" x14ac:dyDescent="0.2">
      <c r="AN194" s="1043">
        <v>5</v>
      </c>
      <c r="AO194" s="1134" t="s">
        <v>522</v>
      </c>
      <c r="AP194" s="1134" t="s">
        <v>523</v>
      </c>
      <c r="AQ194" s="1134" t="s">
        <v>523</v>
      </c>
      <c r="AR194" s="1029" t="str">
        <f t="shared" si="57"/>
        <v>BMD</v>
      </c>
    </row>
    <row r="195" spans="40:44" x14ac:dyDescent="0.2">
      <c r="AN195" s="1043">
        <v>6</v>
      </c>
      <c r="AO195" s="1134" t="s">
        <v>524</v>
      </c>
      <c r="AP195" s="1134" t="s">
        <v>263</v>
      </c>
      <c r="AQ195" s="1134" t="s">
        <v>264</v>
      </c>
      <c r="AR195" s="1029" t="str">
        <f t="shared" si="57"/>
        <v>R$</v>
      </c>
    </row>
    <row r="196" spans="40:44" x14ac:dyDescent="0.2">
      <c r="AN196" s="1043">
        <v>7</v>
      </c>
      <c r="AO196" s="1134" t="s">
        <v>265</v>
      </c>
      <c r="AP196" s="1134" t="s">
        <v>266</v>
      </c>
      <c r="AQ196" s="1134" t="s">
        <v>267</v>
      </c>
      <c r="AR196" s="1029" t="str">
        <f t="shared" si="57"/>
        <v>C$</v>
      </c>
    </row>
    <row r="197" spans="40:44" x14ac:dyDescent="0.2">
      <c r="AN197" s="1043">
        <v>8</v>
      </c>
      <c r="AO197" s="1134" t="s">
        <v>268</v>
      </c>
      <c r="AP197" s="1134" t="s">
        <v>269</v>
      </c>
      <c r="AQ197" s="1134" t="s">
        <v>517</v>
      </c>
      <c r="AR197" s="1029" t="str">
        <f t="shared" si="57"/>
        <v>SFr</v>
      </c>
    </row>
    <row r="198" spans="40:44" x14ac:dyDescent="0.2">
      <c r="AN198" s="1043">
        <v>9</v>
      </c>
      <c r="AO198" s="1134" t="s">
        <v>479</v>
      </c>
      <c r="AP198" s="1134" t="s">
        <v>480</v>
      </c>
      <c r="AQ198" s="1134" t="s">
        <v>480</v>
      </c>
      <c r="AR198" s="1029" t="str">
        <f t="shared" si="57"/>
        <v>CLP</v>
      </c>
    </row>
    <row r="199" spans="40:44" x14ac:dyDescent="0.2">
      <c r="AN199" s="1043">
        <v>10</v>
      </c>
      <c r="AO199" s="1134" t="s">
        <v>481</v>
      </c>
      <c r="AP199" s="1134" t="s">
        <v>482</v>
      </c>
      <c r="AQ199" s="1134" t="s">
        <v>483</v>
      </c>
      <c r="AR199" s="1029" t="str">
        <f t="shared" si="57"/>
        <v>Rmb</v>
      </c>
    </row>
    <row r="200" spans="40:44" x14ac:dyDescent="0.2">
      <c r="AN200" s="1043">
        <v>11</v>
      </c>
      <c r="AO200" s="1134" t="s">
        <v>484</v>
      </c>
      <c r="AP200" s="1134" t="s">
        <v>485</v>
      </c>
      <c r="AQ200" s="1134" t="s">
        <v>485</v>
      </c>
      <c r="AR200" s="1029" t="str">
        <f t="shared" si="57"/>
        <v>COP</v>
      </c>
    </row>
    <row r="201" spans="40:44" x14ac:dyDescent="0.2">
      <c r="AN201" s="1043">
        <v>12</v>
      </c>
      <c r="AO201" s="1134" t="s">
        <v>486</v>
      </c>
      <c r="AP201" s="1134" t="s">
        <v>487</v>
      </c>
      <c r="AQ201" s="1134" t="s">
        <v>488</v>
      </c>
      <c r="AR201" s="1029" t="str">
        <f t="shared" si="57"/>
        <v>Kcs</v>
      </c>
    </row>
    <row r="202" spans="40:44" x14ac:dyDescent="0.2">
      <c r="AN202" s="1043">
        <v>13</v>
      </c>
      <c r="AO202" s="1134" t="s">
        <v>489</v>
      </c>
      <c r="AP202" s="1134" t="s">
        <v>490</v>
      </c>
      <c r="AQ202" s="1134" t="s">
        <v>491</v>
      </c>
      <c r="AR202" s="1029" t="str">
        <f t="shared" si="57"/>
        <v>DKr</v>
      </c>
    </row>
    <row r="203" spans="40:44" x14ac:dyDescent="0.2">
      <c r="AN203" s="1043">
        <v>14</v>
      </c>
      <c r="AO203" s="1134" t="s">
        <v>492</v>
      </c>
      <c r="AP203" s="1134" t="s">
        <v>493</v>
      </c>
      <c r="AQ203" s="1134" t="s">
        <v>493</v>
      </c>
      <c r="AR203" s="1029" t="str">
        <f t="shared" si="57"/>
        <v>DZD</v>
      </c>
    </row>
    <row r="204" spans="40:44" x14ac:dyDescent="0.2">
      <c r="AN204" s="1043">
        <v>15</v>
      </c>
      <c r="AO204" s="1134" t="s">
        <v>494</v>
      </c>
      <c r="AP204" s="1134" t="s">
        <v>495</v>
      </c>
      <c r="AQ204" s="1134" t="s">
        <v>495</v>
      </c>
      <c r="AR204" s="1029" t="str">
        <f t="shared" si="57"/>
        <v>EGP</v>
      </c>
    </row>
    <row r="205" spans="40:44" x14ac:dyDescent="0.2">
      <c r="AN205" s="1043">
        <v>16</v>
      </c>
      <c r="AO205" s="1134" t="s">
        <v>496</v>
      </c>
      <c r="AP205" s="1134" t="s">
        <v>497</v>
      </c>
      <c r="AQ205" s="1134" t="s">
        <v>498</v>
      </c>
      <c r="AR205" s="1029" t="str">
        <f t="shared" si="57"/>
        <v>€</v>
      </c>
    </row>
    <row r="206" spans="40:44" x14ac:dyDescent="0.2">
      <c r="AN206" s="1043">
        <v>17</v>
      </c>
      <c r="AO206" s="1134" t="s">
        <v>499</v>
      </c>
      <c r="AP206" s="1134" t="s">
        <v>500</v>
      </c>
      <c r="AQ206" s="1134" t="s">
        <v>117</v>
      </c>
      <c r="AR206" s="1029" t="str">
        <f t="shared" si="57"/>
        <v>p</v>
      </c>
    </row>
    <row r="207" spans="40:44" x14ac:dyDescent="0.2">
      <c r="AN207" s="1043">
        <v>18</v>
      </c>
      <c r="AO207" s="1134" t="s">
        <v>501</v>
      </c>
      <c r="AP207" s="1134" t="s">
        <v>502</v>
      </c>
      <c r="AQ207" s="1134" t="s">
        <v>503</v>
      </c>
      <c r="AR207" s="1029" t="str">
        <f t="shared" si="57"/>
        <v>₤</v>
      </c>
    </row>
    <row r="208" spans="40:44" x14ac:dyDescent="0.2">
      <c r="AN208" s="1043">
        <v>19</v>
      </c>
      <c r="AO208" s="1134" t="s">
        <v>150</v>
      </c>
      <c r="AP208" s="1134" t="s">
        <v>433</v>
      </c>
      <c r="AQ208" s="1134" t="s">
        <v>434</v>
      </c>
      <c r="AR208" s="1029" t="str">
        <f t="shared" si="57"/>
        <v>HK$</v>
      </c>
    </row>
    <row r="209" spans="40:44" x14ac:dyDescent="0.2">
      <c r="AN209" s="1043">
        <v>20</v>
      </c>
      <c r="AO209" s="1134" t="s">
        <v>435</v>
      </c>
      <c r="AP209" s="1134" t="s">
        <v>436</v>
      </c>
      <c r="AQ209" s="1134" t="s">
        <v>437</v>
      </c>
      <c r="AR209" s="1029" t="str">
        <f t="shared" si="57"/>
        <v>Ft</v>
      </c>
    </row>
    <row r="210" spans="40:44" x14ac:dyDescent="0.2">
      <c r="AN210" s="1043">
        <v>21</v>
      </c>
      <c r="AO210" s="1134" t="s">
        <v>204</v>
      </c>
      <c r="AP210" s="1134" t="s">
        <v>205</v>
      </c>
      <c r="AQ210" s="1134" t="s">
        <v>206</v>
      </c>
      <c r="AR210" s="1029" t="str">
        <f t="shared" si="57"/>
        <v>Rp</v>
      </c>
    </row>
    <row r="211" spans="40:44" x14ac:dyDescent="0.2">
      <c r="AN211" s="1043">
        <v>22</v>
      </c>
      <c r="AO211" s="1134" t="s">
        <v>207</v>
      </c>
      <c r="AP211" s="1134" t="s">
        <v>208</v>
      </c>
      <c r="AQ211" s="1134" t="s">
        <v>208</v>
      </c>
      <c r="AR211" s="1029" t="str">
        <f t="shared" si="57"/>
        <v>ILS</v>
      </c>
    </row>
    <row r="212" spans="40:44" x14ac:dyDescent="0.2">
      <c r="AN212" s="1043">
        <v>23</v>
      </c>
      <c r="AO212" s="1134" t="s">
        <v>209</v>
      </c>
      <c r="AP212" s="1134" t="s">
        <v>210</v>
      </c>
      <c r="AQ212" s="1134" t="s">
        <v>211</v>
      </c>
      <c r="AR212" s="1029" t="str">
        <f t="shared" si="57"/>
        <v>Rs.</v>
      </c>
    </row>
    <row r="213" spans="40:44" x14ac:dyDescent="0.2">
      <c r="AN213" s="1043">
        <v>24</v>
      </c>
      <c r="AO213" s="1134" t="s">
        <v>212</v>
      </c>
      <c r="AP213" s="1134" t="s">
        <v>213</v>
      </c>
      <c r="AQ213" s="1134" t="s">
        <v>213</v>
      </c>
      <c r="AR213" s="1029" t="str">
        <f t="shared" si="57"/>
        <v>IQD</v>
      </c>
    </row>
    <row r="214" spans="40:44" x14ac:dyDescent="0.2">
      <c r="AN214" s="1043">
        <v>25</v>
      </c>
      <c r="AO214" s="1134" t="s">
        <v>214</v>
      </c>
      <c r="AP214" s="1134" t="s">
        <v>215</v>
      </c>
      <c r="AQ214" s="1134" t="s">
        <v>215</v>
      </c>
      <c r="AR214" s="1029" t="str">
        <f t="shared" si="57"/>
        <v>IRR</v>
      </c>
    </row>
    <row r="215" spans="40:44" x14ac:dyDescent="0.2">
      <c r="AN215" s="1043">
        <v>26</v>
      </c>
      <c r="AO215" s="1134" t="s">
        <v>216</v>
      </c>
      <c r="AP215" s="1134" t="s">
        <v>217</v>
      </c>
      <c r="AQ215" s="1134" t="s">
        <v>218</v>
      </c>
      <c r="AR215" s="1029" t="str">
        <f t="shared" si="57"/>
        <v>kr</v>
      </c>
    </row>
    <row r="216" spans="40:44" x14ac:dyDescent="0.2">
      <c r="AN216" s="1043">
        <v>27</v>
      </c>
      <c r="AO216" s="1134" t="s">
        <v>219</v>
      </c>
      <c r="AP216" s="1134" t="s">
        <v>139</v>
      </c>
      <c r="AQ216" s="1134" t="s">
        <v>139</v>
      </c>
      <c r="AR216" s="1029" t="str">
        <f t="shared" si="57"/>
        <v>JMD</v>
      </c>
    </row>
    <row r="217" spans="40:44" x14ac:dyDescent="0.2">
      <c r="AN217" s="1043">
        <v>28</v>
      </c>
      <c r="AO217" s="1134" t="s">
        <v>140</v>
      </c>
      <c r="AP217" s="1134" t="s">
        <v>141</v>
      </c>
      <c r="AQ217" s="1134" t="s">
        <v>142</v>
      </c>
      <c r="AR217" s="1029" t="str">
        <f t="shared" si="57"/>
        <v>¥</v>
      </c>
    </row>
    <row r="218" spans="40:44" x14ac:dyDescent="0.2">
      <c r="AN218" s="1043">
        <v>29</v>
      </c>
      <c r="AO218" s="1134" t="s">
        <v>143</v>
      </c>
      <c r="AP218" s="1134" t="s">
        <v>144</v>
      </c>
      <c r="AQ218" s="1134" t="s">
        <v>144</v>
      </c>
      <c r="AR218" s="1029" t="str">
        <f t="shared" si="57"/>
        <v>KES</v>
      </c>
    </row>
    <row r="219" spans="40:44" x14ac:dyDescent="0.2">
      <c r="AN219" s="1043">
        <v>30</v>
      </c>
      <c r="AO219" s="1134" t="s">
        <v>614</v>
      </c>
      <c r="AP219" s="1134" t="s">
        <v>615</v>
      </c>
      <c r="AQ219" s="1134" t="s">
        <v>616</v>
      </c>
      <c r="AR219" s="1029" t="str">
        <f t="shared" si="57"/>
        <v>₩</v>
      </c>
    </row>
    <row r="220" spans="40:44" x14ac:dyDescent="0.2">
      <c r="AN220" s="1043">
        <v>31</v>
      </c>
      <c r="AO220" s="1134" t="s">
        <v>617</v>
      </c>
      <c r="AP220" s="1134" t="s">
        <v>618</v>
      </c>
      <c r="AQ220" s="1134" t="s">
        <v>618</v>
      </c>
      <c r="AR220" s="1029" t="str">
        <f t="shared" si="57"/>
        <v>KWD</v>
      </c>
    </row>
    <row r="221" spans="40:44" x14ac:dyDescent="0.2">
      <c r="AN221" s="1043">
        <v>32</v>
      </c>
      <c r="AO221" s="1134" t="s">
        <v>619</v>
      </c>
      <c r="AP221" s="1134" t="s">
        <v>199</v>
      </c>
      <c r="AQ221" s="1134" t="s">
        <v>199</v>
      </c>
      <c r="AR221" s="1029" t="str">
        <f t="shared" si="57"/>
        <v>KYD</v>
      </c>
    </row>
    <row r="222" spans="40:44" x14ac:dyDescent="0.2">
      <c r="AN222" s="1043">
        <v>33</v>
      </c>
      <c r="AO222" s="1134" t="s">
        <v>200</v>
      </c>
      <c r="AP222" s="1134" t="s">
        <v>201</v>
      </c>
      <c r="AQ222" s="1134" t="s">
        <v>201</v>
      </c>
      <c r="AR222" s="1029" t="str">
        <f t="shared" ref="AR222:AR245" si="58">AP222</f>
        <v>LKR</v>
      </c>
    </row>
    <row r="223" spans="40:44" x14ac:dyDescent="0.2">
      <c r="AN223" s="1043">
        <v>34</v>
      </c>
      <c r="AO223" s="1134" t="s">
        <v>202</v>
      </c>
      <c r="AP223" s="1134" t="s">
        <v>203</v>
      </c>
      <c r="AQ223" s="1134" t="s">
        <v>203</v>
      </c>
      <c r="AR223" s="1029" t="str">
        <f t="shared" si="58"/>
        <v>MAD</v>
      </c>
    </row>
    <row r="224" spans="40:44" x14ac:dyDescent="0.2">
      <c r="AN224" s="1043">
        <v>35</v>
      </c>
      <c r="AO224" s="1134" t="s">
        <v>567</v>
      </c>
      <c r="AP224" s="1134" t="s">
        <v>568</v>
      </c>
      <c r="AQ224" s="1134" t="s">
        <v>569</v>
      </c>
      <c r="AR224" s="1029" t="str">
        <f t="shared" si="58"/>
        <v>M$</v>
      </c>
    </row>
    <row r="225" spans="40:44" x14ac:dyDescent="0.2">
      <c r="AN225" s="1043">
        <v>36</v>
      </c>
      <c r="AO225" s="1134" t="s">
        <v>228</v>
      </c>
      <c r="AP225" s="1134" t="s">
        <v>229</v>
      </c>
      <c r="AQ225" s="1134" t="s">
        <v>230</v>
      </c>
      <c r="AR225" s="1029" t="str">
        <f t="shared" si="58"/>
        <v>RM</v>
      </c>
    </row>
    <row r="226" spans="40:44" x14ac:dyDescent="0.2">
      <c r="AN226" s="1043">
        <v>37</v>
      </c>
      <c r="AO226" s="1134" t="s">
        <v>570</v>
      </c>
      <c r="AP226" s="1134" t="s">
        <v>571</v>
      </c>
      <c r="AQ226" s="1134" t="s">
        <v>572</v>
      </c>
      <c r="AR226" s="1029" t="str">
        <f t="shared" si="58"/>
        <v>NKr</v>
      </c>
    </row>
    <row r="227" spans="40:44" x14ac:dyDescent="0.2">
      <c r="AN227" s="1043">
        <v>38</v>
      </c>
      <c r="AO227" s="1134" t="s">
        <v>286</v>
      </c>
      <c r="AP227" s="1134" t="s">
        <v>238</v>
      </c>
      <c r="AQ227" s="1134" t="s">
        <v>573</v>
      </c>
      <c r="AR227" s="1029" t="str">
        <f t="shared" si="58"/>
        <v>NZ$</v>
      </c>
    </row>
    <row r="228" spans="40:44" x14ac:dyDescent="0.2">
      <c r="AN228" s="1043">
        <v>39</v>
      </c>
      <c r="AO228" s="1134" t="s">
        <v>574</v>
      </c>
      <c r="AP228" s="1134" t="s">
        <v>575</v>
      </c>
      <c r="AQ228" s="1134" t="s">
        <v>575</v>
      </c>
      <c r="AR228" s="1029" t="str">
        <f t="shared" si="58"/>
        <v>OMR</v>
      </c>
    </row>
    <row r="229" spans="40:44" x14ac:dyDescent="0.2">
      <c r="AN229" s="1043">
        <v>40</v>
      </c>
      <c r="AO229" s="1134" t="s">
        <v>576</v>
      </c>
      <c r="AP229" s="1134" t="s">
        <v>577</v>
      </c>
      <c r="AQ229" s="1134" t="s">
        <v>577</v>
      </c>
      <c r="AR229" s="1029" t="str">
        <f t="shared" si="58"/>
        <v>PAB</v>
      </c>
    </row>
    <row r="230" spans="40:44" x14ac:dyDescent="0.2">
      <c r="AN230" s="1043">
        <v>41</v>
      </c>
      <c r="AO230" s="1134" t="s">
        <v>578</v>
      </c>
      <c r="AP230" s="1134" t="s">
        <v>579</v>
      </c>
      <c r="AQ230" s="1134" t="s">
        <v>579</v>
      </c>
      <c r="AR230" s="1029" t="str">
        <f t="shared" si="58"/>
        <v>PEN</v>
      </c>
    </row>
    <row r="231" spans="40:44" x14ac:dyDescent="0.2">
      <c r="AN231" s="1043">
        <v>42</v>
      </c>
      <c r="AO231" s="1134" t="s">
        <v>580</v>
      </c>
      <c r="AP231" s="1134" t="s">
        <v>581</v>
      </c>
      <c r="AQ231" s="1134" t="s">
        <v>582</v>
      </c>
      <c r="AR231" s="1029" t="str">
        <f t="shared" si="58"/>
        <v>PP</v>
      </c>
    </row>
    <row r="232" spans="40:44" x14ac:dyDescent="0.2">
      <c r="AN232" s="1043">
        <v>43</v>
      </c>
      <c r="AO232" s="1134" t="s">
        <v>583</v>
      </c>
      <c r="AP232" s="1134" t="s">
        <v>210</v>
      </c>
      <c r="AQ232" s="1134" t="s">
        <v>584</v>
      </c>
      <c r="AR232" s="1029" t="str">
        <f t="shared" si="58"/>
        <v>Rs.</v>
      </c>
    </row>
    <row r="233" spans="40:44" x14ac:dyDescent="0.2">
      <c r="AN233" s="1043">
        <v>44</v>
      </c>
      <c r="AO233" s="1134" t="s">
        <v>297</v>
      </c>
      <c r="AP233" s="1134" t="s">
        <v>298</v>
      </c>
      <c r="AQ233" s="1134" t="s">
        <v>622</v>
      </c>
      <c r="AR233" s="1029" t="str">
        <f t="shared" si="58"/>
        <v>zł</v>
      </c>
    </row>
    <row r="234" spans="40:44" x14ac:dyDescent="0.2">
      <c r="AN234" s="1043">
        <v>45</v>
      </c>
      <c r="AO234" s="1134" t="s">
        <v>623</v>
      </c>
      <c r="AP234" s="1134" t="s">
        <v>624</v>
      </c>
      <c r="AQ234" s="1134" t="s">
        <v>624</v>
      </c>
      <c r="AR234" s="1029" t="str">
        <f t="shared" si="58"/>
        <v>RUB</v>
      </c>
    </row>
    <row r="235" spans="40:44" x14ac:dyDescent="0.2">
      <c r="AN235" s="1043">
        <v>46</v>
      </c>
      <c r="AO235" s="1134" t="s">
        <v>625</v>
      </c>
      <c r="AP235" s="1134" t="s">
        <v>626</v>
      </c>
      <c r="AQ235" s="1134" t="s">
        <v>626</v>
      </c>
      <c r="AR235" s="1029" t="str">
        <f t="shared" si="58"/>
        <v>SAR</v>
      </c>
    </row>
    <row r="236" spans="40:44" x14ac:dyDescent="0.2">
      <c r="AN236" s="1043">
        <v>47</v>
      </c>
      <c r="AO236" s="1134" t="s">
        <v>627</v>
      </c>
      <c r="AP236" s="1134" t="s">
        <v>628</v>
      </c>
      <c r="AQ236" s="1134" t="s">
        <v>629</v>
      </c>
      <c r="AR236" s="1029" t="str">
        <f t="shared" si="58"/>
        <v>SKr</v>
      </c>
    </row>
    <row r="237" spans="40:44" x14ac:dyDescent="0.2">
      <c r="AN237" s="1043">
        <v>48</v>
      </c>
      <c r="AO237" s="1134" t="s">
        <v>165</v>
      </c>
      <c r="AP237" s="1134" t="s">
        <v>166</v>
      </c>
      <c r="AQ237" s="1134" t="s">
        <v>167</v>
      </c>
      <c r="AR237" s="1029" t="str">
        <f t="shared" si="58"/>
        <v>S$</v>
      </c>
    </row>
    <row r="238" spans="40:44" x14ac:dyDescent="0.2">
      <c r="AN238" s="1043">
        <v>49</v>
      </c>
      <c r="AO238" s="1134" t="s">
        <v>168</v>
      </c>
      <c r="AP238" s="1134" t="s">
        <v>169</v>
      </c>
      <c r="AQ238" s="1134" t="s">
        <v>170</v>
      </c>
      <c r="AR238" s="1029" t="str">
        <f t="shared" si="58"/>
        <v>Bt</v>
      </c>
    </row>
    <row r="239" spans="40:44" x14ac:dyDescent="0.2">
      <c r="AN239" s="1043">
        <v>50</v>
      </c>
      <c r="AO239" s="1134" t="s">
        <v>171</v>
      </c>
      <c r="AP239" s="1134" t="s">
        <v>172</v>
      </c>
      <c r="AQ239" s="1134" t="s">
        <v>172</v>
      </c>
      <c r="AR239" s="1029" t="str">
        <f t="shared" si="58"/>
        <v>TND</v>
      </c>
    </row>
    <row r="240" spans="40:44" x14ac:dyDescent="0.2">
      <c r="AN240" s="1043">
        <v>51</v>
      </c>
      <c r="AO240" s="1134" t="s">
        <v>173</v>
      </c>
      <c r="AP240" s="1134" t="s">
        <v>174</v>
      </c>
      <c r="AQ240" s="1134" t="s">
        <v>175</v>
      </c>
      <c r="AR240" s="1029" t="str">
        <f t="shared" si="58"/>
        <v>YTL</v>
      </c>
    </row>
    <row r="241" spans="40:44" x14ac:dyDescent="0.2">
      <c r="AN241" s="1043">
        <v>52</v>
      </c>
      <c r="AO241" s="1134" t="s">
        <v>176</v>
      </c>
      <c r="AP241" s="1134" t="s">
        <v>177</v>
      </c>
      <c r="AQ241" s="1134" t="s">
        <v>178</v>
      </c>
      <c r="AR241" s="1029" t="str">
        <f t="shared" si="58"/>
        <v>NT$</v>
      </c>
    </row>
    <row r="242" spans="40:44" x14ac:dyDescent="0.2">
      <c r="AN242" s="1043">
        <v>53</v>
      </c>
      <c r="AO242" s="1134" t="s">
        <v>179</v>
      </c>
      <c r="AP242" s="1134" t="s">
        <v>180</v>
      </c>
      <c r="AQ242" s="1134" t="s">
        <v>180</v>
      </c>
      <c r="AR242" s="1029" t="str">
        <f t="shared" si="58"/>
        <v>UAH</v>
      </c>
    </row>
    <row r="243" spans="40:44" x14ac:dyDescent="0.2">
      <c r="AN243" s="1043">
        <v>54</v>
      </c>
      <c r="AO243" s="1134" t="s">
        <v>181</v>
      </c>
      <c r="AP243" s="1134" t="s">
        <v>182</v>
      </c>
      <c r="AQ243" s="1134" t="s">
        <v>333</v>
      </c>
      <c r="AR243" s="1029" t="str">
        <f t="shared" si="58"/>
        <v>$</v>
      </c>
    </row>
    <row r="244" spans="40:44" x14ac:dyDescent="0.2">
      <c r="AN244" s="1043">
        <v>55</v>
      </c>
      <c r="AO244" s="1134" t="s">
        <v>241</v>
      </c>
      <c r="AP244" s="1134" t="s">
        <v>242</v>
      </c>
      <c r="AQ244" s="1134" t="s">
        <v>242</v>
      </c>
      <c r="AR244" s="1029" t="str">
        <f t="shared" si="58"/>
        <v>VEB</v>
      </c>
    </row>
    <row r="245" spans="40:44" x14ac:dyDescent="0.2">
      <c r="AN245" s="1043">
        <v>56</v>
      </c>
      <c r="AO245" s="1134" t="s">
        <v>243</v>
      </c>
      <c r="AP245" s="1134" t="s">
        <v>244</v>
      </c>
      <c r="AQ245" s="1134" t="s">
        <v>244</v>
      </c>
      <c r="AR245" s="1029" t="str">
        <f t="shared" si="58"/>
        <v>ZAR</v>
      </c>
    </row>
    <row r="246" spans="40:44" x14ac:dyDescent="0.2">
      <c r="AN246" s="1043">
        <v>57</v>
      </c>
      <c r="AO246" s="1134" t="s">
        <v>118</v>
      </c>
      <c r="AP246" s="1112"/>
      <c r="AQ246" s="1134" t="s">
        <v>227</v>
      </c>
      <c r="AR246" s="1029" t="s">
        <v>227</v>
      </c>
    </row>
  </sheetData>
  <mergeCells count="3">
    <mergeCell ref="U69:Y69"/>
    <mergeCell ref="C55:T55"/>
    <mergeCell ref="A1:A2"/>
  </mergeCells>
  <pageMargins left="0.75" right="0.75" top="1" bottom="1" header="0.5" footer="0.5"/>
  <pageSetup scale="69" orientation="landscape" r:id="rId1"/>
  <headerFooter alignWithMargins="0"/>
  <rowBreaks count="1" manualBreakCount="1">
    <brk id="53" max="16383" man="1"/>
  </rowBreaks>
  <colBreaks count="1" manualBreakCount="1">
    <brk id="25" max="1048575" man="1"/>
  </colBreaks>
  <drawing r:id="rId2"/>
  <legacyDrawing r:id="rId3"/>
  <controls>
    <mc:AlternateContent xmlns:mc="http://schemas.openxmlformats.org/markup-compatibility/2006">
      <mc:Choice Requires="x14">
        <control shapeId="6657057" r:id="rId4" name="CommandButton1">
          <controlPr defaultSize="0" autoLine="0" r:id="rId5">
            <anchor moveWithCells="1">
              <from>
                <xdr:col>20</xdr:col>
                <xdr:colOff>209550</xdr:colOff>
                <xdr:row>0</xdr:row>
                <xdr:rowOff>66675</xdr:rowOff>
              </from>
              <to>
                <xdr:col>22</xdr:col>
                <xdr:colOff>180975</xdr:colOff>
                <xdr:row>1</xdr:row>
                <xdr:rowOff>133350</xdr:rowOff>
              </to>
            </anchor>
          </controlPr>
        </control>
      </mc:Choice>
      <mc:Fallback>
        <control shapeId="6657057" r:id="rId4" name="CommandButton1"/>
      </mc:Fallback>
    </mc:AlternateContent>
    <mc:AlternateContent xmlns:mc="http://schemas.openxmlformats.org/markup-compatibility/2006">
      <mc:Choice Requires="x14">
        <control shapeId="6657058" r:id="rId6" name="CommandButton2">
          <controlPr defaultSize="0" autoLine="0" r:id="rId7">
            <anchor moveWithCells="1">
              <from>
                <xdr:col>23</xdr:col>
                <xdr:colOff>76200</xdr:colOff>
                <xdr:row>0</xdr:row>
                <xdr:rowOff>57150</xdr:rowOff>
              </from>
              <to>
                <xdr:col>26</xdr:col>
                <xdr:colOff>0</xdr:colOff>
                <xdr:row>1</xdr:row>
                <xdr:rowOff>133350</xdr:rowOff>
              </to>
            </anchor>
          </controlPr>
        </control>
      </mc:Choice>
      <mc:Fallback>
        <control shapeId="6657058" r:id="rId6" name="CommandButton2"/>
      </mc:Fallback>
    </mc:AlternateContent>
    <mc:AlternateContent xmlns:mc="http://schemas.openxmlformats.org/markup-compatibility/2006">
      <mc:Choice Requires="x14">
        <control shapeId="6657059" r:id="rId8" name="ComboBox1">
          <controlPr defaultSize="0" autoLine="0" linkedCell="AY20" listFillRange="AY21:AY22" r:id="rId9">
            <anchor moveWithCells="1">
              <from>
                <xdr:col>10</xdr:col>
                <xdr:colOff>476250</xdr:colOff>
                <xdr:row>0</xdr:row>
                <xdr:rowOff>85725</xdr:rowOff>
              </from>
              <to>
                <xdr:col>13</xdr:col>
                <xdr:colOff>657225</xdr:colOff>
                <xdr:row>1</xdr:row>
                <xdr:rowOff>171450</xdr:rowOff>
              </to>
            </anchor>
          </controlPr>
        </control>
      </mc:Choice>
      <mc:Fallback>
        <control shapeId="6657059" r:id="rId8" name="ComboBox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CM246"/>
  <sheetViews>
    <sheetView showGridLines="0" workbookViewId="0">
      <selection activeCell="K2" sqref="K2"/>
    </sheetView>
  </sheetViews>
  <sheetFormatPr defaultRowHeight="12.75" outlineLevelRow="1" outlineLevelCol="1" x14ac:dyDescent="0.2"/>
  <cols>
    <col min="1" max="1" width="1.28515625" style="1035" customWidth="1"/>
    <col min="2" max="2" width="7" style="1129" customWidth="1"/>
    <col min="3" max="3" width="45.42578125" style="1129" customWidth="1"/>
    <col min="4" max="4" width="10.42578125" style="1129" hidden="1" customWidth="1" outlineLevel="1"/>
    <col min="5" max="5" width="12.42578125" style="1129" hidden="1" customWidth="1" outlineLevel="1"/>
    <col min="6" max="6" width="11.42578125" style="1129" hidden="1" customWidth="1" outlineLevel="1"/>
    <col min="7" max="7" width="13.42578125" style="1129" hidden="1" customWidth="1" outlineLevel="1"/>
    <col min="8" max="8" width="10.140625" style="1126" customWidth="1" collapsed="1"/>
    <col min="9" max="13" width="10.140625" style="1126" customWidth="1"/>
    <col min="14" max="14" width="10.140625" style="1127" customWidth="1"/>
    <col min="15" max="15" width="10.140625" style="1126" customWidth="1"/>
    <col min="16" max="18" width="10.140625" style="1126" hidden="1" customWidth="1" outlineLevel="1"/>
    <col min="19" max="20" width="10.140625" style="1128" hidden="1" customWidth="1" outlineLevel="1"/>
    <col min="21" max="21" width="4.5703125" style="1028" hidden="1" customWidth="1" outlineLevel="1"/>
    <col min="22" max="22" width="19.140625" style="1029" customWidth="1" collapsed="1"/>
    <col min="23" max="27" width="9.140625" style="1029"/>
    <col min="28" max="28" width="41.140625" bestFit="1" customWidth="1"/>
    <col min="29" max="29" width="12.5703125" bestFit="1" customWidth="1"/>
    <col min="30" max="31" width="11.28515625" bestFit="1" customWidth="1"/>
    <col min="32" max="32" width="18.140625" bestFit="1" customWidth="1"/>
    <col min="33" max="33" width="10.28515625" bestFit="1" customWidth="1"/>
    <col min="34" max="34" width="9.42578125" style="1029" hidden="1" customWidth="1"/>
    <col min="35" max="39" width="9.140625" style="1029" hidden="1" customWidth="1"/>
    <col min="40" max="40" width="108.5703125" style="1032" hidden="1" customWidth="1" outlineLevel="1"/>
    <col min="41" max="41" width="9.140625" style="1029" collapsed="1"/>
    <col min="42" max="42" width="34.42578125" style="1029" customWidth="1"/>
    <col min="43" max="43" width="9.140625" style="1029"/>
    <col min="44" max="44" width="10.42578125" style="1029" customWidth="1"/>
    <col min="45" max="47" width="9.140625" style="1029"/>
    <col min="48" max="48" width="24.85546875" style="1029" customWidth="1"/>
    <col min="49" max="50" width="9.140625" style="1029"/>
    <col min="51" max="51" width="16.85546875" style="1029" customWidth="1"/>
    <col min="52" max="52" width="8" style="1029" customWidth="1"/>
    <col min="53" max="53" width="7.5703125" style="1029" bestFit="1" customWidth="1"/>
    <col min="54" max="54" width="8.7109375" style="1029" customWidth="1"/>
    <col min="55" max="55" width="9.140625" style="1029"/>
    <col min="56" max="56" width="7.5703125" style="1029" bestFit="1" customWidth="1"/>
    <col min="57" max="58" width="9.140625" style="1029"/>
    <col min="59" max="59" width="9.140625" style="1031"/>
    <col min="60" max="61" width="9.140625" style="1029"/>
    <col min="62" max="62" width="13.28515625" style="1029" bestFit="1" customWidth="1"/>
    <col min="63" max="80" width="9.140625" style="1029"/>
    <col min="81" max="81" width="13.28515625" style="1029" bestFit="1" customWidth="1"/>
    <col min="82" max="82" width="10.5703125" style="1029" bestFit="1" customWidth="1"/>
    <col min="83" max="256" width="9.140625" style="1029"/>
    <col min="257" max="257" width="1.28515625" style="1029" customWidth="1"/>
    <col min="258" max="258" width="7" style="1029" customWidth="1"/>
    <col min="259" max="259" width="45.42578125" style="1029" customWidth="1"/>
    <col min="260" max="263" width="0" style="1029" hidden="1" customWidth="1"/>
    <col min="264" max="270" width="10.140625" style="1029" customWidth="1"/>
    <col min="271" max="276" width="0" style="1029" hidden="1" customWidth="1"/>
    <col min="277" max="277" width="4.5703125" style="1029" customWidth="1"/>
    <col min="278" max="278" width="19.140625" style="1029" customWidth="1"/>
    <col min="279" max="283" width="9.140625" style="1029"/>
    <col min="284" max="284" width="41.140625" style="1029" bestFit="1" customWidth="1"/>
    <col min="285" max="285" width="12.5703125" style="1029" bestFit="1" customWidth="1"/>
    <col min="286" max="287" width="11.28515625" style="1029" bestFit="1" customWidth="1"/>
    <col min="288" max="288" width="18.140625" style="1029" bestFit="1" customWidth="1"/>
    <col min="289" max="289" width="10.28515625" style="1029" bestFit="1" customWidth="1"/>
    <col min="290" max="296" width="0" style="1029" hidden="1" customWidth="1"/>
    <col min="297" max="297" width="9.140625" style="1029"/>
    <col min="298" max="298" width="34.42578125" style="1029" customWidth="1"/>
    <col min="299" max="299" width="9.140625" style="1029"/>
    <col min="300" max="300" width="10.42578125" style="1029" customWidth="1"/>
    <col min="301" max="303" width="9.140625" style="1029"/>
    <col min="304" max="304" width="24.85546875" style="1029" customWidth="1"/>
    <col min="305" max="306" width="9.140625" style="1029"/>
    <col min="307" max="307" width="16.85546875" style="1029" customWidth="1"/>
    <col min="308" max="308" width="8" style="1029" customWidth="1"/>
    <col min="309" max="309" width="7.5703125" style="1029" bestFit="1" customWidth="1"/>
    <col min="310" max="310" width="8.7109375" style="1029" customWidth="1"/>
    <col min="311" max="311" width="9.140625" style="1029"/>
    <col min="312" max="312" width="7.5703125" style="1029" bestFit="1" customWidth="1"/>
    <col min="313" max="317" width="9.140625" style="1029"/>
    <col min="318" max="318" width="13.28515625" style="1029" bestFit="1" customWidth="1"/>
    <col min="319" max="336" width="9.140625" style="1029"/>
    <col min="337" max="337" width="13.28515625" style="1029" bestFit="1" customWidth="1"/>
    <col min="338" max="338" width="10.5703125" style="1029" bestFit="1" customWidth="1"/>
    <col min="339" max="512" width="9.140625" style="1029"/>
    <col min="513" max="513" width="1.28515625" style="1029" customWidth="1"/>
    <col min="514" max="514" width="7" style="1029" customWidth="1"/>
    <col min="515" max="515" width="45.42578125" style="1029" customWidth="1"/>
    <col min="516" max="519" width="0" style="1029" hidden="1" customWidth="1"/>
    <col min="520" max="526" width="10.140625" style="1029" customWidth="1"/>
    <col min="527" max="532" width="0" style="1029" hidden="1" customWidth="1"/>
    <col min="533" max="533" width="4.5703125" style="1029" customWidth="1"/>
    <col min="534" max="534" width="19.140625" style="1029" customWidth="1"/>
    <col min="535" max="539" width="9.140625" style="1029"/>
    <col min="540" max="540" width="41.140625" style="1029" bestFit="1" customWidth="1"/>
    <col min="541" max="541" width="12.5703125" style="1029" bestFit="1" customWidth="1"/>
    <col min="542" max="543" width="11.28515625" style="1029" bestFit="1" customWidth="1"/>
    <col min="544" max="544" width="18.140625" style="1029" bestFit="1" customWidth="1"/>
    <col min="545" max="545" width="10.28515625" style="1029" bestFit="1" customWidth="1"/>
    <col min="546" max="552" width="0" style="1029" hidden="1" customWidth="1"/>
    <col min="553" max="553" width="9.140625" style="1029"/>
    <col min="554" max="554" width="34.42578125" style="1029" customWidth="1"/>
    <col min="555" max="555" width="9.140625" style="1029"/>
    <col min="556" max="556" width="10.42578125" style="1029" customWidth="1"/>
    <col min="557" max="559" width="9.140625" style="1029"/>
    <col min="560" max="560" width="24.85546875" style="1029" customWidth="1"/>
    <col min="561" max="562" width="9.140625" style="1029"/>
    <col min="563" max="563" width="16.85546875" style="1029" customWidth="1"/>
    <col min="564" max="564" width="8" style="1029" customWidth="1"/>
    <col min="565" max="565" width="7.5703125" style="1029" bestFit="1" customWidth="1"/>
    <col min="566" max="566" width="8.7109375" style="1029" customWidth="1"/>
    <col min="567" max="567" width="9.140625" style="1029"/>
    <col min="568" max="568" width="7.5703125" style="1029" bestFit="1" customWidth="1"/>
    <col min="569" max="573" width="9.140625" style="1029"/>
    <col min="574" max="574" width="13.28515625" style="1029" bestFit="1" customWidth="1"/>
    <col min="575" max="592" width="9.140625" style="1029"/>
    <col min="593" max="593" width="13.28515625" style="1029" bestFit="1" customWidth="1"/>
    <col min="594" max="594" width="10.5703125" style="1029" bestFit="1" customWidth="1"/>
    <col min="595" max="768" width="9.140625" style="1029"/>
    <col min="769" max="769" width="1.28515625" style="1029" customWidth="1"/>
    <col min="770" max="770" width="7" style="1029" customWidth="1"/>
    <col min="771" max="771" width="45.42578125" style="1029" customWidth="1"/>
    <col min="772" max="775" width="0" style="1029" hidden="1" customWidth="1"/>
    <col min="776" max="782" width="10.140625" style="1029" customWidth="1"/>
    <col min="783" max="788" width="0" style="1029" hidden="1" customWidth="1"/>
    <col min="789" max="789" width="4.5703125" style="1029" customWidth="1"/>
    <col min="790" max="790" width="19.140625" style="1029" customWidth="1"/>
    <col min="791" max="795" width="9.140625" style="1029"/>
    <col min="796" max="796" width="41.140625" style="1029" bestFit="1" customWidth="1"/>
    <col min="797" max="797" width="12.5703125" style="1029" bestFit="1" customWidth="1"/>
    <col min="798" max="799" width="11.28515625" style="1029" bestFit="1" customWidth="1"/>
    <col min="800" max="800" width="18.140625" style="1029" bestFit="1" customWidth="1"/>
    <col min="801" max="801" width="10.28515625" style="1029" bestFit="1" customWidth="1"/>
    <col min="802" max="808" width="0" style="1029" hidden="1" customWidth="1"/>
    <col min="809" max="809" width="9.140625" style="1029"/>
    <col min="810" max="810" width="34.42578125" style="1029" customWidth="1"/>
    <col min="811" max="811" width="9.140625" style="1029"/>
    <col min="812" max="812" width="10.42578125" style="1029" customWidth="1"/>
    <col min="813" max="815" width="9.140625" style="1029"/>
    <col min="816" max="816" width="24.85546875" style="1029" customWidth="1"/>
    <col min="817" max="818" width="9.140625" style="1029"/>
    <col min="819" max="819" width="16.85546875" style="1029" customWidth="1"/>
    <col min="820" max="820" width="8" style="1029" customWidth="1"/>
    <col min="821" max="821" width="7.5703125" style="1029" bestFit="1" customWidth="1"/>
    <col min="822" max="822" width="8.7109375" style="1029" customWidth="1"/>
    <col min="823" max="823" width="9.140625" style="1029"/>
    <col min="824" max="824" width="7.5703125" style="1029" bestFit="1" customWidth="1"/>
    <col min="825" max="829" width="9.140625" style="1029"/>
    <col min="830" max="830" width="13.28515625" style="1029" bestFit="1" customWidth="1"/>
    <col min="831" max="848" width="9.140625" style="1029"/>
    <col min="849" max="849" width="13.28515625" style="1029" bestFit="1" customWidth="1"/>
    <col min="850" max="850" width="10.5703125" style="1029" bestFit="1" customWidth="1"/>
    <col min="851" max="1024" width="9.140625" style="1029"/>
    <col min="1025" max="1025" width="1.28515625" style="1029" customWidth="1"/>
    <col min="1026" max="1026" width="7" style="1029" customWidth="1"/>
    <col min="1027" max="1027" width="45.42578125" style="1029" customWidth="1"/>
    <col min="1028" max="1031" width="0" style="1029" hidden="1" customWidth="1"/>
    <col min="1032" max="1038" width="10.140625" style="1029" customWidth="1"/>
    <col min="1039" max="1044" width="0" style="1029" hidden="1" customWidth="1"/>
    <col min="1045" max="1045" width="4.5703125" style="1029" customWidth="1"/>
    <col min="1046" max="1046" width="19.140625" style="1029" customWidth="1"/>
    <col min="1047" max="1051" width="9.140625" style="1029"/>
    <col min="1052" max="1052" width="41.140625" style="1029" bestFit="1" customWidth="1"/>
    <col min="1053" max="1053" width="12.5703125" style="1029" bestFit="1" customWidth="1"/>
    <col min="1054" max="1055" width="11.28515625" style="1029" bestFit="1" customWidth="1"/>
    <col min="1056" max="1056" width="18.140625" style="1029" bestFit="1" customWidth="1"/>
    <col min="1057" max="1057" width="10.28515625" style="1029" bestFit="1" customWidth="1"/>
    <col min="1058" max="1064" width="0" style="1029" hidden="1" customWidth="1"/>
    <col min="1065" max="1065" width="9.140625" style="1029"/>
    <col min="1066" max="1066" width="34.42578125" style="1029" customWidth="1"/>
    <col min="1067" max="1067" width="9.140625" style="1029"/>
    <col min="1068" max="1068" width="10.42578125" style="1029" customWidth="1"/>
    <col min="1069" max="1071" width="9.140625" style="1029"/>
    <col min="1072" max="1072" width="24.85546875" style="1029" customWidth="1"/>
    <col min="1073" max="1074" width="9.140625" style="1029"/>
    <col min="1075" max="1075" width="16.85546875" style="1029" customWidth="1"/>
    <col min="1076" max="1076" width="8" style="1029" customWidth="1"/>
    <col min="1077" max="1077" width="7.5703125" style="1029" bestFit="1" customWidth="1"/>
    <col min="1078" max="1078" width="8.7109375" style="1029" customWidth="1"/>
    <col min="1079" max="1079" width="9.140625" style="1029"/>
    <col min="1080" max="1080" width="7.5703125" style="1029" bestFit="1" customWidth="1"/>
    <col min="1081" max="1085" width="9.140625" style="1029"/>
    <col min="1086" max="1086" width="13.28515625" style="1029" bestFit="1" customWidth="1"/>
    <col min="1087" max="1104" width="9.140625" style="1029"/>
    <col min="1105" max="1105" width="13.28515625" style="1029" bestFit="1" customWidth="1"/>
    <col min="1106" max="1106" width="10.5703125" style="1029" bestFit="1" customWidth="1"/>
    <col min="1107" max="1280" width="9.140625" style="1029"/>
    <col min="1281" max="1281" width="1.28515625" style="1029" customWidth="1"/>
    <col min="1282" max="1282" width="7" style="1029" customWidth="1"/>
    <col min="1283" max="1283" width="45.42578125" style="1029" customWidth="1"/>
    <col min="1284" max="1287" width="0" style="1029" hidden="1" customWidth="1"/>
    <col min="1288" max="1294" width="10.140625" style="1029" customWidth="1"/>
    <col min="1295" max="1300" width="0" style="1029" hidden="1" customWidth="1"/>
    <col min="1301" max="1301" width="4.5703125" style="1029" customWidth="1"/>
    <col min="1302" max="1302" width="19.140625" style="1029" customWidth="1"/>
    <col min="1303" max="1307" width="9.140625" style="1029"/>
    <col min="1308" max="1308" width="41.140625" style="1029" bestFit="1" customWidth="1"/>
    <col min="1309" max="1309" width="12.5703125" style="1029" bestFit="1" customWidth="1"/>
    <col min="1310" max="1311" width="11.28515625" style="1029" bestFit="1" customWidth="1"/>
    <col min="1312" max="1312" width="18.140625" style="1029" bestFit="1" customWidth="1"/>
    <col min="1313" max="1313" width="10.28515625" style="1029" bestFit="1" customWidth="1"/>
    <col min="1314" max="1320" width="0" style="1029" hidden="1" customWidth="1"/>
    <col min="1321" max="1321" width="9.140625" style="1029"/>
    <col min="1322" max="1322" width="34.42578125" style="1029" customWidth="1"/>
    <col min="1323" max="1323" width="9.140625" style="1029"/>
    <col min="1324" max="1324" width="10.42578125" style="1029" customWidth="1"/>
    <col min="1325" max="1327" width="9.140625" style="1029"/>
    <col min="1328" max="1328" width="24.85546875" style="1029" customWidth="1"/>
    <col min="1329" max="1330" width="9.140625" style="1029"/>
    <col min="1331" max="1331" width="16.85546875" style="1029" customWidth="1"/>
    <col min="1332" max="1332" width="8" style="1029" customWidth="1"/>
    <col min="1333" max="1333" width="7.5703125" style="1029" bestFit="1" customWidth="1"/>
    <col min="1334" max="1334" width="8.7109375" style="1029" customWidth="1"/>
    <col min="1335" max="1335" width="9.140625" style="1029"/>
    <col min="1336" max="1336" width="7.5703125" style="1029" bestFit="1" customWidth="1"/>
    <col min="1337" max="1341" width="9.140625" style="1029"/>
    <col min="1342" max="1342" width="13.28515625" style="1029" bestFit="1" customWidth="1"/>
    <col min="1343" max="1360" width="9.140625" style="1029"/>
    <col min="1361" max="1361" width="13.28515625" style="1029" bestFit="1" customWidth="1"/>
    <col min="1362" max="1362" width="10.5703125" style="1029" bestFit="1" customWidth="1"/>
    <col min="1363" max="1536" width="9.140625" style="1029"/>
    <col min="1537" max="1537" width="1.28515625" style="1029" customWidth="1"/>
    <col min="1538" max="1538" width="7" style="1029" customWidth="1"/>
    <col min="1539" max="1539" width="45.42578125" style="1029" customWidth="1"/>
    <col min="1540" max="1543" width="0" style="1029" hidden="1" customWidth="1"/>
    <col min="1544" max="1550" width="10.140625" style="1029" customWidth="1"/>
    <col min="1551" max="1556" width="0" style="1029" hidden="1" customWidth="1"/>
    <col min="1557" max="1557" width="4.5703125" style="1029" customWidth="1"/>
    <col min="1558" max="1558" width="19.140625" style="1029" customWidth="1"/>
    <col min="1559" max="1563" width="9.140625" style="1029"/>
    <col min="1564" max="1564" width="41.140625" style="1029" bestFit="1" customWidth="1"/>
    <col min="1565" max="1565" width="12.5703125" style="1029" bestFit="1" customWidth="1"/>
    <col min="1566" max="1567" width="11.28515625" style="1029" bestFit="1" customWidth="1"/>
    <col min="1568" max="1568" width="18.140625" style="1029" bestFit="1" customWidth="1"/>
    <col min="1569" max="1569" width="10.28515625" style="1029" bestFit="1" customWidth="1"/>
    <col min="1570" max="1576" width="0" style="1029" hidden="1" customWidth="1"/>
    <col min="1577" max="1577" width="9.140625" style="1029"/>
    <col min="1578" max="1578" width="34.42578125" style="1029" customWidth="1"/>
    <col min="1579" max="1579" width="9.140625" style="1029"/>
    <col min="1580" max="1580" width="10.42578125" style="1029" customWidth="1"/>
    <col min="1581" max="1583" width="9.140625" style="1029"/>
    <col min="1584" max="1584" width="24.85546875" style="1029" customWidth="1"/>
    <col min="1585" max="1586" width="9.140625" style="1029"/>
    <col min="1587" max="1587" width="16.85546875" style="1029" customWidth="1"/>
    <col min="1588" max="1588" width="8" style="1029" customWidth="1"/>
    <col min="1589" max="1589" width="7.5703125" style="1029" bestFit="1" customWidth="1"/>
    <col min="1590" max="1590" width="8.7109375" style="1029" customWidth="1"/>
    <col min="1591" max="1591" width="9.140625" style="1029"/>
    <col min="1592" max="1592" width="7.5703125" style="1029" bestFit="1" customWidth="1"/>
    <col min="1593" max="1597" width="9.140625" style="1029"/>
    <col min="1598" max="1598" width="13.28515625" style="1029" bestFit="1" customWidth="1"/>
    <col min="1599" max="1616" width="9.140625" style="1029"/>
    <col min="1617" max="1617" width="13.28515625" style="1029" bestFit="1" customWidth="1"/>
    <col min="1618" max="1618" width="10.5703125" style="1029" bestFit="1" customWidth="1"/>
    <col min="1619" max="1792" width="9.140625" style="1029"/>
    <col min="1793" max="1793" width="1.28515625" style="1029" customWidth="1"/>
    <col min="1794" max="1794" width="7" style="1029" customWidth="1"/>
    <col min="1795" max="1795" width="45.42578125" style="1029" customWidth="1"/>
    <col min="1796" max="1799" width="0" style="1029" hidden="1" customWidth="1"/>
    <col min="1800" max="1806" width="10.140625" style="1029" customWidth="1"/>
    <col min="1807" max="1812" width="0" style="1029" hidden="1" customWidth="1"/>
    <col min="1813" max="1813" width="4.5703125" style="1029" customWidth="1"/>
    <col min="1814" max="1814" width="19.140625" style="1029" customWidth="1"/>
    <col min="1815" max="1819" width="9.140625" style="1029"/>
    <col min="1820" max="1820" width="41.140625" style="1029" bestFit="1" customWidth="1"/>
    <col min="1821" max="1821" width="12.5703125" style="1029" bestFit="1" customWidth="1"/>
    <col min="1822" max="1823" width="11.28515625" style="1029" bestFit="1" customWidth="1"/>
    <col min="1824" max="1824" width="18.140625" style="1029" bestFit="1" customWidth="1"/>
    <col min="1825" max="1825" width="10.28515625" style="1029" bestFit="1" customWidth="1"/>
    <col min="1826" max="1832" width="0" style="1029" hidden="1" customWidth="1"/>
    <col min="1833" max="1833" width="9.140625" style="1029"/>
    <col min="1834" max="1834" width="34.42578125" style="1029" customWidth="1"/>
    <col min="1835" max="1835" width="9.140625" style="1029"/>
    <col min="1836" max="1836" width="10.42578125" style="1029" customWidth="1"/>
    <col min="1837" max="1839" width="9.140625" style="1029"/>
    <col min="1840" max="1840" width="24.85546875" style="1029" customWidth="1"/>
    <col min="1841" max="1842" width="9.140625" style="1029"/>
    <col min="1843" max="1843" width="16.85546875" style="1029" customWidth="1"/>
    <col min="1844" max="1844" width="8" style="1029" customWidth="1"/>
    <col min="1845" max="1845" width="7.5703125" style="1029" bestFit="1" customWidth="1"/>
    <col min="1846" max="1846" width="8.7109375" style="1029" customWidth="1"/>
    <col min="1847" max="1847" width="9.140625" style="1029"/>
    <col min="1848" max="1848" width="7.5703125" style="1029" bestFit="1" customWidth="1"/>
    <col min="1849" max="1853" width="9.140625" style="1029"/>
    <col min="1854" max="1854" width="13.28515625" style="1029" bestFit="1" customWidth="1"/>
    <col min="1855" max="1872" width="9.140625" style="1029"/>
    <col min="1873" max="1873" width="13.28515625" style="1029" bestFit="1" customWidth="1"/>
    <col min="1874" max="1874" width="10.5703125" style="1029" bestFit="1" customWidth="1"/>
    <col min="1875" max="2048" width="9.140625" style="1029"/>
    <col min="2049" max="2049" width="1.28515625" style="1029" customWidth="1"/>
    <col min="2050" max="2050" width="7" style="1029" customWidth="1"/>
    <col min="2051" max="2051" width="45.42578125" style="1029" customWidth="1"/>
    <col min="2052" max="2055" width="0" style="1029" hidden="1" customWidth="1"/>
    <col min="2056" max="2062" width="10.140625" style="1029" customWidth="1"/>
    <col min="2063" max="2068" width="0" style="1029" hidden="1" customWidth="1"/>
    <col min="2069" max="2069" width="4.5703125" style="1029" customWidth="1"/>
    <col min="2070" max="2070" width="19.140625" style="1029" customWidth="1"/>
    <col min="2071" max="2075" width="9.140625" style="1029"/>
    <col min="2076" max="2076" width="41.140625" style="1029" bestFit="1" customWidth="1"/>
    <col min="2077" max="2077" width="12.5703125" style="1029" bestFit="1" customWidth="1"/>
    <col min="2078" max="2079" width="11.28515625" style="1029" bestFit="1" customWidth="1"/>
    <col min="2080" max="2080" width="18.140625" style="1029" bestFit="1" customWidth="1"/>
    <col min="2081" max="2081" width="10.28515625" style="1029" bestFit="1" customWidth="1"/>
    <col min="2082" max="2088" width="0" style="1029" hidden="1" customWidth="1"/>
    <col min="2089" max="2089" width="9.140625" style="1029"/>
    <col min="2090" max="2090" width="34.42578125" style="1029" customWidth="1"/>
    <col min="2091" max="2091" width="9.140625" style="1029"/>
    <col min="2092" max="2092" width="10.42578125" style="1029" customWidth="1"/>
    <col min="2093" max="2095" width="9.140625" style="1029"/>
    <col min="2096" max="2096" width="24.85546875" style="1029" customWidth="1"/>
    <col min="2097" max="2098" width="9.140625" style="1029"/>
    <col min="2099" max="2099" width="16.85546875" style="1029" customWidth="1"/>
    <col min="2100" max="2100" width="8" style="1029" customWidth="1"/>
    <col min="2101" max="2101" width="7.5703125" style="1029" bestFit="1" customWidth="1"/>
    <col min="2102" max="2102" width="8.7109375" style="1029" customWidth="1"/>
    <col min="2103" max="2103" width="9.140625" style="1029"/>
    <col min="2104" max="2104" width="7.5703125" style="1029" bestFit="1" customWidth="1"/>
    <col min="2105" max="2109" width="9.140625" style="1029"/>
    <col min="2110" max="2110" width="13.28515625" style="1029" bestFit="1" customWidth="1"/>
    <col min="2111" max="2128" width="9.140625" style="1029"/>
    <col min="2129" max="2129" width="13.28515625" style="1029" bestFit="1" customWidth="1"/>
    <col min="2130" max="2130" width="10.5703125" style="1029" bestFit="1" customWidth="1"/>
    <col min="2131" max="2304" width="9.140625" style="1029"/>
    <col min="2305" max="2305" width="1.28515625" style="1029" customWidth="1"/>
    <col min="2306" max="2306" width="7" style="1029" customWidth="1"/>
    <col min="2307" max="2307" width="45.42578125" style="1029" customWidth="1"/>
    <col min="2308" max="2311" width="0" style="1029" hidden="1" customWidth="1"/>
    <col min="2312" max="2318" width="10.140625" style="1029" customWidth="1"/>
    <col min="2319" max="2324" width="0" style="1029" hidden="1" customWidth="1"/>
    <col min="2325" max="2325" width="4.5703125" style="1029" customWidth="1"/>
    <col min="2326" max="2326" width="19.140625" style="1029" customWidth="1"/>
    <col min="2327" max="2331" width="9.140625" style="1029"/>
    <col min="2332" max="2332" width="41.140625" style="1029" bestFit="1" customWidth="1"/>
    <col min="2333" max="2333" width="12.5703125" style="1029" bestFit="1" customWidth="1"/>
    <col min="2334" max="2335" width="11.28515625" style="1029" bestFit="1" customWidth="1"/>
    <col min="2336" max="2336" width="18.140625" style="1029" bestFit="1" customWidth="1"/>
    <col min="2337" max="2337" width="10.28515625" style="1029" bestFit="1" customWidth="1"/>
    <col min="2338" max="2344" width="0" style="1029" hidden="1" customWidth="1"/>
    <col min="2345" max="2345" width="9.140625" style="1029"/>
    <col min="2346" max="2346" width="34.42578125" style="1029" customWidth="1"/>
    <col min="2347" max="2347" width="9.140625" style="1029"/>
    <col min="2348" max="2348" width="10.42578125" style="1029" customWidth="1"/>
    <col min="2349" max="2351" width="9.140625" style="1029"/>
    <col min="2352" max="2352" width="24.85546875" style="1029" customWidth="1"/>
    <col min="2353" max="2354" width="9.140625" style="1029"/>
    <col min="2355" max="2355" width="16.85546875" style="1029" customWidth="1"/>
    <col min="2356" max="2356" width="8" style="1029" customWidth="1"/>
    <col min="2357" max="2357" width="7.5703125" style="1029" bestFit="1" customWidth="1"/>
    <col min="2358" max="2358" width="8.7109375" style="1029" customWidth="1"/>
    <col min="2359" max="2359" width="9.140625" style="1029"/>
    <col min="2360" max="2360" width="7.5703125" style="1029" bestFit="1" customWidth="1"/>
    <col min="2361" max="2365" width="9.140625" style="1029"/>
    <col min="2366" max="2366" width="13.28515625" style="1029" bestFit="1" customWidth="1"/>
    <col min="2367" max="2384" width="9.140625" style="1029"/>
    <col min="2385" max="2385" width="13.28515625" style="1029" bestFit="1" customWidth="1"/>
    <col min="2386" max="2386" width="10.5703125" style="1029" bestFit="1" customWidth="1"/>
    <col min="2387" max="2560" width="9.140625" style="1029"/>
    <col min="2561" max="2561" width="1.28515625" style="1029" customWidth="1"/>
    <col min="2562" max="2562" width="7" style="1029" customWidth="1"/>
    <col min="2563" max="2563" width="45.42578125" style="1029" customWidth="1"/>
    <col min="2564" max="2567" width="0" style="1029" hidden="1" customWidth="1"/>
    <col min="2568" max="2574" width="10.140625" style="1029" customWidth="1"/>
    <col min="2575" max="2580" width="0" style="1029" hidden="1" customWidth="1"/>
    <col min="2581" max="2581" width="4.5703125" style="1029" customWidth="1"/>
    <col min="2582" max="2582" width="19.140625" style="1029" customWidth="1"/>
    <col min="2583" max="2587" width="9.140625" style="1029"/>
    <col min="2588" max="2588" width="41.140625" style="1029" bestFit="1" customWidth="1"/>
    <col min="2589" max="2589" width="12.5703125" style="1029" bestFit="1" customWidth="1"/>
    <col min="2590" max="2591" width="11.28515625" style="1029" bestFit="1" customWidth="1"/>
    <col min="2592" max="2592" width="18.140625" style="1029" bestFit="1" customWidth="1"/>
    <col min="2593" max="2593" width="10.28515625" style="1029" bestFit="1" customWidth="1"/>
    <col min="2594" max="2600" width="0" style="1029" hidden="1" customWidth="1"/>
    <col min="2601" max="2601" width="9.140625" style="1029"/>
    <col min="2602" max="2602" width="34.42578125" style="1029" customWidth="1"/>
    <col min="2603" max="2603" width="9.140625" style="1029"/>
    <col min="2604" max="2604" width="10.42578125" style="1029" customWidth="1"/>
    <col min="2605" max="2607" width="9.140625" style="1029"/>
    <col min="2608" max="2608" width="24.85546875" style="1029" customWidth="1"/>
    <col min="2609" max="2610" width="9.140625" style="1029"/>
    <col min="2611" max="2611" width="16.85546875" style="1029" customWidth="1"/>
    <col min="2612" max="2612" width="8" style="1029" customWidth="1"/>
    <col min="2613" max="2613" width="7.5703125" style="1029" bestFit="1" customWidth="1"/>
    <col min="2614" max="2614" width="8.7109375" style="1029" customWidth="1"/>
    <col min="2615" max="2615" width="9.140625" style="1029"/>
    <col min="2616" max="2616" width="7.5703125" style="1029" bestFit="1" customWidth="1"/>
    <col min="2617" max="2621" width="9.140625" style="1029"/>
    <col min="2622" max="2622" width="13.28515625" style="1029" bestFit="1" customWidth="1"/>
    <col min="2623" max="2640" width="9.140625" style="1029"/>
    <col min="2641" max="2641" width="13.28515625" style="1029" bestFit="1" customWidth="1"/>
    <col min="2642" max="2642" width="10.5703125" style="1029" bestFit="1" customWidth="1"/>
    <col min="2643" max="2816" width="9.140625" style="1029"/>
    <col min="2817" max="2817" width="1.28515625" style="1029" customWidth="1"/>
    <col min="2818" max="2818" width="7" style="1029" customWidth="1"/>
    <col min="2819" max="2819" width="45.42578125" style="1029" customWidth="1"/>
    <col min="2820" max="2823" width="0" style="1029" hidden="1" customWidth="1"/>
    <col min="2824" max="2830" width="10.140625" style="1029" customWidth="1"/>
    <col min="2831" max="2836" width="0" style="1029" hidden="1" customWidth="1"/>
    <col min="2837" max="2837" width="4.5703125" style="1029" customWidth="1"/>
    <col min="2838" max="2838" width="19.140625" style="1029" customWidth="1"/>
    <col min="2839" max="2843" width="9.140625" style="1029"/>
    <col min="2844" max="2844" width="41.140625" style="1029" bestFit="1" customWidth="1"/>
    <col min="2845" max="2845" width="12.5703125" style="1029" bestFit="1" customWidth="1"/>
    <col min="2846" max="2847" width="11.28515625" style="1029" bestFit="1" customWidth="1"/>
    <col min="2848" max="2848" width="18.140625" style="1029" bestFit="1" customWidth="1"/>
    <col min="2849" max="2849" width="10.28515625" style="1029" bestFit="1" customWidth="1"/>
    <col min="2850" max="2856" width="0" style="1029" hidden="1" customWidth="1"/>
    <col min="2857" max="2857" width="9.140625" style="1029"/>
    <col min="2858" max="2858" width="34.42578125" style="1029" customWidth="1"/>
    <col min="2859" max="2859" width="9.140625" style="1029"/>
    <col min="2860" max="2860" width="10.42578125" style="1029" customWidth="1"/>
    <col min="2861" max="2863" width="9.140625" style="1029"/>
    <col min="2864" max="2864" width="24.85546875" style="1029" customWidth="1"/>
    <col min="2865" max="2866" width="9.140625" style="1029"/>
    <col min="2867" max="2867" width="16.85546875" style="1029" customWidth="1"/>
    <col min="2868" max="2868" width="8" style="1029" customWidth="1"/>
    <col min="2869" max="2869" width="7.5703125" style="1029" bestFit="1" customWidth="1"/>
    <col min="2870" max="2870" width="8.7109375" style="1029" customWidth="1"/>
    <col min="2871" max="2871" width="9.140625" style="1029"/>
    <col min="2872" max="2872" width="7.5703125" style="1029" bestFit="1" customWidth="1"/>
    <col min="2873" max="2877" width="9.140625" style="1029"/>
    <col min="2878" max="2878" width="13.28515625" style="1029" bestFit="1" customWidth="1"/>
    <col min="2879" max="2896" width="9.140625" style="1029"/>
    <col min="2897" max="2897" width="13.28515625" style="1029" bestFit="1" customWidth="1"/>
    <col min="2898" max="2898" width="10.5703125" style="1029" bestFit="1" customWidth="1"/>
    <col min="2899" max="3072" width="9.140625" style="1029"/>
    <col min="3073" max="3073" width="1.28515625" style="1029" customWidth="1"/>
    <col min="3074" max="3074" width="7" style="1029" customWidth="1"/>
    <col min="3075" max="3075" width="45.42578125" style="1029" customWidth="1"/>
    <col min="3076" max="3079" width="0" style="1029" hidden="1" customWidth="1"/>
    <col min="3080" max="3086" width="10.140625" style="1029" customWidth="1"/>
    <col min="3087" max="3092" width="0" style="1029" hidden="1" customWidth="1"/>
    <col min="3093" max="3093" width="4.5703125" style="1029" customWidth="1"/>
    <col min="3094" max="3094" width="19.140625" style="1029" customWidth="1"/>
    <col min="3095" max="3099" width="9.140625" style="1029"/>
    <col min="3100" max="3100" width="41.140625" style="1029" bestFit="1" customWidth="1"/>
    <col min="3101" max="3101" width="12.5703125" style="1029" bestFit="1" customWidth="1"/>
    <col min="3102" max="3103" width="11.28515625" style="1029" bestFit="1" customWidth="1"/>
    <col min="3104" max="3104" width="18.140625" style="1029" bestFit="1" customWidth="1"/>
    <col min="3105" max="3105" width="10.28515625" style="1029" bestFit="1" customWidth="1"/>
    <col min="3106" max="3112" width="0" style="1029" hidden="1" customWidth="1"/>
    <col min="3113" max="3113" width="9.140625" style="1029"/>
    <col min="3114" max="3114" width="34.42578125" style="1029" customWidth="1"/>
    <col min="3115" max="3115" width="9.140625" style="1029"/>
    <col min="3116" max="3116" width="10.42578125" style="1029" customWidth="1"/>
    <col min="3117" max="3119" width="9.140625" style="1029"/>
    <col min="3120" max="3120" width="24.85546875" style="1029" customWidth="1"/>
    <col min="3121" max="3122" width="9.140625" style="1029"/>
    <col min="3123" max="3123" width="16.85546875" style="1029" customWidth="1"/>
    <col min="3124" max="3124" width="8" style="1029" customWidth="1"/>
    <col min="3125" max="3125" width="7.5703125" style="1029" bestFit="1" customWidth="1"/>
    <col min="3126" max="3126" width="8.7109375" style="1029" customWidth="1"/>
    <col min="3127" max="3127" width="9.140625" style="1029"/>
    <col min="3128" max="3128" width="7.5703125" style="1029" bestFit="1" customWidth="1"/>
    <col min="3129" max="3133" width="9.140625" style="1029"/>
    <col min="3134" max="3134" width="13.28515625" style="1029" bestFit="1" customWidth="1"/>
    <col min="3135" max="3152" width="9.140625" style="1029"/>
    <col min="3153" max="3153" width="13.28515625" style="1029" bestFit="1" customWidth="1"/>
    <col min="3154" max="3154" width="10.5703125" style="1029" bestFit="1" customWidth="1"/>
    <col min="3155" max="3328" width="9.140625" style="1029"/>
    <col min="3329" max="3329" width="1.28515625" style="1029" customWidth="1"/>
    <col min="3330" max="3330" width="7" style="1029" customWidth="1"/>
    <col min="3331" max="3331" width="45.42578125" style="1029" customWidth="1"/>
    <col min="3332" max="3335" width="0" style="1029" hidden="1" customWidth="1"/>
    <col min="3336" max="3342" width="10.140625" style="1029" customWidth="1"/>
    <col min="3343" max="3348" width="0" style="1029" hidden="1" customWidth="1"/>
    <col min="3349" max="3349" width="4.5703125" style="1029" customWidth="1"/>
    <col min="3350" max="3350" width="19.140625" style="1029" customWidth="1"/>
    <col min="3351" max="3355" width="9.140625" style="1029"/>
    <col min="3356" max="3356" width="41.140625" style="1029" bestFit="1" customWidth="1"/>
    <col min="3357" max="3357" width="12.5703125" style="1029" bestFit="1" customWidth="1"/>
    <col min="3358" max="3359" width="11.28515625" style="1029" bestFit="1" customWidth="1"/>
    <col min="3360" max="3360" width="18.140625" style="1029" bestFit="1" customWidth="1"/>
    <col min="3361" max="3361" width="10.28515625" style="1029" bestFit="1" customWidth="1"/>
    <col min="3362" max="3368" width="0" style="1029" hidden="1" customWidth="1"/>
    <col min="3369" max="3369" width="9.140625" style="1029"/>
    <col min="3370" max="3370" width="34.42578125" style="1029" customWidth="1"/>
    <col min="3371" max="3371" width="9.140625" style="1029"/>
    <col min="3372" max="3372" width="10.42578125" style="1029" customWidth="1"/>
    <col min="3373" max="3375" width="9.140625" style="1029"/>
    <col min="3376" max="3376" width="24.85546875" style="1029" customWidth="1"/>
    <col min="3377" max="3378" width="9.140625" style="1029"/>
    <col min="3379" max="3379" width="16.85546875" style="1029" customWidth="1"/>
    <col min="3380" max="3380" width="8" style="1029" customWidth="1"/>
    <col min="3381" max="3381" width="7.5703125" style="1029" bestFit="1" customWidth="1"/>
    <col min="3382" max="3382" width="8.7109375" style="1029" customWidth="1"/>
    <col min="3383" max="3383" width="9.140625" style="1029"/>
    <col min="3384" max="3384" width="7.5703125" style="1029" bestFit="1" customWidth="1"/>
    <col min="3385" max="3389" width="9.140625" style="1029"/>
    <col min="3390" max="3390" width="13.28515625" style="1029" bestFit="1" customWidth="1"/>
    <col min="3391" max="3408" width="9.140625" style="1029"/>
    <col min="3409" max="3409" width="13.28515625" style="1029" bestFit="1" customWidth="1"/>
    <col min="3410" max="3410" width="10.5703125" style="1029" bestFit="1" customWidth="1"/>
    <col min="3411" max="3584" width="9.140625" style="1029"/>
    <col min="3585" max="3585" width="1.28515625" style="1029" customWidth="1"/>
    <col min="3586" max="3586" width="7" style="1029" customWidth="1"/>
    <col min="3587" max="3587" width="45.42578125" style="1029" customWidth="1"/>
    <col min="3588" max="3591" width="0" style="1029" hidden="1" customWidth="1"/>
    <col min="3592" max="3598" width="10.140625" style="1029" customWidth="1"/>
    <col min="3599" max="3604" width="0" style="1029" hidden="1" customWidth="1"/>
    <col min="3605" max="3605" width="4.5703125" style="1029" customWidth="1"/>
    <col min="3606" max="3606" width="19.140625" style="1029" customWidth="1"/>
    <col min="3607" max="3611" width="9.140625" style="1029"/>
    <col min="3612" max="3612" width="41.140625" style="1029" bestFit="1" customWidth="1"/>
    <col min="3613" max="3613" width="12.5703125" style="1029" bestFit="1" customWidth="1"/>
    <col min="3614" max="3615" width="11.28515625" style="1029" bestFit="1" customWidth="1"/>
    <col min="3616" max="3616" width="18.140625" style="1029" bestFit="1" customWidth="1"/>
    <col min="3617" max="3617" width="10.28515625" style="1029" bestFit="1" customWidth="1"/>
    <col min="3618" max="3624" width="0" style="1029" hidden="1" customWidth="1"/>
    <col min="3625" max="3625" width="9.140625" style="1029"/>
    <col min="3626" max="3626" width="34.42578125" style="1029" customWidth="1"/>
    <col min="3627" max="3627" width="9.140625" style="1029"/>
    <col min="3628" max="3628" width="10.42578125" style="1029" customWidth="1"/>
    <col min="3629" max="3631" width="9.140625" style="1029"/>
    <col min="3632" max="3632" width="24.85546875" style="1029" customWidth="1"/>
    <col min="3633" max="3634" width="9.140625" style="1029"/>
    <col min="3635" max="3635" width="16.85546875" style="1029" customWidth="1"/>
    <col min="3636" max="3636" width="8" style="1029" customWidth="1"/>
    <col min="3637" max="3637" width="7.5703125" style="1029" bestFit="1" customWidth="1"/>
    <col min="3638" max="3638" width="8.7109375" style="1029" customWidth="1"/>
    <col min="3639" max="3639" width="9.140625" style="1029"/>
    <col min="3640" max="3640" width="7.5703125" style="1029" bestFit="1" customWidth="1"/>
    <col min="3641" max="3645" width="9.140625" style="1029"/>
    <col min="3646" max="3646" width="13.28515625" style="1029" bestFit="1" customWidth="1"/>
    <col min="3647" max="3664" width="9.140625" style="1029"/>
    <col min="3665" max="3665" width="13.28515625" style="1029" bestFit="1" customWidth="1"/>
    <col min="3666" max="3666" width="10.5703125" style="1029" bestFit="1" customWidth="1"/>
    <col min="3667" max="3840" width="9.140625" style="1029"/>
    <col min="3841" max="3841" width="1.28515625" style="1029" customWidth="1"/>
    <col min="3842" max="3842" width="7" style="1029" customWidth="1"/>
    <col min="3843" max="3843" width="45.42578125" style="1029" customWidth="1"/>
    <col min="3844" max="3847" width="0" style="1029" hidden="1" customWidth="1"/>
    <col min="3848" max="3854" width="10.140625" style="1029" customWidth="1"/>
    <col min="3855" max="3860" width="0" style="1029" hidden="1" customWidth="1"/>
    <col min="3861" max="3861" width="4.5703125" style="1029" customWidth="1"/>
    <col min="3862" max="3862" width="19.140625" style="1029" customWidth="1"/>
    <col min="3863" max="3867" width="9.140625" style="1029"/>
    <col min="3868" max="3868" width="41.140625" style="1029" bestFit="1" customWidth="1"/>
    <col min="3869" max="3869" width="12.5703125" style="1029" bestFit="1" customWidth="1"/>
    <col min="3870" max="3871" width="11.28515625" style="1029" bestFit="1" customWidth="1"/>
    <col min="3872" max="3872" width="18.140625" style="1029" bestFit="1" customWidth="1"/>
    <col min="3873" max="3873" width="10.28515625" style="1029" bestFit="1" customWidth="1"/>
    <col min="3874" max="3880" width="0" style="1029" hidden="1" customWidth="1"/>
    <col min="3881" max="3881" width="9.140625" style="1029"/>
    <col min="3882" max="3882" width="34.42578125" style="1029" customWidth="1"/>
    <col min="3883" max="3883" width="9.140625" style="1029"/>
    <col min="3884" max="3884" width="10.42578125" style="1029" customWidth="1"/>
    <col min="3885" max="3887" width="9.140625" style="1029"/>
    <col min="3888" max="3888" width="24.85546875" style="1029" customWidth="1"/>
    <col min="3889" max="3890" width="9.140625" style="1029"/>
    <col min="3891" max="3891" width="16.85546875" style="1029" customWidth="1"/>
    <col min="3892" max="3892" width="8" style="1029" customWidth="1"/>
    <col min="3893" max="3893" width="7.5703125" style="1029" bestFit="1" customWidth="1"/>
    <col min="3894" max="3894" width="8.7109375" style="1029" customWidth="1"/>
    <col min="3895" max="3895" width="9.140625" style="1029"/>
    <col min="3896" max="3896" width="7.5703125" style="1029" bestFit="1" customWidth="1"/>
    <col min="3897" max="3901" width="9.140625" style="1029"/>
    <col min="3902" max="3902" width="13.28515625" style="1029" bestFit="1" customWidth="1"/>
    <col min="3903" max="3920" width="9.140625" style="1029"/>
    <col min="3921" max="3921" width="13.28515625" style="1029" bestFit="1" customWidth="1"/>
    <col min="3922" max="3922" width="10.5703125" style="1029" bestFit="1" customWidth="1"/>
    <col min="3923" max="4096" width="9.140625" style="1029"/>
    <col min="4097" max="4097" width="1.28515625" style="1029" customWidth="1"/>
    <col min="4098" max="4098" width="7" style="1029" customWidth="1"/>
    <col min="4099" max="4099" width="45.42578125" style="1029" customWidth="1"/>
    <col min="4100" max="4103" width="0" style="1029" hidden="1" customWidth="1"/>
    <col min="4104" max="4110" width="10.140625" style="1029" customWidth="1"/>
    <col min="4111" max="4116" width="0" style="1029" hidden="1" customWidth="1"/>
    <col min="4117" max="4117" width="4.5703125" style="1029" customWidth="1"/>
    <col min="4118" max="4118" width="19.140625" style="1029" customWidth="1"/>
    <col min="4119" max="4123" width="9.140625" style="1029"/>
    <col min="4124" max="4124" width="41.140625" style="1029" bestFit="1" customWidth="1"/>
    <col min="4125" max="4125" width="12.5703125" style="1029" bestFit="1" customWidth="1"/>
    <col min="4126" max="4127" width="11.28515625" style="1029" bestFit="1" customWidth="1"/>
    <col min="4128" max="4128" width="18.140625" style="1029" bestFit="1" customWidth="1"/>
    <col min="4129" max="4129" width="10.28515625" style="1029" bestFit="1" customWidth="1"/>
    <col min="4130" max="4136" width="0" style="1029" hidden="1" customWidth="1"/>
    <col min="4137" max="4137" width="9.140625" style="1029"/>
    <col min="4138" max="4138" width="34.42578125" style="1029" customWidth="1"/>
    <col min="4139" max="4139" width="9.140625" style="1029"/>
    <col min="4140" max="4140" width="10.42578125" style="1029" customWidth="1"/>
    <col min="4141" max="4143" width="9.140625" style="1029"/>
    <col min="4144" max="4144" width="24.85546875" style="1029" customWidth="1"/>
    <col min="4145" max="4146" width="9.140625" style="1029"/>
    <col min="4147" max="4147" width="16.85546875" style="1029" customWidth="1"/>
    <col min="4148" max="4148" width="8" style="1029" customWidth="1"/>
    <col min="4149" max="4149" width="7.5703125" style="1029" bestFit="1" customWidth="1"/>
    <col min="4150" max="4150" width="8.7109375" style="1029" customWidth="1"/>
    <col min="4151" max="4151" width="9.140625" style="1029"/>
    <col min="4152" max="4152" width="7.5703125" style="1029" bestFit="1" customWidth="1"/>
    <col min="4153" max="4157" width="9.140625" style="1029"/>
    <col min="4158" max="4158" width="13.28515625" style="1029" bestFit="1" customWidth="1"/>
    <col min="4159" max="4176" width="9.140625" style="1029"/>
    <col min="4177" max="4177" width="13.28515625" style="1029" bestFit="1" customWidth="1"/>
    <col min="4178" max="4178" width="10.5703125" style="1029" bestFit="1" customWidth="1"/>
    <col min="4179" max="4352" width="9.140625" style="1029"/>
    <col min="4353" max="4353" width="1.28515625" style="1029" customWidth="1"/>
    <col min="4354" max="4354" width="7" style="1029" customWidth="1"/>
    <col min="4355" max="4355" width="45.42578125" style="1029" customWidth="1"/>
    <col min="4356" max="4359" width="0" style="1029" hidden="1" customWidth="1"/>
    <col min="4360" max="4366" width="10.140625" style="1029" customWidth="1"/>
    <col min="4367" max="4372" width="0" style="1029" hidden="1" customWidth="1"/>
    <col min="4373" max="4373" width="4.5703125" style="1029" customWidth="1"/>
    <col min="4374" max="4374" width="19.140625" style="1029" customWidth="1"/>
    <col min="4375" max="4379" width="9.140625" style="1029"/>
    <col min="4380" max="4380" width="41.140625" style="1029" bestFit="1" customWidth="1"/>
    <col min="4381" max="4381" width="12.5703125" style="1029" bestFit="1" customWidth="1"/>
    <col min="4382" max="4383" width="11.28515625" style="1029" bestFit="1" customWidth="1"/>
    <col min="4384" max="4384" width="18.140625" style="1029" bestFit="1" customWidth="1"/>
    <col min="4385" max="4385" width="10.28515625" style="1029" bestFit="1" customWidth="1"/>
    <col min="4386" max="4392" width="0" style="1029" hidden="1" customWidth="1"/>
    <col min="4393" max="4393" width="9.140625" style="1029"/>
    <col min="4394" max="4394" width="34.42578125" style="1029" customWidth="1"/>
    <col min="4395" max="4395" width="9.140625" style="1029"/>
    <col min="4396" max="4396" width="10.42578125" style="1029" customWidth="1"/>
    <col min="4397" max="4399" width="9.140625" style="1029"/>
    <col min="4400" max="4400" width="24.85546875" style="1029" customWidth="1"/>
    <col min="4401" max="4402" width="9.140625" style="1029"/>
    <col min="4403" max="4403" width="16.85546875" style="1029" customWidth="1"/>
    <col min="4404" max="4404" width="8" style="1029" customWidth="1"/>
    <col min="4405" max="4405" width="7.5703125" style="1029" bestFit="1" customWidth="1"/>
    <col min="4406" max="4406" width="8.7109375" style="1029" customWidth="1"/>
    <col min="4407" max="4407" width="9.140625" style="1029"/>
    <col min="4408" max="4408" width="7.5703125" style="1029" bestFit="1" customWidth="1"/>
    <col min="4409" max="4413" width="9.140625" style="1029"/>
    <col min="4414" max="4414" width="13.28515625" style="1029" bestFit="1" customWidth="1"/>
    <col min="4415" max="4432" width="9.140625" style="1029"/>
    <col min="4433" max="4433" width="13.28515625" style="1029" bestFit="1" customWidth="1"/>
    <col min="4434" max="4434" width="10.5703125" style="1029" bestFit="1" customWidth="1"/>
    <col min="4435" max="4608" width="9.140625" style="1029"/>
    <col min="4609" max="4609" width="1.28515625" style="1029" customWidth="1"/>
    <col min="4610" max="4610" width="7" style="1029" customWidth="1"/>
    <col min="4611" max="4611" width="45.42578125" style="1029" customWidth="1"/>
    <col min="4612" max="4615" width="0" style="1029" hidden="1" customWidth="1"/>
    <col min="4616" max="4622" width="10.140625" style="1029" customWidth="1"/>
    <col min="4623" max="4628" width="0" style="1029" hidden="1" customWidth="1"/>
    <col min="4629" max="4629" width="4.5703125" style="1029" customWidth="1"/>
    <col min="4630" max="4630" width="19.140625" style="1029" customWidth="1"/>
    <col min="4631" max="4635" width="9.140625" style="1029"/>
    <col min="4636" max="4636" width="41.140625" style="1029" bestFit="1" customWidth="1"/>
    <col min="4637" max="4637" width="12.5703125" style="1029" bestFit="1" customWidth="1"/>
    <col min="4638" max="4639" width="11.28515625" style="1029" bestFit="1" customWidth="1"/>
    <col min="4640" max="4640" width="18.140625" style="1029" bestFit="1" customWidth="1"/>
    <col min="4641" max="4641" width="10.28515625" style="1029" bestFit="1" customWidth="1"/>
    <col min="4642" max="4648" width="0" style="1029" hidden="1" customWidth="1"/>
    <col min="4649" max="4649" width="9.140625" style="1029"/>
    <col min="4650" max="4650" width="34.42578125" style="1029" customWidth="1"/>
    <col min="4651" max="4651" width="9.140625" style="1029"/>
    <col min="4652" max="4652" width="10.42578125" style="1029" customWidth="1"/>
    <col min="4653" max="4655" width="9.140625" style="1029"/>
    <col min="4656" max="4656" width="24.85546875" style="1029" customWidth="1"/>
    <col min="4657" max="4658" width="9.140625" style="1029"/>
    <col min="4659" max="4659" width="16.85546875" style="1029" customWidth="1"/>
    <col min="4660" max="4660" width="8" style="1029" customWidth="1"/>
    <col min="4661" max="4661" width="7.5703125" style="1029" bestFit="1" customWidth="1"/>
    <col min="4662" max="4662" width="8.7109375" style="1029" customWidth="1"/>
    <col min="4663" max="4663" width="9.140625" style="1029"/>
    <col min="4664" max="4664" width="7.5703125" style="1029" bestFit="1" customWidth="1"/>
    <col min="4665" max="4669" width="9.140625" style="1029"/>
    <col min="4670" max="4670" width="13.28515625" style="1029" bestFit="1" customWidth="1"/>
    <col min="4671" max="4688" width="9.140625" style="1029"/>
    <col min="4689" max="4689" width="13.28515625" style="1029" bestFit="1" customWidth="1"/>
    <col min="4690" max="4690" width="10.5703125" style="1029" bestFit="1" customWidth="1"/>
    <col min="4691" max="4864" width="9.140625" style="1029"/>
    <col min="4865" max="4865" width="1.28515625" style="1029" customWidth="1"/>
    <col min="4866" max="4866" width="7" style="1029" customWidth="1"/>
    <col min="4867" max="4867" width="45.42578125" style="1029" customWidth="1"/>
    <col min="4868" max="4871" width="0" style="1029" hidden="1" customWidth="1"/>
    <col min="4872" max="4878" width="10.140625" style="1029" customWidth="1"/>
    <col min="4879" max="4884" width="0" style="1029" hidden="1" customWidth="1"/>
    <col min="4885" max="4885" width="4.5703125" style="1029" customWidth="1"/>
    <col min="4886" max="4886" width="19.140625" style="1029" customWidth="1"/>
    <col min="4887" max="4891" width="9.140625" style="1029"/>
    <col min="4892" max="4892" width="41.140625" style="1029" bestFit="1" customWidth="1"/>
    <col min="4893" max="4893" width="12.5703125" style="1029" bestFit="1" customWidth="1"/>
    <col min="4894" max="4895" width="11.28515625" style="1029" bestFit="1" customWidth="1"/>
    <col min="4896" max="4896" width="18.140625" style="1029" bestFit="1" customWidth="1"/>
    <col min="4897" max="4897" width="10.28515625" style="1029" bestFit="1" customWidth="1"/>
    <col min="4898" max="4904" width="0" style="1029" hidden="1" customWidth="1"/>
    <col min="4905" max="4905" width="9.140625" style="1029"/>
    <col min="4906" max="4906" width="34.42578125" style="1029" customWidth="1"/>
    <col min="4907" max="4907" width="9.140625" style="1029"/>
    <col min="4908" max="4908" width="10.42578125" style="1029" customWidth="1"/>
    <col min="4909" max="4911" width="9.140625" style="1029"/>
    <col min="4912" max="4912" width="24.85546875" style="1029" customWidth="1"/>
    <col min="4913" max="4914" width="9.140625" style="1029"/>
    <col min="4915" max="4915" width="16.85546875" style="1029" customWidth="1"/>
    <col min="4916" max="4916" width="8" style="1029" customWidth="1"/>
    <col min="4917" max="4917" width="7.5703125" style="1029" bestFit="1" customWidth="1"/>
    <col min="4918" max="4918" width="8.7109375" style="1029" customWidth="1"/>
    <col min="4919" max="4919" width="9.140625" style="1029"/>
    <col min="4920" max="4920" width="7.5703125" style="1029" bestFit="1" customWidth="1"/>
    <col min="4921" max="4925" width="9.140625" style="1029"/>
    <col min="4926" max="4926" width="13.28515625" style="1029" bestFit="1" customWidth="1"/>
    <col min="4927" max="4944" width="9.140625" style="1029"/>
    <col min="4945" max="4945" width="13.28515625" style="1029" bestFit="1" customWidth="1"/>
    <col min="4946" max="4946" width="10.5703125" style="1029" bestFit="1" customWidth="1"/>
    <col min="4947" max="5120" width="9.140625" style="1029"/>
    <col min="5121" max="5121" width="1.28515625" style="1029" customWidth="1"/>
    <col min="5122" max="5122" width="7" style="1029" customWidth="1"/>
    <col min="5123" max="5123" width="45.42578125" style="1029" customWidth="1"/>
    <col min="5124" max="5127" width="0" style="1029" hidden="1" customWidth="1"/>
    <col min="5128" max="5134" width="10.140625" style="1029" customWidth="1"/>
    <col min="5135" max="5140" width="0" style="1029" hidden="1" customWidth="1"/>
    <col min="5141" max="5141" width="4.5703125" style="1029" customWidth="1"/>
    <col min="5142" max="5142" width="19.140625" style="1029" customWidth="1"/>
    <col min="5143" max="5147" width="9.140625" style="1029"/>
    <col min="5148" max="5148" width="41.140625" style="1029" bestFit="1" customWidth="1"/>
    <col min="5149" max="5149" width="12.5703125" style="1029" bestFit="1" customWidth="1"/>
    <col min="5150" max="5151" width="11.28515625" style="1029" bestFit="1" customWidth="1"/>
    <col min="5152" max="5152" width="18.140625" style="1029" bestFit="1" customWidth="1"/>
    <col min="5153" max="5153" width="10.28515625" style="1029" bestFit="1" customWidth="1"/>
    <col min="5154" max="5160" width="0" style="1029" hidden="1" customWidth="1"/>
    <col min="5161" max="5161" width="9.140625" style="1029"/>
    <col min="5162" max="5162" width="34.42578125" style="1029" customWidth="1"/>
    <col min="5163" max="5163" width="9.140625" style="1029"/>
    <col min="5164" max="5164" width="10.42578125" style="1029" customWidth="1"/>
    <col min="5165" max="5167" width="9.140625" style="1029"/>
    <col min="5168" max="5168" width="24.85546875" style="1029" customWidth="1"/>
    <col min="5169" max="5170" width="9.140625" style="1029"/>
    <col min="5171" max="5171" width="16.85546875" style="1029" customWidth="1"/>
    <col min="5172" max="5172" width="8" style="1029" customWidth="1"/>
    <col min="5173" max="5173" width="7.5703125" style="1029" bestFit="1" customWidth="1"/>
    <col min="5174" max="5174" width="8.7109375" style="1029" customWidth="1"/>
    <col min="5175" max="5175" width="9.140625" style="1029"/>
    <col min="5176" max="5176" width="7.5703125" style="1029" bestFit="1" customWidth="1"/>
    <col min="5177" max="5181" width="9.140625" style="1029"/>
    <col min="5182" max="5182" width="13.28515625" style="1029" bestFit="1" customWidth="1"/>
    <col min="5183" max="5200" width="9.140625" style="1029"/>
    <col min="5201" max="5201" width="13.28515625" style="1029" bestFit="1" customWidth="1"/>
    <col min="5202" max="5202" width="10.5703125" style="1029" bestFit="1" customWidth="1"/>
    <col min="5203" max="5376" width="9.140625" style="1029"/>
    <col min="5377" max="5377" width="1.28515625" style="1029" customWidth="1"/>
    <col min="5378" max="5378" width="7" style="1029" customWidth="1"/>
    <col min="5379" max="5379" width="45.42578125" style="1029" customWidth="1"/>
    <col min="5380" max="5383" width="0" style="1029" hidden="1" customWidth="1"/>
    <col min="5384" max="5390" width="10.140625" style="1029" customWidth="1"/>
    <col min="5391" max="5396" width="0" style="1029" hidden="1" customWidth="1"/>
    <col min="5397" max="5397" width="4.5703125" style="1029" customWidth="1"/>
    <col min="5398" max="5398" width="19.140625" style="1029" customWidth="1"/>
    <col min="5399" max="5403" width="9.140625" style="1029"/>
    <col min="5404" max="5404" width="41.140625" style="1029" bestFit="1" customWidth="1"/>
    <col min="5405" max="5405" width="12.5703125" style="1029" bestFit="1" customWidth="1"/>
    <col min="5406" max="5407" width="11.28515625" style="1029" bestFit="1" customWidth="1"/>
    <col min="5408" max="5408" width="18.140625" style="1029" bestFit="1" customWidth="1"/>
    <col min="5409" max="5409" width="10.28515625" style="1029" bestFit="1" customWidth="1"/>
    <col min="5410" max="5416" width="0" style="1029" hidden="1" customWidth="1"/>
    <col min="5417" max="5417" width="9.140625" style="1029"/>
    <col min="5418" max="5418" width="34.42578125" style="1029" customWidth="1"/>
    <col min="5419" max="5419" width="9.140625" style="1029"/>
    <col min="5420" max="5420" width="10.42578125" style="1029" customWidth="1"/>
    <col min="5421" max="5423" width="9.140625" style="1029"/>
    <col min="5424" max="5424" width="24.85546875" style="1029" customWidth="1"/>
    <col min="5425" max="5426" width="9.140625" style="1029"/>
    <col min="5427" max="5427" width="16.85546875" style="1029" customWidth="1"/>
    <col min="5428" max="5428" width="8" style="1029" customWidth="1"/>
    <col min="5429" max="5429" width="7.5703125" style="1029" bestFit="1" customWidth="1"/>
    <col min="5430" max="5430" width="8.7109375" style="1029" customWidth="1"/>
    <col min="5431" max="5431" width="9.140625" style="1029"/>
    <col min="5432" max="5432" width="7.5703125" style="1029" bestFit="1" customWidth="1"/>
    <col min="5433" max="5437" width="9.140625" style="1029"/>
    <col min="5438" max="5438" width="13.28515625" style="1029" bestFit="1" customWidth="1"/>
    <col min="5439" max="5456" width="9.140625" style="1029"/>
    <col min="5457" max="5457" width="13.28515625" style="1029" bestFit="1" customWidth="1"/>
    <col min="5458" max="5458" width="10.5703125" style="1029" bestFit="1" customWidth="1"/>
    <col min="5459" max="5632" width="9.140625" style="1029"/>
    <col min="5633" max="5633" width="1.28515625" style="1029" customWidth="1"/>
    <col min="5634" max="5634" width="7" style="1029" customWidth="1"/>
    <col min="5635" max="5635" width="45.42578125" style="1029" customWidth="1"/>
    <col min="5636" max="5639" width="0" style="1029" hidden="1" customWidth="1"/>
    <col min="5640" max="5646" width="10.140625" style="1029" customWidth="1"/>
    <col min="5647" max="5652" width="0" style="1029" hidden="1" customWidth="1"/>
    <col min="5653" max="5653" width="4.5703125" style="1029" customWidth="1"/>
    <col min="5654" max="5654" width="19.140625" style="1029" customWidth="1"/>
    <col min="5655" max="5659" width="9.140625" style="1029"/>
    <col min="5660" max="5660" width="41.140625" style="1029" bestFit="1" customWidth="1"/>
    <col min="5661" max="5661" width="12.5703125" style="1029" bestFit="1" customWidth="1"/>
    <col min="5662" max="5663" width="11.28515625" style="1029" bestFit="1" customWidth="1"/>
    <col min="5664" max="5664" width="18.140625" style="1029" bestFit="1" customWidth="1"/>
    <col min="5665" max="5665" width="10.28515625" style="1029" bestFit="1" customWidth="1"/>
    <col min="5666" max="5672" width="0" style="1029" hidden="1" customWidth="1"/>
    <col min="5673" max="5673" width="9.140625" style="1029"/>
    <col min="5674" max="5674" width="34.42578125" style="1029" customWidth="1"/>
    <col min="5675" max="5675" width="9.140625" style="1029"/>
    <col min="5676" max="5676" width="10.42578125" style="1029" customWidth="1"/>
    <col min="5677" max="5679" width="9.140625" style="1029"/>
    <col min="5680" max="5680" width="24.85546875" style="1029" customWidth="1"/>
    <col min="5681" max="5682" width="9.140625" style="1029"/>
    <col min="5683" max="5683" width="16.85546875" style="1029" customWidth="1"/>
    <col min="5684" max="5684" width="8" style="1029" customWidth="1"/>
    <col min="5685" max="5685" width="7.5703125" style="1029" bestFit="1" customWidth="1"/>
    <col min="5686" max="5686" width="8.7109375" style="1029" customWidth="1"/>
    <col min="5687" max="5687" width="9.140625" style="1029"/>
    <col min="5688" max="5688" width="7.5703125" style="1029" bestFit="1" customWidth="1"/>
    <col min="5689" max="5693" width="9.140625" style="1029"/>
    <col min="5694" max="5694" width="13.28515625" style="1029" bestFit="1" customWidth="1"/>
    <col min="5695" max="5712" width="9.140625" style="1029"/>
    <col min="5713" max="5713" width="13.28515625" style="1029" bestFit="1" customWidth="1"/>
    <col min="5714" max="5714" width="10.5703125" style="1029" bestFit="1" customWidth="1"/>
    <col min="5715" max="5888" width="9.140625" style="1029"/>
    <col min="5889" max="5889" width="1.28515625" style="1029" customWidth="1"/>
    <col min="5890" max="5890" width="7" style="1029" customWidth="1"/>
    <col min="5891" max="5891" width="45.42578125" style="1029" customWidth="1"/>
    <col min="5892" max="5895" width="0" style="1029" hidden="1" customWidth="1"/>
    <col min="5896" max="5902" width="10.140625" style="1029" customWidth="1"/>
    <col min="5903" max="5908" width="0" style="1029" hidden="1" customWidth="1"/>
    <col min="5909" max="5909" width="4.5703125" style="1029" customWidth="1"/>
    <col min="5910" max="5910" width="19.140625" style="1029" customWidth="1"/>
    <col min="5911" max="5915" width="9.140625" style="1029"/>
    <col min="5916" max="5916" width="41.140625" style="1029" bestFit="1" customWidth="1"/>
    <col min="5917" max="5917" width="12.5703125" style="1029" bestFit="1" customWidth="1"/>
    <col min="5918" max="5919" width="11.28515625" style="1029" bestFit="1" customWidth="1"/>
    <col min="5920" max="5920" width="18.140625" style="1029" bestFit="1" customWidth="1"/>
    <col min="5921" max="5921" width="10.28515625" style="1029" bestFit="1" customWidth="1"/>
    <col min="5922" max="5928" width="0" style="1029" hidden="1" customWidth="1"/>
    <col min="5929" max="5929" width="9.140625" style="1029"/>
    <col min="5930" max="5930" width="34.42578125" style="1029" customWidth="1"/>
    <col min="5931" max="5931" width="9.140625" style="1029"/>
    <col min="5932" max="5932" width="10.42578125" style="1029" customWidth="1"/>
    <col min="5933" max="5935" width="9.140625" style="1029"/>
    <col min="5936" max="5936" width="24.85546875" style="1029" customWidth="1"/>
    <col min="5937" max="5938" width="9.140625" style="1029"/>
    <col min="5939" max="5939" width="16.85546875" style="1029" customWidth="1"/>
    <col min="5940" max="5940" width="8" style="1029" customWidth="1"/>
    <col min="5941" max="5941" width="7.5703125" style="1029" bestFit="1" customWidth="1"/>
    <col min="5942" max="5942" width="8.7109375" style="1029" customWidth="1"/>
    <col min="5943" max="5943" width="9.140625" style="1029"/>
    <col min="5944" max="5944" width="7.5703125" style="1029" bestFit="1" customWidth="1"/>
    <col min="5945" max="5949" width="9.140625" style="1029"/>
    <col min="5950" max="5950" width="13.28515625" style="1029" bestFit="1" customWidth="1"/>
    <col min="5951" max="5968" width="9.140625" style="1029"/>
    <col min="5969" max="5969" width="13.28515625" style="1029" bestFit="1" customWidth="1"/>
    <col min="5970" max="5970" width="10.5703125" style="1029" bestFit="1" customWidth="1"/>
    <col min="5971" max="6144" width="9.140625" style="1029"/>
    <col min="6145" max="6145" width="1.28515625" style="1029" customWidth="1"/>
    <col min="6146" max="6146" width="7" style="1029" customWidth="1"/>
    <col min="6147" max="6147" width="45.42578125" style="1029" customWidth="1"/>
    <col min="6148" max="6151" width="0" style="1029" hidden="1" customWidth="1"/>
    <col min="6152" max="6158" width="10.140625" style="1029" customWidth="1"/>
    <col min="6159" max="6164" width="0" style="1029" hidden="1" customWidth="1"/>
    <col min="6165" max="6165" width="4.5703125" style="1029" customWidth="1"/>
    <col min="6166" max="6166" width="19.140625" style="1029" customWidth="1"/>
    <col min="6167" max="6171" width="9.140625" style="1029"/>
    <col min="6172" max="6172" width="41.140625" style="1029" bestFit="1" customWidth="1"/>
    <col min="6173" max="6173" width="12.5703125" style="1029" bestFit="1" customWidth="1"/>
    <col min="6174" max="6175" width="11.28515625" style="1029" bestFit="1" customWidth="1"/>
    <col min="6176" max="6176" width="18.140625" style="1029" bestFit="1" customWidth="1"/>
    <col min="6177" max="6177" width="10.28515625" style="1029" bestFit="1" customWidth="1"/>
    <col min="6178" max="6184" width="0" style="1029" hidden="1" customWidth="1"/>
    <col min="6185" max="6185" width="9.140625" style="1029"/>
    <col min="6186" max="6186" width="34.42578125" style="1029" customWidth="1"/>
    <col min="6187" max="6187" width="9.140625" style="1029"/>
    <col min="6188" max="6188" width="10.42578125" style="1029" customWidth="1"/>
    <col min="6189" max="6191" width="9.140625" style="1029"/>
    <col min="6192" max="6192" width="24.85546875" style="1029" customWidth="1"/>
    <col min="6193" max="6194" width="9.140625" style="1029"/>
    <col min="6195" max="6195" width="16.85546875" style="1029" customWidth="1"/>
    <col min="6196" max="6196" width="8" style="1029" customWidth="1"/>
    <col min="6197" max="6197" width="7.5703125" style="1029" bestFit="1" customWidth="1"/>
    <col min="6198" max="6198" width="8.7109375" style="1029" customWidth="1"/>
    <col min="6199" max="6199" width="9.140625" style="1029"/>
    <col min="6200" max="6200" width="7.5703125" style="1029" bestFit="1" customWidth="1"/>
    <col min="6201" max="6205" width="9.140625" style="1029"/>
    <col min="6206" max="6206" width="13.28515625" style="1029" bestFit="1" customWidth="1"/>
    <col min="6207" max="6224" width="9.140625" style="1029"/>
    <col min="6225" max="6225" width="13.28515625" style="1029" bestFit="1" customWidth="1"/>
    <col min="6226" max="6226" width="10.5703125" style="1029" bestFit="1" customWidth="1"/>
    <col min="6227" max="6400" width="9.140625" style="1029"/>
    <col min="6401" max="6401" width="1.28515625" style="1029" customWidth="1"/>
    <col min="6402" max="6402" width="7" style="1029" customWidth="1"/>
    <col min="6403" max="6403" width="45.42578125" style="1029" customWidth="1"/>
    <col min="6404" max="6407" width="0" style="1029" hidden="1" customWidth="1"/>
    <col min="6408" max="6414" width="10.140625" style="1029" customWidth="1"/>
    <col min="6415" max="6420" width="0" style="1029" hidden="1" customWidth="1"/>
    <col min="6421" max="6421" width="4.5703125" style="1029" customWidth="1"/>
    <col min="6422" max="6422" width="19.140625" style="1029" customWidth="1"/>
    <col min="6423" max="6427" width="9.140625" style="1029"/>
    <col min="6428" max="6428" width="41.140625" style="1029" bestFit="1" customWidth="1"/>
    <col min="6429" max="6429" width="12.5703125" style="1029" bestFit="1" customWidth="1"/>
    <col min="6430" max="6431" width="11.28515625" style="1029" bestFit="1" customWidth="1"/>
    <col min="6432" max="6432" width="18.140625" style="1029" bestFit="1" customWidth="1"/>
    <col min="6433" max="6433" width="10.28515625" style="1029" bestFit="1" customWidth="1"/>
    <col min="6434" max="6440" width="0" style="1029" hidden="1" customWidth="1"/>
    <col min="6441" max="6441" width="9.140625" style="1029"/>
    <col min="6442" max="6442" width="34.42578125" style="1029" customWidth="1"/>
    <col min="6443" max="6443" width="9.140625" style="1029"/>
    <col min="6444" max="6444" width="10.42578125" style="1029" customWidth="1"/>
    <col min="6445" max="6447" width="9.140625" style="1029"/>
    <col min="6448" max="6448" width="24.85546875" style="1029" customWidth="1"/>
    <col min="6449" max="6450" width="9.140625" style="1029"/>
    <col min="6451" max="6451" width="16.85546875" style="1029" customWidth="1"/>
    <col min="6452" max="6452" width="8" style="1029" customWidth="1"/>
    <col min="6453" max="6453" width="7.5703125" style="1029" bestFit="1" customWidth="1"/>
    <col min="6454" max="6454" width="8.7109375" style="1029" customWidth="1"/>
    <col min="6455" max="6455" width="9.140625" style="1029"/>
    <col min="6456" max="6456" width="7.5703125" style="1029" bestFit="1" customWidth="1"/>
    <col min="6457" max="6461" width="9.140625" style="1029"/>
    <col min="6462" max="6462" width="13.28515625" style="1029" bestFit="1" customWidth="1"/>
    <col min="6463" max="6480" width="9.140625" style="1029"/>
    <col min="6481" max="6481" width="13.28515625" style="1029" bestFit="1" customWidth="1"/>
    <col min="6482" max="6482" width="10.5703125" style="1029" bestFit="1" customWidth="1"/>
    <col min="6483" max="6656" width="9.140625" style="1029"/>
    <col min="6657" max="6657" width="1.28515625" style="1029" customWidth="1"/>
    <col min="6658" max="6658" width="7" style="1029" customWidth="1"/>
    <col min="6659" max="6659" width="45.42578125" style="1029" customWidth="1"/>
    <col min="6660" max="6663" width="0" style="1029" hidden="1" customWidth="1"/>
    <col min="6664" max="6670" width="10.140625" style="1029" customWidth="1"/>
    <col min="6671" max="6676" width="0" style="1029" hidden="1" customWidth="1"/>
    <col min="6677" max="6677" width="4.5703125" style="1029" customWidth="1"/>
    <col min="6678" max="6678" width="19.140625" style="1029" customWidth="1"/>
    <col min="6679" max="6683" width="9.140625" style="1029"/>
    <col min="6684" max="6684" width="41.140625" style="1029" bestFit="1" customWidth="1"/>
    <col min="6685" max="6685" width="12.5703125" style="1029" bestFit="1" customWidth="1"/>
    <col min="6686" max="6687" width="11.28515625" style="1029" bestFit="1" customWidth="1"/>
    <col min="6688" max="6688" width="18.140625" style="1029" bestFit="1" customWidth="1"/>
    <col min="6689" max="6689" width="10.28515625" style="1029" bestFit="1" customWidth="1"/>
    <col min="6690" max="6696" width="0" style="1029" hidden="1" customWidth="1"/>
    <col min="6697" max="6697" width="9.140625" style="1029"/>
    <col min="6698" max="6698" width="34.42578125" style="1029" customWidth="1"/>
    <col min="6699" max="6699" width="9.140625" style="1029"/>
    <col min="6700" max="6700" width="10.42578125" style="1029" customWidth="1"/>
    <col min="6701" max="6703" width="9.140625" style="1029"/>
    <col min="6704" max="6704" width="24.85546875" style="1029" customWidth="1"/>
    <col min="6705" max="6706" width="9.140625" style="1029"/>
    <col min="6707" max="6707" width="16.85546875" style="1029" customWidth="1"/>
    <col min="6708" max="6708" width="8" style="1029" customWidth="1"/>
    <col min="6709" max="6709" width="7.5703125" style="1029" bestFit="1" customWidth="1"/>
    <col min="6710" max="6710" width="8.7109375" style="1029" customWidth="1"/>
    <col min="6711" max="6711" width="9.140625" style="1029"/>
    <col min="6712" max="6712" width="7.5703125" style="1029" bestFit="1" customWidth="1"/>
    <col min="6713" max="6717" width="9.140625" style="1029"/>
    <col min="6718" max="6718" width="13.28515625" style="1029" bestFit="1" customWidth="1"/>
    <col min="6719" max="6736" width="9.140625" style="1029"/>
    <col min="6737" max="6737" width="13.28515625" style="1029" bestFit="1" customWidth="1"/>
    <col min="6738" max="6738" width="10.5703125" style="1029" bestFit="1" customWidth="1"/>
    <col min="6739" max="6912" width="9.140625" style="1029"/>
    <col min="6913" max="6913" width="1.28515625" style="1029" customWidth="1"/>
    <col min="6914" max="6914" width="7" style="1029" customWidth="1"/>
    <col min="6915" max="6915" width="45.42578125" style="1029" customWidth="1"/>
    <col min="6916" max="6919" width="0" style="1029" hidden="1" customWidth="1"/>
    <col min="6920" max="6926" width="10.140625" style="1029" customWidth="1"/>
    <col min="6927" max="6932" width="0" style="1029" hidden="1" customWidth="1"/>
    <col min="6933" max="6933" width="4.5703125" style="1029" customWidth="1"/>
    <col min="6934" max="6934" width="19.140625" style="1029" customWidth="1"/>
    <col min="6935" max="6939" width="9.140625" style="1029"/>
    <col min="6940" max="6940" width="41.140625" style="1029" bestFit="1" customWidth="1"/>
    <col min="6941" max="6941" width="12.5703125" style="1029" bestFit="1" customWidth="1"/>
    <col min="6942" max="6943" width="11.28515625" style="1029" bestFit="1" customWidth="1"/>
    <col min="6944" max="6944" width="18.140625" style="1029" bestFit="1" customWidth="1"/>
    <col min="6945" max="6945" width="10.28515625" style="1029" bestFit="1" customWidth="1"/>
    <col min="6946" max="6952" width="0" style="1029" hidden="1" customWidth="1"/>
    <col min="6953" max="6953" width="9.140625" style="1029"/>
    <col min="6954" max="6954" width="34.42578125" style="1029" customWidth="1"/>
    <col min="6955" max="6955" width="9.140625" style="1029"/>
    <col min="6956" max="6956" width="10.42578125" style="1029" customWidth="1"/>
    <col min="6957" max="6959" width="9.140625" style="1029"/>
    <col min="6960" max="6960" width="24.85546875" style="1029" customWidth="1"/>
    <col min="6961" max="6962" width="9.140625" style="1029"/>
    <col min="6963" max="6963" width="16.85546875" style="1029" customWidth="1"/>
    <col min="6964" max="6964" width="8" style="1029" customWidth="1"/>
    <col min="6965" max="6965" width="7.5703125" style="1029" bestFit="1" customWidth="1"/>
    <col min="6966" max="6966" width="8.7109375" style="1029" customWidth="1"/>
    <col min="6967" max="6967" width="9.140625" style="1029"/>
    <col min="6968" max="6968" width="7.5703125" style="1029" bestFit="1" customWidth="1"/>
    <col min="6969" max="6973" width="9.140625" style="1029"/>
    <col min="6974" max="6974" width="13.28515625" style="1029" bestFit="1" customWidth="1"/>
    <col min="6975" max="6992" width="9.140625" style="1029"/>
    <col min="6993" max="6993" width="13.28515625" style="1029" bestFit="1" customWidth="1"/>
    <col min="6994" max="6994" width="10.5703125" style="1029" bestFit="1" customWidth="1"/>
    <col min="6995" max="7168" width="9.140625" style="1029"/>
    <col min="7169" max="7169" width="1.28515625" style="1029" customWidth="1"/>
    <col min="7170" max="7170" width="7" style="1029" customWidth="1"/>
    <col min="7171" max="7171" width="45.42578125" style="1029" customWidth="1"/>
    <col min="7172" max="7175" width="0" style="1029" hidden="1" customWidth="1"/>
    <col min="7176" max="7182" width="10.140625" style="1029" customWidth="1"/>
    <col min="7183" max="7188" width="0" style="1029" hidden="1" customWidth="1"/>
    <col min="7189" max="7189" width="4.5703125" style="1029" customWidth="1"/>
    <col min="7190" max="7190" width="19.140625" style="1029" customWidth="1"/>
    <col min="7191" max="7195" width="9.140625" style="1029"/>
    <col min="7196" max="7196" width="41.140625" style="1029" bestFit="1" customWidth="1"/>
    <col min="7197" max="7197" width="12.5703125" style="1029" bestFit="1" customWidth="1"/>
    <col min="7198" max="7199" width="11.28515625" style="1029" bestFit="1" customWidth="1"/>
    <col min="7200" max="7200" width="18.140625" style="1029" bestFit="1" customWidth="1"/>
    <col min="7201" max="7201" width="10.28515625" style="1029" bestFit="1" customWidth="1"/>
    <col min="7202" max="7208" width="0" style="1029" hidden="1" customWidth="1"/>
    <col min="7209" max="7209" width="9.140625" style="1029"/>
    <col min="7210" max="7210" width="34.42578125" style="1029" customWidth="1"/>
    <col min="7211" max="7211" width="9.140625" style="1029"/>
    <col min="7212" max="7212" width="10.42578125" style="1029" customWidth="1"/>
    <col min="7213" max="7215" width="9.140625" style="1029"/>
    <col min="7216" max="7216" width="24.85546875" style="1029" customWidth="1"/>
    <col min="7217" max="7218" width="9.140625" style="1029"/>
    <col min="7219" max="7219" width="16.85546875" style="1029" customWidth="1"/>
    <col min="7220" max="7220" width="8" style="1029" customWidth="1"/>
    <col min="7221" max="7221" width="7.5703125" style="1029" bestFit="1" customWidth="1"/>
    <col min="7222" max="7222" width="8.7109375" style="1029" customWidth="1"/>
    <col min="7223" max="7223" width="9.140625" style="1029"/>
    <col min="7224" max="7224" width="7.5703125" style="1029" bestFit="1" customWidth="1"/>
    <col min="7225" max="7229" width="9.140625" style="1029"/>
    <col min="7230" max="7230" width="13.28515625" style="1029" bestFit="1" customWidth="1"/>
    <col min="7231" max="7248" width="9.140625" style="1029"/>
    <col min="7249" max="7249" width="13.28515625" style="1029" bestFit="1" customWidth="1"/>
    <col min="7250" max="7250" width="10.5703125" style="1029" bestFit="1" customWidth="1"/>
    <col min="7251" max="7424" width="9.140625" style="1029"/>
    <col min="7425" max="7425" width="1.28515625" style="1029" customWidth="1"/>
    <col min="7426" max="7426" width="7" style="1029" customWidth="1"/>
    <col min="7427" max="7427" width="45.42578125" style="1029" customWidth="1"/>
    <col min="7428" max="7431" width="0" style="1029" hidden="1" customWidth="1"/>
    <col min="7432" max="7438" width="10.140625" style="1029" customWidth="1"/>
    <col min="7439" max="7444" width="0" style="1029" hidden="1" customWidth="1"/>
    <col min="7445" max="7445" width="4.5703125" style="1029" customWidth="1"/>
    <col min="7446" max="7446" width="19.140625" style="1029" customWidth="1"/>
    <col min="7447" max="7451" width="9.140625" style="1029"/>
    <col min="7452" max="7452" width="41.140625" style="1029" bestFit="1" customWidth="1"/>
    <col min="7453" max="7453" width="12.5703125" style="1029" bestFit="1" customWidth="1"/>
    <col min="7454" max="7455" width="11.28515625" style="1029" bestFit="1" customWidth="1"/>
    <col min="7456" max="7456" width="18.140625" style="1029" bestFit="1" customWidth="1"/>
    <col min="7457" max="7457" width="10.28515625" style="1029" bestFit="1" customWidth="1"/>
    <col min="7458" max="7464" width="0" style="1029" hidden="1" customWidth="1"/>
    <col min="7465" max="7465" width="9.140625" style="1029"/>
    <col min="7466" max="7466" width="34.42578125" style="1029" customWidth="1"/>
    <col min="7467" max="7467" width="9.140625" style="1029"/>
    <col min="7468" max="7468" width="10.42578125" style="1029" customWidth="1"/>
    <col min="7469" max="7471" width="9.140625" style="1029"/>
    <col min="7472" max="7472" width="24.85546875" style="1029" customWidth="1"/>
    <col min="7473" max="7474" width="9.140625" style="1029"/>
    <col min="7475" max="7475" width="16.85546875" style="1029" customWidth="1"/>
    <col min="7476" max="7476" width="8" style="1029" customWidth="1"/>
    <col min="7477" max="7477" width="7.5703125" style="1029" bestFit="1" customWidth="1"/>
    <col min="7478" max="7478" width="8.7109375" style="1029" customWidth="1"/>
    <col min="7479" max="7479" width="9.140625" style="1029"/>
    <col min="7480" max="7480" width="7.5703125" style="1029" bestFit="1" customWidth="1"/>
    <col min="7481" max="7485" width="9.140625" style="1029"/>
    <col min="7486" max="7486" width="13.28515625" style="1029" bestFit="1" customWidth="1"/>
    <col min="7487" max="7504" width="9.140625" style="1029"/>
    <col min="7505" max="7505" width="13.28515625" style="1029" bestFit="1" customWidth="1"/>
    <col min="7506" max="7506" width="10.5703125" style="1029" bestFit="1" customWidth="1"/>
    <col min="7507" max="7680" width="9.140625" style="1029"/>
    <col min="7681" max="7681" width="1.28515625" style="1029" customWidth="1"/>
    <col min="7682" max="7682" width="7" style="1029" customWidth="1"/>
    <col min="7683" max="7683" width="45.42578125" style="1029" customWidth="1"/>
    <col min="7684" max="7687" width="0" style="1029" hidden="1" customWidth="1"/>
    <col min="7688" max="7694" width="10.140625" style="1029" customWidth="1"/>
    <col min="7695" max="7700" width="0" style="1029" hidden="1" customWidth="1"/>
    <col min="7701" max="7701" width="4.5703125" style="1029" customWidth="1"/>
    <col min="7702" max="7702" width="19.140625" style="1029" customWidth="1"/>
    <col min="7703" max="7707" width="9.140625" style="1029"/>
    <col min="7708" max="7708" width="41.140625" style="1029" bestFit="1" customWidth="1"/>
    <col min="7709" max="7709" width="12.5703125" style="1029" bestFit="1" customWidth="1"/>
    <col min="7710" max="7711" width="11.28515625" style="1029" bestFit="1" customWidth="1"/>
    <col min="7712" max="7712" width="18.140625" style="1029" bestFit="1" customWidth="1"/>
    <col min="7713" max="7713" width="10.28515625" style="1029" bestFit="1" customWidth="1"/>
    <col min="7714" max="7720" width="0" style="1029" hidden="1" customWidth="1"/>
    <col min="7721" max="7721" width="9.140625" style="1029"/>
    <col min="7722" max="7722" width="34.42578125" style="1029" customWidth="1"/>
    <col min="7723" max="7723" width="9.140625" style="1029"/>
    <col min="7724" max="7724" width="10.42578125" style="1029" customWidth="1"/>
    <col min="7725" max="7727" width="9.140625" style="1029"/>
    <col min="7728" max="7728" width="24.85546875" style="1029" customWidth="1"/>
    <col min="7729" max="7730" width="9.140625" style="1029"/>
    <col min="7731" max="7731" width="16.85546875" style="1029" customWidth="1"/>
    <col min="7732" max="7732" width="8" style="1029" customWidth="1"/>
    <col min="7733" max="7733" width="7.5703125" style="1029" bestFit="1" customWidth="1"/>
    <col min="7734" max="7734" width="8.7109375" style="1029" customWidth="1"/>
    <col min="7735" max="7735" width="9.140625" style="1029"/>
    <col min="7736" max="7736" width="7.5703125" style="1029" bestFit="1" customWidth="1"/>
    <col min="7737" max="7741" width="9.140625" style="1029"/>
    <col min="7742" max="7742" width="13.28515625" style="1029" bestFit="1" customWidth="1"/>
    <col min="7743" max="7760" width="9.140625" style="1029"/>
    <col min="7761" max="7761" width="13.28515625" style="1029" bestFit="1" customWidth="1"/>
    <col min="7762" max="7762" width="10.5703125" style="1029" bestFit="1" customWidth="1"/>
    <col min="7763" max="7936" width="9.140625" style="1029"/>
    <col min="7937" max="7937" width="1.28515625" style="1029" customWidth="1"/>
    <col min="7938" max="7938" width="7" style="1029" customWidth="1"/>
    <col min="7939" max="7939" width="45.42578125" style="1029" customWidth="1"/>
    <col min="7940" max="7943" width="0" style="1029" hidden="1" customWidth="1"/>
    <col min="7944" max="7950" width="10.140625" style="1029" customWidth="1"/>
    <col min="7951" max="7956" width="0" style="1029" hidden="1" customWidth="1"/>
    <col min="7957" max="7957" width="4.5703125" style="1029" customWidth="1"/>
    <col min="7958" max="7958" width="19.140625" style="1029" customWidth="1"/>
    <col min="7959" max="7963" width="9.140625" style="1029"/>
    <col min="7964" max="7964" width="41.140625" style="1029" bestFit="1" customWidth="1"/>
    <col min="7965" max="7965" width="12.5703125" style="1029" bestFit="1" customWidth="1"/>
    <col min="7966" max="7967" width="11.28515625" style="1029" bestFit="1" customWidth="1"/>
    <col min="7968" max="7968" width="18.140625" style="1029" bestFit="1" customWidth="1"/>
    <col min="7969" max="7969" width="10.28515625" style="1029" bestFit="1" customWidth="1"/>
    <col min="7970" max="7976" width="0" style="1029" hidden="1" customWidth="1"/>
    <col min="7977" max="7977" width="9.140625" style="1029"/>
    <col min="7978" max="7978" width="34.42578125" style="1029" customWidth="1"/>
    <col min="7979" max="7979" width="9.140625" style="1029"/>
    <col min="7980" max="7980" width="10.42578125" style="1029" customWidth="1"/>
    <col min="7981" max="7983" width="9.140625" style="1029"/>
    <col min="7984" max="7984" width="24.85546875" style="1029" customWidth="1"/>
    <col min="7985" max="7986" width="9.140625" style="1029"/>
    <col min="7987" max="7987" width="16.85546875" style="1029" customWidth="1"/>
    <col min="7988" max="7988" width="8" style="1029" customWidth="1"/>
    <col min="7989" max="7989" width="7.5703125" style="1029" bestFit="1" customWidth="1"/>
    <col min="7990" max="7990" width="8.7109375" style="1029" customWidth="1"/>
    <col min="7991" max="7991" width="9.140625" style="1029"/>
    <col min="7992" max="7992" width="7.5703125" style="1029" bestFit="1" customWidth="1"/>
    <col min="7993" max="7997" width="9.140625" style="1029"/>
    <col min="7998" max="7998" width="13.28515625" style="1029" bestFit="1" customWidth="1"/>
    <col min="7999" max="8016" width="9.140625" style="1029"/>
    <col min="8017" max="8017" width="13.28515625" style="1029" bestFit="1" customWidth="1"/>
    <col min="8018" max="8018" width="10.5703125" style="1029" bestFit="1" customWidth="1"/>
    <col min="8019" max="8192" width="9.140625" style="1029"/>
    <col min="8193" max="8193" width="1.28515625" style="1029" customWidth="1"/>
    <col min="8194" max="8194" width="7" style="1029" customWidth="1"/>
    <col min="8195" max="8195" width="45.42578125" style="1029" customWidth="1"/>
    <col min="8196" max="8199" width="0" style="1029" hidden="1" customWidth="1"/>
    <col min="8200" max="8206" width="10.140625" style="1029" customWidth="1"/>
    <col min="8207" max="8212" width="0" style="1029" hidden="1" customWidth="1"/>
    <col min="8213" max="8213" width="4.5703125" style="1029" customWidth="1"/>
    <col min="8214" max="8214" width="19.140625" style="1029" customWidth="1"/>
    <col min="8215" max="8219" width="9.140625" style="1029"/>
    <col min="8220" max="8220" width="41.140625" style="1029" bestFit="1" customWidth="1"/>
    <col min="8221" max="8221" width="12.5703125" style="1029" bestFit="1" customWidth="1"/>
    <col min="8222" max="8223" width="11.28515625" style="1029" bestFit="1" customWidth="1"/>
    <col min="8224" max="8224" width="18.140625" style="1029" bestFit="1" customWidth="1"/>
    <col min="8225" max="8225" width="10.28515625" style="1029" bestFit="1" customWidth="1"/>
    <col min="8226" max="8232" width="0" style="1029" hidden="1" customWidth="1"/>
    <col min="8233" max="8233" width="9.140625" style="1029"/>
    <col min="8234" max="8234" width="34.42578125" style="1029" customWidth="1"/>
    <col min="8235" max="8235" width="9.140625" style="1029"/>
    <col min="8236" max="8236" width="10.42578125" style="1029" customWidth="1"/>
    <col min="8237" max="8239" width="9.140625" style="1029"/>
    <col min="8240" max="8240" width="24.85546875" style="1029" customWidth="1"/>
    <col min="8241" max="8242" width="9.140625" style="1029"/>
    <col min="8243" max="8243" width="16.85546875" style="1029" customWidth="1"/>
    <col min="8244" max="8244" width="8" style="1029" customWidth="1"/>
    <col min="8245" max="8245" width="7.5703125" style="1029" bestFit="1" customWidth="1"/>
    <col min="8246" max="8246" width="8.7109375" style="1029" customWidth="1"/>
    <col min="8247" max="8247" width="9.140625" style="1029"/>
    <col min="8248" max="8248" width="7.5703125" style="1029" bestFit="1" customWidth="1"/>
    <col min="8249" max="8253" width="9.140625" style="1029"/>
    <col min="8254" max="8254" width="13.28515625" style="1029" bestFit="1" customWidth="1"/>
    <col min="8255" max="8272" width="9.140625" style="1029"/>
    <col min="8273" max="8273" width="13.28515625" style="1029" bestFit="1" customWidth="1"/>
    <col min="8274" max="8274" width="10.5703125" style="1029" bestFit="1" customWidth="1"/>
    <col min="8275" max="8448" width="9.140625" style="1029"/>
    <col min="8449" max="8449" width="1.28515625" style="1029" customWidth="1"/>
    <col min="8450" max="8450" width="7" style="1029" customWidth="1"/>
    <col min="8451" max="8451" width="45.42578125" style="1029" customWidth="1"/>
    <col min="8452" max="8455" width="0" style="1029" hidden="1" customWidth="1"/>
    <col min="8456" max="8462" width="10.140625" style="1029" customWidth="1"/>
    <col min="8463" max="8468" width="0" style="1029" hidden="1" customWidth="1"/>
    <col min="8469" max="8469" width="4.5703125" style="1029" customWidth="1"/>
    <col min="8470" max="8470" width="19.140625" style="1029" customWidth="1"/>
    <col min="8471" max="8475" width="9.140625" style="1029"/>
    <col min="8476" max="8476" width="41.140625" style="1029" bestFit="1" customWidth="1"/>
    <col min="8477" max="8477" width="12.5703125" style="1029" bestFit="1" customWidth="1"/>
    <col min="8478" max="8479" width="11.28515625" style="1029" bestFit="1" customWidth="1"/>
    <col min="8480" max="8480" width="18.140625" style="1029" bestFit="1" customWidth="1"/>
    <col min="8481" max="8481" width="10.28515625" style="1029" bestFit="1" customWidth="1"/>
    <col min="8482" max="8488" width="0" style="1029" hidden="1" customWidth="1"/>
    <col min="8489" max="8489" width="9.140625" style="1029"/>
    <col min="8490" max="8490" width="34.42578125" style="1029" customWidth="1"/>
    <col min="8491" max="8491" width="9.140625" style="1029"/>
    <col min="8492" max="8492" width="10.42578125" style="1029" customWidth="1"/>
    <col min="8493" max="8495" width="9.140625" style="1029"/>
    <col min="8496" max="8496" width="24.85546875" style="1029" customWidth="1"/>
    <col min="8497" max="8498" width="9.140625" style="1029"/>
    <col min="8499" max="8499" width="16.85546875" style="1029" customWidth="1"/>
    <col min="8500" max="8500" width="8" style="1029" customWidth="1"/>
    <col min="8501" max="8501" width="7.5703125" style="1029" bestFit="1" customWidth="1"/>
    <col min="8502" max="8502" width="8.7109375" style="1029" customWidth="1"/>
    <col min="8503" max="8503" width="9.140625" style="1029"/>
    <col min="8504" max="8504" width="7.5703125" style="1029" bestFit="1" customWidth="1"/>
    <col min="8505" max="8509" width="9.140625" style="1029"/>
    <col min="8510" max="8510" width="13.28515625" style="1029" bestFit="1" customWidth="1"/>
    <col min="8511" max="8528" width="9.140625" style="1029"/>
    <col min="8529" max="8529" width="13.28515625" style="1029" bestFit="1" customWidth="1"/>
    <col min="8530" max="8530" width="10.5703125" style="1029" bestFit="1" customWidth="1"/>
    <col min="8531" max="8704" width="9.140625" style="1029"/>
    <col min="8705" max="8705" width="1.28515625" style="1029" customWidth="1"/>
    <col min="8706" max="8706" width="7" style="1029" customWidth="1"/>
    <col min="8707" max="8707" width="45.42578125" style="1029" customWidth="1"/>
    <col min="8708" max="8711" width="0" style="1029" hidden="1" customWidth="1"/>
    <col min="8712" max="8718" width="10.140625" style="1029" customWidth="1"/>
    <col min="8719" max="8724" width="0" style="1029" hidden="1" customWidth="1"/>
    <col min="8725" max="8725" width="4.5703125" style="1029" customWidth="1"/>
    <col min="8726" max="8726" width="19.140625" style="1029" customWidth="1"/>
    <col min="8727" max="8731" width="9.140625" style="1029"/>
    <col min="8732" max="8732" width="41.140625" style="1029" bestFit="1" customWidth="1"/>
    <col min="8733" max="8733" width="12.5703125" style="1029" bestFit="1" customWidth="1"/>
    <col min="8734" max="8735" width="11.28515625" style="1029" bestFit="1" customWidth="1"/>
    <col min="8736" max="8736" width="18.140625" style="1029" bestFit="1" customWidth="1"/>
    <col min="8737" max="8737" width="10.28515625" style="1029" bestFit="1" customWidth="1"/>
    <col min="8738" max="8744" width="0" style="1029" hidden="1" customWidth="1"/>
    <col min="8745" max="8745" width="9.140625" style="1029"/>
    <col min="8746" max="8746" width="34.42578125" style="1029" customWidth="1"/>
    <col min="8747" max="8747" width="9.140625" style="1029"/>
    <col min="8748" max="8748" width="10.42578125" style="1029" customWidth="1"/>
    <col min="8749" max="8751" width="9.140625" style="1029"/>
    <col min="8752" max="8752" width="24.85546875" style="1029" customWidth="1"/>
    <col min="8753" max="8754" width="9.140625" style="1029"/>
    <col min="8755" max="8755" width="16.85546875" style="1029" customWidth="1"/>
    <col min="8756" max="8756" width="8" style="1029" customWidth="1"/>
    <col min="8757" max="8757" width="7.5703125" style="1029" bestFit="1" customWidth="1"/>
    <col min="8758" max="8758" width="8.7109375" style="1029" customWidth="1"/>
    <col min="8759" max="8759" width="9.140625" style="1029"/>
    <col min="8760" max="8760" width="7.5703125" style="1029" bestFit="1" customWidth="1"/>
    <col min="8761" max="8765" width="9.140625" style="1029"/>
    <col min="8766" max="8766" width="13.28515625" style="1029" bestFit="1" customWidth="1"/>
    <col min="8767" max="8784" width="9.140625" style="1029"/>
    <col min="8785" max="8785" width="13.28515625" style="1029" bestFit="1" customWidth="1"/>
    <col min="8786" max="8786" width="10.5703125" style="1029" bestFit="1" customWidth="1"/>
    <col min="8787" max="8960" width="9.140625" style="1029"/>
    <col min="8961" max="8961" width="1.28515625" style="1029" customWidth="1"/>
    <col min="8962" max="8962" width="7" style="1029" customWidth="1"/>
    <col min="8963" max="8963" width="45.42578125" style="1029" customWidth="1"/>
    <col min="8964" max="8967" width="0" style="1029" hidden="1" customWidth="1"/>
    <col min="8968" max="8974" width="10.140625" style="1029" customWidth="1"/>
    <col min="8975" max="8980" width="0" style="1029" hidden="1" customWidth="1"/>
    <col min="8981" max="8981" width="4.5703125" style="1029" customWidth="1"/>
    <col min="8982" max="8982" width="19.140625" style="1029" customWidth="1"/>
    <col min="8983" max="8987" width="9.140625" style="1029"/>
    <col min="8988" max="8988" width="41.140625" style="1029" bestFit="1" customWidth="1"/>
    <col min="8989" max="8989" width="12.5703125" style="1029" bestFit="1" customWidth="1"/>
    <col min="8990" max="8991" width="11.28515625" style="1029" bestFit="1" customWidth="1"/>
    <col min="8992" max="8992" width="18.140625" style="1029" bestFit="1" customWidth="1"/>
    <col min="8993" max="8993" width="10.28515625" style="1029" bestFit="1" customWidth="1"/>
    <col min="8994" max="9000" width="0" style="1029" hidden="1" customWidth="1"/>
    <col min="9001" max="9001" width="9.140625" style="1029"/>
    <col min="9002" max="9002" width="34.42578125" style="1029" customWidth="1"/>
    <col min="9003" max="9003" width="9.140625" style="1029"/>
    <col min="9004" max="9004" width="10.42578125" style="1029" customWidth="1"/>
    <col min="9005" max="9007" width="9.140625" style="1029"/>
    <col min="9008" max="9008" width="24.85546875" style="1029" customWidth="1"/>
    <col min="9009" max="9010" width="9.140625" style="1029"/>
    <col min="9011" max="9011" width="16.85546875" style="1029" customWidth="1"/>
    <col min="9012" max="9012" width="8" style="1029" customWidth="1"/>
    <col min="9013" max="9013" width="7.5703125" style="1029" bestFit="1" customWidth="1"/>
    <col min="9014" max="9014" width="8.7109375" style="1029" customWidth="1"/>
    <col min="9015" max="9015" width="9.140625" style="1029"/>
    <col min="9016" max="9016" width="7.5703125" style="1029" bestFit="1" customWidth="1"/>
    <col min="9017" max="9021" width="9.140625" style="1029"/>
    <col min="9022" max="9022" width="13.28515625" style="1029" bestFit="1" customWidth="1"/>
    <col min="9023" max="9040" width="9.140625" style="1029"/>
    <col min="9041" max="9041" width="13.28515625" style="1029" bestFit="1" customWidth="1"/>
    <col min="9042" max="9042" width="10.5703125" style="1029" bestFit="1" customWidth="1"/>
    <col min="9043" max="9216" width="9.140625" style="1029"/>
    <col min="9217" max="9217" width="1.28515625" style="1029" customWidth="1"/>
    <col min="9218" max="9218" width="7" style="1029" customWidth="1"/>
    <col min="9219" max="9219" width="45.42578125" style="1029" customWidth="1"/>
    <col min="9220" max="9223" width="0" style="1029" hidden="1" customWidth="1"/>
    <col min="9224" max="9230" width="10.140625" style="1029" customWidth="1"/>
    <col min="9231" max="9236" width="0" style="1029" hidden="1" customWidth="1"/>
    <col min="9237" max="9237" width="4.5703125" style="1029" customWidth="1"/>
    <col min="9238" max="9238" width="19.140625" style="1029" customWidth="1"/>
    <col min="9239" max="9243" width="9.140625" style="1029"/>
    <col min="9244" max="9244" width="41.140625" style="1029" bestFit="1" customWidth="1"/>
    <col min="9245" max="9245" width="12.5703125" style="1029" bestFit="1" customWidth="1"/>
    <col min="9246" max="9247" width="11.28515625" style="1029" bestFit="1" customWidth="1"/>
    <col min="9248" max="9248" width="18.140625" style="1029" bestFit="1" customWidth="1"/>
    <col min="9249" max="9249" width="10.28515625" style="1029" bestFit="1" customWidth="1"/>
    <col min="9250" max="9256" width="0" style="1029" hidden="1" customWidth="1"/>
    <col min="9257" max="9257" width="9.140625" style="1029"/>
    <col min="9258" max="9258" width="34.42578125" style="1029" customWidth="1"/>
    <col min="9259" max="9259" width="9.140625" style="1029"/>
    <col min="9260" max="9260" width="10.42578125" style="1029" customWidth="1"/>
    <col min="9261" max="9263" width="9.140625" style="1029"/>
    <col min="9264" max="9264" width="24.85546875" style="1029" customWidth="1"/>
    <col min="9265" max="9266" width="9.140625" style="1029"/>
    <col min="9267" max="9267" width="16.85546875" style="1029" customWidth="1"/>
    <col min="9268" max="9268" width="8" style="1029" customWidth="1"/>
    <col min="9269" max="9269" width="7.5703125" style="1029" bestFit="1" customWidth="1"/>
    <col min="9270" max="9270" width="8.7109375" style="1029" customWidth="1"/>
    <col min="9271" max="9271" width="9.140625" style="1029"/>
    <col min="9272" max="9272" width="7.5703125" style="1029" bestFit="1" customWidth="1"/>
    <col min="9273" max="9277" width="9.140625" style="1029"/>
    <col min="9278" max="9278" width="13.28515625" style="1029" bestFit="1" customWidth="1"/>
    <col min="9279" max="9296" width="9.140625" style="1029"/>
    <col min="9297" max="9297" width="13.28515625" style="1029" bestFit="1" customWidth="1"/>
    <col min="9298" max="9298" width="10.5703125" style="1029" bestFit="1" customWidth="1"/>
    <col min="9299" max="9472" width="9.140625" style="1029"/>
    <col min="9473" max="9473" width="1.28515625" style="1029" customWidth="1"/>
    <col min="9474" max="9474" width="7" style="1029" customWidth="1"/>
    <col min="9475" max="9475" width="45.42578125" style="1029" customWidth="1"/>
    <col min="9476" max="9479" width="0" style="1029" hidden="1" customWidth="1"/>
    <col min="9480" max="9486" width="10.140625" style="1029" customWidth="1"/>
    <col min="9487" max="9492" width="0" style="1029" hidden="1" customWidth="1"/>
    <col min="9493" max="9493" width="4.5703125" style="1029" customWidth="1"/>
    <col min="9494" max="9494" width="19.140625" style="1029" customWidth="1"/>
    <col min="9495" max="9499" width="9.140625" style="1029"/>
    <col min="9500" max="9500" width="41.140625" style="1029" bestFit="1" customWidth="1"/>
    <col min="9501" max="9501" width="12.5703125" style="1029" bestFit="1" customWidth="1"/>
    <col min="9502" max="9503" width="11.28515625" style="1029" bestFit="1" customWidth="1"/>
    <col min="9504" max="9504" width="18.140625" style="1029" bestFit="1" customWidth="1"/>
    <col min="9505" max="9505" width="10.28515625" style="1029" bestFit="1" customWidth="1"/>
    <col min="9506" max="9512" width="0" style="1029" hidden="1" customWidth="1"/>
    <col min="9513" max="9513" width="9.140625" style="1029"/>
    <col min="9514" max="9514" width="34.42578125" style="1029" customWidth="1"/>
    <col min="9515" max="9515" width="9.140625" style="1029"/>
    <col min="9516" max="9516" width="10.42578125" style="1029" customWidth="1"/>
    <col min="9517" max="9519" width="9.140625" style="1029"/>
    <col min="9520" max="9520" width="24.85546875" style="1029" customWidth="1"/>
    <col min="9521" max="9522" width="9.140625" style="1029"/>
    <col min="9523" max="9523" width="16.85546875" style="1029" customWidth="1"/>
    <col min="9524" max="9524" width="8" style="1029" customWidth="1"/>
    <col min="9525" max="9525" width="7.5703125" style="1029" bestFit="1" customWidth="1"/>
    <col min="9526" max="9526" width="8.7109375" style="1029" customWidth="1"/>
    <col min="9527" max="9527" width="9.140625" style="1029"/>
    <col min="9528" max="9528" width="7.5703125" style="1029" bestFit="1" customWidth="1"/>
    <col min="9529" max="9533" width="9.140625" style="1029"/>
    <col min="9534" max="9534" width="13.28515625" style="1029" bestFit="1" customWidth="1"/>
    <col min="9535" max="9552" width="9.140625" style="1029"/>
    <col min="9553" max="9553" width="13.28515625" style="1029" bestFit="1" customWidth="1"/>
    <col min="9554" max="9554" width="10.5703125" style="1029" bestFit="1" customWidth="1"/>
    <col min="9555" max="9728" width="9.140625" style="1029"/>
    <col min="9729" max="9729" width="1.28515625" style="1029" customWidth="1"/>
    <col min="9730" max="9730" width="7" style="1029" customWidth="1"/>
    <col min="9731" max="9731" width="45.42578125" style="1029" customWidth="1"/>
    <col min="9732" max="9735" width="0" style="1029" hidden="1" customWidth="1"/>
    <col min="9736" max="9742" width="10.140625" style="1029" customWidth="1"/>
    <col min="9743" max="9748" width="0" style="1029" hidden="1" customWidth="1"/>
    <col min="9749" max="9749" width="4.5703125" style="1029" customWidth="1"/>
    <col min="9750" max="9750" width="19.140625" style="1029" customWidth="1"/>
    <col min="9751" max="9755" width="9.140625" style="1029"/>
    <col min="9756" max="9756" width="41.140625" style="1029" bestFit="1" customWidth="1"/>
    <col min="9757" max="9757" width="12.5703125" style="1029" bestFit="1" customWidth="1"/>
    <col min="9758" max="9759" width="11.28515625" style="1029" bestFit="1" customWidth="1"/>
    <col min="9760" max="9760" width="18.140625" style="1029" bestFit="1" customWidth="1"/>
    <col min="9761" max="9761" width="10.28515625" style="1029" bestFit="1" customWidth="1"/>
    <col min="9762" max="9768" width="0" style="1029" hidden="1" customWidth="1"/>
    <col min="9769" max="9769" width="9.140625" style="1029"/>
    <col min="9770" max="9770" width="34.42578125" style="1029" customWidth="1"/>
    <col min="9771" max="9771" width="9.140625" style="1029"/>
    <col min="9772" max="9772" width="10.42578125" style="1029" customWidth="1"/>
    <col min="9773" max="9775" width="9.140625" style="1029"/>
    <col min="9776" max="9776" width="24.85546875" style="1029" customWidth="1"/>
    <col min="9777" max="9778" width="9.140625" style="1029"/>
    <col min="9779" max="9779" width="16.85546875" style="1029" customWidth="1"/>
    <col min="9780" max="9780" width="8" style="1029" customWidth="1"/>
    <col min="9781" max="9781" width="7.5703125" style="1029" bestFit="1" customWidth="1"/>
    <col min="9782" max="9782" width="8.7109375" style="1029" customWidth="1"/>
    <col min="9783" max="9783" width="9.140625" style="1029"/>
    <col min="9784" max="9784" width="7.5703125" style="1029" bestFit="1" customWidth="1"/>
    <col min="9785" max="9789" width="9.140625" style="1029"/>
    <col min="9790" max="9790" width="13.28515625" style="1029" bestFit="1" customWidth="1"/>
    <col min="9791" max="9808" width="9.140625" style="1029"/>
    <col min="9809" max="9809" width="13.28515625" style="1029" bestFit="1" customWidth="1"/>
    <col min="9810" max="9810" width="10.5703125" style="1029" bestFit="1" customWidth="1"/>
    <col min="9811" max="9984" width="9.140625" style="1029"/>
    <col min="9985" max="9985" width="1.28515625" style="1029" customWidth="1"/>
    <col min="9986" max="9986" width="7" style="1029" customWidth="1"/>
    <col min="9987" max="9987" width="45.42578125" style="1029" customWidth="1"/>
    <col min="9988" max="9991" width="0" style="1029" hidden="1" customWidth="1"/>
    <col min="9992" max="9998" width="10.140625" style="1029" customWidth="1"/>
    <col min="9999" max="10004" width="0" style="1029" hidden="1" customWidth="1"/>
    <col min="10005" max="10005" width="4.5703125" style="1029" customWidth="1"/>
    <col min="10006" max="10006" width="19.140625" style="1029" customWidth="1"/>
    <col min="10007" max="10011" width="9.140625" style="1029"/>
    <col min="10012" max="10012" width="41.140625" style="1029" bestFit="1" customWidth="1"/>
    <col min="10013" max="10013" width="12.5703125" style="1029" bestFit="1" customWidth="1"/>
    <col min="10014" max="10015" width="11.28515625" style="1029" bestFit="1" customWidth="1"/>
    <col min="10016" max="10016" width="18.140625" style="1029" bestFit="1" customWidth="1"/>
    <col min="10017" max="10017" width="10.28515625" style="1029" bestFit="1" customWidth="1"/>
    <col min="10018" max="10024" width="0" style="1029" hidden="1" customWidth="1"/>
    <col min="10025" max="10025" width="9.140625" style="1029"/>
    <col min="10026" max="10026" width="34.42578125" style="1029" customWidth="1"/>
    <col min="10027" max="10027" width="9.140625" style="1029"/>
    <col min="10028" max="10028" width="10.42578125" style="1029" customWidth="1"/>
    <col min="10029" max="10031" width="9.140625" style="1029"/>
    <col min="10032" max="10032" width="24.85546875" style="1029" customWidth="1"/>
    <col min="10033" max="10034" width="9.140625" style="1029"/>
    <col min="10035" max="10035" width="16.85546875" style="1029" customWidth="1"/>
    <col min="10036" max="10036" width="8" style="1029" customWidth="1"/>
    <col min="10037" max="10037" width="7.5703125" style="1029" bestFit="1" customWidth="1"/>
    <col min="10038" max="10038" width="8.7109375" style="1029" customWidth="1"/>
    <col min="10039" max="10039" width="9.140625" style="1029"/>
    <col min="10040" max="10040" width="7.5703125" style="1029" bestFit="1" customWidth="1"/>
    <col min="10041" max="10045" width="9.140625" style="1029"/>
    <col min="10046" max="10046" width="13.28515625" style="1029" bestFit="1" customWidth="1"/>
    <col min="10047" max="10064" width="9.140625" style="1029"/>
    <col min="10065" max="10065" width="13.28515625" style="1029" bestFit="1" customWidth="1"/>
    <col min="10066" max="10066" width="10.5703125" style="1029" bestFit="1" customWidth="1"/>
    <col min="10067" max="10240" width="9.140625" style="1029"/>
    <col min="10241" max="10241" width="1.28515625" style="1029" customWidth="1"/>
    <col min="10242" max="10242" width="7" style="1029" customWidth="1"/>
    <col min="10243" max="10243" width="45.42578125" style="1029" customWidth="1"/>
    <col min="10244" max="10247" width="0" style="1029" hidden="1" customWidth="1"/>
    <col min="10248" max="10254" width="10.140625" style="1029" customWidth="1"/>
    <col min="10255" max="10260" width="0" style="1029" hidden="1" customWidth="1"/>
    <col min="10261" max="10261" width="4.5703125" style="1029" customWidth="1"/>
    <col min="10262" max="10262" width="19.140625" style="1029" customWidth="1"/>
    <col min="10263" max="10267" width="9.140625" style="1029"/>
    <col min="10268" max="10268" width="41.140625" style="1029" bestFit="1" customWidth="1"/>
    <col min="10269" max="10269" width="12.5703125" style="1029" bestFit="1" customWidth="1"/>
    <col min="10270" max="10271" width="11.28515625" style="1029" bestFit="1" customWidth="1"/>
    <col min="10272" max="10272" width="18.140625" style="1029" bestFit="1" customWidth="1"/>
    <col min="10273" max="10273" width="10.28515625" style="1029" bestFit="1" customWidth="1"/>
    <col min="10274" max="10280" width="0" style="1029" hidden="1" customWidth="1"/>
    <col min="10281" max="10281" width="9.140625" style="1029"/>
    <col min="10282" max="10282" width="34.42578125" style="1029" customWidth="1"/>
    <col min="10283" max="10283" width="9.140625" style="1029"/>
    <col min="10284" max="10284" width="10.42578125" style="1029" customWidth="1"/>
    <col min="10285" max="10287" width="9.140625" style="1029"/>
    <col min="10288" max="10288" width="24.85546875" style="1029" customWidth="1"/>
    <col min="10289" max="10290" width="9.140625" style="1029"/>
    <col min="10291" max="10291" width="16.85546875" style="1029" customWidth="1"/>
    <col min="10292" max="10292" width="8" style="1029" customWidth="1"/>
    <col min="10293" max="10293" width="7.5703125" style="1029" bestFit="1" customWidth="1"/>
    <col min="10294" max="10294" width="8.7109375" style="1029" customWidth="1"/>
    <col min="10295" max="10295" width="9.140625" style="1029"/>
    <col min="10296" max="10296" width="7.5703125" style="1029" bestFit="1" customWidth="1"/>
    <col min="10297" max="10301" width="9.140625" style="1029"/>
    <col min="10302" max="10302" width="13.28515625" style="1029" bestFit="1" customWidth="1"/>
    <col min="10303" max="10320" width="9.140625" style="1029"/>
    <col min="10321" max="10321" width="13.28515625" style="1029" bestFit="1" customWidth="1"/>
    <col min="10322" max="10322" width="10.5703125" style="1029" bestFit="1" customWidth="1"/>
    <col min="10323" max="10496" width="9.140625" style="1029"/>
    <col min="10497" max="10497" width="1.28515625" style="1029" customWidth="1"/>
    <col min="10498" max="10498" width="7" style="1029" customWidth="1"/>
    <col min="10499" max="10499" width="45.42578125" style="1029" customWidth="1"/>
    <col min="10500" max="10503" width="0" style="1029" hidden="1" customWidth="1"/>
    <col min="10504" max="10510" width="10.140625" style="1029" customWidth="1"/>
    <col min="10511" max="10516" width="0" style="1029" hidden="1" customWidth="1"/>
    <col min="10517" max="10517" width="4.5703125" style="1029" customWidth="1"/>
    <col min="10518" max="10518" width="19.140625" style="1029" customWidth="1"/>
    <col min="10519" max="10523" width="9.140625" style="1029"/>
    <col min="10524" max="10524" width="41.140625" style="1029" bestFit="1" customWidth="1"/>
    <col min="10525" max="10525" width="12.5703125" style="1029" bestFit="1" customWidth="1"/>
    <col min="10526" max="10527" width="11.28515625" style="1029" bestFit="1" customWidth="1"/>
    <col min="10528" max="10528" width="18.140625" style="1029" bestFit="1" customWidth="1"/>
    <col min="10529" max="10529" width="10.28515625" style="1029" bestFit="1" customWidth="1"/>
    <col min="10530" max="10536" width="0" style="1029" hidden="1" customWidth="1"/>
    <col min="10537" max="10537" width="9.140625" style="1029"/>
    <col min="10538" max="10538" width="34.42578125" style="1029" customWidth="1"/>
    <col min="10539" max="10539" width="9.140625" style="1029"/>
    <col min="10540" max="10540" width="10.42578125" style="1029" customWidth="1"/>
    <col min="10541" max="10543" width="9.140625" style="1029"/>
    <col min="10544" max="10544" width="24.85546875" style="1029" customWidth="1"/>
    <col min="10545" max="10546" width="9.140625" style="1029"/>
    <col min="10547" max="10547" width="16.85546875" style="1029" customWidth="1"/>
    <col min="10548" max="10548" width="8" style="1029" customWidth="1"/>
    <col min="10549" max="10549" width="7.5703125" style="1029" bestFit="1" customWidth="1"/>
    <col min="10550" max="10550" width="8.7109375" style="1029" customWidth="1"/>
    <col min="10551" max="10551" width="9.140625" style="1029"/>
    <col min="10552" max="10552" width="7.5703125" style="1029" bestFit="1" customWidth="1"/>
    <col min="10553" max="10557" width="9.140625" style="1029"/>
    <col min="10558" max="10558" width="13.28515625" style="1029" bestFit="1" customWidth="1"/>
    <col min="10559" max="10576" width="9.140625" style="1029"/>
    <col min="10577" max="10577" width="13.28515625" style="1029" bestFit="1" customWidth="1"/>
    <col min="10578" max="10578" width="10.5703125" style="1029" bestFit="1" customWidth="1"/>
    <col min="10579" max="10752" width="9.140625" style="1029"/>
    <col min="10753" max="10753" width="1.28515625" style="1029" customWidth="1"/>
    <col min="10754" max="10754" width="7" style="1029" customWidth="1"/>
    <col min="10755" max="10755" width="45.42578125" style="1029" customWidth="1"/>
    <col min="10756" max="10759" width="0" style="1029" hidden="1" customWidth="1"/>
    <col min="10760" max="10766" width="10.140625" style="1029" customWidth="1"/>
    <col min="10767" max="10772" width="0" style="1029" hidden="1" customWidth="1"/>
    <col min="10773" max="10773" width="4.5703125" style="1029" customWidth="1"/>
    <col min="10774" max="10774" width="19.140625" style="1029" customWidth="1"/>
    <col min="10775" max="10779" width="9.140625" style="1029"/>
    <col min="10780" max="10780" width="41.140625" style="1029" bestFit="1" customWidth="1"/>
    <col min="10781" max="10781" width="12.5703125" style="1029" bestFit="1" customWidth="1"/>
    <col min="10782" max="10783" width="11.28515625" style="1029" bestFit="1" customWidth="1"/>
    <col min="10784" max="10784" width="18.140625" style="1029" bestFit="1" customWidth="1"/>
    <col min="10785" max="10785" width="10.28515625" style="1029" bestFit="1" customWidth="1"/>
    <col min="10786" max="10792" width="0" style="1029" hidden="1" customWidth="1"/>
    <col min="10793" max="10793" width="9.140625" style="1029"/>
    <col min="10794" max="10794" width="34.42578125" style="1029" customWidth="1"/>
    <col min="10795" max="10795" width="9.140625" style="1029"/>
    <col min="10796" max="10796" width="10.42578125" style="1029" customWidth="1"/>
    <col min="10797" max="10799" width="9.140625" style="1029"/>
    <col min="10800" max="10800" width="24.85546875" style="1029" customWidth="1"/>
    <col min="10801" max="10802" width="9.140625" style="1029"/>
    <col min="10803" max="10803" width="16.85546875" style="1029" customWidth="1"/>
    <col min="10804" max="10804" width="8" style="1029" customWidth="1"/>
    <col min="10805" max="10805" width="7.5703125" style="1029" bestFit="1" customWidth="1"/>
    <col min="10806" max="10806" width="8.7109375" style="1029" customWidth="1"/>
    <col min="10807" max="10807" width="9.140625" style="1029"/>
    <col min="10808" max="10808" width="7.5703125" style="1029" bestFit="1" customWidth="1"/>
    <col min="10809" max="10813" width="9.140625" style="1029"/>
    <col min="10814" max="10814" width="13.28515625" style="1029" bestFit="1" customWidth="1"/>
    <col min="10815" max="10832" width="9.140625" style="1029"/>
    <col min="10833" max="10833" width="13.28515625" style="1029" bestFit="1" customWidth="1"/>
    <col min="10834" max="10834" width="10.5703125" style="1029" bestFit="1" customWidth="1"/>
    <col min="10835" max="11008" width="9.140625" style="1029"/>
    <col min="11009" max="11009" width="1.28515625" style="1029" customWidth="1"/>
    <col min="11010" max="11010" width="7" style="1029" customWidth="1"/>
    <col min="11011" max="11011" width="45.42578125" style="1029" customWidth="1"/>
    <col min="11012" max="11015" width="0" style="1029" hidden="1" customWidth="1"/>
    <col min="11016" max="11022" width="10.140625" style="1029" customWidth="1"/>
    <col min="11023" max="11028" width="0" style="1029" hidden="1" customWidth="1"/>
    <col min="11029" max="11029" width="4.5703125" style="1029" customWidth="1"/>
    <col min="11030" max="11030" width="19.140625" style="1029" customWidth="1"/>
    <col min="11031" max="11035" width="9.140625" style="1029"/>
    <col min="11036" max="11036" width="41.140625" style="1029" bestFit="1" customWidth="1"/>
    <col min="11037" max="11037" width="12.5703125" style="1029" bestFit="1" customWidth="1"/>
    <col min="11038" max="11039" width="11.28515625" style="1029" bestFit="1" customWidth="1"/>
    <col min="11040" max="11040" width="18.140625" style="1029" bestFit="1" customWidth="1"/>
    <col min="11041" max="11041" width="10.28515625" style="1029" bestFit="1" customWidth="1"/>
    <col min="11042" max="11048" width="0" style="1029" hidden="1" customWidth="1"/>
    <col min="11049" max="11049" width="9.140625" style="1029"/>
    <col min="11050" max="11050" width="34.42578125" style="1029" customWidth="1"/>
    <col min="11051" max="11051" width="9.140625" style="1029"/>
    <col min="11052" max="11052" width="10.42578125" style="1029" customWidth="1"/>
    <col min="11053" max="11055" width="9.140625" style="1029"/>
    <col min="11056" max="11056" width="24.85546875" style="1029" customWidth="1"/>
    <col min="11057" max="11058" width="9.140625" style="1029"/>
    <col min="11059" max="11059" width="16.85546875" style="1029" customWidth="1"/>
    <col min="11060" max="11060" width="8" style="1029" customWidth="1"/>
    <col min="11061" max="11061" width="7.5703125" style="1029" bestFit="1" customWidth="1"/>
    <col min="11062" max="11062" width="8.7109375" style="1029" customWidth="1"/>
    <col min="11063" max="11063" width="9.140625" style="1029"/>
    <col min="11064" max="11064" width="7.5703125" style="1029" bestFit="1" customWidth="1"/>
    <col min="11065" max="11069" width="9.140625" style="1029"/>
    <col min="11070" max="11070" width="13.28515625" style="1029" bestFit="1" customWidth="1"/>
    <col min="11071" max="11088" width="9.140625" style="1029"/>
    <col min="11089" max="11089" width="13.28515625" style="1029" bestFit="1" customWidth="1"/>
    <col min="11090" max="11090" width="10.5703125" style="1029" bestFit="1" customWidth="1"/>
    <col min="11091" max="11264" width="9.140625" style="1029"/>
    <col min="11265" max="11265" width="1.28515625" style="1029" customWidth="1"/>
    <col min="11266" max="11266" width="7" style="1029" customWidth="1"/>
    <col min="11267" max="11267" width="45.42578125" style="1029" customWidth="1"/>
    <col min="11268" max="11271" width="0" style="1029" hidden="1" customWidth="1"/>
    <col min="11272" max="11278" width="10.140625" style="1029" customWidth="1"/>
    <col min="11279" max="11284" width="0" style="1029" hidden="1" customWidth="1"/>
    <col min="11285" max="11285" width="4.5703125" style="1029" customWidth="1"/>
    <col min="11286" max="11286" width="19.140625" style="1029" customWidth="1"/>
    <col min="11287" max="11291" width="9.140625" style="1029"/>
    <col min="11292" max="11292" width="41.140625" style="1029" bestFit="1" customWidth="1"/>
    <col min="11293" max="11293" width="12.5703125" style="1029" bestFit="1" customWidth="1"/>
    <col min="11294" max="11295" width="11.28515625" style="1029" bestFit="1" customWidth="1"/>
    <col min="11296" max="11296" width="18.140625" style="1029" bestFit="1" customWidth="1"/>
    <col min="11297" max="11297" width="10.28515625" style="1029" bestFit="1" customWidth="1"/>
    <col min="11298" max="11304" width="0" style="1029" hidden="1" customWidth="1"/>
    <col min="11305" max="11305" width="9.140625" style="1029"/>
    <col min="11306" max="11306" width="34.42578125" style="1029" customWidth="1"/>
    <col min="11307" max="11307" width="9.140625" style="1029"/>
    <col min="11308" max="11308" width="10.42578125" style="1029" customWidth="1"/>
    <col min="11309" max="11311" width="9.140625" style="1029"/>
    <col min="11312" max="11312" width="24.85546875" style="1029" customWidth="1"/>
    <col min="11313" max="11314" width="9.140625" style="1029"/>
    <col min="11315" max="11315" width="16.85546875" style="1029" customWidth="1"/>
    <col min="11316" max="11316" width="8" style="1029" customWidth="1"/>
    <col min="11317" max="11317" width="7.5703125" style="1029" bestFit="1" customWidth="1"/>
    <col min="11318" max="11318" width="8.7109375" style="1029" customWidth="1"/>
    <col min="11319" max="11319" width="9.140625" style="1029"/>
    <col min="11320" max="11320" width="7.5703125" style="1029" bestFit="1" customWidth="1"/>
    <col min="11321" max="11325" width="9.140625" style="1029"/>
    <col min="11326" max="11326" width="13.28515625" style="1029" bestFit="1" customWidth="1"/>
    <col min="11327" max="11344" width="9.140625" style="1029"/>
    <col min="11345" max="11345" width="13.28515625" style="1029" bestFit="1" customWidth="1"/>
    <col min="11346" max="11346" width="10.5703125" style="1029" bestFit="1" customWidth="1"/>
    <col min="11347" max="11520" width="9.140625" style="1029"/>
    <col min="11521" max="11521" width="1.28515625" style="1029" customWidth="1"/>
    <col min="11522" max="11522" width="7" style="1029" customWidth="1"/>
    <col min="11523" max="11523" width="45.42578125" style="1029" customWidth="1"/>
    <col min="11524" max="11527" width="0" style="1029" hidden="1" customWidth="1"/>
    <col min="11528" max="11534" width="10.140625" style="1029" customWidth="1"/>
    <col min="11535" max="11540" width="0" style="1029" hidden="1" customWidth="1"/>
    <col min="11541" max="11541" width="4.5703125" style="1029" customWidth="1"/>
    <col min="11542" max="11542" width="19.140625" style="1029" customWidth="1"/>
    <col min="11543" max="11547" width="9.140625" style="1029"/>
    <col min="11548" max="11548" width="41.140625" style="1029" bestFit="1" customWidth="1"/>
    <col min="11549" max="11549" width="12.5703125" style="1029" bestFit="1" customWidth="1"/>
    <col min="11550" max="11551" width="11.28515625" style="1029" bestFit="1" customWidth="1"/>
    <col min="11552" max="11552" width="18.140625" style="1029" bestFit="1" customWidth="1"/>
    <col min="11553" max="11553" width="10.28515625" style="1029" bestFit="1" customWidth="1"/>
    <col min="11554" max="11560" width="0" style="1029" hidden="1" customWidth="1"/>
    <col min="11561" max="11561" width="9.140625" style="1029"/>
    <col min="11562" max="11562" width="34.42578125" style="1029" customWidth="1"/>
    <col min="11563" max="11563" width="9.140625" style="1029"/>
    <col min="11564" max="11564" width="10.42578125" style="1029" customWidth="1"/>
    <col min="11565" max="11567" width="9.140625" style="1029"/>
    <col min="11568" max="11568" width="24.85546875" style="1029" customWidth="1"/>
    <col min="11569" max="11570" width="9.140625" style="1029"/>
    <col min="11571" max="11571" width="16.85546875" style="1029" customWidth="1"/>
    <col min="11572" max="11572" width="8" style="1029" customWidth="1"/>
    <col min="11573" max="11573" width="7.5703125" style="1029" bestFit="1" customWidth="1"/>
    <col min="11574" max="11574" width="8.7109375" style="1029" customWidth="1"/>
    <col min="11575" max="11575" width="9.140625" style="1029"/>
    <col min="11576" max="11576" width="7.5703125" style="1029" bestFit="1" customWidth="1"/>
    <col min="11577" max="11581" width="9.140625" style="1029"/>
    <col min="11582" max="11582" width="13.28515625" style="1029" bestFit="1" customWidth="1"/>
    <col min="11583" max="11600" width="9.140625" style="1029"/>
    <col min="11601" max="11601" width="13.28515625" style="1029" bestFit="1" customWidth="1"/>
    <col min="11602" max="11602" width="10.5703125" style="1029" bestFit="1" customWidth="1"/>
    <col min="11603" max="11776" width="9.140625" style="1029"/>
    <col min="11777" max="11777" width="1.28515625" style="1029" customWidth="1"/>
    <col min="11778" max="11778" width="7" style="1029" customWidth="1"/>
    <col min="11779" max="11779" width="45.42578125" style="1029" customWidth="1"/>
    <col min="11780" max="11783" width="0" style="1029" hidden="1" customWidth="1"/>
    <col min="11784" max="11790" width="10.140625" style="1029" customWidth="1"/>
    <col min="11791" max="11796" width="0" style="1029" hidden="1" customWidth="1"/>
    <col min="11797" max="11797" width="4.5703125" style="1029" customWidth="1"/>
    <col min="11798" max="11798" width="19.140625" style="1029" customWidth="1"/>
    <col min="11799" max="11803" width="9.140625" style="1029"/>
    <col min="11804" max="11804" width="41.140625" style="1029" bestFit="1" customWidth="1"/>
    <col min="11805" max="11805" width="12.5703125" style="1029" bestFit="1" customWidth="1"/>
    <col min="11806" max="11807" width="11.28515625" style="1029" bestFit="1" customWidth="1"/>
    <col min="11808" max="11808" width="18.140625" style="1029" bestFit="1" customWidth="1"/>
    <col min="11809" max="11809" width="10.28515625" style="1029" bestFit="1" customWidth="1"/>
    <col min="11810" max="11816" width="0" style="1029" hidden="1" customWidth="1"/>
    <col min="11817" max="11817" width="9.140625" style="1029"/>
    <col min="11818" max="11818" width="34.42578125" style="1029" customWidth="1"/>
    <col min="11819" max="11819" width="9.140625" style="1029"/>
    <col min="11820" max="11820" width="10.42578125" style="1029" customWidth="1"/>
    <col min="11821" max="11823" width="9.140625" style="1029"/>
    <col min="11824" max="11824" width="24.85546875" style="1029" customWidth="1"/>
    <col min="11825" max="11826" width="9.140625" style="1029"/>
    <col min="11827" max="11827" width="16.85546875" style="1029" customWidth="1"/>
    <col min="11828" max="11828" width="8" style="1029" customWidth="1"/>
    <col min="11829" max="11829" width="7.5703125" style="1029" bestFit="1" customWidth="1"/>
    <col min="11830" max="11830" width="8.7109375" style="1029" customWidth="1"/>
    <col min="11831" max="11831" width="9.140625" style="1029"/>
    <col min="11832" max="11832" width="7.5703125" style="1029" bestFit="1" customWidth="1"/>
    <col min="11833" max="11837" width="9.140625" style="1029"/>
    <col min="11838" max="11838" width="13.28515625" style="1029" bestFit="1" customWidth="1"/>
    <col min="11839" max="11856" width="9.140625" style="1029"/>
    <col min="11857" max="11857" width="13.28515625" style="1029" bestFit="1" customWidth="1"/>
    <col min="11858" max="11858" width="10.5703125" style="1029" bestFit="1" customWidth="1"/>
    <col min="11859" max="12032" width="9.140625" style="1029"/>
    <col min="12033" max="12033" width="1.28515625" style="1029" customWidth="1"/>
    <col min="12034" max="12034" width="7" style="1029" customWidth="1"/>
    <col min="12035" max="12035" width="45.42578125" style="1029" customWidth="1"/>
    <col min="12036" max="12039" width="0" style="1029" hidden="1" customWidth="1"/>
    <col min="12040" max="12046" width="10.140625" style="1029" customWidth="1"/>
    <col min="12047" max="12052" width="0" style="1029" hidden="1" customWidth="1"/>
    <col min="12053" max="12053" width="4.5703125" style="1029" customWidth="1"/>
    <col min="12054" max="12054" width="19.140625" style="1029" customWidth="1"/>
    <col min="12055" max="12059" width="9.140625" style="1029"/>
    <col min="12060" max="12060" width="41.140625" style="1029" bestFit="1" customWidth="1"/>
    <col min="12061" max="12061" width="12.5703125" style="1029" bestFit="1" customWidth="1"/>
    <col min="12062" max="12063" width="11.28515625" style="1029" bestFit="1" customWidth="1"/>
    <col min="12064" max="12064" width="18.140625" style="1029" bestFit="1" customWidth="1"/>
    <col min="12065" max="12065" width="10.28515625" style="1029" bestFit="1" customWidth="1"/>
    <col min="12066" max="12072" width="0" style="1029" hidden="1" customWidth="1"/>
    <col min="12073" max="12073" width="9.140625" style="1029"/>
    <col min="12074" max="12074" width="34.42578125" style="1029" customWidth="1"/>
    <col min="12075" max="12075" width="9.140625" style="1029"/>
    <col min="12076" max="12076" width="10.42578125" style="1029" customWidth="1"/>
    <col min="12077" max="12079" width="9.140625" style="1029"/>
    <col min="12080" max="12080" width="24.85546875" style="1029" customWidth="1"/>
    <col min="12081" max="12082" width="9.140625" style="1029"/>
    <col min="12083" max="12083" width="16.85546875" style="1029" customWidth="1"/>
    <col min="12084" max="12084" width="8" style="1029" customWidth="1"/>
    <col min="12085" max="12085" width="7.5703125" style="1029" bestFit="1" customWidth="1"/>
    <col min="12086" max="12086" width="8.7109375" style="1029" customWidth="1"/>
    <col min="12087" max="12087" width="9.140625" style="1029"/>
    <col min="12088" max="12088" width="7.5703125" style="1029" bestFit="1" customWidth="1"/>
    <col min="12089" max="12093" width="9.140625" style="1029"/>
    <col min="12094" max="12094" width="13.28515625" style="1029" bestFit="1" customWidth="1"/>
    <col min="12095" max="12112" width="9.140625" style="1029"/>
    <col min="12113" max="12113" width="13.28515625" style="1029" bestFit="1" customWidth="1"/>
    <col min="12114" max="12114" width="10.5703125" style="1029" bestFit="1" customWidth="1"/>
    <col min="12115" max="12288" width="9.140625" style="1029"/>
    <col min="12289" max="12289" width="1.28515625" style="1029" customWidth="1"/>
    <col min="12290" max="12290" width="7" style="1029" customWidth="1"/>
    <col min="12291" max="12291" width="45.42578125" style="1029" customWidth="1"/>
    <col min="12292" max="12295" width="0" style="1029" hidden="1" customWidth="1"/>
    <col min="12296" max="12302" width="10.140625" style="1029" customWidth="1"/>
    <col min="12303" max="12308" width="0" style="1029" hidden="1" customWidth="1"/>
    <col min="12309" max="12309" width="4.5703125" style="1029" customWidth="1"/>
    <col min="12310" max="12310" width="19.140625" style="1029" customWidth="1"/>
    <col min="12311" max="12315" width="9.140625" style="1029"/>
    <col min="12316" max="12316" width="41.140625" style="1029" bestFit="1" customWidth="1"/>
    <col min="12317" max="12317" width="12.5703125" style="1029" bestFit="1" customWidth="1"/>
    <col min="12318" max="12319" width="11.28515625" style="1029" bestFit="1" customWidth="1"/>
    <col min="12320" max="12320" width="18.140625" style="1029" bestFit="1" customWidth="1"/>
    <col min="12321" max="12321" width="10.28515625" style="1029" bestFit="1" customWidth="1"/>
    <col min="12322" max="12328" width="0" style="1029" hidden="1" customWidth="1"/>
    <col min="12329" max="12329" width="9.140625" style="1029"/>
    <col min="12330" max="12330" width="34.42578125" style="1029" customWidth="1"/>
    <col min="12331" max="12331" width="9.140625" style="1029"/>
    <col min="12332" max="12332" width="10.42578125" style="1029" customWidth="1"/>
    <col min="12333" max="12335" width="9.140625" style="1029"/>
    <col min="12336" max="12336" width="24.85546875" style="1029" customWidth="1"/>
    <col min="12337" max="12338" width="9.140625" style="1029"/>
    <col min="12339" max="12339" width="16.85546875" style="1029" customWidth="1"/>
    <col min="12340" max="12340" width="8" style="1029" customWidth="1"/>
    <col min="12341" max="12341" width="7.5703125" style="1029" bestFit="1" customWidth="1"/>
    <col min="12342" max="12342" width="8.7109375" style="1029" customWidth="1"/>
    <col min="12343" max="12343" width="9.140625" style="1029"/>
    <col min="12344" max="12344" width="7.5703125" style="1029" bestFit="1" customWidth="1"/>
    <col min="12345" max="12349" width="9.140625" style="1029"/>
    <col min="12350" max="12350" width="13.28515625" style="1029" bestFit="1" customWidth="1"/>
    <col min="12351" max="12368" width="9.140625" style="1029"/>
    <col min="12369" max="12369" width="13.28515625" style="1029" bestFit="1" customWidth="1"/>
    <col min="12370" max="12370" width="10.5703125" style="1029" bestFit="1" customWidth="1"/>
    <col min="12371" max="12544" width="9.140625" style="1029"/>
    <col min="12545" max="12545" width="1.28515625" style="1029" customWidth="1"/>
    <col min="12546" max="12546" width="7" style="1029" customWidth="1"/>
    <col min="12547" max="12547" width="45.42578125" style="1029" customWidth="1"/>
    <col min="12548" max="12551" width="0" style="1029" hidden="1" customWidth="1"/>
    <col min="12552" max="12558" width="10.140625" style="1029" customWidth="1"/>
    <col min="12559" max="12564" width="0" style="1029" hidden="1" customWidth="1"/>
    <col min="12565" max="12565" width="4.5703125" style="1029" customWidth="1"/>
    <col min="12566" max="12566" width="19.140625" style="1029" customWidth="1"/>
    <col min="12567" max="12571" width="9.140625" style="1029"/>
    <col min="12572" max="12572" width="41.140625" style="1029" bestFit="1" customWidth="1"/>
    <col min="12573" max="12573" width="12.5703125" style="1029" bestFit="1" customWidth="1"/>
    <col min="12574" max="12575" width="11.28515625" style="1029" bestFit="1" customWidth="1"/>
    <col min="12576" max="12576" width="18.140625" style="1029" bestFit="1" customWidth="1"/>
    <col min="12577" max="12577" width="10.28515625" style="1029" bestFit="1" customWidth="1"/>
    <col min="12578" max="12584" width="0" style="1029" hidden="1" customWidth="1"/>
    <col min="12585" max="12585" width="9.140625" style="1029"/>
    <col min="12586" max="12586" width="34.42578125" style="1029" customWidth="1"/>
    <col min="12587" max="12587" width="9.140625" style="1029"/>
    <col min="12588" max="12588" width="10.42578125" style="1029" customWidth="1"/>
    <col min="12589" max="12591" width="9.140625" style="1029"/>
    <col min="12592" max="12592" width="24.85546875" style="1029" customWidth="1"/>
    <col min="12593" max="12594" width="9.140625" style="1029"/>
    <col min="12595" max="12595" width="16.85546875" style="1029" customWidth="1"/>
    <col min="12596" max="12596" width="8" style="1029" customWidth="1"/>
    <col min="12597" max="12597" width="7.5703125" style="1029" bestFit="1" customWidth="1"/>
    <col min="12598" max="12598" width="8.7109375" style="1029" customWidth="1"/>
    <col min="12599" max="12599" width="9.140625" style="1029"/>
    <col min="12600" max="12600" width="7.5703125" style="1029" bestFit="1" customWidth="1"/>
    <col min="12601" max="12605" width="9.140625" style="1029"/>
    <col min="12606" max="12606" width="13.28515625" style="1029" bestFit="1" customWidth="1"/>
    <col min="12607" max="12624" width="9.140625" style="1029"/>
    <col min="12625" max="12625" width="13.28515625" style="1029" bestFit="1" customWidth="1"/>
    <col min="12626" max="12626" width="10.5703125" style="1029" bestFit="1" customWidth="1"/>
    <col min="12627" max="12800" width="9.140625" style="1029"/>
    <col min="12801" max="12801" width="1.28515625" style="1029" customWidth="1"/>
    <col min="12802" max="12802" width="7" style="1029" customWidth="1"/>
    <col min="12803" max="12803" width="45.42578125" style="1029" customWidth="1"/>
    <col min="12804" max="12807" width="0" style="1029" hidden="1" customWidth="1"/>
    <col min="12808" max="12814" width="10.140625" style="1029" customWidth="1"/>
    <col min="12815" max="12820" width="0" style="1029" hidden="1" customWidth="1"/>
    <col min="12821" max="12821" width="4.5703125" style="1029" customWidth="1"/>
    <col min="12822" max="12822" width="19.140625" style="1029" customWidth="1"/>
    <col min="12823" max="12827" width="9.140625" style="1029"/>
    <col min="12828" max="12828" width="41.140625" style="1029" bestFit="1" customWidth="1"/>
    <col min="12829" max="12829" width="12.5703125" style="1029" bestFit="1" customWidth="1"/>
    <col min="12830" max="12831" width="11.28515625" style="1029" bestFit="1" customWidth="1"/>
    <col min="12832" max="12832" width="18.140625" style="1029" bestFit="1" customWidth="1"/>
    <col min="12833" max="12833" width="10.28515625" style="1029" bestFit="1" customWidth="1"/>
    <col min="12834" max="12840" width="0" style="1029" hidden="1" customWidth="1"/>
    <col min="12841" max="12841" width="9.140625" style="1029"/>
    <col min="12842" max="12842" width="34.42578125" style="1029" customWidth="1"/>
    <col min="12843" max="12843" width="9.140625" style="1029"/>
    <col min="12844" max="12844" width="10.42578125" style="1029" customWidth="1"/>
    <col min="12845" max="12847" width="9.140625" style="1029"/>
    <col min="12848" max="12848" width="24.85546875" style="1029" customWidth="1"/>
    <col min="12849" max="12850" width="9.140625" style="1029"/>
    <col min="12851" max="12851" width="16.85546875" style="1029" customWidth="1"/>
    <col min="12852" max="12852" width="8" style="1029" customWidth="1"/>
    <col min="12853" max="12853" width="7.5703125" style="1029" bestFit="1" customWidth="1"/>
    <col min="12854" max="12854" width="8.7109375" style="1029" customWidth="1"/>
    <col min="12855" max="12855" width="9.140625" style="1029"/>
    <col min="12856" max="12856" width="7.5703125" style="1029" bestFit="1" customWidth="1"/>
    <col min="12857" max="12861" width="9.140625" style="1029"/>
    <col min="12862" max="12862" width="13.28515625" style="1029" bestFit="1" customWidth="1"/>
    <col min="12863" max="12880" width="9.140625" style="1029"/>
    <col min="12881" max="12881" width="13.28515625" style="1029" bestFit="1" customWidth="1"/>
    <col min="12882" max="12882" width="10.5703125" style="1029" bestFit="1" customWidth="1"/>
    <col min="12883" max="13056" width="9.140625" style="1029"/>
    <col min="13057" max="13057" width="1.28515625" style="1029" customWidth="1"/>
    <col min="13058" max="13058" width="7" style="1029" customWidth="1"/>
    <col min="13059" max="13059" width="45.42578125" style="1029" customWidth="1"/>
    <col min="13060" max="13063" width="0" style="1029" hidden="1" customWidth="1"/>
    <col min="13064" max="13070" width="10.140625" style="1029" customWidth="1"/>
    <col min="13071" max="13076" width="0" style="1029" hidden="1" customWidth="1"/>
    <col min="13077" max="13077" width="4.5703125" style="1029" customWidth="1"/>
    <col min="13078" max="13078" width="19.140625" style="1029" customWidth="1"/>
    <col min="13079" max="13083" width="9.140625" style="1029"/>
    <col min="13084" max="13084" width="41.140625" style="1029" bestFit="1" customWidth="1"/>
    <col min="13085" max="13085" width="12.5703125" style="1029" bestFit="1" customWidth="1"/>
    <col min="13086" max="13087" width="11.28515625" style="1029" bestFit="1" customWidth="1"/>
    <col min="13088" max="13088" width="18.140625" style="1029" bestFit="1" customWidth="1"/>
    <col min="13089" max="13089" width="10.28515625" style="1029" bestFit="1" customWidth="1"/>
    <col min="13090" max="13096" width="0" style="1029" hidden="1" customWidth="1"/>
    <col min="13097" max="13097" width="9.140625" style="1029"/>
    <col min="13098" max="13098" width="34.42578125" style="1029" customWidth="1"/>
    <col min="13099" max="13099" width="9.140625" style="1029"/>
    <col min="13100" max="13100" width="10.42578125" style="1029" customWidth="1"/>
    <col min="13101" max="13103" width="9.140625" style="1029"/>
    <col min="13104" max="13104" width="24.85546875" style="1029" customWidth="1"/>
    <col min="13105" max="13106" width="9.140625" style="1029"/>
    <col min="13107" max="13107" width="16.85546875" style="1029" customWidth="1"/>
    <col min="13108" max="13108" width="8" style="1029" customWidth="1"/>
    <col min="13109" max="13109" width="7.5703125" style="1029" bestFit="1" customWidth="1"/>
    <col min="13110" max="13110" width="8.7109375" style="1029" customWidth="1"/>
    <col min="13111" max="13111" width="9.140625" style="1029"/>
    <col min="13112" max="13112" width="7.5703125" style="1029" bestFit="1" customWidth="1"/>
    <col min="13113" max="13117" width="9.140625" style="1029"/>
    <col min="13118" max="13118" width="13.28515625" style="1029" bestFit="1" customWidth="1"/>
    <col min="13119" max="13136" width="9.140625" style="1029"/>
    <col min="13137" max="13137" width="13.28515625" style="1029" bestFit="1" customWidth="1"/>
    <col min="13138" max="13138" width="10.5703125" style="1029" bestFit="1" customWidth="1"/>
    <col min="13139" max="13312" width="9.140625" style="1029"/>
    <col min="13313" max="13313" width="1.28515625" style="1029" customWidth="1"/>
    <col min="13314" max="13314" width="7" style="1029" customWidth="1"/>
    <col min="13315" max="13315" width="45.42578125" style="1029" customWidth="1"/>
    <col min="13316" max="13319" width="0" style="1029" hidden="1" customWidth="1"/>
    <col min="13320" max="13326" width="10.140625" style="1029" customWidth="1"/>
    <col min="13327" max="13332" width="0" style="1029" hidden="1" customWidth="1"/>
    <col min="13333" max="13333" width="4.5703125" style="1029" customWidth="1"/>
    <col min="13334" max="13334" width="19.140625" style="1029" customWidth="1"/>
    <col min="13335" max="13339" width="9.140625" style="1029"/>
    <col min="13340" max="13340" width="41.140625" style="1029" bestFit="1" customWidth="1"/>
    <col min="13341" max="13341" width="12.5703125" style="1029" bestFit="1" customWidth="1"/>
    <col min="13342" max="13343" width="11.28515625" style="1029" bestFit="1" customWidth="1"/>
    <col min="13344" max="13344" width="18.140625" style="1029" bestFit="1" customWidth="1"/>
    <col min="13345" max="13345" width="10.28515625" style="1029" bestFit="1" customWidth="1"/>
    <col min="13346" max="13352" width="0" style="1029" hidden="1" customWidth="1"/>
    <col min="13353" max="13353" width="9.140625" style="1029"/>
    <col min="13354" max="13354" width="34.42578125" style="1029" customWidth="1"/>
    <col min="13355" max="13355" width="9.140625" style="1029"/>
    <col min="13356" max="13356" width="10.42578125" style="1029" customWidth="1"/>
    <col min="13357" max="13359" width="9.140625" style="1029"/>
    <col min="13360" max="13360" width="24.85546875" style="1029" customWidth="1"/>
    <col min="13361" max="13362" width="9.140625" style="1029"/>
    <col min="13363" max="13363" width="16.85546875" style="1029" customWidth="1"/>
    <col min="13364" max="13364" width="8" style="1029" customWidth="1"/>
    <col min="13365" max="13365" width="7.5703125" style="1029" bestFit="1" customWidth="1"/>
    <col min="13366" max="13366" width="8.7109375" style="1029" customWidth="1"/>
    <col min="13367" max="13367" width="9.140625" style="1029"/>
    <col min="13368" max="13368" width="7.5703125" style="1029" bestFit="1" customWidth="1"/>
    <col min="13369" max="13373" width="9.140625" style="1029"/>
    <col min="13374" max="13374" width="13.28515625" style="1029" bestFit="1" customWidth="1"/>
    <col min="13375" max="13392" width="9.140625" style="1029"/>
    <col min="13393" max="13393" width="13.28515625" style="1029" bestFit="1" customWidth="1"/>
    <col min="13394" max="13394" width="10.5703125" style="1029" bestFit="1" customWidth="1"/>
    <col min="13395" max="13568" width="9.140625" style="1029"/>
    <col min="13569" max="13569" width="1.28515625" style="1029" customWidth="1"/>
    <col min="13570" max="13570" width="7" style="1029" customWidth="1"/>
    <col min="13571" max="13571" width="45.42578125" style="1029" customWidth="1"/>
    <col min="13572" max="13575" width="0" style="1029" hidden="1" customWidth="1"/>
    <col min="13576" max="13582" width="10.140625" style="1029" customWidth="1"/>
    <col min="13583" max="13588" width="0" style="1029" hidden="1" customWidth="1"/>
    <col min="13589" max="13589" width="4.5703125" style="1029" customWidth="1"/>
    <col min="13590" max="13590" width="19.140625" style="1029" customWidth="1"/>
    <col min="13591" max="13595" width="9.140625" style="1029"/>
    <col min="13596" max="13596" width="41.140625" style="1029" bestFit="1" customWidth="1"/>
    <col min="13597" max="13597" width="12.5703125" style="1029" bestFit="1" customWidth="1"/>
    <col min="13598" max="13599" width="11.28515625" style="1029" bestFit="1" customWidth="1"/>
    <col min="13600" max="13600" width="18.140625" style="1029" bestFit="1" customWidth="1"/>
    <col min="13601" max="13601" width="10.28515625" style="1029" bestFit="1" customWidth="1"/>
    <col min="13602" max="13608" width="0" style="1029" hidden="1" customWidth="1"/>
    <col min="13609" max="13609" width="9.140625" style="1029"/>
    <col min="13610" max="13610" width="34.42578125" style="1029" customWidth="1"/>
    <col min="13611" max="13611" width="9.140625" style="1029"/>
    <col min="13612" max="13612" width="10.42578125" style="1029" customWidth="1"/>
    <col min="13613" max="13615" width="9.140625" style="1029"/>
    <col min="13616" max="13616" width="24.85546875" style="1029" customWidth="1"/>
    <col min="13617" max="13618" width="9.140625" style="1029"/>
    <col min="13619" max="13619" width="16.85546875" style="1029" customWidth="1"/>
    <col min="13620" max="13620" width="8" style="1029" customWidth="1"/>
    <col min="13621" max="13621" width="7.5703125" style="1029" bestFit="1" customWidth="1"/>
    <col min="13622" max="13622" width="8.7109375" style="1029" customWidth="1"/>
    <col min="13623" max="13623" width="9.140625" style="1029"/>
    <col min="13624" max="13624" width="7.5703125" style="1029" bestFit="1" customWidth="1"/>
    <col min="13625" max="13629" width="9.140625" style="1029"/>
    <col min="13630" max="13630" width="13.28515625" style="1029" bestFit="1" customWidth="1"/>
    <col min="13631" max="13648" width="9.140625" style="1029"/>
    <col min="13649" max="13649" width="13.28515625" style="1029" bestFit="1" customWidth="1"/>
    <col min="13650" max="13650" width="10.5703125" style="1029" bestFit="1" customWidth="1"/>
    <col min="13651" max="13824" width="9.140625" style="1029"/>
    <col min="13825" max="13825" width="1.28515625" style="1029" customWidth="1"/>
    <col min="13826" max="13826" width="7" style="1029" customWidth="1"/>
    <col min="13827" max="13827" width="45.42578125" style="1029" customWidth="1"/>
    <col min="13828" max="13831" width="0" style="1029" hidden="1" customWidth="1"/>
    <col min="13832" max="13838" width="10.140625" style="1029" customWidth="1"/>
    <col min="13839" max="13844" width="0" style="1029" hidden="1" customWidth="1"/>
    <col min="13845" max="13845" width="4.5703125" style="1029" customWidth="1"/>
    <col min="13846" max="13846" width="19.140625" style="1029" customWidth="1"/>
    <col min="13847" max="13851" width="9.140625" style="1029"/>
    <col min="13852" max="13852" width="41.140625" style="1029" bestFit="1" customWidth="1"/>
    <col min="13853" max="13853" width="12.5703125" style="1029" bestFit="1" customWidth="1"/>
    <col min="13854" max="13855" width="11.28515625" style="1029" bestFit="1" customWidth="1"/>
    <col min="13856" max="13856" width="18.140625" style="1029" bestFit="1" customWidth="1"/>
    <col min="13857" max="13857" width="10.28515625" style="1029" bestFit="1" customWidth="1"/>
    <col min="13858" max="13864" width="0" style="1029" hidden="1" customWidth="1"/>
    <col min="13865" max="13865" width="9.140625" style="1029"/>
    <col min="13866" max="13866" width="34.42578125" style="1029" customWidth="1"/>
    <col min="13867" max="13867" width="9.140625" style="1029"/>
    <col min="13868" max="13868" width="10.42578125" style="1029" customWidth="1"/>
    <col min="13869" max="13871" width="9.140625" style="1029"/>
    <col min="13872" max="13872" width="24.85546875" style="1029" customWidth="1"/>
    <col min="13873" max="13874" width="9.140625" style="1029"/>
    <col min="13875" max="13875" width="16.85546875" style="1029" customWidth="1"/>
    <col min="13876" max="13876" width="8" style="1029" customWidth="1"/>
    <col min="13877" max="13877" width="7.5703125" style="1029" bestFit="1" customWidth="1"/>
    <col min="13878" max="13878" width="8.7109375" style="1029" customWidth="1"/>
    <col min="13879" max="13879" width="9.140625" style="1029"/>
    <col min="13880" max="13880" width="7.5703125" style="1029" bestFit="1" customWidth="1"/>
    <col min="13881" max="13885" width="9.140625" style="1029"/>
    <col min="13886" max="13886" width="13.28515625" style="1029" bestFit="1" customWidth="1"/>
    <col min="13887" max="13904" width="9.140625" style="1029"/>
    <col min="13905" max="13905" width="13.28515625" style="1029" bestFit="1" customWidth="1"/>
    <col min="13906" max="13906" width="10.5703125" style="1029" bestFit="1" customWidth="1"/>
    <col min="13907" max="14080" width="9.140625" style="1029"/>
    <col min="14081" max="14081" width="1.28515625" style="1029" customWidth="1"/>
    <col min="14082" max="14082" width="7" style="1029" customWidth="1"/>
    <col min="14083" max="14083" width="45.42578125" style="1029" customWidth="1"/>
    <col min="14084" max="14087" width="0" style="1029" hidden="1" customWidth="1"/>
    <col min="14088" max="14094" width="10.140625" style="1029" customWidth="1"/>
    <col min="14095" max="14100" width="0" style="1029" hidden="1" customWidth="1"/>
    <col min="14101" max="14101" width="4.5703125" style="1029" customWidth="1"/>
    <col min="14102" max="14102" width="19.140625" style="1029" customWidth="1"/>
    <col min="14103" max="14107" width="9.140625" style="1029"/>
    <col min="14108" max="14108" width="41.140625" style="1029" bestFit="1" customWidth="1"/>
    <col min="14109" max="14109" width="12.5703125" style="1029" bestFit="1" customWidth="1"/>
    <col min="14110" max="14111" width="11.28515625" style="1029" bestFit="1" customWidth="1"/>
    <col min="14112" max="14112" width="18.140625" style="1029" bestFit="1" customWidth="1"/>
    <col min="14113" max="14113" width="10.28515625" style="1029" bestFit="1" customWidth="1"/>
    <col min="14114" max="14120" width="0" style="1029" hidden="1" customWidth="1"/>
    <col min="14121" max="14121" width="9.140625" style="1029"/>
    <col min="14122" max="14122" width="34.42578125" style="1029" customWidth="1"/>
    <col min="14123" max="14123" width="9.140625" style="1029"/>
    <col min="14124" max="14124" width="10.42578125" style="1029" customWidth="1"/>
    <col min="14125" max="14127" width="9.140625" style="1029"/>
    <col min="14128" max="14128" width="24.85546875" style="1029" customWidth="1"/>
    <col min="14129" max="14130" width="9.140625" style="1029"/>
    <col min="14131" max="14131" width="16.85546875" style="1029" customWidth="1"/>
    <col min="14132" max="14132" width="8" style="1029" customWidth="1"/>
    <col min="14133" max="14133" width="7.5703125" style="1029" bestFit="1" customWidth="1"/>
    <col min="14134" max="14134" width="8.7109375" style="1029" customWidth="1"/>
    <col min="14135" max="14135" width="9.140625" style="1029"/>
    <col min="14136" max="14136" width="7.5703125" style="1029" bestFit="1" customWidth="1"/>
    <col min="14137" max="14141" width="9.140625" style="1029"/>
    <col min="14142" max="14142" width="13.28515625" style="1029" bestFit="1" customWidth="1"/>
    <col min="14143" max="14160" width="9.140625" style="1029"/>
    <col min="14161" max="14161" width="13.28515625" style="1029" bestFit="1" customWidth="1"/>
    <col min="14162" max="14162" width="10.5703125" style="1029" bestFit="1" customWidth="1"/>
    <col min="14163" max="14336" width="9.140625" style="1029"/>
    <col min="14337" max="14337" width="1.28515625" style="1029" customWidth="1"/>
    <col min="14338" max="14338" width="7" style="1029" customWidth="1"/>
    <col min="14339" max="14339" width="45.42578125" style="1029" customWidth="1"/>
    <col min="14340" max="14343" width="0" style="1029" hidden="1" customWidth="1"/>
    <col min="14344" max="14350" width="10.140625" style="1029" customWidth="1"/>
    <col min="14351" max="14356" width="0" style="1029" hidden="1" customWidth="1"/>
    <col min="14357" max="14357" width="4.5703125" style="1029" customWidth="1"/>
    <col min="14358" max="14358" width="19.140625" style="1029" customWidth="1"/>
    <col min="14359" max="14363" width="9.140625" style="1029"/>
    <col min="14364" max="14364" width="41.140625" style="1029" bestFit="1" customWidth="1"/>
    <col min="14365" max="14365" width="12.5703125" style="1029" bestFit="1" customWidth="1"/>
    <col min="14366" max="14367" width="11.28515625" style="1029" bestFit="1" customWidth="1"/>
    <col min="14368" max="14368" width="18.140625" style="1029" bestFit="1" customWidth="1"/>
    <col min="14369" max="14369" width="10.28515625" style="1029" bestFit="1" customWidth="1"/>
    <col min="14370" max="14376" width="0" style="1029" hidden="1" customWidth="1"/>
    <col min="14377" max="14377" width="9.140625" style="1029"/>
    <col min="14378" max="14378" width="34.42578125" style="1029" customWidth="1"/>
    <col min="14379" max="14379" width="9.140625" style="1029"/>
    <col min="14380" max="14380" width="10.42578125" style="1029" customWidth="1"/>
    <col min="14381" max="14383" width="9.140625" style="1029"/>
    <col min="14384" max="14384" width="24.85546875" style="1029" customWidth="1"/>
    <col min="14385" max="14386" width="9.140625" style="1029"/>
    <col min="14387" max="14387" width="16.85546875" style="1029" customWidth="1"/>
    <col min="14388" max="14388" width="8" style="1029" customWidth="1"/>
    <col min="14389" max="14389" width="7.5703125" style="1029" bestFit="1" customWidth="1"/>
    <col min="14390" max="14390" width="8.7109375" style="1029" customWidth="1"/>
    <col min="14391" max="14391" width="9.140625" style="1029"/>
    <col min="14392" max="14392" width="7.5703125" style="1029" bestFit="1" customWidth="1"/>
    <col min="14393" max="14397" width="9.140625" style="1029"/>
    <col min="14398" max="14398" width="13.28515625" style="1029" bestFit="1" customWidth="1"/>
    <col min="14399" max="14416" width="9.140625" style="1029"/>
    <col min="14417" max="14417" width="13.28515625" style="1029" bestFit="1" customWidth="1"/>
    <col min="14418" max="14418" width="10.5703125" style="1029" bestFit="1" customWidth="1"/>
    <col min="14419" max="14592" width="9.140625" style="1029"/>
    <col min="14593" max="14593" width="1.28515625" style="1029" customWidth="1"/>
    <col min="14594" max="14594" width="7" style="1029" customWidth="1"/>
    <col min="14595" max="14595" width="45.42578125" style="1029" customWidth="1"/>
    <col min="14596" max="14599" width="0" style="1029" hidden="1" customWidth="1"/>
    <col min="14600" max="14606" width="10.140625" style="1029" customWidth="1"/>
    <col min="14607" max="14612" width="0" style="1029" hidden="1" customWidth="1"/>
    <col min="14613" max="14613" width="4.5703125" style="1029" customWidth="1"/>
    <col min="14614" max="14614" width="19.140625" style="1029" customWidth="1"/>
    <col min="14615" max="14619" width="9.140625" style="1029"/>
    <col min="14620" max="14620" width="41.140625" style="1029" bestFit="1" customWidth="1"/>
    <col min="14621" max="14621" width="12.5703125" style="1029" bestFit="1" customWidth="1"/>
    <col min="14622" max="14623" width="11.28515625" style="1029" bestFit="1" customWidth="1"/>
    <col min="14624" max="14624" width="18.140625" style="1029" bestFit="1" customWidth="1"/>
    <col min="14625" max="14625" width="10.28515625" style="1029" bestFit="1" customWidth="1"/>
    <col min="14626" max="14632" width="0" style="1029" hidden="1" customWidth="1"/>
    <col min="14633" max="14633" width="9.140625" style="1029"/>
    <col min="14634" max="14634" width="34.42578125" style="1029" customWidth="1"/>
    <col min="14635" max="14635" width="9.140625" style="1029"/>
    <col min="14636" max="14636" width="10.42578125" style="1029" customWidth="1"/>
    <col min="14637" max="14639" width="9.140625" style="1029"/>
    <col min="14640" max="14640" width="24.85546875" style="1029" customWidth="1"/>
    <col min="14641" max="14642" width="9.140625" style="1029"/>
    <col min="14643" max="14643" width="16.85546875" style="1029" customWidth="1"/>
    <col min="14644" max="14644" width="8" style="1029" customWidth="1"/>
    <col min="14645" max="14645" width="7.5703125" style="1029" bestFit="1" customWidth="1"/>
    <col min="14646" max="14646" width="8.7109375" style="1029" customWidth="1"/>
    <col min="14647" max="14647" width="9.140625" style="1029"/>
    <col min="14648" max="14648" width="7.5703125" style="1029" bestFit="1" customWidth="1"/>
    <col min="14649" max="14653" width="9.140625" style="1029"/>
    <col min="14654" max="14654" width="13.28515625" style="1029" bestFit="1" customWidth="1"/>
    <col min="14655" max="14672" width="9.140625" style="1029"/>
    <col min="14673" max="14673" width="13.28515625" style="1029" bestFit="1" customWidth="1"/>
    <col min="14674" max="14674" width="10.5703125" style="1029" bestFit="1" customWidth="1"/>
    <col min="14675" max="14848" width="9.140625" style="1029"/>
    <col min="14849" max="14849" width="1.28515625" style="1029" customWidth="1"/>
    <col min="14850" max="14850" width="7" style="1029" customWidth="1"/>
    <col min="14851" max="14851" width="45.42578125" style="1029" customWidth="1"/>
    <col min="14852" max="14855" width="0" style="1029" hidden="1" customWidth="1"/>
    <col min="14856" max="14862" width="10.140625" style="1029" customWidth="1"/>
    <col min="14863" max="14868" width="0" style="1029" hidden="1" customWidth="1"/>
    <col min="14869" max="14869" width="4.5703125" style="1029" customWidth="1"/>
    <col min="14870" max="14870" width="19.140625" style="1029" customWidth="1"/>
    <col min="14871" max="14875" width="9.140625" style="1029"/>
    <col min="14876" max="14876" width="41.140625" style="1029" bestFit="1" customWidth="1"/>
    <col min="14877" max="14877" width="12.5703125" style="1029" bestFit="1" customWidth="1"/>
    <col min="14878" max="14879" width="11.28515625" style="1029" bestFit="1" customWidth="1"/>
    <col min="14880" max="14880" width="18.140625" style="1029" bestFit="1" customWidth="1"/>
    <col min="14881" max="14881" width="10.28515625" style="1029" bestFit="1" customWidth="1"/>
    <col min="14882" max="14888" width="0" style="1029" hidden="1" customWidth="1"/>
    <col min="14889" max="14889" width="9.140625" style="1029"/>
    <col min="14890" max="14890" width="34.42578125" style="1029" customWidth="1"/>
    <col min="14891" max="14891" width="9.140625" style="1029"/>
    <col min="14892" max="14892" width="10.42578125" style="1029" customWidth="1"/>
    <col min="14893" max="14895" width="9.140625" style="1029"/>
    <col min="14896" max="14896" width="24.85546875" style="1029" customWidth="1"/>
    <col min="14897" max="14898" width="9.140625" style="1029"/>
    <col min="14899" max="14899" width="16.85546875" style="1029" customWidth="1"/>
    <col min="14900" max="14900" width="8" style="1029" customWidth="1"/>
    <col min="14901" max="14901" width="7.5703125" style="1029" bestFit="1" customWidth="1"/>
    <col min="14902" max="14902" width="8.7109375" style="1029" customWidth="1"/>
    <col min="14903" max="14903" width="9.140625" style="1029"/>
    <col min="14904" max="14904" width="7.5703125" style="1029" bestFit="1" customWidth="1"/>
    <col min="14905" max="14909" width="9.140625" style="1029"/>
    <col min="14910" max="14910" width="13.28515625" style="1029" bestFit="1" customWidth="1"/>
    <col min="14911" max="14928" width="9.140625" style="1029"/>
    <col min="14929" max="14929" width="13.28515625" style="1029" bestFit="1" customWidth="1"/>
    <col min="14930" max="14930" width="10.5703125" style="1029" bestFit="1" customWidth="1"/>
    <col min="14931" max="15104" width="9.140625" style="1029"/>
    <col min="15105" max="15105" width="1.28515625" style="1029" customWidth="1"/>
    <col min="15106" max="15106" width="7" style="1029" customWidth="1"/>
    <col min="15107" max="15107" width="45.42578125" style="1029" customWidth="1"/>
    <col min="15108" max="15111" width="0" style="1029" hidden="1" customWidth="1"/>
    <col min="15112" max="15118" width="10.140625" style="1029" customWidth="1"/>
    <col min="15119" max="15124" width="0" style="1029" hidden="1" customWidth="1"/>
    <col min="15125" max="15125" width="4.5703125" style="1029" customWidth="1"/>
    <col min="15126" max="15126" width="19.140625" style="1029" customWidth="1"/>
    <col min="15127" max="15131" width="9.140625" style="1029"/>
    <col min="15132" max="15132" width="41.140625" style="1029" bestFit="1" customWidth="1"/>
    <col min="15133" max="15133" width="12.5703125" style="1029" bestFit="1" customWidth="1"/>
    <col min="15134" max="15135" width="11.28515625" style="1029" bestFit="1" customWidth="1"/>
    <col min="15136" max="15136" width="18.140625" style="1029" bestFit="1" customWidth="1"/>
    <col min="15137" max="15137" width="10.28515625" style="1029" bestFit="1" customWidth="1"/>
    <col min="15138" max="15144" width="0" style="1029" hidden="1" customWidth="1"/>
    <col min="15145" max="15145" width="9.140625" style="1029"/>
    <col min="15146" max="15146" width="34.42578125" style="1029" customWidth="1"/>
    <col min="15147" max="15147" width="9.140625" style="1029"/>
    <col min="15148" max="15148" width="10.42578125" style="1029" customWidth="1"/>
    <col min="15149" max="15151" width="9.140625" style="1029"/>
    <col min="15152" max="15152" width="24.85546875" style="1029" customWidth="1"/>
    <col min="15153" max="15154" width="9.140625" style="1029"/>
    <col min="15155" max="15155" width="16.85546875" style="1029" customWidth="1"/>
    <col min="15156" max="15156" width="8" style="1029" customWidth="1"/>
    <col min="15157" max="15157" width="7.5703125" style="1029" bestFit="1" customWidth="1"/>
    <col min="15158" max="15158" width="8.7109375" style="1029" customWidth="1"/>
    <col min="15159" max="15159" width="9.140625" style="1029"/>
    <col min="15160" max="15160" width="7.5703125" style="1029" bestFit="1" customWidth="1"/>
    <col min="15161" max="15165" width="9.140625" style="1029"/>
    <col min="15166" max="15166" width="13.28515625" style="1029" bestFit="1" customWidth="1"/>
    <col min="15167" max="15184" width="9.140625" style="1029"/>
    <col min="15185" max="15185" width="13.28515625" style="1029" bestFit="1" customWidth="1"/>
    <col min="15186" max="15186" width="10.5703125" style="1029" bestFit="1" customWidth="1"/>
    <col min="15187" max="15360" width="9.140625" style="1029"/>
    <col min="15361" max="15361" width="1.28515625" style="1029" customWidth="1"/>
    <col min="15362" max="15362" width="7" style="1029" customWidth="1"/>
    <col min="15363" max="15363" width="45.42578125" style="1029" customWidth="1"/>
    <col min="15364" max="15367" width="0" style="1029" hidden="1" customWidth="1"/>
    <col min="15368" max="15374" width="10.140625" style="1029" customWidth="1"/>
    <col min="15375" max="15380" width="0" style="1029" hidden="1" customWidth="1"/>
    <col min="15381" max="15381" width="4.5703125" style="1029" customWidth="1"/>
    <col min="15382" max="15382" width="19.140625" style="1029" customWidth="1"/>
    <col min="15383" max="15387" width="9.140625" style="1029"/>
    <col min="15388" max="15388" width="41.140625" style="1029" bestFit="1" customWidth="1"/>
    <col min="15389" max="15389" width="12.5703125" style="1029" bestFit="1" customWidth="1"/>
    <col min="15390" max="15391" width="11.28515625" style="1029" bestFit="1" customWidth="1"/>
    <col min="15392" max="15392" width="18.140625" style="1029" bestFit="1" customWidth="1"/>
    <col min="15393" max="15393" width="10.28515625" style="1029" bestFit="1" customWidth="1"/>
    <col min="15394" max="15400" width="0" style="1029" hidden="1" customWidth="1"/>
    <col min="15401" max="15401" width="9.140625" style="1029"/>
    <col min="15402" max="15402" width="34.42578125" style="1029" customWidth="1"/>
    <col min="15403" max="15403" width="9.140625" style="1029"/>
    <col min="15404" max="15404" width="10.42578125" style="1029" customWidth="1"/>
    <col min="15405" max="15407" width="9.140625" style="1029"/>
    <col min="15408" max="15408" width="24.85546875" style="1029" customWidth="1"/>
    <col min="15409" max="15410" width="9.140625" style="1029"/>
    <col min="15411" max="15411" width="16.85546875" style="1029" customWidth="1"/>
    <col min="15412" max="15412" width="8" style="1029" customWidth="1"/>
    <col min="15413" max="15413" width="7.5703125" style="1029" bestFit="1" customWidth="1"/>
    <col min="15414" max="15414" width="8.7109375" style="1029" customWidth="1"/>
    <col min="15415" max="15415" width="9.140625" style="1029"/>
    <col min="15416" max="15416" width="7.5703125" style="1029" bestFit="1" customWidth="1"/>
    <col min="15417" max="15421" width="9.140625" style="1029"/>
    <col min="15422" max="15422" width="13.28515625" style="1029" bestFit="1" customWidth="1"/>
    <col min="15423" max="15440" width="9.140625" style="1029"/>
    <col min="15441" max="15441" width="13.28515625" style="1029" bestFit="1" customWidth="1"/>
    <col min="15442" max="15442" width="10.5703125" style="1029" bestFit="1" customWidth="1"/>
    <col min="15443" max="15616" width="9.140625" style="1029"/>
    <col min="15617" max="15617" width="1.28515625" style="1029" customWidth="1"/>
    <col min="15618" max="15618" width="7" style="1029" customWidth="1"/>
    <col min="15619" max="15619" width="45.42578125" style="1029" customWidth="1"/>
    <col min="15620" max="15623" width="0" style="1029" hidden="1" customWidth="1"/>
    <col min="15624" max="15630" width="10.140625" style="1029" customWidth="1"/>
    <col min="15631" max="15636" width="0" style="1029" hidden="1" customWidth="1"/>
    <col min="15637" max="15637" width="4.5703125" style="1029" customWidth="1"/>
    <col min="15638" max="15638" width="19.140625" style="1029" customWidth="1"/>
    <col min="15639" max="15643" width="9.140625" style="1029"/>
    <col min="15644" max="15644" width="41.140625" style="1029" bestFit="1" customWidth="1"/>
    <col min="15645" max="15645" width="12.5703125" style="1029" bestFit="1" customWidth="1"/>
    <col min="15646" max="15647" width="11.28515625" style="1029" bestFit="1" customWidth="1"/>
    <col min="15648" max="15648" width="18.140625" style="1029" bestFit="1" customWidth="1"/>
    <col min="15649" max="15649" width="10.28515625" style="1029" bestFit="1" customWidth="1"/>
    <col min="15650" max="15656" width="0" style="1029" hidden="1" customWidth="1"/>
    <col min="15657" max="15657" width="9.140625" style="1029"/>
    <col min="15658" max="15658" width="34.42578125" style="1029" customWidth="1"/>
    <col min="15659" max="15659" width="9.140625" style="1029"/>
    <col min="15660" max="15660" width="10.42578125" style="1029" customWidth="1"/>
    <col min="15661" max="15663" width="9.140625" style="1029"/>
    <col min="15664" max="15664" width="24.85546875" style="1029" customWidth="1"/>
    <col min="15665" max="15666" width="9.140625" style="1029"/>
    <col min="15667" max="15667" width="16.85546875" style="1029" customWidth="1"/>
    <col min="15668" max="15668" width="8" style="1029" customWidth="1"/>
    <col min="15669" max="15669" width="7.5703125" style="1029" bestFit="1" customWidth="1"/>
    <col min="15670" max="15670" width="8.7109375" style="1029" customWidth="1"/>
    <col min="15671" max="15671" width="9.140625" style="1029"/>
    <col min="15672" max="15672" width="7.5703125" style="1029" bestFit="1" customWidth="1"/>
    <col min="15673" max="15677" width="9.140625" style="1029"/>
    <col min="15678" max="15678" width="13.28515625" style="1029" bestFit="1" customWidth="1"/>
    <col min="15679" max="15696" width="9.140625" style="1029"/>
    <col min="15697" max="15697" width="13.28515625" style="1029" bestFit="1" customWidth="1"/>
    <col min="15698" max="15698" width="10.5703125" style="1029" bestFit="1" customWidth="1"/>
    <col min="15699" max="15872" width="9.140625" style="1029"/>
    <col min="15873" max="15873" width="1.28515625" style="1029" customWidth="1"/>
    <col min="15874" max="15874" width="7" style="1029" customWidth="1"/>
    <col min="15875" max="15875" width="45.42578125" style="1029" customWidth="1"/>
    <col min="15876" max="15879" width="0" style="1029" hidden="1" customWidth="1"/>
    <col min="15880" max="15886" width="10.140625" style="1029" customWidth="1"/>
    <col min="15887" max="15892" width="0" style="1029" hidden="1" customWidth="1"/>
    <col min="15893" max="15893" width="4.5703125" style="1029" customWidth="1"/>
    <col min="15894" max="15894" width="19.140625" style="1029" customWidth="1"/>
    <col min="15895" max="15899" width="9.140625" style="1029"/>
    <col min="15900" max="15900" width="41.140625" style="1029" bestFit="1" customWidth="1"/>
    <col min="15901" max="15901" width="12.5703125" style="1029" bestFit="1" customWidth="1"/>
    <col min="15902" max="15903" width="11.28515625" style="1029" bestFit="1" customWidth="1"/>
    <col min="15904" max="15904" width="18.140625" style="1029" bestFit="1" customWidth="1"/>
    <col min="15905" max="15905" width="10.28515625" style="1029" bestFit="1" customWidth="1"/>
    <col min="15906" max="15912" width="0" style="1029" hidden="1" customWidth="1"/>
    <col min="15913" max="15913" width="9.140625" style="1029"/>
    <col min="15914" max="15914" width="34.42578125" style="1029" customWidth="1"/>
    <col min="15915" max="15915" width="9.140625" style="1029"/>
    <col min="15916" max="15916" width="10.42578125" style="1029" customWidth="1"/>
    <col min="15917" max="15919" width="9.140625" style="1029"/>
    <col min="15920" max="15920" width="24.85546875" style="1029" customWidth="1"/>
    <col min="15921" max="15922" width="9.140625" style="1029"/>
    <col min="15923" max="15923" width="16.85546875" style="1029" customWidth="1"/>
    <col min="15924" max="15924" width="8" style="1029" customWidth="1"/>
    <col min="15925" max="15925" width="7.5703125" style="1029" bestFit="1" customWidth="1"/>
    <col min="15926" max="15926" width="8.7109375" style="1029" customWidth="1"/>
    <col min="15927" max="15927" width="9.140625" style="1029"/>
    <col min="15928" max="15928" width="7.5703125" style="1029" bestFit="1" customWidth="1"/>
    <col min="15929" max="15933" width="9.140625" style="1029"/>
    <col min="15934" max="15934" width="13.28515625" style="1029" bestFit="1" customWidth="1"/>
    <col min="15935" max="15952" width="9.140625" style="1029"/>
    <col min="15953" max="15953" width="13.28515625" style="1029" bestFit="1" customWidth="1"/>
    <col min="15954" max="15954" width="10.5703125" style="1029" bestFit="1" customWidth="1"/>
    <col min="15955" max="16128" width="9.140625" style="1029"/>
    <col min="16129" max="16129" width="1.28515625" style="1029" customWidth="1"/>
    <col min="16130" max="16130" width="7" style="1029" customWidth="1"/>
    <col min="16131" max="16131" width="45.42578125" style="1029" customWidth="1"/>
    <col min="16132" max="16135" width="0" style="1029" hidden="1" customWidth="1"/>
    <col min="16136" max="16142" width="10.140625" style="1029" customWidth="1"/>
    <col min="16143" max="16148" width="0" style="1029" hidden="1" customWidth="1"/>
    <col min="16149" max="16149" width="4.5703125" style="1029" customWidth="1"/>
    <col min="16150" max="16150" width="19.140625" style="1029" customWidth="1"/>
    <col min="16151" max="16155" width="9.140625" style="1029"/>
    <col min="16156" max="16156" width="41.140625" style="1029" bestFit="1" customWidth="1"/>
    <col min="16157" max="16157" width="12.5703125" style="1029" bestFit="1" customWidth="1"/>
    <col min="16158" max="16159" width="11.28515625" style="1029" bestFit="1" customWidth="1"/>
    <col min="16160" max="16160" width="18.140625" style="1029" bestFit="1" customWidth="1"/>
    <col min="16161" max="16161" width="10.28515625" style="1029" bestFit="1" customWidth="1"/>
    <col min="16162" max="16168" width="0" style="1029" hidden="1" customWidth="1"/>
    <col min="16169" max="16169" width="9.140625" style="1029"/>
    <col min="16170" max="16170" width="34.42578125" style="1029" customWidth="1"/>
    <col min="16171" max="16171" width="9.140625" style="1029"/>
    <col min="16172" max="16172" width="10.42578125" style="1029" customWidth="1"/>
    <col min="16173" max="16175" width="9.140625" style="1029"/>
    <col min="16176" max="16176" width="24.85546875" style="1029" customWidth="1"/>
    <col min="16177" max="16178" width="9.140625" style="1029"/>
    <col min="16179" max="16179" width="16.85546875" style="1029" customWidth="1"/>
    <col min="16180" max="16180" width="8" style="1029" customWidth="1"/>
    <col min="16181" max="16181" width="7.5703125" style="1029" bestFit="1" customWidth="1"/>
    <col min="16182" max="16182" width="8.7109375" style="1029" customWidth="1"/>
    <col min="16183" max="16183" width="9.140625" style="1029"/>
    <col min="16184" max="16184" width="7.5703125" style="1029" bestFit="1" customWidth="1"/>
    <col min="16185" max="16189" width="9.140625" style="1029"/>
    <col min="16190" max="16190" width="13.28515625" style="1029" bestFit="1" customWidth="1"/>
    <col min="16191" max="16208" width="9.140625" style="1029"/>
    <col min="16209" max="16209" width="13.28515625" style="1029" bestFit="1" customWidth="1"/>
    <col min="16210" max="16210" width="10.5703125" style="1029" bestFit="1" customWidth="1"/>
    <col min="16211" max="16384" width="9.140625" style="1029"/>
  </cols>
  <sheetData>
    <row r="1" spans="1:88" ht="12.75" customHeight="1" x14ac:dyDescent="0.2">
      <c r="A1" s="2065"/>
      <c r="B1" s="1025"/>
      <c r="C1" s="1026" t="s">
        <v>45</v>
      </c>
      <c r="D1" s="1026"/>
      <c r="E1" s="1026"/>
      <c r="F1" s="1026"/>
      <c r="G1" s="1026"/>
      <c r="H1" s="1027" t="str">
        <f>Pension!$H$1</f>
        <v>CSX.O</v>
      </c>
      <c r="I1" s="1028"/>
      <c r="J1" s="1028"/>
      <c r="K1" s="1028"/>
      <c r="L1" s="1028"/>
      <c r="M1" s="1028"/>
      <c r="N1" s="1028"/>
      <c r="O1" s="1028"/>
      <c r="P1" s="1028"/>
      <c r="Q1" s="1028"/>
      <c r="R1" s="1028"/>
      <c r="S1" s="1028"/>
      <c r="T1" s="1028"/>
    </row>
    <row r="2" spans="1:88" ht="15" customHeight="1" x14ac:dyDescent="0.2">
      <c r="A2" s="2065"/>
      <c r="B2" s="1025"/>
      <c r="C2" s="1026" t="s">
        <v>46</v>
      </c>
      <c r="D2" s="1026"/>
      <c r="E2" s="1026"/>
      <c r="F2" s="1026"/>
      <c r="G2" s="1026"/>
      <c r="H2" s="1033" t="str">
        <f>Pension!H2</f>
        <v>Csx Corp</v>
      </c>
      <c r="I2" s="1028"/>
      <c r="J2" s="1028"/>
      <c r="K2" s="1034"/>
      <c r="L2" s="1034"/>
      <c r="M2" s="1034"/>
      <c r="N2" s="1034"/>
      <c r="O2" s="1034"/>
      <c r="P2" s="1034"/>
      <c r="Q2" s="1034"/>
      <c r="R2" s="1034"/>
      <c r="S2" s="1034"/>
      <c r="T2" s="1034"/>
    </row>
    <row r="3" spans="1:88" ht="12.75" hidden="1" customHeight="1" outlineLevel="1" x14ac:dyDescent="0.2">
      <c r="A3" s="1036"/>
      <c r="B3" s="1025"/>
      <c r="C3" s="1026" t="s">
        <v>48</v>
      </c>
      <c r="D3" s="1037"/>
      <c r="E3" s="1037"/>
      <c r="F3" s="1037"/>
      <c r="G3" s="1037"/>
      <c r="H3" s="1038">
        <f>Sedol</f>
        <v>2160753</v>
      </c>
      <c r="I3" s="1028"/>
      <c r="J3" s="1028"/>
      <c r="K3" s="1028"/>
      <c r="L3" s="1028"/>
      <c r="M3" s="1028"/>
      <c r="N3" s="1028"/>
      <c r="O3" s="1028"/>
      <c r="P3" s="1028"/>
      <c r="Q3" s="1028"/>
      <c r="R3" s="1028"/>
      <c r="S3" s="1028"/>
      <c r="T3" s="1028"/>
      <c r="CD3" s="1039"/>
      <c r="CE3" s="1039"/>
      <c r="CF3" s="1039"/>
      <c r="CG3" s="1039"/>
      <c r="CH3" s="1039"/>
      <c r="CI3" s="1039"/>
      <c r="CJ3" s="1039"/>
    </row>
    <row r="4" spans="1:88" s="1031" customFormat="1" collapsed="1" x14ac:dyDescent="0.2">
      <c r="A4" s="1040"/>
      <c r="B4" s="1041"/>
      <c r="C4" s="1042"/>
      <c r="D4" s="1042"/>
      <c r="E4" s="1042"/>
      <c r="F4" s="1042"/>
      <c r="G4" s="1042"/>
      <c r="H4" s="1034"/>
      <c r="I4" s="1034"/>
      <c r="J4" s="1034"/>
      <c r="K4" s="1034"/>
      <c r="L4" s="1034"/>
      <c r="M4" s="1034"/>
      <c r="N4" s="1034"/>
      <c r="O4" s="1034"/>
      <c r="P4" s="1034"/>
      <c r="Q4" s="1034"/>
      <c r="R4" s="1034"/>
      <c r="S4" s="1034"/>
      <c r="T4" s="1034"/>
      <c r="U4" s="1034"/>
      <c r="AB4"/>
      <c r="AC4"/>
      <c r="AD4"/>
      <c r="AE4"/>
      <c r="AF4"/>
      <c r="AG4"/>
      <c r="AN4" s="1043"/>
      <c r="AY4" s="1044"/>
      <c r="AZ4" s="1044"/>
      <c r="BA4" s="1044"/>
      <c r="BB4" s="1044"/>
    </row>
    <row r="5" spans="1:88" customFormat="1" ht="12.75" customHeight="1" outlineLevel="1" x14ac:dyDescent="0.2"/>
    <row r="6" spans="1:88" x14ac:dyDescent="0.2">
      <c r="A6" s="1040"/>
      <c r="B6" s="1026" t="s">
        <v>49</v>
      </c>
      <c r="C6" s="1026" t="s">
        <v>50</v>
      </c>
      <c r="D6" s="1045">
        <f t="shared" ref="D6:I6" si="0">E6-1</f>
        <v>2009</v>
      </c>
      <c r="E6" s="1045">
        <f t="shared" si="0"/>
        <v>2010</v>
      </c>
      <c r="F6" s="1045">
        <f t="shared" si="0"/>
        <v>2011</v>
      </c>
      <c r="G6" s="1045">
        <f t="shared" si="0"/>
        <v>2012</v>
      </c>
      <c r="H6" s="1045">
        <f t="shared" si="0"/>
        <v>2013</v>
      </c>
      <c r="I6" s="1045">
        <f t="shared" si="0"/>
        <v>2014</v>
      </c>
      <c r="J6" s="1045">
        <f>K6-1</f>
        <v>2015</v>
      </c>
      <c r="K6" s="1046">
        <f>Pension!K6</f>
        <v>2016</v>
      </c>
      <c r="L6" s="1045">
        <f>K6+1</f>
        <v>2017</v>
      </c>
      <c r="M6" s="1045">
        <f t="shared" ref="M6:T6" si="1">L6+1</f>
        <v>2018</v>
      </c>
      <c r="N6" s="1045">
        <f t="shared" si="1"/>
        <v>2019</v>
      </c>
      <c r="O6" s="1045">
        <f t="shared" si="1"/>
        <v>2020</v>
      </c>
      <c r="P6" s="1045">
        <f t="shared" si="1"/>
        <v>2021</v>
      </c>
      <c r="Q6" s="1045">
        <f t="shared" si="1"/>
        <v>2022</v>
      </c>
      <c r="R6" s="1045">
        <f t="shared" si="1"/>
        <v>2023</v>
      </c>
      <c r="S6" s="1045">
        <f t="shared" si="1"/>
        <v>2024</v>
      </c>
      <c r="T6" s="1045">
        <f t="shared" si="1"/>
        <v>2025</v>
      </c>
      <c r="X6" s="1028"/>
      <c r="Y6" s="1028"/>
      <c r="AY6" s="1047"/>
      <c r="AZ6" s="1047"/>
      <c r="BA6" s="1047"/>
      <c r="BB6" s="1047"/>
      <c r="BG6" s="1030">
        <f>Pension!BG6</f>
        <v>2016</v>
      </c>
    </row>
    <row r="7" spans="1:88" ht="7.5" customHeight="1" x14ac:dyDescent="0.2">
      <c r="A7" s="1040"/>
      <c r="B7" s="1048"/>
      <c r="C7" s="1049"/>
      <c r="D7" s="1049"/>
      <c r="E7" s="1049"/>
      <c r="F7" s="1049"/>
      <c r="G7" s="1049"/>
      <c r="H7" s="966"/>
      <c r="I7" s="966"/>
      <c r="J7" s="967"/>
      <c r="K7" s="967"/>
      <c r="L7" s="967"/>
      <c r="M7" s="967"/>
      <c r="N7" s="967"/>
      <c r="O7" s="967"/>
      <c r="P7" s="967"/>
      <c r="Q7" s="967"/>
      <c r="R7" s="967"/>
      <c r="S7" s="967"/>
      <c r="T7" s="967"/>
      <c r="X7" s="1028"/>
      <c r="Y7" s="1028"/>
      <c r="BG7" s="1030" t="str">
        <f>Pension!BG7</f>
        <v>12/2016</v>
      </c>
    </row>
    <row r="8" spans="1:88" x14ac:dyDescent="0.2">
      <c r="A8" s="1040"/>
      <c r="B8" s="1048"/>
      <c r="C8" s="1028" t="s">
        <v>30</v>
      </c>
      <c r="D8" s="968">
        <v>6.5000000000000002E-2</v>
      </c>
      <c r="E8" s="968">
        <v>4.7500000000000001E-2</v>
      </c>
      <c r="F8" s="968">
        <v>4.4999999999999998E-2</v>
      </c>
      <c r="G8" s="968">
        <v>4.2500000000000003E-2</v>
      </c>
      <c r="H8" s="968">
        <v>3.2000000000000001E-2</v>
      </c>
      <c r="I8" s="968">
        <v>4.2500000000000003E-2</v>
      </c>
      <c r="J8" s="968">
        <v>3.6000000000000004E-2</v>
      </c>
      <c r="K8" s="968">
        <v>3.85E-2</v>
      </c>
      <c r="L8" s="1050">
        <f t="shared" ref="L8:T9" si="2">+K8</f>
        <v>3.85E-2</v>
      </c>
      <c r="M8" s="1050">
        <f t="shared" si="2"/>
        <v>3.85E-2</v>
      </c>
      <c r="N8" s="1050">
        <f t="shared" si="2"/>
        <v>3.85E-2</v>
      </c>
      <c r="O8" s="1050">
        <f t="shared" si="2"/>
        <v>3.85E-2</v>
      </c>
      <c r="P8" s="1050">
        <f t="shared" si="2"/>
        <v>3.85E-2</v>
      </c>
      <c r="Q8" s="1050">
        <f t="shared" si="2"/>
        <v>3.85E-2</v>
      </c>
      <c r="R8" s="1050">
        <f t="shared" si="2"/>
        <v>3.85E-2</v>
      </c>
      <c r="S8" s="1050">
        <f t="shared" si="2"/>
        <v>3.85E-2</v>
      </c>
      <c r="T8" s="1050">
        <f t="shared" si="2"/>
        <v>3.85E-2</v>
      </c>
      <c r="U8" s="1051"/>
      <c r="AN8" s="969" t="s">
        <v>394</v>
      </c>
      <c r="AY8" s="1047"/>
      <c r="AZ8" s="1052"/>
      <c r="BA8" s="1052"/>
      <c r="BB8" s="1047"/>
      <c r="BG8" s="970">
        <f>_xll.ThomsonONEAddinShim.SpreadsheetFormulas.TF(Sedol,$AN8,"dataDir=across",trSdate,trEdate)</f>
        <v>6.5000000000000002E-2</v>
      </c>
      <c r="BH8" s="1053">
        <v>4.7500000000000001E-2</v>
      </c>
      <c r="BI8" s="1053">
        <v>4.4999999999999998E-2</v>
      </c>
      <c r="BJ8" s="1053">
        <v>4.2500000000000003E-2</v>
      </c>
      <c r="BK8" s="1053">
        <v>3.2000000000000001E-2</v>
      </c>
      <c r="BL8" s="1053">
        <v>4.2500000000000003E-2</v>
      </c>
      <c r="BM8" s="1053">
        <v>3.6000000000000004E-2</v>
      </c>
      <c r="BN8" s="1053">
        <v>3.85E-2</v>
      </c>
    </row>
    <row r="9" spans="1:88" ht="12.75" hidden="1" customHeight="1" outlineLevel="1" x14ac:dyDescent="0.2">
      <c r="A9" s="1040"/>
      <c r="B9" s="1048"/>
      <c r="C9" s="1028" t="s">
        <v>372</v>
      </c>
      <c r="D9" s="1054">
        <f>Pension!D9</f>
        <v>0.1</v>
      </c>
      <c r="E9" s="1054">
        <f>Pension!E9</f>
        <v>0.1</v>
      </c>
      <c r="F9" s="1054">
        <f>Pension!F9</f>
        <v>0.1</v>
      </c>
      <c r="G9" s="1054">
        <f>Pension!G9</f>
        <v>0.1</v>
      </c>
      <c r="H9" s="1054">
        <f>Pension!H9</f>
        <v>0.1</v>
      </c>
      <c r="I9" s="1054">
        <f>Pension!I9</f>
        <v>0.1</v>
      </c>
      <c r="J9" s="1054">
        <f>Pension!J9</f>
        <v>0.1</v>
      </c>
      <c r="K9" s="1054">
        <f>Pension!K9</f>
        <v>0.1</v>
      </c>
      <c r="L9" s="1055">
        <f t="shared" si="2"/>
        <v>0.1</v>
      </c>
      <c r="M9" s="1055">
        <f t="shared" si="2"/>
        <v>0.1</v>
      </c>
      <c r="N9" s="1055">
        <f t="shared" si="2"/>
        <v>0.1</v>
      </c>
      <c r="O9" s="1055">
        <f t="shared" si="2"/>
        <v>0.1</v>
      </c>
      <c r="P9" s="1055">
        <f t="shared" si="2"/>
        <v>0.1</v>
      </c>
      <c r="Q9" s="1055">
        <f t="shared" si="2"/>
        <v>0.1</v>
      </c>
      <c r="R9" s="1055">
        <f t="shared" si="2"/>
        <v>0.1</v>
      </c>
      <c r="S9" s="1055">
        <f t="shared" si="2"/>
        <v>0.1</v>
      </c>
      <c r="T9" s="1055">
        <f t="shared" si="2"/>
        <v>0.1</v>
      </c>
      <c r="AZ9" s="1028"/>
      <c r="BA9" s="1056"/>
      <c r="BB9" s="1056"/>
      <c r="BC9" s="1056"/>
      <c r="BD9" s="1056"/>
      <c r="BG9" s="1057"/>
    </row>
    <row r="10" spans="1:88" ht="12.75" hidden="1" customHeight="1" outlineLevel="1" x14ac:dyDescent="0.2">
      <c r="A10" s="1040"/>
      <c r="B10" s="1048"/>
      <c r="C10" s="1028" t="s">
        <v>396</v>
      </c>
      <c r="D10" s="1058">
        <f>Pension!D10</f>
        <v>10</v>
      </c>
      <c r="E10" s="1058">
        <f>Pension!E10</f>
        <v>10</v>
      </c>
      <c r="F10" s="1058">
        <f>Pension!F10</f>
        <v>10</v>
      </c>
      <c r="G10" s="1058">
        <f>Pension!G10</f>
        <v>10</v>
      </c>
      <c r="H10" s="1058">
        <f>Pension!H10</f>
        <v>10</v>
      </c>
      <c r="I10" s="1058">
        <f>Pension!I10</f>
        <v>10</v>
      </c>
      <c r="J10" s="1058">
        <f>Pension!J10</f>
        <v>10</v>
      </c>
      <c r="K10" s="1058">
        <f>Pension!K10</f>
        <v>10</v>
      </c>
      <c r="L10" s="1059">
        <v>10</v>
      </c>
      <c r="M10" s="1059">
        <v>10</v>
      </c>
      <c r="N10" s="1059">
        <v>10</v>
      </c>
      <c r="O10" s="1059">
        <v>10</v>
      </c>
      <c r="P10" s="1059">
        <v>10</v>
      </c>
      <c r="Q10" s="1059">
        <v>10</v>
      </c>
      <c r="R10" s="1059">
        <v>10</v>
      </c>
      <c r="S10" s="1059">
        <v>10</v>
      </c>
      <c r="T10" s="1059">
        <v>10</v>
      </c>
      <c r="AY10" s="1060"/>
      <c r="AZ10" s="1061"/>
      <c r="BA10" s="1056"/>
      <c r="BB10" s="1056"/>
      <c r="BC10" s="1056"/>
      <c r="BD10" s="1056"/>
      <c r="BG10" s="1058">
        <f>Pension!BG10</f>
        <v>0</v>
      </c>
    </row>
    <row r="11" spans="1:88" collapsed="1" x14ac:dyDescent="0.2">
      <c r="A11" s="1040"/>
      <c r="B11" s="1048"/>
      <c r="C11" s="1028" t="s">
        <v>359</v>
      </c>
      <c r="D11" s="968">
        <v>0</v>
      </c>
      <c r="E11" s="968">
        <v>0</v>
      </c>
      <c r="F11" s="968">
        <v>0</v>
      </c>
      <c r="G11" s="968">
        <v>0</v>
      </c>
      <c r="H11" s="968">
        <v>0</v>
      </c>
      <c r="I11" s="968">
        <v>0</v>
      </c>
      <c r="J11" s="968">
        <v>0</v>
      </c>
      <c r="K11" s="968">
        <v>0</v>
      </c>
      <c r="L11" s="1050">
        <f t="shared" ref="L11:T11" si="3">+K11</f>
        <v>0</v>
      </c>
      <c r="M11" s="1050">
        <f t="shared" si="3"/>
        <v>0</v>
      </c>
      <c r="N11" s="1050">
        <f t="shared" si="3"/>
        <v>0</v>
      </c>
      <c r="O11" s="1050">
        <f t="shared" si="3"/>
        <v>0</v>
      </c>
      <c r="P11" s="1050">
        <f t="shared" si="3"/>
        <v>0</v>
      </c>
      <c r="Q11" s="1050">
        <f t="shared" si="3"/>
        <v>0</v>
      </c>
      <c r="R11" s="1050">
        <f t="shared" si="3"/>
        <v>0</v>
      </c>
      <c r="S11" s="1050">
        <f t="shared" si="3"/>
        <v>0</v>
      </c>
      <c r="T11" s="1050">
        <f t="shared" si="3"/>
        <v>0</v>
      </c>
      <c r="U11" s="1051"/>
      <c r="AN11" s="969" t="s">
        <v>83</v>
      </c>
      <c r="AY11" s="1056"/>
      <c r="AZ11" s="1062"/>
      <c r="BA11" s="1056"/>
      <c r="BB11" s="1056"/>
      <c r="BC11" s="1063"/>
      <c r="BD11" s="1056"/>
      <c r="BG11" s="970">
        <f>_xll.ThomsonONEAddinShim.SpreadsheetFormulas.TF(Sedol,$AN11,"dataDir=across",trSdate,trEdate)</f>
        <v>0</v>
      </c>
      <c r="BH11" s="1053">
        <v>0</v>
      </c>
      <c r="BI11" s="1053">
        <v>0</v>
      </c>
      <c r="BJ11" s="1053">
        <v>0</v>
      </c>
      <c r="BK11" s="1053">
        <v>0</v>
      </c>
      <c r="BL11" s="1053">
        <v>0</v>
      </c>
      <c r="BM11" s="1053">
        <v>0</v>
      </c>
      <c r="BN11" s="1053">
        <v>0</v>
      </c>
    </row>
    <row r="12" spans="1:88" x14ac:dyDescent="0.2">
      <c r="A12" s="1040"/>
      <c r="B12" s="1048"/>
      <c r="C12" s="1028" t="s">
        <v>270</v>
      </c>
      <c r="D12" s="968">
        <f t="shared" ref="D12:J12" si="4">IF(ISNUMBER(D38/D37),D38/D37,0)</f>
        <v>0</v>
      </c>
      <c r="E12" s="968">
        <f t="shared" si="4"/>
        <v>0</v>
      </c>
      <c r="F12" s="968">
        <f t="shared" si="4"/>
        <v>0</v>
      </c>
      <c r="G12" s="968">
        <f t="shared" si="4"/>
        <v>0</v>
      </c>
      <c r="H12" s="968">
        <f t="shared" si="4"/>
        <v>0</v>
      </c>
      <c r="I12" s="968">
        <f t="shared" si="4"/>
        <v>0</v>
      </c>
      <c r="J12" s="968">
        <f t="shared" si="4"/>
        <v>0</v>
      </c>
      <c r="K12" s="968">
        <f>IF(ISNUMBER(K38/K37),K38/K37,0)</f>
        <v>0</v>
      </c>
      <c r="L12" s="1050">
        <f t="shared" ref="L12:T12" si="5">+L11</f>
        <v>0</v>
      </c>
      <c r="M12" s="1050">
        <f t="shared" si="5"/>
        <v>0</v>
      </c>
      <c r="N12" s="1050">
        <f t="shared" si="5"/>
        <v>0</v>
      </c>
      <c r="O12" s="1050">
        <f t="shared" si="5"/>
        <v>0</v>
      </c>
      <c r="P12" s="1050">
        <f t="shared" si="5"/>
        <v>0</v>
      </c>
      <c r="Q12" s="1050">
        <f t="shared" si="5"/>
        <v>0</v>
      </c>
      <c r="R12" s="1050">
        <f t="shared" si="5"/>
        <v>0</v>
      </c>
      <c r="S12" s="1050">
        <f t="shared" si="5"/>
        <v>0</v>
      </c>
      <c r="T12" s="1050">
        <f t="shared" si="5"/>
        <v>0</v>
      </c>
      <c r="AN12" s="969"/>
      <c r="AY12" s="1056"/>
      <c r="AZ12" s="1062"/>
      <c r="BA12" s="1056"/>
      <c r="BB12" s="1064"/>
      <c r="BC12" s="1056"/>
      <c r="BD12" s="1056"/>
      <c r="BG12" s="1057"/>
    </row>
    <row r="13" spans="1:88" x14ac:dyDescent="0.2">
      <c r="A13" s="1040"/>
      <c r="B13" s="1048"/>
      <c r="C13" s="1028" t="s">
        <v>66</v>
      </c>
      <c r="D13" s="968">
        <f>Pension!D13</f>
        <v>0.35</v>
      </c>
      <c r="E13" s="968">
        <f>Pension!E13</f>
        <v>0.36</v>
      </c>
      <c r="F13" s="968">
        <f>Pension!F13</f>
        <v>0.36</v>
      </c>
      <c r="G13" s="968">
        <f>Pension!G13</f>
        <v>0.36</v>
      </c>
      <c r="H13" s="968">
        <f>Pension!H13</f>
        <v>0.36</v>
      </c>
      <c r="I13" s="968">
        <f>Pension!I13</f>
        <v>0.36</v>
      </c>
      <c r="J13" s="968">
        <f>Pension!J13</f>
        <v>0.36</v>
      </c>
      <c r="K13" s="968">
        <f>Pension!K13</f>
        <v>0.36</v>
      </c>
      <c r="L13" s="971">
        <f>Pension!L13</f>
        <v>0.36</v>
      </c>
      <c r="M13" s="971">
        <f>Pension!M13</f>
        <v>0.36</v>
      </c>
      <c r="N13" s="971">
        <f>Pension!N13</f>
        <v>0.36</v>
      </c>
      <c r="O13" s="971">
        <f>Pension!O13</f>
        <v>0.36</v>
      </c>
      <c r="P13" s="971">
        <f>Pension!P13</f>
        <v>0.35</v>
      </c>
      <c r="Q13" s="971">
        <f>Pension!Q13</f>
        <v>0.35</v>
      </c>
      <c r="R13" s="971">
        <f>Pension!R13</f>
        <v>0.35</v>
      </c>
      <c r="S13" s="971">
        <f>Pension!S13</f>
        <v>0.35</v>
      </c>
      <c r="T13" s="971">
        <f>Pension!T13</f>
        <v>0.35</v>
      </c>
      <c r="AY13" s="1056"/>
      <c r="AZ13" s="1065"/>
      <c r="BA13" s="1056"/>
      <c r="BB13" s="1056"/>
      <c r="BC13" s="1056"/>
      <c r="BD13" s="1056"/>
      <c r="BG13" s="970"/>
    </row>
    <row r="14" spans="1:88" ht="7.5" customHeight="1" x14ac:dyDescent="0.2">
      <c r="A14" s="1040"/>
      <c r="B14" s="1048"/>
      <c r="C14" s="1049"/>
      <c r="D14" s="1049"/>
      <c r="E14" s="1049"/>
      <c r="F14" s="1049"/>
      <c r="G14" s="1049"/>
      <c r="H14" s="966"/>
      <c r="I14" s="966"/>
      <c r="J14" s="967"/>
      <c r="K14" s="967"/>
      <c r="L14" s="967"/>
      <c r="M14" s="967"/>
      <c r="N14" s="967"/>
      <c r="O14" s="967"/>
      <c r="P14" s="967"/>
      <c r="Q14" s="967"/>
      <c r="R14" s="967"/>
      <c r="S14" s="967"/>
      <c r="T14" s="967"/>
      <c r="AY14" s="1028"/>
      <c r="AZ14" s="1028"/>
      <c r="BG14" s="1066"/>
    </row>
    <row r="15" spans="1:88" x14ac:dyDescent="0.2">
      <c r="A15" s="1040"/>
      <c r="B15" s="1026" t="s">
        <v>363</v>
      </c>
      <c r="C15" s="1026" t="s">
        <v>364</v>
      </c>
      <c r="D15" s="1045">
        <f>+D6</f>
        <v>2009</v>
      </c>
      <c r="E15" s="1045">
        <f>+E6</f>
        <v>2010</v>
      </c>
      <c r="F15" s="1045">
        <f>+F6</f>
        <v>2011</v>
      </c>
      <c r="G15" s="1045">
        <f>+G6</f>
        <v>2012</v>
      </c>
      <c r="H15" s="1045">
        <f>+H6</f>
        <v>2013</v>
      </c>
      <c r="I15" s="1045">
        <f t="shared" ref="I15:Q15" si="6">+I6</f>
        <v>2014</v>
      </c>
      <c r="J15" s="1045">
        <f t="shared" si="6"/>
        <v>2015</v>
      </c>
      <c r="K15" s="1045">
        <f t="shared" si="6"/>
        <v>2016</v>
      </c>
      <c r="L15" s="1045">
        <f t="shared" si="6"/>
        <v>2017</v>
      </c>
      <c r="M15" s="1045">
        <f t="shared" si="6"/>
        <v>2018</v>
      </c>
      <c r="N15" s="1045">
        <f t="shared" si="6"/>
        <v>2019</v>
      </c>
      <c r="O15" s="1045">
        <f t="shared" si="6"/>
        <v>2020</v>
      </c>
      <c r="P15" s="1045">
        <f t="shared" si="6"/>
        <v>2021</v>
      </c>
      <c r="Q15" s="1045">
        <f t="shared" si="6"/>
        <v>2022</v>
      </c>
      <c r="R15" s="1045">
        <f>+R6</f>
        <v>2023</v>
      </c>
      <c r="S15" s="1045">
        <f>+S6</f>
        <v>2024</v>
      </c>
      <c r="T15" s="1045">
        <f>+T6</f>
        <v>2025</v>
      </c>
      <c r="AY15" s="1056"/>
      <c r="AZ15" s="1065"/>
      <c r="BA15" s="1056"/>
      <c r="BB15" s="1056"/>
      <c r="BC15" s="1056"/>
      <c r="BD15" s="1056"/>
      <c r="BG15" s="1067"/>
    </row>
    <row r="16" spans="1:88" ht="11.25" customHeight="1" x14ac:dyDescent="0.2">
      <c r="A16" s="1040"/>
      <c r="B16" s="1048"/>
      <c r="C16" s="1049"/>
      <c r="D16" s="1049"/>
      <c r="E16" s="1049"/>
      <c r="F16" s="1049"/>
      <c r="G16" s="1049"/>
      <c r="H16" s="1068"/>
      <c r="I16" s="1068"/>
      <c r="J16" s="1069"/>
      <c r="K16" s="1069"/>
      <c r="L16" s="1069"/>
      <c r="M16" s="1069"/>
      <c r="N16" s="1069"/>
      <c r="O16" s="1069"/>
      <c r="P16" s="1069"/>
      <c r="Q16" s="1069"/>
      <c r="R16" s="1069"/>
      <c r="S16" s="1069"/>
      <c r="T16" s="1069"/>
      <c r="AY16" s="1056"/>
      <c r="AZ16" s="1070"/>
      <c r="BA16" s="1056"/>
      <c r="BB16" s="1056"/>
      <c r="BC16" s="1056"/>
      <c r="BD16" s="1056"/>
      <c r="BG16" s="1066"/>
    </row>
    <row r="17" spans="1:91" ht="15" customHeight="1" x14ac:dyDescent="0.2">
      <c r="A17" s="1040"/>
      <c r="B17" s="1071" t="s">
        <v>367</v>
      </c>
      <c r="C17" s="1072" t="s">
        <v>416</v>
      </c>
      <c r="D17" s="1073"/>
      <c r="E17" s="1073"/>
      <c r="F17" s="1073"/>
      <c r="G17" s="1073"/>
      <c r="H17" s="1069"/>
      <c r="I17" s="1069"/>
      <c r="J17" s="1069"/>
      <c r="K17" s="1069"/>
      <c r="L17" s="1069"/>
      <c r="M17" s="1069"/>
      <c r="N17" s="1069"/>
      <c r="O17" s="1069"/>
      <c r="P17" s="1069"/>
      <c r="Q17" s="1069"/>
      <c r="R17" s="1069"/>
      <c r="S17" s="1069"/>
      <c r="T17" s="1069"/>
      <c r="AY17" s="1056"/>
      <c r="AZ17" s="1074"/>
      <c r="BA17" s="1056"/>
      <c r="BB17" s="1056"/>
      <c r="BC17" s="1075"/>
      <c r="BD17" s="1056"/>
      <c r="BG17" s="1076"/>
    </row>
    <row r="18" spans="1:91" ht="7.5" customHeight="1" x14ac:dyDescent="0.2">
      <c r="A18" s="1040"/>
      <c r="B18" s="1048"/>
      <c r="C18" s="1049"/>
      <c r="D18" s="1049"/>
      <c r="E18" s="1049"/>
      <c r="F18" s="1049"/>
      <c r="G18" s="1049"/>
      <c r="H18" s="966"/>
      <c r="I18" s="966"/>
      <c r="J18" s="967"/>
      <c r="K18" s="967"/>
      <c r="L18" s="967"/>
      <c r="M18" s="967"/>
      <c r="N18" s="967"/>
      <c r="O18" s="967"/>
      <c r="P18" s="967"/>
      <c r="Q18" s="967"/>
      <c r="R18" s="967"/>
      <c r="S18" s="967"/>
      <c r="T18" s="967"/>
      <c r="AY18" s="1077" t="s">
        <v>245</v>
      </c>
      <c r="AZ18" s="1070"/>
      <c r="BG18" s="1066"/>
    </row>
    <row r="19" spans="1:91" outlineLevel="1" x14ac:dyDescent="0.2">
      <c r="A19" s="1040"/>
      <c r="B19" s="1048"/>
      <c r="C19" s="1028" t="s">
        <v>122</v>
      </c>
      <c r="D19" s="966">
        <v>5</v>
      </c>
      <c r="E19" s="966">
        <v>5</v>
      </c>
      <c r="F19" s="966">
        <v>2</v>
      </c>
      <c r="G19" s="966">
        <v>4</v>
      </c>
      <c r="H19" s="966">
        <v>3</v>
      </c>
      <c r="I19" s="966">
        <v>3</v>
      </c>
      <c r="J19" s="966">
        <v>2</v>
      </c>
      <c r="K19" s="966">
        <v>2</v>
      </c>
      <c r="L19" s="967">
        <f>K19+K19*(-(K8-J8))*K9*100</f>
        <v>1.9500000000000002</v>
      </c>
      <c r="M19" s="967">
        <f t="shared" ref="M19:T19" si="7">L19+L19*(-(L8-K8))*L9*100</f>
        <v>1.9500000000000002</v>
      </c>
      <c r="N19" s="967">
        <f t="shared" si="7"/>
        <v>1.9500000000000002</v>
      </c>
      <c r="O19" s="967">
        <f t="shared" si="7"/>
        <v>1.9500000000000002</v>
      </c>
      <c r="P19" s="967">
        <f t="shared" si="7"/>
        <v>1.9500000000000002</v>
      </c>
      <c r="Q19" s="967">
        <f t="shared" si="7"/>
        <v>1.9500000000000002</v>
      </c>
      <c r="R19" s="967">
        <f t="shared" si="7"/>
        <v>1.9500000000000002</v>
      </c>
      <c r="S19" s="967">
        <f t="shared" si="7"/>
        <v>1.9500000000000002</v>
      </c>
      <c r="T19" s="967">
        <f t="shared" si="7"/>
        <v>1.9500000000000002</v>
      </c>
      <c r="U19" s="1078"/>
      <c r="AN19" s="972" t="s">
        <v>395</v>
      </c>
      <c r="AY19" s="1079" t="s">
        <v>245</v>
      </c>
      <c r="AZ19" s="1070"/>
      <c r="BA19" s="1047"/>
      <c r="BB19" s="1047"/>
      <c r="BG19" s="973">
        <f>_xll.ThomsonONEAddinShim.SpreadsheetFormulas.TF(Sedol,$AN19,"dataDir=across",trSdate,trEdate,Currency_ISOcode)</f>
        <v>5</v>
      </c>
      <c r="BH19" s="1080">
        <v>5</v>
      </c>
      <c r="BI19" s="1080">
        <v>2</v>
      </c>
      <c r="BJ19" s="1080">
        <v>4</v>
      </c>
      <c r="BK19" s="1080">
        <v>3</v>
      </c>
      <c r="BL19" s="1080">
        <v>3</v>
      </c>
      <c r="BM19" s="1080">
        <v>2</v>
      </c>
      <c r="BN19" s="1080">
        <v>2</v>
      </c>
    </row>
    <row r="20" spans="1:91" outlineLevel="1" x14ac:dyDescent="0.2">
      <c r="A20" s="1040"/>
      <c r="B20" s="1048"/>
      <c r="C20" s="1028" t="s">
        <v>124</v>
      </c>
      <c r="D20" s="966">
        <v>0</v>
      </c>
      <c r="E20" s="966">
        <v>0</v>
      </c>
      <c r="F20" s="966">
        <v>-1</v>
      </c>
      <c r="G20" s="966">
        <v>-1</v>
      </c>
      <c r="H20" s="966">
        <v>-1</v>
      </c>
      <c r="I20" s="966">
        <v>-1</v>
      </c>
      <c r="J20" s="966">
        <v>-1</v>
      </c>
      <c r="K20" s="966">
        <v>0</v>
      </c>
      <c r="L20" s="967">
        <f t="shared" ref="L20:T20" si="8">+K20</f>
        <v>0</v>
      </c>
      <c r="M20" s="967">
        <f t="shared" si="8"/>
        <v>0</v>
      </c>
      <c r="N20" s="967">
        <f t="shared" si="8"/>
        <v>0</v>
      </c>
      <c r="O20" s="967">
        <f t="shared" si="8"/>
        <v>0</v>
      </c>
      <c r="P20" s="967">
        <f t="shared" si="8"/>
        <v>0</v>
      </c>
      <c r="Q20" s="967">
        <f t="shared" si="8"/>
        <v>0</v>
      </c>
      <c r="R20" s="967">
        <f t="shared" si="8"/>
        <v>0</v>
      </c>
      <c r="S20" s="967">
        <f t="shared" si="8"/>
        <v>0</v>
      </c>
      <c r="T20" s="967">
        <f t="shared" si="8"/>
        <v>0</v>
      </c>
      <c r="U20" s="1078"/>
      <c r="AN20" s="975" t="s">
        <v>70</v>
      </c>
      <c r="AY20" s="1079" t="s">
        <v>339</v>
      </c>
      <c r="BG20" s="973">
        <f>_xll.ThomsonONEAddinShim.SpreadsheetFormulas.TF(Sedol,$AN20,"dataDir=across",trSdate,trEdate,Currency_ISOcode)</f>
        <v>0</v>
      </c>
      <c r="BH20" s="1080">
        <v>0</v>
      </c>
      <c r="BI20" s="1080">
        <v>-1</v>
      </c>
      <c r="BJ20" s="1080">
        <v>-1</v>
      </c>
      <c r="BK20" s="1080">
        <v>-1</v>
      </c>
      <c r="BL20" s="1080">
        <v>-1</v>
      </c>
      <c r="BM20" s="1080">
        <v>-1</v>
      </c>
      <c r="BN20" s="1080">
        <v>0</v>
      </c>
    </row>
    <row r="21" spans="1:91" outlineLevel="1" x14ac:dyDescent="0.2">
      <c r="A21" s="1040"/>
      <c r="B21" s="1048"/>
      <c r="C21" s="1028" t="s">
        <v>125</v>
      </c>
      <c r="D21" s="966">
        <v>25</v>
      </c>
      <c r="E21" s="966">
        <v>20</v>
      </c>
      <c r="F21" s="966">
        <v>11</v>
      </c>
      <c r="G21" s="966">
        <v>16</v>
      </c>
      <c r="H21" s="966">
        <v>13</v>
      </c>
      <c r="I21" s="966">
        <v>13</v>
      </c>
      <c r="J21" s="966">
        <v>12</v>
      </c>
      <c r="K21" s="966">
        <v>12</v>
      </c>
      <c r="L21" s="967">
        <f t="shared" ref="L21:T21" si="9">+K35*K8</f>
        <v>10.548999999999999</v>
      </c>
      <c r="M21" s="967">
        <f t="shared" si="9"/>
        <v>11.030211499999998</v>
      </c>
      <c r="N21" s="967">
        <f t="shared" si="9"/>
        <v>11.529949642749999</v>
      </c>
      <c r="O21" s="967">
        <f t="shared" si="9"/>
        <v>12.048927703995874</v>
      </c>
      <c r="P21" s="967">
        <f t="shared" si="9"/>
        <v>12.587886420599714</v>
      </c>
      <c r="Q21" s="967">
        <f t="shared" si="9"/>
        <v>13.147595047792803</v>
      </c>
      <c r="R21" s="967">
        <f t="shared" si="9"/>
        <v>13.728852457132826</v>
      </c>
      <c r="S21" s="967">
        <f t="shared" si="9"/>
        <v>14.332488276732438</v>
      </c>
      <c r="T21" s="967">
        <f t="shared" si="9"/>
        <v>14.959364075386635</v>
      </c>
      <c r="U21" s="1078"/>
      <c r="AN21" s="972" t="s">
        <v>71</v>
      </c>
      <c r="AY21" s="1081" t="s">
        <v>72</v>
      </c>
      <c r="AZ21" s="1082">
        <f>MATCH($AY$18,AY19:AY20,0)</f>
        <v>1</v>
      </c>
      <c r="BA21" s="1032"/>
      <c r="BG21" s="973">
        <f>_xll.ThomsonONEAddinShim.SpreadsheetFormulas.TF(Sedol,$AN21,"dataDir=across",trSdate,trEdate,Currency_ISOcode)</f>
        <v>25</v>
      </c>
      <c r="BH21" s="1080">
        <v>20</v>
      </c>
      <c r="BI21" s="1080">
        <v>11</v>
      </c>
      <c r="BJ21" s="1080">
        <v>16</v>
      </c>
      <c r="BK21" s="1080">
        <v>13</v>
      </c>
      <c r="BL21" s="1080">
        <v>13</v>
      </c>
      <c r="BM21" s="1080">
        <v>12</v>
      </c>
      <c r="BN21" s="1080">
        <v>12</v>
      </c>
    </row>
    <row r="22" spans="1:91" outlineLevel="1" x14ac:dyDescent="0.2">
      <c r="A22" s="1040"/>
      <c r="B22" s="1048"/>
      <c r="C22" s="1028" t="s">
        <v>250</v>
      </c>
      <c r="D22" s="966">
        <v>0</v>
      </c>
      <c r="E22" s="966">
        <v>0</v>
      </c>
      <c r="F22" s="966">
        <v>0</v>
      </c>
      <c r="G22" s="966">
        <v>0</v>
      </c>
      <c r="H22" s="966">
        <v>0</v>
      </c>
      <c r="I22" s="966">
        <v>0</v>
      </c>
      <c r="J22" s="966">
        <v>0</v>
      </c>
      <c r="K22" s="966">
        <v>0</v>
      </c>
      <c r="L22" s="967">
        <f t="shared" ref="L22:T22" si="10">-K42*L11</f>
        <v>0</v>
      </c>
      <c r="M22" s="967">
        <f t="shared" si="10"/>
        <v>0</v>
      </c>
      <c r="N22" s="967">
        <f t="shared" si="10"/>
        <v>0</v>
      </c>
      <c r="O22" s="967">
        <f t="shared" si="10"/>
        <v>0</v>
      </c>
      <c r="P22" s="967">
        <f t="shared" si="10"/>
        <v>0</v>
      </c>
      <c r="Q22" s="967">
        <f t="shared" si="10"/>
        <v>0</v>
      </c>
      <c r="R22" s="967">
        <f t="shared" si="10"/>
        <v>0</v>
      </c>
      <c r="S22" s="967">
        <f t="shared" si="10"/>
        <v>0</v>
      </c>
      <c r="T22" s="967">
        <f t="shared" si="10"/>
        <v>0</v>
      </c>
      <c r="U22" s="1078"/>
      <c r="AN22" s="975" t="s">
        <v>73</v>
      </c>
      <c r="AY22" s="1043"/>
      <c r="AZ22" s="1043"/>
      <c r="BA22" s="1043"/>
      <c r="BB22" s="1043"/>
      <c r="BG22" s="973">
        <f>_xll.ThomsonONEAddinShim.SpreadsheetFormulas.TF(Sedol,$AN22,"dataDir=across",trSdate,trEdate,Currency_ISOcode)</f>
        <v>0</v>
      </c>
      <c r="BH22" s="1080">
        <v>0</v>
      </c>
      <c r="BI22" s="1080">
        <v>0</v>
      </c>
      <c r="BJ22" s="1080">
        <v>0</v>
      </c>
      <c r="BK22" s="1080">
        <v>0</v>
      </c>
      <c r="BL22" s="1080">
        <v>0</v>
      </c>
      <c r="BM22" s="1080">
        <v>0</v>
      </c>
      <c r="BN22" s="1080">
        <v>0</v>
      </c>
    </row>
    <row r="23" spans="1:91" s="1031" customFormat="1" ht="12.75" hidden="1" customHeight="1" outlineLevel="1" x14ac:dyDescent="0.2">
      <c r="A23" s="1040"/>
      <c r="B23" s="1041"/>
      <c r="C23" s="1034" t="s">
        <v>340</v>
      </c>
      <c r="D23" s="1068">
        <f t="shared" ref="D23:J23" si="11">IF(ISNUMBER(D26-SUM(D19:D22)),D26-SUM(D19:D22),0)</f>
        <v>4</v>
      </c>
      <c r="E23" s="1068">
        <f t="shared" si="11"/>
        <v>7</v>
      </c>
      <c r="F23" s="1068">
        <f t="shared" si="11"/>
        <v>7</v>
      </c>
      <c r="G23" s="1068">
        <f t="shared" si="11"/>
        <v>9</v>
      </c>
      <c r="H23" s="1083">
        <f t="shared" si="11"/>
        <v>14</v>
      </c>
      <c r="I23" s="1083">
        <f t="shared" si="11"/>
        <v>13</v>
      </c>
      <c r="J23" s="1083">
        <f t="shared" si="11"/>
        <v>4</v>
      </c>
      <c r="K23" s="1083">
        <f>IF(ISNUMBER(K26-SUM(K19:K22)),K26-SUM(K19:K22),0)</f>
        <v>3</v>
      </c>
      <c r="L23" s="966">
        <f>((L32+(-L22-K42*L12)))</f>
        <v>0</v>
      </c>
      <c r="M23" s="966">
        <f t="shared" ref="M23:T23" si="12">((M32+(-M22-L42*M12)))</f>
        <v>0</v>
      </c>
      <c r="N23" s="966">
        <f t="shared" si="12"/>
        <v>0</v>
      </c>
      <c r="O23" s="966">
        <f t="shared" si="12"/>
        <v>0</v>
      </c>
      <c r="P23" s="966">
        <f t="shared" si="12"/>
        <v>0</v>
      </c>
      <c r="Q23" s="966">
        <f t="shared" si="12"/>
        <v>0</v>
      </c>
      <c r="R23" s="966">
        <f t="shared" si="12"/>
        <v>0</v>
      </c>
      <c r="S23" s="966">
        <f t="shared" si="12"/>
        <v>0</v>
      </c>
      <c r="T23" s="966">
        <f t="shared" si="12"/>
        <v>0</v>
      </c>
      <c r="U23" s="1084"/>
      <c r="V23" s="1085"/>
      <c r="AB23"/>
      <c r="AC23"/>
      <c r="AD23"/>
      <c r="AE23"/>
      <c r="AF23"/>
      <c r="AG23"/>
      <c r="AN23" s="975"/>
      <c r="BG23" s="973"/>
    </row>
    <row r="24" spans="1:91" s="1031" customFormat="1" ht="12.75" customHeight="1" outlineLevel="1" x14ac:dyDescent="0.2">
      <c r="A24" s="1040"/>
      <c r="B24" s="1041"/>
      <c r="C24" s="1034" t="s">
        <v>342</v>
      </c>
      <c r="D24" s="966">
        <f t="shared" ref="D24:J24" si="13">IF(ISNUMBER(D26-SUM(D19:D22)),D26-SUM(D19:D22),0)</f>
        <v>4</v>
      </c>
      <c r="E24" s="966">
        <f t="shared" si="13"/>
        <v>7</v>
      </c>
      <c r="F24" s="966">
        <f t="shared" si="13"/>
        <v>7</v>
      </c>
      <c r="G24" s="966">
        <f t="shared" si="13"/>
        <v>9</v>
      </c>
      <c r="H24" s="966">
        <f t="shared" si="13"/>
        <v>14</v>
      </c>
      <c r="I24" s="966">
        <f t="shared" si="13"/>
        <v>13</v>
      </c>
      <c r="J24" s="966">
        <f t="shared" si="13"/>
        <v>4</v>
      </c>
      <c r="K24" s="966">
        <f>IF(ISNUMBER(K26-SUM(K19:K22)),K26-SUM(K19:K22),0)</f>
        <v>3</v>
      </c>
      <c r="L24" s="966">
        <f>K24+((K32+(-K22-J42*K12))/K10)</f>
        <v>3</v>
      </c>
      <c r="M24" s="966">
        <f t="shared" ref="M24:T24" si="14">L24+((L32+(-L22-K42*L12))/L10)</f>
        <v>3</v>
      </c>
      <c r="N24" s="966">
        <f t="shared" si="14"/>
        <v>3</v>
      </c>
      <c r="O24" s="966">
        <f t="shared" si="14"/>
        <v>3</v>
      </c>
      <c r="P24" s="966">
        <f t="shared" si="14"/>
        <v>3</v>
      </c>
      <c r="Q24" s="966">
        <f t="shared" si="14"/>
        <v>3</v>
      </c>
      <c r="R24" s="966">
        <f t="shared" si="14"/>
        <v>3</v>
      </c>
      <c r="S24" s="966">
        <f t="shared" si="14"/>
        <v>3</v>
      </c>
      <c r="T24" s="966">
        <f t="shared" si="14"/>
        <v>3</v>
      </c>
      <c r="U24" s="1028"/>
      <c r="V24" s="1028" t="b">
        <v>0</v>
      </c>
      <c r="AB24"/>
      <c r="AC24"/>
      <c r="AD24"/>
      <c r="AE24"/>
      <c r="AF24"/>
      <c r="AG24"/>
      <c r="AN24" s="975"/>
      <c r="AV24" s="1087" t="s">
        <v>341</v>
      </c>
      <c r="BG24" s="973"/>
    </row>
    <row r="25" spans="1:91" x14ac:dyDescent="0.2">
      <c r="A25" s="1040"/>
      <c r="B25" s="1048"/>
      <c r="C25" s="1088" t="s">
        <v>398</v>
      </c>
      <c r="D25" s="977">
        <f t="shared" ref="D25:J25" si="15">CHOOSE(dropDown2,SUM(D19:D22)+D24,SUM(D19:D23))</f>
        <v>34</v>
      </c>
      <c r="E25" s="977">
        <f t="shared" si="15"/>
        <v>32</v>
      </c>
      <c r="F25" s="977">
        <f t="shared" si="15"/>
        <v>19</v>
      </c>
      <c r="G25" s="977">
        <f t="shared" si="15"/>
        <v>28</v>
      </c>
      <c r="H25" s="977">
        <f t="shared" si="15"/>
        <v>29</v>
      </c>
      <c r="I25" s="977">
        <f t="shared" si="15"/>
        <v>28</v>
      </c>
      <c r="J25" s="977">
        <f t="shared" si="15"/>
        <v>17</v>
      </c>
      <c r="K25" s="977">
        <f t="shared" ref="K25:T25" si="16">CHOOSE(dropDown2,SUM(K19:K22)+K24,SUM(K19:K23))</f>
        <v>17</v>
      </c>
      <c r="L25" s="978">
        <f t="shared" si="16"/>
        <v>15.498999999999999</v>
      </c>
      <c r="M25" s="978">
        <f t="shared" si="16"/>
        <v>15.980211499999999</v>
      </c>
      <c r="N25" s="978">
        <f t="shared" si="16"/>
        <v>16.47994964275</v>
      </c>
      <c r="O25" s="978">
        <f t="shared" si="16"/>
        <v>16.998927703995875</v>
      </c>
      <c r="P25" s="978">
        <f t="shared" si="16"/>
        <v>17.537886420599715</v>
      </c>
      <c r="Q25" s="978">
        <f t="shared" si="16"/>
        <v>18.097595047792804</v>
      </c>
      <c r="R25" s="978">
        <f t="shared" si="16"/>
        <v>18.678852457132827</v>
      </c>
      <c r="S25" s="978">
        <f t="shared" si="16"/>
        <v>19.282488276732437</v>
      </c>
      <c r="T25" s="978">
        <f t="shared" si="16"/>
        <v>19.909364075386634</v>
      </c>
      <c r="AN25" s="975"/>
      <c r="AV25" s="1086" t="s">
        <v>594</v>
      </c>
      <c r="AW25" s="1069">
        <v>6</v>
      </c>
      <c r="AX25" s="1028" t="str">
        <f>"ISO4217:"&amp;Pension!$AQ$186</f>
        <v>ISO4217:USD</v>
      </c>
      <c r="AY25" s="1028" t="b">
        <v>1</v>
      </c>
      <c r="AZ25" s="1028" t="b">
        <v>0</v>
      </c>
      <c r="BG25" s="977"/>
    </row>
    <row r="26" spans="1:91" x14ac:dyDescent="0.2">
      <c r="A26" s="1040"/>
      <c r="B26" s="1048"/>
      <c r="C26" s="1049"/>
      <c r="D26" s="980">
        <v>34</v>
      </c>
      <c r="E26" s="1089">
        <v>32</v>
      </c>
      <c r="F26" s="1089">
        <v>19</v>
      </c>
      <c r="G26" s="1089">
        <v>28</v>
      </c>
      <c r="H26" s="1090">
        <v>29</v>
      </c>
      <c r="I26" s="980">
        <v>28</v>
      </c>
      <c r="J26" s="981">
        <v>17</v>
      </c>
      <c r="K26" s="981">
        <v>17</v>
      </c>
      <c r="L26" s="981"/>
      <c r="M26" s="981"/>
      <c r="N26" s="981"/>
      <c r="O26" s="981"/>
      <c r="P26" s="981"/>
      <c r="Q26" s="981"/>
      <c r="R26" s="981"/>
      <c r="S26" s="981"/>
      <c r="T26" s="981"/>
      <c r="U26" s="1078"/>
      <c r="AN26" s="975" t="s">
        <v>399</v>
      </c>
      <c r="BG26" s="982">
        <f>_xll.ThomsonONEAddinShim.SpreadsheetFormulas.TF(Sedol,$AN26,"dataDir=across",trSdate,trEdate,Currency_ISOcode)</f>
        <v>34</v>
      </c>
      <c r="BH26" s="1080">
        <v>32</v>
      </c>
      <c r="BI26" s="1080">
        <v>19</v>
      </c>
      <c r="BJ26" s="1080">
        <v>28</v>
      </c>
      <c r="BK26" s="1080">
        <v>29</v>
      </c>
      <c r="BL26" s="1080">
        <v>28</v>
      </c>
      <c r="BM26" s="1080">
        <v>17</v>
      </c>
      <c r="BN26" s="1080">
        <v>17</v>
      </c>
      <c r="CC26" s="1091"/>
    </row>
    <row r="27" spans="1:91" x14ac:dyDescent="0.2">
      <c r="A27" s="1040"/>
      <c r="B27" s="1071" t="s">
        <v>54</v>
      </c>
      <c r="C27" s="1072" t="s">
        <v>318</v>
      </c>
      <c r="D27" s="1073"/>
      <c r="E27" s="1073"/>
      <c r="F27" s="1073"/>
      <c r="G27" s="1073"/>
      <c r="H27" s="966"/>
      <c r="I27" s="966"/>
      <c r="J27" s="967"/>
      <c r="K27" s="967"/>
      <c r="L27" s="967"/>
      <c r="M27" s="967"/>
      <c r="N27" s="967"/>
      <c r="O27" s="967"/>
      <c r="P27" s="967"/>
      <c r="Q27" s="967"/>
      <c r="R27" s="967"/>
      <c r="S27" s="967"/>
      <c r="T27" s="967"/>
      <c r="BG27" s="1076"/>
      <c r="CC27" s="1031"/>
      <c r="CD27" s="1092"/>
      <c r="CE27" s="1093"/>
      <c r="CF27" s="1093"/>
      <c r="CG27" s="1093"/>
      <c r="CH27" s="1093"/>
      <c r="CI27" s="1093"/>
      <c r="CJ27" s="1093"/>
      <c r="CM27" s="983"/>
    </row>
    <row r="28" spans="1:91" ht="7.5" customHeight="1" x14ac:dyDescent="0.2">
      <c r="A28" s="1040"/>
      <c r="B28" s="1048"/>
      <c r="C28" s="1049"/>
      <c r="D28" s="1049"/>
      <c r="E28" s="1049"/>
      <c r="F28" s="1049"/>
      <c r="G28" s="1049"/>
      <c r="H28" s="966"/>
      <c r="I28" s="966"/>
      <c r="J28" s="967"/>
      <c r="K28" s="967"/>
      <c r="L28" s="967"/>
      <c r="M28" s="967"/>
      <c r="N28" s="967"/>
      <c r="O28" s="967"/>
      <c r="P28" s="967"/>
      <c r="Q28" s="967"/>
      <c r="R28" s="967"/>
      <c r="S28" s="967"/>
      <c r="T28" s="967"/>
      <c r="BG28" s="1066"/>
      <c r="CC28" s="1031"/>
      <c r="CD28" s="1092"/>
      <c r="CE28" s="1093"/>
      <c r="CF28" s="1093"/>
      <c r="CG28" s="1093"/>
      <c r="CH28" s="1093"/>
      <c r="CI28" s="1093"/>
      <c r="CJ28" s="1093"/>
      <c r="CM28" s="983"/>
    </row>
    <row r="29" spans="1:91" outlineLevel="1" x14ac:dyDescent="0.2">
      <c r="A29" s="1040"/>
      <c r="B29" s="1048"/>
      <c r="C29" s="1028" t="s">
        <v>55</v>
      </c>
      <c r="D29" s="966">
        <v>373</v>
      </c>
      <c r="E29" s="966">
        <f t="shared" ref="E29:J29" si="17">D35</f>
        <v>406</v>
      </c>
      <c r="F29" s="966">
        <f t="shared" si="17"/>
        <v>383</v>
      </c>
      <c r="G29" s="966">
        <f t="shared" si="17"/>
        <v>388</v>
      </c>
      <c r="H29" s="966">
        <f t="shared" si="17"/>
        <v>415</v>
      </c>
      <c r="I29" s="966">
        <f t="shared" si="17"/>
        <v>350</v>
      </c>
      <c r="J29" s="966">
        <f t="shared" si="17"/>
        <v>340</v>
      </c>
      <c r="K29" s="966">
        <f>J35</f>
        <v>314</v>
      </c>
      <c r="L29" s="966">
        <f t="shared" ref="L29:T29" si="18">+K35</f>
        <v>274</v>
      </c>
      <c r="M29" s="966">
        <f t="shared" si="18"/>
        <v>286.49899999999997</v>
      </c>
      <c r="N29" s="966">
        <f t="shared" si="18"/>
        <v>299.47921149999996</v>
      </c>
      <c r="O29" s="966">
        <f t="shared" si="18"/>
        <v>312.95916114274996</v>
      </c>
      <c r="P29" s="966">
        <f t="shared" si="18"/>
        <v>326.95808884674585</v>
      </c>
      <c r="Q29" s="966">
        <f t="shared" si="18"/>
        <v>341.49597526734556</v>
      </c>
      <c r="R29" s="966">
        <f t="shared" si="18"/>
        <v>356.59357031513832</v>
      </c>
      <c r="S29" s="966">
        <f t="shared" si="18"/>
        <v>372.27242277227111</v>
      </c>
      <c r="T29" s="966">
        <f t="shared" si="18"/>
        <v>388.55491104900352</v>
      </c>
      <c r="AN29" s="983" t="s">
        <v>400</v>
      </c>
      <c r="BG29" s="973">
        <f>_xll.ThomsonONEAddinShim.SpreadsheetFormulas.TF(Sedol,$AN29,,Pension!$AZ$11,Currency_ISOcode)</f>
        <v>373</v>
      </c>
      <c r="CC29" s="1031"/>
      <c r="CD29" s="1092"/>
      <c r="CE29" s="1093"/>
      <c r="CF29" s="1093"/>
      <c r="CG29" s="1093"/>
      <c r="CH29" s="1093"/>
      <c r="CI29" s="1093"/>
      <c r="CJ29" s="1093"/>
      <c r="CM29" s="983"/>
    </row>
    <row r="30" spans="1:91" outlineLevel="1" x14ac:dyDescent="0.2">
      <c r="A30" s="1040"/>
      <c r="B30" s="1048"/>
      <c r="C30" s="1028" t="s">
        <v>122</v>
      </c>
      <c r="D30" s="966">
        <f>D19</f>
        <v>5</v>
      </c>
      <c r="E30" s="966">
        <f t="shared" ref="E30:J30" si="19">E19</f>
        <v>5</v>
      </c>
      <c r="F30" s="966">
        <f t="shared" si="19"/>
        <v>2</v>
      </c>
      <c r="G30" s="966">
        <f t="shared" si="19"/>
        <v>4</v>
      </c>
      <c r="H30" s="966">
        <f t="shared" si="19"/>
        <v>3</v>
      </c>
      <c r="I30" s="966">
        <f t="shared" si="19"/>
        <v>3</v>
      </c>
      <c r="J30" s="966">
        <f t="shared" si="19"/>
        <v>2</v>
      </c>
      <c r="K30" s="966">
        <f>K19</f>
        <v>2</v>
      </c>
      <c r="L30" s="966">
        <f t="shared" ref="L30:T30" si="20">+L19</f>
        <v>1.9500000000000002</v>
      </c>
      <c r="M30" s="966">
        <f t="shared" si="20"/>
        <v>1.9500000000000002</v>
      </c>
      <c r="N30" s="966">
        <f t="shared" si="20"/>
        <v>1.9500000000000002</v>
      </c>
      <c r="O30" s="966">
        <f t="shared" si="20"/>
        <v>1.9500000000000002</v>
      </c>
      <c r="P30" s="966">
        <f t="shared" si="20"/>
        <v>1.9500000000000002</v>
      </c>
      <c r="Q30" s="966">
        <f t="shared" si="20"/>
        <v>1.9500000000000002</v>
      </c>
      <c r="R30" s="966">
        <f t="shared" si="20"/>
        <v>1.9500000000000002</v>
      </c>
      <c r="S30" s="966">
        <f t="shared" si="20"/>
        <v>1.9500000000000002</v>
      </c>
      <c r="T30" s="966">
        <f t="shared" si="20"/>
        <v>1.9500000000000002</v>
      </c>
      <c r="BG30" s="973"/>
      <c r="CC30" s="1031"/>
      <c r="CD30" s="1092"/>
      <c r="CE30" s="1093"/>
      <c r="CF30" s="1093"/>
      <c r="CG30" s="1093"/>
      <c r="CH30" s="1093"/>
      <c r="CI30" s="1093"/>
      <c r="CJ30" s="1093"/>
      <c r="CM30" s="983"/>
    </row>
    <row r="31" spans="1:91" outlineLevel="1" x14ac:dyDescent="0.2">
      <c r="A31" s="1040"/>
      <c r="B31" s="1048"/>
      <c r="C31" s="1028" t="s">
        <v>125</v>
      </c>
      <c r="D31" s="966">
        <f>D21</f>
        <v>25</v>
      </c>
      <c r="E31" s="966">
        <f t="shared" ref="E31:J31" si="21">E21</f>
        <v>20</v>
      </c>
      <c r="F31" s="966">
        <f t="shared" si="21"/>
        <v>11</v>
      </c>
      <c r="G31" s="966">
        <f t="shared" si="21"/>
        <v>16</v>
      </c>
      <c r="H31" s="966">
        <f t="shared" si="21"/>
        <v>13</v>
      </c>
      <c r="I31" s="966">
        <f t="shared" si="21"/>
        <v>13</v>
      </c>
      <c r="J31" s="966">
        <f t="shared" si="21"/>
        <v>12</v>
      </c>
      <c r="K31" s="966">
        <f>K21</f>
        <v>12</v>
      </c>
      <c r="L31" s="966">
        <f t="shared" ref="L31:T31" si="22">+L21</f>
        <v>10.548999999999999</v>
      </c>
      <c r="M31" s="966">
        <f t="shared" si="22"/>
        <v>11.030211499999998</v>
      </c>
      <c r="N31" s="966">
        <f t="shared" si="22"/>
        <v>11.529949642749999</v>
      </c>
      <c r="O31" s="966">
        <f t="shared" si="22"/>
        <v>12.048927703995874</v>
      </c>
      <c r="P31" s="966">
        <f t="shared" si="22"/>
        <v>12.587886420599714</v>
      </c>
      <c r="Q31" s="966">
        <f t="shared" si="22"/>
        <v>13.147595047792803</v>
      </c>
      <c r="R31" s="966">
        <f t="shared" si="22"/>
        <v>13.728852457132826</v>
      </c>
      <c r="S31" s="966">
        <f t="shared" si="22"/>
        <v>14.332488276732438</v>
      </c>
      <c r="T31" s="966">
        <f t="shared" si="22"/>
        <v>14.959364075386635</v>
      </c>
      <c r="BG31" s="973"/>
      <c r="CC31" s="1031"/>
      <c r="CD31" s="1092"/>
      <c r="CE31" s="1093"/>
      <c r="CF31" s="1093"/>
      <c r="CG31" s="1093"/>
      <c r="CH31" s="1093"/>
      <c r="CI31" s="1093"/>
      <c r="CJ31" s="1093"/>
      <c r="CM31" s="983"/>
    </row>
    <row r="32" spans="1:91" outlineLevel="1" x14ac:dyDescent="0.2">
      <c r="A32" s="1040"/>
      <c r="B32" s="1048"/>
      <c r="C32" s="1028" t="s">
        <v>57</v>
      </c>
      <c r="D32" s="985"/>
      <c r="E32" s="985"/>
      <c r="F32" s="985"/>
      <c r="G32" s="985"/>
      <c r="H32" s="985"/>
      <c r="I32" s="985"/>
      <c r="J32" s="985"/>
      <c r="K32" s="985"/>
      <c r="L32" s="966">
        <f t="shared" ref="L32:T32" si="23">K35*(-(L8-K8))*L9*100</f>
        <v>0</v>
      </c>
      <c r="M32" s="966">
        <f t="shared" si="23"/>
        <v>0</v>
      </c>
      <c r="N32" s="966">
        <f t="shared" si="23"/>
        <v>0</v>
      </c>
      <c r="O32" s="966">
        <f t="shared" si="23"/>
        <v>0</v>
      </c>
      <c r="P32" s="966">
        <f t="shared" si="23"/>
        <v>0</v>
      </c>
      <c r="Q32" s="966">
        <f t="shared" si="23"/>
        <v>0</v>
      </c>
      <c r="R32" s="966">
        <f t="shared" si="23"/>
        <v>0</v>
      </c>
      <c r="S32" s="966">
        <f t="shared" si="23"/>
        <v>0</v>
      </c>
      <c r="T32" s="966">
        <f t="shared" si="23"/>
        <v>0</v>
      </c>
      <c r="BG32" s="966"/>
      <c r="CC32" s="1091"/>
      <c r="CD32" s="1093"/>
      <c r="CE32" s="1093"/>
      <c r="CF32" s="1093"/>
      <c r="CG32" s="1093"/>
      <c r="CH32" s="1093"/>
      <c r="CI32" s="1093"/>
      <c r="CJ32" s="1093"/>
    </row>
    <row r="33" spans="1:91" outlineLevel="1" x14ac:dyDescent="0.2">
      <c r="A33" s="1040"/>
      <c r="B33" s="1048"/>
      <c r="C33" s="1028" t="s">
        <v>438</v>
      </c>
      <c r="D33" s="985"/>
      <c r="E33" s="985"/>
      <c r="F33" s="985"/>
      <c r="G33" s="985"/>
      <c r="H33" s="985"/>
      <c r="I33" s="985"/>
      <c r="J33" s="985"/>
      <c r="K33" s="985"/>
      <c r="L33" s="966">
        <f t="shared" ref="L33:T33" si="24">+K33</f>
        <v>0</v>
      </c>
      <c r="M33" s="966">
        <f t="shared" si="24"/>
        <v>0</v>
      </c>
      <c r="N33" s="966">
        <f t="shared" si="24"/>
        <v>0</v>
      </c>
      <c r="O33" s="966">
        <f t="shared" si="24"/>
        <v>0</v>
      </c>
      <c r="P33" s="966">
        <f t="shared" si="24"/>
        <v>0</v>
      </c>
      <c r="Q33" s="966">
        <f t="shared" si="24"/>
        <v>0</v>
      </c>
      <c r="R33" s="966">
        <f t="shared" si="24"/>
        <v>0</v>
      </c>
      <c r="S33" s="966">
        <f t="shared" si="24"/>
        <v>0</v>
      </c>
      <c r="T33" s="966">
        <f t="shared" si="24"/>
        <v>0</v>
      </c>
      <c r="AR33" s="1031"/>
      <c r="BG33" s="966"/>
    </row>
    <row r="34" spans="1:91" outlineLevel="1" x14ac:dyDescent="0.2">
      <c r="A34" s="1040"/>
      <c r="B34" s="1048"/>
      <c r="C34" s="1028" t="s">
        <v>405</v>
      </c>
      <c r="D34" s="966">
        <f t="shared" ref="D34:J34" si="25">IF(ISNUMBER(D35-SUM(D29:D31)),D35-SUM(D29:D31),0)</f>
        <v>3</v>
      </c>
      <c r="E34" s="966">
        <f t="shared" si="25"/>
        <v>-48</v>
      </c>
      <c r="F34" s="966">
        <f t="shared" si="25"/>
        <v>-8</v>
      </c>
      <c r="G34" s="966">
        <f t="shared" si="25"/>
        <v>7</v>
      </c>
      <c r="H34" s="966">
        <f t="shared" si="25"/>
        <v>-81</v>
      </c>
      <c r="I34" s="966">
        <f t="shared" si="25"/>
        <v>-26</v>
      </c>
      <c r="J34" s="966">
        <f t="shared" si="25"/>
        <v>-40</v>
      </c>
      <c r="K34" s="966">
        <f>IF(ISNUMBER(K35-SUM(K29:K31)),K35-SUM(K29:K31),0)</f>
        <v>-54</v>
      </c>
      <c r="L34" s="966">
        <v>0</v>
      </c>
      <c r="M34" s="966">
        <v>0</v>
      </c>
      <c r="N34" s="966">
        <v>0</v>
      </c>
      <c r="O34" s="966">
        <v>0</v>
      </c>
      <c r="P34" s="966">
        <v>0</v>
      </c>
      <c r="Q34" s="966">
        <v>0</v>
      </c>
      <c r="R34" s="966">
        <v>0</v>
      </c>
      <c r="S34" s="966">
        <v>0</v>
      </c>
      <c r="T34" s="966">
        <v>0</v>
      </c>
      <c r="BG34" s="973"/>
    </row>
    <row r="35" spans="1:91" x14ac:dyDescent="0.2">
      <c r="A35" s="1040"/>
      <c r="B35" s="1048"/>
      <c r="C35" s="1088" t="s">
        <v>58</v>
      </c>
      <c r="D35" s="977">
        <v>406</v>
      </c>
      <c r="E35" s="977">
        <v>383</v>
      </c>
      <c r="F35" s="977">
        <v>388</v>
      </c>
      <c r="G35" s="977">
        <v>415</v>
      </c>
      <c r="H35" s="977">
        <v>350</v>
      </c>
      <c r="I35" s="977">
        <v>340</v>
      </c>
      <c r="J35" s="977">
        <v>314</v>
      </c>
      <c r="K35" s="977">
        <v>274</v>
      </c>
      <c r="L35" s="977">
        <f t="shared" ref="L35:T35" si="26">SUM(L29:L34)</f>
        <v>286.49899999999997</v>
      </c>
      <c r="M35" s="977">
        <f t="shared" si="26"/>
        <v>299.47921149999996</v>
      </c>
      <c r="N35" s="977">
        <f t="shared" si="26"/>
        <v>312.95916114274996</v>
      </c>
      <c r="O35" s="977">
        <f t="shared" si="26"/>
        <v>326.95808884674585</v>
      </c>
      <c r="P35" s="977">
        <f t="shared" si="26"/>
        <v>341.49597526734556</v>
      </c>
      <c r="Q35" s="977">
        <f t="shared" si="26"/>
        <v>356.59357031513832</v>
      </c>
      <c r="R35" s="977">
        <f t="shared" si="26"/>
        <v>372.27242277227111</v>
      </c>
      <c r="S35" s="977">
        <f t="shared" si="26"/>
        <v>388.55491104900352</v>
      </c>
      <c r="T35" s="977">
        <f t="shared" si="26"/>
        <v>405.46427512439016</v>
      </c>
      <c r="U35" s="1078"/>
      <c r="AN35" s="983" t="s">
        <v>86</v>
      </c>
      <c r="BG35" s="979">
        <f>_xll.ThomsonONEAddinShim.SpreadsheetFormulas.TF(Sedol,$AN35,"dataDir=across",trSdate,trEdate,Currency_ISOcode)</f>
        <v>406</v>
      </c>
      <c r="BH35" s="1080">
        <v>383</v>
      </c>
      <c r="BI35" s="1080">
        <v>388</v>
      </c>
      <c r="BJ35" s="1080">
        <v>415</v>
      </c>
      <c r="BK35" s="1080">
        <v>350</v>
      </c>
      <c r="BL35" s="1080">
        <v>340</v>
      </c>
      <c r="BM35" s="1080">
        <v>314</v>
      </c>
      <c r="BN35" s="1080">
        <v>274</v>
      </c>
    </row>
    <row r="36" spans="1:91" x14ac:dyDescent="0.2">
      <c r="A36" s="1040"/>
      <c r="B36" s="1048"/>
      <c r="C36" s="1049"/>
      <c r="D36" s="1049"/>
      <c r="E36" s="1049"/>
      <c r="F36" s="1049"/>
      <c r="G36" s="1049"/>
      <c r="H36" s="966"/>
      <c r="I36" s="966"/>
      <c r="J36" s="967"/>
      <c r="K36" s="967"/>
      <c r="L36" s="967"/>
      <c r="M36" s="967"/>
      <c r="N36" s="967"/>
      <c r="O36" s="967"/>
      <c r="P36" s="967"/>
      <c r="Q36" s="967"/>
      <c r="R36" s="967"/>
      <c r="S36" s="967"/>
      <c r="T36" s="967"/>
      <c r="BG36" s="1066"/>
    </row>
    <row r="37" spans="1:91" outlineLevel="1" x14ac:dyDescent="0.2">
      <c r="A37" s="1040"/>
      <c r="B37" s="1048"/>
      <c r="C37" s="1028" t="s">
        <v>63</v>
      </c>
      <c r="D37" s="966">
        <v>0</v>
      </c>
      <c r="E37" s="966">
        <f t="shared" ref="E37:J37" si="27">D42</f>
        <v>0</v>
      </c>
      <c r="F37" s="966">
        <f t="shared" si="27"/>
        <v>0</v>
      </c>
      <c r="G37" s="966">
        <f t="shared" si="27"/>
        <v>0</v>
      </c>
      <c r="H37" s="966">
        <f t="shared" si="27"/>
        <v>0</v>
      </c>
      <c r="I37" s="966">
        <f t="shared" si="27"/>
        <v>0</v>
      </c>
      <c r="J37" s="966">
        <f t="shared" si="27"/>
        <v>0</v>
      </c>
      <c r="K37" s="966">
        <f>J42</f>
        <v>0</v>
      </c>
      <c r="L37" s="966">
        <f t="shared" ref="L37:T37" si="28">+K42</f>
        <v>0</v>
      </c>
      <c r="M37" s="966">
        <f t="shared" si="28"/>
        <v>0</v>
      </c>
      <c r="N37" s="966">
        <f t="shared" si="28"/>
        <v>0</v>
      </c>
      <c r="O37" s="966">
        <f t="shared" si="28"/>
        <v>0</v>
      </c>
      <c r="P37" s="966">
        <f t="shared" si="28"/>
        <v>0</v>
      </c>
      <c r="Q37" s="966">
        <f t="shared" si="28"/>
        <v>0</v>
      </c>
      <c r="R37" s="966">
        <f t="shared" si="28"/>
        <v>0</v>
      </c>
      <c r="S37" s="966">
        <f t="shared" si="28"/>
        <v>0</v>
      </c>
      <c r="T37" s="966">
        <f t="shared" si="28"/>
        <v>0</v>
      </c>
      <c r="AN37" s="983" t="s">
        <v>40</v>
      </c>
      <c r="BG37" s="973">
        <f>_xll.ThomsonONEAddinShim.SpreadsheetFormulas.TF(Sedol,$AN37,,Pension!$AZ$11,Currency_ISOcode)</f>
        <v>0</v>
      </c>
    </row>
    <row r="38" spans="1:91" outlineLevel="1" x14ac:dyDescent="0.2">
      <c r="A38" s="1040"/>
      <c r="B38" s="1048"/>
      <c r="C38" s="1028" t="s">
        <v>64</v>
      </c>
      <c r="D38" s="966">
        <v>0</v>
      </c>
      <c r="E38" s="1094">
        <v>0</v>
      </c>
      <c r="F38" s="1094">
        <v>0</v>
      </c>
      <c r="G38" s="1094">
        <v>0</v>
      </c>
      <c r="H38" s="1094">
        <v>0</v>
      </c>
      <c r="I38" s="966">
        <v>0</v>
      </c>
      <c r="J38" s="967">
        <v>0</v>
      </c>
      <c r="K38" s="967">
        <v>0</v>
      </c>
      <c r="L38" s="967">
        <f t="shared" ref="L38:T38" si="29">IF(ISERROR(((K42+0.5*L39)*L12)),"",((K42+0.5*L39)*L12))</f>
        <v>0</v>
      </c>
      <c r="M38" s="967">
        <f t="shared" si="29"/>
        <v>0</v>
      </c>
      <c r="N38" s="967">
        <f t="shared" si="29"/>
        <v>0</v>
      </c>
      <c r="O38" s="967">
        <f t="shared" si="29"/>
        <v>0</v>
      </c>
      <c r="P38" s="967">
        <f t="shared" si="29"/>
        <v>0</v>
      </c>
      <c r="Q38" s="967">
        <f t="shared" si="29"/>
        <v>0</v>
      </c>
      <c r="R38" s="967">
        <f t="shared" si="29"/>
        <v>0</v>
      </c>
      <c r="S38" s="967">
        <f t="shared" si="29"/>
        <v>0</v>
      </c>
      <c r="T38" s="967">
        <f t="shared" si="29"/>
        <v>0</v>
      </c>
      <c r="U38" s="1078"/>
      <c r="AN38" s="983" t="s">
        <v>382</v>
      </c>
      <c r="AR38" s="1031"/>
      <c r="BG38" s="973">
        <f>_xll.ThomsonONEAddinShim.SpreadsheetFormulas.TF(Sedol,$AN38,"dataDir=across",trSdate,trEdate,Currency_ISOcode)</f>
        <v>0</v>
      </c>
      <c r="BH38" s="1080">
        <v>0</v>
      </c>
      <c r="BI38" s="1080">
        <v>0</v>
      </c>
      <c r="BJ38" s="1080">
        <v>0</v>
      </c>
      <c r="BK38" s="1080">
        <v>0</v>
      </c>
      <c r="BL38" s="1080">
        <v>0</v>
      </c>
      <c r="BM38" s="1080">
        <v>0</v>
      </c>
      <c r="BN38" s="1080">
        <v>0</v>
      </c>
      <c r="CC38" s="1031"/>
      <c r="CD38" s="1095">
        <f>H6</f>
        <v>2013</v>
      </c>
      <c r="CE38" s="1095">
        <f t="shared" ref="CE38:CJ38" si="30">I6</f>
        <v>2014</v>
      </c>
      <c r="CF38" s="1095">
        <f t="shared" si="30"/>
        <v>2015</v>
      </c>
      <c r="CG38" s="1095">
        <f t="shared" si="30"/>
        <v>2016</v>
      </c>
      <c r="CH38" s="1095">
        <f t="shared" si="30"/>
        <v>2017</v>
      </c>
      <c r="CI38" s="1095">
        <f t="shared" si="30"/>
        <v>2018</v>
      </c>
      <c r="CJ38" s="1095">
        <f t="shared" si="30"/>
        <v>2019</v>
      </c>
      <c r="CK38" s="1096"/>
      <c r="CL38" s="1096"/>
      <c r="CM38" s="1096"/>
    </row>
    <row r="39" spans="1:91" outlineLevel="1" x14ac:dyDescent="0.2">
      <c r="A39" s="1040"/>
      <c r="B39" s="1048"/>
      <c r="C39" s="1028" t="s">
        <v>348</v>
      </c>
      <c r="D39" s="985"/>
      <c r="E39" s="985"/>
      <c r="F39" s="985"/>
      <c r="G39" s="985"/>
      <c r="H39" s="985"/>
      <c r="I39" s="985"/>
      <c r="J39" s="985"/>
      <c r="K39" s="985"/>
      <c r="L39" s="984"/>
      <c r="M39" s="984"/>
      <c r="N39" s="984"/>
      <c r="O39" s="984"/>
      <c r="P39" s="984"/>
      <c r="Q39" s="984"/>
      <c r="R39" s="984"/>
      <c r="S39" s="984"/>
      <c r="T39" s="984"/>
      <c r="BG39" s="966"/>
      <c r="CE39" s="1097"/>
      <c r="CF39" s="1097"/>
      <c r="CG39" s="1097"/>
      <c r="CH39" s="1097"/>
      <c r="CI39" s="1097"/>
      <c r="CJ39" s="1097"/>
    </row>
    <row r="40" spans="1:91" outlineLevel="1" x14ac:dyDescent="0.2">
      <c r="A40" s="1040"/>
      <c r="B40" s="1048"/>
      <c r="C40" s="1028" t="s">
        <v>438</v>
      </c>
      <c r="D40" s="966">
        <f t="shared" ref="D40:J40" si="31">D33</f>
        <v>0</v>
      </c>
      <c r="E40" s="966">
        <f t="shared" si="31"/>
        <v>0</v>
      </c>
      <c r="F40" s="966">
        <f t="shared" si="31"/>
        <v>0</v>
      </c>
      <c r="G40" s="966">
        <f t="shared" si="31"/>
        <v>0</v>
      </c>
      <c r="H40" s="966">
        <f t="shared" si="31"/>
        <v>0</v>
      </c>
      <c r="I40" s="966">
        <f t="shared" si="31"/>
        <v>0</v>
      </c>
      <c r="J40" s="966">
        <f t="shared" si="31"/>
        <v>0</v>
      </c>
      <c r="K40" s="966">
        <f>K33</f>
        <v>0</v>
      </c>
      <c r="L40" s="985"/>
      <c r="M40" s="985"/>
      <c r="N40" s="985"/>
      <c r="O40" s="985"/>
      <c r="P40" s="985"/>
      <c r="Q40" s="985"/>
      <c r="R40" s="985"/>
      <c r="S40" s="985"/>
      <c r="T40" s="985"/>
      <c r="AR40" s="1031"/>
      <c r="BG40" s="973"/>
      <c r="CC40" s="1029" t="str">
        <f>Pension!CC40</f>
        <v>Market cap</v>
      </c>
      <c r="CD40" s="987">
        <f>Pension!CD40</f>
        <v>29163.3977480576</v>
      </c>
      <c r="CE40" s="987">
        <f>Pension!CE40</f>
        <v>36063.239472810885</v>
      </c>
      <c r="CF40" s="987">
        <f>Pension!CF40</f>
        <v>25299.8146351656</v>
      </c>
      <c r="CG40" s="987">
        <f>Pension!CG40</f>
        <v>33654.221736173284</v>
      </c>
      <c r="CH40" s="987">
        <f>Pension!CH40</f>
        <v>50273.639082927679</v>
      </c>
      <c r="CI40" s="987">
        <f>Pension!CI40</f>
        <v>50273.639082927679</v>
      </c>
      <c r="CJ40" s="987">
        <f>Pension!CJ40</f>
        <v>50273.639082927679</v>
      </c>
    </row>
    <row r="41" spans="1:91" outlineLevel="1" x14ac:dyDescent="0.2">
      <c r="A41" s="1040"/>
      <c r="B41" s="1048"/>
      <c r="C41" s="1028" t="s">
        <v>104</v>
      </c>
      <c r="D41" s="966">
        <f t="shared" ref="D41:J41" si="32">IF(ISNUMBER(D42-SUM(D37:D40)),D42-SUM(D37:D40),0)</f>
        <v>0</v>
      </c>
      <c r="E41" s="966">
        <f t="shared" si="32"/>
        <v>0</v>
      </c>
      <c r="F41" s="966">
        <f t="shared" si="32"/>
        <v>0</v>
      </c>
      <c r="G41" s="966">
        <f t="shared" si="32"/>
        <v>0</v>
      </c>
      <c r="H41" s="966">
        <f t="shared" si="32"/>
        <v>0</v>
      </c>
      <c r="I41" s="966">
        <f t="shared" si="32"/>
        <v>0</v>
      </c>
      <c r="J41" s="966">
        <f t="shared" si="32"/>
        <v>0</v>
      </c>
      <c r="K41" s="966">
        <f>IF(ISNUMBER(K42-SUM(K37:K40)),K42-SUM(K37:K40),0)</f>
        <v>0</v>
      </c>
      <c r="L41" s="966">
        <v>0</v>
      </c>
      <c r="M41" s="966">
        <v>0</v>
      </c>
      <c r="N41" s="966">
        <v>0</v>
      </c>
      <c r="O41" s="966">
        <v>0</v>
      </c>
      <c r="P41" s="966">
        <v>0</v>
      </c>
      <c r="Q41" s="966">
        <v>0</v>
      </c>
      <c r="R41" s="966">
        <v>0</v>
      </c>
      <c r="S41" s="966">
        <v>0</v>
      </c>
      <c r="T41" s="966">
        <v>0</v>
      </c>
      <c r="BG41" s="966"/>
      <c r="CC41" s="1029" t="s">
        <v>87</v>
      </c>
      <c r="CD41" s="1053">
        <f>IF(ISERROR(H35/CD40),NA(),H35/CD40)</f>
        <v>1.2001345077265951E-2</v>
      </c>
      <c r="CE41" s="1053">
        <f t="shared" ref="CE41:CJ41" si="33">IF(ISERROR(I35/CE40),NA(),I35/CE40)</f>
        <v>9.4278829348188702E-3</v>
      </c>
      <c r="CF41" s="1053">
        <f t="shared" si="33"/>
        <v>1.241115812617671E-2</v>
      </c>
      <c r="CG41" s="1053">
        <f t="shared" si="33"/>
        <v>8.1416234238895126E-3</v>
      </c>
      <c r="CH41" s="1053">
        <f t="shared" si="33"/>
        <v>5.6987917569963934E-3</v>
      </c>
      <c r="CI41" s="1053">
        <f t="shared" si="33"/>
        <v>5.9569829629003224E-3</v>
      </c>
      <c r="CJ41" s="1053">
        <f t="shared" si="33"/>
        <v>6.2251145302315526E-3</v>
      </c>
    </row>
    <row r="42" spans="1:91" x14ac:dyDescent="0.2">
      <c r="A42" s="1040"/>
      <c r="B42" s="1048"/>
      <c r="C42" s="1088" t="s">
        <v>351</v>
      </c>
      <c r="D42" s="977">
        <v>0</v>
      </c>
      <c r="E42" s="977">
        <v>0</v>
      </c>
      <c r="F42" s="977">
        <v>0</v>
      </c>
      <c r="G42" s="977">
        <v>0</v>
      </c>
      <c r="H42" s="977">
        <v>0</v>
      </c>
      <c r="I42" s="977">
        <v>0</v>
      </c>
      <c r="J42" s="977">
        <v>0</v>
      </c>
      <c r="K42" s="977">
        <v>0</v>
      </c>
      <c r="L42" s="977">
        <f t="shared" ref="L42:T42" si="34">SUM(L37:L41)</f>
        <v>0</v>
      </c>
      <c r="M42" s="977">
        <f t="shared" si="34"/>
        <v>0</v>
      </c>
      <c r="N42" s="977">
        <f t="shared" si="34"/>
        <v>0</v>
      </c>
      <c r="O42" s="977">
        <f t="shared" si="34"/>
        <v>0</v>
      </c>
      <c r="P42" s="977">
        <f t="shared" si="34"/>
        <v>0</v>
      </c>
      <c r="Q42" s="977">
        <f t="shared" si="34"/>
        <v>0</v>
      </c>
      <c r="R42" s="977">
        <f t="shared" si="34"/>
        <v>0</v>
      </c>
      <c r="S42" s="977">
        <f t="shared" si="34"/>
        <v>0</v>
      </c>
      <c r="T42" s="977">
        <f t="shared" si="34"/>
        <v>0</v>
      </c>
      <c r="U42" s="1078"/>
      <c r="AN42" s="983" t="s">
        <v>332</v>
      </c>
      <c r="BG42" s="977">
        <f>_xll.ThomsonONEAddinShim.SpreadsheetFormulas.TF(Sedol,$AN42,"dataDir=across",trSdate,trEdate,Currency_ISOcode)</f>
        <v>0</v>
      </c>
      <c r="BH42" s="1080">
        <v>0</v>
      </c>
      <c r="BI42" s="1080">
        <v>0</v>
      </c>
      <c r="BJ42" s="1080">
        <v>0</v>
      </c>
      <c r="BK42" s="1080">
        <v>0</v>
      </c>
      <c r="BL42" s="1080">
        <v>0</v>
      </c>
      <c r="BM42" s="1080">
        <v>0</v>
      </c>
      <c r="BN42" s="1080">
        <v>0</v>
      </c>
      <c r="CC42" s="1029" t="s">
        <v>88</v>
      </c>
      <c r="CD42" s="994">
        <f>H35</f>
        <v>350</v>
      </c>
      <c r="CE42" s="994">
        <f t="shared" ref="CE42:CJ42" si="35">I35</f>
        <v>340</v>
      </c>
      <c r="CF42" s="994">
        <f t="shared" si="35"/>
        <v>314</v>
      </c>
      <c r="CG42" s="994">
        <f t="shared" si="35"/>
        <v>274</v>
      </c>
      <c r="CH42" s="994">
        <f t="shared" si="35"/>
        <v>286.49899999999997</v>
      </c>
      <c r="CI42" s="994">
        <f t="shared" si="35"/>
        <v>299.47921149999996</v>
      </c>
      <c r="CJ42" s="994">
        <f t="shared" si="35"/>
        <v>312.95916114274996</v>
      </c>
    </row>
    <row r="43" spans="1:91" x14ac:dyDescent="0.2">
      <c r="A43" s="1040"/>
      <c r="B43" s="1048"/>
      <c r="C43" s="1049"/>
      <c r="D43" s="1049"/>
      <c r="E43" s="1049"/>
      <c r="F43" s="1049"/>
      <c r="G43" s="1049"/>
      <c r="H43" s="966"/>
      <c r="I43" s="966"/>
      <c r="J43" s="967"/>
      <c r="K43" s="967"/>
      <c r="L43" s="967"/>
      <c r="M43" s="967"/>
      <c r="N43" s="967"/>
      <c r="O43" s="967"/>
      <c r="P43" s="967"/>
      <c r="Q43" s="967"/>
      <c r="R43" s="967"/>
      <c r="S43" s="967"/>
      <c r="T43" s="967"/>
      <c r="BG43" s="1066"/>
    </row>
    <row r="44" spans="1:91" x14ac:dyDescent="0.2">
      <c r="A44" s="1040"/>
      <c r="B44" s="1048"/>
      <c r="C44" s="1088" t="s">
        <v>350</v>
      </c>
      <c r="D44" s="977">
        <f t="shared" ref="D44:Q44" si="36">IF(ISERROR(D35-D42),0,D35-D42)</f>
        <v>406</v>
      </c>
      <c r="E44" s="977">
        <f t="shared" si="36"/>
        <v>383</v>
      </c>
      <c r="F44" s="977">
        <f t="shared" si="36"/>
        <v>388</v>
      </c>
      <c r="G44" s="977">
        <f t="shared" si="36"/>
        <v>415</v>
      </c>
      <c r="H44" s="977">
        <f t="shared" si="36"/>
        <v>350</v>
      </c>
      <c r="I44" s="977">
        <f t="shared" si="36"/>
        <v>340</v>
      </c>
      <c r="J44" s="977">
        <f t="shared" si="36"/>
        <v>314</v>
      </c>
      <c r="K44" s="977">
        <f t="shared" si="36"/>
        <v>274</v>
      </c>
      <c r="L44" s="977">
        <f t="shared" si="36"/>
        <v>286.49899999999997</v>
      </c>
      <c r="M44" s="977">
        <f t="shared" si="36"/>
        <v>299.47921149999996</v>
      </c>
      <c r="N44" s="977">
        <f t="shared" si="36"/>
        <v>312.95916114274996</v>
      </c>
      <c r="O44" s="977">
        <f t="shared" si="36"/>
        <v>326.95808884674585</v>
      </c>
      <c r="P44" s="977">
        <f t="shared" si="36"/>
        <v>341.49597526734556</v>
      </c>
      <c r="Q44" s="977">
        <f t="shared" si="36"/>
        <v>356.59357031513832</v>
      </c>
      <c r="R44" s="977">
        <f>IF(ISERROR(R35-R42),0,R35-R42)</f>
        <v>372.27242277227111</v>
      </c>
      <c r="S44" s="977">
        <f>IF(ISERROR(S35-S42),0,S35-S42)</f>
        <v>388.55491104900352</v>
      </c>
      <c r="T44" s="977">
        <f>IF(ISERROR(T35-T42),0,T35-T42)</f>
        <v>405.46427512439016</v>
      </c>
      <c r="BG44" s="977"/>
    </row>
    <row r="45" spans="1:91" x14ac:dyDescent="0.2">
      <c r="A45" s="1040"/>
      <c r="B45" s="1048"/>
      <c r="C45" s="1088" t="s">
        <v>249</v>
      </c>
      <c r="D45" s="990">
        <f t="shared" ref="D45:Q45" si="37">IF(ISERROR(D42/D35),"NA",D42/D35)</f>
        <v>0</v>
      </c>
      <c r="E45" s="990">
        <f t="shared" si="37"/>
        <v>0</v>
      </c>
      <c r="F45" s="990">
        <f t="shared" si="37"/>
        <v>0</v>
      </c>
      <c r="G45" s="990">
        <f t="shared" si="37"/>
        <v>0</v>
      </c>
      <c r="H45" s="990">
        <f t="shared" si="37"/>
        <v>0</v>
      </c>
      <c r="I45" s="990">
        <f t="shared" si="37"/>
        <v>0</v>
      </c>
      <c r="J45" s="990">
        <f t="shared" si="37"/>
        <v>0</v>
      </c>
      <c r="K45" s="990">
        <f t="shared" si="37"/>
        <v>0</v>
      </c>
      <c r="L45" s="990">
        <f t="shared" si="37"/>
        <v>0</v>
      </c>
      <c r="M45" s="990">
        <f t="shared" si="37"/>
        <v>0</v>
      </c>
      <c r="N45" s="990">
        <f t="shared" si="37"/>
        <v>0</v>
      </c>
      <c r="O45" s="990">
        <f t="shared" si="37"/>
        <v>0</v>
      </c>
      <c r="P45" s="990">
        <f t="shared" si="37"/>
        <v>0</v>
      </c>
      <c r="Q45" s="990">
        <f t="shared" si="37"/>
        <v>0</v>
      </c>
      <c r="R45" s="990">
        <f>IF(ISERROR(R42/R35),"NA",R42/R35)</f>
        <v>0</v>
      </c>
      <c r="S45" s="990">
        <f>IF(ISERROR(S42/S35),"NA",S42/S35)</f>
        <v>0</v>
      </c>
      <c r="T45" s="990">
        <f>IF(ISERROR(T42/T35),"NA",T42/T35)</f>
        <v>0</v>
      </c>
      <c r="BG45" s="991"/>
    </row>
    <row r="46" spans="1:91" ht="12.75" customHeight="1" x14ac:dyDescent="0.2">
      <c r="A46" s="1040"/>
      <c r="B46" s="1048"/>
      <c r="C46" s="1049"/>
      <c r="D46" s="1049"/>
      <c r="E46" s="1049"/>
      <c r="F46" s="1049"/>
      <c r="G46" s="1049"/>
      <c r="H46" s="993"/>
      <c r="I46" s="993"/>
      <c r="J46" s="993"/>
      <c r="K46" s="993"/>
      <c r="L46" s="993"/>
      <c r="M46" s="993"/>
      <c r="N46" s="993"/>
      <c r="O46" s="993"/>
      <c r="P46" s="993"/>
      <c r="Q46" s="993"/>
      <c r="R46" s="993"/>
      <c r="S46" s="993"/>
      <c r="T46" s="993"/>
      <c r="BG46" s="1066"/>
    </row>
    <row r="47" spans="1:91" x14ac:dyDescent="0.2">
      <c r="A47" s="1040"/>
      <c r="B47" s="1048"/>
      <c r="C47" s="1088" t="s">
        <v>89</v>
      </c>
      <c r="D47" s="977">
        <f>IF(ISERROR(D44*D13),0,D44*D13)</f>
        <v>142.1</v>
      </c>
      <c r="E47" s="977">
        <f t="shared" ref="E47:K47" si="38">+D47+(E44-D44)*E13</f>
        <v>133.82</v>
      </c>
      <c r="F47" s="977">
        <f t="shared" si="38"/>
        <v>135.62</v>
      </c>
      <c r="G47" s="977">
        <f t="shared" si="38"/>
        <v>145.34</v>
      </c>
      <c r="H47" s="977">
        <f t="shared" si="38"/>
        <v>121.94</v>
      </c>
      <c r="I47" s="977">
        <f t="shared" si="38"/>
        <v>118.34</v>
      </c>
      <c r="J47" s="977">
        <f t="shared" si="38"/>
        <v>108.98</v>
      </c>
      <c r="K47" s="977">
        <f t="shared" si="38"/>
        <v>94.580000000000013</v>
      </c>
      <c r="L47" s="977">
        <f>+K47+(L44-K44)*L13</f>
        <v>99.079639999999998</v>
      </c>
      <c r="M47" s="977">
        <f t="shared" ref="M47:T47" si="39">+L47+(M44-L44)*M13</f>
        <v>103.75251614</v>
      </c>
      <c r="N47" s="977">
        <f t="shared" si="39"/>
        <v>108.60529801138999</v>
      </c>
      <c r="O47" s="977">
        <f t="shared" si="39"/>
        <v>113.64491198482851</v>
      </c>
      <c r="P47" s="977">
        <f t="shared" si="39"/>
        <v>118.73317223203841</v>
      </c>
      <c r="Q47" s="977">
        <f t="shared" si="39"/>
        <v>124.01733049876589</v>
      </c>
      <c r="R47" s="977">
        <f t="shared" si="39"/>
        <v>129.50492885876236</v>
      </c>
      <c r="S47" s="977">
        <f t="shared" si="39"/>
        <v>135.20379975561869</v>
      </c>
      <c r="T47" s="977">
        <f t="shared" si="39"/>
        <v>141.12207718200401</v>
      </c>
      <c r="BG47" s="977"/>
    </row>
    <row r="48" spans="1:91" x14ac:dyDescent="0.2">
      <c r="A48" s="1040"/>
      <c r="B48" s="1048"/>
      <c r="C48" s="1049"/>
      <c r="D48" s="1049"/>
      <c r="E48" s="1049"/>
      <c r="F48" s="1049"/>
      <c r="G48" s="1049"/>
      <c r="H48" s="1098"/>
      <c r="I48" s="1098"/>
      <c r="J48" s="1094"/>
      <c r="K48" s="1094"/>
      <c r="L48" s="1094"/>
      <c r="M48" s="1094"/>
      <c r="N48" s="1094"/>
      <c r="O48" s="1094"/>
      <c r="P48" s="1094"/>
      <c r="Q48" s="1094"/>
      <c r="R48" s="1094"/>
      <c r="S48" s="1094"/>
      <c r="T48" s="1094"/>
      <c r="BG48" s="1066"/>
    </row>
    <row r="49" spans="1:59" x14ac:dyDescent="0.2">
      <c r="A49" s="1040"/>
      <c r="B49" s="1071" t="s">
        <v>355</v>
      </c>
      <c r="C49" s="1072" t="s">
        <v>459</v>
      </c>
      <c r="D49" s="1073"/>
      <c r="E49" s="1073"/>
      <c r="F49" s="1073"/>
      <c r="G49" s="1073"/>
      <c r="H49" s="1098"/>
      <c r="I49" s="1098"/>
      <c r="J49" s="1094"/>
      <c r="K49" s="1094"/>
      <c r="L49" s="1094"/>
      <c r="M49" s="1094"/>
      <c r="N49" s="1094"/>
      <c r="O49" s="1094"/>
      <c r="P49" s="1094"/>
      <c r="Q49" s="1094"/>
      <c r="R49" s="1094"/>
      <c r="S49" s="1094"/>
      <c r="T49" s="1094"/>
      <c r="BG49" s="1076"/>
    </row>
    <row r="50" spans="1:59" ht="7.5" customHeight="1" x14ac:dyDescent="0.2">
      <c r="A50" s="1040"/>
      <c r="B50" s="1048"/>
      <c r="C50" s="1049"/>
      <c r="D50" s="1049"/>
      <c r="E50" s="1049"/>
      <c r="F50" s="1049"/>
      <c r="G50" s="1049"/>
      <c r="H50" s="1098"/>
      <c r="I50" s="1098"/>
      <c r="J50" s="1094"/>
      <c r="K50" s="1094"/>
      <c r="L50" s="1094"/>
      <c r="M50" s="1094"/>
      <c r="N50" s="1094"/>
      <c r="O50" s="1094"/>
      <c r="P50" s="1094"/>
      <c r="Q50" s="1094"/>
      <c r="R50" s="1094"/>
      <c r="S50" s="1094"/>
      <c r="T50" s="1094"/>
      <c r="BG50" s="1066"/>
    </row>
    <row r="51" spans="1:59" x14ac:dyDescent="0.2">
      <c r="A51" s="1040"/>
      <c r="B51" s="1048"/>
      <c r="C51" s="1088" t="s">
        <v>90</v>
      </c>
      <c r="D51" s="1099">
        <f>+D25*(1-D13)</f>
        <v>22.1</v>
      </c>
      <c r="E51" s="1099">
        <f>+E25*(1-E13)</f>
        <v>20.48</v>
      </c>
      <c r="F51" s="1099">
        <f>+F25*(1-F13)</f>
        <v>12.16</v>
      </c>
      <c r="G51" s="1099">
        <f>+G25*(1-G13)</f>
        <v>17.920000000000002</v>
      </c>
      <c r="H51" s="1099">
        <f>+H25*(1-H13)</f>
        <v>18.559999999999999</v>
      </c>
      <c r="I51" s="1099">
        <f t="shared" ref="I51:T51" si="40">+I25*(1-I13)</f>
        <v>17.920000000000002</v>
      </c>
      <c r="J51" s="1099">
        <f t="shared" si="40"/>
        <v>10.88</v>
      </c>
      <c r="K51" s="1099">
        <f t="shared" si="40"/>
        <v>10.88</v>
      </c>
      <c r="L51" s="1099">
        <f t="shared" si="40"/>
        <v>9.9193599999999993</v>
      </c>
      <c r="M51" s="1099">
        <f t="shared" si="40"/>
        <v>10.22733536</v>
      </c>
      <c r="N51" s="1099">
        <f t="shared" si="40"/>
        <v>10.54716777136</v>
      </c>
      <c r="O51" s="1099">
        <f t="shared" si="40"/>
        <v>10.87931373055736</v>
      </c>
      <c r="P51" s="1099">
        <f t="shared" si="40"/>
        <v>11.399626173389816</v>
      </c>
      <c r="Q51" s="1099">
        <f t="shared" si="40"/>
        <v>11.763436781065323</v>
      </c>
      <c r="R51" s="1099">
        <f t="shared" si="40"/>
        <v>12.141254097136338</v>
      </c>
      <c r="S51" s="1099">
        <f t="shared" si="40"/>
        <v>12.533617379876084</v>
      </c>
      <c r="T51" s="1099">
        <f t="shared" si="40"/>
        <v>12.941086649001312</v>
      </c>
      <c r="BG51" s="1101"/>
    </row>
    <row r="52" spans="1:59" x14ac:dyDescent="0.2">
      <c r="A52" s="1040"/>
      <c r="B52" s="1048"/>
      <c r="C52" s="1088" t="s">
        <v>542</v>
      </c>
      <c r="D52" s="1099">
        <f t="shared" ref="D52:J52" si="41">IF(ISERROR(-D39*(1-D13)),0,(-D39*(1-D13)))</f>
        <v>0</v>
      </c>
      <c r="E52" s="1099">
        <f t="shared" si="41"/>
        <v>0</v>
      </c>
      <c r="F52" s="1099">
        <f t="shared" si="41"/>
        <v>0</v>
      </c>
      <c r="G52" s="1099">
        <f t="shared" si="41"/>
        <v>0</v>
      </c>
      <c r="H52" s="1099">
        <f t="shared" si="41"/>
        <v>0</v>
      </c>
      <c r="I52" s="1099">
        <f t="shared" si="41"/>
        <v>0</v>
      </c>
      <c r="J52" s="1099">
        <f t="shared" si="41"/>
        <v>0</v>
      </c>
      <c r="K52" s="1099">
        <f>IF(ISERROR(-K39*(1-K13)),0,(-K39*(1-K13)))</f>
        <v>0</v>
      </c>
      <c r="L52" s="1099">
        <f>IF(ISERROR(-L39*(1-L13)),0,(-L39*(1-L13)))</f>
        <v>0</v>
      </c>
      <c r="M52" s="1099">
        <f>IF(ISERROR(-M39*(1-M13)),0,(-M39*(1-M13)))</f>
        <v>0</v>
      </c>
      <c r="N52" s="1099">
        <f t="shared" ref="N52:T52" si="42">IF(ISERROR(-N39*(1-N13)),0,(-N39*(1-N13)))</f>
        <v>0</v>
      </c>
      <c r="O52" s="1099">
        <f t="shared" si="42"/>
        <v>0</v>
      </c>
      <c r="P52" s="1099">
        <f t="shared" si="42"/>
        <v>0</v>
      </c>
      <c r="Q52" s="1099">
        <f t="shared" si="42"/>
        <v>0</v>
      </c>
      <c r="R52" s="1099">
        <f t="shared" si="42"/>
        <v>0</v>
      </c>
      <c r="S52" s="1099">
        <f t="shared" si="42"/>
        <v>0</v>
      </c>
      <c r="T52" s="1099">
        <f t="shared" si="42"/>
        <v>0</v>
      </c>
      <c r="BG52" s="1101"/>
    </row>
    <row r="53" spans="1:59" ht="7.5" customHeight="1" x14ac:dyDescent="0.2">
      <c r="A53" s="1040"/>
      <c r="B53" s="1048"/>
      <c r="C53" s="1049"/>
      <c r="D53" s="1049"/>
      <c r="E53" s="1049"/>
      <c r="F53" s="1049"/>
      <c r="G53" s="1049"/>
      <c r="H53" s="1069"/>
      <c r="I53" s="1069"/>
      <c r="J53" s="1069"/>
      <c r="K53" s="1069"/>
      <c r="L53" s="1069"/>
      <c r="M53" s="1069"/>
      <c r="N53" s="1069"/>
      <c r="O53" s="1069"/>
      <c r="P53" s="1069"/>
      <c r="Q53" s="1069"/>
      <c r="R53" s="1069"/>
      <c r="S53" s="1069"/>
      <c r="T53" s="1069"/>
    </row>
    <row r="54" spans="1:59" x14ac:dyDescent="0.2">
      <c r="A54" s="1040"/>
      <c r="B54" s="1026" t="s">
        <v>357</v>
      </c>
      <c r="C54" s="1026" t="s">
        <v>358</v>
      </c>
      <c r="D54" s="1045">
        <f>+D15</f>
        <v>2009</v>
      </c>
      <c r="E54" s="1045">
        <f>+E15</f>
        <v>2010</v>
      </c>
      <c r="F54" s="1045">
        <f>+F15</f>
        <v>2011</v>
      </c>
      <c r="G54" s="1045">
        <f>+G15</f>
        <v>2012</v>
      </c>
      <c r="H54" s="1045">
        <f>+H15</f>
        <v>2013</v>
      </c>
      <c r="I54" s="1045">
        <f t="shared" ref="I54:T54" si="43">+I15</f>
        <v>2014</v>
      </c>
      <c r="J54" s="1045">
        <f t="shared" si="43"/>
        <v>2015</v>
      </c>
      <c r="K54" s="1045">
        <f t="shared" si="43"/>
        <v>2016</v>
      </c>
      <c r="L54" s="1045">
        <f t="shared" si="43"/>
        <v>2017</v>
      </c>
      <c r="M54" s="1045">
        <f t="shared" si="43"/>
        <v>2018</v>
      </c>
      <c r="N54" s="1045">
        <f t="shared" si="43"/>
        <v>2019</v>
      </c>
      <c r="O54" s="1045">
        <f t="shared" si="43"/>
        <v>2020</v>
      </c>
      <c r="P54" s="1045">
        <f t="shared" si="43"/>
        <v>2021</v>
      </c>
      <c r="Q54" s="1045">
        <f t="shared" si="43"/>
        <v>2022</v>
      </c>
      <c r="R54" s="1045">
        <f t="shared" si="43"/>
        <v>2023</v>
      </c>
      <c r="S54" s="1045">
        <f t="shared" si="43"/>
        <v>2024</v>
      </c>
      <c r="T54" s="1045">
        <f t="shared" si="43"/>
        <v>2025</v>
      </c>
    </row>
    <row r="55" spans="1:59" s="1100" customFormat="1" ht="27.75" customHeight="1" x14ac:dyDescent="0.2">
      <c r="A55" s="1040"/>
      <c r="B55" s="1102"/>
      <c r="C55" s="2064" t="s">
        <v>75</v>
      </c>
      <c r="D55" s="2064"/>
      <c r="E55" s="2064"/>
      <c r="F55" s="2064"/>
      <c r="G55" s="2064"/>
      <c r="H55" s="2064"/>
      <c r="I55" s="2064"/>
      <c r="J55" s="2064"/>
      <c r="K55" s="2064"/>
      <c r="L55" s="2064"/>
      <c r="M55" s="2064"/>
      <c r="N55" s="2064"/>
      <c r="O55" s="2064"/>
      <c r="P55" s="2064"/>
      <c r="Q55" s="2064"/>
      <c r="R55" s="2064"/>
      <c r="S55" s="2064"/>
      <c r="T55" s="2064"/>
      <c r="U55" s="1028"/>
      <c r="V55" s="1029"/>
      <c r="W55" s="1029"/>
      <c r="X55" s="1029"/>
      <c r="AB55"/>
      <c r="AC55"/>
      <c r="AD55"/>
      <c r="AE55"/>
      <c r="AF55"/>
      <c r="AG55"/>
      <c r="AN55" s="1103"/>
      <c r="BG55" s="1104"/>
    </row>
    <row r="56" spans="1:59" s="1100" customFormat="1" x14ac:dyDescent="0.2">
      <c r="A56" s="1040"/>
      <c r="B56" s="1102"/>
      <c r="C56" s="1105"/>
      <c r="D56" s="1105"/>
      <c r="E56" s="1105"/>
      <c r="F56" s="1105"/>
      <c r="G56" s="1105"/>
      <c r="H56" s="1105"/>
      <c r="I56" s="1105"/>
      <c r="J56" s="1105"/>
      <c r="K56" s="1105"/>
      <c r="L56" s="1105"/>
      <c r="M56" s="1105"/>
      <c r="N56" s="1105"/>
      <c r="O56" s="1105"/>
      <c r="P56" s="1105"/>
      <c r="Q56" s="1105"/>
      <c r="R56" s="1105"/>
      <c r="S56" s="1105"/>
      <c r="T56" s="1105"/>
      <c r="U56" s="1028"/>
      <c r="V56" s="1029"/>
      <c r="W56" s="1029"/>
      <c r="X56" s="1029"/>
      <c r="AB56"/>
      <c r="AC56"/>
      <c r="AD56"/>
      <c r="AE56"/>
      <c r="AF56"/>
      <c r="AG56"/>
      <c r="AN56" s="1103"/>
      <c r="BG56" s="1104"/>
    </row>
    <row r="57" spans="1:59" s="1100" customFormat="1" x14ac:dyDescent="0.2">
      <c r="A57" s="1040"/>
      <c r="B57" s="1106" t="s">
        <v>367</v>
      </c>
      <c r="C57" s="1107" t="s">
        <v>76</v>
      </c>
      <c r="D57" s="1108"/>
      <c r="E57" s="1108"/>
      <c r="F57" s="1108"/>
      <c r="G57" s="1108"/>
      <c r="H57" s="1109"/>
      <c r="I57" s="1109"/>
      <c r="J57" s="1109"/>
      <c r="K57" s="1109"/>
      <c r="L57" s="1109"/>
      <c r="M57" s="1109"/>
      <c r="N57" s="1109"/>
      <c r="O57" s="1109"/>
      <c r="P57" s="1109"/>
      <c r="Q57" s="1109"/>
      <c r="R57" s="1109"/>
      <c r="S57" s="1109"/>
      <c r="T57" s="1109"/>
      <c r="U57" s="1028"/>
      <c r="V57" s="1029"/>
      <c r="W57" s="1029"/>
      <c r="X57" s="1029"/>
      <c r="AB57"/>
      <c r="AC57"/>
      <c r="AD57"/>
      <c r="AE57"/>
      <c r="AF57"/>
      <c r="AG57"/>
      <c r="AN57" s="1103"/>
      <c r="BG57" s="1104"/>
    </row>
    <row r="58" spans="1:59" ht="7.5" customHeight="1" x14ac:dyDescent="0.2">
      <c r="A58" s="1040"/>
      <c r="B58" s="1048"/>
      <c r="C58" s="1049"/>
      <c r="D58" s="1049"/>
      <c r="E58" s="1049"/>
      <c r="F58" s="1049"/>
      <c r="G58" s="1049"/>
      <c r="H58" s="1098"/>
      <c r="I58" s="1098"/>
      <c r="J58" s="1094"/>
      <c r="K58" s="1094"/>
      <c r="L58" s="1094"/>
      <c r="M58" s="1094"/>
      <c r="N58" s="1094"/>
      <c r="O58" s="1094"/>
      <c r="P58" s="1094"/>
      <c r="Q58" s="1094"/>
      <c r="R58" s="1094"/>
      <c r="S58" s="1094"/>
      <c r="T58" s="1094"/>
    </row>
    <row r="59" spans="1:59" s="1100" customFormat="1" ht="15.75" customHeight="1" x14ac:dyDescent="0.2">
      <c r="A59" s="1040"/>
      <c r="B59" s="1102"/>
      <c r="C59" s="1109" t="s">
        <v>91</v>
      </c>
      <c r="D59" s="1109"/>
      <c r="E59" s="1109"/>
      <c r="F59" s="1109"/>
      <c r="G59" s="1109"/>
      <c r="H59" s="1109"/>
      <c r="I59" s="1109"/>
      <c r="J59" s="1109"/>
      <c r="K59" s="1109"/>
      <c r="L59" s="966">
        <f t="shared" ref="L59:T59" si="44">IF(ISERROR((-L39-L40+L33)*(1-L13)),0,((-L39-L40+L33)*(1-L13)))</f>
        <v>0</v>
      </c>
      <c r="M59" s="966">
        <f t="shared" si="44"/>
        <v>0</v>
      </c>
      <c r="N59" s="966">
        <f t="shared" si="44"/>
        <v>0</v>
      </c>
      <c r="O59" s="966">
        <f t="shared" si="44"/>
        <v>0</v>
      </c>
      <c r="P59" s="966">
        <f t="shared" si="44"/>
        <v>0</v>
      </c>
      <c r="Q59" s="966">
        <f t="shared" si="44"/>
        <v>0</v>
      </c>
      <c r="R59" s="966">
        <f t="shared" si="44"/>
        <v>0</v>
      </c>
      <c r="S59" s="966">
        <f t="shared" si="44"/>
        <v>0</v>
      </c>
      <c r="T59" s="966">
        <f t="shared" si="44"/>
        <v>0</v>
      </c>
      <c r="U59" s="1028"/>
      <c r="V59" s="1029"/>
      <c r="W59" s="1029"/>
      <c r="X59" s="1029"/>
      <c r="AB59"/>
      <c r="AC59"/>
      <c r="AD59"/>
      <c r="AE59"/>
      <c r="AF59"/>
      <c r="AG59"/>
      <c r="AN59" s="1103"/>
      <c r="BG59" s="1104"/>
    </row>
    <row r="60" spans="1:59" s="1100" customFormat="1" ht="15.75" customHeight="1" x14ac:dyDescent="0.2">
      <c r="A60" s="1040"/>
      <c r="B60" s="1102"/>
      <c r="C60" s="1109" t="s">
        <v>410</v>
      </c>
      <c r="D60" s="1109"/>
      <c r="E60" s="1109"/>
      <c r="F60" s="1109"/>
      <c r="G60" s="1109"/>
      <c r="H60" s="1109"/>
      <c r="I60" s="1109"/>
      <c r="J60" s="1109"/>
      <c r="K60" s="1109"/>
      <c r="L60" s="966">
        <f t="shared" ref="L60:T60" si="45">L25*(1-L13)</f>
        <v>9.9193599999999993</v>
      </c>
      <c r="M60" s="966">
        <f t="shared" si="45"/>
        <v>10.22733536</v>
      </c>
      <c r="N60" s="966">
        <f t="shared" si="45"/>
        <v>10.54716777136</v>
      </c>
      <c r="O60" s="966">
        <f t="shared" si="45"/>
        <v>10.87931373055736</v>
      </c>
      <c r="P60" s="966">
        <f t="shared" si="45"/>
        <v>11.399626173389816</v>
      </c>
      <c r="Q60" s="966">
        <f t="shared" si="45"/>
        <v>11.763436781065323</v>
      </c>
      <c r="R60" s="966">
        <f t="shared" si="45"/>
        <v>12.141254097136338</v>
      </c>
      <c r="S60" s="966">
        <f t="shared" si="45"/>
        <v>12.533617379876084</v>
      </c>
      <c r="T60" s="966">
        <f t="shared" si="45"/>
        <v>12.941086649001312</v>
      </c>
      <c r="U60" s="1028"/>
      <c r="V60" s="1029"/>
      <c r="W60" s="1029"/>
      <c r="X60" s="1029"/>
      <c r="AB60"/>
      <c r="AC60"/>
      <c r="AD60"/>
      <c r="AE60"/>
      <c r="AF60"/>
      <c r="AG60"/>
      <c r="AN60" s="1103"/>
      <c r="BG60" s="1104"/>
    </row>
    <row r="61" spans="1:59" s="1100" customFormat="1" ht="15.75" customHeight="1" x14ac:dyDescent="0.2">
      <c r="A61" s="1040"/>
      <c r="B61" s="1102"/>
      <c r="C61" s="1109" t="s">
        <v>79</v>
      </c>
      <c r="D61" s="1109"/>
      <c r="E61" s="1109"/>
      <c r="F61" s="1109"/>
      <c r="G61" s="1109"/>
      <c r="H61" s="1109"/>
      <c r="I61" s="1109"/>
      <c r="J61" s="1109"/>
      <c r="K61" s="1109"/>
      <c r="L61" s="966">
        <f t="shared" ref="L61:T61" si="46">L47-K47</f>
        <v>4.4996399999999852</v>
      </c>
      <c r="M61" s="966">
        <f t="shared" si="46"/>
        <v>4.6728761399999996</v>
      </c>
      <c r="N61" s="966">
        <f t="shared" si="46"/>
        <v>4.8527818713899933</v>
      </c>
      <c r="O61" s="966">
        <f t="shared" si="46"/>
        <v>5.0396139734385201</v>
      </c>
      <c r="P61" s="966">
        <f t="shared" si="46"/>
        <v>5.0882602472099023</v>
      </c>
      <c r="Q61" s="966">
        <f t="shared" si="46"/>
        <v>5.2841582667274736</v>
      </c>
      <c r="R61" s="966">
        <f t="shared" si="46"/>
        <v>5.4875983599964684</v>
      </c>
      <c r="S61" s="966">
        <f t="shared" si="46"/>
        <v>5.6988708968563344</v>
      </c>
      <c r="T61" s="966">
        <f t="shared" si="46"/>
        <v>5.9182774263853162</v>
      </c>
      <c r="U61" s="1028"/>
      <c r="V61" s="1029"/>
      <c r="W61" s="1029"/>
      <c r="X61" s="1029"/>
      <c r="AB61"/>
      <c r="AC61"/>
      <c r="AD61"/>
      <c r="AE61"/>
      <c r="AF61"/>
      <c r="AG61"/>
      <c r="AN61" s="1103"/>
      <c r="BG61" s="1104"/>
    </row>
    <row r="62" spans="1:59" s="1100" customFormat="1" ht="15.75" customHeight="1" x14ac:dyDescent="0.2">
      <c r="A62" s="1040"/>
      <c r="B62" s="1102"/>
      <c r="C62" s="1110" t="s">
        <v>80</v>
      </c>
      <c r="D62" s="1110"/>
      <c r="E62" s="1110"/>
      <c r="F62" s="1110"/>
      <c r="G62" s="1110"/>
      <c r="H62" s="1110"/>
      <c r="I62" s="1110"/>
      <c r="J62" s="1110"/>
      <c r="K62" s="1110"/>
      <c r="L62" s="977">
        <f t="shared" ref="L62:T62" si="47">SUM(L59:L61)</f>
        <v>14.418999999999984</v>
      </c>
      <c r="M62" s="977">
        <f t="shared" si="47"/>
        <v>14.900211499999999</v>
      </c>
      <c r="N62" s="977">
        <f t="shared" si="47"/>
        <v>15.399949642749993</v>
      </c>
      <c r="O62" s="977">
        <f t="shared" si="47"/>
        <v>15.91892770399588</v>
      </c>
      <c r="P62" s="977">
        <f t="shared" si="47"/>
        <v>16.487886420599718</v>
      </c>
      <c r="Q62" s="977">
        <f t="shared" si="47"/>
        <v>17.047595047792797</v>
      </c>
      <c r="R62" s="977">
        <f t="shared" si="47"/>
        <v>17.628852457132808</v>
      </c>
      <c r="S62" s="977">
        <f t="shared" si="47"/>
        <v>18.232488276732418</v>
      </c>
      <c r="T62" s="977">
        <f t="shared" si="47"/>
        <v>18.85936407538663</v>
      </c>
      <c r="U62" s="1078"/>
      <c r="V62" s="1029"/>
      <c r="W62" s="1029"/>
      <c r="X62" s="1029"/>
      <c r="AB62"/>
      <c r="AC62"/>
      <c r="AD62"/>
      <c r="AE62"/>
      <c r="AF62"/>
      <c r="AG62"/>
      <c r="AN62" s="1103"/>
      <c r="BG62" s="1104"/>
    </row>
    <row r="63" spans="1:59" x14ac:dyDescent="0.2">
      <c r="A63" s="1040"/>
      <c r="B63" s="1048"/>
      <c r="C63" s="1049"/>
      <c r="D63" s="1049"/>
      <c r="E63" s="1049"/>
      <c r="F63" s="1049"/>
      <c r="G63" s="1049"/>
      <c r="H63" s="1098"/>
      <c r="I63" s="1098"/>
      <c r="J63" s="1094"/>
      <c r="K63" s="1094"/>
      <c r="L63" s="1094"/>
      <c r="M63" s="1094"/>
      <c r="N63" s="1094"/>
      <c r="O63" s="1094"/>
      <c r="P63" s="1094"/>
      <c r="Q63" s="1094"/>
      <c r="R63" s="1094"/>
      <c r="S63" s="1094"/>
      <c r="T63" s="1094"/>
    </row>
    <row r="64" spans="1:59" s="1100" customFormat="1" x14ac:dyDescent="0.2">
      <c r="A64" s="1040"/>
      <c r="B64" s="1106" t="s">
        <v>54</v>
      </c>
      <c r="C64" s="1107" t="s">
        <v>81</v>
      </c>
      <c r="D64" s="1108"/>
      <c r="E64" s="1108"/>
      <c r="F64" s="1108"/>
      <c r="G64" s="1108"/>
      <c r="H64" s="1109"/>
      <c r="I64" s="1109"/>
      <c r="J64" s="1109"/>
      <c r="K64" s="1109"/>
      <c r="L64" s="966"/>
      <c r="M64" s="966"/>
      <c r="N64" s="966"/>
      <c r="O64" s="966"/>
      <c r="P64" s="966"/>
      <c r="Q64" s="966"/>
      <c r="R64" s="966"/>
      <c r="S64" s="966"/>
      <c r="T64" s="966"/>
      <c r="U64" s="1028"/>
      <c r="V64" s="1029"/>
      <c r="W64" s="1029"/>
      <c r="X64" s="1029"/>
      <c r="AB64"/>
      <c r="AC64"/>
      <c r="AD64"/>
      <c r="AE64"/>
      <c r="AF64"/>
      <c r="AG64"/>
      <c r="AN64" s="1103"/>
      <c r="BG64" s="1104"/>
    </row>
    <row r="65" spans="1:59" ht="7.5" customHeight="1" x14ac:dyDescent="0.2">
      <c r="A65" s="1040"/>
      <c r="B65" s="1048"/>
      <c r="C65" s="1049"/>
      <c r="D65" s="1049"/>
      <c r="E65" s="1049"/>
      <c r="F65" s="1049"/>
      <c r="G65" s="1049"/>
      <c r="H65" s="1098"/>
      <c r="I65" s="1098"/>
      <c r="J65" s="1094"/>
      <c r="K65" s="1094"/>
      <c r="L65" s="1094"/>
      <c r="M65" s="1094"/>
      <c r="N65" s="1094"/>
      <c r="O65" s="1094"/>
      <c r="P65" s="1094"/>
      <c r="Q65" s="1094"/>
      <c r="R65" s="1094"/>
      <c r="S65" s="1094"/>
      <c r="T65" s="1094"/>
    </row>
    <row r="66" spans="1:59" s="1100" customFormat="1" ht="15.75" customHeight="1" x14ac:dyDescent="0.2">
      <c r="A66" s="1040"/>
      <c r="B66" s="1102"/>
      <c r="C66" s="1109" t="s">
        <v>411</v>
      </c>
      <c r="D66" s="1109"/>
      <c r="E66" s="1109"/>
      <c r="F66" s="1109"/>
      <c r="G66" s="1109"/>
      <c r="H66" s="1109"/>
      <c r="I66" s="1109"/>
      <c r="J66" s="1109"/>
      <c r="K66" s="1109"/>
      <c r="L66" s="966">
        <f t="shared" ref="L66:T66" si="48">L44-K44</f>
        <v>12.498999999999967</v>
      </c>
      <c r="M66" s="966">
        <f t="shared" si="48"/>
        <v>12.980211499999996</v>
      </c>
      <c r="N66" s="966">
        <f t="shared" si="48"/>
        <v>13.47994964275</v>
      </c>
      <c r="O66" s="966">
        <f t="shared" si="48"/>
        <v>13.998927703995889</v>
      </c>
      <c r="P66" s="966">
        <f t="shared" si="48"/>
        <v>14.537886420599705</v>
      </c>
      <c r="Q66" s="966">
        <f t="shared" si="48"/>
        <v>15.097595047792765</v>
      </c>
      <c r="R66" s="966">
        <f t="shared" si="48"/>
        <v>15.678852457132791</v>
      </c>
      <c r="S66" s="966">
        <f t="shared" si="48"/>
        <v>16.282488276732408</v>
      </c>
      <c r="T66" s="966">
        <f t="shared" si="48"/>
        <v>16.909364075386634</v>
      </c>
      <c r="U66" s="1028"/>
      <c r="V66" s="1029"/>
      <c r="W66" s="1029"/>
      <c r="X66" s="1029"/>
      <c r="AB66"/>
      <c r="AC66"/>
      <c r="AD66"/>
      <c r="AE66"/>
      <c r="AF66"/>
      <c r="AG66"/>
      <c r="AN66" s="1103"/>
      <c r="BG66" s="1104"/>
    </row>
    <row r="67" spans="1:59" s="1100" customFormat="1" ht="15.75" customHeight="1" x14ac:dyDescent="0.2">
      <c r="A67" s="1040"/>
      <c r="B67" s="1102"/>
      <c r="C67" s="1109" t="s">
        <v>74</v>
      </c>
      <c r="D67" s="1109"/>
      <c r="E67" s="1109"/>
      <c r="F67" s="1109"/>
      <c r="G67" s="1109"/>
      <c r="H67" s="1109"/>
      <c r="I67" s="1109"/>
      <c r="J67" s="1109"/>
      <c r="K67" s="1109"/>
      <c r="L67" s="966">
        <f t="shared" ref="L67:T67" si="49">CHOOSE(dropDown2,IF(ISERROR((L22+L38)*(1-L13)+(-L32*(1-L13))+((L24+L20)*(1-L13))),0,(L22+L38)*(1-L13)+(-L32*(1-L13))+((L24+L20)*(1-L13))),IF(ISERROR((L22+L38)*(1-L13)+(-L32*(1-L13))+((L23+L20)*(1-L13))),0,(L22+L38)*(1-L13)+(-L32*(1-L13))+((L23+L20)*(1-L13))))</f>
        <v>1.92</v>
      </c>
      <c r="M67" s="966">
        <f t="shared" si="49"/>
        <v>1.92</v>
      </c>
      <c r="N67" s="966">
        <f t="shared" si="49"/>
        <v>1.92</v>
      </c>
      <c r="O67" s="966">
        <f t="shared" si="49"/>
        <v>1.92</v>
      </c>
      <c r="P67" s="966">
        <f t="shared" si="49"/>
        <v>1.9500000000000002</v>
      </c>
      <c r="Q67" s="966">
        <f t="shared" si="49"/>
        <v>1.9500000000000002</v>
      </c>
      <c r="R67" s="966">
        <f t="shared" si="49"/>
        <v>1.9500000000000002</v>
      </c>
      <c r="S67" s="966">
        <f t="shared" si="49"/>
        <v>1.9500000000000002</v>
      </c>
      <c r="T67" s="966">
        <f t="shared" si="49"/>
        <v>1.9500000000000002</v>
      </c>
      <c r="U67" s="1028"/>
      <c r="V67" s="1029"/>
      <c r="W67" s="1029"/>
      <c r="X67" s="1029"/>
      <c r="AB67"/>
      <c r="AC67"/>
      <c r="AD67"/>
      <c r="AE67"/>
      <c r="AF67"/>
      <c r="AG67"/>
      <c r="AN67" s="1103"/>
      <c r="BG67" s="1104"/>
    </row>
    <row r="68" spans="1:59" s="1100" customFormat="1" ht="15.75" customHeight="1" x14ac:dyDescent="0.2">
      <c r="A68" s="1040"/>
      <c r="B68" s="1102"/>
      <c r="C68" s="1110" t="s">
        <v>385</v>
      </c>
      <c r="D68" s="1110"/>
      <c r="E68" s="1110"/>
      <c r="F68" s="1110"/>
      <c r="G68" s="1110"/>
      <c r="H68" s="1110"/>
      <c r="I68" s="1110"/>
      <c r="J68" s="1110"/>
      <c r="K68" s="1110"/>
      <c r="L68" s="977">
        <f t="shared" ref="L68:Q68" si="50">SUM(L66:L67)</f>
        <v>14.418999999999967</v>
      </c>
      <c r="M68" s="977">
        <f t="shared" si="50"/>
        <v>14.900211499999996</v>
      </c>
      <c r="N68" s="977">
        <f t="shared" si="50"/>
        <v>15.39994964275</v>
      </c>
      <c r="O68" s="977">
        <f t="shared" si="50"/>
        <v>15.918927703995889</v>
      </c>
      <c r="P68" s="977">
        <f t="shared" si="50"/>
        <v>16.487886420599704</v>
      </c>
      <c r="Q68" s="977">
        <f t="shared" si="50"/>
        <v>17.047595047792765</v>
      </c>
      <c r="R68" s="977">
        <f>SUM(R66:R67)</f>
        <v>17.62885245713279</v>
      </c>
      <c r="S68" s="977">
        <f>SUM(S66:S67)</f>
        <v>18.232488276732408</v>
      </c>
      <c r="T68" s="977">
        <f>SUM(T66:T67)</f>
        <v>18.859364075386633</v>
      </c>
      <c r="U68" s="1078"/>
      <c r="V68" s="1029"/>
      <c r="W68" s="1029"/>
      <c r="X68" s="1029"/>
      <c r="AB68"/>
      <c r="AC68"/>
      <c r="AD68"/>
      <c r="AE68"/>
      <c r="AF68"/>
      <c r="AG68"/>
      <c r="AN68" s="1103"/>
      <c r="BG68" s="1104"/>
    </row>
    <row r="69" spans="1:59" s="1112" customFormat="1" ht="24.75" customHeight="1" x14ac:dyDescent="0.2">
      <c r="A69" s="1040"/>
      <c r="B69" s="1113"/>
      <c r="C69" s="1114" t="s">
        <v>443</v>
      </c>
      <c r="D69" s="1115"/>
      <c r="E69" s="1115"/>
      <c r="F69" s="1115"/>
      <c r="G69" s="1115"/>
      <c r="H69" s="1116"/>
      <c r="I69" s="1116"/>
      <c r="J69" s="1116"/>
      <c r="K69" s="1116"/>
      <c r="L69" s="1117">
        <f t="shared" ref="L69:Q69" si="51">ROUND(L62-L68,0)</f>
        <v>0</v>
      </c>
      <c r="M69" s="1117">
        <f t="shared" si="51"/>
        <v>0</v>
      </c>
      <c r="N69" s="1117">
        <f t="shared" si="51"/>
        <v>0</v>
      </c>
      <c r="O69" s="1117">
        <f t="shared" si="51"/>
        <v>0</v>
      </c>
      <c r="P69" s="1117">
        <f t="shared" si="51"/>
        <v>0</v>
      </c>
      <c r="Q69" s="1117">
        <f t="shared" si="51"/>
        <v>0</v>
      </c>
      <c r="R69" s="1117">
        <f>ROUND(R62-R68,0)</f>
        <v>0</v>
      </c>
      <c r="S69" s="1117">
        <f>ROUND(S62-S68,0)</f>
        <v>0</v>
      </c>
      <c r="T69" s="1117">
        <f>ROUND(T62-T68,0)</f>
        <v>0</v>
      </c>
      <c r="U69" s="2062" t="str">
        <f>IF(AND(L69&lt;&gt;0,M69&lt;&gt;0,T69&lt;&gt;0),"Check Failing? : Have you not updated Company Contributions on row 39?","")</f>
        <v/>
      </c>
      <c r="V69" s="2062"/>
      <c r="W69" s="2062"/>
      <c r="X69" s="2062"/>
      <c r="Y69" s="2062"/>
      <c r="AB69"/>
      <c r="AC69"/>
      <c r="AD69"/>
      <c r="AE69"/>
      <c r="AF69"/>
      <c r="AG69"/>
      <c r="BG69" s="1118"/>
    </row>
    <row r="70" spans="1:59" s="1112" customFormat="1" x14ac:dyDescent="0.2">
      <c r="A70" s="1040"/>
      <c r="B70" s="1119"/>
      <c r="C70" s="1120"/>
      <c r="D70" s="1120"/>
      <c r="E70" s="1120"/>
      <c r="F70" s="1120"/>
      <c r="G70" s="1120"/>
      <c r="H70" s="1121"/>
      <c r="I70" s="1121"/>
      <c r="J70" s="1121"/>
      <c r="K70" s="1121"/>
      <c r="L70" s="1122"/>
      <c r="M70" s="1122"/>
      <c r="N70" s="1123"/>
      <c r="O70" s="1122"/>
      <c r="P70" s="1122"/>
      <c r="Q70" s="1122"/>
      <c r="R70" s="1122"/>
      <c r="S70" s="1122"/>
      <c r="T70" s="1124"/>
      <c r="U70" s="1125"/>
      <c r="AB70"/>
      <c r="AC70"/>
      <c r="AD70"/>
      <c r="AE70"/>
      <c r="AF70"/>
      <c r="AG70"/>
      <c r="BG70" s="1118"/>
    </row>
    <row r="71" spans="1:59" x14ac:dyDescent="0.2">
      <c r="B71" s="1119"/>
      <c r="C71" s="1120"/>
      <c r="D71" s="1120"/>
      <c r="E71" s="1120"/>
      <c r="F71" s="1120"/>
      <c r="G71" s="1120"/>
      <c r="S71" s="1126"/>
    </row>
    <row r="72" spans="1:59" x14ac:dyDescent="0.2">
      <c r="C72" s="1130"/>
      <c r="D72" s="1130"/>
      <c r="E72" s="1130"/>
      <c r="F72" s="1130"/>
      <c r="G72" s="1130"/>
      <c r="S72" s="1126"/>
    </row>
    <row r="73" spans="1:59" x14ac:dyDescent="0.2">
      <c r="C73" s="1130"/>
      <c r="D73" s="1130"/>
      <c r="E73" s="1130"/>
      <c r="F73" s="1130"/>
      <c r="G73" s="1130"/>
      <c r="S73" s="1126"/>
    </row>
    <row r="74" spans="1:59" x14ac:dyDescent="0.2">
      <c r="S74" s="1126"/>
    </row>
    <row r="75" spans="1:59" x14ac:dyDescent="0.2">
      <c r="S75" s="1126"/>
    </row>
    <row r="76" spans="1:59" x14ac:dyDescent="0.2">
      <c r="S76" s="1126"/>
    </row>
    <row r="77" spans="1:59" x14ac:dyDescent="0.2">
      <c r="S77" s="1126"/>
    </row>
    <row r="78" spans="1:59" x14ac:dyDescent="0.2">
      <c r="S78" s="1126"/>
    </row>
    <row r="79" spans="1:59" x14ac:dyDescent="0.2">
      <c r="S79" s="1126"/>
    </row>
    <row r="80" spans="1:59" x14ac:dyDescent="0.2">
      <c r="S80" s="1126"/>
    </row>
    <row r="81" spans="19:19" x14ac:dyDescent="0.2">
      <c r="S81" s="1126"/>
    </row>
    <row r="82" spans="19:19" x14ac:dyDescent="0.2">
      <c r="S82" s="1126"/>
    </row>
    <row r="83" spans="19:19" x14ac:dyDescent="0.2">
      <c r="S83" s="1126"/>
    </row>
    <row r="84" spans="19:19" x14ac:dyDescent="0.2">
      <c r="S84" s="1126"/>
    </row>
    <row r="174" spans="43:43" x14ac:dyDescent="0.2">
      <c r="AQ174" s="1029" t="str">
        <f>Pension!AQ184</f>
        <v>USD</v>
      </c>
    </row>
    <row r="182" spans="40:43" x14ac:dyDescent="0.2">
      <c r="AQ182" s="1131"/>
    </row>
    <row r="183" spans="40:43" x14ac:dyDescent="0.2">
      <c r="AP183" s="1132"/>
      <c r="AQ183" s="1131"/>
    </row>
    <row r="184" spans="40:43" x14ac:dyDescent="0.2">
      <c r="AP184" s="1132"/>
      <c r="AQ184" s="1131"/>
    </row>
    <row r="185" spans="40:43" x14ac:dyDescent="0.2">
      <c r="AQ185" s="1133"/>
    </row>
    <row r="186" spans="40:43" x14ac:dyDescent="0.2">
      <c r="AQ186" s="1112"/>
    </row>
    <row r="189" spans="40:43" x14ac:dyDescent="0.2">
      <c r="AP189" s="1111"/>
      <c r="AQ189" s="1112"/>
    </row>
    <row r="190" spans="40:43" x14ac:dyDescent="0.2">
      <c r="AN190" s="1043"/>
      <c r="AO190" s="1134"/>
      <c r="AP190" s="1134"/>
      <c r="AQ190" s="1134"/>
    </row>
    <row r="191" spans="40:43" x14ac:dyDescent="0.2">
      <c r="AN191" s="1043"/>
      <c r="AO191" s="1134"/>
      <c r="AP191" s="1134"/>
      <c r="AQ191" s="1134"/>
    </row>
    <row r="192" spans="40:43" x14ac:dyDescent="0.2">
      <c r="AN192" s="1043"/>
      <c r="AO192" s="1134"/>
      <c r="AP192" s="1134"/>
      <c r="AQ192" s="1134"/>
    </row>
    <row r="193" spans="40:43" x14ac:dyDescent="0.2">
      <c r="AN193" s="1043"/>
      <c r="AO193" s="1134"/>
      <c r="AP193" s="1134"/>
      <c r="AQ193" s="1134"/>
    </row>
    <row r="194" spans="40:43" x14ac:dyDescent="0.2">
      <c r="AN194" s="1043"/>
      <c r="AO194" s="1134"/>
      <c r="AP194" s="1134"/>
      <c r="AQ194" s="1134"/>
    </row>
    <row r="195" spans="40:43" x14ac:dyDescent="0.2">
      <c r="AN195" s="1043"/>
      <c r="AO195" s="1134"/>
      <c r="AP195" s="1134"/>
      <c r="AQ195" s="1134"/>
    </row>
    <row r="196" spans="40:43" x14ac:dyDescent="0.2">
      <c r="AN196" s="1043"/>
      <c r="AO196" s="1134"/>
      <c r="AP196" s="1134"/>
      <c r="AQ196" s="1134"/>
    </row>
    <row r="197" spans="40:43" x14ac:dyDescent="0.2">
      <c r="AN197" s="1043"/>
      <c r="AO197" s="1134"/>
      <c r="AP197" s="1134"/>
      <c r="AQ197" s="1134"/>
    </row>
    <row r="198" spans="40:43" x14ac:dyDescent="0.2">
      <c r="AN198" s="1043"/>
      <c r="AO198" s="1134"/>
      <c r="AP198" s="1134"/>
      <c r="AQ198" s="1134"/>
    </row>
    <row r="199" spans="40:43" x14ac:dyDescent="0.2">
      <c r="AN199" s="1043"/>
      <c r="AO199" s="1134"/>
      <c r="AP199" s="1134"/>
      <c r="AQ199" s="1134"/>
    </row>
    <row r="200" spans="40:43" x14ac:dyDescent="0.2">
      <c r="AN200" s="1043"/>
      <c r="AO200" s="1134"/>
      <c r="AP200" s="1134"/>
      <c r="AQ200" s="1134"/>
    </row>
    <row r="201" spans="40:43" x14ac:dyDescent="0.2">
      <c r="AN201" s="1043"/>
      <c r="AO201" s="1134"/>
      <c r="AP201" s="1134"/>
      <c r="AQ201" s="1134"/>
    </row>
    <row r="202" spans="40:43" x14ac:dyDescent="0.2">
      <c r="AN202" s="1043"/>
      <c r="AO202" s="1134"/>
      <c r="AP202" s="1134"/>
      <c r="AQ202" s="1134"/>
    </row>
    <row r="203" spans="40:43" x14ac:dyDescent="0.2">
      <c r="AN203" s="1043"/>
      <c r="AO203" s="1134"/>
      <c r="AP203" s="1134"/>
      <c r="AQ203" s="1134"/>
    </row>
    <row r="204" spans="40:43" x14ac:dyDescent="0.2">
      <c r="AN204" s="1043"/>
      <c r="AO204" s="1134"/>
      <c r="AP204" s="1134"/>
      <c r="AQ204" s="1134"/>
    </row>
    <row r="205" spans="40:43" x14ac:dyDescent="0.2">
      <c r="AN205" s="1043"/>
      <c r="AO205" s="1134"/>
      <c r="AP205" s="1134"/>
      <c r="AQ205" s="1134"/>
    </row>
    <row r="206" spans="40:43" x14ac:dyDescent="0.2">
      <c r="AN206" s="1043"/>
      <c r="AO206" s="1134"/>
      <c r="AP206" s="1134"/>
      <c r="AQ206" s="1134"/>
    </row>
    <row r="207" spans="40:43" x14ac:dyDescent="0.2">
      <c r="AN207" s="1043"/>
      <c r="AO207" s="1134"/>
      <c r="AP207" s="1134"/>
      <c r="AQ207" s="1134"/>
    </row>
    <row r="208" spans="40:43" x14ac:dyDescent="0.2">
      <c r="AN208" s="1043"/>
      <c r="AO208" s="1134"/>
      <c r="AP208" s="1134"/>
      <c r="AQ208" s="1134"/>
    </row>
    <row r="209" spans="40:43" x14ac:dyDescent="0.2">
      <c r="AN209" s="1043"/>
      <c r="AO209" s="1134"/>
      <c r="AP209" s="1134"/>
      <c r="AQ209" s="1134"/>
    </row>
    <row r="210" spans="40:43" x14ac:dyDescent="0.2">
      <c r="AN210" s="1043"/>
      <c r="AO210" s="1134"/>
      <c r="AP210" s="1134"/>
      <c r="AQ210" s="1134"/>
    </row>
    <row r="211" spans="40:43" x14ac:dyDescent="0.2">
      <c r="AN211" s="1043"/>
      <c r="AO211" s="1134"/>
      <c r="AP211" s="1134"/>
      <c r="AQ211" s="1134"/>
    </row>
    <row r="212" spans="40:43" x14ac:dyDescent="0.2">
      <c r="AN212" s="1043"/>
      <c r="AO212" s="1134"/>
      <c r="AP212" s="1134"/>
      <c r="AQ212" s="1134"/>
    </row>
    <row r="213" spans="40:43" x14ac:dyDescent="0.2">
      <c r="AN213" s="1043"/>
      <c r="AO213" s="1134"/>
      <c r="AP213" s="1134"/>
      <c r="AQ213" s="1134"/>
    </row>
    <row r="214" spans="40:43" x14ac:dyDescent="0.2">
      <c r="AN214" s="1043"/>
      <c r="AO214" s="1134"/>
      <c r="AP214" s="1134"/>
      <c r="AQ214" s="1134"/>
    </row>
    <row r="215" spans="40:43" x14ac:dyDescent="0.2">
      <c r="AN215" s="1043"/>
      <c r="AO215" s="1134"/>
      <c r="AP215" s="1134"/>
      <c r="AQ215" s="1134"/>
    </row>
    <row r="216" spans="40:43" x14ac:dyDescent="0.2">
      <c r="AN216" s="1043"/>
      <c r="AO216" s="1134"/>
      <c r="AP216" s="1134"/>
      <c r="AQ216" s="1134"/>
    </row>
    <row r="217" spans="40:43" x14ac:dyDescent="0.2">
      <c r="AN217" s="1043"/>
      <c r="AO217" s="1134"/>
      <c r="AP217" s="1134"/>
      <c r="AQ217" s="1134"/>
    </row>
    <row r="218" spans="40:43" x14ac:dyDescent="0.2">
      <c r="AN218" s="1043"/>
      <c r="AO218" s="1134"/>
      <c r="AP218" s="1134"/>
      <c r="AQ218" s="1134"/>
    </row>
    <row r="219" spans="40:43" x14ac:dyDescent="0.2">
      <c r="AN219" s="1043"/>
      <c r="AO219" s="1134"/>
      <c r="AP219" s="1134"/>
      <c r="AQ219" s="1134"/>
    </row>
    <row r="220" spans="40:43" x14ac:dyDescent="0.2">
      <c r="AN220" s="1043"/>
      <c r="AO220" s="1134"/>
      <c r="AP220" s="1134"/>
      <c r="AQ220" s="1134"/>
    </row>
    <row r="221" spans="40:43" x14ac:dyDescent="0.2">
      <c r="AN221" s="1043"/>
      <c r="AO221" s="1134"/>
      <c r="AP221" s="1134"/>
      <c r="AQ221" s="1134"/>
    </row>
    <row r="222" spans="40:43" x14ac:dyDescent="0.2">
      <c r="AN222" s="1043"/>
      <c r="AO222" s="1134"/>
      <c r="AP222" s="1134"/>
      <c r="AQ222" s="1134"/>
    </row>
    <row r="223" spans="40:43" x14ac:dyDescent="0.2">
      <c r="AN223" s="1043"/>
      <c r="AO223" s="1134"/>
      <c r="AP223" s="1134"/>
      <c r="AQ223" s="1134"/>
    </row>
    <row r="224" spans="40:43" x14ac:dyDescent="0.2">
      <c r="AN224" s="1043"/>
      <c r="AO224" s="1134"/>
      <c r="AP224" s="1134"/>
      <c r="AQ224" s="1134"/>
    </row>
    <row r="225" spans="40:43" x14ac:dyDescent="0.2">
      <c r="AN225" s="1043"/>
      <c r="AO225" s="1134"/>
      <c r="AP225" s="1134"/>
      <c r="AQ225" s="1134"/>
    </row>
    <row r="226" spans="40:43" x14ac:dyDescent="0.2">
      <c r="AN226" s="1043"/>
      <c r="AO226" s="1134"/>
      <c r="AP226" s="1134"/>
      <c r="AQ226" s="1134"/>
    </row>
    <row r="227" spans="40:43" x14ac:dyDescent="0.2">
      <c r="AN227" s="1043"/>
      <c r="AO227" s="1134"/>
      <c r="AP227" s="1134"/>
      <c r="AQ227" s="1134"/>
    </row>
    <row r="228" spans="40:43" x14ac:dyDescent="0.2">
      <c r="AN228" s="1043"/>
      <c r="AO228" s="1134"/>
      <c r="AP228" s="1134"/>
      <c r="AQ228" s="1134"/>
    </row>
    <row r="229" spans="40:43" x14ac:dyDescent="0.2">
      <c r="AN229" s="1043"/>
      <c r="AO229" s="1134"/>
      <c r="AP229" s="1134"/>
      <c r="AQ229" s="1134"/>
    </row>
    <row r="230" spans="40:43" x14ac:dyDescent="0.2">
      <c r="AN230" s="1043"/>
      <c r="AO230" s="1134"/>
      <c r="AP230" s="1134"/>
      <c r="AQ230" s="1134"/>
    </row>
    <row r="231" spans="40:43" x14ac:dyDescent="0.2">
      <c r="AN231" s="1043"/>
      <c r="AO231" s="1134"/>
      <c r="AP231" s="1134"/>
      <c r="AQ231" s="1134"/>
    </row>
    <row r="232" spans="40:43" x14ac:dyDescent="0.2">
      <c r="AN232" s="1043"/>
      <c r="AO232" s="1134"/>
      <c r="AP232" s="1134"/>
      <c r="AQ232" s="1134"/>
    </row>
    <row r="233" spans="40:43" x14ac:dyDescent="0.2">
      <c r="AN233" s="1043"/>
      <c r="AO233" s="1134"/>
      <c r="AP233" s="1134"/>
      <c r="AQ233" s="1134"/>
    </row>
    <row r="234" spans="40:43" x14ac:dyDescent="0.2">
      <c r="AN234" s="1043"/>
      <c r="AO234" s="1134"/>
      <c r="AP234" s="1134"/>
      <c r="AQ234" s="1134"/>
    </row>
    <row r="235" spans="40:43" x14ac:dyDescent="0.2">
      <c r="AN235" s="1043"/>
      <c r="AO235" s="1134"/>
      <c r="AP235" s="1134"/>
      <c r="AQ235" s="1134"/>
    </row>
    <row r="236" spans="40:43" x14ac:dyDescent="0.2">
      <c r="AN236" s="1043"/>
      <c r="AO236" s="1134"/>
      <c r="AP236" s="1134"/>
      <c r="AQ236" s="1134"/>
    </row>
    <row r="237" spans="40:43" x14ac:dyDescent="0.2">
      <c r="AN237" s="1043"/>
      <c r="AO237" s="1134"/>
      <c r="AP237" s="1134"/>
      <c r="AQ237" s="1134"/>
    </row>
    <row r="238" spans="40:43" x14ac:dyDescent="0.2">
      <c r="AN238" s="1043"/>
      <c r="AO238" s="1134"/>
      <c r="AP238" s="1134"/>
      <c r="AQ238" s="1134"/>
    </row>
    <row r="239" spans="40:43" x14ac:dyDescent="0.2">
      <c r="AN239" s="1043"/>
      <c r="AO239" s="1134"/>
      <c r="AP239" s="1134"/>
      <c r="AQ239" s="1134"/>
    </row>
    <row r="240" spans="40:43" x14ac:dyDescent="0.2">
      <c r="AN240" s="1043"/>
      <c r="AO240" s="1134"/>
      <c r="AP240" s="1134"/>
      <c r="AQ240" s="1134"/>
    </row>
    <row r="241" spans="40:43" x14ac:dyDescent="0.2">
      <c r="AN241" s="1043"/>
      <c r="AO241" s="1134"/>
      <c r="AP241" s="1134"/>
      <c r="AQ241" s="1134"/>
    </row>
    <row r="242" spans="40:43" x14ac:dyDescent="0.2">
      <c r="AN242" s="1043"/>
      <c r="AO242" s="1134"/>
      <c r="AP242" s="1134"/>
      <c r="AQ242" s="1134"/>
    </row>
    <row r="243" spans="40:43" x14ac:dyDescent="0.2">
      <c r="AN243" s="1043"/>
      <c r="AO243" s="1134"/>
      <c r="AP243" s="1134"/>
      <c r="AQ243" s="1134"/>
    </row>
    <row r="244" spans="40:43" x14ac:dyDescent="0.2">
      <c r="AN244" s="1043"/>
      <c r="AO244" s="1134"/>
      <c r="AP244" s="1134"/>
      <c r="AQ244" s="1134"/>
    </row>
    <row r="245" spans="40:43" x14ac:dyDescent="0.2">
      <c r="AN245" s="1043"/>
      <c r="AO245" s="1134"/>
      <c r="AP245" s="1134"/>
      <c r="AQ245" s="1134"/>
    </row>
    <row r="246" spans="40:43" x14ac:dyDescent="0.2">
      <c r="AN246" s="1043"/>
      <c r="AO246" s="1134"/>
      <c r="AP246" s="1112"/>
      <c r="AQ246" s="1134"/>
    </row>
  </sheetData>
  <mergeCells count="3">
    <mergeCell ref="A1:A2"/>
    <mergeCell ref="C55:T55"/>
    <mergeCell ref="U69:Y69"/>
  </mergeCell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6658049" r:id="rId4" name="ComboBox1">
          <controlPr defaultSize="0" autoLine="0" linkedCell="AY18" listFillRange="AY19:AY20" r:id="rId5">
            <anchor moveWithCells="1">
              <from>
                <xdr:col>10</xdr:col>
                <xdr:colOff>476250</xdr:colOff>
                <xdr:row>0</xdr:row>
                <xdr:rowOff>57150</xdr:rowOff>
              </from>
              <to>
                <xdr:col>14</xdr:col>
                <xdr:colOff>0</xdr:colOff>
                <xdr:row>1</xdr:row>
                <xdr:rowOff>180975</xdr:rowOff>
              </to>
            </anchor>
          </controlPr>
        </control>
      </mc:Choice>
      <mc:Fallback>
        <control shapeId="6658049" r:id="rId4" name="ComboBox1"/>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43"/>
  <sheetViews>
    <sheetView workbookViewId="0">
      <selection activeCell="B42" sqref="B42"/>
    </sheetView>
  </sheetViews>
  <sheetFormatPr defaultRowHeight="12.75" x14ac:dyDescent="0.2"/>
  <cols>
    <col min="1" max="1" width="29.5703125" style="1085" bestFit="1" customWidth="1"/>
    <col min="2" max="2" width="19.85546875" style="2087" customWidth="1"/>
    <col min="3" max="3" width="12" style="1085" bestFit="1" customWidth="1"/>
    <col min="4" max="256" width="9.140625" style="1085"/>
    <col min="257" max="257" width="29.5703125" style="1085" bestFit="1" customWidth="1"/>
    <col min="258" max="258" width="19.85546875" style="1085" customWidth="1"/>
    <col min="259" max="259" width="12" style="1085" bestFit="1" customWidth="1"/>
    <col min="260" max="512" width="9.140625" style="1085"/>
    <col min="513" max="513" width="29.5703125" style="1085" bestFit="1" customWidth="1"/>
    <col min="514" max="514" width="19.85546875" style="1085" customWidth="1"/>
    <col min="515" max="515" width="12" style="1085" bestFit="1" customWidth="1"/>
    <col min="516" max="768" width="9.140625" style="1085"/>
    <col min="769" max="769" width="29.5703125" style="1085" bestFit="1" customWidth="1"/>
    <col min="770" max="770" width="19.85546875" style="1085" customWidth="1"/>
    <col min="771" max="771" width="12" style="1085" bestFit="1" customWidth="1"/>
    <col min="772" max="1024" width="9.140625" style="1085"/>
    <col min="1025" max="1025" width="29.5703125" style="1085" bestFit="1" customWidth="1"/>
    <col min="1026" max="1026" width="19.85546875" style="1085" customWidth="1"/>
    <col min="1027" max="1027" width="12" style="1085" bestFit="1" customWidth="1"/>
    <col min="1028" max="1280" width="9.140625" style="1085"/>
    <col min="1281" max="1281" width="29.5703125" style="1085" bestFit="1" customWidth="1"/>
    <col min="1282" max="1282" width="19.85546875" style="1085" customWidth="1"/>
    <col min="1283" max="1283" width="12" style="1085" bestFit="1" customWidth="1"/>
    <col min="1284" max="1536" width="9.140625" style="1085"/>
    <col min="1537" max="1537" width="29.5703125" style="1085" bestFit="1" customWidth="1"/>
    <col min="1538" max="1538" width="19.85546875" style="1085" customWidth="1"/>
    <col min="1539" max="1539" width="12" style="1085" bestFit="1" customWidth="1"/>
    <col min="1540" max="1792" width="9.140625" style="1085"/>
    <col min="1793" max="1793" width="29.5703125" style="1085" bestFit="1" customWidth="1"/>
    <col min="1794" max="1794" width="19.85546875" style="1085" customWidth="1"/>
    <col min="1795" max="1795" width="12" style="1085" bestFit="1" customWidth="1"/>
    <col min="1796" max="2048" width="9.140625" style="1085"/>
    <col min="2049" max="2049" width="29.5703125" style="1085" bestFit="1" customWidth="1"/>
    <col min="2050" max="2050" width="19.85546875" style="1085" customWidth="1"/>
    <col min="2051" max="2051" width="12" style="1085" bestFit="1" customWidth="1"/>
    <col min="2052" max="2304" width="9.140625" style="1085"/>
    <col min="2305" max="2305" width="29.5703125" style="1085" bestFit="1" customWidth="1"/>
    <col min="2306" max="2306" width="19.85546875" style="1085" customWidth="1"/>
    <col min="2307" max="2307" width="12" style="1085" bestFit="1" customWidth="1"/>
    <col min="2308" max="2560" width="9.140625" style="1085"/>
    <col min="2561" max="2561" width="29.5703125" style="1085" bestFit="1" customWidth="1"/>
    <col min="2562" max="2562" width="19.85546875" style="1085" customWidth="1"/>
    <col min="2563" max="2563" width="12" style="1085" bestFit="1" customWidth="1"/>
    <col min="2564" max="2816" width="9.140625" style="1085"/>
    <col min="2817" max="2817" width="29.5703125" style="1085" bestFit="1" customWidth="1"/>
    <col min="2818" max="2818" width="19.85546875" style="1085" customWidth="1"/>
    <col min="2819" max="2819" width="12" style="1085" bestFit="1" customWidth="1"/>
    <col min="2820" max="3072" width="9.140625" style="1085"/>
    <col min="3073" max="3073" width="29.5703125" style="1085" bestFit="1" customWidth="1"/>
    <col min="3074" max="3074" width="19.85546875" style="1085" customWidth="1"/>
    <col min="3075" max="3075" width="12" style="1085" bestFit="1" customWidth="1"/>
    <col min="3076" max="3328" width="9.140625" style="1085"/>
    <col min="3329" max="3329" width="29.5703125" style="1085" bestFit="1" customWidth="1"/>
    <col min="3330" max="3330" width="19.85546875" style="1085" customWidth="1"/>
    <col min="3331" max="3331" width="12" style="1085" bestFit="1" customWidth="1"/>
    <col min="3332" max="3584" width="9.140625" style="1085"/>
    <col min="3585" max="3585" width="29.5703125" style="1085" bestFit="1" customWidth="1"/>
    <col min="3586" max="3586" width="19.85546875" style="1085" customWidth="1"/>
    <col min="3587" max="3587" width="12" style="1085" bestFit="1" customWidth="1"/>
    <col min="3588" max="3840" width="9.140625" style="1085"/>
    <col min="3841" max="3841" width="29.5703125" style="1085" bestFit="1" customWidth="1"/>
    <col min="3842" max="3842" width="19.85546875" style="1085" customWidth="1"/>
    <col min="3843" max="3843" width="12" style="1085" bestFit="1" customWidth="1"/>
    <col min="3844" max="4096" width="9.140625" style="1085"/>
    <col min="4097" max="4097" width="29.5703125" style="1085" bestFit="1" customWidth="1"/>
    <col min="4098" max="4098" width="19.85546875" style="1085" customWidth="1"/>
    <col min="4099" max="4099" width="12" style="1085" bestFit="1" customWidth="1"/>
    <col min="4100" max="4352" width="9.140625" style="1085"/>
    <col min="4353" max="4353" width="29.5703125" style="1085" bestFit="1" customWidth="1"/>
    <col min="4354" max="4354" width="19.85546875" style="1085" customWidth="1"/>
    <col min="4355" max="4355" width="12" style="1085" bestFit="1" customWidth="1"/>
    <col min="4356" max="4608" width="9.140625" style="1085"/>
    <col min="4609" max="4609" width="29.5703125" style="1085" bestFit="1" customWidth="1"/>
    <col min="4610" max="4610" width="19.85546875" style="1085" customWidth="1"/>
    <col min="4611" max="4611" width="12" style="1085" bestFit="1" customWidth="1"/>
    <col min="4612" max="4864" width="9.140625" style="1085"/>
    <col min="4865" max="4865" width="29.5703125" style="1085" bestFit="1" customWidth="1"/>
    <col min="4866" max="4866" width="19.85546875" style="1085" customWidth="1"/>
    <col min="4867" max="4867" width="12" style="1085" bestFit="1" customWidth="1"/>
    <col min="4868" max="5120" width="9.140625" style="1085"/>
    <col min="5121" max="5121" width="29.5703125" style="1085" bestFit="1" customWidth="1"/>
    <col min="5122" max="5122" width="19.85546875" style="1085" customWidth="1"/>
    <col min="5123" max="5123" width="12" style="1085" bestFit="1" customWidth="1"/>
    <col min="5124" max="5376" width="9.140625" style="1085"/>
    <col min="5377" max="5377" width="29.5703125" style="1085" bestFit="1" customWidth="1"/>
    <col min="5378" max="5378" width="19.85546875" style="1085" customWidth="1"/>
    <col min="5379" max="5379" width="12" style="1085" bestFit="1" customWidth="1"/>
    <col min="5380" max="5632" width="9.140625" style="1085"/>
    <col min="5633" max="5633" width="29.5703125" style="1085" bestFit="1" customWidth="1"/>
    <col min="5634" max="5634" width="19.85546875" style="1085" customWidth="1"/>
    <col min="5635" max="5635" width="12" style="1085" bestFit="1" customWidth="1"/>
    <col min="5636" max="5888" width="9.140625" style="1085"/>
    <col min="5889" max="5889" width="29.5703125" style="1085" bestFit="1" customWidth="1"/>
    <col min="5890" max="5890" width="19.85546875" style="1085" customWidth="1"/>
    <col min="5891" max="5891" width="12" style="1085" bestFit="1" customWidth="1"/>
    <col min="5892" max="6144" width="9.140625" style="1085"/>
    <col min="6145" max="6145" width="29.5703125" style="1085" bestFit="1" customWidth="1"/>
    <col min="6146" max="6146" width="19.85546875" style="1085" customWidth="1"/>
    <col min="6147" max="6147" width="12" style="1085" bestFit="1" customWidth="1"/>
    <col min="6148" max="6400" width="9.140625" style="1085"/>
    <col min="6401" max="6401" width="29.5703125" style="1085" bestFit="1" customWidth="1"/>
    <col min="6402" max="6402" width="19.85546875" style="1085" customWidth="1"/>
    <col min="6403" max="6403" width="12" style="1085" bestFit="1" customWidth="1"/>
    <col min="6404" max="6656" width="9.140625" style="1085"/>
    <col min="6657" max="6657" width="29.5703125" style="1085" bestFit="1" customWidth="1"/>
    <col min="6658" max="6658" width="19.85546875" style="1085" customWidth="1"/>
    <col min="6659" max="6659" width="12" style="1085" bestFit="1" customWidth="1"/>
    <col min="6660" max="6912" width="9.140625" style="1085"/>
    <col min="6913" max="6913" width="29.5703125" style="1085" bestFit="1" customWidth="1"/>
    <col min="6914" max="6914" width="19.85546875" style="1085" customWidth="1"/>
    <col min="6915" max="6915" width="12" style="1085" bestFit="1" customWidth="1"/>
    <col min="6916" max="7168" width="9.140625" style="1085"/>
    <col min="7169" max="7169" width="29.5703125" style="1085" bestFit="1" customWidth="1"/>
    <col min="7170" max="7170" width="19.85546875" style="1085" customWidth="1"/>
    <col min="7171" max="7171" width="12" style="1085" bestFit="1" customWidth="1"/>
    <col min="7172" max="7424" width="9.140625" style="1085"/>
    <col min="7425" max="7425" width="29.5703125" style="1085" bestFit="1" customWidth="1"/>
    <col min="7426" max="7426" width="19.85546875" style="1085" customWidth="1"/>
    <col min="7427" max="7427" width="12" style="1085" bestFit="1" customWidth="1"/>
    <col min="7428" max="7680" width="9.140625" style="1085"/>
    <col min="7681" max="7681" width="29.5703125" style="1085" bestFit="1" customWidth="1"/>
    <col min="7682" max="7682" width="19.85546875" style="1085" customWidth="1"/>
    <col min="7683" max="7683" width="12" style="1085" bestFit="1" customWidth="1"/>
    <col min="7684" max="7936" width="9.140625" style="1085"/>
    <col min="7937" max="7937" width="29.5703125" style="1085" bestFit="1" customWidth="1"/>
    <col min="7938" max="7938" width="19.85546875" style="1085" customWidth="1"/>
    <col min="7939" max="7939" width="12" style="1085" bestFit="1" customWidth="1"/>
    <col min="7940" max="8192" width="9.140625" style="1085"/>
    <col min="8193" max="8193" width="29.5703125" style="1085" bestFit="1" customWidth="1"/>
    <col min="8194" max="8194" width="19.85546875" style="1085" customWidth="1"/>
    <col min="8195" max="8195" width="12" style="1085" bestFit="1" customWidth="1"/>
    <col min="8196" max="8448" width="9.140625" style="1085"/>
    <col min="8449" max="8449" width="29.5703125" style="1085" bestFit="1" customWidth="1"/>
    <col min="8450" max="8450" width="19.85546875" style="1085" customWidth="1"/>
    <col min="8451" max="8451" width="12" style="1085" bestFit="1" customWidth="1"/>
    <col min="8452" max="8704" width="9.140625" style="1085"/>
    <col min="8705" max="8705" width="29.5703125" style="1085" bestFit="1" customWidth="1"/>
    <col min="8706" max="8706" width="19.85546875" style="1085" customWidth="1"/>
    <col min="8707" max="8707" width="12" style="1085" bestFit="1" customWidth="1"/>
    <col min="8708" max="8960" width="9.140625" style="1085"/>
    <col min="8961" max="8961" width="29.5703125" style="1085" bestFit="1" customWidth="1"/>
    <col min="8962" max="8962" width="19.85546875" style="1085" customWidth="1"/>
    <col min="8963" max="8963" width="12" style="1085" bestFit="1" customWidth="1"/>
    <col min="8964" max="9216" width="9.140625" style="1085"/>
    <col min="9217" max="9217" width="29.5703125" style="1085" bestFit="1" customWidth="1"/>
    <col min="9218" max="9218" width="19.85546875" style="1085" customWidth="1"/>
    <col min="9219" max="9219" width="12" style="1085" bestFit="1" customWidth="1"/>
    <col min="9220" max="9472" width="9.140625" style="1085"/>
    <col min="9473" max="9473" width="29.5703125" style="1085" bestFit="1" customWidth="1"/>
    <col min="9474" max="9474" width="19.85546875" style="1085" customWidth="1"/>
    <col min="9475" max="9475" width="12" style="1085" bestFit="1" customWidth="1"/>
    <col min="9476" max="9728" width="9.140625" style="1085"/>
    <col min="9729" max="9729" width="29.5703125" style="1085" bestFit="1" customWidth="1"/>
    <col min="9730" max="9730" width="19.85546875" style="1085" customWidth="1"/>
    <col min="9731" max="9731" width="12" style="1085" bestFit="1" customWidth="1"/>
    <col min="9732" max="9984" width="9.140625" style="1085"/>
    <col min="9985" max="9985" width="29.5703125" style="1085" bestFit="1" customWidth="1"/>
    <col min="9986" max="9986" width="19.85546875" style="1085" customWidth="1"/>
    <col min="9987" max="9987" width="12" style="1085" bestFit="1" customWidth="1"/>
    <col min="9988" max="10240" width="9.140625" style="1085"/>
    <col min="10241" max="10241" width="29.5703125" style="1085" bestFit="1" customWidth="1"/>
    <col min="10242" max="10242" width="19.85546875" style="1085" customWidth="1"/>
    <col min="10243" max="10243" width="12" style="1085" bestFit="1" customWidth="1"/>
    <col min="10244" max="10496" width="9.140625" style="1085"/>
    <col min="10497" max="10497" width="29.5703125" style="1085" bestFit="1" customWidth="1"/>
    <col min="10498" max="10498" width="19.85546875" style="1085" customWidth="1"/>
    <col min="10499" max="10499" width="12" style="1085" bestFit="1" customWidth="1"/>
    <col min="10500" max="10752" width="9.140625" style="1085"/>
    <col min="10753" max="10753" width="29.5703125" style="1085" bestFit="1" customWidth="1"/>
    <col min="10754" max="10754" width="19.85546875" style="1085" customWidth="1"/>
    <col min="10755" max="10755" width="12" style="1085" bestFit="1" customWidth="1"/>
    <col min="10756" max="11008" width="9.140625" style="1085"/>
    <col min="11009" max="11009" width="29.5703125" style="1085" bestFit="1" customWidth="1"/>
    <col min="11010" max="11010" width="19.85546875" style="1085" customWidth="1"/>
    <col min="11011" max="11011" width="12" style="1085" bestFit="1" customWidth="1"/>
    <col min="11012" max="11264" width="9.140625" style="1085"/>
    <col min="11265" max="11265" width="29.5703125" style="1085" bestFit="1" customWidth="1"/>
    <col min="11266" max="11266" width="19.85546875" style="1085" customWidth="1"/>
    <col min="11267" max="11267" width="12" style="1085" bestFit="1" customWidth="1"/>
    <col min="11268" max="11520" width="9.140625" style="1085"/>
    <col min="11521" max="11521" width="29.5703125" style="1085" bestFit="1" customWidth="1"/>
    <col min="11522" max="11522" width="19.85546875" style="1085" customWidth="1"/>
    <col min="11523" max="11523" width="12" style="1085" bestFit="1" customWidth="1"/>
    <col min="11524" max="11776" width="9.140625" style="1085"/>
    <col min="11777" max="11777" width="29.5703125" style="1085" bestFit="1" customWidth="1"/>
    <col min="11778" max="11778" width="19.85546875" style="1085" customWidth="1"/>
    <col min="11779" max="11779" width="12" style="1085" bestFit="1" customWidth="1"/>
    <col min="11780" max="12032" width="9.140625" style="1085"/>
    <col min="12033" max="12033" width="29.5703125" style="1085" bestFit="1" customWidth="1"/>
    <col min="12034" max="12034" width="19.85546875" style="1085" customWidth="1"/>
    <col min="12035" max="12035" width="12" style="1085" bestFit="1" customWidth="1"/>
    <col min="12036" max="12288" width="9.140625" style="1085"/>
    <col min="12289" max="12289" width="29.5703125" style="1085" bestFit="1" customWidth="1"/>
    <col min="12290" max="12290" width="19.85546875" style="1085" customWidth="1"/>
    <col min="12291" max="12291" width="12" style="1085" bestFit="1" customWidth="1"/>
    <col min="12292" max="12544" width="9.140625" style="1085"/>
    <col min="12545" max="12545" width="29.5703125" style="1085" bestFit="1" customWidth="1"/>
    <col min="12546" max="12546" width="19.85546875" style="1085" customWidth="1"/>
    <col min="12547" max="12547" width="12" style="1085" bestFit="1" customWidth="1"/>
    <col min="12548" max="12800" width="9.140625" style="1085"/>
    <col min="12801" max="12801" width="29.5703125" style="1085" bestFit="1" customWidth="1"/>
    <col min="12802" max="12802" width="19.85546875" style="1085" customWidth="1"/>
    <col min="12803" max="12803" width="12" style="1085" bestFit="1" customWidth="1"/>
    <col min="12804" max="13056" width="9.140625" style="1085"/>
    <col min="13057" max="13057" width="29.5703125" style="1085" bestFit="1" customWidth="1"/>
    <col min="13058" max="13058" width="19.85546875" style="1085" customWidth="1"/>
    <col min="13059" max="13059" width="12" style="1085" bestFit="1" customWidth="1"/>
    <col min="13060" max="13312" width="9.140625" style="1085"/>
    <col min="13313" max="13313" width="29.5703125" style="1085" bestFit="1" customWidth="1"/>
    <col min="13314" max="13314" width="19.85546875" style="1085" customWidth="1"/>
    <col min="13315" max="13315" width="12" style="1085" bestFit="1" customWidth="1"/>
    <col min="13316" max="13568" width="9.140625" style="1085"/>
    <col min="13569" max="13569" width="29.5703125" style="1085" bestFit="1" customWidth="1"/>
    <col min="13570" max="13570" width="19.85546875" style="1085" customWidth="1"/>
    <col min="13571" max="13571" width="12" style="1085" bestFit="1" customWidth="1"/>
    <col min="13572" max="13824" width="9.140625" style="1085"/>
    <col min="13825" max="13825" width="29.5703125" style="1085" bestFit="1" customWidth="1"/>
    <col min="13826" max="13826" width="19.85546875" style="1085" customWidth="1"/>
    <col min="13827" max="13827" width="12" style="1085" bestFit="1" customWidth="1"/>
    <col min="13828" max="14080" width="9.140625" style="1085"/>
    <col min="14081" max="14081" width="29.5703125" style="1085" bestFit="1" customWidth="1"/>
    <col min="14082" max="14082" width="19.85546875" style="1085" customWidth="1"/>
    <col min="14083" max="14083" width="12" style="1085" bestFit="1" customWidth="1"/>
    <col min="14084" max="14336" width="9.140625" style="1085"/>
    <col min="14337" max="14337" width="29.5703125" style="1085" bestFit="1" customWidth="1"/>
    <col min="14338" max="14338" width="19.85546875" style="1085" customWidth="1"/>
    <col min="14339" max="14339" width="12" style="1085" bestFit="1" customWidth="1"/>
    <col min="14340" max="14592" width="9.140625" style="1085"/>
    <col min="14593" max="14593" width="29.5703125" style="1085" bestFit="1" customWidth="1"/>
    <col min="14594" max="14594" width="19.85546875" style="1085" customWidth="1"/>
    <col min="14595" max="14595" width="12" style="1085" bestFit="1" customWidth="1"/>
    <col min="14596" max="14848" width="9.140625" style="1085"/>
    <col min="14849" max="14849" width="29.5703125" style="1085" bestFit="1" customWidth="1"/>
    <col min="14850" max="14850" width="19.85546875" style="1085" customWidth="1"/>
    <col min="14851" max="14851" width="12" style="1085" bestFit="1" customWidth="1"/>
    <col min="14852" max="15104" width="9.140625" style="1085"/>
    <col min="15105" max="15105" width="29.5703125" style="1085" bestFit="1" customWidth="1"/>
    <col min="15106" max="15106" width="19.85546875" style="1085" customWidth="1"/>
    <col min="15107" max="15107" width="12" style="1085" bestFit="1" customWidth="1"/>
    <col min="15108" max="15360" width="9.140625" style="1085"/>
    <col min="15361" max="15361" width="29.5703125" style="1085" bestFit="1" customWidth="1"/>
    <col min="15362" max="15362" width="19.85546875" style="1085" customWidth="1"/>
    <col min="15363" max="15363" width="12" style="1085" bestFit="1" customWidth="1"/>
    <col min="15364" max="15616" width="9.140625" style="1085"/>
    <col min="15617" max="15617" width="29.5703125" style="1085" bestFit="1" customWidth="1"/>
    <col min="15618" max="15618" width="19.85546875" style="1085" customWidth="1"/>
    <col min="15619" max="15619" width="12" style="1085" bestFit="1" customWidth="1"/>
    <col min="15620" max="15872" width="9.140625" style="1085"/>
    <col min="15873" max="15873" width="29.5703125" style="1085" bestFit="1" customWidth="1"/>
    <col min="15874" max="15874" width="19.85546875" style="1085" customWidth="1"/>
    <col min="15875" max="15875" width="12" style="1085" bestFit="1" customWidth="1"/>
    <col min="15876" max="16128" width="9.140625" style="1085"/>
    <col min="16129" max="16129" width="29.5703125" style="1085" bestFit="1" customWidth="1"/>
    <col min="16130" max="16130" width="19.85546875" style="1085" customWidth="1"/>
    <col min="16131" max="16131" width="12" style="1085" bestFit="1" customWidth="1"/>
    <col min="16132" max="16384" width="9.140625" style="1085"/>
  </cols>
  <sheetData>
    <row r="1" spans="1:2" x14ac:dyDescent="0.2">
      <c r="A1" s="1085" t="s">
        <v>1130</v>
      </c>
      <c r="B1" s="2086">
        <v>6.1</v>
      </c>
    </row>
    <row r="2" spans="1:2" x14ac:dyDescent="0.2">
      <c r="A2" s="1085" t="s">
        <v>1131</v>
      </c>
      <c r="B2" s="2090">
        <v>43207.990694444445</v>
      </c>
    </row>
    <row r="3" spans="1:2" x14ac:dyDescent="0.2">
      <c r="A3" s="1085" t="s">
        <v>1132</v>
      </c>
      <c r="B3" s="2087" t="s">
        <v>338</v>
      </c>
    </row>
    <row r="4" spans="1:2" x14ac:dyDescent="0.2">
      <c r="A4" s="1085" t="s">
        <v>1133</v>
      </c>
      <c r="B4" s="2087" t="s">
        <v>1134</v>
      </c>
    </row>
    <row r="5" spans="1:2" x14ac:dyDescent="0.2">
      <c r="A5" s="1085" t="s">
        <v>1135</v>
      </c>
      <c r="B5" s="2087" t="s">
        <v>1136</v>
      </c>
    </row>
    <row r="6" spans="1:2" x14ac:dyDescent="0.2">
      <c r="A6" s="1085" t="s">
        <v>1137</v>
      </c>
    </row>
    <row r="7" spans="1:2" x14ac:dyDescent="0.2">
      <c r="A7" s="1085" t="s">
        <v>1138</v>
      </c>
      <c r="B7" s="2087" t="s">
        <v>278</v>
      </c>
    </row>
    <row r="8" spans="1:2" x14ac:dyDescent="0.2">
      <c r="A8" s="1085" t="s">
        <v>1139</v>
      </c>
      <c r="B8" s="2087" t="s">
        <v>1140</v>
      </c>
    </row>
    <row r="9" spans="1:2" x14ac:dyDescent="0.2">
      <c r="A9" s="1085" t="s">
        <v>1141</v>
      </c>
      <c r="B9" s="2087" t="s">
        <v>1178</v>
      </c>
    </row>
    <row r="10" spans="1:2" x14ac:dyDescent="0.2">
      <c r="A10" s="1085" t="s">
        <v>1142</v>
      </c>
    </row>
    <row r="11" spans="1:2" x14ac:dyDescent="0.2">
      <c r="A11" s="1085" t="s">
        <v>1143</v>
      </c>
    </row>
    <row r="12" spans="1:2" x14ac:dyDescent="0.2">
      <c r="A12" s="1085" t="s">
        <v>1144</v>
      </c>
    </row>
    <row r="13" spans="1:2" x14ac:dyDescent="0.2">
      <c r="A13" s="1085" t="s">
        <v>1145</v>
      </c>
    </row>
    <row r="14" spans="1:2" x14ac:dyDescent="0.2">
      <c r="A14" s="1085" t="s">
        <v>1146</v>
      </c>
    </row>
    <row r="15" spans="1:2" x14ac:dyDescent="0.2">
      <c r="A15" s="1085" t="s">
        <v>1147</v>
      </c>
    </row>
    <row r="16" spans="1:2" x14ac:dyDescent="0.2">
      <c r="A16" s="1085" t="s">
        <v>1148</v>
      </c>
    </row>
    <row r="17" spans="1:4" x14ac:dyDescent="0.2">
      <c r="A17" s="1085" t="s">
        <v>1149</v>
      </c>
      <c r="B17" s="2087" t="s">
        <v>1179</v>
      </c>
    </row>
    <row r="18" spans="1:4" x14ac:dyDescent="0.2">
      <c r="A18" s="1085" t="s">
        <v>1150</v>
      </c>
      <c r="B18" s="2087" t="s">
        <v>43</v>
      </c>
    </row>
    <row r="19" spans="1:4" x14ac:dyDescent="0.2">
      <c r="A19" s="1085" t="s">
        <v>1151</v>
      </c>
      <c r="B19" s="2087" t="s">
        <v>675</v>
      </c>
    </row>
    <row r="20" spans="1:4" x14ac:dyDescent="0.2">
      <c r="A20" s="1085" t="s">
        <v>1152</v>
      </c>
      <c r="B20" s="2088">
        <v>126408103</v>
      </c>
    </row>
    <row r="21" spans="1:4" x14ac:dyDescent="0.2">
      <c r="A21" s="1085" t="s">
        <v>1153</v>
      </c>
      <c r="B21" s="2087" t="s">
        <v>675</v>
      </c>
    </row>
    <row r="22" spans="1:4" x14ac:dyDescent="0.2">
      <c r="A22" s="1085" t="s">
        <v>1154</v>
      </c>
      <c r="B22" s="2088">
        <v>2160753</v>
      </c>
    </row>
    <row r="23" spans="1:4" x14ac:dyDescent="0.2">
      <c r="A23" s="1085" t="s">
        <v>192</v>
      </c>
      <c r="B23" s="2086">
        <v>46.57</v>
      </c>
    </row>
    <row r="24" spans="1:4" x14ac:dyDescent="0.2">
      <c r="A24" s="1085" t="s">
        <v>533</v>
      </c>
      <c r="B24" s="2087" t="s">
        <v>333</v>
      </c>
      <c r="D24" s="1085" t="s">
        <v>516</v>
      </c>
    </row>
    <row r="25" spans="1:4" x14ac:dyDescent="0.2">
      <c r="A25" s="1085" t="s">
        <v>1155</v>
      </c>
      <c r="B25" s="2087" t="s">
        <v>1182</v>
      </c>
    </row>
    <row r="26" spans="1:4" x14ac:dyDescent="0.2">
      <c r="A26" s="1085" t="s">
        <v>1156</v>
      </c>
      <c r="B26" s="2087">
        <v>0</v>
      </c>
    </row>
    <row r="27" spans="1:4" x14ac:dyDescent="0.2">
      <c r="A27" s="1085" t="s">
        <v>1157</v>
      </c>
      <c r="B27" s="2087" t="s">
        <v>1158</v>
      </c>
    </row>
    <row r="28" spans="1:4" x14ac:dyDescent="0.2">
      <c r="A28" s="1085" t="s">
        <v>1159</v>
      </c>
      <c r="B28" s="2087" t="s">
        <v>1160</v>
      </c>
    </row>
    <row r="29" spans="1:4" x14ac:dyDescent="0.2">
      <c r="A29" s="1085" t="s">
        <v>1161</v>
      </c>
    </row>
    <row r="30" spans="1:4" x14ac:dyDescent="0.2">
      <c r="A30" s="1085" t="s">
        <v>1162</v>
      </c>
    </row>
    <row r="31" spans="1:4" x14ac:dyDescent="0.2">
      <c r="A31" s="1085" t="s">
        <v>1163</v>
      </c>
    </row>
    <row r="32" spans="1:4" x14ac:dyDescent="0.2">
      <c r="A32" s="1085" t="s">
        <v>1164</v>
      </c>
      <c r="B32" s="2086"/>
    </row>
    <row r="33" spans="1:2" x14ac:dyDescent="0.2">
      <c r="A33" s="1085" t="s">
        <v>1165</v>
      </c>
      <c r="B33" s="2086"/>
    </row>
    <row r="34" spans="1:2" x14ac:dyDescent="0.2">
      <c r="A34" s="1085" t="s">
        <v>1166</v>
      </c>
      <c r="B34" s="2086"/>
    </row>
    <row r="35" spans="1:2" x14ac:dyDescent="0.2">
      <c r="A35" s="1085" t="s">
        <v>1167</v>
      </c>
      <c r="B35" s="2087">
        <v>1000000</v>
      </c>
    </row>
    <row r="36" spans="1:2" x14ac:dyDescent="0.2">
      <c r="A36" s="1085" t="s">
        <v>1168</v>
      </c>
      <c r="B36" s="2087" t="s">
        <v>1180</v>
      </c>
    </row>
    <row r="37" spans="1:2" x14ac:dyDescent="0.2">
      <c r="A37" s="1085" t="s">
        <v>1169</v>
      </c>
      <c r="B37" s="2087" t="s">
        <v>1170</v>
      </c>
    </row>
    <row r="38" spans="1:2" x14ac:dyDescent="0.2">
      <c r="A38" s="1085" t="s">
        <v>1171</v>
      </c>
      <c r="B38" s="2087" t="s">
        <v>1172</v>
      </c>
    </row>
    <row r="39" spans="1:2" x14ac:dyDescent="0.2">
      <c r="A39" s="1085" t="s">
        <v>1173</v>
      </c>
      <c r="B39" s="2087" t="s">
        <v>1181</v>
      </c>
    </row>
    <row r="40" spans="1:2" x14ac:dyDescent="0.2">
      <c r="A40" s="1085" t="s">
        <v>1174</v>
      </c>
      <c r="B40" s="2087">
        <v>1500005431</v>
      </c>
    </row>
    <row r="41" spans="1:2" x14ac:dyDescent="0.2">
      <c r="A41" s="1085" t="s">
        <v>1175</v>
      </c>
      <c r="B41" s="2087">
        <v>1</v>
      </c>
    </row>
    <row r="42" spans="1:2" x14ac:dyDescent="0.2">
      <c r="A42" s="2089" t="s">
        <v>1176</v>
      </c>
    </row>
    <row r="43" spans="1:2" x14ac:dyDescent="0.2">
      <c r="A43" s="1085" t="s">
        <v>1177</v>
      </c>
    </row>
  </sheetData>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workbookViewId="0">
      <selection activeCell="E11" sqref="E11"/>
    </sheetView>
  </sheetViews>
  <sheetFormatPr defaultRowHeight="12.75" x14ac:dyDescent="0.2"/>
  <cols>
    <col min="1" max="1" width="28.5703125" style="1085" bestFit="1" customWidth="1"/>
    <col min="2" max="256" width="9.140625" style="1085"/>
    <col min="257" max="257" width="28.5703125" style="1085" bestFit="1" customWidth="1"/>
    <col min="258" max="512" width="9.140625" style="1085"/>
    <col min="513" max="513" width="28.5703125" style="1085" bestFit="1" customWidth="1"/>
    <col min="514" max="768" width="9.140625" style="1085"/>
    <col min="769" max="769" width="28.5703125" style="1085" bestFit="1" customWidth="1"/>
    <col min="770" max="1024" width="9.140625" style="1085"/>
    <col min="1025" max="1025" width="28.5703125" style="1085" bestFit="1" customWidth="1"/>
    <col min="1026" max="1280" width="9.140625" style="1085"/>
    <col min="1281" max="1281" width="28.5703125" style="1085" bestFit="1" customWidth="1"/>
    <col min="1282" max="1536" width="9.140625" style="1085"/>
    <col min="1537" max="1537" width="28.5703125" style="1085" bestFit="1" customWidth="1"/>
    <col min="1538" max="1792" width="9.140625" style="1085"/>
    <col min="1793" max="1793" width="28.5703125" style="1085" bestFit="1" customWidth="1"/>
    <col min="1794" max="2048" width="9.140625" style="1085"/>
    <col min="2049" max="2049" width="28.5703125" style="1085" bestFit="1" customWidth="1"/>
    <col min="2050" max="2304" width="9.140625" style="1085"/>
    <col min="2305" max="2305" width="28.5703125" style="1085" bestFit="1" customWidth="1"/>
    <col min="2306" max="2560" width="9.140625" style="1085"/>
    <col min="2561" max="2561" width="28.5703125" style="1085" bestFit="1" customWidth="1"/>
    <col min="2562" max="2816" width="9.140625" style="1085"/>
    <col min="2817" max="2817" width="28.5703125" style="1085" bestFit="1" customWidth="1"/>
    <col min="2818" max="3072" width="9.140625" style="1085"/>
    <col min="3073" max="3073" width="28.5703125" style="1085" bestFit="1" customWidth="1"/>
    <col min="3074" max="3328" width="9.140625" style="1085"/>
    <col min="3329" max="3329" width="28.5703125" style="1085" bestFit="1" customWidth="1"/>
    <col min="3330" max="3584" width="9.140625" style="1085"/>
    <col min="3585" max="3585" width="28.5703125" style="1085" bestFit="1" customWidth="1"/>
    <col min="3586" max="3840" width="9.140625" style="1085"/>
    <col min="3841" max="3841" width="28.5703125" style="1085" bestFit="1" customWidth="1"/>
    <col min="3842" max="4096" width="9.140625" style="1085"/>
    <col min="4097" max="4097" width="28.5703125" style="1085" bestFit="1" customWidth="1"/>
    <col min="4098" max="4352" width="9.140625" style="1085"/>
    <col min="4353" max="4353" width="28.5703125" style="1085" bestFit="1" customWidth="1"/>
    <col min="4354" max="4608" width="9.140625" style="1085"/>
    <col min="4609" max="4609" width="28.5703125" style="1085" bestFit="1" customWidth="1"/>
    <col min="4610" max="4864" width="9.140625" style="1085"/>
    <col min="4865" max="4865" width="28.5703125" style="1085" bestFit="1" customWidth="1"/>
    <col min="4866" max="5120" width="9.140625" style="1085"/>
    <col min="5121" max="5121" width="28.5703125" style="1085" bestFit="1" customWidth="1"/>
    <col min="5122" max="5376" width="9.140625" style="1085"/>
    <col min="5377" max="5377" width="28.5703125" style="1085" bestFit="1" customWidth="1"/>
    <col min="5378" max="5632" width="9.140625" style="1085"/>
    <col min="5633" max="5633" width="28.5703125" style="1085" bestFit="1" customWidth="1"/>
    <col min="5634" max="5888" width="9.140625" style="1085"/>
    <col min="5889" max="5889" width="28.5703125" style="1085" bestFit="1" customWidth="1"/>
    <col min="5890" max="6144" width="9.140625" style="1085"/>
    <col min="6145" max="6145" width="28.5703125" style="1085" bestFit="1" customWidth="1"/>
    <col min="6146" max="6400" width="9.140625" style="1085"/>
    <col min="6401" max="6401" width="28.5703125" style="1085" bestFit="1" customWidth="1"/>
    <col min="6402" max="6656" width="9.140625" style="1085"/>
    <col min="6657" max="6657" width="28.5703125" style="1085" bestFit="1" customWidth="1"/>
    <col min="6658" max="6912" width="9.140625" style="1085"/>
    <col min="6913" max="6913" width="28.5703125" style="1085" bestFit="1" customWidth="1"/>
    <col min="6914" max="7168" width="9.140625" style="1085"/>
    <col min="7169" max="7169" width="28.5703125" style="1085" bestFit="1" customWidth="1"/>
    <col min="7170" max="7424" width="9.140625" style="1085"/>
    <col min="7425" max="7425" width="28.5703125" style="1085" bestFit="1" customWidth="1"/>
    <col min="7426" max="7680" width="9.140625" style="1085"/>
    <col min="7681" max="7681" width="28.5703125" style="1085" bestFit="1" customWidth="1"/>
    <col min="7682" max="7936" width="9.140625" style="1085"/>
    <col min="7937" max="7937" width="28.5703125" style="1085" bestFit="1" customWidth="1"/>
    <col min="7938" max="8192" width="9.140625" style="1085"/>
    <col min="8193" max="8193" width="28.5703125" style="1085" bestFit="1" customWidth="1"/>
    <col min="8194" max="8448" width="9.140625" style="1085"/>
    <col min="8449" max="8449" width="28.5703125" style="1085" bestFit="1" customWidth="1"/>
    <col min="8450" max="8704" width="9.140625" style="1085"/>
    <col min="8705" max="8705" width="28.5703125" style="1085" bestFit="1" customWidth="1"/>
    <col min="8706" max="8960" width="9.140625" style="1085"/>
    <col min="8961" max="8961" width="28.5703125" style="1085" bestFit="1" customWidth="1"/>
    <col min="8962" max="9216" width="9.140625" style="1085"/>
    <col min="9217" max="9217" width="28.5703125" style="1085" bestFit="1" customWidth="1"/>
    <col min="9218" max="9472" width="9.140625" style="1085"/>
    <col min="9473" max="9473" width="28.5703125" style="1085" bestFit="1" customWidth="1"/>
    <col min="9474" max="9728" width="9.140625" style="1085"/>
    <col min="9729" max="9729" width="28.5703125" style="1085" bestFit="1" customWidth="1"/>
    <col min="9730" max="9984" width="9.140625" style="1085"/>
    <col min="9985" max="9985" width="28.5703125" style="1085" bestFit="1" customWidth="1"/>
    <col min="9986" max="10240" width="9.140625" style="1085"/>
    <col min="10241" max="10241" width="28.5703125" style="1085" bestFit="1" customWidth="1"/>
    <col min="10242" max="10496" width="9.140625" style="1085"/>
    <col min="10497" max="10497" width="28.5703125" style="1085" bestFit="1" customWidth="1"/>
    <col min="10498" max="10752" width="9.140625" style="1085"/>
    <col min="10753" max="10753" width="28.5703125" style="1085" bestFit="1" customWidth="1"/>
    <col min="10754" max="11008" width="9.140625" style="1085"/>
    <col min="11009" max="11009" width="28.5703125" style="1085" bestFit="1" customWidth="1"/>
    <col min="11010" max="11264" width="9.140625" style="1085"/>
    <col min="11265" max="11265" width="28.5703125" style="1085" bestFit="1" customWidth="1"/>
    <col min="11266" max="11520" width="9.140625" style="1085"/>
    <col min="11521" max="11521" width="28.5703125" style="1085" bestFit="1" customWidth="1"/>
    <col min="11522" max="11776" width="9.140625" style="1085"/>
    <col min="11777" max="11777" width="28.5703125" style="1085" bestFit="1" customWidth="1"/>
    <col min="11778" max="12032" width="9.140625" style="1085"/>
    <col min="12033" max="12033" width="28.5703125" style="1085" bestFit="1" customWidth="1"/>
    <col min="12034" max="12288" width="9.140625" style="1085"/>
    <col min="12289" max="12289" width="28.5703125" style="1085" bestFit="1" customWidth="1"/>
    <col min="12290" max="12544" width="9.140625" style="1085"/>
    <col min="12545" max="12545" width="28.5703125" style="1085" bestFit="1" customWidth="1"/>
    <col min="12546" max="12800" width="9.140625" style="1085"/>
    <col min="12801" max="12801" width="28.5703125" style="1085" bestFit="1" customWidth="1"/>
    <col min="12802" max="13056" width="9.140625" style="1085"/>
    <col min="13057" max="13057" width="28.5703125" style="1085" bestFit="1" customWidth="1"/>
    <col min="13058" max="13312" width="9.140625" style="1085"/>
    <col min="13313" max="13313" width="28.5703125" style="1085" bestFit="1" customWidth="1"/>
    <col min="13314" max="13568" width="9.140625" style="1085"/>
    <col min="13569" max="13569" width="28.5703125" style="1085" bestFit="1" customWidth="1"/>
    <col min="13570" max="13824" width="9.140625" style="1085"/>
    <col min="13825" max="13825" width="28.5703125" style="1085" bestFit="1" customWidth="1"/>
    <col min="13826" max="14080" width="9.140625" style="1085"/>
    <col min="14081" max="14081" width="28.5703125" style="1085" bestFit="1" customWidth="1"/>
    <col min="14082" max="14336" width="9.140625" style="1085"/>
    <col min="14337" max="14337" width="28.5703125" style="1085" bestFit="1" customWidth="1"/>
    <col min="14338" max="14592" width="9.140625" style="1085"/>
    <col min="14593" max="14593" width="28.5703125" style="1085" bestFit="1" customWidth="1"/>
    <col min="14594" max="14848" width="9.140625" style="1085"/>
    <col min="14849" max="14849" width="28.5703125" style="1085" bestFit="1" customWidth="1"/>
    <col min="14850" max="15104" width="9.140625" style="1085"/>
    <col min="15105" max="15105" width="28.5703125" style="1085" bestFit="1" customWidth="1"/>
    <col min="15106" max="15360" width="9.140625" style="1085"/>
    <col min="15361" max="15361" width="28.5703125" style="1085" bestFit="1" customWidth="1"/>
    <col min="15362" max="15616" width="9.140625" style="1085"/>
    <col min="15617" max="15617" width="28.5703125" style="1085" bestFit="1" customWidth="1"/>
    <col min="15618" max="15872" width="9.140625" style="1085"/>
    <col min="15873" max="15873" width="28.5703125" style="1085" bestFit="1" customWidth="1"/>
    <col min="15874" max="16128" width="9.140625" style="1085"/>
    <col min="16129" max="16129" width="28.5703125" style="1085" bestFit="1" customWidth="1"/>
    <col min="16130" max="16384" width="9.140625" style="1085"/>
  </cols>
  <sheetData>
    <row r="1" spans="1:1" x14ac:dyDescent="0.2">
      <c r="A1" s="2091" t="s">
        <v>1183</v>
      </c>
    </row>
    <row r="2" spans="1:1" x14ac:dyDescent="0.2">
      <c r="A2" s="2091" t="s">
        <v>1188</v>
      </c>
    </row>
    <row r="3" spans="1:1" x14ac:dyDescent="0.2">
      <c r="A3" s="2091" t="s">
        <v>1189</v>
      </c>
    </row>
    <row r="4" spans="1:1" x14ac:dyDescent="0.2">
      <c r="A4" s="2091" t="s">
        <v>1190</v>
      </c>
    </row>
    <row r="5" spans="1:1" x14ac:dyDescent="0.2">
      <c r="A5" s="2091" t="s">
        <v>1191</v>
      </c>
    </row>
    <row r="6" spans="1:1" x14ac:dyDescent="0.2">
      <c r="A6" s="2091" t="s">
        <v>1184</v>
      </c>
    </row>
    <row r="7" spans="1:1" x14ac:dyDescent="0.2">
      <c r="A7" s="2091" t="s">
        <v>1192</v>
      </c>
    </row>
    <row r="8" spans="1:1" x14ac:dyDescent="0.2">
      <c r="A8" s="2091" t="s">
        <v>1193</v>
      </c>
    </row>
    <row r="9" spans="1:1" x14ac:dyDescent="0.2">
      <c r="A9" s="2091" t="s">
        <v>1194</v>
      </c>
    </row>
    <row r="10" spans="1:1" x14ac:dyDescent="0.2">
      <c r="A10" s="2091" t="s">
        <v>1185</v>
      </c>
    </row>
    <row r="11" spans="1:1" x14ac:dyDescent="0.2">
      <c r="A11" s="2091" t="s">
        <v>1195</v>
      </c>
    </row>
    <row r="12" spans="1:1" x14ac:dyDescent="0.2">
      <c r="A12" s="2091" t="s">
        <v>1186</v>
      </c>
    </row>
    <row r="13" spans="1:1" x14ac:dyDescent="0.2">
      <c r="A13" s="2091" t="s">
        <v>1187</v>
      </c>
    </row>
  </sheetData>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4"/>
  <sheetViews>
    <sheetView workbookViewId="0"/>
  </sheetViews>
  <sheetFormatPr defaultRowHeight="12.75" x14ac:dyDescent="0.2"/>
  <sheetData>
    <row r="1" spans="1:2" x14ac:dyDescent="0.2">
      <c r="B1" t="s">
        <v>538</v>
      </c>
    </row>
    <row r="2" spans="1:2" x14ac:dyDescent="0.2"/>
    <row r="3" spans="1:2" x14ac:dyDescent="0.2"/>
    <row r="4" spans="1:2" x14ac:dyDescent="0.2"/>
  </sheetData>
  <phoneticPr fontId="12" type="noConversion"/>
  <pageMargins left="0.75" right="0.75" top="1" bottom="1" header="0.5" footer="0.5"/>
  <pageSetup orientation="portrait" r:id="rId1"/>
  <headerFooter alignWithMargins="0"/>
  <legacyDrawing r:id="rId2"/>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mtd:Metadata xmlns:lkmtd="thomsonreuters.linking.metadatachange">
  <MetadataChanged>0</MetadataChanged>
</lkmtd:Metadata>
</file>

<file path=customXml/item2.xml><?xml version="1.0" encoding="utf-8"?>
<lk:Links xmlns:lk="thomsonreuters.linking.metadata"/>
</file>

<file path=customXml/itemProps1.xml><?xml version="1.0" encoding="utf-8"?>
<ds:datastoreItem xmlns:ds="http://schemas.openxmlformats.org/officeDocument/2006/customXml" ds:itemID="{00B35F07-B46D-4D1B-83D3-DF7C49A0F4CC}">
  <ds:schemaRefs>
    <ds:schemaRef ds:uri="thomsonreuters.linking.metadatachange"/>
  </ds:schemaRefs>
</ds:datastoreItem>
</file>

<file path=customXml/itemProps2.xml><?xml version="1.0" encoding="utf-8"?>
<ds:datastoreItem xmlns:ds="http://schemas.openxmlformats.org/officeDocument/2006/customXml" ds:itemID="{389BC03C-F74A-4C1D-94BB-1F3169A748C6}">
  <ds:schemaRefs>
    <ds:schemaRef ds:uri="thomsonreuters.linking.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97</vt:i4>
      </vt:variant>
    </vt:vector>
  </HeadingPairs>
  <TitlesOfParts>
    <vt:vector size="106" baseType="lpstr">
      <vt:lpstr>ImportantDisclosures</vt:lpstr>
      <vt:lpstr>Model</vt:lpstr>
      <vt:lpstr>DCF</vt:lpstr>
      <vt:lpstr>Fuel</vt:lpstr>
      <vt:lpstr>MarketData</vt:lpstr>
      <vt:lpstr>Pension</vt:lpstr>
      <vt:lpstr>OPEB</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CopyrightStamp</vt:lpstr>
      <vt:lpstr>ModPubIndex!COU</vt:lpstr>
      <vt:lpstr>IndexInformation!CQEnd</vt:lpstr>
      <vt:lpstr>IndexInformation!Currency</vt:lpstr>
      <vt:lpstr>OPEB!Currency_ISOcode</vt:lpstr>
      <vt:lpstr>Pension!Currency_ISOcode</vt:lpstr>
      <vt:lpstr>OPEB!currentFY</vt:lpstr>
      <vt:lpstr>Pension!currentFY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OPEB!dropDown</vt:lpstr>
      <vt:lpstr>Pension!dropDown</vt:lpstr>
      <vt:lpstr>OPEB!dropDown2</vt:lpstr>
      <vt:lpstr>ModPubIndex!EMAIL_ALERT</vt:lpstr>
      <vt:lpstr>IndexInformation!EmailAlert</vt:lpstr>
      <vt:lpstr>fair_value</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IndexInformation!MacroVersion</vt:lpstr>
      <vt:lpstr>ImportantDisclosures!ModelPrice</vt:lpstr>
      <vt:lpstr>OPEB!mstagrange</vt:lpstr>
      <vt:lpstr>OPEB!mstagrange1</vt:lpstr>
      <vt:lpstr>Pension!mstagrange1</vt:lpstr>
      <vt:lpstr>IndexInformation!Multiplier</vt:lpstr>
      <vt:lpstr>IndexInformation!NextYearEPS</vt:lpstr>
      <vt:lpstr>IndexInformation!NextYearTotalRevenue</vt:lpstr>
      <vt:lpstr>IndexInformation!NextYearTotalRevenueActual</vt:lpstr>
      <vt:lpstr>ObjectType</vt:lpstr>
      <vt:lpstr>OPEB!OPEB_Guide</vt:lpstr>
      <vt:lpstr>ModPubIndex!PANA</vt:lpstr>
      <vt:lpstr>IndexInformation!PathName</vt:lpstr>
      <vt:lpstr>OPEB!Pension_Guide</vt:lpstr>
      <vt:lpstr>Pension!Pension_Guide</vt:lpstr>
      <vt:lpstr>Model!Print_Area</vt:lpstr>
      <vt:lpstr>Pension!Print_Area</vt:lpstr>
      <vt:lpstr>Model!Print_Titles</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Pension!rngStartYear</vt:lpstr>
      <vt:lpstr>OPEB!rngTicker</vt:lpstr>
      <vt:lpstr>Pension!rngTicker</vt:lpstr>
      <vt:lpstr>IndexInformation!SEDOL</vt:lpstr>
      <vt:lpstr>OPEB!Sedol</vt:lpstr>
      <vt:lpstr>Pension!Sedol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OPEB!trEdate</vt:lpstr>
      <vt:lpstr>Pension!trEdate</vt:lpstr>
      <vt:lpstr>OPEB!trSdate</vt:lpstr>
      <vt:lpstr>Pension!trSdate</vt:lpstr>
      <vt:lpstr>IndexInformation!UpdateReason</vt:lpstr>
      <vt:lpstr>OPEB!YearRow</vt:lpstr>
      <vt:lpstr>Pension!YearRow</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2010-02-01T22:16:04Z</dcterms:created>
  <dc:creator>godjohn</dc:creator>
  <cp:lastModifiedBy>Huang, Diane (Research)</cp:lastModifiedBy>
  <cp:lastPrinted>2018-03-02T02:59:21Z</cp:lastPrinted>
  <dcterms:modified xsi:type="dcterms:W3CDTF">2018-04-18T03:46:38Z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ERModPubTicket" pid="2">
    <vt:lpwstr>NA</vt:lpwstr>
  </property>
  <property fmtid="{D5CDD505-2E9C-101B-9397-08002B2CF9AE}" name="ERCompanyUploadState" pid="3">
    <vt:lpwstr>P</vt:lpwstr>
  </property>
  <property fmtid="{D5CDD505-2E9C-101B-9397-08002B2CF9AE}" name="ModelId" pid="4">
    <vt:lpwstr>762308</vt:lpwstr>
  </property>
  <property fmtid="{D5CDD505-2E9C-101B-9397-08002B2CF9AE}" name="ERModPubCompanyName" pid="5">
    <vt:lpwstr>CSX Corporation</vt:lpwstr>
  </property>
  <property fmtid="{D5CDD505-2E9C-101B-9397-08002B2CF9AE}" name="MSDH34TAG" pid="6">
    <vt:lpwstr>.TEZUF76X5TAHATHESADREYAK-00-INB160+*94600-06=1d6138ac/-42bb/-11e8/-9695/-5e5c95fbb3b1,MD=20180417234851/-0400,ZZ=000Z-d2cf.</vt:lpwstr>
  </property>
</Properties>
</file>